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sheetId="1" r:id="rId3"/>
    <sheet state="visible" name="data-for-world-by-year" sheetId="2" r:id="rId4"/>
    <sheet state="visible" name="calculations" sheetId="3" r:id="rId5"/>
    <sheet state="visible" name="input-from-OWID" sheetId="4" r:id="rId6"/>
    <sheet state="visible" name="sum-countries-with-democracy-in" sheetId="5" r:id="rId7"/>
    <sheet state="visible" name="imported-democracy-index-countr" sheetId="6" r:id="rId8"/>
    <sheet state="visible" name="imported-world-population" sheetId="7" r:id="rId9"/>
    <sheet state="visible" name="imported-population-for-countri" sheetId="8" r:id="rId10"/>
  </sheets>
  <definedNames>
    <definedName name="dataset_id">ABOUT!$C$37</definedName>
    <definedName name="source_table">ABOUT!$A$21:$D$23</definedName>
    <definedName name="gapmio">ABOUT!$C$6</definedName>
    <definedName name="unit_column">ABOUT!$C$51</definedName>
    <definedName name="version_table">ABOUT!$B$31:$D$34</definedName>
    <definedName name="gapmio_v">#REF!</definedName>
    <definedName name="type_column">ABOUT!$C$52</definedName>
    <definedName name="indicator_table">ABOUT!$A$11:$H$12</definedName>
    <definedName name="name_column">ABOUT!$C$49</definedName>
    <definedName name="version">ABOUT!$C$3</definedName>
    <definedName name="contributors">ABOUT!$C$7</definedName>
    <definedName name="source_url">ABOUT!$C$17</definedName>
    <definedName name="concept_id">ABOUT!$C$37</definedName>
    <definedName name="date">ABOUT!$C$4</definedName>
    <definedName name="concept_id_column">ABOUT!$C$47</definedName>
    <definedName name="usage_column">ABOUT!$C$53</definedName>
    <definedName name="description_column">ABOUT!$C$50</definedName>
    <definedName name="name_short_column">ABOUT!$C$48</definedName>
    <definedName name="dataset_name">ABOUT!$C$36</definedName>
  </definedNames>
  <calcPr/>
  <pivotCaches>
    <pivotCache cacheId="0" r:id="rId11"/>
  </pivotCaches>
</workbook>
</file>

<file path=xl/sharedStrings.xml><?xml version="1.0" encoding="utf-8"?>
<sst xmlns="http://schemas.openxmlformats.org/spreadsheetml/2006/main" count="935" uniqueCount="118">
  <si>
    <t>About this dataset</t>
  </si>
  <si>
    <t>This file has multiple sheets with data for one or more indicators used by Gapminder. In this sheet below you'll first find an overview of the indicators (measures) and the list of underlying sources. The actual data we use, is found in the sheet(s) labeled "data-...".
This file is also a documentation of the data process. To follow how the data was transformed from the original sources, start in the sheet to the far right, which holds the input data. You can then follow the process step by step, by looking at the formulas in the sheets from right to left, until you reach the output in the "data-..." sheets.</t>
  </si>
  <si>
    <t>Version:</t>
  </si>
  <si>
    <t>v2</t>
  </si>
  <si>
    <t>Updated:</t>
  </si>
  <si>
    <t>Download:</t>
  </si>
  <si>
    <t>Link to latest version:</t>
  </si>
  <si>
    <t xml:space="preserve">Contributor(s) to this version: </t>
  </si>
  <si>
    <t>Ola Rosling</t>
  </si>
  <si>
    <t>Feedback</t>
  </si>
  <si>
    <t>#</t>
  </si>
  <si>
    <t>Indicator(s)</t>
  </si>
  <si>
    <t>Description</t>
  </si>
  <si>
    <t>Full name</t>
  </si>
  <si>
    <t>Unit</t>
  </si>
  <si>
    <t>ID</t>
  </si>
  <si>
    <t>Type</t>
  </si>
  <si>
    <t>Usage</t>
  </si>
  <si>
    <t>Share of people in democracy</t>
  </si>
  <si>
    <t>The sum of populations in all countries categorized as Democracies according to the Polity IV criteria for, as a share of the total world population.</t>
  </si>
  <si>
    <t>Share of population living in democracies</t>
  </si>
  <si>
    <t>Percent</t>
  </si>
  <si>
    <t>share_pop_in_democracy</t>
  </si>
  <si>
    <t>measure</t>
  </si>
  <si>
    <t>Democracy population</t>
  </si>
  <si>
    <t>The sum of population of all countries categorized as democracies according to the Polity IV criteria for, as a share of total population.</t>
  </si>
  <si>
    <t>Number of people living in democracies</t>
  </si>
  <si>
    <t>Number of people</t>
  </si>
  <si>
    <t>pop_in_democracy</t>
  </si>
  <si>
    <t>Sources</t>
  </si>
  <si>
    <t>Summary:</t>
  </si>
  <si>
    <t>Determining what is democracy is not a clear cut. We use the definition from the Economist Intelligence Únit (EIU), of 60% or higher score on Democracy index, which includes their two categories "Full democracy" and "Flawed democracy". The data from 2006 and later comes from the EIU. Data before 2006 are based on the trend form World in Data, based mainly on POLITY-IV definition, which is a bit more generous and puts the share of people in democracy on 55% in 2015. To fit the definition of EIU, we multiplied the historic OWID numbers with a rate 0.895, to adjust the historic curve so that it hit the number of EIU in 2006. This is a quick way to calculate a curve that both conveys the long historic development while fitting the higher quality data of the more recent decades.</t>
  </si>
  <si>
    <t>Link to documentation:</t>
  </si>
  <si>
    <t>Short source summary:</t>
  </si>
  <si>
    <t>EIU &amp; Gapminder</t>
  </si>
  <si>
    <t>Source id</t>
  </si>
  <si>
    <t>Name</t>
  </si>
  <si>
    <t>Link</t>
  </si>
  <si>
    <t>OWID</t>
  </si>
  <si>
    <t>Our World in Data, estimates of number of people in democracies</t>
  </si>
  <si>
    <t>https://ourworldindata.org/democracy#share-of-world-population-living-in-democracies</t>
  </si>
  <si>
    <t>GMPOP</t>
  </si>
  <si>
    <t>Gapminder's population data</t>
  </si>
  <si>
    <t>http://gapm.io/datapop</t>
  </si>
  <si>
    <t>GMDI</t>
  </si>
  <si>
    <t>Democracy Index Data</t>
  </si>
  <si>
    <t>gapm.io/ddemocrix</t>
  </si>
  <si>
    <t>License</t>
  </si>
  <si>
    <t>Attribution:</t>
  </si>
  <si>
    <t>License link:</t>
  </si>
  <si>
    <t>Exceptions:</t>
  </si>
  <si>
    <t>The sheets starting with the word "data" are covered by this license. Other sheets are included for documentation purpose, and may include data that is governed by other licenses. Check the underlying sources for the specific licenses in these cases.</t>
  </si>
  <si>
    <t>Versions</t>
  </si>
  <si>
    <t>Changes compared to previous</t>
  </si>
  <si>
    <t>Date</t>
  </si>
  <si>
    <t>Contributors</t>
  </si>
  <si>
    <t>v1</t>
  </si>
  <si>
    <t>-</t>
  </si>
  <si>
    <t xml:space="preserve">Data prepeared for the book Factfulness in 2018, contained data only from the OWID, Polity IV data. </t>
  </si>
  <si>
    <t>OlaRosling</t>
  </si>
  <si>
    <t>https://docs.google.com/spreadsheets/d/1Q6ns1Otbu6uzJO2kJdaraXWPG5FsR-49IEJQfk8B5a8</t>
  </si>
  <si>
    <t>Use the Economist's Democracy Index as a criteria for democracy (index &gt; 60%), which made the total number of people in democracies, 5% lower compared to version 1. By adjusting the OWID curve to hit the EIU curve in the overlapping year 2006, we get a long historic curve that includes better data for the last 10 years, better illustrating the decline of democracy in many countries.</t>
  </si>
  <si>
    <t>v3</t>
  </si>
  <si>
    <t>v4</t>
  </si>
  <si>
    <t>Dataset name</t>
  </si>
  <si>
    <t>Population in Democracies</t>
  </si>
  <si>
    <t>Dataset id</t>
  </si>
  <si>
    <t>democrp</t>
  </si>
  <si>
    <t>The Google id of this spreadsheet</t>
  </si>
  <si>
    <t>1km9lsO1FxYBRMpG244HGevtLUSR9JLCTqRAYICyPZ8k</t>
  </si>
  <si>
    <t>Formulas</t>
  </si>
  <si>
    <t>The formulas in this workbook may be referring to other spreadsheets online, by their named ranges, and not by sheet names. If a spreadsheet is broken in the tree of formulas, we avoid other formulas to get broken, by always linking to the output data sheets, which are manually copied and pasted form the formula outputs in the sheets to the right of DATA_PREP sheet.</t>
  </si>
  <si>
    <t>For developers</t>
  </si>
  <si>
    <t>If you like to integrate Gapmidner's data into your product, it's better if you integrate
These spreadsheets are part of Gapminder's data production and publishing, but there's more to it. Please follow this link to get the bigger picture of our data processes.</t>
  </si>
  <si>
    <t>Read more:</t>
  </si>
  <si>
    <t>gapm.io/dataworks</t>
  </si>
  <si>
    <t>CHART PREVIEWS</t>
  </si>
  <si>
    <t>data-for-countries-etc-by-year</t>
  </si>
  <si>
    <t>bubble chart with countries etc</t>
  </si>
  <si>
    <t>DDF mapping:</t>
  </si>
  <si>
    <t>schema for indicator table</t>
  </si>
  <si>
    <t>concept_id</t>
  </si>
  <si>
    <t>name_short</t>
  </si>
  <si>
    <t>name</t>
  </si>
  <si>
    <t>description</t>
  </si>
  <si>
    <t>unit</t>
  </si>
  <si>
    <t>type</t>
  </si>
  <si>
    <t>usage</t>
  </si>
  <si>
    <t>geo</t>
  </si>
  <si>
    <t>time</t>
  </si>
  <si>
    <t>world</t>
  </si>
  <si>
    <t>World</t>
  </si>
  <si>
    <t>Our primary source is EIU .</t>
  </si>
  <si>
    <t>Before 2006 we only have OWID based on Polity IV. So we combine these to</t>
  </si>
  <si>
    <t>The two sources in 2006:</t>
  </si>
  <si>
    <t>Combined EIU and OWID</t>
  </si>
  <si>
    <t xml:space="preserve">the year 2006, we have data form both sources, where the OWID, has 55% </t>
  </si>
  <si>
    <t>The cell to the right has the rate used to convert historic OWID data to level of EIU in 2006.</t>
  </si>
  <si>
    <t>This column comes from OWID</t>
  </si>
  <si>
    <t>This column comes from next sheet importing from Gapminder's population</t>
  </si>
  <si>
    <t>year</t>
  </si>
  <si>
    <t>Population in democracies</t>
  </si>
  <si>
    <t>OWID adjusted to hit EIU in 2005</t>
  </si>
  <si>
    <t>EIU Population in democracies</t>
  </si>
  <si>
    <t>EIU Share in democracies</t>
  </si>
  <si>
    <t>OWID 
Share of world population in democracy</t>
  </si>
  <si>
    <t>OWID
Population in Democracy</t>
  </si>
  <si>
    <t>population from Gapminder</t>
  </si>
  <si>
    <t>This column comes from https://ourworldindata.org/democracy#share-of-world-population-living-in-democracies</t>
  </si>
  <si>
    <t>Population in Democracy</t>
  </si>
  <si>
    <t>SUM of Population joined from next sheet</t>
  </si>
  <si>
    <t>is democracy (Index above 60%)</t>
  </si>
  <si>
    <t>Non-democratic</t>
  </si>
  <si>
    <t>Population in democratic</t>
  </si>
  <si>
    <t>key for joining</t>
  </si>
  <si>
    <t>Population joined from next sheet</t>
  </si>
  <si>
    <t>Pop multiplied by Democracy index</t>
  </si>
  <si>
    <t>This is imported form Gapminder population data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</si>
</sst>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d yyyy"/>
    <numFmt numFmtId="165" formatCode="mmm yyyy"/>
  </numFmts>
  <fonts count="60">
    <font>
      <sz val="12.0"/>
      <color rgb="FF000000"/>
      <name val="Calibri"/>
    </font>
    <font/>
    <font>
      <sz val="24.0"/>
      <name val="Arial"/>
    </font>
    <font>
      <color rgb="FF000000"/>
      <name val="Arial"/>
    </font>
    <font>
      <i/>
      <sz val="9.0"/>
      <color rgb="FF999999"/>
      <name val="Arial"/>
    </font>
    <font>
      <color rgb="FF999999"/>
      <name val="Arial"/>
    </font>
    <font>
      <name val="Arial"/>
    </font>
    <font>
      <sz val="8.0"/>
      <name val="Arial"/>
    </font>
    <font>
      <b/>
      <sz val="18.0"/>
      <name val="Arial"/>
    </font>
    <font>
      <color rgb="FF999999"/>
    </font>
    <font>
      <sz val="8.0"/>
      <color rgb="FF000000"/>
      <name val="Arial"/>
    </font>
    <font>
      <sz val="10.0"/>
      <color rgb="FF000000"/>
      <name val="Arial"/>
    </font>
    <font>
      <sz val="11.0"/>
    </font>
    <font>
      <sz val="11.0"/>
      <name val="Arial"/>
    </font>
    <font>
      <u/>
      <sz val="10.0"/>
      <color rgb="FF0000FF"/>
      <name val="Arial"/>
    </font>
    <font>
      <u/>
      <sz val="10.0"/>
      <color rgb="FF1155CC"/>
      <name val="Arial"/>
    </font>
    <font>
      <sz val="10.0"/>
      <name val="Arial"/>
    </font>
    <font>
      <sz val="10.0"/>
    </font>
    <font>
      <i/>
      <u/>
      <sz val="10.0"/>
      <color rgb="FF1155CC"/>
      <name val="Arial"/>
    </font>
    <font>
      <b/>
      <sz val="10.0"/>
      <name val="Arial"/>
    </font>
    <font>
      <b/>
      <color rgb="FF000000"/>
      <name val="Arial"/>
    </font>
    <font>
      <sz val="12.0"/>
      <color rgb="FFCCCCCC"/>
      <name val="Calibri"/>
    </font>
    <font>
      <sz val="14.0"/>
      <name val="Arial"/>
    </font>
    <font>
      <sz val="8.0"/>
      <color rgb="FFB7B7B7"/>
      <name val="Calibri"/>
    </font>
    <font>
      <b/>
      <sz val="8.0"/>
      <color rgb="FF000000"/>
      <name val="Arial"/>
    </font>
    <font>
      <b/>
      <sz val="10.0"/>
      <color rgb="FF000000"/>
      <name val="Arial"/>
    </font>
    <font>
      <sz val="10.0"/>
      <name val="Calibri"/>
    </font>
    <font>
      <u/>
      <sz val="10.0"/>
      <color rgb="FF0000FF"/>
      <name val="Arial"/>
    </font>
    <font>
      <sz val="8.0"/>
      <color rgb="FF999999"/>
      <name val="Arial"/>
    </font>
    <font>
      <sz val="12.0"/>
      <color rgb="FF000000"/>
      <name val="Arial"/>
    </font>
    <font>
      <sz val="12.0"/>
      <name val="Calibri"/>
    </font>
    <font>
      <sz val="12.0"/>
      <name val="Arial"/>
    </font>
    <font>
      <u/>
      <sz val="10.0"/>
      <color rgb="FF0000FF"/>
      <name val="Arial"/>
    </font>
    <font>
      <b/>
      <u/>
      <sz val="10.0"/>
      <color rgb="FF0000FF"/>
      <name val="Arial"/>
    </font>
    <font>
      <sz val="10.0"/>
      <color rgb="FF666666"/>
      <name val="Arial"/>
    </font>
    <font>
      <u/>
      <sz val="10.0"/>
      <color rgb="FF1155CC"/>
      <name val="Arial"/>
    </font>
    <font>
      <sz val="8.0"/>
      <color rgb="FF000000"/>
      <name val="Calibri"/>
    </font>
    <font>
      <sz val="8.0"/>
      <color rgb="FF000000"/>
    </font>
    <font>
      <u/>
      <sz val="8.0"/>
      <color rgb="FF000000"/>
      <name val="Calibri"/>
    </font>
    <font>
      <u/>
      <sz val="8.0"/>
      <color rgb="FF000000"/>
      <name val="Arial"/>
    </font>
    <font>
      <b/>
      <sz val="8.0"/>
      <name val="Calibri"/>
    </font>
    <font>
      <sz val="12.0"/>
      <color rgb="FFB7B7B7"/>
      <name val="Calibri"/>
    </font>
    <font>
      <sz val="10.0"/>
      <color rgb="FFB7B7B7"/>
      <name val="Arial"/>
    </font>
    <font>
      <sz val="8.0"/>
      <color rgb="FFB7B7B7"/>
      <name val="Arial"/>
    </font>
    <font>
      <sz val="10.0"/>
      <color rgb="FFB7B7B7"/>
    </font>
    <font>
      <sz val="7.0"/>
      <color rgb="FFB7B7B7"/>
      <name val="Arial"/>
    </font>
    <font>
      <u/>
      <sz val="10.0"/>
      <color rgb="FFB7B7B7"/>
      <name val="Arial"/>
    </font>
    <font>
      <u/>
      <sz val="10.0"/>
      <color rgb="FFB7B7B7"/>
      <name val="Calibri"/>
    </font>
    <font>
      <u/>
      <sz val="10.0"/>
      <color rgb="FFB7B7B7"/>
      <name val="Inconsolata"/>
    </font>
    <font>
      <sz val="10.0"/>
      <color rgb="FFB7B7B7"/>
      <name val="Calibri"/>
    </font>
    <font>
      <u/>
      <sz val="10.0"/>
      <color rgb="FFB7B7B7"/>
      <name val="Calibri"/>
    </font>
    <font>
      <b/>
      <sz val="8.0"/>
      <color rgb="FFB7B7B7"/>
      <name val="Arial"/>
    </font>
    <font>
      <sz val="8.0"/>
      <color rgb="FFCCCCCC"/>
      <name val="Arial"/>
    </font>
    <font>
      <sz val="7.0"/>
      <color rgb="FF666666"/>
      <name val="Arial"/>
    </font>
    <font>
      <sz val="18.0"/>
    </font>
    <font>
      <sz val="9.0"/>
      <name val="Arial"/>
    </font>
    <font>
      <sz val="9.0"/>
      <color rgb="FF000000"/>
      <name val="Arial"/>
    </font>
    <font>
      <b/>
      <name val="Arial"/>
    </font>
    <font>
      <b/>
    </font>
    <font>
      <b/>
      <sz val="12.0"/>
      <name val="Calibri"/>
    </font>
  </fonts>
  <fills count="9">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F3F3F3"/>
        <bgColor rgb="FFF3F3F3"/>
      </patternFill>
    </fill>
    <fill>
      <patternFill patternType="solid">
        <fgColor rgb="FFEFEFEF"/>
        <bgColor rgb="FFEFEFEF"/>
      </patternFill>
    </fill>
    <fill>
      <patternFill patternType="solid">
        <fgColor rgb="FFEA9999"/>
        <bgColor rgb="FFEA9999"/>
      </patternFill>
    </fill>
    <fill>
      <patternFill patternType="solid">
        <fgColor rgb="FFFFE599"/>
        <bgColor rgb="FFFFE599"/>
      </patternFill>
    </fill>
    <fill>
      <patternFill patternType="solid">
        <fgColor rgb="FFFFD966"/>
        <bgColor rgb="FFFFD966"/>
      </patternFill>
    </fill>
  </fills>
  <borders count="3">
    <border/>
    <border>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0" fillId="2" fontId="1" numFmtId="0" xfId="0" applyAlignment="1" applyFill="1" applyFont="1">
      <alignment vertical="center"/>
    </xf>
    <xf borderId="0" fillId="2" fontId="2" numFmtId="0" xfId="0" applyAlignment="1" applyFont="1">
      <alignment readingOrder="0" vertical="center"/>
    </xf>
    <xf borderId="0" fillId="2" fontId="3" numFmtId="0" xfId="0" applyAlignment="1" applyFont="1">
      <alignment vertical="center"/>
    </xf>
    <xf borderId="0" fillId="2" fontId="3" numFmtId="0" xfId="0" applyAlignment="1" applyFont="1">
      <alignment horizontal="right" readingOrder="0" vertical="center"/>
    </xf>
    <xf borderId="0" fillId="2" fontId="4" numFmtId="0" xfId="0" applyAlignment="1" applyFont="1">
      <alignment horizontal="left" readingOrder="0" vertical="bottom"/>
    </xf>
    <xf borderId="0" fillId="2" fontId="5" numFmtId="0" xfId="0" applyAlignment="1" applyFont="1">
      <alignment readingOrder="0" shrinkToFit="0" vertical="center" wrapText="1"/>
    </xf>
    <xf borderId="0" fillId="2" fontId="6" numFmtId="0" xfId="0" applyAlignment="1" applyFont="1">
      <alignment vertical="center"/>
    </xf>
    <xf borderId="0" fillId="2" fontId="7" numFmtId="0" xfId="0" applyAlignment="1" applyFont="1">
      <alignment horizontal="right" readingOrder="0" shrinkToFit="0" vertical="center" wrapText="1"/>
    </xf>
    <xf borderId="0" fillId="2" fontId="7" numFmtId="0" xfId="0" applyAlignment="1" applyFont="1">
      <alignment readingOrder="0" shrinkToFit="0" vertical="center" wrapText="1"/>
    </xf>
    <xf borderId="0" fillId="2" fontId="8" numFmtId="0" xfId="0" applyAlignment="1" applyFont="1">
      <alignment readingOrder="0" shrinkToFit="0" vertical="center" wrapText="1"/>
    </xf>
    <xf borderId="0" fillId="2" fontId="9" numFmtId="0" xfId="0" applyAlignment="1" applyFont="1">
      <alignment vertical="center"/>
    </xf>
    <xf borderId="0" fillId="2" fontId="6" numFmtId="0" xfId="0" applyAlignment="1" applyFont="1">
      <alignment readingOrder="0" vertical="center"/>
    </xf>
    <xf borderId="0" fillId="2" fontId="10" numFmtId="0" xfId="0" applyAlignment="1" applyFont="1">
      <alignment horizontal="right" readingOrder="0" vertical="center"/>
    </xf>
    <xf borderId="0" fillId="2" fontId="11" numFmtId="0" xfId="0" applyAlignment="1" applyFont="1">
      <alignment readingOrder="0" shrinkToFit="0" vertical="center" wrapText="1"/>
    </xf>
    <xf borderId="0" fillId="2" fontId="12" numFmtId="0" xfId="0" applyAlignment="1" applyFont="1">
      <alignment vertical="center"/>
    </xf>
    <xf borderId="0" fillId="2" fontId="7" numFmtId="164" xfId="0" applyAlignment="1" applyFont="1" applyNumberFormat="1">
      <alignment horizontal="left" readingOrder="0" vertical="center"/>
    </xf>
    <xf borderId="0" fillId="2" fontId="13" numFmtId="0" xfId="0" applyAlignment="1" applyFont="1">
      <alignment readingOrder="0" vertical="center"/>
    </xf>
    <xf borderId="0" fillId="2" fontId="13" numFmtId="0" xfId="0" applyAlignment="1" applyFont="1">
      <alignment vertical="center"/>
    </xf>
    <xf borderId="0" fillId="2" fontId="14" numFmtId="0" xfId="0" applyAlignment="1" applyFont="1">
      <alignment horizontal="left" readingOrder="0" shrinkToFit="0" vertical="center" wrapText="1"/>
    </xf>
    <xf borderId="0" fillId="2" fontId="15" numFmtId="0" xfId="0" applyAlignment="1" applyFont="1">
      <alignment vertical="center"/>
    </xf>
    <xf borderId="0" fillId="2" fontId="16" numFmtId="0" xfId="0" applyAlignment="1" applyFont="1">
      <alignment readingOrder="0" vertical="center"/>
    </xf>
    <xf borderId="0" fillId="2" fontId="16" numFmtId="0" xfId="0" applyAlignment="1" applyFont="1">
      <alignment vertical="center"/>
    </xf>
    <xf borderId="0" fillId="2" fontId="17" numFmtId="0" xfId="0" applyAlignment="1" applyFont="1">
      <alignment vertical="center"/>
    </xf>
    <xf borderId="0" fillId="2" fontId="10" numFmtId="0" xfId="0" applyAlignment="1" applyFont="1">
      <alignment horizontal="right" readingOrder="0" shrinkToFit="0" vertical="bottom" wrapText="0"/>
    </xf>
    <xf borderId="0" fillId="2" fontId="10" numFmtId="0" xfId="0" applyAlignment="1" applyFont="1">
      <alignment vertical="bottom"/>
    </xf>
    <xf borderId="0" fillId="2" fontId="6" numFmtId="0" xfId="0" applyAlignment="1" applyFont="1">
      <alignment readingOrder="0" shrinkToFit="0" vertical="center" wrapText="1"/>
    </xf>
    <xf borderId="0" fillId="2" fontId="7" numFmtId="0" xfId="0" applyAlignment="1" applyFont="1">
      <alignment horizontal="right" readingOrder="0" vertical="center"/>
    </xf>
    <xf borderId="0" fillId="2" fontId="18" numFmtId="0" xfId="0" applyAlignment="1" applyFont="1">
      <alignment horizontal="left" shrinkToFit="0" vertical="center" wrapText="1"/>
    </xf>
    <xf borderId="0" fillId="0" fontId="1" numFmtId="0" xfId="0" applyAlignment="1" applyFont="1">
      <alignment vertical="center"/>
    </xf>
    <xf borderId="0" fillId="0" fontId="10" numFmtId="0" xfId="0" applyAlignment="1" applyFont="1">
      <alignment horizontal="right" readingOrder="0" vertical="center"/>
    </xf>
    <xf borderId="0" fillId="0" fontId="19" numFmtId="0" xfId="0" applyAlignment="1" applyFont="1">
      <alignment readingOrder="0" vertical="center"/>
    </xf>
    <xf borderId="0" fillId="0" fontId="6" numFmtId="0" xfId="0" applyAlignment="1" applyFont="1">
      <alignment readingOrder="0" shrinkToFit="0" vertical="center" wrapText="1"/>
    </xf>
    <xf borderId="0" fillId="3" fontId="20" numFmtId="0" xfId="0" applyAlignment="1" applyFill="1" applyFont="1">
      <alignment horizontal="left" readingOrder="0" vertical="center"/>
    </xf>
    <xf borderId="0" fillId="0" fontId="6" numFmtId="0" xfId="0" applyAlignment="1" applyFont="1">
      <alignment readingOrder="0" vertical="center"/>
    </xf>
    <xf borderId="0" fillId="0" fontId="6" numFmtId="0" xfId="0" applyAlignment="1" applyFont="1">
      <alignment vertical="center"/>
    </xf>
    <xf borderId="0" fillId="0" fontId="21" numFmtId="0" xfId="0" applyAlignment="1" applyFont="1">
      <alignment horizontal="center"/>
    </xf>
    <xf borderId="0" fillId="2" fontId="22" numFmtId="0" xfId="0" applyFont="1"/>
    <xf borderId="0" fillId="2" fontId="3" numFmtId="0" xfId="0" applyFont="1"/>
    <xf borderId="0" fillId="2" fontId="3" numFmtId="0" xfId="0" applyFont="1"/>
    <xf borderId="0" fillId="2" fontId="3" numFmtId="0" xfId="0" applyAlignment="1" applyFont="1">
      <alignment readingOrder="0"/>
    </xf>
    <xf borderId="0" fillId="0" fontId="16" numFmtId="0" xfId="0" applyAlignment="1" applyFont="1">
      <alignment vertical="center"/>
    </xf>
    <xf borderId="0" fillId="0" fontId="17" numFmtId="0" xfId="0" applyAlignment="1" applyFont="1">
      <alignment vertical="center"/>
    </xf>
    <xf borderId="0" fillId="0" fontId="23" numFmtId="0" xfId="0" applyAlignment="1" applyFont="1">
      <alignment horizontal="center" vertical="bottom"/>
    </xf>
    <xf borderId="0" fillId="0" fontId="11" numFmtId="0" xfId="0" applyAlignment="1" applyFont="1">
      <alignment readingOrder="0" shrinkToFit="0" vertical="center" wrapText="1"/>
    </xf>
    <xf borderId="0" fillId="0" fontId="16" numFmtId="0" xfId="0" applyAlignment="1" applyFont="1">
      <alignment readingOrder="0" shrinkToFit="0" vertical="center" wrapText="1"/>
    </xf>
    <xf borderId="0" fillId="0" fontId="24" numFmtId="0" xfId="0" applyAlignment="1" applyFont="1">
      <alignment horizontal="right" readingOrder="0" vertical="center"/>
    </xf>
    <xf borderId="0" fillId="0" fontId="25" numFmtId="0" xfId="0" applyAlignment="1" applyFont="1">
      <alignment readingOrder="0" vertical="center"/>
    </xf>
    <xf borderId="0" fillId="0" fontId="26" numFmtId="0" xfId="0" applyAlignment="1" applyFont="1">
      <alignment vertical="center"/>
    </xf>
    <xf borderId="0" fillId="0" fontId="7" numFmtId="0" xfId="0" applyAlignment="1" applyFont="1">
      <alignment shrinkToFit="0" vertical="center" wrapText="1"/>
    </xf>
    <xf borderId="0" fillId="0" fontId="16" numFmtId="0" xfId="0" applyAlignment="1" applyFont="1">
      <alignment readingOrder="0" vertical="center"/>
    </xf>
    <xf borderId="0" fillId="2" fontId="22" numFmtId="0" xfId="0" applyAlignment="1" applyFont="1">
      <alignment readingOrder="0" shrinkToFit="0" vertical="center" wrapText="1"/>
    </xf>
    <xf borderId="0" fillId="2" fontId="11" numFmtId="0" xfId="0" applyAlignment="1" applyFont="1">
      <alignment horizontal="left" readingOrder="0" shrinkToFit="0" vertical="center" wrapText="1"/>
    </xf>
    <xf borderId="0" fillId="0" fontId="10" numFmtId="0" xfId="0" applyAlignment="1" applyFont="1">
      <alignment horizontal="right" vertical="center"/>
    </xf>
    <xf borderId="0" fillId="0" fontId="11" numFmtId="0" xfId="0" applyAlignment="1" applyFont="1">
      <alignment horizontal="left" readingOrder="0" shrinkToFit="0" vertical="center" wrapText="1"/>
    </xf>
    <xf borderId="0" fillId="0" fontId="27" numFmtId="0" xfId="0" applyAlignment="1" applyFont="1">
      <alignment horizontal="left" readingOrder="0" shrinkToFit="0" vertical="center" wrapText="1"/>
    </xf>
    <xf borderId="0" fillId="0" fontId="28" numFmtId="0" xfId="0" applyAlignment="1" applyFont="1">
      <alignment horizontal="right" readingOrder="0" shrinkToFit="0" vertical="center" wrapText="1"/>
    </xf>
    <xf borderId="0" fillId="4" fontId="29" numFmtId="0" xfId="0" applyAlignment="1" applyFill="1" applyFont="1">
      <alignment horizontal="center" vertical="bottom"/>
    </xf>
    <xf borderId="0" fillId="4" fontId="30" numFmtId="0" xfId="0" applyAlignment="1" applyFont="1">
      <alignment vertical="bottom"/>
    </xf>
    <xf borderId="0" fillId="4" fontId="31" numFmtId="0" xfId="0" applyAlignment="1" applyFont="1">
      <alignment shrinkToFit="0" vertical="bottom" wrapText="1"/>
    </xf>
    <xf borderId="0" fillId="3" fontId="11" numFmtId="0" xfId="0" applyAlignment="1" applyFont="1">
      <alignment horizontal="center" readingOrder="0"/>
    </xf>
    <xf borderId="0" fillId="0" fontId="32" numFmtId="0" xfId="0" applyAlignment="1" applyFont="1">
      <alignment readingOrder="0" vertical="center"/>
    </xf>
    <xf borderId="0" fillId="0" fontId="11" numFmtId="0" xfId="0" applyAlignment="1" applyFont="1">
      <alignment horizontal="center" readingOrder="0" vertical="center"/>
    </xf>
    <xf borderId="0" fillId="0" fontId="16" numFmtId="0" xfId="0" applyAlignment="1" applyFont="1">
      <alignment readingOrder="0" vertical="center"/>
    </xf>
    <xf borderId="0" fillId="0" fontId="33" numFmtId="0" xfId="0" applyAlignment="1" applyFont="1">
      <alignment readingOrder="0" vertical="center"/>
    </xf>
    <xf borderId="0" fillId="2" fontId="22" numFmtId="0" xfId="0" applyAlignment="1" applyFont="1">
      <alignment readingOrder="0" vertical="center"/>
    </xf>
    <xf borderId="0" fillId="2" fontId="1" numFmtId="0" xfId="0" applyFont="1"/>
    <xf borderId="0" fillId="0" fontId="16" numFmtId="0" xfId="0" applyAlignment="1" applyFont="1">
      <alignment horizontal="right" shrinkToFit="0" wrapText="1"/>
    </xf>
    <xf borderId="1" fillId="0" fontId="34" numFmtId="0" xfId="0" applyAlignment="1" applyBorder="1" applyFont="1">
      <alignment shrinkToFit="0" vertical="bottom" wrapText="0"/>
    </xf>
    <xf borderId="0" fillId="0" fontId="35" numFmtId="0" xfId="0" applyAlignment="1" applyFont="1">
      <alignment vertical="bottom"/>
    </xf>
    <xf borderId="0" fillId="0" fontId="34" numFmtId="0" xfId="0" applyAlignment="1" applyFont="1">
      <alignment shrinkToFit="0" vertical="bottom" wrapText="1"/>
    </xf>
    <xf borderId="0" fillId="0" fontId="30" numFmtId="0" xfId="0" applyFont="1"/>
    <xf borderId="0" fillId="2" fontId="22" numFmtId="0" xfId="0" applyAlignment="1" applyFont="1">
      <alignment vertical="bottom"/>
    </xf>
    <xf borderId="0" fillId="2" fontId="30" numFmtId="0" xfId="0" applyAlignment="1" applyFont="1">
      <alignment vertical="bottom"/>
    </xf>
    <xf borderId="0" fillId="0" fontId="30" numFmtId="0" xfId="0" applyAlignment="1" applyFont="1">
      <alignment vertical="bottom"/>
    </xf>
    <xf borderId="0" fillId="0" fontId="36" numFmtId="0" xfId="0" applyAlignment="1" applyFont="1">
      <alignment horizontal="right" vertical="bottom"/>
    </xf>
    <xf borderId="0" fillId="0" fontId="36" numFmtId="0" xfId="0" applyAlignment="1" applyFont="1">
      <alignment readingOrder="0" vertical="bottom"/>
    </xf>
    <xf borderId="0" fillId="0" fontId="37" numFmtId="0" xfId="0" applyAlignment="1" applyFont="1">
      <alignment readingOrder="0" vertical="center"/>
    </xf>
    <xf borderId="0" fillId="0" fontId="36" numFmtId="165" xfId="0" applyAlignment="1" applyFont="1" applyNumberFormat="1">
      <alignment readingOrder="0"/>
    </xf>
    <xf borderId="0" fillId="0" fontId="36" numFmtId="0" xfId="0" applyAlignment="1" applyFont="1">
      <alignment readingOrder="0"/>
    </xf>
    <xf borderId="0" fillId="0" fontId="38" numFmtId="0" xfId="0" applyAlignment="1" applyFont="1">
      <alignment readingOrder="0" vertical="bottom"/>
    </xf>
    <xf borderId="0" fillId="0" fontId="36" numFmtId="165" xfId="0" applyAlignment="1" applyFont="1" applyNumberFormat="1">
      <alignment readingOrder="0" vertical="bottom"/>
    </xf>
    <xf borderId="0" fillId="0" fontId="36" numFmtId="0" xfId="0" applyAlignment="1" applyFont="1">
      <alignment vertical="bottom"/>
    </xf>
    <xf borderId="0" fillId="0" fontId="39" numFmtId="0" xfId="0" applyFont="1"/>
    <xf borderId="1" fillId="0" fontId="36" numFmtId="0" xfId="0" applyAlignment="1" applyBorder="1" applyFont="1">
      <alignment shrinkToFit="0" wrapText="0"/>
    </xf>
    <xf borderId="1" fillId="0" fontId="36" numFmtId="0" xfId="0" applyBorder="1" applyFont="1"/>
    <xf borderId="0" fillId="0" fontId="36" numFmtId="0" xfId="0" applyFont="1"/>
    <xf borderId="0" fillId="0" fontId="36" numFmtId="0" xfId="0" applyFont="1"/>
    <xf borderId="0" fillId="0" fontId="30" numFmtId="0" xfId="0" applyFont="1"/>
    <xf borderId="0" fillId="0" fontId="40" numFmtId="0" xfId="0" applyAlignment="1" applyFont="1">
      <alignment horizontal="right" vertical="bottom"/>
    </xf>
    <xf borderId="0" fillId="0" fontId="41" numFmtId="0" xfId="0" applyAlignment="1" applyFont="1">
      <alignment vertical="bottom"/>
    </xf>
    <xf borderId="0" fillId="5" fontId="42" numFmtId="0" xfId="0" applyAlignment="1" applyFill="1" applyFont="1">
      <alignment vertical="center"/>
    </xf>
    <xf borderId="0" fillId="5" fontId="43" numFmtId="0" xfId="0" applyAlignment="1" applyFont="1">
      <alignment horizontal="right" shrinkToFit="0" wrapText="1"/>
    </xf>
    <xf borderId="0" fillId="5" fontId="42" numFmtId="0" xfId="0" applyAlignment="1" applyFont="1">
      <alignment horizontal="left" readingOrder="0" shrinkToFit="0" vertical="center" wrapText="1"/>
    </xf>
    <xf borderId="0" fillId="5" fontId="42" numFmtId="0" xfId="0" applyAlignment="1" applyFont="1">
      <alignment horizontal="center" readingOrder="0" shrinkToFit="0" vertical="center" wrapText="1"/>
    </xf>
    <xf borderId="0" fillId="5" fontId="44" numFmtId="0" xfId="0" applyAlignment="1" applyFont="1">
      <alignment vertical="center"/>
    </xf>
    <xf borderId="0" fillId="5" fontId="42" numFmtId="0" xfId="0" applyAlignment="1" applyFont="1">
      <alignment readingOrder="0" shrinkToFit="0" vertical="center" wrapText="1"/>
    </xf>
    <xf borderId="0" fillId="5" fontId="42" numFmtId="0" xfId="0" applyAlignment="1" applyFont="1">
      <alignment readingOrder="0" vertical="center"/>
    </xf>
    <xf borderId="0" fillId="0" fontId="1" numFmtId="0" xfId="0" applyAlignment="1" applyFont="1">
      <alignment shrinkToFit="0" wrapText="1"/>
    </xf>
    <xf borderId="0" fillId="0" fontId="1" numFmtId="0" xfId="0" applyAlignment="1" applyFont="1">
      <alignment readingOrder="0" shrinkToFit="0" wrapText="1"/>
    </xf>
    <xf borderId="0" fillId="5" fontId="45" numFmtId="0" xfId="0" applyAlignment="1" applyFont="1">
      <alignment readingOrder="0" shrinkToFit="0" vertical="center" wrapText="1"/>
    </xf>
    <xf borderId="0" fillId="5" fontId="43" numFmtId="0" xfId="0" applyAlignment="1" applyFont="1">
      <alignment horizontal="right" readingOrder="0" shrinkToFit="0" vertical="center" wrapText="1"/>
    </xf>
    <xf borderId="0" fillId="5" fontId="43" numFmtId="0" xfId="0" applyAlignment="1" applyFont="1">
      <alignment horizontal="right" readingOrder="0" vertical="center"/>
    </xf>
    <xf borderId="0" fillId="5" fontId="46" numFmtId="0" xfId="0" applyAlignment="1" applyFont="1">
      <alignment readingOrder="0" shrinkToFit="0" vertical="center" wrapText="1"/>
    </xf>
    <xf borderId="0" fillId="5" fontId="41" numFmtId="0" xfId="0" applyAlignment="1" applyFont="1">
      <alignment vertical="center"/>
    </xf>
    <xf borderId="0" fillId="5" fontId="43" numFmtId="0" xfId="0" applyAlignment="1" applyFont="1">
      <alignment horizontal="right" vertical="center"/>
    </xf>
    <xf borderId="0" fillId="5" fontId="47" numFmtId="0" xfId="0" applyAlignment="1" applyFont="1">
      <alignment vertical="center"/>
    </xf>
    <xf borderId="0" fillId="5" fontId="48" numFmtId="0" xfId="0" applyAlignment="1" applyFont="1">
      <alignment shrinkToFit="0" vertical="center" wrapText="0"/>
    </xf>
    <xf borderId="0" fillId="5" fontId="49" numFmtId="0" xfId="0" applyAlignment="1" applyFont="1">
      <alignment vertical="center"/>
    </xf>
    <xf borderId="0" fillId="5" fontId="49" numFmtId="0" xfId="0" applyAlignment="1" applyFont="1">
      <alignment vertical="center"/>
    </xf>
    <xf borderId="0" fillId="5" fontId="49" numFmtId="0" xfId="0" applyAlignment="1" applyFont="1">
      <alignment readingOrder="0" vertical="center"/>
    </xf>
    <xf borderId="0" fillId="5" fontId="43" numFmtId="0" xfId="0" applyAlignment="1" applyFont="1">
      <alignment horizontal="right" readingOrder="0" vertical="center"/>
    </xf>
    <xf borderId="0" fillId="5" fontId="50" numFmtId="0" xfId="0" applyAlignment="1" applyFont="1">
      <alignment readingOrder="0" vertical="center"/>
    </xf>
    <xf borderId="0" fillId="5" fontId="30" numFmtId="0" xfId="0" applyFont="1"/>
    <xf borderId="0" fillId="5" fontId="51" numFmtId="0" xfId="0" applyAlignment="1" applyFont="1">
      <alignment horizontal="right" vertical="bottom"/>
    </xf>
    <xf borderId="0" fillId="5" fontId="51" numFmtId="0" xfId="0" applyAlignment="1" applyFont="1">
      <alignment vertical="bottom"/>
    </xf>
    <xf borderId="0" fillId="4" fontId="52" numFmtId="0" xfId="0" applyAlignment="1" applyFont="1">
      <alignment horizontal="right" vertical="bottom"/>
    </xf>
    <xf borderId="0" fillId="4" fontId="52" numFmtId="0" xfId="0" applyAlignment="1" applyFont="1">
      <alignment horizontal="left" shrinkToFit="0" vertical="bottom" wrapText="1"/>
    </xf>
    <xf borderId="0" fillId="4" fontId="30" numFmtId="0" xfId="0" applyAlignment="1" applyFont="1">
      <alignment vertical="bottom"/>
    </xf>
    <xf borderId="0" fillId="4" fontId="52" numFmtId="0" xfId="0" applyAlignment="1" applyFont="1">
      <alignment horizontal="right" readingOrder="0" vertical="bottom"/>
    </xf>
    <xf borderId="0" fillId="4" fontId="52" numFmtId="0" xfId="0" applyAlignment="1" applyFont="1">
      <alignment horizontal="left" readingOrder="0" shrinkToFit="0" vertical="bottom" wrapText="1"/>
    </xf>
    <xf borderId="0" fillId="0" fontId="53" numFmtId="0" xfId="0" applyAlignment="1" applyFont="1">
      <alignment horizontal="left" readingOrder="0" shrinkToFit="0" wrapText="1"/>
    </xf>
    <xf borderId="0" fillId="0" fontId="1" numFmtId="0" xfId="0" applyAlignment="1" applyFont="1">
      <alignment horizontal="center" readingOrder="0" shrinkToFit="0" wrapText="1"/>
    </xf>
    <xf borderId="0" fillId="0" fontId="1" numFmtId="0" xfId="0" applyAlignment="1" applyFont="1">
      <alignment readingOrder="0"/>
    </xf>
    <xf borderId="0" fillId="0" fontId="53" numFmtId="0" xfId="0" applyAlignment="1" applyFont="1">
      <alignment readingOrder="0" shrinkToFit="0" wrapText="1"/>
    </xf>
    <xf borderId="0" fillId="0" fontId="53" numFmtId="0" xfId="0" applyAlignment="1" applyFont="1">
      <alignment horizontal="center" readingOrder="0" shrinkToFit="0" wrapText="1"/>
    </xf>
    <xf borderId="0" fillId="0" fontId="1" numFmtId="0" xfId="0" applyAlignment="1" applyFont="1">
      <alignment horizontal="center"/>
    </xf>
    <xf borderId="0" fillId="0" fontId="54" numFmtId="0" xfId="0" applyFont="1"/>
    <xf borderId="0" fillId="0" fontId="29" numFmtId="0" xfId="0" applyAlignment="1" applyFont="1">
      <alignment horizontal="center" readingOrder="0" vertical="bottom"/>
    </xf>
    <xf borderId="0" fillId="0" fontId="29" numFmtId="0" xfId="0" applyAlignment="1" applyFont="1">
      <alignment readingOrder="0" vertical="bottom"/>
    </xf>
    <xf borderId="0" fillId="0" fontId="31" numFmtId="0" xfId="0" applyAlignment="1" applyFont="1">
      <alignment horizontal="center" shrinkToFit="0" vertical="bottom" wrapText="1"/>
    </xf>
    <xf borderId="0" fillId="0" fontId="52" numFmtId="0" xfId="0" applyAlignment="1" applyFont="1">
      <alignment horizontal="center" readingOrder="0" vertical="bottom"/>
    </xf>
    <xf borderId="0" fillId="0" fontId="31" numFmtId="0" xfId="0" applyAlignment="1" applyFont="1">
      <alignment horizontal="left" readingOrder="0" vertical="bottom"/>
    </xf>
    <xf borderId="0" fillId="0" fontId="31" numFmtId="0" xfId="0" applyAlignment="1" applyFont="1">
      <alignment horizontal="left" vertical="bottom"/>
    </xf>
    <xf borderId="0" fillId="0" fontId="31" numFmtId="10" xfId="0" applyAlignment="1" applyFont="1" applyNumberFormat="1">
      <alignment horizontal="center" vertical="bottom"/>
    </xf>
    <xf borderId="0" fillId="0" fontId="31" numFmtId="4" xfId="0" applyAlignment="1" applyFont="1" applyNumberFormat="1">
      <alignment horizontal="center" vertical="bottom"/>
    </xf>
    <xf borderId="0" fillId="0" fontId="31" numFmtId="3" xfId="0" applyAlignment="1" applyFont="1" applyNumberFormat="1">
      <alignment horizontal="center" vertical="bottom"/>
    </xf>
    <xf borderId="0" fillId="0" fontId="6" numFmtId="0" xfId="0" applyAlignment="1" applyFont="1">
      <alignment readingOrder="0" vertical="bottom"/>
    </xf>
    <xf borderId="0" fillId="0" fontId="6" numFmtId="0" xfId="0" applyAlignment="1" applyFont="1">
      <alignment vertical="bottom"/>
    </xf>
    <xf borderId="0" fillId="0" fontId="6" numFmtId="0" xfId="0" applyAlignment="1" applyFont="1">
      <alignment readingOrder="0" shrinkToFit="0" vertical="bottom" wrapText="1"/>
    </xf>
    <xf borderId="0" fillId="0" fontId="55" numFmtId="0" xfId="0" applyAlignment="1" applyFont="1">
      <alignment readingOrder="0" shrinkToFit="0" vertical="bottom" wrapText="1"/>
    </xf>
    <xf borderId="0" fillId="0" fontId="17" numFmtId="0" xfId="0" applyAlignment="1" applyFont="1">
      <alignment readingOrder="0" shrinkToFit="0" wrapText="1"/>
    </xf>
    <xf borderId="0" fillId="0" fontId="16" numFmtId="0" xfId="0" applyAlignment="1" applyFont="1">
      <alignment readingOrder="0" shrinkToFit="0" vertical="bottom" wrapText="1"/>
    </xf>
    <xf borderId="0" fillId="0" fontId="6" numFmtId="0" xfId="0" applyAlignment="1" applyFont="1">
      <alignment readingOrder="0" shrinkToFit="0" vertical="bottom" wrapText="0"/>
    </xf>
    <xf borderId="0" fillId="3" fontId="56" numFmtId="0" xfId="0" applyAlignment="1" applyFont="1">
      <alignment horizontal="left" readingOrder="0" shrinkToFit="0" wrapText="1"/>
    </xf>
    <xf borderId="2" fillId="0" fontId="57" numFmtId="10" xfId="0" applyAlignment="1" applyBorder="1" applyFont="1" applyNumberFormat="1">
      <alignment readingOrder="0" shrinkToFit="0" vertical="bottom" wrapText="1"/>
    </xf>
    <xf borderId="0" fillId="0" fontId="57" numFmtId="0" xfId="0" applyAlignment="1" applyFont="1">
      <alignment readingOrder="0" shrinkToFit="0" vertical="bottom" wrapText="1"/>
    </xf>
    <xf borderId="2" fillId="6" fontId="6" numFmtId="10" xfId="0" applyAlignment="1" applyBorder="1" applyFill="1" applyFont="1" applyNumberFormat="1">
      <alignment readingOrder="0" shrinkToFit="0" vertical="bottom" wrapText="1"/>
    </xf>
    <xf borderId="1" fillId="0" fontId="6" numFmtId="0" xfId="0" applyAlignment="1" applyBorder="1" applyFont="1">
      <alignment readingOrder="0" shrinkToFit="0" vertical="bottom" wrapText="1"/>
    </xf>
    <xf borderId="0" fillId="0" fontId="6" numFmtId="0" xfId="0" applyAlignment="1" applyFont="1">
      <alignment shrinkToFit="0" vertical="bottom" wrapText="0"/>
    </xf>
    <xf borderId="0" fillId="0" fontId="6" numFmtId="0" xfId="0" applyAlignment="1" applyFont="1">
      <alignment horizontal="right" readingOrder="0" vertical="bottom"/>
    </xf>
    <xf borderId="0" fillId="0" fontId="6" numFmtId="0" xfId="0" applyAlignment="1" applyFont="1">
      <alignment horizontal="right" vertical="bottom"/>
    </xf>
    <xf borderId="0" fillId="7" fontId="6" numFmtId="10" xfId="0" applyAlignment="1" applyFill="1" applyFont="1" applyNumberFormat="1">
      <alignment horizontal="right" vertical="bottom"/>
    </xf>
    <xf borderId="0" fillId="7" fontId="6" numFmtId="4" xfId="0" applyAlignment="1" applyFont="1" applyNumberFormat="1">
      <alignment horizontal="right" vertical="bottom"/>
    </xf>
    <xf borderId="0" fillId="8" fontId="1" numFmtId="10" xfId="0" applyFill="1" applyFont="1" applyNumberFormat="1"/>
    <xf borderId="0" fillId="0" fontId="6" numFmtId="10" xfId="0" applyAlignment="1" applyFont="1" applyNumberFormat="1">
      <alignment horizontal="right" vertical="bottom"/>
    </xf>
    <xf borderId="0" fillId="0" fontId="6" numFmtId="3" xfId="0" applyAlignment="1" applyFont="1" applyNumberFormat="1">
      <alignment horizontal="right" vertical="bottom"/>
    </xf>
    <xf borderId="0" fillId="0" fontId="1" numFmtId="10" xfId="0" applyFont="1" applyNumberFormat="1"/>
    <xf borderId="0" fillId="6" fontId="1" numFmtId="10" xfId="0" applyFont="1" applyNumberFormat="1"/>
    <xf borderId="0" fillId="0" fontId="6" numFmtId="4" xfId="0" applyAlignment="1" applyFont="1" applyNumberFormat="1">
      <alignment horizontal="right" vertical="bottom"/>
    </xf>
    <xf borderId="0" fillId="0" fontId="7" numFmtId="0" xfId="0" applyAlignment="1" applyFont="1">
      <alignment readingOrder="0" shrinkToFit="0" vertical="bottom" wrapText="1"/>
    </xf>
    <xf borderId="1" fillId="0" fontId="6" numFmtId="0" xfId="0" applyAlignment="1" applyBorder="1" applyFont="1">
      <alignment shrinkToFit="0" vertical="bottom" wrapText="1"/>
    </xf>
    <xf borderId="0" fillId="0" fontId="1" numFmtId="2" xfId="0" applyFont="1" applyNumberFormat="1"/>
    <xf borderId="0" fillId="0" fontId="58" numFmtId="0" xfId="0" applyAlignment="1" applyFont="1">
      <alignment readingOrder="0" shrinkToFit="0" wrapText="1"/>
    </xf>
    <xf borderId="0" fillId="0" fontId="1" numFmtId="3" xfId="0" applyFont="1" applyNumberFormat="1"/>
    <xf borderId="1" fillId="0" fontId="59" numFmtId="0" xfId="0" applyAlignment="1" applyBorder="1" applyFont="1">
      <alignment shrinkToFit="0" vertical="bottom" wrapText="0"/>
    </xf>
  </cellXfs>
  <cellStyles count="1">
    <cellStyle xfId="0" name="Normal" builtinId="0"/>
  </cellStyles>
  <dxfs count="6">
    <dxf>
      <font/>
      <fill>
        <patternFill patternType="none"/>
      </fill>
      <border/>
    </dxf>
    <dxf>
      <font>
        <color rgb="FF000000"/>
      </font>
      <fill>
        <patternFill patternType="solid">
          <fgColor rgb="FFFFFFFF"/>
          <bgColor rgb="FFFFFFFF"/>
        </patternFill>
      </fill>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s>
  <tableStyles count="1">
    <tableStyle count="12" table="0" name="Google Sheets Pivot Table Style">
      <tableStyleElement dxfId="1" type="wholeTable"/>
      <tableStyleElement dxfId="2" type="firstRowSubheading"/>
      <tableStyleElement dxfId="2" type="secondRowSubheading"/>
      <tableStyleElement dxfId="2" type="thirdRowSubheading"/>
      <tableStyleElement dxfId="3" type="firstColumnSubheading"/>
      <tableStyleElement dxfId="3" type="secondColumnSubheading"/>
      <tableStyleElement dxfId="3" type="thirdColumnSubheading"/>
      <tableStyleElement dxfId="3" type="headerRow"/>
      <tableStyleElement dxfId="4" type="firstSubtotalRow"/>
      <tableStyleElement dxfId="4" type="secondSubtotalRow"/>
      <tableStyleElement dxfId="4" type="thirdSubtotalRow"/>
      <tableStyleElement dxfId="5" type="totalRow"/>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pivotCacheDefinition" Target="pivotCache/pivotCacheDefinition1.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axId val="1109076387"/>
        <c:axId val="1036828016"/>
      </c:lineChart>
      <c:catAx>
        <c:axId val="110907638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036828016"/>
      </c:catAx>
      <c:valAx>
        <c:axId val="1036828016"/>
        <c:scaling>
          <c:orientation val="minMax"/>
        </c:scaling>
        <c:delete val="0"/>
        <c:axPos val="l"/>
        <c:tickLblPos val="nextTo"/>
        <c:spPr>
          <a:ln>
            <a:noFill/>
          </a:ln>
        </c:spPr>
        <c:crossAx val="1109076387"/>
      </c:valAx>
    </c:plotArea>
    <c:legend>
      <c:legendPos val="r"/>
      <c:overlay val="0"/>
      <c:txPr>
        <a:bodyPr/>
        <a:lstStyle/>
        <a:p>
          <a:pPr lvl="0">
            <a:defRPr b="0">
              <a:solidFill>
                <a:srgbClr val="000000"/>
              </a:solidFill>
              <a:latin typeface="Roboto"/>
            </a:defRPr>
          </a:pPr>
        </a:p>
      </c:txPr>
    </c:legend>
    <c:plotVisOnly val="1"/>
  </c:char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1390650</xdr:colOff>
      <xdr:row>7</xdr:row>
      <xdr:rowOff>123825</xdr:rowOff>
    </xdr:from>
    <xdr:ext cx="9029700" cy="55816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C2:I2006" sheet="imported-democracy-index-countr"/>
  </cacheSource>
  <cacheFields>
    <cacheField name="geo" numFmtId="0">
      <sharedItems containsString="0" containsBlank="1">
        <m/>
      </sharedItems>
    </cacheField>
    <cacheField name="name" numFmtId="0">
      <sharedItems containsString="0" containsBlank="1">
        <m/>
      </sharedItems>
    </cacheField>
    <cacheField name="time" numFmtId="0">
      <sharedItems containsString="0" containsBlank="1">
        <m/>
      </sharedItems>
    </cacheField>
    <cacheField name="Democracy index (EIU)" numFmtId="0">
      <sharedItems containsString="0" containsBlank="1">
        <m/>
      </sharedItems>
    </cacheField>
    <cacheField name="Population joined from next sheet" numFmtId="0">
      <sharedItems>
        <e v="#N/A"/>
      </sharedItems>
    </cacheField>
    <cacheField name="Pop multiplied by Democracy index" numFmtId="0">
      <sharedItems>
        <e v="#N/A"/>
      </sharedItems>
    </cacheField>
    <cacheField name="is democracy (Index above 60%)" numFmtId="0">
      <sharedItems>
        <s v="Non-democratic"/>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um-countries-with-democracy-in" cacheId="0" dataCaption="" rowGrandTotals="0" colGrandTotals="0" compact="0" compactData="0">
  <location ref="A1:B3" firstHeaderRow="0" firstDataRow="1" firstDataCol="1"/>
  <pivotFields>
    <pivotField name="geo" compact="0" outline="0" multipleItemSelectionAllowed="1" showAll="0">
      <items>
        <item x="0"/>
        <item t="default"/>
      </items>
    </pivotField>
    <pivotField name="name" compact="0" outline="0" multipleItemSelectionAllowed="1" showAll="0">
      <items>
        <item x="0"/>
        <item t="default"/>
      </items>
    </pivotField>
    <pivotField name="time" axis="axisRow" compact="0" outline="0" multipleItemSelectionAllowed="1" showAll="0" sortType="ascending">
      <items>
        <item x="0"/>
        <item t="default"/>
      </items>
    </pivotField>
    <pivotField name="Democracy index (EIU)" compact="0" outline="0" multipleItemSelectionAllowed="1" showAll="0">
      <items>
        <item x="0"/>
        <item t="default"/>
      </items>
    </pivotField>
    <pivotField name="Population joined from next sheet" dataField="1" compact="0" outline="0" multipleItemSelectionAllowed="1" showAll="0">
      <items>
        <item x="0"/>
        <item t="default"/>
      </items>
    </pivotField>
    <pivotField name="Pop multiplied by Democracy index" compact="0" outline="0" multipleItemSelectionAllowed="1" showAll="0">
      <items>
        <item x="0"/>
        <item t="default"/>
      </items>
    </pivotField>
    <pivotField name="is democracy (Index above 60%)" axis="axisCol" compact="0" outline="0" multipleItemSelectionAllowed="1" showAll="0" sortType="ascending">
      <items>
        <item x="0"/>
        <item t="default"/>
      </items>
    </pivotField>
  </pivotFields>
  <rowFields>
    <field x="2"/>
  </rowFields>
  <colFields>
    <field x="6"/>
  </colFields>
  <dataFields>
    <dataField name="SUM of Population joined from next sheet" fld="4" baseField="0"/>
  </dataFields>
  <pivotTableStyleInfo name="Google Sheets Pivot Table Style" showRowHeaders="1" showColHeaders="1" showLastColumn="1"/>
</pivotTableDefinition>
</file>

<file path=xl/worksheets/_rels/sheet1.xml.rels><?xml version="1.0" encoding="UTF-8" standalone="yes"?><Relationships xmlns="http://schemas.openxmlformats.org/package/2006/relationships"><Relationship Id="rId1" Type="http://schemas.openxmlformats.org/officeDocument/2006/relationships/hyperlink" Target="https://ourworldindata.org/democracy" TargetMode="External"/><Relationship Id="rId2" Type="http://schemas.openxmlformats.org/officeDocument/2006/relationships/hyperlink" Target="http://gapm.io/datapop" TargetMode="External"/><Relationship Id="rId3" Type="http://schemas.openxmlformats.org/officeDocument/2006/relationships/hyperlink" Target="http://gapm.io/ddemocrix" TargetMode="External"/><Relationship Id="rId4" Type="http://schemas.openxmlformats.org/officeDocument/2006/relationships/hyperlink" Target="https://docs.google.com/spreadsheets/d/1Q6ns1Otbu6uzJO2kJdaraXWPG5FsR-49IEJQfk8B5a8" TargetMode="External"/><Relationship Id="rId5" Type="http://schemas.openxmlformats.org/officeDocument/2006/relationships/hyperlink" Target="http://gapm.io/dataworks"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1.22" defaultRowHeight="15.0"/>
  <cols>
    <col customWidth="1" min="1" max="1" width="3.0"/>
    <col customWidth="1" min="2" max="2" width="19.22"/>
    <col customWidth="1" min="3" max="3" width="63.56"/>
    <col customWidth="1" min="4" max="4" width="23.44"/>
    <col customWidth="1" min="5" max="5" width="8.89"/>
    <col customWidth="1" min="6" max="6" width="18.33"/>
    <col customWidth="1" min="7" max="11" width="8.89"/>
  </cols>
  <sheetData>
    <row r="1" ht="24.0" customHeight="1">
      <c r="A1" s="1"/>
      <c r="B1" s="2" t="str">
        <f> dataset_name &amp;" Data-"&amp;C3</f>
        <v>Population in Democracies Data-v2</v>
      </c>
      <c r="C1" s="3"/>
      <c r="D1" s="4"/>
      <c r="E1" s="5"/>
      <c r="F1" s="6"/>
      <c r="G1" s="7"/>
      <c r="H1" s="7"/>
      <c r="I1" s="7"/>
      <c r="J1" s="1"/>
      <c r="K1" s="1"/>
    </row>
    <row r="2" ht="43.5" customHeight="1">
      <c r="A2" s="1"/>
      <c r="B2" s="8" t="s">
        <v>0</v>
      </c>
      <c r="C2" s="9" t="s">
        <v>1</v>
      </c>
      <c r="D2" s="10"/>
      <c r="E2" s="11"/>
      <c r="F2" s="6"/>
      <c r="G2" s="12"/>
      <c r="H2" s="7"/>
      <c r="I2" s="7"/>
      <c r="J2" s="1"/>
      <c r="K2" s="1"/>
    </row>
    <row r="3" ht="14.25" customHeight="1">
      <c r="A3" s="1"/>
      <c r="B3" s="13" t="s">
        <v>2</v>
      </c>
      <c r="C3" s="14" t="s">
        <v>3</v>
      </c>
      <c r="D3" s="15"/>
      <c r="E3" s="15"/>
      <c r="F3" s="15"/>
      <c r="G3" s="12"/>
      <c r="H3" s="7"/>
      <c r="I3" s="7"/>
      <c r="J3" s="1"/>
      <c r="K3" s="1"/>
    </row>
    <row r="4" ht="18.0" customHeight="1">
      <c r="A4" s="15"/>
      <c r="B4" s="8" t="s">
        <v>4</v>
      </c>
      <c r="C4" s="16">
        <v>43391.0</v>
      </c>
      <c r="D4" s="15"/>
      <c r="E4" s="15"/>
      <c r="F4" s="15"/>
      <c r="G4" s="17"/>
      <c r="H4" s="18"/>
      <c r="I4" s="18"/>
      <c r="J4" s="15"/>
      <c r="K4" s="15"/>
    </row>
    <row r="5" ht="18.0" customHeight="1">
      <c r="A5" s="15"/>
      <c r="B5" s="8" t="s">
        <v>5</v>
      </c>
      <c r="C5" s="19" t="str">
        <f>HYPERLINK("https://docs.google.com/spreadsheets/d/"&amp;C38 &amp;"/export?format=xlsx","Excel file »")</f>
        <v>Excel file »</v>
      </c>
      <c r="D5" s="15"/>
      <c r="E5" s="15"/>
      <c r="F5" s="15"/>
      <c r="G5" s="17"/>
      <c r="H5" s="18"/>
      <c r="I5" s="18"/>
      <c r="J5" s="15"/>
      <c r="K5" s="15"/>
    </row>
    <row r="6" ht="15.75" customHeight="1">
      <c r="A6" s="15"/>
      <c r="B6" s="8" t="s">
        <v>6</v>
      </c>
      <c r="C6" s="20" t="str">
        <f>HYPERLINK( "http://gapm.io/d"&amp; dataset_id,lower("http://gapm.io/d"&amp; dataset_id))</f>
        <v>http://gapm.io/ddemocrp</v>
      </c>
      <c r="D6" s="15"/>
      <c r="E6" s="15"/>
      <c r="F6" s="15"/>
      <c r="G6" s="21"/>
      <c r="H6" s="22"/>
      <c r="I6" s="22"/>
      <c r="J6" s="23"/>
      <c r="K6" s="23"/>
    </row>
    <row r="7" ht="15.75" customHeight="1">
      <c r="A7" s="1"/>
      <c r="B7" s="24" t="s">
        <v>7</v>
      </c>
      <c r="C7" s="25" t="s">
        <v>8</v>
      </c>
      <c r="D7" s="1"/>
      <c r="E7" s="1"/>
      <c r="F7" s="26"/>
      <c r="G7" s="12"/>
      <c r="H7" s="7"/>
      <c r="I7" s="7"/>
      <c r="J7" s="1"/>
      <c r="K7" s="1"/>
    </row>
    <row r="8" ht="13.5" customHeight="1">
      <c r="A8" s="1"/>
      <c r="B8" s="27" t="s">
        <v>9</v>
      </c>
      <c r="C8" s="28" t="str">
        <f>HYPERLINK("https://getsatisfaction.com/gapminder/","Please give feedback here")</f>
        <v>Please give feedback here</v>
      </c>
      <c r="D8" s="26"/>
      <c r="E8" s="1"/>
      <c r="F8" s="26"/>
      <c r="G8" s="12"/>
      <c r="H8" s="7"/>
      <c r="I8" s="7"/>
      <c r="J8" s="1"/>
      <c r="K8" s="1"/>
    </row>
    <row r="9" ht="18.75" customHeight="1">
      <c r="A9" s="29"/>
      <c r="B9" s="30"/>
      <c r="C9" s="31"/>
      <c r="D9" s="32"/>
      <c r="E9" s="33"/>
      <c r="F9" s="32"/>
      <c r="G9" s="34"/>
      <c r="H9" s="35"/>
      <c r="I9" s="35"/>
      <c r="J9" s="29"/>
      <c r="K9" s="29"/>
    </row>
    <row r="10" ht="15.75" customHeight="1">
      <c r="A10" s="36" t="s">
        <v>10</v>
      </c>
      <c r="B10" s="37" t="s">
        <v>11</v>
      </c>
      <c r="C10" s="38" t="s">
        <v>12</v>
      </c>
      <c r="D10" s="39" t="s">
        <v>13</v>
      </c>
      <c r="E10" s="39" t="s">
        <v>14</v>
      </c>
      <c r="F10" s="39" t="s">
        <v>15</v>
      </c>
      <c r="G10" s="40" t="s">
        <v>16</v>
      </c>
      <c r="H10" s="39" t="s">
        <v>17</v>
      </c>
      <c r="I10" s="41"/>
      <c r="J10" s="42"/>
      <c r="K10" s="42"/>
    </row>
    <row r="11" ht="15.75" customHeight="1">
      <c r="A11" s="43">
        <v>1.0</v>
      </c>
      <c r="B11" s="44" t="s">
        <v>18</v>
      </c>
      <c r="C11" s="44" t="s">
        <v>19</v>
      </c>
      <c r="D11" s="44" t="s">
        <v>20</v>
      </c>
      <c r="E11" s="44" t="s">
        <v>21</v>
      </c>
      <c r="F11" s="44" t="s">
        <v>22</v>
      </c>
      <c r="G11" s="45" t="s">
        <v>23</v>
      </c>
      <c r="H11" s="45">
        <v>1.0</v>
      </c>
      <c r="I11" s="41"/>
      <c r="J11" s="42"/>
      <c r="K11" s="42"/>
    </row>
    <row r="12" ht="15.75" customHeight="1">
      <c r="A12" s="43">
        <v>2.0</v>
      </c>
      <c r="B12" s="44" t="s">
        <v>24</v>
      </c>
      <c r="C12" s="44" t="s">
        <v>25</v>
      </c>
      <c r="D12" s="44" t="s">
        <v>26</v>
      </c>
      <c r="E12" s="44" t="s">
        <v>27</v>
      </c>
      <c r="F12" s="44" t="s">
        <v>28</v>
      </c>
      <c r="G12" s="45" t="s">
        <v>23</v>
      </c>
      <c r="H12" s="45">
        <v>1.0</v>
      </c>
      <c r="I12" s="41"/>
      <c r="J12" s="42"/>
      <c r="K12" s="42"/>
    </row>
    <row r="13" ht="15.75" customHeight="1">
      <c r="A13" s="42"/>
      <c r="B13" s="46"/>
      <c r="C13" s="47"/>
      <c r="D13" s="48"/>
      <c r="E13" s="49"/>
      <c r="F13" s="45"/>
      <c r="G13" s="50"/>
      <c r="H13" s="41"/>
      <c r="I13" s="41"/>
      <c r="J13" s="42"/>
      <c r="K13" s="42"/>
    </row>
    <row r="14" ht="15.75" customHeight="1">
      <c r="A14" s="42"/>
      <c r="B14" s="46"/>
      <c r="C14" s="47"/>
      <c r="D14" s="48"/>
      <c r="E14" s="49"/>
      <c r="F14" s="45"/>
      <c r="G14" s="50"/>
      <c r="H14" s="41"/>
      <c r="I14" s="41"/>
      <c r="J14" s="42"/>
      <c r="K14" s="42"/>
    </row>
    <row r="15" ht="21.0" customHeight="1">
      <c r="A15" s="29"/>
      <c r="B15" s="51" t="s">
        <v>29</v>
      </c>
      <c r="C15" s="52"/>
      <c r="D15" s="15"/>
      <c r="E15" s="15"/>
      <c r="F15" s="15"/>
      <c r="G15" s="17"/>
      <c r="H15" s="35"/>
      <c r="I15" s="35"/>
      <c r="J15" s="29"/>
      <c r="K15" s="29"/>
    </row>
    <row r="16" ht="21.0" customHeight="1">
      <c r="A16" s="29"/>
      <c r="B16" s="53" t="s">
        <v>30</v>
      </c>
      <c r="C16" s="54" t="s">
        <v>31</v>
      </c>
      <c r="D16" s="32"/>
      <c r="E16" s="29"/>
      <c r="F16" s="32"/>
      <c r="G16" s="34"/>
      <c r="H16" s="35"/>
      <c r="I16" s="35"/>
      <c r="J16" s="29"/>
      <c r="K16" s="29"/>
    </row>
    <row r="17" ht="18.75" customHeight="1">
      <c r="A17" s="29"/>
      <c r="B17" s="53" t="s">
        <v>32</v>
      </c>
      <c r="C17" s="55" t="str">
        <f>C6</f>
        <v>http://gapm.io/ddemocrp</v>
      </c>
      <c r="D17" s="32"/>
      <c r="E17" s="31"/>
      <c r="F17" s="32"/>
      <c r="G17" s="34"/>
      <c r="H17" s="35"/>
      <c r="I17" s="35"/>
      <c r="J17" s="29"/>
      <c r="K17" s="29"/>
    </row>
    <row r="18" ht="18.75" customHeight="1">
      <c r="A18" s="29"/>
      <c r="B18" s="56" t="s">
        <v>33</v>
      </c>
      <c r="C18" s="45" t="s">
        <v>34</v>
      </c>
      <c r="D18" s="32"/>
      <c r="E18" s="31"/>
      <c r="F18" s="32"/>
      <c r="G18" s="34"/>
      <c r="H18" s="35"/>
      <c r="I18" s="35"/>
      <c r="J18" s="29"/>
      <c r="K18" s="29"/>
    </row>
    <row r="19" ht="18.75" customHeight="1">
      <c r="A19" s="29"/>
      <c r="B19" s="30"/>
      <c r="C19" s="50"/>
      <c r="D19" s="32"/>
      <c r="E19" s="31"/>
      <c r="F19" s="32"/>
      <c r="G19" s="34"/>
      <c r="H19" s="35"/>
      <c r="I19" s="35"/>
      <c r="J19" s="29"/>
      <c r="K19" s="29"/>
    </row>
    <row r="20" ht="18.75" customHeight="1">
      <c r="A20" s="43" t="s">
        <v>10</v>
      </c>
      <c r="B20" s="57" t="s">
        <v>35</v>
      </c>
      <c r="C20" s="58" t="s">
        <v>36</v>
      </c>
      <c r="D20" s="59" t="s">
        <v>37</v>
      </c>
      <c r="E20" s="58"/>
      <c r="F20" s="58"/>
      <c r="G20" s="58"/>
      <c r="H20" s="35"/>
      <c r="I20" s="35"/>
      <c r="J20" s="29"/>
      <c r="K20" s="29"/>
    </row>
    <row r="21" ht="18.75" customHeight="1">
      <c r="A21" s="43">
        <v>1.0</v>
      </c>
      <c r="B21" s="60" t="s">
        <v>38</v>
      </c>
      <c r="C21" s="50" t="s">
        <v>39</v>
      </c>
      <c r="D21" s="61" t="s">
        <v>40</v>
      </c>
      <c r="E21" s="31"/>
      <c r="F21" s="32"/>
      <c r="G21" s="34"/>
      <c r="H21" s="35"/>
      <c r="I21" s="35"/>
      <c r="J21" s="29"/>
      <c r="K21" s="29"/>
    </row>
    <row r="22" ht="18.75" customHeight="1">
      <c r="A22" s="43">
        <v>2.0</v>
      </c>
      <c r="B22" s="62" t="s">
        <v>41</v>
      </c>
      <c r="C22" s="50" t="s">
        <v>42</v>
      </c>
      <c r="D22" s="61" t="s">
        <v>43</v>
      </c>
      <c r="E22" s="31"/>
      <c r="F22" s="32"/>
      <c r="G22" s="34"/>
      <c r="H22" s="35"/>
      <c r="I22" s="35"/>
      <c r="J22" s="29"/>
      <c r="K22" s="29"/>
    </row>
    <row r="23" ht="18.75" customHeight="1">
      <c r="A23" s="43">
        <v>3.0</v>
      </c>
      <c r="B23" s="62" t="s">
        <v>44</v>
      </c>
      <c r="C23" s="63" t="s">
        <v>45</v>
      </c>
      <c r="D23" s="64" t="s">
        <v>46</v>
      </c>
      <c r="E23" s="31"/>
      <c r="F23" s="32"/>
      <c r="G23" s="34"/>
      <c r="H23" s="35"/>
      <c r="I23" s="35"/>
      <c r="J23" s="29"/>
      <c r="K23" s="29"/>
    </row>
    <row r="24" ht="15.75" customHeight="1">
      <c r="A24" s="42"/>
      <c r="B24" s="46"/>
      <c r="C24" s="47"/>
      <c r="D24" s="48"/>
      <c r="E24" s="49"/>
      <c r="F24" s="45"/>
      <c r="G24" s="50"/>
      <c r="H24" s="41"/>
      <c r="I24" s="41"/>
      <c r="J24" s="42"/>
      <c r="K24" s="42"/>
    </row>
    <row r="25" ht="13.5" customHeight="1">
      <c r="A25" s="29"/>
      <c r="B25" s="65" t="s">
        <v>47</v>
      </c>
      <c r="C25" s="66"/>
      <c r="D25" s="15"/>
      <c r="E25" s="15"/>
      <c r="F25" s="15"/>
      <c r="G25" s="17"/>
      <c r="H25" s="29"/>
      <c r="I25" s="35"/>
      <c r="J25" s="29"/>
      <c r="K25" s="29"/>
    </row>
    <row r="26" ht="13.5" customHeight="1">
      <c r="A26" s="29"/>
      <c r="B26" s="67" t="s">
        <v>48</v>
      </c>
      <c r="C26" s="68" t="str">
        <f>"We believe in free knowledge and therefor we share free data. Most sheets in this file are provided under the open license, called Creative Commmon Attribution License CC BY 4.0., except those mentioned in the exceptions section below. This means you can "&amp;"freely use, copy, and spread the data in those sheets, as long as you mention the following: 'Free data from Gapminder.org'.
You should also mention the underlaying data sources listed above and include this link: "&amp; source_url</f>
        <v>We believe in free knowledge and therefor we share free data. Most sheets in this file are provided under the open license, called Creative Commmon Attribution License CC BY 4.0., except those mentioned in the exceptions section below. This means you can freely use, copy, and spread the data in those sheets, as long as you mention the following: 'Free data from Gapminder.org'.
You should also mention the underlaying data sources listed above and include this link: http://gapm.io/ddemocrp</v>
      </c>
      <c r="D26" s="45"/>
      <c r="E26" s="42"/>
      <c r="F26" s="45"/>
      <c r="G26" s="50"/>
      <c r="H26" s="35"/>
      <c r="I26" s="35"/>
      <c r="J26" s="29"/>
      <c r="K26" s="29"/>
    </row>
    <row r="27" ht="13.5" customHeight="1">
      <c r="A27" s="29"/>
      <c r="B27" s="67" t="s">
        <v>49</v>
      </c>
      <c r="C27" s="69" t="str">
        <f>HYPERLINK("https://docs.google.com/document/d/1-RmthhS2EPMK_HIpnPctcXpB0n7ADSWnXa5Hb3PxNq4/edit?usp=sharing","Creative Common License CC BY 4.0")</f>
        <v>Creative Common License CC BY 4.0</v>
      </c>
      <c r="D27" s="45"/>
      <c r="E27" s="42"/>
      <c r="F27" s="45"/>
      <c r="G27" s="50"/>
      <c r="H27" s="35"/>
      <c r="I27" s="35"/>
      <c r="J27" s="29"/>
      <c r="K27" s="29"/>
    </row>
    <row r="28" ht="13.5" customHeight="1">
      <c r="A28" s="29"/>
      <c r="B28" s="67" t="s">
        <v>50</v>
      </c>
      <c r="C28" s="70" t="s">
        <v>51</v>
      </c>
      <c r="D28" s="45"/>
      <c r="E28" s="42"/>
      <c r="F28" s="45"/>
      <c r="G28" s="50"/>
      <c r="H28" s="35"/>
      <c r="I28" s="35"/>
      <c r="J28" s="29"/>
      <c r="K28" s="29"/>
    </row>
    <row r="29" ht="13.5" customHeight="1">
      <c r="A29" s="29"/>
      <c r="D29" s="32"/>
      <c r="E29" s="29"/>
      <c r="F29" s="32"/>
      <c r="G29" s="34"/>
      <c r="H29" s="35"/>
      <c r="I29" s="35"/>
      <c r="J29" s="29"/>
      <c r="K29" s="29"/>
    </row>
    <row r="30" ht="15.75" customHeight="1">
      <c r="A30" s="71"/>
      <c r="B30" s="72" t="s">
        <v>52</v>
      </c>
      <c r="C30" s="73" t="s">
        <v>37</v>
      </c>
      <c r="D30" s="73" t="s">
        <v>53</v>
      </c>
      <c r="E30" s="73" t="s">
        <v>54</v>
      </c>
      <c r="F30" s="73" t="s">
        <v>55</v>
      </c>
      <c r="G30" s="73"/>
      <c r="H30" s="74"/>
      <c r="I30" s="71"/>
      <c r="J30" s="71"/>
      <c r="K30" s="71"/>
    </row>
    <row r="31" ht="13.5" customHeight="1">
      <c r="A31" s="71"/>
      <c r="B31" s="75" t="s">
        <v>56</v>
      </c>
      <c r="C31" s="76" t="s">
        <v>57</v>
      </c>
      <c r="D31" s="77" t="s">
        <v>58</v>
      </c>
      <c r="E31" s="78">
        <v>43040.0</v>
      </c>
      <c r="F31" s="79" t="s">
        <v>59</v>
      </c>
      <c r="G31" s="71"/>
      <c r="H31" s="71"/>
      <c r="I31" s="71"/>
      <c r="J31" s="71"/>
      <c r="K31" s="71"/>
    </row>
    <row r="32" ht="13.5" customHeight="1">
      <c r="A32" s="71"/>
      <c r="B32" s="75" t="s">
        <v>3</v>
      </c>
      <c r="C32" s="80" t="s">
        <v>60</v>
      </c>
      <c r="D32" s="76" t="s">
        <v>61</v>
      </c>
      <c r="E32" s="81">
        <v>43405.0</v>
      </c>
      <c r="F32" s="82" t="str">
        <f>IFERROR(__xludf.DUMMYFUNCTION("importrange(C32,""contributors"")"),"Ola Rosling")</f>
        <v>Ola Rosling</v>
      </c>
      <c r="G32" s="74"/>
      <c r="H32" s="74"/>
      <c r="I32" s="74"/>
      <c r="J32" s="74"/>
      <c r="K32" s="74"/>
    </row>
    <row r="33" ht="13.5" customHeight="1">
      <c r="A33" s="71"/>
      <c r="B33" s="75" t="s">
        <v>62</v>
      </c>
      <c r="C33" s="83"/>
      <c r="D33" s="84"/>
      <c r="E33" s="85"/>
      <c r="F33" s="86"/>
      <c r="G33" s="71"/>
      <c r="H33" s="71"/>
      <c r="I33" s="71"/>
      <c r="J33" s="71"/>
      <c r="K33" s="71"/>
    </row>
    <row r="34" ht="13.5" customHeight="1">
      <c r="A34" s="71"/>
      <c r="B34" s="75" t="s">
        <v>63</v>
      </c>
      <c r="C34" s="87"/>
      <c r="D34" s="82"/>
      <c r="E34" s="87"/>
      <c r="F34" s="86"/>
      <c r="G34" s="88"/>
      <c r="H34" s="71"/>
      <c r="I34" s="71"/>
      <c r="J34" s="71"/>
      <c r="K34" s="71"/>
    </row>
    <row r="35" ht="21.0" customHeight="1">
      <c r="A35" s="71"/>
      <c r="B35" s="89"/>
      <c r="C35" s="88"/>
      <c r="D35" s="90"/>
      <c r="E35" s="71"/>
      <c r="F35" s="71"/>
      <c r="G35" s="88"/>
      <c r="H35" s="71"/>
      <c r="I35" s="71"/>
      <c r="J35" s="71"/>
      <c r="K35" s="71"/>
    </row>
    <row r="36" ht="13.5" customHeight="1">
      <c r="A36" s="91"/>
      <c r="B36" s="92" t="s">
        <v>64</v>
      </c>
      <c r="C36" s="93" t="s">
        <v>65</v>
      </c>
      <c r="D36" s="94"/>
      <c r="E36" s="95"/>
      <c r="F36" s="96"/>
      <c r="G36" s="97"/>
      <c r="H36" s="98"/>
      <c r="I36" s="99"/>
      <c r="J36" s="99"/>
      <c r="K36" s="99"/>
    </row>
    <row r="37" ht="13.5" customHeight="1">
      <c r="A37" s="91"/>
      <c r="B37" s="92" t="s">
        <v>66</v>
      </c>
      <c r="C37" s="93" t="s">
        <v>67</v>
      </c>
      <c r="D37" s="94"/>
      <c r="E37" s="95"/>
      <c r="F37" s="96"/>
      <c r="G37" s="97"/>
      <c r="H37" s="98"/>
      <c r="I37" s="99"/>
      <c r="J37" s="99"/>
      <c r="K37" s="99"/>
    </row>
    <row r="38" ht="12.0" customHeight="1">
      <c r="A38" s="100"/>
      <c r="B38" s="101" t="s">
        <v>68</v>
      </c>
      <c r="C38" s="96" t="s">
        <v>69</v>
      </c>
      <c r="D38" s="96"/>
      <c r="E38" s="94"/>
      <c r="F38" s="96"/>
      <c r="G38" s="97"/>
      <c r="H38" s="98"/>
      <c r="I38" s="99"/>
      <c r="J38" s="99"/>
      <c r="K38" s="99"/>
    </row>
    <row r="39" ht="12.0" customHeight="1">
      <c r="A39" s="100"/>
      <c r="B39" s="102" t="s">
        <v>70</v>
      </c>
      <c r="C39" s="96" t="s">
        <v>71</v>
      </c>
      <c r="D39" s="96"/>
      <c r="E39" s="94"/>
      <c r="F39" s="96"/>
      <c r="G39" s="97"/>
      <c r="H39" s="98"/>
      <c r="I39" s="99"/>
      <c r="J39" s="99"/>
      <c r="K39" s="99"/>
    </row>
    <row r="40" ht="12.0" customHeight="1">
      <c r="A40" s="100"/>
      <c r="B40" s="102" t="s">
        <v>72</v>
      </c>
      <c r="C40" s="96" t="s">
        <v>73</v>
      </c>
      <c r="D40" s="96"/>
      <c r="E40" s="94"/>
      <c r="F40" s="96"/>
      <c r="G40" s="97"/>
      <c r="H40" s="98"/>
      <c r="I40" s="99"/>
      <c r="J40" s="99"/>
      <c r="K40" s="99"/>
    </row>
    <row r="41" ht="12.0" customHeight="1">
      <c r="A41" s="96"/>
      <c r="B41" s="102" t="s">
        <v>74</v>
      </c>
      <c r="C41" s="103" t="s">
        <v>75</v>
      </c>
      <c r="D41" s="96"/>
      <c r="E41" s="96"/>
      <c r="F41" s="96"/>
      <c r="G41" s="97"/>
      <c r="H41" s="98"/>
      <c r="I41" s="99"/>
      <c r="J41" s="99"/>
      <c r="K41" s="99"/>
    </row>
    <row r="42" ht="13.5" customHeight="1">
      <c r="A42" s="104"/>
      <c r="B42" s="105"/>
      <c r="C42" s="106"/>
      <c r="D42" s="107"/>
      <c r="E42" s="108"/>
      <c r="F42" s="109"/>
      <c r="G42" s="106"/>
      <c r="H42" s="98"/>
      <c r="I42" s="99"/>
      <c r="J42" s="99"/>
      <c r="K42" s="99"/>
    </row>
    <row r="43" ht="13.5" customHeight="1">
      <c r="A43" s="104"/>
      <c r="B43" s="105"/>
      <c r="C43" s="110" t="s">
        <v>76</v>
      </c>
      <c r="D43" s="107"/>
      <c r="E43" s="108"/>
      <c r="F43" s="109"/>
      <c r="G43" s="106"/>
      <c r="H43" s="98"/>
      <c r="I43" s="99"/>
      <c r="J43" s="99"/>
      <c r="K43" s="99"/>
    </row>
    <row r="44" ht="13.5" customHeight="1">
      <c r="A44" s="104"/>
      <c r="B44" s="111" t="s">
        <v>77</v>
      </c>
      <c r="C44" s="112" t="s">
        <v>78</v>
      </c>
      <c r="D44" s="107"/>
      <c r="E44" s="108"/>
      <c r="F44" s="109"/>
      <c r="G44" s="106"/>
      <c r="H44" s="98"/>
      <c r="I44" s="99"/>
      <c r="J44" s="99"/>
      <c r="K44" s="99"/>
    </row>
    <row r="45" ht="12.0" customHeight="1">
      <c r="A45" s="100"/>
      <c r="B45" s="102"/>
      <c r="C45" s="96"/>
      <c r="D45" s="96"/>
      <c r="E45" s="94"/>
      <c r="F45" s="96"/>
      <c r="G45" s="97"/>
      <c r="H45" s="98"/>
      <c r="I45" s="99"/>
      <c r="J45" s="99"/>
      <c r="K45" s="99"/>
    </row>
    <row r="46" ht="12.0" customHeight="1">
      <c r="A46" s="113"/>
      <c r="B46" s="114" t="s">
        <v>79</v>
      </c>
      <c r="C46" s="115" t="s">
        <v>80</v>
      </c>
      <c r="D46" s="113"/>
      <c r="E46" s="113"/>
      <c r="F46" s="113"/>
      <c r="G46" s="113"/>
      <c r="H46" s="98"/>
      <c r="I46" s="99"/>
      <c r="J46" s="99"/>
      <c r="K46" s="99"/>
    </row>
    <row r="47">
      <c r="A47" s="58"/>
      <c r="B47" s="116" t="s">
        <v>81</v>
      </c>
      <c r="C47" s="117">
        <v>6.0</v>
      </c>
      <c r="D47" s="58"/>
      <c r="E47" s="118"/>
      <c r="F47" s="58"/>
      <c r="G47" s="58"/>
      <c r="H47" s="98"/>
      <c r="I47" s="99"/>
      <c r="J47" s="99"/>
      <c r="K47" s="99"/>
    </row>
    <row r="48">
      <c r="A48" s="58"/>
      <c r="B48" s="116" t="s">
        <v>82</v>
      </c>
      <c r="C48" s="117">
        <v>2.0</v>
      </c>
      <c r="D48" s="58"/>
      <c r="E48" s="118"/>
      <c r="F48" s="58"/>
      <c r="G48" s="58"/>
      <c r="H48" s="98"/>
      <c r="I48" s="99"/>
      <c r="J48" s="99"/>
      <c r="K48" s="99"/>
    </row>
    <row r="49">
      <c r="A49" s="58"/>
      <c r="B49" s="116" t="s">
        <v>83</v>
      </c>
      <c r="C49" s="117">
        <v>4.0</v>
      </c>
      <c r="D49" s="58"/>
      <c r="E49" s="118"/>
      <c r="F49" s="58"/>
      <c r="G49" s="58"/>
      <c r="H49" s="98"/>
      <c r="I49" s="99"/>
      <c r="J49" s="99"/>
      <c r="K49" s="99"/>
    </row>
    <row r="50">
      <c r="A50" s="58"/>
      <c r="B50" s="116" t="s">
        <v>84</v>
      </c>
      <c r="C50" s="117">
        <v>3.0</v>
      </c>
      <c r="D50" s="58"/>
      <c r="E50" s="118"/>
      <c r="F50" s="58"/>
      <c r="G50" s="58"/>
      <c r="H50" s="98"/>
      <c r="I50" s="99"/>
      <c r="J50" s="99"/>
      <c r="K50" s="99"/>
    </row>
    <row r="51">
      <c r="A51" s="58"/>
      <c r="B51" s="116" t="s">
        <v>85</v>
      </c>
      <c r="C51" s="117">
        <v>5.0</v>
      </c>
      <c r="D51" s="58"/>
      <c r="E51" s="118"/>
      <c r="F51" s="58"/>
      <c r="G51" s="58"/>
      <c r="H51" s="98"/>
      <c r="I51" s="99"/>
      <c r="J51" s="99"/>
      <c r="K51" s="99"/>
    </row>
    <row r="52">
      <c r="A52" s="58"/>
      <c r="B52" s="119" t="s">
        <v>86</v>
      </c>
      <c r="C52" s="120">
        <v>7.0</v>
      </c>
      <c r="D52" s="58"/>
      <c r="E52" s="58"/>
      <c r="F52" s="58"/>
      <c r="G52" s="58"/>
      <c r="H52" s="98"/>
      <c r="I52" s="99"/>
      <c r="J52" s="99"/>
      <c r="K52" s="99"/>
    </row>
    <row r="53">
      <c r="A53" s="58"/>
      <c r="B53" s="119" t="s">
        <v>87</v>
      </c>
      <c r="C53" s="120">
        <v>8.0</v>
      </c>
      <c r="D53" s="58"/>
      <c r="E53" s="58"/>
      <c r="F53" s="58"/>
      <c r="G53" s="58"/>
      <c r="H53" s="98"/>
      <c r="I53" s="99"/>
      <c r="J53" s="99"/>
      <c r="K53" s="99"/>
    </row>
    <row r="54">
      <c r="A54" s="99"/>
      <c r="C54" s="121"/>
      <c r="D54" s="99"/>
      <c r="E54" s="122"/>
      <c r="F54" s="99"/>
      <c r="G54" s="123"/>
      <c r="H54" s="98"/>
      <c r="I54" s="99"/>
      <c r="J54" s="99"/>
      <c r="K54" s="99"/>
    </row>
    <row r="55">
      <c r="A55" s="99"/>
      <c r="C55" s="124"/>
      <c r="D55" s="99"/>
      <c r="E55" s="122"/>
      <c r="F55" s="99"/>
      <c r="G55" s="123"/>
      <c r="H55" s="98"/>
      <c r="I55" s="99"/>
      <c r="J55" s="99"/>
      <c r="K55" s="99"/>
    </row>
    <row r="56">
      <c r="A56" s="99"/>
      <c r="C56" s="124"/>
      <c r="D56" s="99"/>
      <c r="E56" s="122"/>
      <c r="F56" s="99"/>
      <c r="G56" s="123"/>
      <c r="H56" s="98"/>
      <c r="I56" s="99"/>
      <c r="J56" s="99"/>
      <c r="K56" s="99"/>
    </row>
    <row r="57">
      <c r="A57" s="99"/>
      <c r="C57" s="125"/>
      <c r="D57" s="99"/>
      <c r="E57" s="122"/>
      <c r="F57" s="99"/>
      <c r="G57" s="123"/>
      <c r="H57" s="98"/>
      <c r="I57" s="99"/>
      <c r="J57" s="99"/>
      <c r="K57" s="99"/>
    </row>
    <row r="58">
      <c r="A58" s="99"/>
      <c r="C58" s="122"/>
      <c r="D58" s="99"/>
      <c r="E58" s="122"/>
      <c r="F58" s="99"/>
      <c r="G58" s="123"/>
      <c r="H58" s="98"/>
      <c r="I58" s="99"/>
      <c r="J58" s="99"/>
      <c r="K58" s="99"/>
    </row>
    <row r="59">
      <c r="A59" s="99"/>
      <c r="C59" s="99"/>
      <c r="D59" s="99"/>
      <c r="F59" s="99"/>
      <c r="G59" s="123"/>
      <c r="H59" s="98"/>
      <c r="I59" s="99"/>
      <c r="J59" s="99"/>
      <c r="K59" s="99"/>
    </row>
    <row r="60">
      <c r="A60" s="99"/>
      <c r="C60" s="99"/>
      <c r="D60" s="99"/>
      <c r="F60" s="99"/>
      <c r="G60" s="123"/>
      <c r="H60" s="98"/>
      <c r="I60" s="99"/>
      <c r="J60" s="99"/>
      <c r="K60" s="99"/>
    </row>
    <row r="61">
      <c r="A61" s="99"/>
      <c r="C61" s="99"/>
      <c r="D61" s="99"/>
      <c r="F61" s="99"/>
      <c r="G61" s="123"/>
      <c r="H61" s="98"/>
      <c r="I61" s="99"/>
      <c r="J61" s="99"/>
      <c r="K61" s="99"/>
    </row>
    <row r="62">
      <c r="A62" s="99"/>
      <c r="C62" s="99"/>
      <c r="D62" s="99"/>
      <c r="E62" s="122"/>
      <c r="F62" s="99"/>
      <c r="G62" s="123"/>
      <c r="H62" s="98"/>
      <c r="I62" s="99"/>
      <c r="J62" s="99"/>
      <c r="K62" s="99"/>
    </row>
    <row r="63">
      <c r="A63" s="99"/>
      <c r="C63" s="121"/>
      <c r="D63" s="99"/>
      <c r="E63" s="122"/>
      <c r="F63" s="99"/>
      <c r="G63" s="123"/>
      <c r="H63" s="98"/>
      <c r="I63" s="99"/>
      <c r="J63" s="99"/>
      <c r="K63" s="99"/>
    </row>
    <row r="64">
      <c r="A64" s="99"/>
      <c r="C64" s="124"/>
      <c r="D64" s="99"/>
      <c r="E64" s="122"/>
      <c r="F64" s="99"/>
      <c r="G64" s="123"/>
      <c r="H64" s="98"/>
      <c r="I64" s="99"/>
      <c r="J64" s="99"/>
      <c r="K64" s="99"/>
    </row>
    <row r="65">
      <c r="A65" s="99"/>
      <c r="C65" s="124"/>
      <c r="D65" s="99"/>
      <c r="E65" s="122"/>
      <c r="F65" s="99"/>
      <c r="G65" s="123"/>
      <c r="H65" s="98"/>
      <c r="I65" s="99"/>
      <c r="J65" s="99"/>
      <c r="K65" s="99"/>
    </row>
    <row r="66">
      <c r="A66" s="99"/>
      <c r="C66" s="125"/>
      <c r="D66" s="99"/>
      <c r="E66" s="122"/>
      <c r="F66" s="99"/>
      <c r="G66" s="123"/>
      <c r="H66" s="98"/>
      <c r="I66" s="99"/>
      <c r="J66" s="99"/>
      <c r="K66" s="99"/>
    </row>
    <row r="67">
      <c r="A67" s="99"/>
      <c r="C67" s="122"/>
      <c r="D67" s="99"/>
      <c r="E67" s="122"/>
      <c r="F67" s="99"/>
      <c r="G67" s="123"/>
      <c r="H67" s="98"/>
      <c r="I67" s="99"/>
      <c r="J67" s="99"/>
      <c r="K67" s="99"/>
    </row>
    <row r="68">
      <c r="D68" s="99"/>
      <c r="E68" s="122"/>
      <c r="F68" s="99"/>
      <c r="G68" s="123"/>
      <c r="H68" s="98"/>
      <c r="I68" s="99"/>
      <c r="J68" s="99"/>
      <c r="K68" s="99"/>
    </row>
    <row r="69">
      <c r="D69" s="99"/>
      <c r="E69" s="122"/>
      <c r="F69" s="99"/>
      <c r="G69" s="123"/>
      <c r="H69" s="98"/>
      <c r="I69" s="99"/>
      <c r="J69" s="99"/>
      <c r="K69" s="99"/>
    </row>
    <row r="70">
      <c r="D70" s="99"/>
      <c r="E70" s="122"/>
      <c r="F70" s="99"/>
      <c r="G70" s="123"/>
      <c r="H70" s="98"/>
      <c r="I70" s="99"/>
      <c r="J70" s="99"/>
      <c r="K70" s="99"/>
    </row>
    <row r="71">
      <c r="D71" s="99"/>
      <c r="E71" s="122"/>
      <c r="F71" s="99"/>
      <c r="G71" s="123"/>
      <c r="H71" s="98"/>
      <c r="I71" s="99"/>
      <c r="J71" s="99"/>
      <c r="K71" s="99"/>
    </row>
    <row r="72">
      <c r="D72" s="99"/>
      <c r="E72" s="122"/>
      <c r="F72" s="99"/>
      <c r="G72" s="123"/>
      <c r="H72" s="98"/>
      <c r="I72" s="99"/>
      <c r="J72" s="99"/>
      <c r="K72" s="99"/>
    </row>
    <row r="73">
      <c r="D73" s="99"/>
      <c r="E73" s="122"/>
      <c r="F73" s="99"/>
      <c r="G73" s="123"/>
      <c r="H73" s="98"/>
      <c r="I73" s="99"/>
      <c r="J73" s="99"/>
      <c r="K73" s="99"/>
    </row>
    <row r="74">
      <c r="C74" s="99"/>
      <c r="D74" s="99"/>
      <c r="E74" s="122"/>
      <c r="F74" s="99"/>
      <c r="G74" s="123"/>
      <c r="H74" s="98"/>
      <c r="I74" s="99"/>
      <c r="J74" s="99"/>
      <c r="K74" s="99"/>
    </row>
    <row r="75">
      <c r="C75" s="99"/>
      <c r="D75" s="99"/>
      <c r="E75" s="122"/>
      <c r="F75" s="99"/>
      <c r="G75" s="123"/>
      <c r="H75" s="98"/>
      <c r="I75" s="99"/>
      <c r="J75" s="99"/>
      <c r="K75" s="99"/>
    </row>
    <row r="76">
      <c r="C76" s="99"/>
      <c r="D76" s="99"/>
      <c r="E76" s="122"/>
      <c r="F76" s="99"/>
      <c r="G76" s="123"/>
      <c r="H76" s="98"/>
      <c r="I76" s="99"/>
      <c r="J76" s="99"/>
      <c r="K76" s="99"/>
    </row>
    <row r="77">
      <c r="C77" s="99"/>
      <c r="D77" s="99"/>
      <c r="E77" s="122"/>
      <c r="F77" s="99"/>
      <c r="G77" s="123"/>
      <c r="H77" s="98"/>
      <c r="I77" s="99"/>
      <c r="J77" s="99"/>
      <c r="K77" s="99"/>
    </row>
    <row r="78">
      <c r="C78" s="99"/>
      <c r="D78" s="99"/>
      <c r="E78" s="122"/>
      <c r="F78" s="99"/>
      <c r="G78" s="123"/>
      <c r="H78" s="98"/>
      <c r="I78" s="99"/>
      <c r="J78" s="99"/>
      <c r="K78" s="99"/>
    </row>
    <row r="79">
      <c r="C79" s="99"/>
      <c r="D79" s="99"/>
      <c r="E79" s="122"/>
      <c r="F79" s="99"/>
      <c r="G79" s="123"/>
      <c r="H79" s="98"/>
      <c r="I79" s="99"/>
      <c r="J79" s="99"/>
      <c r="K79" s="99"/>
    </row>
    <row r="80">
      <c r="C80" s="99"/>
      <c r="D80" s="99"/>
      <c r="E80" s="122"/>
      <c r="F80" s="99"/>
      <c r="G80" s="123"/>
      <c r="H80" s="98"/>
      <c r="I80" s="99"/>
      <c r="J80" s="99"/>
      <c r="K80" s="99"/>
    </row>
    <row r="81">
      <c r="C81" s="99"/>
      <c r="D81" s="99"/>
      <c r="E81" s="122"/>
      <c r="F81" s="99"/>
      <c r="G81" s="123"/>
      <c r="H81" s="98"/>
      <c r="I81" s="99"/>
      <c r="J81" s="99"/>
      <c r="K81" s="99"/>
    </row>
    <row r="82">
      <c r="C82" s="99"/>
      <c r="D82" s="99"/>
      <c r="E82" s="122"/>
      <c r="F82" s="99"/>
      <c r="G82" s="123"/>
      <c r="H82" s="98"/>
      <c r="I82" s="99"/>
      <c r="J82" s="99"/>
      <c r="K82" s="99"/>
    </row>
    <row r="83">
      <c r="C83" s="99"/>
      <c r="D83" s="99"/>
      <c r="E83" s="122"/>
      <c r="F83" s="99"/>
      <c r="G83" s="123"/>
      <c r="H83" s="98"/>
      <c r="I83" s="99"/>
      <c r="J83" s="99"/>
      <c r="K83" s="99"/>
    </row>
    <row r="84">
      <c r="C84" s="99"/>
      <c r="D84" s="99"/>
      <c r="E84" s="122"/>
      <c r="F84" s="99"/>
      <c r="G84" s="123"/>
      <c r="H84" s="98"/>
      <c r="I84" s="99"/>
      <c r="J84" s="99"/>
      <c r="K84" s="99"/>
    </row>
    <row r="85">
      <c r="C85" s="99"/>
      <c r="D85" s="99"/>
      <c r="E85" s="122"/>
      <c r="F85" s="99"/>
      <c r="G85" s="123"/>
      <c r="H85" s="98"/>
      <c r="I85" s="99"/>
      <c r="J85" s="99"/>
      <c r="K85" s="99"/>
    </row>
    <row r="86">
      <c r="C86" s="99"/>
      <c r="D86" s="99"/>
      <c r="E86" s="122"/>
      <c r="F86" s="99"/>
      <c r="G86" s="123"/>
      <c r="H86" s="98"/>
      <c r="I86" s="99"/>
      <c r="J86" s="99"/>
      <c r="K86" s="99"/>
    </row>
    <row r="87">
      <c r="C87" s="99"/>
      <c r="D87" s="99"/>
      <c r="E87" s="122"/>
      <c r="F87" s="99"/>
      <c r="G87" s="123"/>
      <c r="H87" s="98"/>
      <c r="I87" s="99"/>
      <c r="J87" s="99"/>
      <c r="K87" s="99"/>
    </row>
    <row r="88">
      <c r="C88" s="99"/>
      <c r="D88" s="99"/>
      <c r="E88" s="122"/>
      <c r="F88" s="99"/>
      <c r="G88" s="123"/>
      <c r="H88" s="98"/>
      <c r="I88" s="99"/>
      <c r="J88" s="99"/>
      <c r="K88" s="99"/>
    </row>
    <row r="89">
      <c r="C89" s="99"/>
      <c r="D89" s="99"/>
      <c r="E89" s="122"/>
      <c r="F89" s="99"/>
      <c r="G89" s="123"/>
      <c r="H89" s="98"/>
      <c r="I89" s="99"/>
      <c r="J89" s="99"/>
      <c r="K89" s="99"/>
    </row>
    <row r="90">
      <c r="C90" s="99"/>
      <c r="D90" s="99"/>
      <c r="E90" s="122"/>
      <c r="F90" s="99"/>
      <c r="G90" s="123"/>
      <c r="H90" s="98"/>
      <c r="I90" s="99"/>
      <c r="J90" s="99"/>
      <c r="K90" s="99"/>
    </row>
    <row r="91">
      <c r="C91" s="99"/>
      <c r="D91" s="99"/>
      <c r="E91" s="122"/>
      <c r="F91" s="99"/>
      <c r="G91" s="123"/>
      <c r="H91" s="98"/>
      <c r="I91" s="99"/>
      <c r="J91" s="99"/>
      <c r="K91" s="99"/>
    </row>
    <row r="92">
      <c r="C92" s="99"/>
      <c r="D92" s="99"/>
      <c r="E92" s="122"/>
      <c r="F92" s="99"/>
      <c r="G92" s="123"/>
      <c r="H92" s="98"/>
      <c r="I92" s="99"/>
      <c r="J92" s="99"/>
      <c r="K92" s="99"/>
    </row>
    <row r="93">
      <c r="C93" s="99"/>
      <c r="D93" s="99"/>
      <c r="E93" s="122"/>
      <c r="F93" s="99"/>
      <c r="G93" s="123"/>
      <c r="H93" s="98"/>
      <c r="I93" s="99"/>
      <c r="J93" s="99"/>
      <c r="K93" s="99"/>
    </row>
    <row r="94">
      <c r="C94" s="99"/>
      <c r="D94" s="99"/>
      <c r="E94" s="122"/>
      <c r="F94" s="99"/>
      <c r="G94" s="123"/>
      <c r="H94" s="98"/>
      <c r="I94" s="99"/>
      <c r="J94" s="99"/>
      <c r="K94" s="99"/>
    </row>
    <row r="95">
      <c r="C95" s="99"/>
      <c r="D95" s="99"/>
      <c r="E95" s="122"/>
      <c r="F95" s="99"/>
      <c r="G95" s="123"/>
      <c r="H95" s="98"/>
      <c r="I95" s="99"/>
      <c r="J95" s="99"/>
      <c r="K95" s="99"/>
    </row>
    <row r="96">
      <c r="C96" s="99"/>
      <c r="D96" s="99"/>
      <c r="E96" s="122"/>
      <c r="F96" s="99"/>
      <c r="G96" s="123"/>
      <c r="H96" s="98"/>
      <c r="I96" s="99"/>
      <c r="J96" s="99"/>
      <c r="K96" s="99"/>
    </row>
    <row r="97">
      <c r="C97" s="99"/>
      <c r="D97" s="99"/>
      <c r="E97" s="122"/>
      <c r="F97" s="99"/>
      <c r="G97" s="123"/>
      <c r="H97" s="98"/>
      <c r="I97" s="99"/>
      <c r="J97" s="99"/>
      <c r="K97" s="99"/>
    </row>
    <row r="98">
      <c r="C98" s="99"/>
      <c r="D98" s="99"/>
      <c r="E98" s="122"/>
      <c r="F98" s="99"/>
      <c r="G98" s="123"/>
      <c r="H98" s="98"/>
      <c r="I98" s="99"/>
      <c r="J98" s="99"/>
      <c r="K98" s="99"/>
    </row>
    <row r="99">
      <c r="C99" s="99"/>
      <c r="D99" s="99"/>
      <c r="E99" s="122"/>
      <c r="F99" s="99"/>
      <c r="G99" s="123"/>
      <c r="H99" s="98"/>
      <c r="I99" s="99"/>
      <c r="J99" s="99"/>
      <c r="K99" s="99"/>
    </row>
    <row r="100">
      <c r="C100" s="99"/>
      <c r="D100" s="99"/>
      <c r="E100" s="122"/>
      <c r="F100" s="99"/>
      <c r="G100" s="123"/>
      <c r="H100" s="98"/>
      <c r="I100" s="99"/>
      <c r="J100" s="99"/>
      <c r="K100" s="99"/>
    </row>
    <row r="101">
      <c r="C101" s="99"/>
      <c r="D101" s="99"/>
      <c r="E101" s="122"/>
      <c r="F101" s="99"/>
      <c r="G101" s="123"/>
      <c r="H101" s="98"/>
      <c r="I101" s="99"/>
      <c r="J101" s="99"/>
      <c r="K101" s="99"/>
    </row>
    <row r="102">
      <c r="C102" s="99"/>
      <c r="D102" s="99"/>
      <c r="E102" s="122"/>
      <c r="F102" s="99"/>
      <c r="G102" s="123"/>
      <c r="H102" s="98"/>
      <c r="I102" s="99"/>
      <c r="J102" s="99"/>
      <c r="K102" s="99"/>
    </row>
    <row r="103">
      <c r="C103" s="99"/>
      <c r="D103" s="99"/>
      <c r="E103" s="122"/>
      <c r="F103" s="99"/>
      <c r="G103" s="123"/>
      <c r="H103" s="98"/>
      <c r="I103" s="99"/>
      <c r="J103" s="99"/>
      <c r="K103" s="99"/>
    </row>
    <row r="104">
      <c r="C104" s="99"/>
      <c r="D104" s="99"/>
      <c r="E104" s="122"/>
      <c r="F104" s="99"/>
      <c r="G104" s="123"/>
      <c r="H104" s="98"/>
      <c r="I104" s="99"/>
      <c r="J104" s="99"/>
      <c r="K104" s="99"/>
    </row>
    <row r="105">
      <c r="C105" s="99"/>
      <c r="D105" s="99"/>
      <c r="E105" s="122"/>
      <c r="F105" s="99"/>
      <c r="G105" s="123"/>
      <c r="H105" s="98"/>
      <c r="I105" s="99"/>
      <c r="J105" s="99"/>
      <c r="K105" s="99"/>
    </row>
    <row r="106">
      <c r="C106" s="99"/>
      <c r="D106" s="99"/>
      <c r="E106" s="122"/>
      <c r="F106" s="99"/>
      <c r="G106" s="123"/>
      <c r="H106" s="98"/>
      <c r="I106" s="99"/>
      <c r="J106" s="99"/>
      <c r="K106" s="99"/>
    </row>
    <row r="107">
      <c r="C107" s="99"/>
      <c r="D107" s="99"/>
      <c r="E107" s="122"/>
      <c r="F107" s="99"/>
      <c r="G107" s="123"/>
      <c r="H107" s="98"/>
      <c r="I107" s="99"/>
      <c r="J107" s="99"/>
      <c r="K107" s="99"/>
    </row>
    <row r="108">
      <c r="C108" s="99"/>
      <c r="D108" s="99"/>
      <c r="E108" s="122"/>
      <c r="F108" s="99"/>
      <c r="G108" s="123"/>
      <c r="H108" s="98"/>
      <c r="I108" s="99"/>
      <c r="J108" s="99"/>
      <c r="K108" s="99"/>
    </row>
    <row r="109">
      <c r="C109" s="99"/>
      <c r="D109" s="99"/>
      <c r="E109" s="122"/>
      <c r="F109" s="99"/>
      <c r="G109" s="123"/>
      <c r="H109" s="98"/>
      <c r="I109" s="99"/>
      <c r="J109" s="99"/>
      <c r="K109" s="99"/>
    </row>
    <row r="110">
      <c r="C110" s="99"/>
      <c r="D110" s="99"/>
      <c r="E110" s="122"/>
      <c r="F110" s="99"/>
      <c r="G110" s="123"/>
      <c r="H110" s="98"/>
      <c r="I110" s="99"/>
      <c r="J110" s="99"/>
      <c r="K110" s="99"/>
    </row>
    <row r="111">
      <c r="C111" s="99"/>
      <c r="D111" s="99"/>
      <c r="E111" s="122"/>
      <c r="F111" s="99"/>
      <c r="G111" s="123"/>
      <c r="H111" s="98"/>
      <c r="I111" s="99"/>
      <c r="J111" s="99"/>
      <c r="K111" s="99"/>
    </row>
    <row r="112">
      <c r="C112" s="99"/>
      <c r="D112" s="99"/>
      <c r="E112" s="122"/>
      <c r="F112" s="99"/>
      <c r="G112" s="123"/>
      <c r="H112" s="98"/>
      <c r="I112" s="99"/>
      <c r="J112" s="99"/>
      <c r="K112" s="99"/>
    </row>
    <row r="113">
      <c r="C113" s="99"/>
      <c r="D113" s="99"/>
      <c r="E113" s="122"/>
      <c r="F113" s="99"/>
      <c r="G113" s="123"/>
      <c r="H113" s="98"/>
      <c r="I113" s="99"/>
      <c r="J113" s="99"/>
      <c r="K113" s="99"/>
    </row>
    <row r="114">
      <c r="C114" s="99"/>
      <c r="D114" s="99"/>
      <c r="E114" s="122"/>
      <c r="F114" s="99"/>
      <c r="G114" s="123"/>
      <c r="H114" s="98"/>
      <c r="I114" s="99"/>
      <c r="J114" s="99"/>
      <c r="K114" s="99"/>
    </row>
    <row r="115">
      <c r="C115" s="99"/>
      <c r="D115" s="99"/>
      <c r="E115" s="122"/>
      <c r="F115" s="99"/>
      <c r="G115" s="123"/>
      <c r="H115" s="98"/>
      <c r="I115" s="99"/>
      <c r="J115" s="99"/>
      <c r="K115" s="99"/>
    </row>
    <row r="116">
      <c r="C116" s="99"/>
      <c r="D116" s="99"/>
      <c r="E116" s="122"/>
      <c r="F116" s="99"/>
      <c r="G116" s="123"/>
      <c r="H116" s="98"/>
      <c r="I116" s="99"/>
      <c r="J116" s="99"/>
      <c r="K116" s="99"/>
    </row>
    <row r="117">
      <c r="C117" s="99"/>
      <c r="D117" s="99"/>
      <c r="E117" s="122"/>
      <c r="F117" s="99"/>
      <c r="G117" s="123"/>
      <c r="H117" s="98"/>
      <c r="I117" s="99"/>
      <c r="J117" s="99"/>
      <c r="K117" s="99"/>
    </row>
    <row r="118">
      <c r="C118" s="99"/>
      <c r="D118" s="99"/>
      <c r="E118" s="122"/>
      <c r="F118" s="99"/>
      <c r="G118" s="123"/>
      <c r="H118" s="98"/>
      <c r="I118" s="99"/>
      <c r="J118" s="99"/>
      <c r="K118" s="99"/>
    </row>
    <row r="119">
      <c r="C119" s="99"/>
      <c r="D119" s="99"/>
      <c r="E119" s="122"/>
      <c r="F119" s="99"/>
      <c r="G119" s="123"/>
      <c r="H119" s="98"/>
      <c r="I119" s="99"/>
      <c r="J119" s="99"/>
      <c r="K119" s="99"/>
    </row>
    <row r="120">
      <c r="C120" s="99"/>
      <c r="D120" s="99"/>
      <c r="E120" s="122"/>
      <c r="F120" s="99"/>
      <c r="G120" s="123"/>
      <c r="H120" s="98"/>
      <c r="I120" s="99"/>
      <c r="J120" s="99"/>
      <c r="K120" s="99"/>
    </row>
    <row r="121">
      <c r="C121" s="99"/>
      <c r="D121" s="99"/>
      <c r="E121" s="122"/>
      <c r="F121" s="99"/>
      <c r="G121" s="123"/>
      <c r="H121" s="98"/>
      <c r="I121" s="99"/>
      <c r="J121" s="99"/>
      <c r="K121" s="99"/>
    </row>
    <row r="122">
      <c r="C122" s="99"/>
      <c r="D122" s="99"/>
      <c r="E122" s="122"/>
      <c r="F122" s="99"/>
      <c r="G122" s="123"/>
      <c r="H122" s="98"/>
      <c r="I122" s="99"/>
      <c r="J122" s="99"/>
      <c r="K122" s="99"/>
    </row>
    <row r="123">
      <c r="C123" s="99"/>
      <c r="D123" s="99"/>
      <c r="E123" s="122"/>
      <c r="F123" s="99"/>
      <c r="G123" s="123"/>
      <c r="H123" s="98"/>
      <c r="I123" s="99"/>
      <c r="J123" s="99"/>
      <c r="K123" s="99"/>
    </row>
    <row r="124">
      <c r="C124" s="99"/>
      <c r="D124" s="99"/>
      <c r="E124" s="122"/>
      <c r="F124" s="99"/>
      <c r="G124" s="123"/>
      <c r="H124" s="98"/>
      <c r="I124" s="99"/>
      <c r="J124" s="99"/>
      <c r="K124" s="99"/>
    </row>
    <row r="125">
      <c r="C125" s="99"/>
      <c r="D125" s="99"/>
      <c r="E125" s="122"/>
      <c r="F125" s="99"/>
      <c r="G125" s="123"/>
      <c r="H125" s="98"/>
      <c r="I125" s="99"/>
      <c r="J125" s="99"/>
      <c r="K125" s="99"/>
    </row>
    <row r="126">
      <c r="C126" s="99"/>
      <c r="D126" s="99"/>
      <c r="E126" s="122"/>
      <c r="F126" s="99"/>
      <c r="G126" s="123"/>
      <c r="H126" s="98"/>
      <c r="I126" s="99"/>
      <c r="J126" s="99"/>
      <c r="K126" s="99"/>
    </row>
    <row r="127">
      <c r="C127" s="99"/>
      <c r="D127" s="99"/>
      <c r="E127" s="122"/>
      <c r="F127" s="99"/>
      <c r="G127" s="123"/>
      <c r="H127" s="98"/>
      <c r="I127" s="99"/>
      <c r="J127" s="99"/>
      <c r="K127" s="99"/>
    </row>
    <row r="128">
      <c r="C128" s="99"/>
      <c r="D128" s="99"/>
      <c r="E128" s="122"/>
      <c r="F128" s="99"/>
      <c r="G128" s="123"/>
      <c r="H128" s="98"/>
      <c r="I128" s="99"/>
      <c r="J128" s="99"/>
      <c r="K128" s="99"/>
    </row>
    <row r="129">
      <c r="C129" s="99"/>
      <c r="D129" s="99"/>
      <c r="E129" s="122"/>
      <c r="F129" s="99"/>
      <c r="G129" s="123"/>
      <c r="H129" s="98"/>
      <c r="I129" s="99"/>
      <c r="J129" s="99"/>
      <c r="K129" s="99"/>
    </row>
    <row r="130">
      <c r="C130" s="99"/>
      <c r="D130" s="99"/>
      <c r="E130" s="122"/>
      <c r="F130" s="99"/>
      <c r="G130" s="123"/>
      <c r="H130" s="98"/>
      <c r="I130" s="99"/>
      <c r="J130" s="99"/>
      <c r="K130" s="99"/>
    </row>
    <row r="131">
      <c r="C131" s="99"/>
      <c r="D131" s="99"/>
      <c r="E131" s="122"/>
      <c r="F131" s="99"/>
      <c r="G131" s="123"/>
      <c r="H131" s="98"/>
      <c r="I131" s="99"/>
      <c r="J131" s="99"/>
      <c r="K131" s="99"/>
    </row>
    <row r="132">
      <c r="C132" s="99"/>
      <c r="D132" s="99"/>
      <c r="E132" s="122"/>
      <c r="F132" s="99"/>
      <c r="G132" s="123"/>
      <c r="H132" s="98"/>
      <c r="I132" s="99"/>
      <c r="J132" s="99"/>
      <c r="K132" s="99"/>
    </row>
    <row r="133">
      <c r="C133" s="99"/>
      <c r="D133" s="99"/>
      <c r="E133" s="122"/>
      <c r="F133" s="99"/>
      <c r="G133" s="123"/>
      <c r="H133" s="98"/>
      <c r="I133" s="99"/>
      <c r="J133" s="99"/>
      <c r="K133" s="99"/>
    </row>
    <row r="134">
      <c r="C134" s="99"/>
      <c r="D134" s="99"/>
      <c r="E134" s="122"/>
      <c r="F134" s="99"/>
      <c r="G134" s="123"/>
      <c r="H134" s="98"/>
      <c r="I134" s="99"/>
      <c r="J134" s="99"/>
      <c r="K134" s="99"/>
    </row>
    <row r="135">
      <c r="C135" s="99"/>
      <c r="D135" s="99"/>
      <c r="E135" s="122"/>
      <c r="F135" s="99"/>
      <c r="G135" s="123"/>
      <c r="H135" s="98"/>
      <c r="I135" s="99"/>
      <c r="J135" s="99"/>
      <c r="K135" s="99"/>
    </row>
    <row r="136">
      <c r="C136" s="99"/>
      <c r="D136" s="99"/>
      <c r="E136" s="122"/>
      <c r="F136" s="99"/>
      <c r="G136" s="123"/>
      <c r="H136" s="98"/>
      <c r="I136" s="99"/>
      <c r="J136" s="99"/>
      <c r="K136" s="99"/>
    </row>
    <row r="137">
      <c r="C137" s="99"/>
      <c r="D137" s="99"/>
      <c r="E137" s="122"/>
      <c r="F137" s="99"/>
      <c r="G137" s="123"/>
      <c r="H137" s="98"/>
      <c r="I137" s="99"/>
      <c r="J137" s="99"/>
      <c r="K137" s="99"/>
    </row>
    <row r="138">
      <c r="C138" s="99"/>
      <c r="D138" s="99"/>
      <c r="E138" s="122"/>
      <c r="F138" s="99"/>
      <c r="G138" s="123"/>
      <c r="H138" s="98"/>
      <c r="I138" s="99"/>
      <c r="J138" s="99"/>
      <c r="K138" s="99"/>
    </row>
    <row r="139">
      <c r="C139" s="99"/>
      <c r="D139" s="99"/>
      <c r="E139" s="122"/>
      <c r="F139" s="99"/>
      <c r="G139" s="123"/>
      <c r="H139" s="98"/>
      <c r="I139" s="99"/>
      <c r="J139" s="99"/>
      <c r="K139" s="99"/>
    </row>
    <row r="140">
      <c r="C140" s="99"/>
      <c r="D140" s="99"/>
      <c r="E140" s="122"/>
      <c r="F140" s="99"/>
      <c r="G140" s="123"/>
      <c r="H140" s="98"/>
      <c r="I140" s="99"/>
      <c r="J140" s="99"/>
      <c r="K140" s="99"/>
    </row>
    <row r="141">
      <c r="C141" s="99"/>
      <c r="D141" s="99"/>
      <c r="E141" s="122"/>
      <c r="F141" s="99"/>
      <c r="G141" s="123"/>
      <c r="H141" s="98"/>
      <c r="I141" s="99"/>
      <c r="J141" s="99"/>
      <c r="K141" s="99"/>
    </row>
    <row r="142">
      <c r="C142" s="99"/>
      <c r="D142" s="99"/>
      <c r="E142" s="122"/>
      <c r="F142" s="99"/>
      <c r="G142" s="123"/>
      <c r="H142" s="98"/>
      <c r="I142" s="99"/>
      <c r="J142" s="99"/>
      <c r="K142" s="99"/>
    </row>
    <row r="143">
      <c r="C143" s="99"/>
      <c r="D143" s="99"/>
      <c r="E143" s="122"/>
      <c r="F143" s="99"/>
      <c r="G143" s="123"/>
      <c r="H143" s="98"/>
      <c r="I143" s="99"/>
      <c r="J143" s="99"/>
      <c r="K143" s="99"/>
    </row>
    <row r="144">
      <c r="C144" s="99"/>
      <c r="D144" s="99"/>
      <c r="E144" s="122"/>
      <c r="F144" s="99"/>
      <c r="G144" s="123"/>
      <c r="H144" s="98"/>
      <c r="I144" s="99"/>
      <c r="J144" s="99"/>
      <c r="K144" s="99"/>
    </row>
    <row r="145">
      <c r="C145" s="99"/>
      <c r="D145" s="99"/>
      <c r="E145" s="122"/>
      <c r="F145" s="99"/>
      <c r="G145" s="123"/>
      <c r="H145" s="98"/>
      <c r="I145" s="99"/>
      <c r="J145" s="99"/>
      <c r="K145" s="99"/>
    </row>
    <row r="146">
      <c r="C146" s="99"/>
      <c r="D146" s="99"/>
      <c r="E146" s="122"/>
      <c r="F146" s="99"/>
      <c r="G146" s="123"/>
      <c r="H146" s="98"/>
      <c r="I146" s="99"/>
      <c r="J146" s="99"/>
      <c r="K146" s="99"/>
    </row>
    <row r="147">
      <c r="C147" s="99"/>
      <c r="D147" s="99"/>
      <c r="E147" s="122"/>
      <c r="F147" s="99"/>
      <c r="G147" s="123"/>
      <c r="H147" s="98"/>
      <c r="I147" s="99"/>
      <c r="J147" s="99"/>
      <c r="K147" s="99"/>
    </row>
    <row r="148">
      <c r="C148" s="99"/>
      <c r="D148" s="99"/>
      <c r="E148" s="122"/>
      <c r="F148" s="99"/>
      <c r="G148" s="123"/>
      <c r="H148" s="98"/>
      <c r="I148" s="99"/>
      <c r="J148" s="99"/>
      <c r="K148" s="99"/>
    </row>
    <row r="149">
      <c r="C149" s="99"/>
      <c r="D149" s="99"/>
      <c r="E149" s="122"/>
      <c r="F149" s="99"/>
      <c r="G149" s="123"/>
      <c r="H149" s="98"/>
      <c r="I149" s="99"/>
      <c r="J149" s="99"/>
      <c r="K149" s="99"/>
    </row>
    <row r="150">
      <c r="C150" s="99"/>
      <c r="D150" s="99"/>
      <c r="E150" s="122"/>
      <c r="F150" s="99"/>
      <c r="G150" s="123"/>
      <c r="H150" s="98"/>
      <c r="I150" s="99"/>
      <c r="J150" s="99"/>
      <c r="K150" s="99"/>
    </row>
    <row r="151">
      <c r="C151" s="99"/>
      <c r="D151" s="99"/>
      <c r="E151" s="122"/>
      <c r="F151" s="99"/>
      <c r="G151" s="123"/>
      <c r="H151" s="98"/>
      <c r="I151" s="99"/>
      <c r="J151" s="99"/>
      <c r="K151" s="99"/>
    </row>
    <row r="152">
      <c r="C152" s="99"/>
      <c r="D152" s="99"/>
      <c r="E152" s="122"/>
      <c r="F152" s="99"/>
      <c r="G152" s="123"/>
      <c r="H152" s="98"/>
      <c r="I152" s="99"/>
      <c r="J152" s="99"/>
      <c r="K152" s="99"/>
    </row>
    <row r="153">
      <c r="C153" s="99"/>
      <c r="D153" s="99"/>
      <c r="E153" s="122"/>
      <c r="F153" s="99"/>
      <c r="G153" s="123"/>
      <c r="H153" s="98"/>
      <c r="I153" s="99"/>
      <c r="J153" s="99"/>
      <c r="K153" s="99"/>
    </row>
    <row r="154">
      <c r="C154" s="99"/>
      <c r="D154" s="99"/>
      <c r="E154" s="122"/>
      <c r="F154" s="99"/>
      <c r="G154" s="123"/>
      <c r="H154" s="98"/>
      <c r="I154" s="99"/>
      <c r="J154" s="99"/>
      <c r="K154" s="99"/>
    </row>
    <row r="155">
      <c r="C155" s="99"/>
      <c r="D155" s="99"/>
      <c r="E155" s="122"/>
      <c r="F155" s="99"/>
      <c r="G155" s="123"/>
      <c r="H155" s="98"/>
      <c r="I155" s="99"/>
      <c r="J155" s="99"/>
      <c r="K155" s="99"/>
    </row>
    <row r="156">
      <c r="C156" s="99"/>
      <c r="D156" s="99"/>
      <c r="E156" s="122"/>
      <c r="F156" s="99"/>
      <c r="G156" s="123"/>
      <c r="H156" s="98"/>
      <c r="I156" s="99"/>
      <c r="J156" s="99"/>
      <c r="K156" s="99"/>
    </row>
    <row r="157">
      <c r="C157" s="99"/>
      <c r="D157" s="99"/>
      <c r="E157" s="122"/>
      <c r="F157" s="99"/>
      <c r="G157" s="123"/>
      <c r="H157" s="98"/>
      <c r="I157" s="99"/>
      <c r="J157" s="99"/>
      <c r="K157" s="99"/>
    </row>
    <row r="158">
      <c r="C158" s="99"/>
      <c r="D158" s="99"/>
      <c r="E158" s="122"/>
      <c r="F158" s="99"/>
      <c r="G158" s="123"/>
      <c r="H158" s="98"/>
      <c r="I158" s="99"/>
      <c r="J158" s="99"/>
      <c r="K158" s="99"/>
    </row>
    <row r="159">
      <c r="C159" s="99"/>
      <c r="D159" s="99"/>
      <c r="E159" s="122"/>
      <c r="F159" s="99"/>
      <c r="G159" s="123"/>
      <c r="H159" s="98"/>
      <c r="I159" s="99"/>
      <c r="J159" s="99"/>
      <c r="K159" s="99"/>
    </row>
    <row r="160">
      <c r="C160" s="99"/>
      <c r="D160" s="99"/>
      <c r="E160" s="122"/>
      <c r="F160" s="99"/>
      <c r="G160" s="123"/>
      <c r="H160" s="98"/>
      <c r="I160" s="99"/>
      <c r="J160" s="99"/>
      <c r="K160" s="99"/>
    </row>
    <row r="161">
      <c r="C161" s="99"/>
      <c r="D161" s="99"/>
      <c r="E161" s="122"/>
      <c r="F161" s="99"/>
      <c r="G161" s="123"/>
      <c r="H161" s="98"/>
      <c r="I161" s="99"/>
      <c r="J161" s="99"/>
      <c r="K161" s="99"/>
    </row>
    <row r="162">
      <c r="C162" s="99"/>
      <c r="D162" s="99"/>
      <c r="E162" s="122"/>
      <c r="F162" s="99"/>
      <c r="G162" s="123"/>
      <c r="H162" s="98"/>
      <c r="I162" s="99"/>
      <c r="J162" s="99"/>
      <c r="K162" s="99"/>
    </row>
    <row r="163">
      <c r="C163" s="99"/>
      <c r="D163" s="99"/>
      <c r="E163" s="122"/>
      <c r="F163" s="99"/>
      <c r="G163" s="123"/>
      <c r="H163" s="98"/>
      <c r="I163" s="99"/>
      <c r="J163" s="99"/>
      <c r="K163" s="99"/>
    </row>
    <row r="164">
      <c r="C164" s="99"/>
      <c r="D164" s="99"/>
      <c r="E164" s="122"/>
      <c r="F164" s="99"/>
      <c r="G164" s="123"/>
      <c r="H164" s="98"/>
      <c r="I164" s="99"/>
      <c r="J164" s="99"/>
      <c r="K164" s="99"/>
    </row>
    <row r="165">
      <c r="C165" s="99"/>
      <c r="D165" s="99"/>
      <c r="E165" s="122"/>
      <c r="F165" s="99"/>
      <c r="G165" s="123"/>
      <c r="H165" s="98"/>
      <c r="I165" s="99"/>
      <c r="J165" s="99"/>
      <c r="K165" s="99"/>
    </row>
    <row r="166">
      <c r="C166" s="99"/>
      <c r="D166" s="99"/>
      <c r="E166" s="122"/>
      <c r="F166" s="99"/>
      <c r="G166" s="123"/>
      <c r="H166" s="98"/>
      <c r="I166" s="99"/>
      <c r="J166" s="99"/>
      <c r="K166" s="99"/>
    </row>
    <row r="167">
      <c r="C167" s="99"/>
      <c r="D167" s="99"/>
      <c r="E167" s="122"/>
      <c r="F167" s="99"/>
      <c r="G167" s="123"/>
      <c r="H167" s="98"/>
      <c r="I167" s="99"/>
      <c r="J167" s="99"/>
      <c r="K167" s="99"/>
    </row>
    <row r="168">
      <c r="C168" s="99"/>
      <c r="D168" s="99"/>
      <c r="E168" s="122"/>
      <c r="F168" s="99"/>
      <c r="G168" s="123"/>
      <c r="H168" s="98"/>
      <c r="I168" s="99"/>
      <c r="J168" s="99"/>
      <c r="K168" s="99"/>
    </row>
    <row r="169">
      <c r="C169" s="99"/>
      <c r="D169" s="99"/>
      <c r="E169" s="122"/>
      <c r="F169" s="99"/>
      <c r="G169" s="123"/>
      <c r="H169" s="98"/>
      <c r="I169" s="99"/>
      <c r="J169" s="99"/>
      <c r="K169" s="99"/>
    </row>
    <row r="170">
      <c r="C170" s="99"/>
      <c r="D170" s="99"/>
      <c r="E170" s="122"/>
      <c r="F170" s="99"/>
      <c r="G170" s="123"/>
      <c r="H170" s="98"/>
      <c r="I170" s="99"/>
      <c r="J170" s="99"/>
      <c r="K170" s="99"/>
    </row>
    <row r="171">
      <c r="C171" s="99"/>
      <c r="D171" s="99"/>
      <c r="E171" s="122"/>
      <c r="F171" s="99"/>
      <c r="G171" s="123"/>
      <c r="H171" s="98"/>
      <c r="I171" s="99"/>
      <c r="J171" s="99"/>
      <c r="K171" s="99"/>
    </row>
    <row r="172">
      <c r="C172" s="99"/>
      <c r="D172" s="99"/>
      <c r="E172" s="122"/>
      <c r="F172" s="99"/>
      <c r="G172" s="123"/>
      <c r="H172" s="98"/>
      <c r="I172" s="99"/>
      <c r="J172" s="99"/>
      <c r="K172" s="99"/>
    </row>
    <row r="173">
      <c r="C173" s="99"/>
      <c r="D173" s="99"/>
      <c r="E173" s="122"/>
      <c r="F173" s="99"/>
      <c r="G173" s="123"/>
      <c r="H173" s="98"/>
      <c r="I173" s="99"/>
      <c r="J173" s="99"/>
      <c r="K173" s="99"/>
    </row>
    <row r="174">
      <c r="C174" s="99"/>
      <c r="D174" s="99"/>
      <c r="E174" s="122"/>
      <c r="F174" s="99"/>
      <c r="G174" s="123"/>
      <c r="H174" s="98"/>
      <c r="I174" s="99"/>
      <c r="J174" s="99"/>
      <c r="K174" s="99"/>
    </row>
    <row r="175">
      <c r="C175" s="99"/>
      <c r="D175" s="99"/>
      <c r="E175" s="122"/>
      <c r="F175" s="99"/>
      <c r="G175" s="123"/>
      <c r="H175" s="98"/>
      <c r="I175" s="99"/>
      <c r="J175" s="99"/>
      <c r="K175" s="99"/>
    </row>
    <row r="176">
      <c r="C176" s="99"/>
      <c r="D176" s="99"/>
      <c r="E176" s="122"/>
      <c r="F176" s="99"/>
      <c r="G176" s="123"/>
      <c r="H176" s="98"/>
      <c r="I176" s="99"/>
      <c r="J176" s="99"/>
      <c r="K176" s="99"/>
    </row>
    <row r="177">
      <c r="C177" s="99"/>
      <c r="D177" s="99"/>
      <c r="E177" s="122"/>
      <c r="F177" s="99"/>
      <c r="G177" s="123"/>
      <c r="H177" s="98"/>
      <c r="I177" s="99"/>
      <c r="J177" s="99"/>
      <c r="K177" s="99"/>
    </row>
    <row r="178">
      <c r="C178" s="99"/>
      <c r="D178" s="99"/>
      <c r="E178" s="122"/>
      <c r="F178" s="99"/>
      <c r="G178" s="123"/>
      <c r="H178" s="98"/>
      <c r="I178" s="99"/>
      <c r="J178" s="99"/>
      <c r="K178" s="99"/>
    </row>
    <row r="179">
      <c r="C179" s="99"/>
      <c r="D179" s="99"/>
      <c r="E179" s="122"/>
      <c r="F179" s="99"/>
      <c r="G179" s="123"/>
      <c r="H179" s="98"/>
      <c r="I179" s="99"/>
      <c r="J179" s="99"/>
      <c r="K179" s="99"/>
    </row>
    <row r="180">
      <c r="C180" s="99"/>
      <c r="D180" s="99"/>
      <c r="E180" s="122"/>
      <c r="F180" s="99"/>
      <c r="G180" s="123"/>
      <c r="H180" s="98"/>
      <c r="I180" s="99"/>
      <c r="J180" s="99"/>
      <c r="K180" s="99"/>
    </row>
    <row r="181">
      <c r="C181" s="99"/>
      <c r="D181" s="99"/>
      <c r="E181" s="122"/>
      <c r="F181" s="99"/>
      <c r="G181" s="123"/>
      <c r="H181" s="98"/>
      <c r="I181" s="99"/>
      <c r="J181" s="99"/>
      <c r="K181" s="99"/>
    </row>
    <row r="182">
      <c r="C182" s="99"/>
      <c r="D182" s="99"/>
      <c r="E182" s="122"/>
      <c r="F182" s="99"/>
      <c r="G182" s="123"/>
      <c r="H182" s="98"/>
      <c r="I182" s="99"/>
      <c r="J182" s="99"/>
      <c r="K182" s="99"/>
    </row>
    <row r="183">
      <c r="C183" s="99"/>
      <c r="D183" s="99"/>
      <c r="E183" s="122"/>
      <c r="F183" s="99"/>
      <c r="G183" s="123"/>
      <c r="H183" s="98"/>
      <c r="I183" s="99"/>
      <c r="J183" s="99"/>
      <c r="K183" s="99"/>
    </row>
    <row r="184">
      <c r="C184" s="99"/>
      <c r="D184" s="99"/>
      <c r="E184" s="122"/>
      <c r="F184" s="99"/>
      <c r="G184" s="123"/>
      <c r="H184" s="98"/>
      <c r="I184" s="99"/>
      <c r="J184" s="99"/>
      <c r="K184" s="99"/>
    </row>
    <row r="185">
      <c r="C185" s="99"/>
      <c r="D185" s="99"/>
      <c r="E185" s="122"/>
      <c r="F185" s="99"/>
      <c r="G185" s="123"/>
      <c r="H185" s="98"/>
      <c r="I185" s="99"/>
      <c r="J185" s="99"/>
      <c r="K185" s="99"/>
    </row>
    <row r="186">
      <c r="C186" s="99"/>
      <c r="D186" s="99"/>
      <c r="E186" s="122"/>
      <c r="F186" s="99"/>
      <c r="G186" s="123"/>
      <c r="H186" s="98"/>
      <c r="I186" s="99"/>
      <c r="J186" s="99"/>
      <c r="K186" s="99"/>
    </row>
    <row r="187">
      <c r="C187" s="99"/>
      <c r="D187" s="99"/>
      <c r="E187" s="122"/>
      <c r="F187" s="99"/>
      <c r="G187" s="123"/>
      <c r="H187" s="98"/>
      <c r="I187" s="99"/>
      <c r="J187" s="99"/>
      <c r="K187" s="99"/>
    </row>
    <row r="188">
      <c r="C188" s="99"/>
      <c r="D188" s="99"/>
      <c r="E188" s="122"/>
      <c r="F188" s="99"/>
      <c r="G188" s="123"/>
      <c r="H188" s="98"/>
      <c r="I188" s="99"/>
      <c r="J188" s="99"/>
      <c r="K188" s="99"/>
    </row>
    <row r="189">
      <c r="C189" s="99"/>
      <c r="D189" s="99"/>
      <c r="E189" s="122"/>
      <c r="F189" s="99"/>
      <c r="G189" s="123"/>
      <c r="H189" s="98"/>
      <c r="I189" s="99"/>
      <c r="J189" s="99"/>
      <c r="K189" s="99"/>
    </row>
    <row r="190">
      <c r="C190" s="99"/>
      <c r="D190" s="99"/>
      <c r="E190" s="122"/>
      <c r="F190" s="99"/>
      <c r="G190" s="123"/>
      <c r="H190" s="98"/>
      <c r="I190" s="99"/>
      <c r="J190" s="99"/>
      <c r="K190" s="99"/>
    </row>
    <row r="191">
      <c r="C191" s="99"/>
      <c r="D191" s="99"/>
      <c r="E191" s="122"/>
      <c r="F191" s="99"/>
      <c r="G191" s="123"/>
      <c r="H191" s="98"/>
      <c r="I191" s="99"/>
      <c r="J191" s="99"/>
      <c r="K191" s="99"/>
    </row>
    <row r="192">
      <c r="C192" s="99"/>
      <c r="D192" s="99"/>
      <c r="E192" s="122"/>
      <c r="F192" s="99"/>
      <c r="G192" s="123"/>
      <c r="H192" s="98"/>
      <c r="I192" s="99"/>
      <c r="J192" s="99"/>
      <c r="K192" s="99"/>
    </row>
    <row r="193">
      <c r="C193" s="99"/>
      <c r="D193" s="99"/>
      <c r="E193" s="122"/>
      <c r="F193" s="99"/>
      <c r="G193" s="123"/>
      <c r="H193" s="98"/>
      <c r="I193" s="99"/>
      <c r="J193" s="99"/>
      <c r="K193" s="99"/>
    </row>
    <row r="194">
      <c r="C194" s="99"/>
      <c r="D194" s="99"/>
      <c r="E194" s="122"/>
      <c r="F194" s="99"/>
      <c r="G194" s="123"/>
      <c r="H194" s="98"/>
      <c r="I194" s="99"/>
      <c r="J194" s="99"/>
      <c r="K194" s="99"/>
    </row>
    <row r="195">
      <c r="C195" s="99"/>
      <c r="D195" s="99"/>
      <c r="E195" s="122"/>
      <c r="F195" s="99"/>
      <c r="G195" s="123"/>
      <c r="H195" s="98"/>
      <c r="I195" s="99"/>
      <c r="J195" s="99"/>
      <c r="K195" s="99"/>
    </row>
    <row r="196">
      <c r="C196" s="99"/>
      <c r="D196" s="99"/>
      <c r="E196" s="122"/>
      <c r="F196" s="99"/>
      <c r="G196" s="123"/>
      <c r="H196" s="98"/>
      <c r="I196" s="99"/>
      <c r="J196" s="99"/>
      <c r="K196" s="99"/>
    </row>
    <row r="197">
      <c r="C197" s="99"/>
      <c r="D197" s="99"/>
      <c r="E197" s="122"/>
      <c r="F197" s="99"/>
      <c r="G197" s="123"/>
      <c r="H197" s="98"/>
      <c r="I197" s="99"/>
      <c r="J197" s="99"/>
      <c r="K197" s="99"/>
    </row>
    <row r="198">
      <c r="C198" s="99"/>
      <c r="D198" s="99"/>
      <c r="E198" s="122"/>
      <c r="F198" s="99"/>
      <c r="G198" s="123"/>
      <c r="H198" s="98"/>
      <c r="I198" s="99"/>
      <c r="J198" s="99"/>
      <c r="K198" s="99"/>
    </row>
    <row r="199">
      <c r="C199" s="99"/>
      <c r="D199" s="99"/>
      <c r="E199" s="122"/>
      <c r="F199" s="99"/>
      <c r="G199" s="123"/>
      <c r="H199" s="98"/>
      <c r="I199" s="99"/>
      <c r="J199" s="99"/>
      <c r="K199" s="99"/>
    </row>
    <row r="200">
      <c r="C200" s="99"/>
      <c r="D200" s="99"/>
      <c r="E200" s="122"/>
      <c r="F200" s="99"/>
      <c r="G200" s="123"/>
      <c r="H200" s="98"/>
      <c r="I200" s="99"/>
      <c r="J200" s="99"/>
      <c r="K200" s="99"/>
    </row>
    <row r="201">
      <c r="C201" s="99"/>
      <c r="D201" s="99"/>
      <c r="E201" s="122"/>
      <c r="F201" s="99"/>
      <c r="G201" s="123"/>
      <c r="H201" s="98"/>
      <c r="I201" s="99"/>
      <c r="J201" s="99"/>
      <c r="K201" s="99"/>
    </row>
    <row r="202">
      <c r="C202" s="99"/>
      <c r="D202" s="99"/>
      <c r="E202" s="122"/>
      <c r="F202" s="99"/>
      <c r="G202" s="123"/>
      <c r="H202" s="98"/>
      <c r="I202" s="99"/>
      <c r="J202" s="99"/>
      <c r="K202" s="99"/>
    </row>
    <row r="203">
      <c r="C203" s="99"/>
      <c r="D203" s="99"/>
      <c r="E203" s="122"/>
      <c r="F203" s="99"/>
      <c r="G203" s="123"/>
      <c r="H203" s="98"/>
      <c r="I203" s="99"/>
      <c r="J203" s="99"/>
      <c r="K203" s="99"/>
    </row>
    <row r="204">
      <c r="C204" s="99"/>
      <c r="D204" s="99"/>
      <c r="E204" s="122"/>
      <c r="F204" s="99"/>
      <c r="G204" s="123"/>
      <c r="H204" s="98"/>
      <c r="I204" s="99"/>
      <c r="J204" s="99"/>
      <c r="K204" s="99"/>
    </row>
    <row r="205">
      <c r="C205" s="99"/>
      <c r="D205" s="99"/>
      <c r="E205" s="122"/>
      <c r="F205" s="99"/>
      <c r="G205" s="123"/>
      <c r="H205" s="98"/>
      <c r="I205" s="99"/>
      <c r="J205" s="99"/>
      <c r="K205" s="99"/>
    </row>
    <row r="206">
      <c r="C206" s="99"/>
      <c r="D206" s="99"/>
      <c r="E206" s="122"/>
      <c r="F206" s="99"/>
      <c r="G206" s="123"/>
      <c r="H206" s="98"/>
      <c r="I206" s="99"/>
      <c r="J206" s="99"/>
      <c r="K206" s="99"/>
    </row>
    <row r="207">
      <c r="C207" s="99"/>
      <c r="D207" s="99"/>
      <c r="E207" s="122"/>
      <c r="F207" s="99"/>
      <c r="G207" s="123"/>
      <c r="H207" s="98"/>
      <c r="I207" s="99"/>
      <c r="J207" s="99"/>
      <c r="K207" s="99"/>
    </row>
    <row r="208">
      <c r="C208" s="99"/>
      <c r="D208" s="99"/>
      <c r="E208" s="122"/>
      <c r="F208" s="99"/>
      <c r="G208" s="123"/>
      <c r="H208" s="98"/>
      <c r="I208" s="99"/>
      <c r="J208" s="99"/>
      <c r="K208" s="99"/>
    </row>
    <row r="209">
      <c r="C209" s="99"/>
      <c r="D209" s="99"/>
      <c r="E209" s="122"/>
      <c r="F209" s="99"/>
      <c r="G209" s="123"/>
      <c r="H209" s="98"/>
      <c r="I209" s="99"/>
      <c r="J209" s="99"/>
      <c r="K209" s="99"/>
    </row>
    <row r="210">
      <c r="C210" s="99"/>
      <c r="D210" s="99"/>
      <c r="E210" s="122"/>
      <c r="F210" s="99"/>
      <c r="G210" s="123"/>
      <c r="H210" s="98"/>
      <c r="I210" s="99"/>
      <c r="J210" s="99"/>
      <c r="K210" s="99"/>
    </row>
    <row r="211">
      <c r="C211" s="99"/>
      <c r="D211" s="99"/>
      <c r="E211" s="122"/>
      <c r="F211" s="99"/>
      <c r="G211" s="123"/>
      <c r="H211" s="98"/>
      <c r="I211" s="99"/>
      <c r="J211" s="99"/>
      <c r="K211" s="99"/>
    </row>
    <row r="212">
      <c r="C212" s="99"/>
      <c r="D212" s="99"/>
      <c r="E212" s="122"/>
      <c r="F212" s="99"/>
      <c r="G212" s="123"/>
      <c r="H212" s="98"/>
      <c r="I212" s="99"/>
      <c r="J212" s="99"/>
      <c r="K212" s="99"/>
    </row>
    <row r="213">
      <c r="C213" s="99"/>
      <c r="D213" s="99"/>
      <c r="E213" s="122"/>
      <c r="F213" s="99"/>
      <c r="G213" s="123"/>
      <c r="H213" s="98"/>
      <c r="I213" s="99"/>
      <c r="J213" s="99"/>
      <c r="K213" s="99"/>
    </row>
    <row r="214">
      <c r="C214" s="99"/>
      <c r="D214" s="99"/>
      <c r="E214" s="122"/>
      <c r="F214" s="99"/>
      <c r="G214" s="123"/>
      <c r="H214" s="98"/>
      <c r="I214" s="99"/>
      <c r="J214" s="99"/>
      <c r="K214" s="99"/>
    </row>
    <row r="215">
      <c r="C215" s="99"/>
      <c r="D215" s="99"/>
      <c r="E215" s="122"/>
      <c r="F215" s="99"/>
      <c r="G215" s="123"/>
      <c r="H215" s="98"/>
      <c r="I215" s="99"/>
      <c r="J215" s="99"/>
      <c r="K215" s="99"/>
    </row>
    <row r="216">
      <c r="C216" s="99"/>
      <c r="D216" s="99"/>
      <c r="E216" s="122"/>
      <c r="F216" s="99"/>
      <c r="G216" s="123"/>
      <c r="H216" s="98"/>
      <c r="I216" s="99"/>
      <c r="J216" s="99"/>
      <c r="K216" s="99"/>
    </row>
    <row r="217">
      <c r="C217" s="99"/>
      <c r="D217" s="99"/>
      <c r="E217" s="122"/>
      <c r="F217" s="99"/>
      <c r="G217" s="123"/>
      <c r="H217" s="98"/>
      <c r="I217" s="99"/>
      <c r="J217" s="99"/>
      <c r="K217" s="99"/>
    </row>
    <row r="218">
      <c r="C218" s="99"/>
      <c r="D218" s="99"/>
      <c r="E218" s="122"/>
      <c r="F218" s="99"/>
      <c r="G218" s="123"/>
      <c r="H218" s="98"/>
      <c r="I218" s="99"/>
      <c r="J218" s="99"/>
      <c r="K218" s="99"/>
    </row>
    <row r="219">
      <c r="C219" s="99"/>
      <c r="D219" s="99"/>
      <c r="E219" s="122"/>
      <c r="F219" s="99"/>
      <c r="G219" s="123"/>
      <c r="H219" s="98"/>
      <c r="I219" s="99"/>
      <c r="J219" s="99"/>
      <c r="K219" s="99"/>
    </row>
    <row r="220">
      <c r="C220" s="99"/>
      <c r="D220" s="99"/>
      <c r="E220" s="122"/>
      <c r="F220" s="99"/>
      <c r="G220" s="123"/>
      <c r="H220" s="98"/>
      <c r="I220" s="99"/>
      <c r="J220" s="99"/>
      <c r="K220" s="99"/>
    </row>
    <row r="221">
      <c r="C221" s="99"/>
      <c r="D221" s="99"/>
      <c r="E221" s="122"/>
      <c r="F221" s="99"/>
      <c r="G221" s="123"/>
      <c r="H221" s="98"/>
      <c r="I221" s="99"/>
      <c r="J221" s="99"/>
      <c r="K221" s="99"/>
    </row>
    <row r="222">
      <c r="C222" s="99"/>
      <c r="D222" s="99"/>
      <c r="E222" s="122"/>
      <c r="F222" s="99"/>
      <c r="G222" s="123"/>
      <c r="H222" s="98"/>
      <c r="I222" s="99"/>
      <c r="J222" s="99"/>
      <c r="K222" s="99"/>
    </row>
    <row r="223">
      <c r="C223" s="99"/>
      <c r="D223" s="99"/>
      <c r="E223" s="122"/>
      <c r="F223" s="99"/>
      <c r="G223" s="123"/>
      <c r="H223" s="98"/>
      <c r="I223" s="99"/>
      <c r="J223" s="99"/>
      <c r="K223" s="99"/>
    </row>
    <row r="224">
      <c r="C224" s="99"/>
      <c r="D224" s="99"/>
      <c r="E224" s="122"/>
      <c r="F224" s="99"/>
      <c r="G224" s="123"/>
      <c r="H224" s="98"/>
      <c r="I224" s="99"/>
      <c r="J224" s="99"/>
      <c r="K224" s="99"/>
    </row>
    <row r="225">
      <c r="C225" s="99"/>
      <c r="D225" s="99"/>
      <c r="E225" s="122"/>
      <c r="F225" s="99"/>
      <c r="G225" s="123"/>
      <c r="H225" s="98"/>
      <c r="I225" s="99"/>
      <c r="J225" s="99"/>
      <c r="K225" s="99"/>
    </row>
    <row r="226">
      <c r="C226" s="99"/>
      <c r="D226" s="99"/>
      <c r="E226" s="122"/>
      <c r="F226" s="99"/>
      <c r="G226" s="123"/>
      <c r="H226" s="98"/>
      <c r="I226" s="99"/>
      <c r="J226" s="99"/>
      <c r="K226" s="99"/>
    </row>
    <row r="227">
      <c r="C227" s="99"/>
      <c r="D227" s="99"/>
      <c r="E227" s="122"/>
      <c r="F227" s="99"/>
      <c r="G227" s="123"/>
      <c r="H227" s="98"/>
      <c r="I227" s="99"/>
      <c r="J227" s="99"/>
      <c r="K227" s="99"/>
    </row>
    <row r="228">
      <c r="C228" s="99"/>
      <c r="D228" s="99"/>
      <c r="E228" s="122"/>
      <c r="F228" s="99"/>
      <c r="G228" s="123"/>
      <c r="H228" s="98"/>
      <c r="I228" s="99"/>
      <c r="J228" s="99"/>
      <c r="K228" s="99"/>
    </row>
    <row r="229">
      <c r="C229" s="99"/>
      <c r="D229" s="99"/>
      <c r="E229" s="122"/>
      <c r="F229" s="99"/>
      <c r="G229" s="123"/>
      <c r="H229" s="98"/>
      <c r="I229" s="99"/>
      <c r="J229" s="99"/>
      <c r="K229" s="99"/>
    </row>
    <row r="230">
      <c r="C230" s="99"/>
      <c r="D230" s="99"/>
      <c r="E230" s="122"/>
      <c r="F230" s="99"/>
      <c r="G230" s="123"/>
      <c r="H230" s="98"/>
      <c r="I230" s="99"/>
      <c r="J230" s="99"/>
      <c r="K230" s="99"/>
    </row>
    <row r="231">
      <c r="C231" s="99"/>
      <c r="D231" s="99"/>
      <c r="E231" s="122"/>
      <c r="F231" s="99"/>
      <c r="G231" s="123"/>
      <c r="H231" s="98"/>
      <c r="I231" s="99"/>
      <c r="J231" s="99"/>
      <c r="K231" s="99"/>
    </row>
    <row r="232">
      <c r="C232" s="99"/>
      <c r="D232" s="99"/>
      <c r="E232" s="122"/>
      <c r="F232" s="99"/>
      <c r="G232" s="123"/>
      <c r="H232" s="98"/>
      <c r="I232" s="99"/>
      <c r="J232" s="99"/>
      <c r="K232" s="99"/>
    </row>
    <row r="233">
      <c r="C233" s="99"/>
      <c r="D233" s="99"/>
      <c r="E233" s="122"/>
      <c r="F233" s="99"/>
      <c r="G233" s="123"/>
      <c r="H233" s="98"/>
      <c r="I233" s="99"/>
      <c r="J233" s="99"/>
      <c r="K233" s="99"/>
    </row>
    <row r="234">
      <c r="C234" s="99"/>
      <c r="D234" s="99"/>
      <c r="E234" s="122"/>
      <c r="F234" s="99"/>
      <c r="G234" s="123"/>
      <c r="H234" s="98"/>
      <c r="I234" s="99"/>
      <c r="J234" s="99"/>
      <c r="K234" s="99"/>
    </row>
    <row r="235">
      <c r="C235" s="99"/>
      <c r="D235" s="99"/>
      <c r="E235" s="122"/>
      <c r="F235" s="99"/>
      <c r="G235" s="123"/>
      <c r="H235" s="98"/>
      <c r="I235" s="99"/>
      <c r="J235" s="99"/>
      <c r="K235" s="99"/>
    </row>
    <row r="236">
      <c r="C236" s="99"/>
      <c r="D236" s="99"/>
      <c r="E236" s="122"/>
      <c r="F236" s="99"/>
      <c r="G236" s="123"/>
      <c r="H236" s="98"/>
      <c r="I236" s="99"/>
      <c r="J236" s="99"/>
      <c r="K236" s="99"/>
    </row>
    <row r="237">
      <c r="C237" s="99"/>
      <c r="D237" s="99"/>
      <c r="E237" s="122"/>
      <c r="F237" s="99"/>
      <c r="G237" s="123"/>
      <c r="H237" s="98"/>
      <c r="I237" s="99"/>
      <c r="J237" s="99"/>
      <c r="K237" s="99"/>
    </row>
    <row r="238">
      <c r="C238" s="99"/>
      <c r="D238" s="99"/>
      <c r="E238" s="122"/>
      <c r="F238" s="99"/>
      <c r="G238" s="123"/>
      <c r="H238" s="98"/>
      <c r="I238" s="99"/>
      <c r="J238" s="99"/>
      <c r="K238" s="99"/>
    </row>
    <row r="239">
      <c r="C239" s="99"/>
      <c r="D239" s="99"/>
      <c r="E239" s="122"/>
      <c r="F239" s="99"/>
      <c r="G239" s="123"/>
      <c r="H239" s="98"/>
      <c r="I239" s="99"/>
      <c r="J239" s="99"/>
      <c r="K239" s="99"/>
    </row>
    <row r="240">
      <c r="C240" s="99"/>
      <c r="D240" s="99"/>
      <c r="E240" s="122"/>
      <c r="F240" s="99"/>
      <c r="G240" s="123"/>
      <c r="H240" s="98"/>
      <c r="I240" s="99"/>
      <c r="J240" s="99"/>
      <c r="K240" s="99"/>
    </row>
    <row r="241">
      <c r="C241" s="99"/>
      <c r="D241" s="99"/>
      <c r="E241" s="122"/>
      <c r="F241" s="99"/>
      <c r="G241" s="123"/>
      <c r="H241" s="98"/>
      <c r="I241" s="99"/>
      <c r="J241" s="99"/>
      <c r="K241" s="99"/>
    </row>
    <row r="242">
      <c r="C242" s="99"/>
      <c r="D242" s="99"/>
      <c r="E242" s="122"/>
      <c r="F242" s="99"/>
      <c r="G242" s="123"/>
      <c r="H242" s="98"/>
      <c r="I242" s="99"/>
      <c r="J242" s="99"/>
      <c r="K242" s="99"/>
    </row>
    <row r="243">
      <c r="C243" s="99"/>
      <c r="D243" s="99"/>
      <c r="E243" s="122"/>
      <c r="F243" s="99"/>
      <c r="G243" s="123"/>
      <c r="H243" s="98"/>
      <c r="I243" s="99"/>
      <c r="J243" s="99"/>
      <c r="K243" s="99"/>
    </row>
    <row r="244">
      <c r="C244" s="99"/>
      <c r="D244" s="99"/>
      <c r="E244" s="122"/>
      <c r="F244" s="99"/>
      <c r="G244" s="123"/>
      <c r="H244" s="98"/>
      <c r="I244" s="99"/>
      <c r="J244" s="99"/>
      <c r="K244" s="99"/>
    </row>
    <row r="245">
      <c r="C245" s="99"/>
      <c r="D245" s="99"/>
      <c r="E245" s="122"/>
      <c r="F245" s="99"/>
      <c r="G245" s="123"/>
      <c r="H245" s="98"/>
      <c r="I245" s="99"/>
      <c r="J245" s="99"/>
      <c r="K245" s="99"/>
    </row>
    <row r="246">
      <c r="C246" s="99"/>
      <c r="D246" s="99"/>
      <c r="E246" s="122"/>
      <c r="F246" s="99"/>
      <c r="G246" s="123"/>
      <c r="H246" s="98"/>
      <c r="I246" s="99"/>
      <c r="J246" s="99"/>
      <c r="K246" s="99"/>
    </row>
    <row r="247">
      <c r="C247" s="99"/>
      <c r="D247" s="99"/>
      <c r="E247" s="122"/>
      <c r="F247" s="99"/>
      <c r="G247" s="123"/>
      <c r="H247" s="98"/>
      <c r="I247" s="99"/>
      <c r="J247" s="99"/>
      <c r="K247" s="99"/>
    </row>
    <row r="248">
      <c r="C248" s="99"/>
      <c r="D248" s="99"/>
      <c r="E248" s="122"/>
      <c r="F248" s="99"/>
      <c r="G248" s="123"/>
      <c r="H248" s="98"/>
      <c r="I248" s="99"/>
      <c r="J248" s="99"/>
      <c r="K248" s="99"/>
    </row>
    <row r="249">
      <c r="C249" s="99"/>
      <c r="D249" s="99"/>
      <c r="E249" s="122"/>
      <c r="F249" s="99"/>
      <c r="G249" s="123"/>
      <c r="H249" s="98"/>
      <c r="I249" s="99"/>
      <c r="J249" s="99"/>
      <c r="K249" s="99"/>
    </row>
    <row r="250">
      <c r="C250" s="99"/>
      <c r="D250" s="99"/>
      <c r="E250" s="122"/>
      <c r="F250" s="99"/>
      <c r="G250" s="123"/>
      <c r="H250" s="98"/>
      <c r="I250" s="99"/>
      <c r="J250" s="99"/>
      <c r="K250" s="99"/>
    </row>
    <row r="251">
      <c r="C251" s="99"/>
      <c r="D251" s="99"/>
      <c r="E251" s="122"/>
      <c r="F251" s="99"/>
      <c r="G251" s="123"/>
      <c r="H251" s="98"/>
      <c r="I251" s="99"/>
      <c r="J251" s="99"/>
      <c r="K251" s="99"/>
    </row>
    <row r="252">
      <c r="C252" s="99"/>
      <c r="D252" s="99"/>
      <c r="E252" s="122"/>
      <c r="F252" s="99"/>
      <c r="G252" s="123"/>
      <c r="H252" s="98"/>
      <c r="I252" s="99"/>
      <c r="J252" s="99"/>
      <c r="K252" s="99"/>
    </row>
    <row r="253">
      <c r="C253" s="99"/>
      <c r="D253" s="99"/>
      <c r="E253" s="122"/>
      <c r="F253" s="99"/>
      <c r="G253" s="123"/>
      <c r="H253" s="98"/>
      <c r="I253" s="99"/>
      <c r="J253" s="99"/>
      <c r="K253" s="99"/>
    </row>
    <row r="254">
      <c r="C254" s="99"/>
      <c r="D254" s="99"/>
      <c r="E254" s="122"/>
      <c r="F254" s="99"/>
      <c r="G254" s="123"/>
      <c r="H254" s="98"/>
      <c r="I254" s="99"/>
      <c r="J254" s="99"/>
      <c r="K254" s="99"/>
    </row>
    <row r="255">
      <c r="C255" s="99"/>
      <c r="D255" s="99"/>
      <c r="E255" s="122"/>
      <c r="F255" s="99"/>
      <c r="G255" s="123"/>
      <c r="H255" s="98"/>
      <c r="I255" s="99"/>
      <c r="J255" s="99"/>
      <c r="K255" s="99"/>
    </row>
    <row r="256">
      <c r="C256" s="99"/>
      <c r="D256" s="99"/>
      <c r="E256" s="122"/>
      <c r="F256" s="99"/>
      <c r="G256" s="123"/>
      <c r="H256" s="98"/>
      <c r="I256" s="99"/>
      <c r="J256" s="99"/>
      <c r="K256" s="99"/>
    </row>
    <row r="257">
      <c r="C257" s="99"/>
      <c r="D257" s="99"/>
      <c r="E257" s="122"/>
      <c r="F257" s="99"/>
      <c r="G257" s="123"/>
      <c r="H257" s="98"/>
      <c r="I257" s="99"/>
      <c r="J257" s="99"/>
      <c r="K257" s="99"/>
    </row>
    <row r="258">
      <c r="C258" s="99"/>
      <c r="D258" s="99"/>
      <c r="E258" s="122"/>
      <c r="F258" s="99"/>
      <c r="G258" s="123"/>
      <c r="H258" s="98"/>
      <c r="I258" s="99"/>
      <c r="J258" s="99"/>
      <c r="K258" s="99"/>
    </row>
    <row r="259">
      <c r="C259" s="99"/>
      <c r="D259" s="99"/>
      <c r="E259" s="122"/>
      <c r="F259" s="99"/>
      <c r="G259" s="123"/>
      <c r="H259" s="98"/>
      <c r="I259" s="99"/>
      <c r="J259" s="99"/>
      <c r="K259" s="99"/>
    </row>
    <row r="260">
      <c r="C260" s="99"/>
      <c r="D260" s="99"/>
      <c r="E260" s="122"/>
      <c r="F260" s="99"/>
      <c r="G260" s="123"/>
      <c r="H260" s="98"/>
      <c r="I260" s="99"/>
      <c r="J260" s="99"/>
      <c r="K260" s="99"/>
    </row>
    <row r="261">
      <c r="C261" s="99"/>
      <c r="D261" s="99"/>
      <c r="E261" s="122"/>
      <c r="F261" s="99"/>
      <c r="G261" s="123"/>
      <c r="H261" s="98"/>
      <c r="I261" s="99"/>
      <c r="J261" s="99"/>
      <c r="K261" s="99"/>
    </row>
    <row r="262">
      <c r="C262" s="99"/>
      <c r="D262" s="99"/>
      <c r="E262" s="122"/>
      <c r="F262" s="99"/>
      <c r="G262" s="123"/>
      <c r="H262" s="98"/>
      <c r="I262" s="99"/>
      <c r="J262" s="99"/>
      <c r="K262" s="99"/>
    </row>
    <row r="263">
      <c r="C263" s="99"/>
      <c r="D263" s="99"/>
      <c r="E263" s="122"/>
      <c r="F263" s="99"/>
      <c r="G263" s="123"/>
      <c r="H263" s="98"/>
      <c r="I263" s="99"/>
      <c r="J263" s="99"/>
      <c r="K263" s="99"/>
    </row>
    <row r="264">
      <c r="C264" s="99"/>
      <c r="D264" s="99"/>
      <c r="E264" s="122"/>
      <c r="F264" s="99"/>
      <c r="G264" s="123"/>
      <c r="H264" s="98"/>
      <c r="I264" s="99"/>
      <c r="J264" s="99"/>
      <c r="K264" s="99"/>
    </row>
    <row r="265">
      <c r="C265" s="99"/>
      <c r="D265" s="99"/>
      <c r="E265" s="122"/>
      <c r="F265" s="99"/>
      <c r="G265" s="123"/>
      <c r="H265" s="98"/>
      <c r="I265" s="99"/>
      <c r="J265" s="99"/>
      <c r="K265" s="99"/>
    </row>
    <row r="266">
      <c r="C266" s="99"/>
      <c r="D266" s="99"/>
      <c r="E266" s="122"/>
      <c r="F266" s="99"/>
      <c r="G266" s="123"/>
      <c r="H266" s="98"/>
      <c r="I266" s="99"/>
      <c r="J266" s="99"/>
      <c r="K266" s="99"/>
    </row>
    <row r="267">
      <c r="C267" s="99"/>
      <c r="D267" s="99"/>
      <c r="E267" s="122"/>
      <c r="F267" s="99"/>
      <c r="G267" s="123"/>
      <c r="H267" s="98"/>
      <c r="I267" s="99"/>
      <c r="J267" s="99"/>
      <c r="K267" s="99"/>
    </row>
    <row r="268">
      <c r="C268" s="99"/>
      <c r="D268" s="99"/>
      <c r="E268" s="122"/>
      <c r="F268" s="99"/>
      <c r="G268" s="123"/>
      <c r="H268" s="98"/>
      <c r="I268" s="99"/>
      <c r="J268" s="99"/>
      <c r="K268" s="99"/>
    </row>
    <row r="269">
      <c r="C269" s="99"/>
      <c r="D269" s="99"/>
      <c r="E269" s="122"/>
      <c r="F269" s="99"/>
      <c r="G269" s="123"/>
      <c r="H269" s="98"/>
      <c r="I269" s="99"/>
      <c r="J269" s="99"/>
      <c r="K269" s="99"/>
    </row>
    <row r="270">
      <c r="C270" s="99"/>
      <c r="D270" s="99"/>
      <c r="E270" s="122"/>
      <c r="F270" s="99"/>
      <c r="G270" s="123"/>
      <c r="H270" s="98"/>
      <c r="I270" s="99"/>
      <c r="J270" s="99"/>
      <c r="K270" s="99"/>
    </row>
    <row r="271">
      <c r="C271" s="99"/>
      <c r="D271" s="99"/>
      <c r="E271" s="122"/>
      <c r="F271" s="99"/>
      <c r="G271" s="123"/>
      <c r="H271" s="98"/>
      <c r="I271" s="99"/>
      <c r="J271" s="99"/>
      <c r="K271" s="99"/>
    </row>
    <row r="272">
      <c r="C272" s="99"/>
      <c r="D272" s="99"/>
      <c r="E272" s="122"/>
      <c r="F272" s="99"/>
      <c r="G272" s="123"/>
      <c r="H272" s="98"/>
      <c r="I272" s="99"/>
      <c r="J272" s="99"/>
      <c r="K272" s="99"/>
    </row>
    <row r="273">
      <c r="C273" s="99"/>
      <c r="D273" s="99"/>
      <c r="E273" s="122"/>
      <c r="F273" s="99"/>
      <c r="G273" s="123"/>
      <c r="H273" s="98"/>
      <c r="I273" s="99"/>
      <c r="J273" s="99"/>
      <c r="K273" s="99"/>
    </row>
    <row r="274">
      <c r="C274" s="99"/>
      <c r="D274" s="99"/>
      <c r="E274" s="122"/>
      <c r="F274" s="99"/>
      <c r="G274" s="123"/>
      <c r="H274" s="98"/>
      <c r="I274" s="99"/>
      <c r="J274" s="99"/>
      <c r="K274" s="99"/>
    </row>
    <row r="275">
      <c r="C275" s="99"/>
      <c r="D275" s="99"/>
      <c r="E275" s="122"/>
      <c r="F275" s="99"/>
      <c r="G275" s="123"/>
      <c r="H275" s="98"/>
      <c r="I275" s="99"/>
      <c r="J275" s="99"/>
      <c r="K275" s="99"/>
    </row>
    <row r="276">
      <c r="C276" s="99"/>
      <c r="D276" s="99"/>
      <c r="E276" s="122"/>
      <c r="F276" s="99"/>
      <c r="G276" s="123"/>
      <c r="H276" s="98"/>
      <c r="I276" s="99"/>
      <c r="J276" s="99"/>
      <c r="K276" s="99"/>
    </row>
    <row r="277">
      <c r="C277" s="99"/>
      <c r="D277" s="99"/>
      <c r="E277" s="122"/>
      <c r="F277" s="99"/>
      <c r="G277" s="123"/>
      <c r="H277" s="98"/>
      <c r="I277" s="99"/>
      <c r="J277" s="99"/>
      <c r="K277" s="99"/>
    </row>
    <row r="278">
      <c r="C278" s="99"/>
      <c r="D278" s="99"/>
      <c r="E278" s="122"/>
      <c r="F278" s="99"/>
      <c r="G278" s="123"/>
      <c r="H278" s="98"/>
      <c r="I278" s="99"/>
      <c r="J278" s="99"/>
      <c r="K278" s="99"/>
    </row>
    <row r="279">
      <c r="C279" s="99"/>
      <c r="D279" s="99"/>
      <c r="E279" s="122"/>
      <c r="F279" s="99"/>
      <c r="G279" s="123"/>
      <c r="H279" s="98"/>
      <c r="I279" s="99"/>
      <c r="J279" s="99"/>
      <c r="K279" s="99"/>
    </row>
    <row r="280">
      <c r="C280" s="99"/>
      <c r="D280" s="99"/>
      <c r="E280" s="122"/>
      <c r="F280" s="99"/>
      <c r="G280" s="123"/>
      <c r="H280" s="98"/>
      <c r="I280" s="99"/>
      <c r="J280" s="99"/>
      <c r="K280" s="99"/>
    </row>
    <row r="281">
      <c r="C281" s="99"/>
      <c r="D281" s="99"/>
      <c r="E281" s="122"/>
      <c r="F281" s="99"/>
      <c r="G281" s="123"/>
      <c r="H281" s="98"/>
      <c r="I281" s="99"/>
      <c r="J281" s="99"/>
      <c r="K281" s="99"/>
    </row>
    <row r="282">
      <c r="C282" s="99"/>
      <c r="D282" s="99"/>
      <c r="E282" s="122"/>
      <c r="F282" s="99"/>
      <c r="G282" s="123"/>
      <c r="H282" s="98"/>
      <c r="I282" s="99"/>
      <c r="J282" s="99"/>
      <c r="K282" s="99"/>
    </row>
    <row r="283">
      <c r="C283" s="99"/>
      <c r="D283" s="99"/>
      <c r="E283" s="122"/>
      <c r="F283" s="99"/>
      <c r="G283" s="123"/>
      <c r="H283" s="98"/>
      <c r="I283" s="99"/>
      <c r="J283" s="99"/>
      <c r="K283" s="99"/>
    </row>
    <row r="284">
      <c r="C284" s="99"/>
      <c r="D284" s="99"/>
      <c r="E284" s="122"/>
      <c r="F284" s="99"/>
      <c r="G284" s="123"/>
      <c r="H284" s="98"/>
      <c r="I284" s="99"/>
      <c r="J284" s="99"/>
      <c r="K284" s="99"/>
    </row>
    <row r="285">
      <c r="C285" s="99"/>
      <c r="D285" s="99"/>
      <c r="E285" s="122"/>
      <c r="F285" s="99"/>
      <c r="G285" s="123"/>
      <c r="H285" s="98"/>
      <c r="I285" s="99"/>
      <c r="J285" s="99"/>
      <c r="K285" s="99"/>
    </row>
    <row r="286">
      <c r="C286" s="99"/>
      <c r="D286" s="99"/>
      <c r="E286" s="122"/>
      <c r="F286" s="99"/>
      <c r="G286" s="123"/>
      <c r="H286" s="98"/>
      <c r="I286" s="99"/>
      <c r="J286" s="99"/>
      <c r="K286" s="99"/>
    </row>
    <row r="287">
      <c r="C287" s="99"/>
      <c r="D287" s="99"/>
      <c r="E287" s="122"/>
      <c r="F287" s="99"/>
      <c r="G287" s="123"/>
      <c r="H287" s="98"/>
      <c r="I287" s="99"/>
      <c r="J287" s="99"/>
      <c r="K287" s="99"/>
    </row>
    <row r="288">
      <c r="C288" s="99"/>
      <c r="D288" s="99"/>
      <c r="E288" s="122"/>
      <c r="F288" s="99"/>
      <c r="G288" s="123"/>
      <c r="H288" s="98"/>
      <c r="I288" s="99"/>
      <c r="J288" s="99"/>
      <c r="K288" s="99"/>
    </row>
    <row r="289">
      <c r="C289" s="99"/>
      <c r="D289" s="99"/>
      <c r="E289" s="122"/>
      <c r="F289" s="99"/>
      <c r="G289" s="123"/>
      <c r="H289" s="98"/>
      <c r="I289" s="99"/>
      <c r="J289" s="99"/>
      <c r="K289" s="99"/>
    </row>
    <row r="290">
      <c r="C290" s="99"/>
      <c r="D290" s="99"/>
      <c r="E290" s="122"/>
      <c r="F290" s="99"/>
      <c r="G290" s="123"/>
      <c r="H290" s="98"/>
      <c r="I290" s="99"/>
      <c r="J290" s="99"/>
      <c r="K290" s="99"/>
    </row>
    <row r="291">
      <c r="C291" s="99"/>
      <c r="D291" s="99"/>
      <c r="E291" s="122"/>
      <c r="F291" s="99"/>
      <c r="G291" s="123"/>
      <c r="H291" s="98"/>
      <c r="I291" s="99"/>
      <c r="J291" s="99"/>
      <c r="K291" s="99"/>
    </row>
    <row r="292">
      <c r="C292" s="99"/>
      <c r="D292" s="99"/>
      <c r="E292" s="122"/>
      <c r="F292" s="99"/>
      <c r="G292" s="123"/>
      <c r="H292" s="98"/>
      <c r="I292" s="99"/>
      <c r="J292" s="99"/>
      <c r="K292" s="99"/>
    </row>
    <row r="293">
      <c r="C293" s="99"/>
      <c r="D293" s="99"/>
      <c r="E293" s="122"/>
      <c r="F293" s="99"/>
      <c r="G293" s="123"/>
      <c r="H293" s="98"/>
      <c r="I293" s="99"/>
      <c r="J293" s="99"/>
      <c r="K293" s="99"/>
    </row>
    <row r="294">
      <c r="C294" s="99"/>
      <c r="D294" s="99"/>
      <c r="E294" s="122"/>
      <c r="F294" s="99"/>
      <c r="G294" s="123"/>
      <c r="H294" s="98"/>
      <c r="I294" s="99"/>
      <c r="J294" s="99"/>
      <c r="K294" s="99"/>
    </row>
    <row r="295">
      <c r="C295" s="99"/>
      <c r="D295" s="99"/>
      <c r="E295" s="122"/>
      <c r="F295" s="99"/>
      <c r="G295" s="123"/>
      <c r="H295" s="98"/>
      <c r="I295" s="99"/>
      <c r="J295" s="99"/>
      <c r="K295" s="99"/>
    </row>
    <row r="296">
      <c r="C296" s="99"/>
      <c r="D296" s="99"/>
      <c r="E296" s="122"/>
      <c r="F296" s="99"/>
      <c r="G296" s="123"/>
      <c r="H296" s="98"/>
      <c r="I296" s="99"/>
      <c r="J296" s="99"/>
      <c r="K296" s="99"/>
    </row>
    <row r="297">
      <c r="C297" s="99"/>
      <c r="D297" s="99"/>
      <c r="E297" s="122"/>
      <c r="F297" s="99"/>
      <c r="G297" s="123"/>
      <c r="H297" s="98"/>
      <c r="I297" s="99"/>
      <c r="J297" s="99"/>
      <c r="K297" s="99"/>
    </row>
    <row r="298">
      <c r="C298" s="99"/>
      <c r="D298" s="99"/>
      <c r="E298" s="122"/>
      <c r="F298" s="99"/>
      <c r="G298" s="123"/>
      <c r="H298" s="98"/>
      <c r="I298" s="99"/>
      <c r="J298" s="99"/>
      <c r="K298" s="99"/>
    </row>
    <row r="299">
      <c r="C299" s="99"/>
      <c r="D299" s="99"/>
      <c r="E299" s="122"/>
      <c r="F299" s="99"/>
      <c r="G299" s="123"/>
      <c r="H299" s="98"/>
      <c r="I299" s="99"/>
      <c r="J299" s="99"/>
      <c r="K299" s="99"/>
    </row>
    <row r="300">
      <c r="C300" s="99"/>
      <c r="D300" s="99"/>
      <c r="E300" s="122"/>
      <c r="F300" s="99"/>
      <c r="G300" s="123"/>
      <c r="H300" s="98"/>
      <c r="I300" s="99"/>
      <c r="J300" s="99"/>
      <c r="K300" s="99"/>
    </row>
    <row r="301">
      <c r="C301" s="99"/>
      <c r="D301" s="99"/>
      <c r="E301" s="122"/>
      <c r="F301" s="99"/>
      <c r="G301" s="123"/>
      <c r="H301" s="98"/>
      <c r="I301" s="99"/>
      <c r="J301" s="99"/>
      <c r="K301" s="99"/>
    </row>
    <row r="302">
      <c r="C302" s="99"/>
      <c r="D302" s="99"/>
      <c r="E302" s="122"/>
      <c r="F302" s="99"/>
      <c r="G302" s="123"/>
      <c r="H302" s="98"/>
      <c r="I302" s="99"/>
      <c r="J302" s="99"/>
      <c r="K302" s="99"/>
    </row>
    <row r="303">
      <c r="C303" s="99"/>
      <c r="D303" s="99"/>
      <c r="E303" s="122"/>
      <c r="F303" s="99"/>
      <c r="G303" s="123"/>
      <c r="H303" s="98"/>
      <c r="I303" s="99"/>
      <c r="J303" s="99"/>
      <c r="K303" s="99"/>
    </row>
    <row r="304">
      <c r="C304" s="99"/>
      <c r="D304" s="99"/>
      <c r="E304" s="122"/>
      <c r="F304" s="99"/>
      <c r="G304" s="123"/>
      <c r="H304" s="98"/>
      <c r="I304" s="99"/>
      <c r="J304" s="99"/>
      <c r="K304" s="99"/>
    </row>
    <row r="305">
      <c r="C305" s="99"/>
      <c r="D305" s="99"/>
      <c r="E305" s="122"/>
      <c r="F305" s="99"/>
      <c r="G305" s="123"/>
      <c r="H305" s="98"/>
      <c r="I305" s="99"/>
      <c r="J305" s="99"/>
      <c r="K305" s="99"/>
    </row>
    <row r="306">
      <c r="C306" s="99"/>
      <c r="D306" s="99"/>
      <c r="E306" s="122"/>
      <c r="F306" s="99"/>
      <c r="G306" s="123"/>
      <c r="H306" s="98"/>
      <c r="I306" s="99"/>
      <c r="J306" s="99"/>
      <c r="K306" s="99"/>
    </row>
    <row r="307">
      <c r="C307" s="99"/>
      <c r="D307" s="99"/>
      <c r="E307" s="122"/>
      <c r="F307" s="99"/>
      <c r="G307" s="123"/>
      <c r="H307" s="98"/>
      <c r="I307" s="99"/>
      <c r="J307" s="99"/>
      <c r="K307" s="99"/>
    </row>
    <row r="308">
      <c r="C308" s="99"/>
      <c r="D308" s="99"/>
      <c r="E308" s="122"/>
      <c r="F308" s="99"/>
      <c r="G308" s="123"/>
      <c r="H308" s="98"/>
      <c r="I308" s="99"/>
      <c r="J308" s="99"/>
      <c r="K308" s="99"/>
    </row>
    <row r="309">
      <c r="C309" s="99"/>
      <c r="D309" s="99"/>
      <c r="E309" s="122"/>
      <c r="F309" s="99"/>
      <c r="G309" s="123"/>
      <c r="H309" s="98"/>
      <c r="I309" s="99"/>
      <c r="J309" s="99"/>
      <c r="K309" s="99"/>
    </row>
    <row r="310">
      <c r="C310" s="99"/>
      <c r="D310" s="99"/>
      <c r="E310" s="122"/>
      <c r="F310" s="99"/>
      <c r="G310" s="123"/>
      <c r="H310" s="98"/>
      <c r="I310" s="99"/>
      <c r="J310" s="99"/>
      <c r="K310" s="99"/>
    </row>
    <row r="311">
      <c r="C311" s="99"/>
      <c r="D311" s="99"/>
      <c r="E311" s="122"/>
      <c r="F311" s="99"/>
      <c r="G311" s="123"/>
      <c r="H311" s="98"/>
      <c r="I311" s="99"/>
      <c r="J311" s="99"/>
      <c r="K311" s="99"/>
    </row>
    <row r="312">
      <c r="C312" s="99"/>
      <c r="D312" s="99"/>
      <c r="E312" s="122"/>
      <c r="F312" s="99"/>
      <c r="G312" s="123"/>
      <c r="H312" s="98"/>
      <c r="I312" s="99"/>
      <c r="J312" s="99"/>
      <c r="K312" s="99"/>
    </row>
    <row r="313">
      <c r="C313" s="99"/>
      <c r="D313" s="99"/>
      <c r="E313" s="122"/>
      <c r="F313" s="99"/>
      <c r="G313" s="123"/>
      <c r="H313" s="98"/>
      <c r="I313" s="99"/>
      <c r="J313" s="99"/>
      <c r="K313" s="99"/>
    </row>
    <row r="314">
      <c r="C314" s="99"/>
      <c r="D314" s="99"/>
      <c r="E314" s="122"/>
      <c r="F314" s="99"/>
      <c r="G314" s="123"/>
      <c r="H314" s="98"/>
      <c r="I314" s="99"/>
      <c r="J314" s="99"/>
      <c r="K314" s="99"/>
    </row>
    <row r="315">
      <c r="C315" s="99"/>
      <c r="D315" s="99"/>
      <c r="E315" s="122"/>
      <c r="F315" s="99"/>
      <c r="G315" s="123"/>
      <c r="H315" s="98"/>
      <c r="I315" s="99"/>
      <c r="J315" s="99"/>
      <c r="K315" s="99"/>
    </row>
    <row r="316">
      <c r="C316" s="99"/>
      <c r="D316" s="99"/>
      <c r="E316" s="122"/>
      <c r="F316" s="99"/>
      <c r="G316" s="123"/>
      <c r="H316" s="98"/>
      <c r="I316" s="99"/>
      <c r="J316" s="99"/>
      <c r="K316" s="99"/>
    </row>
    <row r="317">
      <c r="C317" s="99"/>
      <c r="D317" s="99"/>
      <c r="E317" s="122"/>
      <c r="F317" s="99"/>
      <c r="G317" s="123"/>
      <c r="H317" s="98"/>
      <c r="I317" s="99"/>
      <c r="J317" s="99"/>
      <c r="K317" s="99"/>
    </row>
    <row r="318">
      <c r="C318" s="99"/>
      <c r="D318" s="99"/>
      <c r="E318" s="122"/>
      <c r="F318" s="99"/>
      <c r="G318" s="123"/>
      <c r="H318" s="98"/>
      <c r="I318" s="99"/>
      <c r="J318" s="99"/>
      <c r="K318" s="99"/>
    </row>
    <row r="319">
      <c r="C319" s="99"/>
      <c r="D319" s="99"/>
      <c r="E319" s="122"/>
      <c r="F319" s="99"/>
      <c r="G319" s="123"/>
      <c r="H319" s="98"/>
      <c r="I319" s="99"/>
      <c r="J319" s="99"/>
      <c r="K319" s="99"/>
    </row>
    <row r="320">
      <c r="C320" s="99"/>
      <c r="D320" s="99"/>
      <c r="E320" s="122"/>
      <c r="F320" s="99"/>
      <c r="G320" s="123"/>
      <c r="H320" s="98"/>
      <c r="I320" s="99"/>
      <c r="J320" s="99"/>
      <c r="K320" s="99"/>
    </row>
    <row r="321">
      <c r="C321" s="99"/>
      <c r="D321" s="99"/>
      <c r="E321" s="122"/>
      <c r="F321" s="99"/>
      <c r="G321" s="123"/>
      <c r="H321" s="98"/>
      <c r="I321" s="99"/>
      <c r="J321" s="99"/>
      <c r="K321" s="99"/>
    </row>
    <row r="322">
      <c r="C322" s="99"/>
      <c r="D322" s="99"/>
      <c r="E322" s="122"/>
      <c r="F322" s="99"/>
      <c r="G322" s="123"/>
      <c r="H322" s="98"/>
      <c r="I322" s="99"/>
      <c r="J322" s="99"/>
      <c r="K322" s="99"/>
    </row>
    <row r="323">
      <c r="C323" s="99"/>
      <c r="D323" s="99"/>
      <c r="E323" s="122"/>
      <c r="F323" s="99"/>
      <c r="G323" s="123"/>
      <c r="H323" s="98"/>
      <c r="I323" s="99"/>
      <c r="J323" s="99"/>
      <c r="K323" s="99"/>
    </row>
    <row r="324">
      <c r="C324" s="99"/>
      <c r="D324" s="99"/>
      <c r="E324" s="122"/>
      <c r="F324" s="99"/>
      <c r="G324" s="123"/>
      <c r="H324" s="98"/>
      <c r="I324" s="99"/>
      <c r="J324" s="99"/>
      <c r="K324" s="99"/>
    </row>
    <row r="325">
      <c r="C325" s="99"/>
      <c r="D325" s="99"/>
      <c r="E325" s="122"/>
      <c r="F325" s="99"/>
      <c r="G325" s="123"/>
      <c r="H325" s="98"/>
      <c r="I325" s="99"/>
      <c r="J325" s="99"/>
      <c r="K325" s="99"/>
    </row>
    <row r="326">
      <c r="C326" s="99"/>
      <c r="D326" s="99"/>
      <c r="E326" s="122"/>
      <c r="F326" s="99"/>
      <c r="G326" s="123"/>
      <c r="H326" s="98"/>
      <c r="I326" s="99"/>
      <c r="J326" s="99"/>
      <c r="K326" s="99"/>
    </row>
    <row r="327">
      <c r="C327" s="99"/>
      <c r="D327" s="99"/>
      <c r="E327" s="122"/>
      <c r="F327" s="99"/>
      <c r="G327" s="123"/>
      <c r="H327" s="98"/>
      <c r="I327" s="99"/>
      <c r="J327" s="99"/>
      <c r="K327" s="99"/>
    </row>
    <row r="328">
      <c r="C328" s="99"/>
      <c r="D328" s="99"/>
      <c r="E328" s="122"/>
      <c r="F328" s="99"/>
      <c r="G328" s="123"/>
      <c r="H328" s="98"/>
      <c r="I328" s="99"/>
      <c r="J328" s="99"/>
      <c r="K328" s="99"/>
    </row>
    <row r="329">
      <c r="C329" s="99"/>
      <c r="D329" s="99"/>
      <c r="E329" s="122"/>
      <c r="F329" s="99"/>
      <c r="G329" s="123"/>
      <c r="H329" s="98"/>
      <c r="I329" s="99"/>
      <c r="J329" s="99"/>
      <c r="K329" s="99"/>
    </row>
    <row r="330">
      <c r="C330" s="99"/>
      <c r="D330" s="99"/>
      <c r="E330" s="122"/>
      <c r="F330" s="99"/>
      <c r="G330" s="123"/>
      <c r="H330" s="98"/>
      <c r="I330" s="99"/>
      <c r="J330" s="99"/>
      <c r="K330" s="99"/>
    </row>
    <row r="331">
      <c r="C331" s="99"/>
      <c r="D331" s="99"/>
      <c r="E331" s="122"/>
      <c r="F331" s="99"/>
      <c r="G331" s="123"/>
      <c r="H331" s="98"/>
      <c r="I331" s="99"/>
      <c r="J331" s="99"/>
      <c r="K331" s="99"/>
    </row>
    <row r="332">
      <c r="C332" s="99"/>
      <c r="D332" s="99"/>
      <c r="E332" s="122"/>
      <c r="F332" s="99"/>
      <c r="G332" s="123"/>
      <c r="H332" s="98"/>
      <c r="I332" s="99"/>
      <c r="J332" s="99"/>
      <c r="K332" s="99"/>
    </row>
    <row r="333">
      <c r="C333" s="99"/>
      <c r="D333" s="99"/>
      <c r="E333" s="122"/>
      <c r="F333" s="99"/>
      <c r="G333" s="123"/>
      <c r="H333" s="98"/>
      <c r="I333" s="99"/>
      <c r="J333" s="99"/>
      <c r="K333" s="99"/>
    </row>
    <row r="334">
      <c r="C334" s="99"/>
      <c r="D334" s="99"/>
      <c r="E334" s="122"/>
      <c r="F334" s="99"/>
      <c r="G334" s="123"/>
      <c r="H334" s="98"/>
      <c r="I334" s="99"/>
      <c r="J334" s="99"/>
      <c r="K334" s="99"/>
    </row>
    <row r="335">
      <c r="C335" s="99"/>
      <c r="D335" s="99"/>
      <c r="E335" s="122"/>
      <c r="F335" s="99"/>
      <c r="G335" s="123"/>
      <c r="H335" s="98"/>
      <c r="I335" s="99"/>
      <c r="J335" s="99"/>
      <c r="K335" s="99"/>
    </row>
    <row r="336">
      <c r="C336" s="99"/>
      <c r="D336" s="99"/>
      <c r="E336" s="122"/>
      <c r="F336" s="99"/>
      <c r="G336" s="123"/>
      <c r="H336" s="98"/>
      <c r="I336" s="99"/>
      <c r="J336" s="99"/>
      <c r="K336" s="99"/>
    </row>
    <row r="337">
      <c r="C337" s="99"/>
      <c r="D337" s="99"/>
      <c r="E337" s="122"/>
      <c r="F337" s="99"/>
      <c r="G337" s="123"/>
      <c r="H337" s="98"/>
      <c r="I337" s="99"/>
      <c r="J337" s="99"/>
      <c r="K337" s="99"/>
    </row>
    <row r="338">
      <c r="C338" s="99"/>
      <c r="D338" s="99"/>
      <c r="E338" s="122"/>
      <c r="F338" s="99"/>
      <c r="G338" s="123"/>
      <c r="H338" s="98"/>
      <c r="I338" s="99"/>
      <c r="J338" s="99"/>
      <c r="K338" s="99"/>
    </row>
    <row r="339">
      <c r="C339" s="99"/>
      <c r="D339" s="99"/>
      <c r="E339" s="122"/>
      <c r="F339" s="99"/>
      <c r="G339" s="123"/>
      <c r="H339" s="98"/>
      <c r="I339" s="99"/>
      <c r="J339" s="99"/>
      <c r="K339" s="99"/>
    </row>
    <row r="340">
      <c r="C340" s="99"/>
      <c r="D340" s="99"/>
      <c r="E340" s="122"/>
      <c r="F340" s="99"/>
      <c r="G340" s="123"/>
      <c r="H340" s="98"/>
      <c r="I340" s="99"/>
      <c r="J340" s="99"/>
      <c r="K340" s="99"/>
    </row>
    <row r="341">
      <c r="C341" s="99"/>
      <c r="D341" s="99"/>
      <c r="E341" s="122"/>
      <c r="F341" s="99"/>
      <c r="G341" s="123"/>
      <c r="H341" s="98"/>
      <c r="I341" s="99"/>
      <c r="J341" s="99"/>
      <c r="K341" s="99"/>
    </row>
    <row r="342">
      <c r="C342" s="99"/>
      <c r="D342" s="99"/>
      <c r="E342" s="122"/>
      <c r="F342" s="99"/>
      <c r="G342" s="123"/>
      <c r="H342" s="98"/>
      <c r="I342" s="99"/>
      <c r="J342" s="99"/>
      <c r="K342" s="99"/>
    </row>
    <row r="343">
      <c r="C343" s="99"/>
      <c r="D343" s="99"/>
      <c r="E343" s="122"/>
      <c r="F343" s="99"/>
      <c r="G343" s="123"/>
      <c r="H343" s="98"/>
      <c r="I343" s="99"/>
      <c r="J343" s="99"/>
      <c r="K343" s="99"/>
    </row>
    <row r="344">
      <c r="C344" s="99"/>
      <c r="D344" s="99"/>
      <c r="E344" s="122"/>
      <c r="F344" s="99"/>
      <c r="G344" s="123"/>
      <c r="H344" s="98"/>
      <c r="I344" s="99"/>
      <c r="J344" s="99"/>
      <c r="K344" s="99"/>
    </row>
    <row r="345">
      <c r="C345" s="99"/>
      <c r="D345" s="99"/>
      <c r="E345" s="122"/>
      <c r="F345" s="99"/>
      <c r="G345" s="123"/>
      <c r="H345" s="98"/>
      <c r="I345" s="99"/>
      <c r="J345" s="99"/>
      <c r="K345" s="99"/>
    </row>
    <row r="346">
      <c r="C346" s="99"/>
      <c r="D346" s="99"/>
      <c r="E346" s="122"/>
      <c r="F346" s="99"/>
      <c r="G346" s="123"/>
      <c r="H346" s="98"/>
      <c r="I346" s="99"/>
      <c r="J346" s="99"/>
      <c r="K346" s="99"/>
    </row>
    <row r="347">
      <c r="C347" s="99"/>
      <c r="D347" s="99"/>
      <c r="E347" s="122"/>
      <c r="F347" s="99"/>
      <c r="G347" s="123"/>
      <c r="H347" s="98"/>
      <c r="I347" s="99"/>
      <c r="J347" s="99"/>
      <c r="K347" s="99"/>
    </row>
    <row r="348">
      <c r="C348" s="99"/>
      <c r="D348" s="99"/>
      <c r="E348" s="122"/>
      <c r="F348" s="99"/>
      <c r="G348" s="123"/>
      <c r="H348" s="98"/>
      <c r="I348" s="99"/>
      <c r="J348" s="99"/>
      <c r="K348" s="99"/>
    </row>
    <row r="349">
      <c r="C349" s="99"/>
      <c r="D349" s="99"/>
      <c r="E349" s="122"/>
      <c r="F349" s="99"/>
      <c r="G349" s="123"/>
      <c r="H349" s="98"/>
      <c r="I349" s="99"/>
      <c r="J349" s="99"/>
      <c r="K349" s="99"/>
    </row>
    <row r="350">
      <c r="C350" s="99"/>
      <c r="D350" s="99"/>
      <c r="E350" s="122"/>
      <c r="F350" s="99"/>
      <c r="G350" s="123"/>
      <c r="H350" s="98"/>
      <c r="I350" s="99"/>
      <c r="J350" s="99"/>
      <c r="K350" s="99"/>
    </row>
    <row r="351">
      <c r="C351" s="99"/>
      <c r="D351" s="99"/>
      <c r="E351" s="122"/>
      <c r="F351" s="99"/>
      <c r="G351" s="123"/>
      <c r="H351" s="98"/>
      <c r="I351" s="99"/>
      <c r="J351" s="99"/>
      <c r="K351" s="99"/>
    </row>
    <row r="352">
      <c r="C352" s="99"/>
      <c r="D352" s="99"/>
      <c r="E352" s="122"/>
      <c r="F352" s="99"/>
      <c r="G352" s="123"/>
      <c r="H352" s="98"/>
      <c r="I352" s="99"/>
      <c r="J352" s="99"/>
      <c r="K352" s="99"/>
    </row>
    <row r="353">
      <c r="C353" s="99"/>
      <c r="D353" s="99"/>
      <c r="E353" s="122"/>
      <c r="F353" s="99"/>
      <c r="G353" s="123"/>
      <c r="H353" s="98"/>
      <c r="I353" s="99"/>
      <c r="J353" s="99"/>
      <c r="K353" s="99"/>
    </row>
    <row r="354">
      <c r="C354" s="99"/>
      <c r="D354" s="99"/>
      <c r="E354" s="122"/>
      <c r="F354" s="99"/>
      <c r="G354" s="123"/>
      <c r="H354" s="98"/>
      <c r="I354" s="99"/>
      <c r="J354" s="99"/>
      <c r="K354" s="99"/>
    </row>
    <row r="355">
      <c r="C355" s="99"/>
      <c r="D355" s="99"/>
      <c r="E355" s="122"/>
      <c r="F355" s="99"/>
      <c r="G355" s="123"/>
      <c r="H355" s="98"/>
      <c r="I355" s="99"/>
      <c r="J355" s="99"/>
      <c r="K355" s="99"/>
    </row>
    <row r="356">
      <c r="C356" s="99"/>
      <c r="D356" s="99"/>
      <c r="E356" s="122"/>
      <c r="F356" s="99"/>
      <c r="G356" s="123"/>
      <c r="H356" s="98"/>
      <c r="I356" s="99"/>
      <c r="J356" s="99"/>
      <c r="K356" s="99"/>
    </row>
    <row r="357">
      <c r="C357" s="99"/>
      <c r="D357" s="99"/>
      <c r="E357" s="122"/>
      <c r="F357" s="99"/>
      <c r="G357" s="123"/>
      <c r="H357" s="98"/>
      <c r="I357" s="99"/>
      <c r="J357" s="99"/>
      <c r="K357" s="99"/>
    </row>
    <row r="358">
      <c r="C358" s="99"/>
      <c r="D358" s="99"/>
      <c r="E358" s="122"/>
      <c r="F358" s="99"/>
      <c r="G358" s="123"/>
      <c r="H358" s="98"/>
      <c r="I358" s="99"/>
      <c r="J358" s="99"/>
      <c r="K358" s="99"/>
    </row>
    <row r="359">
      <c r="C359" s="99"/>
      <c r="D359" s="99"/>
      <c r="E359" s="122"/>
      <c r="F359" s="99"/>
      <c r="G359" s="123"/>
      <c r="H359" s="98"/>
      <c r="I359" s="99"/>
      <c r="J359" s="99"/>
      <c r="K359" s="99"/>
    </row>
    <row r="360">
      <c r="C360" s="99"/>
      <c r="D360" s="99"/>
      <c r="E360" s="122"/>
      <c r="F360" s="99"/>
      <c r="G360" s="123"/>
      <c r="H360" s="98"/>
      <c r="I360" s="99"/>
      <c r="J360" s="99"/>
      <c r="K360" s="99"/>
    </row>
    <row r="361">
      <c r="C361" s="99"/>
      <c r="D361" s="99"/>
      <c r="E361" s="122"/>
      <c r="F361" s="99"/>
      <c r="G361" s="123"/>
      <c r="H361" s="98"/>
      <c r="I361" s="99"/>
      <c r="J361" s="99"/>
      <c r="K361" s="99"/>
    </row>
    <row r="362">
      <c r="C362" s="99"/>
      <c r="D362" s="99"/>
      <c r="E362" s="122"/>
      <c r="F362" s="99"/>
      <c r="G362" s="123"/>
      <c r="H362" s="98"/>
      <c r="I362" s="99"/>
      <c r="J362" s="99"/>
      <c r="K362" s="99"/>
    </row>
    <row r="363">
      <c r="C363" s="99"/>
      <c r="D363" s="99"/>
      <c r="E363" s="122"/>
      <c r="F363" s="99"/>
      <c r="G363" s="123"/>
      <c r="H363" s="98"/>
      <c r="I363" s="99"/>
      <c r="J363" s="99"/>
      <c r="K363" s="99"/>
    </row>
    <row r="364">
      <c r="C364" s="99"/>
      <c r="D364" s="99"/>
      <c r="E364" s="122"/>
      <c r="F364" s="99"/>
      <c r="G364" s="123"/>
      <c r="H364" s="98"/>
      <c r="I364" s="99"/>
      <c r="J364" s="99"/>
      <c r="K364" s="99"/>
    </row>
    <row r="365">
      <c r="C365" s="99"/>
      <c r="D365" s="99"/>
      <c r="E365" s="122"/>
      <c r="F365" s="99"/>
      <c r="G365" s="123"/>
      <c r="H365" s="98"/>
      <c r="I365" s="99"/>
      <c r="J365" s="99"/>
      <c r="K365" s="99"/>
    </row>
    <row r="366">
      <c r="C366" s="99"/>
      <c r="D366" s="99"/>
      <c r="E366" s="122"/>
      <c r="F366" s="99"/>
      <c r="G366" s="123"/>
      <c r="H366" s="98"/>
      <c r="I366" s="99"/>
      <c r="J366" s="99"/>
      <c r="K366" s="99"/>
    </row>
    <row r="367">
      <c r="C367" s="99"/>
      <c r="D367" s="99"/>
      <c r="E367" s="122"/>
      <c r="F367" s="99"/>
      <c r="G367" s="123"/>
      <c r="H367" s="98"/>
      <c r="I367" s="99"/>
      <c r="J367" s="99"/>
      <c r="K367" s="99"/>
    </row>
    <row r="368">
      <c r="C368" s="99"/>
      <c r="D368" s="99"/>
      <c r="E368" s="122"/>
      <c r="F368" s="99"/>
      <c r="G368" s="123"/>
      <c r="H368" s="98"/>
      <c r="I368" s="99"/>
      <c r="J368" s="99"/>
      <c r="K368" s="99"/>
    </row>
    <row r="369">
      <c r="C369" s="99"/>
      <c r="D369" s="99"/>
      <c r="E369" s="122"/>
      <c r="F369" s="99"/>
      <c r="G369" s="123"/>
      <c r="H369" s="98"/>
      <c r="I369" s="99"/>
      <c r="J369" s="99"/>
      <c r="K369" s="99"/>
    </row>
    <row r="370">
      <c r="C370" s="99"/>
      <c r="D370" s="99"/>
      <c r="E370" s="122"/>
      <c r="F370" s="99"/>
      <c r="G370" s="123"/>
      <c r="H370" s="98"/>
      <c r="I370" s="99"/>
      <c r="J370" s="99"/>
      <c r="K370" s="99"/>
    </row>
    <row r="371">
      <c r="C371" s="99"/>
      <c r="D371" s="99"/>
      <c r="E371" s="122"/>
      <c r="F371" s="99"/>
      <c r="G371" s="123"/>
      <c r="H371" s="98"/>
      <c r="I371" s="99"/>
      <c r="J371" s="99"/>
      <c r="K371" s="99"/>
    </row>
    <row r="372">
      <c r="C372" s="99"/>
      <c r="D372" s="99"/>
      <c r="E372" s="122"/>
      <c r="F372" s="99"/>
      <c r="G372" s="123"/>
      <c r="H372" s="98"/>
      <c r="I372" s="99"/>
      <c r="J372" s="99"/>
      <c r="K372" s="99"/>
    </row>
    <row r="373">
      <c r="C373" s="99"/>
      <c r="D373" s="99"/>
      <c r="E373" s="122"/>
      <c r="F373" s="99"/>
      <c r="G373" s="123"/>
      <c r="H373" s="98"/>
      <c r="I373" s="99"/>
      <c r="J373" s="99"/>
      <c r="K373" s="99"/>
    </row>
    <row r="374">
      <c r="C374" s="99"/>
      <c r="D374" s="99"/>
      <c r="E374" s="122"/>
      <c r="F374" s="99"/>
      <c r="G374" s="123"/>
      <c r="H374" s="98"/>
      <c r="I374" s="99"/>
      <c r="J374" s="99"/>
      <c r="K374" s="99"/>
    </row>
    <row r="375">
      <c r="C375" s="99"/>
      <c r="D375" s="99"/>
      <c r="E375" s="122"/>
      <c r="F375" s="99"/>
      <c r="G375" s="123"/>
      <c r="H375" s="98"/>
      <c r="I375" s="99"/>
      <c r="J375" s="99"/>
      <c r="K375" s="99"/>
    </row>
    <row r="376">
      <c r="C376" s="99"/>
      <c r="D376" s="99"/>
      <c r="E376" s="122"/>
      <c r="F376" s="99"/>
      <c r="G376" s="123"/>
      <c r="H376" s="98"/>
      <c r="I376" s="99"/>
      <c r="J376" s="99"/>
      <c r="K376" s="99"/>
    </row>
    <row r="377">
      <c r="C377" s="99"/>
      <c r="D377" s="99"/>
      <c r="E377" s="122"/>
      <c r="F377" s="99"/>
      <c r="G377" s="123"/>
      <c r="H377" s="98"/>
      <c r="I377" s="99"/>
      <c r="J377" s="99"/>
      <c r="K377" s="99"/>
    </row>
    <row r="378">
      <c r="C378" s="99"/>
      <c r="D378" s="99"/>
      <c r="E378" s="122"/>
      <c r="F378" s="99"/>
      <c r="G378" s="123"/>
      <c r="H378" s="98"/>
      <c r="I378" s="99"/>
      <c r="J378" s="99"/>
      <c r="K378" s="99"/>
    </row>
    <row r="379">
      <c r="C379" s="99"/>
      <c r="D379" s="99"/>
      <c r="E379" s="122"/>
      <c r="F379" s="99"/>
      <c r="G379" s="123"/>
      <c r="H379" s="98"/>
      <c r="I379" s="99"/>
      <c r="J379" s="99"/>
      <c r="K379" s="99"/>
    </row>
    <row r="380">
      <c r="C380" s="99"/>
      <c r="D380" s="99"/>
      <c r="E380" s="122"/>
      <c r="F380" s="99"/>
      <c r="G380" s="123"/>
      <c r="H380" s="98"/>
      <c r="I380" s="99"/>
      <c r="J380" s="99"/>
      <c r="K380" s="99"/>
    </row>
    <row r="381">
      <c r="C381" s="99"/>
      <c r="D381" s="99"/>
      <c r="E381" s="122"/>
      <c r="F381" s="99"/>
      <c r="G381" s="123"/>
      <c r="H381" s="98"/>
      <c r="I381" s="99"/>
      <c r="J381" s="99"/>
      <c r="K381" s="99"/>
    </row>
    <row r="382">
      <c r="C382" s="99"/>
      <c r="D382" s="99"/>
      <c r="E382" s="122"/>
      <c r="F382" s="99"/>
      <c r="G382" s="123"/>
      <c r="H382" s="98"/>
      <c r="I382" s="99"/>
      <c r="J382" s="99"/>
      <c r="K382" s="99"/>
    </row>
    <row r="383">
      <c r="C383" s="99"/>
      <c r="D383" s="99"/>
      <c r="E383" s="122"/>
      <c r="F383" s="99"/>
      <c r="G383" s="123"/>
      <c r="H383" s="98"/>
      <c r="I383" s="99"/>
      <c r="J383" s="99"/>
      <c r="K383" s="99"/>
    </row>
    <row r="384">
      <c r="C384" s="99"/>
      <c r="D384" s="99"/>
      <c r="E384" s="122"/>
      <c r="F384" s="99"/>
      <c r="G384" s="123"/>
      <c r="H384" s="98"/>
      <c r="I384" s="99"/>
      <c r="J384" s="99"/>
      <c r="K384" s="99"/>
    </row>
    <row r="385">
      <c r="C385" s="99"/>
      <c r="D385" s="99"/>
      <c r="E385" s="122"/>
      <c r="F385" s="99"/>
      <c r="G385" s="123"/>
      <c r="H385" s="98"/>
      <c r="I385" s="99"/>
      <c r="J385" s="99"/>
      <c r="K385" s="99"/>
    </row>
    <row r="386">
      <c r="C386" s="99"/>
      <c r="D386" s="99"/>
      <c r="E386" s="122"/>
      <c r="F386" s="99"/>
      <c r="G386" s="123"/>
      <c r="H386" s="98"/>
      <c r="I386" s="99"/>
      <c r="J386" s="99"/>
      <c r="K386" s="99"/>
    </row>
    <row r="387">
      <c r="C387" s="99"/>
      <c r="D387" s="99"/>
      <c r="E387" s="122"/>
      <c r="F387" s="99"/>
      <c r="G387" s="123"/>
      <c r="H387" s="98"/>
      <c r="I387" s="99"/>
      <c r="J387" s="99"/>
      <c r="K387" s="99"/>
    </row>
    <row r="388">
      <c r="C388" s="99"/>
      <c r="D388" s="99"/>
      <c r="E388" s="122"/>
      <c r="F388" s="99"/>
      <c r="G388" s="123"/>
      <c r="H388" s="98"/>
      <c r="I388" s="99"/>
      <c r="J388" s="99"/>
      <c r="K388" s="99"/>
    </row>
    <row r="389">
      <c r="C389" s="99"/>
      <c r="D389" s="99"/>
      <c r="E389" s="122"/>
      <c r="F389" s="99"/>
      <c r="G389" s="123"/>
      <c r="H389" s="98"/>
      <c r="I389" s="99"/>
      <c r="J389" s="99"/>
      <c r="K389" s="99"/>
    </row>
    <row r="390">
      <c r="C390" s="99"/>
      <c r="D390" s="99"/>
      <c r="E390" s="122"/>
      <c r="F390" s="99"/>
      <c r="G390" s="123"/>
      <c r="H390" s="98"/>
      <c r="I390" s="99"/>
      <c r="J390" s="99"/>
      <c r="K390" s="99"/>
    </row>
    <row r="391">
      <c r="C391" s="99"/>
      <c r="D391" s="99"/>
      <c r="E391" s="122"/>
      <c r="F391" s="99"/>
      <c r="G391" s="123"/>
      <c r="H391" s="98"/>
      <c r="I391" s="99"/>
      <c r="J391" s="99"/>
      <c r="K391" s="99"/>
    </row>
    <row r="392">
      <c r="C392" s="99"/>
      <c r="D392" s="99"/>
      <c r="E392" s="122"/>
      <c r="F392" s="99"/>
      <c r="G392" s="123"/>
      <c r="H392" s="98"/>
      <c r="I392" s="99"/>
      <c r="J392" s="99"/>
      <c r="K392" s="99"/>
    </row>
    <row r="393">
      <c r="C393" s="99"/>
      <c r="D393" s="99"/>
      <c r="E393" s="122"/>
      <c r="F393" s="99"/>
      <c r="G393" s="123"/>
      <c r="H393" s="98"/>
      <c r="I393" s="99"/>
      <c r="J393" s="99"/>
      <c r="K393" s="99"/>
    </row>
    <row r="394">
      <c r="C394" s="99"/>
      <c r="D394" s="99"/>
      <c r="E394" s="122"/>
      <c r="F394" s="99"/>
      <c r="G394" s="123"/>
      <c r="H394" s="98"/>
      <c r="I394" s="99"/>
      <c r="J394" s="99"/>
      <c r="K394" s="99"/>
    </row>
    <row r="395">
      <c r="C395" s="99"/>
      <c r="D395" s="99"/>
      <c r="E395" s="122"/>
      <c r="F395" s="99"/>
      <c r="G395" s="123"/>
      <c r="H395" s="98"/>
      <c r="I395" s="99"/>
      <c r="J395" s="99"/>
      <c r="K395" s="99"/>
    </row>
    <row r="396">
      <c r="C396" s="99"/>
      <c r="D396" s="99"/>
      <c r="E396" s="122"/>
      <c r="F396" s="99"/>
      <c r="G396" s="123"/>
      <c r="H396" s="98"/>
      <c r="I396" s="99"/>
      <c r="J396" s="99"/>
      <c r="K396" s="99"/>
    </row>
    <row r="397">
      <c r="C397" s="99"/>
      <c r="D397" s="99"/>
      <c r="E397" s="122"/>
      <c r="F397" s="99"/>
      <c r="G397" s="123"/>
      <c r="H397" s="98"/>
      <c r="I397" s="99"/>
      <c r="J397" s="99"/>
      <c r="K397" s="99"/>
    </row>
    <row r="398">
      <c r="C398" s="99"/>
      <c r="D398" s="99"/>
      <c r="E398" s="122"/>
      <c r="F398" s="99"/>
      <c r="G398" s="123"/>
      <c r="H398" s="98"/>
      <c r="I398" s="99"/>
      <c r="J398" s="99"/>
      <c r="K398" s="99"/>
    </row>
    <row r="399">
      <c r="C399" s="99"/>
      <c r="D399" s="99"/>
      <c r="E399" s="122"/>
      <c r="F399" s="99"/>
      <c r="G399" s="123"/>
      <c r="H399" s="98"/>
      <c r="I399" s="99"/>
      <c r="J399" s="99"/>
      <c r="K399" s="99"/>
    </row>
    <row r="400">
      <c r="C400" s="99"/>
      <c r="D400" s="99"/>
      <c r="E400" s="122"/>
      <c r="F400" s="99"/>
      <c r="G400" s="123"/>
      <c r="H400" s="98"/>
      <c r="I400" s="99"/>
      <c r="J400" s="99"/>
      <c r="K400" s="99"/>
    </row>
    <row r="401">
      <c r="C401" s="99"/>
      <c r="D401" s="99"/>
      <c r="E401" s="122"/>
      <c r="F401" s="99"/>
      <c r="G401" s="123"/>
      <c r="H401" s="98"/>
      <c r="I401" s="99"/>
      <c r="J401" s="99"/>
      <c r="K401" s="99"/>
    </row>
    <row r="402">
      <c r="C402" s="99"/>
      <c r="D402" s="99"/>
      <c r="E402" s="122"/>
      <c r="F402" s="99"/>
      <c r="G402" s="123"/>
      <c r="H402" s="98"/>
      <c r="I402" s="99"/>
      <c r="J402" s="99"/>
      <c r="K402" s="99"/>
    </row>
    <row r="403">
      <c r="C403" s="99"/>
      <c r="D403" s="99"/>
      <c r="E403" s="122"/>
      <c r="F403" s="99"/>
      <c r="G403" s="123"/>
      <c r="H403" s="98"/>
      <c r="I403" s="99"/>
      <c r="J403" s="99"/>
      <c r="K403" s="99"/>
    </row>
    <row r="404">
      <c r="C404" s="99"/>
      <c r="D404" s="99"/>
      <c r="E404" s="122"/>
      <c r="F404" s="99"/>
      <c r="G404" s="123"/>
      <c r="H404" s="98"/>
      <c r="I404" s="99"/>
      <c r="J404" s="99"/>
      <c r="K404" s="99"/>
    </row>
    <row r="405">
      <c r="C405" s="99"/>
      <c r="D405" s="99"/>
      <c r="E405" s="122"/>
      <c r="F405" s="99"/>
      <c r="G405" s="123"/>
      <c r="H405" s="98"/>
      <c r="I405" s="99"/>
      <c r="J405" s="99"/>
      <c r="K405" s="99"/>
    </row>
    <row r="406">
      <c r="C406" s="99"/>
      <c r="D406" s="99"/>
      <c r="E406" s="122"/>
      <c r="F406" s="99"/>
      <c r="G406" s="123"/>
      <c r="H406" s="98"/>
      <c r="I406" s="99"/>
      <c r="J406" s="99"/>
      <c r="K406" s="99"/>
    </row>
    <row r="407">
      <c r="C407" s="99"/>
      <c r="D407" s="99"/>
      <c r="E407" s="122"/>
      <c r="F407" s="99"/>
      <c r="G407" s="123"/>
      <c r="H407" s="98"/>
      <c r="I407" s="99"/>
      <c r="J407" s="99"/>
      <c r="K407" s="99"/>
    </row>
    <row r="408">
      <c r="C408" s="99"/>
      <c r="D408" s="99"/>
      <c r="E408" s="122"/>
      <c r="F408" s="99"/>
      <c r="G408" s="123"/>
      <c r="H408" s="98"/>
      <c r="I408" s="99"/>
      <c r="J408" s="99"/>
      <c r="K408" s="99"/>
    </row>
    <row r="409">
      <c r="C409" s="99"/>
      <c r="D409" s="99"/>
      <c r="E409" s="122"/>
      <c r="F409" s="99"/>
      <c r="G409" s="123"/>
      <c r="H409" s="98"/>
      <c r="I409" s="99"/>
      <c r="J409" s="99"/>
      <c r="K409" s="99"/>
    </row>
    <row r="410">
      <c r="C410" s="99"/>
      <c r="D410" s="99"/>
      <c r="E410" s="122"/>
      <c r="F410" s="99"/>
      <c r="G410" s="123"/>
      <c r="H410" s="98"/>
      <c r="I410" s="99"/>
      <c r="J410" s="99"/>
      <c r="K410" s="99"/>
    </row>
    <row r="411">
      <c r="C411" s="99"/>
      <c r="D411" s="99"/>
      <c r="E411" s="122"/>
      <c r="F411" s="99"/>
      <c r="G411" s="123"/>
      <c r="H411" s="98"/>
      <c r="I411" s="99"/>
      <c r="J411" s="99"/>
      <c r="K411" s="99"/>
    </row>
    <row r="412">
      <c r="C412" s="99"/>
      <c r="D412" s="99"/>
      <c r="E412" s="122"/>
      <c r="F412" s="99"/>
      <c r="G412" s="123"/>
      <c r="H412" s="98"/>
      <c r="I412" s="99"/>
      <c r="J412" s="99"/>
      <c r="K412" s="99"/>
    </row>
    <row r="413">
      <c r="C413" s="99"/>
      <c r="D413" s="99"/>
      <c r="E413" s="122"/>
      <c r="F413" s="99"/>
      <c r="G413" s="123"/>
      <c r="H413" s="98"/>
      <c r="I413" s="99"/>
      <c r="J413" s="99"/>
      <c r="K413" s="99"/>
    </row>
    <row r="414">
      <c r="C414" s="99"/>
      <c r="D414" s="99"/>
      <c r="E414" s="122"/>
      <c r="F414" s="99"/>
      <c r="G414" s="123"/>
      <c r="H414" s="98"/>
      <c r="I414" s="99"/>
      <c r="J414" s="99"/>
      <c r="K414" s="99"/>
    </row>
    <row r="415">
      <c r="C415" s="99"/>
      <c r="D415" s="99"/>
      <c r="E415" s="122"/>
      <c r="F415" s="99"/>
      <c r="G415" s="123"/>
      <c r="H415" s="98"/>
      <c r="I415" s="99"/>
      <c r="J415" s="99"/>
      <c r="K415" s="99"/>
    </row>
    <row r="416">
      <c r="C416" s="99"/>
      <c r="D416" s="99"/>
      <c r="E416" s="122"/>
      <c r="F416" s="99"/>
      <c r="G416" s="123"/>
      <c r="H416" s="98"/>
      <c r="I416" s="99"/>
      <c r="J416" s="99"/>
      <c r="K416" s="99"/>
    </row>
    <row r="417">
      <c r="C417" s="99"/>
      <c r="D417" s="99"/>
      <c r="E417" s="122"/>
      <c r="F417" s="99"/>
      <c r="G417" s="123"/>
      <c r="H417" s="98"/>
      <c r="I417" s="99"/>
      <c r="J417" s="99"/>
      <c r="K417" s="99"/>
    </row>
    <row r="418">
      <c r="C418" s="99"/>
      <c r="D418" s="99"/>
      <c r="E418" s="122"/>
      <c r="F418" s="99"/>
      <c r="G418" s="123"/>
      <c r="H418" s="98"/>
      <c r="I418" s="99"/>
      <c r="J418" s="99"/>
      <c r="K418" s="99"/>
    </row>
    <row r="419">
      <c r="C419" s="99"/>
      <c r="D419" s="99"/>
      <c r="E419" s="122"/>
      <c r="F419" s="99"/>
      <c r="G419" s="123"/>
      <c r="H419" s="98"/>
      <c r="I419" s="99"/>
      <c r="J419" s="99"/>
      <c r="K419" s="99"/>
    </row>
    <row r="420">
      <c r="C420" s="99"/>
      <c r="D420" s="99"/>
      <c r="E420" s="122"/>
      <c r="F420" s="99"/>
      <c r="G420" s="123"/>
      <c r="H420" s="98"/>
      <c r="I420" s="99"/>
      <c r="J420" s="99"/>
      <c r="K420" s="99"/>
    </row>
    <row r="421">
      <c r="C421" s="99"/>
      <c r="D421" s="99"/>
      <c r="E421" s="122"/>
      <c r="F421" s="99"/>
      <c r="G421" s="123"/>
      <c r="H421" s="98"/>
      <c r="I421" s="99"/>
      <c r="J421" s="99"/>
      <c r="K421" s="99"/>
    </row>
    <row r="422">
      <c r="C422" s="99"/>
      <c r="D422" s="99"/>
      <c r="E422" s="122"/>
      <c r="F422" s="99"/>
      <c r="G422" s="123"/>
      <c r="H422" s="98"/>
      <c r="I422" s="99"/>
      <c r="J422" s="99"/>
      <c r="K422" s="99"/>
    </row>
    <row r="423">
      <c r="C423" s="99"/>
      <c r="D423" s="99"/>
      <c r="E423" s="122"/>
      <c r="F423" s="99"/>
      <c r="G423" s="123"/>
      <c r="H423" s="98"/>
      <c r="I423" s="99"/>
      <c r="J423" s="99"/>
      <c r="K423" s="99"/>
    </row>
    <row r="424">
      <c r="C424" s="99"/>
      <c r="D424" s="99"/>
      <c r="E424" s="122"/>
      <c r="F424" s="99"/>
      <c r="G424" s="123"/>
      <c r="H424" s="98"/>
      <c r="I424" s="99"/>
      <c r="J424" s="99"/>
      <c r="K424" s="99"/>
    </row>
    <row r="425">
      <c r="C425" s="99"/>
      <c r="D425" s="99"/>
      <c r="E425" s="122"/>
      <c r="F425" s="99"/>
      <c r="G425" s="123"/>
      <c r="H425" s="98"/>
      <c r="I425" s="99"/>
      <c r="J425" s="99"/>
      <c r="K425" s="99"/>
    </row>
    <row r="426">
      <c r="C426" s="99"/>
      <c r="D426" s="99"/>
      <c r="E426" s="122"/>
      <c r="F426" s="99"/>
      <c r="G426" s="123"/>
      <c r="H426" s="98"/>
      <c r="I426" s="99"/>
      <c r="J426" s="99"/>
      <c r="K426" s="99"/>
    </row>
    <row r="427">
      <c r="C427" s="99"/>
      <c r="D427" s="99"/>
      <c r="E427" s="122"/>
      <c r="F427" s="99"/>
      <c r="G427" s="123"/>
      <c r="H427" s="98"/>
      <c r="I427" s="99"/>
      <c r="J427" s="99"/>
      <c r="K427" s="99"/>
    </row>
    <row r="428">
      <c r="C428" s="99"/>
      <c r="D428" s="99"/>
      <c r="E428" s="122"/>
      <c r="F428" s="99"/>
      <c r="G428" s="123"/>
      <c r="H428" s="98"/>
      <c r="I428" s="99"/>
      <c r="J428" s="99"/>
      <c r="K428" s="99"/>
    </row>
    <row r="429">
      <c r="C429" s="99"/>
      <c r="D429" s="99"/>
      <c r="E429" s="122"/>
      <c r="F429" s="99"/>
      <c r="G429" s="123"/>
      <c r="H429" s="98"/>
      <c r="I429" s="99"/>
      <c r="J429" s="99"/>
      <c r="K429" s="99"/>
    </row>
    <row r="430">
      <c r="C430" s="99"/>
      <c r="D430" s="99"/>
      <c r="E430" s="122"/>
      <c r="F430" s="99"/>
      <c r="G430" s="123"/>
      <c r="H430" s="98"/>
      <c r="I430" s="99"/>
      <c r="J430" s="99"/>
      <c r="K430" s="99"/>
    </row>
    <row r="431">
      <c r="C431" s="99"/>
      <c r="D431" s="99"/>
      <c r="E431" s="122"/>
      <c r="F431" s="99"/>
      <c r="G431" s="123"/>
      <c r="H431" s="98"/>
      <c r="I431" s="99"/>
      <c r="J431" s="99"/>
      <c r="K431" s="99"/>
    </row>
    <row r="432">
      <c r="C432" s="99"/>
      <c r="D432" s="99"/>
      <c r="E432" s="122"/>
      <c r="F432" s="99"/>
      <c r="G432" s="123"/>
      <c r="H432" s="98"/>
      <c r="I432" s="99"/>
      <c r="J432" s="99"/>
      <c r="K432" s="99"/>
    </row>
    <row r="433">
      <c r="C433" s="99"/>
      <c r="D433" s="99"/>
      <c r="E433" s="122"/>
      <c r="F433" s="99"/>
      <c r="G433" s="123"/>
      <c r="H433" s="98"/>
      <c r="I433" s="99"/>
      <c r="J433" s="99"/>
      <c r="K433" s="99"/>
    </row>
    <row r="434">
      <c r="C434" s="99"/>
      <c r="D434" s="99"/>
      <c r="E434" s="122"/>
      <c r="F434" s="99"/>
      <c r="G434" s="123"/>
      <c r="H434" s="98"/>
      <c r="I434" s="99"/>
      <c r="J434" s="99"/>
      <c r="K434" s="99"/>
    </row>
    <row r="435">
      <c r="C435" s="99"/>
      <c r="D435" s="99"/>
      <c r="E435" s="122"/>
      <c r="F435" s="99"/>
      <c r="G435" s="123"/>
      <c r="H435" s="98"/>
      <c r="I435" s="99"/>
      <c r="J435" s="99"/>
      <c r="K435" s="99"/>
    </row>
    <row r="436">
      <c r="C436" s="99"/>
      <c r="D436" s="99"/>
      <c r="E436" s="122"/>
      <c r="F436" s="99"/>
      <c r="G436" s="123"/>
      <c r="H436" s="98"/>
      <c r="I436" s="99"/>
      <c r="J436" s="99"/>
      <c r="K436" s="99"/>
    </row>
    <row r="437">
      <c r="C437" s="99"/>
      <c r="D437" s="99"/>
      <c r="E437" s="122"/>
      <c r="F437" s="99"/>
      <c r="G437" s="123"/>
      <c r="H437" s="98"/>
      <c r="I437" s="99"/>
      <c r="J437" s="99"/>
      <c r="K437" s="99"/>
    </row>
    <row r="438">
      <c r="C438" s="99"/>
      <c r="D438" s="99"/>
      <c r="E438" s="122"/>
      <c r="F438" s="99"/>
      <c r="G438" s="123"/>
      <c r="H438" s="98"/>
      <c r="I438" s="99"/>
      <c r="J438" s="99"/>
      <c r="K438" s="99"/>
    </row>
    <row r="439">
      <c r="C439" s="99"/>
      <c r="D439" s="99"/>
      <c r="E439" s="122"/>
      <c r="F439" s="99"/>
      <c r="G439" s="123"/>
      <c r="H439" s="98"/>
      <c r="I439" s="99"/>
      <c r="J439" s="99"/>
      <c r="K439" s="99"/>
    </row>
    <row r="440">
      <c r="C440" s="99"/>
      <c r="D440" s="99"/>
      <c r="E440" s="122"/>
      <c r="F440" s="99"/>
      <c r="G440" s="123"/>
      <c r="H440" s="98"/>
      <c r="I440" s="99"/>
      <c r="J440" s="99"/>
      <c r="K440" s="99"/>
    </row>
    <row r="441">
      <c r="C441" s="99"/>
      <c r="D441" s="99"/>
      <c r="E441" s="122"/>
      <c r="F441" s="99"/>
      <c r="G441" s="123"/>
      <c r="H441" s="98"/>
      <c r="I441" s="99"/>
      <c r="J441" s="99"/>
      <c r="K441" s="99"/>
    </row>
    <row r="442">
      <c r="C442" s="99"/>
      <c r="D442" s="99"/>
      <c r="E442" s="122"/>
      <c r="F442" s="99"/>
      <c r="G442" s="123"/>
      <c r="H442" s="98"/>
      <c r="I442" s="99"/>
      <c r="J442" s="99"/>
      <c r="K442" s="99"/>
    </row>
    <row r="443">
      <c r="C443" s="99"/>
      <c r="D443" s="99"/>
      <c r="E443" s="122"/>
      <c r="F443" s="99"/>
      <c r="G443" s="123"/>
      <c r="H443" s="98"/>
      <c r="I443" s="99"/>
      <c r="J443" s="99"/>
      <c r="K443" s="99"/>
    </row>
    <row r="444">
      <c r="C444" s="99"/>
      <c r="D444" s="99"/>
      <c r="E444" s="122"/>
      <c r="F444" s="99"/>
      <c r="G444" s="123"/>
      <c r="H444" s="98"/>
      <c r="I444" s="99"/>
      <c r="J444" s="99"/>
      <c r="K444" s="99"/>
    </row>
    <row r="445">
      <c r="C445" s="99"/>
      <c r="D445" s="99"/>
      <c r="E445" s="122"/>
      <c r="F445" s="99"/>
      <c r="G445" s="123"/>
      <c r="H445" s="98"/>
      <c r="I445" s="99"/>
      <c r="J445" s="99"/>
      <c r="K445" s="99"/>
    </row>
    <row r="446">
      <c r="C446" s="99"/>
      <c r="D446" s="99"/>
      <c r="E446" s="122"/>
      <c r="F446" s="99"/>
      <c r="G446" s="123"/>
      <c r="H446" s="98"/>
      <c r="I446" s="99"/>
      <c r="J446" s="99"/>
      <c r="K446" s="99"/>
    </row>
    <row r="447">
      <c r="C447" s="99"/>
      <c r="D447" s="99"/>
      <c r="E447" s="122"/>
      <c r="F447" s="99"/>
      <c r="G447" s="123"/>
      <c r="H447" s="98"/>
      <c r="I447" s="99"/>
      <c r="J447" s="99"/>
      <c r="K447" s="99"/>
    </row>
    <row r="448">
      <c r="C448" s="99"/>
      <c r="D448" s="99"/>
      <c r="E448" s="122"/>
      <c r="F448" s="99"/>
      <c r="G448" s="123"/>
      <c r="H448" s="98"/>
      <c r="I448" s="99"/>
      <c r="J448" s="99"/>
      <c r="K448" s="99"/>
    </row>
    <row r="449">
      <c r="C449" s="99"/>
      <c r="D449" s="99"/>
      <c r="E449" s="122"/>
      <c r="F449" s="99"/>
      <c r="G449" s="123"/>
      <c r="H449" s="98"/>
      <c r="I449" s="99"/>
      <c r="J449" s="99"/>
      <c r="K449" s="99"/>
    </row>
    <row r="450">
      <c r="C450" s="99"/>
      <c r="D450" s="99"/>
      <c r="E450" s="122"/>
      <c r="F450" s="99"/>
      <c r="G450" s="123"/>
      <c r="H450" s="98"/>
      <c r="I450" s="99"/>
      <c r="J450" s="99"/>
      <c r="K450" s="99"/>
    </row>
    <row r="451">
      <c r="C451" s="99"/>
      <c r="D451" s="99"/>
      <c r="E451" s="122"/>
      <c r="F451" s="99"/>
      <c r="G451" s="123"/>
      <c r="H451" s="98"/>
      <c r="I451" s="99"/>
      <c r="J451" s="99"/>
      <c r="K451" s="99"/>
    </row>
    <row r="452">
      <c r="C452" s="99"/>
      <c r="D452" s="99"/>
      <c r="E452" s="122"/>
      <c r="F452" s="99"/>
      <c r="G452" s="123"/>
      <c r="H452" s="98"/>
      <c r="I452" s="99"/>
      <c r="J452" s="99"/>
      <c r="K452" s="99"/>
    </row>
    <row r="453">
      <c r="C453" s="99"/>
      <c r="D453" s="99"/>
      <c r="E453" s="122"/>
      <c r="F453" s="99"/>
      <c r="G453" s="123"/>
      <c r="H453" s="98"/>
      <c r="I453" s="99"/>
      <c r="J453" s="99"/>
      <c r="K453" s="99"/>
    </row>
    <row r="454">
      <c r="C454" s="99"/>
      <c r="D454" s="99"/>
      <c r="E454" s="122"/>
      <c r="F454" s="99"/>
      <c r="G454" s="123"/>
      <c r="H454" s="98"/>
      <c r="I454" s="99"/>
      <c r="J454" s="99"/>
      <c r="K454" s="99"/>
    </row>
    <row r="455">
      <c r="C455" s="99"/>
      <c r="D455" s="99"/>
      <c r="E455" s="122"/>
      <c r="F455" s="99"/>
      <c r="G455" s="123"/>
      <c r="H455" s="98"/>
      <c r="I455" s="99"/>
      <c r="J455" s="99"/>
      <c r="K455" s="99"/>
    </row>
    <row r="456">
      <c r="C456" s="99"/>
      <c r="D456" s="99"/>
      <c r="E456" s="122"/>
      <c r="F456" s="99"/>
      <c r="G456" s="123"/>
      <c r="H456" s="98"/>
      <c r="I456" s="99"/>
      <c r="J456" s="99"/>
      <c r="K456" s="99"/>
    </row>
    <row r="457">
      <c r="C457" s="99"/>
      <c r="D457" s="99"/>
      <c r="E457" s="122"/>
      <c r="F457" s="99"/>
      <c r="G457" s="123"/>
      <c r="H457" s="98"/>
      <c r="I457" s="99"/>
      <c r="J457" s="99"/>
      <c r="K457" s="99"/>
    </row>
    <row r="458">
      <c r="C458" s="99"/>
      <c r="D458" s="99"/>
      <c r="E458" s="122"/>
      <c r="F458" s="99"/>
      <c r="G458" s="123"/>
      <c r="H458" s="98"/>
      <c r="I458" s="99"/>
      <c r="J458" s="99"/>
      <c r="K458" s="99"/>
    </row>
    <row r="459">
      <c r="C459" s="99"/>
      <c r="D459" s="99"/>
      <c r="E459" s="122"/>
      <c r="F459" s="99"/>
      <c r="G459" s="123"/>
      <c r="H459" s="98"/>
      <c r="I459" s="99"/>
      <c r="J459" s="99"/>
      <c r="K459" s="99"/>
    </row>
    <row r="460">
      <c r="C460" s="99"/>
      <c r="D460" s="99"/>
      <c r="E460" s="122"/>
      <c r="F460" s="99"/>
      <c r="G460" s="123"/>
      <c r="H460" s="98"/>
      <c r="I460" s="99"/>
      <c r="J460" s="99"/>
      <c r="K460" s="99"/>
    </row>
    <row r="461">
      <c r="C461" s="99"/>
      <c r="D461" s="99"/>
      <c r="E461" s="122"/>
      <c r="F461" s="99"/>
      <c r="G461" s="123"/>
      <c r="H461" s="98"/>
      <c r="I461" s="99"/>
      <c r="J461" s="99"/>
      <c r="K461" s="99"/>
    </row>
    <row r="462">
      <c r="C462" s="99"/>
      <c r="D462" s="99"/>
      <c r="E462" s="122"/>
      <c r="F462" s="99"/>
      <c r="G462" s="123"/>
      <c r="H462" s="98"/>
      <c r="I462" s="99"/>
      <c r="J462" s="99"/>
      <c r="K462" s="99"/>
    </row>
    <row r="463">
      <c r="C463" s="99"/>
      <c r="D463" s="99"/>
      <c r="E463" s="122"/>
      <c r="F463" s="99"/>
      <c r="G463" s="123"/>
      <c r="H463" s="98"/>
      <c r="I463" s="99"/>
      <c r="J463" s="99"/>
      <c r="K463" s="99"/>
    </row>
    <row r="464">
      <c r="C464" s="99"/>
      <c r="D464" s="99"/>
      <c r="E464" s="122"/>
      <c r="F464" s="99"/>
      <c r="G464" s="123"/>
      <c r="H464" s="98"/>
      <c r="I464" s="99"/>
      <c r="J464" s="99"/>
      <c r="K464" s="99"/>
    </row>
    <row r="465">
      <c r="C465" s="99"/>
      <c r="D465" s="99"/>
      <c r="E465" s="122"/>
      <c r="F465" s="99"/>
      <c r="G465" s="123"/>
      <c r="H465" s="98"/>
      <c r="I465" s="99"/>
      <c r="J465" s="99"/>
      <c r="K465" s="99"/>
    </row>
    <row r="466">
      <c r="C466" s="99"/>
      <c r="D466" s="99"/>
      <c r="E466" s="122"/>
      <c r="F466" s="99"/>
      <c r="G466" s="123"/>
      <c r="H466" s="98"/>
      <c r="I466" s="99"/>
      <c r="J466" s="99"/>
      <c r="K466" s="99"/>
    </row>
    <row r="467">
      <c r="C467" s="99"/>
      <c r="D467" s="99"/>
      <c r="E467" s="122"/>
      <c r="F467" s="99"/>
      <c r="G467" s="123"/>
      <c r="H467" s="98"/>
      <c r="I467" s="99"/>
      <c r="J467" s="99"/>
      <c r="K467" s="99"/>
    </row>
    <row r="468">
      <c r="C468" s="99"/>
      <c r="D468" s="99"/>
      <c r="E468" s="122"/>
      <c r="F468" s="99"/>
      <c r="G468" s="123"/>
      <c r="H468" s="98"/>
      <c r="I468" s="99"/>
      <c r="J468" s="99"/>
      <c r="K468" s="99"/>
    </row>
    <row r="469">
      <c r="C469" s="99"/>
      <c r="D469" s="99"/>
      <c r="E469" s="122"/>
      <c r="F469" s="99"/>
      <c r="G469" s="123"/>
      <c r="H469" s="98"/>
      <c r="I469" s="99"/>
      <c r="J469" s="99"/>
      <c r="K469" s="99"/>
    </row>
    <row r="470">
      <c r="C470" s="99"/>
      <c r="D470" s="99"/>
      <c r="E470" s="122"/>
      <c r="F470" s="99"/>
      <c r="G470" s="123"/>
      <c r="H470" s="98"/>
      <c r="I470" s="99"/>
      <c r="J470" s="99"/>
      <c r="K470" s="99"/>
    </row>
    <row r="471">
      <c r="C471" s="99"/>
      <c r="D471" s="99"/>
      <c r="E471" s="122"/>
      <c r="F471" s="99"/>
      <c r="G471" s="123"/>
      <c r="H471" s="98"/>
      <c r="I471" s="99"/>
      <c r="J471" s="99"/>
      <c r="K471" s="99"/>
    </row>
    <row r="472">
      <c r="C472" s="99"/>
      <c r="D472" s="99"/>
      <c r="E472" s="122"/>
      <c r="F472" s="99"/>
      <c r="G472" s="123"/>
      <c r="H472" s="98"/>
      <c r="I472" s="99"/>
      <c r="J472" s="99"/>
      <c r="K472" s="99"/>
    </row>
    <row r="473">
      <c r="C473" s="99"/>
      <c r="D473" s="99"/>
      <c r="E473" s="122"/>
      <c r="F473" s="99"/>
      <c r="G473" s="123"/>
      <c r="H473" s="98"/>
      <c r="I473" s="99"/>
      <c r="J473" s="99"/>
      <c r="K473" s="99"/>
    </row>
    <row r="474">
      <c r="C474" s="99"/>
      <c r="D474" s="99"/>
      <c r="E474" s="122"/>
      <c r="F474" s="99"/>
      <c r="G474" s="123"/>
      <c r="H474" s="98"/>
      <c r="I474" s="99"/>
      <c r="J474" s="99"/>
      <c r="K474" s="99"/>
    </row>
    <row r="475">
      <c r="C475" s="99"/>
      <c r="D475" s="99"/>
      <c r="E475" s="122"/>
      <c r="F475" s="99"/>
      <c r="G475" s="123"/>
      <c r="H475" s="98"/>
      <c r="I475" s="99"/>
      <c r="J475" s="99"/>
      <c r="K475" s="99"/>
    </row>
    <row r="476">
      <c r="C476" s="99"/>
      <c r="D476" s="99"/>
      <c r="E476" s="122"/>
      <c r="F476" s="99"/>
      <c r="G476" s="123"/>
      <c r="H476" s="98"/>
      <c r="I476" s="99"/>
      <c r="J476" s="99"/>
      <c r="K476" s="99"/>
    </row>
    <row r="477">
      <c r="C477" s="99"/>
      <c r="D477" s="99"/>
      <c r="E477" s="122"/>
      <c r="F477" s="99"/>
      <c r="G477" s="123"/>
      <c r="H477" s="98"/>
      <c r="I477" s="99"/>
      <c r="J477" s="99"/>
      <c r="K477" s="99"/>
    </row>
    <row r="478">
      <c r="C478" s="99"/>
      <c r="D478" s="99"/>
      <c r="E478" s="122"/>
      <c r="F478" s="99"/>
      <c r="G478" s="123"/>
      <c r="H478" s="98"/>
      <c r="I478" s="99"/>
      <c r="J478" s="99"/>
      <c r="K478" s="99"/>
    </row>
    <row r="479">
      <c r="C479" s="99"/>
      <c r="D479" s="99"/>
      <c r="E479" s="122"/>
      <c r="F479" s="99"/>
      <c r="G479" s="123"/>
      <c r="H479" s="98"/>
      <c r="I479" s="99"/>
      <c r="J479" s="99"/>
      <c r="K479" s="99"/>
    </row>
    <row r="480">
      <c r="C480" s="99"/>
      <c r="D480" s="99"/>
      <c r="E480" s="122"/>
      <c r="F480" s="99"/>
      <c r="G480" s="123"/>
      <c r="H480" s="98"/>
      <c r="I480" s="99"/>
      <c r="J480" s="99"/>
      <c r="K480" s="99"/>
    </row>
    <row r="481">
      <c r="C481" s="99"/>
      <c r="D481" s="99"/>
      <c r="E481" s="122"/>
      <c r="F481" s="99"/>
      <c r="G481" s="123"/>
      <c r="H481" s="98"/>
      <c r="I481" s="99"/>
      <c r="J481" s="99"/>
      <c r="K481" s="99"/>
    </row>
    <row r="482">
      <c r="C482" s="99"/>
      <c r="D482" s="99"/>
      <c r="E482" s="122"/>
      <c r="F482" s="99"/>
      <c r="G482" s="123"/>
      <c r="H482" s="98"/>
      <c r="I482" s="99"/>
      <c r="J482" s="99"/>
      <c r="K482" s="99"/>
    </row>
    <row r="483">
      <c r="C483" s="99"/>
      <c r="D483" s="99"/>
      <c r="E483" s="122"/>
      <c r="F483" s="99"/>
      <c r="G483" s="123"/>
      <c r="H483" s="98"/>
      <c r="I483" s="99"/>
      <c r="J483" s="99"/>
      <c r="K483" s="99"/>
    </row>
    <row r="484">
      <c r="C484" s="99"/>
      <c r="D484" s="99"/>
      <c r="E484" s="122"/>
      <c r="F484" s="99"/>
      <c r="G484" s="123"/>
      <c r="H484" s="98"/>
      <c r="I484" s="99"/>
      <c r="J484" s="99"/>
      <c r="K484" s="99"/>
    </row>
    <row r="485">
      <c r="C485" s="99"/>
      <c r="D485" s="99"/>
      <c r="E485" s="122"/>
      <c r="F485" s="99"/>
      <c r="G485" s="123"/>
      <c r="H485" s="98"/>
      <c r="I485" s="99"/>
      <c r="J485" s="99"/>
      <c r="K485" s="99"/>
    </row>
    <row r="486">
      <c r="C486" s="99"/>
      <c r="D486" s="99"/>
      <c r="E486" s="122"/>
      <c r="F486" s="99"/>
      <c r="G486" s="123"/>
      <c r="H486" s="98"/>
      <c r="I486" s="99"/>
      <c r="J486" s="99"/>
      <c r="K486" s="99"/>
    </row>
    <row r="487">
      <c r="C487" s="99"/>
      <c r="D487" s="99"/>
      <c r="E487" s="122"/>
      <c r="F487" s="99"/>
      <c r="G487" s="123"/>
      <c r="H487" s="98"/>
      <c r="I487" s="99"/>
      <c r="J487" s="99"/>
      <c r="K487" s="99"/>
    </row>
    <row r="488">
      <c r="C488" s="99"/>
      <c r="D488" s="99"/>
      <c r="E488" s="122"/>
      <c r="F488" s="99"/>
      <c r="G488" s="123"/>
      <c r="H488" s="98"/>
      <c r="I488" s="99"/>
      <c r="J488" s="99"/>
      <c r="K488" s="99"/>
    </row>
    <row r="489">
      <c r="C489" s="99"/>
      <c r="D489" s="99"/>
      <c r="E489" s="122"/>
      <c r="F489" s="99"/>
      <c r="G489" s="123"/>
      <c r="H489" s="98"/>
      <c r="I489" s="99"/>
      <c r="J489" s="99"/>
      <c r="K489" s="99"/>
    </row>
    <row r="490">
      <c r="C490" s="99"/>
      <c r="D490" s="99"/>
      <c r="E490" s="122"/>
      <c r="F490" s="99"/>
      <c r="G490" s="123"/>
      <c r="H490" s="98"/>
      <c r="I490" s="99"/>
      <c r="J490" s="99"/>
      <c r="K490" s="99"/>
    </row>
    <row r="491">
      <c r="C491" s="99"/>
      <c r="D491" s="99"/>
      <c r="E491" s="122"/>
      <c r="F491" s="99"/>
      <c r="G491" s="123"/>
      <c r="H491" s="98"/>
      <c r="I491" s="99"/>
      <c r="J491" s="99"/>
      <c r="K491" s="99"/>
    </row>
    <row r="492">
      <c r="C492" s="99"/>
      <c r="D492" s="99"/>
      <c r="E492" s="122"/>
      <c r="F492" s="99"/>
      <c r="G492" s="123"/>
      <c r="H492" s="98"/>
      <c r="I492" s="99"/>
      <c r="J492" s="99"/>
      <c r="K492" s="99"/>
    </row>
    <row r="493">
      <c r="C493" s="99"/>
      <c r="D493" s="99"/>
      <c r="E493" s="122"/>
      <c r="F493" s="99"/>
      <c r="G493" s="123"/>
      <c r="H493" s="98"/>
      <c r="I493" s="99"/>
      <c r="J493" s="99"/>
      <c r="K493" s="99"/>
    </row>
    <row r="494">
      <c r="C494" s="99"/>
      <c r="D494" s="99"/>
      <c r="E494" s="122"/>
      <c r="F494" s="99"/>
      <c r="G494" s="123"/>
      <c r="H494" s="98"/>
      <c r="I494" s="99"/>
      <c r="J494" s="99"/>
      <c r="K494" s="99"/>
    </row>
    <row r="495">
      <c r="C495" s="99"/>
      <c r="D495" s="99"/>
      <c r="E495" s="122"/>
      <c r="F495" s="99"/>
      <c r="G495" s="123"/>
      <c r="H495" s="98"/>
      <c r="I495" s="99"/>
      <c r="J495" s="99"/>
      <c r="K495" s="99"/>
    </row>
    <row r="496">
      <c r="C496" s="99"/>
      <c r="D496" s="99"/>
      <c r="E496" s="122"/>
      <c r="F496" s="99"/>
      <c r="G496" s="123"/>
      <c r="H496" s="98"/>
      <c r="I496" s="99"/>
      <c r="J496" s="99"/>
      <c r="K496" s="99"/>
    </row>
    <row r="497">
      <c r="C497" s="99"/>
      <c r="D497" s="99"/>
      <c r="E497" s="122"/>
      <c r="F497" s="99"/>
      <c r="G497" s="123"/>
      <c r="H497" s="98"/>
      <c r="I497" s="99"/>
      <c r="J497" s="99"/>
      <c r="K497" s="99"/>
    </row>
    <row r="498">
      <c r="C498" s="99"/>
      <c r="D498" s="99"/>
      <c r="E498" s="122"/>
      <c r="F498" s="99"/>
      <c r="G498" s="123"/>
      <c r="H498" s="98"/>
      <c r="I498" s="99"/>
      <c r="J498" s="99"/>
      <c r="K498" s="99"/>
    </row>
    <row r="499">
      <c r="C499" s="99"/>
      <c r="D499" s="99"/>
      <c r="E499" s="122"/>
      <c r="F499" s="99"/>
      <c r="G499" s="123"/>
      <c r="H499" s="98"/>
      <c r="I499" s="99"/>
      <c r="J499" s="99"/>
      <c r="K499" s="99"/>
    </row>
    <row r="500">
      <c r="C500" s="99"/>
      <c r="D500" s="99"/>
      <c r="E500" s="122"/>
      <c r="F500" s="99"/>
      <c r="G500" s="123"/>
      <c r="H500" s="98"/>
      <c r="I500" s="99"/>
      <c r="J500" s="99"/>
      <c r="K500" s="99"/>
    </row>
    <row r="501">
      <c r="C501" s="99"/>
      <c r="D501" s="99"/>
      <c r="E501" s="122"/>
      <c r="F501" s="99"/>
      <c r="G501" s="123"/>
      <c r="H501" s="98"/>
      <c r="I501" s="99"/>
      <c r="J501" s="99"/>
      <c r="K501" s="99"/>
    </row>
    <row r="502">
      <c r="C502" s="99"/>
      <c r="D502" s="99"/>
      <c r="E502" s="122"/>
      <c r="F502" s="99"/>
      <c r="G502" s="123"/>
      <c r="H502" s="98"/>
      <c r="I502" s="99"/>
      <c r="J502" s="99"/>
      <c r="K502" s="99"/>
    </row>
    <row r="503">
      <c r="C503" s="99"/>
      <c r="D503" s="99"/>
      <c r="E503" s="122"/>
      <c r="F503" s="99"/>
      <c r="G503" s="123"/>
      <c r="H503" s="98"/>
      <c r="I503" s="99"/>
      <c r="J503" s="99"/>
      <c r="K503" s="99"/>
    </row>
    <row r="504">
      <c r="C504" s="99"/>
      <c r="D504" s="99"/>
      <c r="E504" s="122"/>
      <c r="F504" s="99"/>
      <c r="G504" s="123"/>
      <c r="H504" s="98"/>
      <c r="I504" s="99"/>
      <c r="J504" s="99"/>
      <c r="K504" s="99"/>
    </row>
    <row r="505">
      <c r="C505" s="99"/>
      <c r="D505" s="99"/>
      <c r="E505" s="122"/>
      <c r="F505" s="99"/>
      <c r="G505" s="123"/>
      <c r="H505" s="98"/>
      <c r="I505" s="99"/>
      <c r="J505" s="99"/>
      <c r="K505" s="99"/>
    </row>
    <row r="506">
      <c r="C506" s="99"/>
      <c r="D506" s="99"/>
      <c r="E506" s="122"/>
      <c r="F506" s="99"/>
      <c r="G506" s="123"/>
      <c r="H506" s="98"/>
      <c r="I506" s="99"/>
      <c r="J506" s="99"/>
      <c r="K506" s="99"/>
    </row>
    <row r="507">
      <c r="C507" s="99"/>
      <c r="D507" s="99"/>
      <c r="E507" s="122"/>
      <c r="F507" s="99"/>
      <c r="G507" s="123"/>
      <c r="H507" s="98"/>
      <c r="I507" s="99"/>
      <c r="J507" s="99"/>
      <c r="K507" s="99"/>
    </row>
    <row r="508">
      <c r="C508" s="99"/>
      <c r="D508" s="99"/>
      <c r="E508" s="122"/>
      <c r="F508" s="99"/>
      <c r="G508" s="123"/>
      <c r="H508" s="98"/>
      <c r="I508" s="99"/>
      <c r="J508" s="99"/>
      <c r="K508" s="99"/>
    </row>
    <row r="509">
      <c r="C509" s="99"/>
      <c r="D509" s="99"/>
      <c r="E509" s="122"/>
      <c r="F509" s="99"/>
      <c r="G509" s="123"/>
      <c r="H509" s="98"/>
      <c r="I509" s="99"/>
      <c r="J509" s="99"/>
      <c r="K509" s="99"/>
    </row>
    <row r="510">
      <c r="C510" s="99"/>
      <c r="D510" s="99"/>
      <c r="E510" s="122"/>
      <c r="F510" s="99"/>
      <c r="G510" s="123"/>
      <c r="H510" s="98"/>
      <c r="I510" s="99"/>
      <c r="J510" s="99"/>
      <c r="K510" s="99"/>
    </row>
    <row r="511">
      <c r="C511" s="99"/>
      <c r="D511" s="99"/>
      <c r="E511" s="122"/>
      <c r="F511" s="99"/>
      <c r="G511" s="123"/>
      <c r="H511" s="98"/>
      <c r="I511" s="99"/>
      <c r="J511" s="99"/>
      <c r="K511" s="99"/>
    </row>
    <row r="512">
      <c r="C512" s="99"/>
      <c r="D512" s="99"/>
      <c r="E512" s="122"/>
      <c r="F512" s="99"/>
      <c r="G512" s="123"/>
      <c r="H512" s="98"/>
      <c r="I512" s="99"/>
      <c r="J512" s="99"/>
      <c r="K512" s="99"/>
    </row>
    <row r="513">
      <c r="C513" s="99"/>
      <c r="D513" s="99"/>
      <c r="E513" s="122"/>
      <c r="F513" s="99"/>
      <c r="G513" s="123"/>
      <c r="H513" s="98"/>
      <c r="I513" s="99"/>
      <c r="J513" s="99"/>
      <c r="K513" s="99"/>
    </row>
    <row r="514">
      <c r="C514" s="99"/>
      <c r="D514" s="99"/>
      <c r="E514" s="122"/>
      <c r="F514" s="99"/>
      <c r="G514" s="123"/>
      <c r="H514" s="98"/>
      <c r="I514" s="99"/>
      <c r="J514" s="99"/>
      <c r="K514" s="99"/>
    </row>
    <row r="515">
      <c r="C515" s="99"/>
      <c r="D515" s="99"/>
      <c r="E515" s="122"/>
      <c r="F515" s="99"/>
      <c r="G515" s="123"/>
      <c r="H515" s="98"/>
      <c r="I515" s="99"/>
      <c r="J515" s="99"/>
      <c r="K515" s="99"/>
    </row>
    <row r="516">
      <c r="C516" s="99"/>
      <c r="D516" s="99"/>
      <c r="E516" s="122"/>
      <c r="F516" s="99"/>
      <c r="G516" s="123"/>
      <c r="H516" s="98"/>
      <c r="I516" s="99"/>
      <c r="J516" s="99"/>
      <c r="K516" s="99"/>
    </row>
    <row r="517">
      <c r="C517" s="99"/>
      <c r="D517" s="99"/>
      <c r="E517" s="122"/>
      <c r="F517" s="99"/>
      <c r="G517" s="123"/>
      <c r="H517" s="98"/>
      <c r="I517" s="99"/>
      <c r="J517" s="99"/>
      <c r="K517" s="99"/>
    </row>
    <row r="518">
      <c r="C518" s="99"/>
      <c r="D518" s="99"/>
      <c r="E518" s="122"/>
      <c r="F518" s="99"/>
      <c r="G518" s="123"/>
      <c r="H518" s="98"/>
      <c r="I518" s="99"/>
      <c r="J518" s="99"/>
      <c r="K518" s="99"/>
    </row>
    <row r="519">
      <c r="C519" s="99"/>
      <c r="D519" s="99"/>
      <c r="E519" s="122"/>
      <c r="F519" s="99"/>
      <c r="G519" s="123"/>
      <c r="H519" s="98"/>
      <c r="I519" s="99"/>
      <c r="J519" s="99"/>
      <c r="K519" s="99"/>
    </row>
    <row r="520">
      <c r="C520" s="99"/>
      <c r="D520" s="99"/>
      <c r="E520" s="122"/>
      <c r="F520" s="99"/>
      <c r="G520" s="123"/>
      <c r="H520" s="98"/>
      <c r="I520" s="99"/>
      <c r="J520" s="99"/>
      <c r="K520" s="99"/>
    </row>
    <row r="521">
      <c r="C521" s="99"/>
      <c r="D521" s="99"/>
      <c r="E521" s="122"/>
      <c r="F521" s="99"/>
      <c r="G521" s="123"/>
      <c r="H521" s="98"/>
      <c r="I521" s="99"/>
      <c r="J521" s="99"/>
      <c r="K521" s="99"/>
    </row>
    <row r="522">
      <c r="C522" s="99"/>
      <c r="D522" s="99"/>
      <c r="E522" s="122"/>
      <c r="F522" s="99"/>
      <c r="G522" s="123"/>
      <c r="H522" s="98"/>
      <c r="I522" s="99"/>
      <c r="J522" s="99"/>
      <c r="K522" s="99"/>
    </row>
    <row r="523">
      <c r="C523" s="99"/>
      <c r="D523" s="99"/>
      <c r="E523" s="122"/>
      <c r="F523" s="99"/>
      <c r="G523" s="123"/>
      <c r="H523" s="98"/>
      <c r="I523" s="99"/>
      <c r="J523" s="99"/>
      <c r="K523" s="99"/>
    </row>
    <row r="524">
      <c r="C524" s="99"/>
      <c r="D524" s="99"/>
      <c r="E524" s="122"/>
      <c r="F524" s="99"/>
      <c r="G524" s="123"/>
      <c r="H524" s="98"/>
      <c r="I524" s="99"/>
      <c r="J524" s="99"/>
      <c r="K524" s="99"/>
    </row>
    <row r="525">
      <c r="C525" s="99"/>
      <c r="D525" s="99"/>
      <c r="E525" s="122"/>
      <c r="F525" s="99"/>
      <c r="G525" s="123"/>
      <c r="H525" s="98"/>
      <c r="I525" s="99"/>
      <c r="J525" s="99"/>
      <c r="K525" s="99"/>
    </row>
    <row r="526">
      <c r="C526" s="99"/>
      <c r="D526" s="99"/>
      <c r="E526" s="122"/>
      <c r="F526" s="99"/>
      <c r="G526" s="123"/>
      <c r="H526" s="98"/>
      <c r="I526" s="99"/>
      <c r="J526" s="99"/>
      <c r="K526" s="99"/>
    </row>
    <row r="527">
      <c r="C527" s="99"/>
      <c r="D527" s="99"/>
      <c r="E527" s="122"/>
      <c r="F527" s="99"/>
      <c r="G527" s="123"/>
      <c r="H527" s="98"/>
      <c r="I527" s="99"/>
      <c r="J527" s="99"/>
      <c r="K527" s="99"/>
    </row>
    <row r="528">
      <c r="C528" s="99"/>
      <c r="D528" s="99"/>
      <c r="E528" s="122"/>
      <c r="F528" s="99"/>
      <c r="G528" s="123"/>
      <c r="H528" s="98"/>
      <c r="I528" s="99"/>
      <c r="J528" s="99"/>
      <c r="K528" s="99"/>
    </row>
    <row r="529">
      <c r="C529" s="99"/>
      <c r="D529" s="99"/>
      <c r="E529" s="122"/>
      <c r="F529" s="99"/>
      <c r="G529" s="123"/>
      <c r="H529" s="98"/>
      <c r="I529" s="99"/>
      <c r="J529" s="99"/>
      <c r="K529" s="99"/>
    </row>
    <row r="530">
      <c r="C530" s="99"/>
      <c r="D530" s="99"/>
      <c r="E530" s="122"/>
      <c r="F530" s="99"/>
      <c r="G530" s="123"/>
      <c r="H530" s="98"/>
      <c r="I530" s="99"/>
      <c r="J530" s="99"/>
      <c r="K530" s="99"/>
    </row>
    <row r="531">
      <c r="C531" s="99"/>
      <c r="D531" s="99"/>
      <c r="E531" s="122"/>
      <c r="F531" s="99"/>
      <c r="G531" s="123"/>
      <c r="H531" s="98"/>
      <c r="I531" s="99"/>
      <c r="J531" s="99"/>
      <c r="K531" s="99"/>
    </row>
    <row r="532">
      <c r="C532" s="99"/>
      <c r="D532" s="99"/>
      <c r="E532" s="122"/>
      <c r="F532" s="99"/>
      <c r="G532" s="123"/>
      <c r="H532" s="98"/>
      <c r="I532" s="99"/>
      <c r="J532" s="99"/>
      <c r="K532" s="99"/>
    </row>
    <row r="533">
      <c r="C533" s="99"/>
      <c r="D533" s="99"/>
      <c r="E533" s="122"/>
      <c r="F533" s="99"/>
      <c r="G533" s="123"/>
      <c r="H533" s="98"/>
      <c r="I533" s="99"/>
      <c r="J533" s="99"/>
      <c r="K533" s="99"/>
    </row>
    <row r="534">
      <c r="C534" s="99"/>
      <c r="D534" s="99"/>
      <c r="E534" s="122"/>
      <c r="F534" s="99"/>
      <c r="G534" s="123"/>
      <c r="H534" s="98"/>
      <c r="I534" s="99"/>
      <c r="J534" s="99"/>
      <c r="K534" s="99"/>
    </row>
    <row r="535">
      <c r="C535" s="99"/>
      <c r="D535" s="99"/>
      <c r="E535" s="122"/>
      <c r="F535" s="99"/>
      <c r="G535" s="123"/>
      <c r="H535" s="98"/>
      <c r="I535" s="99"/>
      <c r="J535" s="99"/>
      <c r="K535" s="99"/>
    </row>
    <row r="536">
      <c r="C536" s="99"/>
      <c r="D536" s="99"/>
      <c r="E536" s="122"/>
      <c r="F536" s="99"/>
      <c r="G536" s="123"/>
      <c r="H536" s="98"/>
      <c r="I536" s="99"/>
      <c r="J536" s="99"/>
      <c r="K536" s="99"/>
    </row>
    <row r="537">
      <c r="C537" s="99"/>
      <c r="D537" s="99"/>
      <c r="E537" s="122"/>
      <c r="F537" s="99"/>
      <c r="G537" s="123"/>
      <c r="H537" s="98"/>
      <c r="I537" s="99"/>
      <c r="J537" s="99"/>
      <c r="K537" s="99"/>
    </row>
    <row r="538">
      <c r="C538" s="99"/>
      <c r="D538" s="99"/>
      <c r="E538" s="122"/>
      <c r="F538" s="99"/>
      <c r="G538" s="123"/>
      <c r="H538" s="98"/>
      <c r="I538" s="99"/>
      <c r="J538" s="99"/>
      <c r="K538" s="99"/>
    </row>
    <row r="539">
      <c r="C539" s="99"/>
      <c r="D539" s="99"/>
      <c r="E539" s="122"/>
      <c r="F539" s="99"/>
      <c r="G539" s="123"/>
      <c r="H539" s="98"/>
      <c r="I539" s="99"/>
      <c r="J539" s="99"/>
      <c r="K539" s="99"/>
    </row>
    <row r="540">
      <c r="C540" s="99"/>
      <c r="D540" s="99"/>
      <c r="E540" s="122"/>
      <c r="F540" s="99"/>
      <c r="G540" s="123"/>
      <c r="H540" s="98"/>
      <c r="I540" s="99"/>
      <c r="J540" s="99"/>
      <c r="K540" s="99"/>
    </row>
    <row r="541">
      <c r="C541" s="99"/>
      <c r="D541" s="99"/>
      <c r="E541" s="122"/>
      <c r="F541" s="99"/>
      <c r="G541" s="123"/>
      <c r="H541" s="98"/>
      <c r="I541" s="99"/>
      <c r="J541" s="99"/>
      <c r="K541" s="99"/>
    </row>
    <row r="542">
      <c r="C542" s="99"/>
      <c r="D542" s="99"/>
      <c r="E542" s="122"/>
      <c r="F542" s="99"/>
      <c r="G542" s="123"/>
      <c r="H542" s="98"/>
      <c r="I542" s="99"/>
      <c r="J542" s="99"/>
      <c r="K542" s="99"/>
    </row>
    <row r="543">
      <c r="C543" s="99"/>
      <c r="D543" s="99"/>
      <c r="E543" s="122"/>
      <c r="F543" s="99"/>
      <c r="G543" s="123"/>
      <c r="H543" s="98"/>
      <c r="I543" s="99"/>
      <c r="J543" s="99"/>
      <c r="K543" s="99"/>
    </row>
    <row r="544">
      <c r="C544" s="99"/>
      <c r="D544" s="99"/>
      <c r="E544" s="122"/>
      <c r="F544" s="99"/>
      <c r="G544" s="123"/>
      <c r="H544" s="98"/>
      <c r="I544" s="99"/>
      <c r="J544" s="99"/>
      <c r="K544" s="99"/>
    </row>
    <row r="545">
      <c r="C545" s="99"/>
      <c r="D545" s="99"/>
      <c r="E545" s="122"/>
      <c r="F545" s="99"/>
      <c r="G545" s="123"/>
      <c r="H545" s="98"/>
      <c r="I545" s="99"/>
      <c r="J545" s="99"/>
      <c r="K545" s="99"/>
    </row>
    <row r="546">
      <c r="C546" s="99"/>
      <c r="D546" s="99"/>
      <c r="E546" s="122"/>
      <c r="F546" s="99"/>
      <c r="G546" s="123"/>
      <c r="H546" s="98"/>
      <c r="I546" s="99"/>
      <c r="J546" s="99"/>
      <c r="K546" s="99"/>
    </row>
    <row r="547">
      <c r="C547" s="99"/>
      <c r="D547" s="99"/>
      <c r="E547" s="122"/>
      <c r="F547" s="99"/>
      <c r="G547" s="123"/>
      <c r="H547" s="98"/>
      <c r="I547" s="99"/>
      <c r="J547" s="99"/>
      <c r="K547" s="99"/>
    </row>
    <row r="548">
      <c r="C548" s="99"/>
      <c r="D548" s="99"/>
      <c r="E548" s="122"/>
      <c r="F548" s="99"/>
      <c r="G548" s="123"/>
      <c r="H548" s="98"/>
      <c r="I548" s="99"/>
      <c r="J548" s="99"/>
      <c r="K548" s="99"/>
    </row>
    <row r="549">
      <c r="C549" s="99"/>
      <c r="D549" s="99"/>
      <c r="E549" s="122"/>
      <c r="F549" s="99"/>
      <c r="G549" s="123"/>
      <c r="H549" s="98"/>
      <c r="I549" s="99"/>
      <c r="J549" s="99"/>
      <c r="K549" s="99"/>
    </row>
    <row r="550">
      <c r="C550" s="99"/>
      <c r="D550" s="99"/>
      <c r="E550" s="122"/>
      <c r="F550" s="99"/>
      <c r="G550" s="123"/>
      <c r="H550" s="98"/>
      <c r="I550" s="99"/>
      <c r="J550" s="99"/>
      <c r="K550" s="99"/>
    </row>
    <row r="551">
      <c r="C551" s="99"/>
      <c r="D551" s="99"/>
      <c r="E551" s="122"/>
      <c r="F551" s="99"/>
      <c r="G551" s="123"/>
      <c r="H551" s="98"/>
      <c r="I551" s="99"/>
      <c r="J551" s="99"/>
      <c r="K551" s="99"/>
    </row>
    <row r="552">
      <c r="C552" s="99"/>
      <c r="D552" s="99"/>
      <c r="E552" s="122"/>
      <c r="F552" s="99"/>
      <c r="G552" s="123"/>
      <c r="H552" s="98"/>
      <c r="I552" s="99"/>
      <c r="J552" s="99"/>
      <c r="K552" s="99"/>
    </row>
    <row r="553">
      <c r="C553" s="99"/>
      <c r="D553" s="99"/>
      <c r="E553" s="122"/>
      <c r="F553" s="99"/>
      <c r="G553" s="123"/>
      <c r="H553" s="98"/>
      <c r="I553" s="99"/>
      <c r="J553" s="99"/>
      <c r="K553" s="99"/>
    </row>
    <row r="554">
      <c r="C554" s="99"/>
      <c r="D554" s="99"/>
      <c r="E554" s="122"/>
      <c r="F554" s="99"/>
      <c r="G554" s="123"/>
      <c r="H554" s="98"/>
      <c r="I554" s="99"/>
      <c r="J554" s="99"/>
      <c r="K554" s="99"/>
    </row>
    <row r="555">
      <c r="C555" s="99"/>
      <c r="D555" s="99"/>
      <c r="E555" s="122"/>
      <c r="F555" s="99"/>
      <c r="G555" s="123"/>
      <c r="H555" s="98"/>
      <c r="I555" s="99"/>
      <c r="J555" s="99"/>
      <c r="K555" s="99"/>
    </row>
    <row r="556">
      <c r="C556" s="99"/>
      <c r="D556" s="99"/>
      <c r="E556" s="122"/>
      <c r="F556" s="99"/>
      <c r="G556" s="123"/>
      <c r="H556" s="98"/>
      <c r="I556" s="99"/>
      <c r="J556" s="99"/>
      <c r="K556" s="99"/>
    </row>
    <row r="557">
      <c r="C557" s="99"/>
      <c r="D557" s="99"/>
      <c r="E557" s="122"/>
      <c r="F557" s="99"/>
      <c r="G557" s="123"/>
      <c r="H557" s="98"/>
      <c r="I557" s="99"/>
      <c r="J557" s="99"/>
      <c r="K557" s="99"/>
    </row>
    <row r="558">
      <c r="C558" s="99"/>
      <c r="D558" s="99"/>
      <c r="E558" s="122"/>
      <c r="F558" s="99"/>
      <c r="G558" s="123"/>
      <c r="H558" s="98"/>
      <c r="I558" s="99"/>
      <c r="J558" s="99"/>
      <c r="K558" s="99"/>
    </row>
    <row r="559">
      <c r="C559" s="99"/>
      <c r="D559" s="99"/>
      <c r="E559" s="122"/>
      <c r="F559" s="99"/>
      <c r="G559" s="123"/>
      <c r="H559" s="98"/>
      <c r="I559" s="99"/>
      <c r="J559" s="99"/>
      <c r="K559" s="99"/>
    </row>
    <row r="560">
      <c r="C560" s="99"/>
      <c r="D560" s="99"/>
      <c r="E560" s="122"/>
      <c r="F560" s="99"/>
      <c r="G560" s="123"/>
      <c r="H560" s="98"/>
      <c r="I560" s="99"/>
      <c r="J560" s="99"/>
      <c r="K560" s="99"/>
    </row>
    <row r="561">
      <c r="C561" s="99"/>
      <c r="D561" s="99"/>
      <c r="E561" s="122"/>
      <c r="F561" s="99"/>
      <c r="G561" s="123"/>
      <c r="H561" s="98"/>
      <c r="I561" s="99"/>
      <c r="J561" s="99"/>
      <c r="K561" s="99"/>
    </row>
    <row r="562">
      <c r="C562" s="99"/>
      <c r="D562" s="99"/>
      <c r="E562" s="122"/>
      <c r="F562" s="99"/>
      <c r="G562" s="123"/>
      <c r="H562" s="98"/>
      <c r="I562" s="99"/>
      <c r="J562" s="99"/>
      <c r="K562" s="99"/>
    </row>
    <row r="563">
      <c r="C563" s="99"/>
      <c r="D563" s="99"/>
      <c r="E563" s="122"/>
      <c r="F563" s="99"/>
      <c r="G563" s="123"/>
      <c r="H563" s="98"/>
      <c r="I563" s="99"/>
      <c r="J563" s="99"/>
      <c r="K563" s="99"/>
    </row>
    <row r="564">
      <c r="C564" s="99"/>
      <c r="D564" s="99"/>
      <c r="E564" s="122"/>
      <c r="F564" s="99"/>
      <c r="G564" s="123"/>
      <c r="H564" s="98"/>
      <c r="I564" s="99"/>
      <c r="J564" s="99"/>
      <c r="K564" s="99"/>
    </row>
    <row r="565">
      <c r="C565" s="99"/>
      <c r="D565" s="99"/>
      <c r="E565" s="122"/>
      <c r="F565" s="99"/>
      <c r="G565" s="123"/>
      <c r="H565" s="98"/>
      <c r="I565" s="99"/>
      <c r="J565" s="99"/>
      <c r="K565" s="99"/>
    </row>
    <row r="566">
      <c r="C566" s="99"/>
      <c r="D566" s="99"/>
      <c r="E566" s="122"/>
      <c r="F566" s="99"/>
      <c r="G566" s="123"/>
      <c r="H566" s="98"/>
      <c r="I566" s="99"/>
      <c r="J566" s="99"/>
      <c r="K566" s="99"/>
    </row>
    <row r="567">
      <c r="C567" s="99"/>
      <c r="D567" s="99"/>
      <c r="E567" s="122"/>
      <c r="F567" s="99"/>
      <c r="G567" s="123"/>
      <c r="H567" s="98"/>
      <c r="I567" s="99"/>
      <c r="J567" s="99"/>
      <c r="K567" s="99"/>
    </row>
    <row r="568">
      <c r="C568" s="99"/>
      <c r="D568" s="99"/>
      <c r="E568" s="122"/>
      <c r="F568" s="99"/>
      <c r="G568" s="123"/>
      <c r="H568" s="98"/>
      <c r="I568" s="99"/>
      <c r="J568" s="99"/>
      <c r="K568" s="99"/>
    </row>
    <row r="569">
      <c r="C569" s="99"/>
      <c r="D569" s="99"/>
      <c r="E569" s="122"/>
      <c r="F569" s="99"/>
      <c r="G569" s="123"/>
      <c r="H569" s="98"/>
      <c r="I569" s="99"/>
      <c r="J569" s="99"/>
      <c r="K569" s="99"/>
    </row>
    <row r="570">
      <c r="C570" s="99"/>
      <c r="D570" s="99"/>
      <c r="E570" s="122"/>
      <c r="F570" s="99"/>
      <c r="G570" s="123"/>
      <c r="H570" s="98"/>
      <c r="I570" s="99"/>
      <c r="J570" s="99"/>
      <c r="K570" s="99"/>
    </row>
    <row r="571">
      <c r="C571" s="99"/>
      <c r="D571" s="99"/>
      <c r="E571" s="122"/>
      <c r="F571" s="99"/>
      <c r="G571" s="123"/>
      <c r="H571" s="98"/>
      <c r="I571" s="99"/>
      <c r="J571" s="99"/>
      <c r="K571" s="99"/>
    </row>
    <row r="572">
      <c r="C572" s="99"/>
      <c r="D572" s="99"/>
      <c r="E572" s="122"/>
      <c r="F572" s="99"/>
      <c r="G572" s="123"/>
      <c r="H572" s="98"/>
      <c r="I572" s="99"/>
      <c r="J572" s="99"/>
      <c r="K572" s="99"/>
    </row>
    <row r="573">
      <c r="C573" s="99"/>
      <c r="D573" s="99"/>
      <c r="E573" s="122"/>
      <c r="F573" s="99"/>
      <c r="G573" s="123"/>
      <c r="H573" s="98"/>
      <c r="I573" s="99"/>
      <c r="J573" s="99"/>
      <c r="K573" s="99"/>
    </row>
    <row r="574">
      <c r="C574" s="99"/>
      <c r="D574" s="99"/>
      <c r="E574" s="122"/>
      <c r="F574" s="99"/>
      <c r="G574" s="123"/>
      <c r="H574" s="98"/>
      <c r="I574" s="99"/>
      <c r="J574" s="99"/>
      <c r="K574" s="99"/>
    </row>
    <row r="575">
      <c r="C575" s="99"/>
      <c r="D575" s="99"/>
      <c r="E575" s="122"/>
      <c r="F575" s="99"/>
      <c r="G575" s="123"/>
      <c r="H575" s="98"/>
      <c r="I575" s="99"/>
      <c r="J575" s="99"/>
      <c r="K575" s="99"/>
    </row>
    <row r="576">
      <c r="C576" s="99"/>
      <c r="D576" s="99"/>
      <c r="E576" s="122"/>
      <c r="F576" s="99"/>
      <c r="G576" s="123"/>
      <c r="H576" s="98"/>
      <c r="I576" s="99"/>
      <c r="J576" s="99"/>
      <c r="K576" s="99"/>
    </row>
    <row r="577">
      <c r="C577" s="99"/>
      <c r="D577" s="99"/>
      <c r="E577" s="122"/>
      <c r="F577" s="99"/>
      <c r="G577" s="123"/>
      <c r="H577" s="98"/>
      <c r="I577" s="99"/>
      <c r="J577" s="99"/>
      <c r="K577" s="99"/>
    </row>
    <row r="578">
      <c r="C578" s="99"/>
      <c r="D578" s="99"/>
      <c r="E578" s="122"/>
      <c r="F578" s="99"/>
      <c r="G578" s="123"/>
      <c r="H578" s="98"/>
      <c r="I578" s="99"/>
      <c r="J578" s="99"/>
      <c r="K578" s="99"/>
    </row>
    <row r="579">
      <c r="C579" s="99"/>
      <c r="D579" s="99"/>
      <c r="E579" s="122"/>
      <c r="F579" s="99"/>
      <c r="G579" s="123"/>
      <c r="H579" s="98"/>
      <c r="I579" s="99"/>
      <c r="J579" s="99"/>
      <c r="K579" s="99"/>
    </row>
    <row r="580">
      <c r="C580" s="99"/>
      <c r="D580" s="99"/>
      <c r="E580" s="122"/>
      <c r="F580" s="99"/>
      <c r="G580" s="123"/>
      <c r="H580" s="98"/>
      <c r="I580" s="99"/>
      <c r="J580" s="99"/>
      <c r="K580" s="99"/>
    </row>
    <row r="581">
      <c r="C581" s="99"/>
      <c r="D581" s="99"/>
      <c r="E581" s="122"/>
      <c r="F581" s="99"/>
      <c r="G581" s="123"/>
      <c r="H581" s="98"/>
      <c r="I581" s="99"/>
      <c r="J581" s="99"/>
      <c r="K581" s="99"/>
    </row>
    <row r="582">
      <c r="C582" s="99"/>
      <c r="D582" s="99"/>
      <c r="E582" s="122"/>
      <c r="F582" s="99"/>
      <c r="G582" s="123"/>
      <c r="H582" s="98"/>
      <c r="I582" s="99"/>
      <c r="J582" s="99"/>
      <c r="K582" s="99"/>
    </row>
    <row r="583">
      <c r="C583" s="99"/>
      <c r="D583" s="99"/>
      <c r="E583" s="122"/>
      <c r="F583" s="99"/>
      <c r="G583" s="123"/>
      <c r="H583" s="98"/>
      <c r="I583" s="99"/>
      <c r="J583" s="99"/>
      <c r="K583" s="99"/>
    </row>
    <row r="584">
      <c r="C584" s="99"/>
      <c r="D584" s="99"/>
      <c r="E584" s="122"/>
      <c r="F584" s="99"/>
      <c r="G584" s="123"/>
      <c r="H584" s="98"/>
      <c r="I584" s="99"/>
      <c r="J584" s="99"/>
      <c r="K584" s="99"/>
    </row>
    <row r="585">
      <c r="C585" s="99"/>
      <c r="D585" s="99"/>
      <c r="E585" s="122"/>
      <c r="F585" s="99"/>
      <c r="G585" s="123"/>
      <c r="H585" s="98"/>
      <c r="I585" s="99"/>
      <c r="J585" s="99"/>
      <c r="K585" s="99"/>
    </row>
    <row r="586">
      <c r="C586" s="99"/>
      <c r="D586" s="99"/>
      <c r="E586" s="122"/>
      <c r="F586" s="99"/>
      <c r="G586" s="123"/>
      <c r="H586" s="98"/>
      <c r="I586" s="99"/>
      <c r="J586" s="99"/>
      <c r="K586" s="99"/>
    </row>
    <row r="587">
      <c r="C587" s="99"/>
      <c r="D587" s="99"/>
      <c r="E587" s="122"/>
      <c r="F587" s="99"/>
      <c r="G587" s="123"/>
      <c r="H587" s="98"/>
      <c r="I587" s="99"/>
      <c r="J587" s="99"/>
      <c r="K587" s="99"/>
    </row>
    <row r="588">
      <c r="C588" s="99"/>
      <c r="D588" s="99"/>
      <c r="E588" s="122"/>
      <c r="F588" s="99"/>
      <c r="G588" s="123"/>
      <c r="H588" s="98"/>
      <c r="I588" s="99"/>
      <c r="J588" s="99"/>
      <c r="K588" s="99"/>
    </row>
    <row r="589">
      <c r="C589" s="99"/>
      <c r="D589" s="99"/>
      <c r="E589" s="122"/>
      <c r="F589" s="99"/>
      <c r="G589" s="123"/>
      <c r="H589" s="98"/>
      <c r="I589" s="99"/>
      <c r="J589" s="99"/>
      <c r="K589" s="99"/>
    </row>
    <row r="590">
      <c r="C590" s="99"/>
      <c r="D590" s="99"/>
      <c r="E590" s="122"/>
      <c r="F590" s="99"/>
      <c r="G590" s="123"/>
      <c r="H590" s="98"/>
      <c r="I590" s="99"/>
      <c r="J590" s="99"/>
      <c r="K590" s="99"/>
    </row>
    <row r="591">
      <c r="C591" s="99"/>
      <c r="D591" s="99"/>
      <c r="E591" s="122"/>
      <c r="F591" s="99"/>
      <c r="G591" s="123"/>
      <c r="H591" s="98"/>
      <c r="I591" s="99"/>
      <c r="J591" s="99"/>
      <c r="K591" s="99"/>
    </row>
    <row r="592">
      <c r="C592" s="99"/>
      <c r="D592" s="99"/>
      <c r="E592" s="122"/>
      <c r="F592" s="99"/>
      <c r="G592" s="123"/>
      <c r="H592" s="98"/>
      <c r="I592" s="99"/>
      <c r="J592" s="99"/>
      <c r="K592" s="99"/>
    </row>
    <row r="593">
      <c r="C593" s="99"/>
      <c r="D593" s="99"/>
      <c r="E593" s="122"/>
      <c r="F593" s="99"/>
      <c r="G593" s="123"/>
      <c r="H593" s="98"/>
      <c r="I593" s="99"/>
      <c r="J593" s="99"/>
      <c r="K593" s="99"/>
    </row>
    <row r="594">
      <c r="C594" s="99"/>
      <c r="D594" s="99"/>
      <c r="E594" s="122"/>
      <c r="F594" s="99"/>
      <c r="G594" s="123"/>
      <c r="H594" s="98"/>
      <c r="I594" s="99"/>
      <c r="J594" s="99"/>
      <c r="K594" s="99"/>
    </row>
    <row r="595">
      <c r="C595" s="99"/>
      <c r="D595" s="99"/>
      <c r="E595" s="122"/>
      <c r="F595" s="99"/>
      <c r="G595" s="123"/>
      <c r="H595" s="98"/>
      <c r="I595" s="99"/>
      <c r="J595" s="99"/>
      <c r="K595" s="99"/>
    </row>
    <row r="596">
      <c r="C596" s="99"/>
      <c r="D596" s="99"/>
      <c r="E596" s="122"/>
      <c r="F596" s="99"/>
      <c r="G596" s="123"/>
      <c r="H596" s="98"/>
      <c r="I596" s="99"/>
      <c r="J596" s="99"/>
      <c r="K596" s="99"/>
    </row>
    <row r="597">
      <c r="C597" s="99"/>
      <c r="D597" s="99"/>
      <c r="E597" s="122"/>
      <c r="F597" s="99"/>
      <c r="G597" s="123"/>
      <c r="H597" s="98"/>
      <c r="I597" s="99"/>
      <c r="J597" s="99"/>
      <c r="K597" s="99"/>
    </row>
    <row r="598">
      <c r="C598" s="99"/>
      <c r="D598" s="99"/>
      <c r="E598" s="122"/>
      <c r="F598" s="99"/>
      <c r="G598" s="123"/>
      <c r="H598" s="98"/>
      <c r="I598" s="99"/>
      <c r="J598" s="99"/>
      <c r="K598" s="99"/>
    </row>
    <row r="599">
      <c r="C599" s="99"/>
      <c r="D599" s="99"/>
      <c r="E599" s="122"/>
      <c r="F599" s="99"/>
      <c r="G599" s="123"/>
      <c r="H599" s="98"/>
      <c r="I599" s="99"/>
      <c r="J599" s="99"/>
      <c r="K599" s="99"/>
    </row>
    <row r="600">
      <c r="C600" s="99"/>
      <c r="D600" s="99"/>
      <c r="E600" s="122"/>
      <c r="F600" s="99"/>
      <c r="G600" s="123"/>
      <c r="H600" s="98"/>
      <c r="I600" s="99"/>
      <c r="J600" s="99"/>
      <c r="K600" s="99"/>
    </row>
    <row r="601">
      <c r="C601" s="99"/>
      <c r="D601" s="99"/>
      <c r="E601" s="122"/>
      <c r="F601" s="99"/>
      <c r="G601" s="123"/>
      <c r="H601" s="98"/>
      <c r="I601" s="99"/>
      <c r="J601" s="99"/>
      <c r="K601" s="99"/>
    </row>
    <row r="602">
      <c r="C602" s="99"/>
      <c r="D602" s="99"/>
      <c r="E602" s="122"/>
      <c r="F602" s="99"/>
      <c r="G602" s="123"/>
      <c r="H602" s="98"/>
      <c r="I602" s="99"/>
      <c r="J602" s="99"/>
      <c r="K602" s="99"/>
    </row>
    <row r="603">
      <c r="C603" s="99"/>
      <c r="D603" s="99"/>
      <c r="E603" s="122"/>
      <c r="F603" s="99"/>
      <c r="G603" s="123"/>
      <c r="H603" s="98"/>
      <c r="I603" s="99"/>
      <c r="J603" s="99"/>
      <c r="K603" s="99"/>
    </row>
    <row r="604">
      <c r="C604" s="99"/>
      <c r="D604" s="99"/>
      <c r="E604" s="122"/>
      <c r="F604" s="99"/>
      <c r="G604" s="123"/>
      <c r="H604" s="98"/>
      <c r="I604" s="99"/>
      <c r="J604" s="99"/>
      <c r="K604" s="99"/>
    </row>
    <row r="605">
      <c r="C605" s="99"/>
      <c r="D605" s="99"/>
      <c r="E605" s="122"/>
      <c r="F605" s="99"/>
      <c r="G605" s="123"/>
      <c r="H605" s="98"/>
      <c r="I605" s="99"/>
      <c r="J605" s="99"/>
      <c r="K605" s="99"/>
    </row>
    <row r="606">
      <c r="C606" s="99"/>
      <c r="D606" s="99"/>
      <c r="E606" s="122"/>
      <c r="F606" s="99"/>
      <c r="G606" s="123"/>
      <c r="H606" s="98"/>
      <c r="I606" s="99"/>
      <c r="J606" s="99"/>
      <c r="K606" s="99"/>
    </row>
    <row r="607">
      <c r="C607" s="99"/>
      <c r="D607" s="99"/>
      <c r="E607" s="122"/>
      <c r="F607" s="99"/>
      <c r="G607" s="123"/>
      <c r="H607" s="98"/>
      <c r="I607" s="99"/>
      <c r="J607" s="99"/>
      <c r="K607" s="99"/>
    </row>
    <row r="608">
      <c r="C608" s="99"/>
      <c r="D608" s="99"/>
      <c r="E608" s="122"/>
      <c r="F608" s="99"/>
      <c r="G608" s="123"/>
      <c r="H608" s="98"/>
      <c r="I608" s="99"/>
      <c r="J608" s="99"/>
      <c r="K608" s="99"/>
    </row>
    <row r="609">
      <c r="C609" s="99"/>
      <c r="D609" s="99"/>
      <c r="E609" s="122"/>
      <c r="F609" s="99"/>
      <c r="G609" s="123"/>
      <c r="H609" s="98"/>
      <c r="I609" s="99"/>
      <c r="J609" s="99"/>
      <c r="K609" s="99"/>
    </row>
    <row r="610">
      <c r="C610" s="99"/>
      <c r="D610" s="99"/>
      <c r="E610" s="122"/>
      <c r="F610" s="99"/>
      <c r="G610" s="123"/>
      <c r="H610" s="98"/>
      <c r="I610" s="99"/>
      <c r="J610" s="99"/>
      <c r="K610" s="99"/>
    </row>
    <row r="611">
      <c r="C611" s="99"/>
      <c r="D611" s="99"/>
      <c r="E611" s="122"/>
      <c r="F611" s="99"/>
      <c r="G611" s="123"/>
      <c r="H611" s="98"/>
      <c r="I611" s="99"/>
      <c r="J611" s="99"/>
      <c r="K611" s="99"/>
    </row>
    <row r="612">
      <c r="C612" s="99"/>
      <c r="D612" s="99"/>
      <c r="E612" s="122"/>
      <c r="F612" s="99"/>
      <c r="G612" s="123"/>
      <c r="H612" s="98"/>
      <c r="I612" s="99"/>
      <c r="J612" s="99"/>
      <c r="K612" s="99"/>
    </row>
    <row r="613">
      <c r="C613" s="99"/>
      <c r="D613" s="99"/>
      <c r="E613" s="122"/>
      <c r="F613" s="99"/>
      <c r="G613" s="123"/>
      <c r="H613" s="98"/>
      <c r="I613" s="99"/>
      <c r="J613" s="99"/>
      <c r="K613" s="99"/>
    </row>
    <row r="614">
      <c r="C614" s="99"/>
      <c r="D614" s="99"/>
      <c r="E614" s="122"/>
      <c r="F614" s="99"/>
      <c r="G614" s="123"/>
      <c r="H614" s="98"/>
      <c r="I614" s="99"/>
      <c r="J614" s="99"/>
      <c r="K614" s="99"/>
    </row>
    <row r="615">
      <c r="C615" s="99"/>
      <c r="D615" s="99"/>
      <c r="E615" s="122"/>
      <c r="F615" s="99"/>
      <c r="G615" s="123"/>
      <c r="H615" s="98"/>
      <c r="I615" s="99"/>
      <c r="J615" s="99"/>
      <c r="K615" s="99"/>
    </row>
    <row r="616">
      <c r="C616" s="99"/>
      <c r="D616" s="99"/>
      <c r="E616" s="122"/>
      <c r="F616" s="99"/>
      <c r="G616" s="123"/>
      <c r="H616" s="98"/>
      <c r="I616" s="99"/>
      <c r="J616" s="99"/>
      <c r="K616" s="99"/>
    </row>
    <row r="617">
      <c r="C617" s="99"/>
      <c r="D617" s="99"/>
      <c r="E617" s="122"/>
      <c r="F617" s="99"/>
      <c r="G617" s="123"/>
      <c r="H617" s="98"/>
      <c r="I617" s="99"/>
      <c r="J617" s="99"/>
      <c r="K617" s="99"/>
    </row>
    <row r="618">
      <c r="C618" s="99"/>
      <c r="D618" s="99"/>
      <c r="E618" s="122"/>
      <c r="F618" s="99"/>
      <c r="G618" s="123"/>
      <c r="H618" s="98"/>
      <c r="I618" s="99"/>
      <c r="J618" s="99"/>
      <c r="K618" s="99"/>
    </row>
    <row r="619">
      <c r="C619" s="99"/>
      <c r="D619" s="99"/>
      <c r="E619" s="122"/>
      <c r="F619" s="99"/>
      <c r="G619" s="123"/>
      <c r="H619" s="98"/>
      <c r="I619" s="99"/>
      <c r="J619" s="99"/>
      <c r="K619" s="99"/>
    </row>
    <row r="620">
      <c r="C620" s="99"/>
      <c r="D620" s="99"/>
      <c r="E620" s="122"/>
      <c r="F620" s="99"/>
      <c r="G620" s="123"/>
      <c r="H620" s="98"/>
      <c r="I620" s="99"/>
      <c r="J620" s="99"/>
      <c r="K620" s="99"/>
    </row>
    <row r="621">
      <c r="C621" s="99"/>
      <c r="D621" s="99"/>
      <c r="E621" s="122"/>
      <c r="F621" s="99"/>
      <c r="G621" s="123"/>
      <c r="H621" s="98"/>
      <c r="I621" s="99"/>
      <c r="J621" s="99"/>
      <c r="K621" s="99"/>
    </row>
    <row r="622">
      <c r="C622" s="99"/>
      <c r="D622" s="99"/>
      <c r="E622" s="122"/>
      <c r="F622" s="99"/>
      <c r="G622" s="123"/>
      <c r="H622" s="98"/>
      <c r="I622" s="99"/>
      <c r="J622" s="99"/>
      <c r="K622" s="99"/>
    </row>
    <row r="623">
      <c r="C623" s="99"/>
      <c r="D623" s="99"/>
      <c r="E623" s="122"/>
      <c r="F623" s="99"/>
      <c r="G623" s="123"/>
      <c r="H623" s="98"/>
      <c r="I623" s="99"/>
      <c r="J623" s="99"/>
      <c r="K623" s="99"/>
    </row>
    <row r="624">
      <c r="C624" s="99"/>
      <c r="D624" s="99"/>
      <c r="E624" s="122"/>
      <c r="F624" s="99"/>
      <c r="G624" s="123"/>
      <c r="H624" s="98"/>
      <c r="I624" s="99"/>
      <c r="J624" s="99"/>
      <c r="K624" s="99"/>
    </row>
    <row r="625">
      <c r="C625" s="99"/>
      <c r="D625" s="99"/>
      <c r="E625" s="122"/>
      <c r="F625" s="99"/>
      <c r="G625" s="123"/>
      <c r="H625" s="98"/>
      <c r="I625" s="99"/>
      <c r="J625" s="99"/>
      <c r="K625" s="99"/>
    </row>
    <row r="626">
      <c r="C626" s="99"/>
      <c r="D626" s="99"/>
      <c r="E626" s="122"/>
      <c r="F626" s="99"/>
      <c r="G626" s="123"/>
      <c r="H626" s="98"/>
      <c r="I626" s="99"/>
      <c r="J626" s="99"/>
      <c r="K626" s="99"/>
    </row>
    <row r="627">
      <c r="C627" s="99"/>
      <c r="D627" s="99"/>
      <c r="E627" s="122"/>
      <c r="F627" s="99"/>
      <c r="G627" s="123"/>
      <c r="H627" s="98"/>
      <c r="I627" s="99"/>
      <c r="J627" s="99"/>
      <c r="K627" s="99"/>
    </row>
    <row r="628">
      <c r="C628" s="99"/>
      <c r="D628" s="99"/>
      <c r="E628" s="122"/>
      <c r="F628" s="99"/>
      <c r="G628" s="123"/>
      <c r="H628" s="98"/>
      <c r="I628" s="99"/>
      <c r="J628" s="99"/>
      <c r="K628" s="99"/>
    </row>
    <row r="629">
      <c r="C629" s="99"/>
      <c r="D629" s="99"/>
      <c r="E629" s="122"/>
      <c r="F629" s="99"/>
      <c r="G629" s="123"/>
      <c r="H629" s="98"/>
      <c r="I629" s="99"/>
      <c r="J629" s="99"/>
      <c r="K629" s="99"/>
    </row>
    <row r="630">
      <c r="C630" s="99"/>
      <c r="D630" s="99"/>
      <c r="E630" s="122"/>
      <c r="F630" s="99"/>
      <c r="G630" s="123"/>
      <c r="H630" s="98"/>
      <c r="I630" s="99"/>
      <c r="J630" s="99"/>
      <c r="K630" s="99"/>
    </row>
    <row r="631">
      <c r="C631" s="99"/>
      <c r="D631" s="99"/>
      <c r="E631" s="122"/>
      <c r="F631" s="99"/>
      <c r="G631" s="123"/>
      <c r="H631" s="98"/>
      <c r="I631" s="99"/>
      <c r="J631" s="99"/>
      <c r="K631" s="99"/>
    </row>
    <row r="632">
      <c r="C632" s="99"/>
      <c r="D632" s="99"/>
      <c r="E632" s="122"/>
      <c r="F632" s="99"/>
      <c r="G632" s="123"/>
      <c r="H632" s="98"/>
      <c r="I632" s="99"/>
      <c r="J632" s="99"/>
      <c r="K632" s="99"/>
    </row>
    <row r="633">
      <c r="C633" s="99"/>
      <c r="D633" s="99"/>
      <c r="E633" s="122"/>
      <c r="F633" s="99"/>
      <c r="G633" s="123"/>
      <c r="H633" s="98"/>
      <c r="I633" s="99"/>
      <c r="J633" s="99"/>
      <c r="K633" s="99"/>
    </row>
    <row r="634">
      <c r="C634" s="99"/>
      <c r="D634" s="99"/>
      <c r="E634" s="122"/>
      <c r="F634" s="99"/>
      <c r="G634" s="123"/>
      <c r="H634" s="98"/>
      <c r="I634" s="99"/>
      <c r="J634" s="99"/>
      <c r="K634" s="99"/>
    </row>
    <row r="635">
      <c r="C635" s="99"/>
      <c r="D635" s="99"/>
      <c r="E635" s="122"/>
      <c r="F635" s="99"/>
      <c r="G635" s="123"/>
      <c r="H635" s="98"/>
      <c r="I635" s="99"/>
      <c r="J635" s="99"/>
      <c r="K635" s="99"/>
    </row>
    <row r="636">
      <c r="C636" s="99"/>
      <c r="D636" s="99"/>
      <c r="E636" s="122"/>
      <c r="F636" s="99"/>
      <c r="G636" s="123"/>
      <c r="H636" s="98"/>
      <c r="I636" s="99"/>
      <c r="J636" s="99"/>
      <c r="K636" s="99"/>
    </row>
    <row r="637">
      <c r="C637" s="99"/>
      <c r="D637" s="99"/>
      <c r="E637" s="122"/>
      <c r="F637" s="99"/>
      <c r="G637" s="123"/>
      <c r="H637" s="98"/>
      <c r="I637" s="99"/>
      <c r="J637" s="99"/>
      <c r="K637" s="99"/>
    </row>
    <row r="638">
      <c r="C638" s="99"/>
      <c r="D638" s="99"/>
      <c r="E638" s="122"/>
      <c r="F638" s="99"/>
      <c r="G638" s="123"/>
      <c r="H638" s="98"/>
      <c r="I638" s="99"/>
      <c r="J638" s="99"/>
      <c r="K638" s="99"/>
    </row>
    <row r="639">
      <c r="C639" s="99"/>
      <c r="D639" s="99"/>
      <c r="E639" s="122"/>
      <c r="F639" s="99"/>
      <c r="G639" s="123"/>
      <c r="H639" s="98"/>
      <c r="I639" s="99"/>
      <c r="J639" s="99"/>
      <c r="K639" s="99"/>
    </row>
    <row r="640">
      <c r="C640" s="99"/>
      <c r="D640" s="99"/>
      <c r="E640" s="122"/>
      <c r="F640" s="99"/>
      <c r="G640" s="123"/>
      <c r="H640" s="98"/>
      <c r="I640" s="99"/>
      <c r="J640" s="99"/>
      <c r="K640" s="99"/>
    </row>
    <row r="641">
      <c r="C641" s="99"/>
      <c r="D641" s="99"/>
      <c r="E641" s="122"/>
      <c r="F641" s="99"/>
      <c r="G641" s="123"/>
      <c r="H641" s="98"/>
      <c r="I641" s="99"/>
      <c r="J641" s="99"/>
      <c r="K641" s="99"/>
    </row>
    <row r="642">
      <c r="C642" s="99"/>
      <c r="D642" s="99"/>
      <c r="E642" s="122"/>
      <c r="F642" s="99"/>
      <c r="G642" s="123"/>
      <c r="H642" s="98"/>
      <c r="I642" s="99"/>
      <c r="J642" s="99"/>
      <c r="K642" s="99"/>
    </row>
    <row r="643">
      <c r="C643" s="99"/>
      <c r="D643" s="99"/>
      <c r="E643" s="122"/>
      <c r="F643" s="99"/>
      <c r="G643" s="123"/>
      <c r="H643" s="98"/>
      <c r="I643" s="99"/>
      <c r="J643" s="99"/>
      <c r="K643" s="99"/>
    </row>
    <row r="644">
      <c r="C644" s="99"/>
      <c r="D644" s="99"/>
      <c r="E644" s="122"/>
      <c r="F644" s="99"/>
      <c r="G644" s="123"/>
      <c r="H644" s="98"/>
      <c r="I644" s="99"/>
      <c r="J644" s="99"/>
      <c r="K644" s="99"/>
    </row>
    <row r="645">
      <c r="C645" s="99"/>
      <c r="D645" s="99"/>
      <c r="E645" s="122"/>
      <c r="F645" s="99"/>
      <c r="G645" s="123"/>
      <c r="H645" s="98"/>
      <c r="I645" s="99"/>
      <c r="J645" s="99"/>
      <c r="K645" s="99"/>
    </row>
    <row r="646">
      <c r="C646" s="99"/>
      <c r="D646" s="99"/>
      <c r="E646" s="122"/>
      <c r="F646" s="99"/>
      <c r="G646" s="123"/>
      <c r="H646" s="98"/>
      <c r="I646" s="99"/>
      <c r="J646" s="99"/>
      <c r="K646" s="99"/>
    </row>
    <row r="647">
      <c r="C647" s="99"/>
      <c r="D647" s="99"/>
      <c r="E647" s="122"/>
      <c r="F647" s="99"/>
      <c r="G647" s="123"/>
      <c r="H647" s="98"/>
      <c r="I647" s="99"/>
      <c r="J647" s="99"/>
      <c r="K647" s="99"/>
    </row>
    <row r="648">
      <c r="C648" s="99"/>
      <c r="D648" s="99"/>
      <c r="E648" s="122"/>
      <c r="F648" s="99"/>
      <c r="G648" s="123"/>
      <c r="H648" s="98"/>
      <c r="I648" s="99"/>
      <c r="J648" s="99"/>
      <c r="K648" s="99"/>
    </row>
    <row r="649">
      <c r="C649" s="99"/>
      <c r="D649" s="99"/>
      <c r="E649" s="122"/>
      <c r="F649" s="99"/>
      <c r="G649" s="123"/>
      <c r="H649" s="98"/>
      <c r="I649" s="99"/>
      <c r="J649" s="99"/>
      <c r="K649" s="99"/>
    </row>
    <row r="650">
      <c r="C650" s="99"/>
      <c r="D650" s="99"/>
      <c r="E650" s="122"/>
      <c r="F650" s="99"/>
      <c r="G650" s="123"/>
      <c r="H650" s="98"/>
      <c r="I650" s="99"/>
      <c r="J650" s="99"/>
      <c r="K650" s="99"/>
    </row>
    <row r="651">
      <c r="C651" s="99"/>
      <c r="D651" s="99"/>
      <c r="E651" s="122"/>
      <c r="F651" s="99"/>
      <c r="G651" s="123"/>
      <c r="H651" s="98"/>
      <c r="I651" s="99"/>
      <c r="J651" s="99"/>
      <c r="K651" s="99"/>
    </row>
    <row r="652">
      <c r="C652" s="99"/>
      <c r="D652" s="99"/>
      <c r="E652" s="122"/>
      <c r="F652" s="99"/>
      <c r="G652" s="123"/>
      <c r="H652" s="98"/>
      <c r="I652" s="99"/>
      <c r="J652" s="99"/>
      <c r="K652" s="99"/>
    </row>
    <row r="653">
      <c r="C653" s="99"/>
      <c r="D653" s="99"/>
      <c r="E653" s="122"/>
      <c r="F653" s="99"/>
      <c r="G653" s="123"/>
      <c r="H653" s="98"/>
      <c r="I653" s="99"/>
      <c r="J653" s="99"/>
      <c r="K653" s="99"/>
    </row>
    <row r="654">
      <c r="C654" s="99"/>
      <c r="D654" s="99"/>
      <c r="E654" s="122"/>
      <c r="F654" s="99"/>
      <c r="G654" s="123"/>
      <c r="H654" s="98"/>
      <c r="I654" s="99"/>
      <c r="J654" s="99"/>
      <c r="K654" s="99"/>
    </row>
    <row r="655">
      <c r="C655" s="99"/>
      <c r="D655" s="99"/>
      <c r="E655" s="122"/>
      <c r="F655" s="99"/>
      <c r="G655" s="123"/>
      <c r="H655" s="98"/>
      <c r="I655" s="99"/>
      <c r="J655" s="99"/>
      <c r="K655" s="99"/>
    </row>
    <row r="656">
      <c r="C656" s="99"/>
      <c r="D656" s="99"/>
      <c r="E656" s="122"/>
      <c r="F656" s="99"/>
      <c r="G656" s="123"/>
      <c r="H656" s="98"/>
      <c r="I656" s="99"/>
      <c r="J656" s="99"/>
      <c r="K656" s="99"/>
    </row>
    <row r="657">
      <c r="C657" s="99"/>
      <c r="D657" s="99"/>
      <c r="E657" s="122"/>
      <c r="F657" s="99"/>
      <c r="G657" s="123"/>
      <c r="H657" s="98"/>
      <c r="I657" s="99"/>
      <c r="J657" s="99"/>
      <c r="K657" s="99"/>
    </row>
    <row r="658">
      <c r="C658" s="99"/>
      <c r="D658" s="99"/>
      <c r="E658" s="122"/>
      <c r="F658" s="99"/>
      <c r="G658" s="123"/>
      <c r="H658" s="98"/>
      <c r="I658" s="99"/>
      <c r="J658" s="99"/>
      <c r="K658" s="99"/>
    </row>
    <row r="659">
      <c r="C659" s="99"/>
      <c r="D659" s="99"/>
      <c r="E659" s="122"/>
      <c r="F659" s="99"/>
      <c r="G659" s="123"/>
      <c r="H659" s="98"/>
      <c r="I659" s="99"/>
      <c r="J659" s="99"/>
      <c r="K659" s="99"/>
    </row>
    <row r="660">
      <c r="C660" s="99"/>
      <c r="D660" s="99"/>
      <c r="E660" s="122"/>
      <c r="F660" s="99"/>
      <c r="G660" s="123"/>
      <c r="H660" s="98"/>
      <c r="I660" s="99"/>
      <c r="J660" s="99"/>
      <c r="K660" s="99"/>
    </row>
    <row r="661">
      <c r="C661" s="99"/>
      <c r="D661" s="99"/>
      <c r="E661" s="122"/>
      <c r="F661" s="99"/>
      <c r="G661" s="123"/>
      <c r="H661" s="98"/>
      <c r="I661" s="99"/>
      <c r="J661" s="99"/>
      <c r="K661" s="99"/>
    </row>
    <row r="662">
      <c r="C662" s="99"/>
      <c r="D662" s="99"/>
      <c r="E662" s="122"/>
      <c r="F662" s="99"/>
      <c r="G662" s="123"/>
      <c r="H662" s="98"/>
      <c r="I662" s="99"/>
      <c r="J662" s="99"/>
      <c r="K662" s="99"/>
    </row>
    <row r="663">
      <c r="C663" s="99"/>
      <c r="D663" s="99"/>
      <c r="E663" s="122"/>
      <c r="F663" s="99"/>
      <c r="G663" s="123"/>
      <c r="H663" s="98"/>
      <c r="I663" s="99"/>
      <c r="J663" s="99"/>
      <c r="K663" s="99"/>
    </row>
    <row r="664">
      <c r="C664" s="99"/>
      <c r="D664" s="99"/>
      <c r="E664" s="122"/>
      <c r="F664" s="99"/>
      <c r="G664" s="123"/>
      <c r="H664" s="98"/>
      <c r="I664" s="99"/>
      <c r="J664" s="99"/>
      <c r="K664" s="99"/>
    </row>
    <row r="665">
      <c r="C665" s="99"/>
      <c r="D665" s="99"/>
      <c r="E665" s="122"/>
      <c r="F665" s="99"/>
      <c r="G665" s="123"/>
      <c r="H665" s="98"/>
      <c r="I665" s="99"/>
      <c r="J665" s="99"/>
      <c r="K665" s="99"/>
    </row>
    <row r="666">
      <c r="C666" s="99"/>
      <c r="D666" s="99"/>
      <c r="E666" s="122"/>
      <c r="F666" s="99"/>
      <c r="G666" s="123"/>
      <c r="H666" s="98"/>
      <c r="I666" s="99"/>
      <c r="J666" s="99"/>
      <c r="K666" s="99"/>
    </row>
    <row r="667">
      <c r="C667" s="99"/>
      <c r="D667" s="99"/>
      <c r="E667" s="122"/>
      <c r="F667" s="99"/>
      <c r="G667" s="123"/>
      <c r="H667" s="98"/>
      <c r="I667" s="99"/>
      <c r="J667" s="99"/>
      <c r="K667" s="99"/>
    </row>
    <row r="668">
      <c r="C668" s="99"/>
      <c r="D668" s="99"/>
      <c r="E668" s="122"/>
      <c r="F668" s="99"/>
      <c r="G668" s="123"/>
      <c r="H668" s="98"/>
      <c r="I668" s="99"/>
      <c r="J668" s="99"/>
      <c r="K668" s="99"/>
    </row>
    <row r="669">
      <c r="C669" s="99"/>
      <c r="D669" s="99"/>
      <c r="E669" s="122"/>
      <c r="F669" s="99"/>
      <c r="G669" s="123"/>
      <c r="H669" s="98"/>
      <c r="I669" s="99"/>
      <c r="J669" s="99"/>
      <c r="K669" s="99"/>
    </row>
    <row r="670">
      <c r="C670" s="99"/>
      <c r="D670" s="99"/>
      <c r="E670" s="122"/>
      <c r="F670" s="99"/>
      <c r="G670" s="123"/>
      <c r="H670" s="98"/>
      <c r="I670" s="99"/>
      <c r="J670" s="99"/>
      <c r="K670" s="99"/>
    </row>
    <row r="671">
      <c r="C671" s="99"/>
      <c r="D671" s="99"/>
      <c r="E671" s="122"/>
      <c r="F671" s="99"/>
      <c r="G671" s="123"/>
      <c r="H671" s="98"/>
      <c r="I671" s="99"/>
      <c r="J671" s="99"/>
      <c r="K671" s="99"/>
    </row>
    <row r="672">
      <c r="C672" s="99"/>
      <c r="D672" s="99"/>
      <c r="E672" s="122"/>
      <c r="F672" s="99"/>
      <c r="G672" s="123"/>
      <c r="H672" s="98"/>
      <c r="I672" s="99"/>
      <c r="J672" s="99"/>
      <c r="K672" s="99"/>
    </row>
    <row r="673">
      <c r="C673" s="99"/>
      <c r="D673" s="99"/>
      <c r="E673" s="122"/>
      <c r="F673" s="99"/>
      <c r="G673" s="123"/>
      <c r="H673" s="98"/>
      <c r="I673" s="99"/>
      <c r="J673" s="99"/>
      <c r="K673" s="99"/>
    </row>
    <row r="674">
      <c r="C674" s="99"/>
      <c r="D674" s="99"/>
      <c r="E674" s="122"/>
      <c r="F674" s="99"/>
      <c r="G674" s="123"/>
      <c r="H674" s="98"/>
      <c r="I674" s="99"/>
      <c r="J674" s="99"/>
      <c r="K674" s="99"/>
    </row>
    <row r="675">
      <c r="C675" s="99"/>
      <c r="D675" s="99"/>
      <c r="E675" s="122"/>
      <c r="F675" s="99"/>
      <c r="G675" s="123"/>
      <c r="H675" s="98"/>
      <c r="I675" s="99"/>
      <c r="J675" s="99"/>
      <c r="K675" s="99"/>
    </row>
    <row r="676">
      <c r="C676" s="99"/>
      <c r="D676" s="99"/>
      <c r="E676" s="122"/>
      <c r="F676" s="99"/>
      <c r="G676" s="123"/>
      <c r="H676" s="98"/>
      <c r="I676" s="99"/>
      <c r="J676" s="99"/>
      <c r="K676" s="99"/>
    </row>
    <row r="677">
      <c r="C677" s="99"/>
      <c r="D677" s="99"/>
      <c r="E677" s="122"/>
      <c r="F677" s="99"/>
      <c r="G677" s="123"/>
      <c r="H677" s="98"/>
      <c r="I677" s="99"/>
      <c r="J677" s="99"/>
      <c r="K677" s="99"/>
    </row>
    <row r="678">
      <c r="C678" s="99"/>
      <c r="D678" s="99"/>
      <c r="E678" s="122"/>
      <c r="F678" s="99"/>
      <c r="G678" s="123"/>
      <c r="H678" s="98"/>
      <c r="I678" s="99"/>
      <c r="J678" s="99"/>
      <c r="K678" s="99"/>
    </row>
    <row r="679">
      <c r="C679" s="99"/>
      <c r="D679" s="99"/>
      <c r="E679" s="122"/>
      <c r="F679" s="99"/>
      <c r="G679" s="123"/>
      <c r="H679" s="98"/>
      <c r="I679" s="99"/>
      <c r="J679" s="99"/>
      <c r="K679" s="99"/>
    </row>
    <row r="680">
      <c r="C680" s="99"/>
      <c r="D680" s="99"/>
      <c r="E680" s="122"/>
      <c r="F680" s="99"/>
      <c r="G680" s="123"/>
      <c r="H680" s="98"/>
      <c r="I680" s="99"/>
      <c r="J680" s="99"/>
      <c r="K680" s="99"/>
    </row>
    <row r="681">
      <c r="C681" s="99"/>
      <c r="D681" s="99"/>
      <c r="E681" s="122"/>
      <c r="F681" s="99"/>
      <c r="G681" s="123"/>
      <c r="H681" s="98"/>
      <c r="I681" s="99"/>
      <c r="J681" s="99"/>
      <c r="K681" s="99"/>
    </row>
    <row r="682">
      <c r="C682" s="99"/>
      <c r="D682" s="99"/>
      <c r="E682" s="122"/>
      <c r="F682" s="99"/>
      <c r="G682" s="123"/>
      <c r="H682" s="98"/>
      <c r="I682" s="99"/>
      <c r="J682" s="99"/>
      <c r="K682" s="99"/>
    </row>
    <row r="683">
      <c r="C683" s="99"/>
      <c r="D683" s="99"/>
      <c r="E683" s="122"/>
      <c r="F683" s="99"/>
      <c r="G683" s="123"/>
      <c r="H683" s="98"/>
      <c r="I683" s="99"/>
      <c r="J683" s="99"/>
      <c r="K683" s="99"/>
    </row>
    <row r="684">
      <c r="C684" s="99"/>
      <c r="D684" s="99"/>
      <c r="E684" s="122"/>
      <c r="F684" s="99"/>
      <c r="G684" s="123"/>
      <c r="H684" s="98"/>
      <c r="I684" s="99"/>
      <c r="J684" s="99"/>
      <c r="K684" s="99"/>
    </row>
    <row r="685">
      <c r="C685" s="99"/>
      <c r="D685" s="99"/>
      <c r="E685" s="122"/>
      <c r="F685" s="99"/>
      <c r="G685" s="123"/>
      <c r="H685" s="98"/>
      <c r="I685" s="99"/>
      <c r="J685" s="99"/>
      <c r="K685" s="99"/>
    </row>
    <row r="686">
      <c r="C686" s="99"/>
      <c r="D686" s="99"/>
      <c r="E686" s="122"/>
      <c r="F686" s="99"/>
      <c r="G686" s="123"/>
      <c r="H686" s="98"/>
      <c r="I686" s="99"/>
      <c r="J686" s="99"/>
      <c r="K686" s="99"/>
    </row>
    <row r="687">
      <c r="C687" s="99"/>
      <c r="D687" s="99"/>
      <c r="E687" s="122"/>
      <c r="F687" s="99"/>
      <c r="G687" s="123"/>
      <c r="H687" s="98"/>
      <c r="I687" s="99"/>
      <c r="J687" s="99"/>
      <c r="K687" s="99"/>
    </row>
    <row r="688">
      <c r="C688" s="99"/>
      <c r="D688" s="99"/>
      <c r="E688" s="122"/>
      <c r="F688" s="99"/>
      <c r="G688" s="123"/>
      <c r="H688" s="98"/>
      <c r="I688" s="99"/>
      <c r="J688" s="99"/>
      <c r="K688" s="99"/>
    </row>
    <row r="689">
      <c r="C689" s="99"/>
      <c r="D689" s="99"/>
      <c r="E689" s="122"/>
      <c r="F689" s="99"/>
      <c r="G689" s="123"/>
      <c r="H689" s="98"/>
      <c r="I689" s="99"/>
      <c r="J689" s="99"/>
      <c r="K689" s="99"/>
    </row>
    <row r="690">
      <c r="C690" s="99"/>
      <c r="D690" s="99"/>
      <c r="E690" s="122"/>
      <c r="F690" s="99"/>
      <c r="G690" s="123"/>
      <c r="H690" s="98"/>
      <c r="I690" s="99"/>
      <c r="J690" s="99"/>
      <c r="K690" s="99"/>
    </row>
    <row r="691">
      <c r="C691" s="99"/>
      <c r="D691" s="99"/>
      <c r="E691" s="122"/>
      <c r="F691" s="99"/>
      <c r="G691" s="123"/>
      <c r="H691" s="98"/>
      <c r="I691" s="99"/>
      <c r="J691" s="99"/>
      <c r="K691" s="99"/>
    </row>
    <row r="692">
      <c r="C692" s="99"/>
      <c r="D692" s="99"/>
      <c r="E692" s="122"/>
      <c r="F692" s="99"/>
      <c r="G692" s="123"/>
      <c r="H692" s="98"/>
      <c r="I692" s="99"/>
      <c r="J692" s="99"/>
      <c r="K692" s="99"/>
    </row>
    <row r="693">
      <c r="C693" s="99"/>
      <c r="D693" s="99"/>
      <c r="E693" s="122"/>
      <c r="F693" s="99"/>
      <c r="G693" s="123"/>
      <c r="H693" s="98"/>
      <c r="I693" s="99"/>
      <c r="J693" s="99"/>
      <c r="K693" s="99"/>
    </row>
    <row r="694">
      <c r="C694" s="99"/>
      <c r="D694" s="99"/>
      <c r="E694" s="122"/>
      <c r="F694" s="99"/>
      <c r="G694" s="123"/>
      <c r="H694" s="98"/>
      <c r="I694" s="99"/>
      <c r="J694" s="99"/>
      <c r="K694" s="99"/>
    </row>
    <row r="695">
      <c r="C695" s="99"/>
      <c r="D695" s="99"/>
      <c r="E695" s="122"/>
      <c r="F695" s="99"/>
      <c r="G695" s="123"/>
      <c r="H695" s="98"/>
      <c r="I695" s="99"/>
      <c r="J695" s="99"/>
      <c r="K695" s="99"/>
    </row>
    <row r="696">
      <c r="C696" s="99"/>
      <c r="D696" s="99"/>
      <c r="E696" s="122"/>
      <c r="F696" s="99"/>
      <c r="G696" s="123"/>
      <c r="H696" s="98"/>
      <c r="I696" s="99"/>
      <c r="J696" s="99"/>
      <c r="K696" s="99"/>
    </row>
    <row r="697">
      <c r="C697" s="99"/>
      <c r="D697" s="99"/>
      <c r="E697" s="122"/>
      <c r="F697" s="99"/>
      <c r="G697" s="123"/>
      <c r="H697" s="98"/>
      <c r="I697" s="99"/>
      <c r="J697" s="99"/>
      <c r="K697" s="99"/>
    </row>
    <row r="698">
      <c r="C698" s="99"/>
      <c r="D698" s="99"/>
      <c r="E698" s="122"/>
      <c r="F698" s="99"/>
      <c r="G698" s="123"/>
      <c r="H698" s="98"/>
      <c r="I698" s="99"/>
      <c r="J698" s="99"/>
      <c r="K698" s="99"/>
    </row>
    <row r="699">
      <c r="C699" s="99"/>
      <c r="D699" s="99"/>
      <c r="E699" s="122"/>
      <c r="F699" s="99"/>
      <c r="G699" s="123"/>
      <c r="H699" s="98"/>
      <c r="I699" s="99"/>
      <c r="J699" s="99"/>
      <c r="K699" s="99"/>
    </row>
    <row r="700">
      <c r="C700" s="99"/>
      <c r="D700" s="99"/>
      <c r="E700" s="122"/>
      <c r="F700" s="99"/>
      <c r="G700" s="123"/>
      <c r="H700" s="98"/>
      <c r="I700" s="99"/>
      <c r="J700" s="99"/>
      <c r="K700" s="99"/>
    </row>
    <row r="701">
      <c r="C701" s="99"/>
      <c r="D701" s="99"/>
      <c r="E701" s="122"/>
      <c r="F701" s="99"/>
      <c r="G701" s="123"/>
      <c r="H701" s="98"/>
      <c r="I701" s="99"/>
      <c r="J701" s="99"/>
      <c r="K701" s="99"/>
    </row>
    <row r="702">
      <c r="C702" s="99"/>
      <c r="D702" s="99"/>
      <c r="E702" s="122"/>
      <c r="F702" s="99"/>
      <c r="G702" s="123"/>
      <c r="H702" s="98"/>
      <c r="I702" s="99"/>
      <c r="J702" s="99"/>
      <c r="K702" s="99"/>
    </row>
    <row r="703">
      <c r="C703" s="99"/>
      <c r="D703" s="99"/>
      <c r="E703" s="122"/>
      <c r="F703" s="99"/>
      <c r="G703" s="123"/>
      <c r="H703" s="98"/>
      <c r="I703" s="99"/>
      <c r="J703" s="99"/>
      <c r="K703" s="99"/>
    </row>
    <row r="704">
      <c r="C704" s="99"/>
      <c r="D704" s="99"/>
      <c r="E704" s="122"/>
      <c r="F704" s="99"/>
      <c r="G704" s="123"/>
      <c r="H704" s="98"/>
      <c r="I704" s="99"/>
      <c r="J704" s="99"/>
      <c r="K704" s="99"/>
    </row>
    <row r="705">
      <c r="C705" s="99"/>
      <c r="D705" s="99"/>
      <c r="E705" s="122"/>
      <c r="F705" s="99"/>
      <c r="G705" s="123"/>
      <c r="H705" s="98"/>
      <c r="I705" s="99"/>
      <c r="J705" s="99"/>
      <c r="K705" s="99"/>
    </row>
    <row r="706">
      <c r="C706" s="99"/>
      <c r="D706" s="99"/>
      <c r="E706" s="122"/>
      <c r="F706" s="99"/>
      <c r="G706" s="123"/>
      <c r="H706" s="98"/>
      <c r="I706" s="99"/>
      <c r="J706" s="99"/>
      <c r="K706" s="99"/>
    </row>
    <row r="707">
      <c r="C707" s="99"/>
      <c r="D707" s="99"/>
      <c r="E707" s="122"/>
      <c r="F707" s="99"/>
      <c r="G707" s="123"/>
      <c r="H707" s="98"/>
      <c r="I707" s="99"/>
      <c r="J707" s="99"/>
      <c r="K707" s="99"/>
    </row>
    <row r="708">
      <c r="C708" s="99"/>
      <c r="D708" s="99"/>
      <c r="E708" s="122"/>
      <c r="F708" s="99"/>
      <c r="G708" s="123"/>
      <c r="H708" s="98"/>
      <c r="I708" s="99"/>
      <c r="J708" s="99"/>
      <c r="K708" s="99"/>
    </row>
    <row r="709">
      <c r="C709" s="99"/>
      <c r="D709" s="99"/>
      <c r="E709" s="122"/>
      <c r="F709" s="99"/>
      <c r="G709" s="123"/>
      <c r="H709" s="98"/>
      <c r="I709" s="99"/>
      <c r="J709" s="99"/>
      <c r="K709" s="99"/>
    </row>
    <row r="710">
      <c r="C710" s="99"/>
      <c r="D710" s="99"/>
      <c r="E710" s="122"/>
      <c r="F710" s="99"/>
      <c r="G710" s="123"/>
      <c r="H710" s="98"/>
      <c r="I710" s="99"/>
      <c r="J710" s="99"/>
      <c r="K710" s="99"/>
    </row>
    <row r="711">
      <c r="C711" s="99"/>
      <c r="D711" s="99"/>
      <c r="E711" s="122"/>
      <c r="F711" s="99"/>
      <c r="G711" s="123"/>
      <c r="H711" s="98"/>
      <c r="I711" s="99"/>
      <c r="J711" s="99"/>
      <c r="K711" s="99"/>
    </row>
    <row r="712">
      <c r="C712" s="99"/>
      <c r="D712" s="99"/>
      <c r="E712" s="122"/>
      <c r="F712" s="99"/>
      <c r="G712" s="123"/>
      <c r="H712" s="98"/>
      <c r="I712" s="99"/>
      <c r="J712" s="99"/>
      <c r="K712" s="99"/>
    </row>
    <row r="713">
      <c r="C713" s="99"/>
      <c r="D713" s="99"/>
      <c r="E713" s="122"/>
      <c r="F713" s="99"/>
      <c r="G713" s="123"/>
      <c r="H713" s="98"/>
      <c r="I713" s="99"/>
      <c r="J713" s="99"/>
      <c r="K713" s="99"/>
    </row>
    <row r="714">
      <c r="C714" s="99"/>
      <c r="D714" s="99"/>
      <c r="E714" s="122"/>
      <c r="F714" s="99"/>
      <c r="G714" s="123"/>
      <c r="H714" s="98"/>
      <c r="I714" s="99"/>
      <c r="J714" s="99"/>
      <c r="K714" s="99"/>
    </row>
    <row r="715">
      <c r="C715" s="99"/>
      <c r="D715" s="99"/>
      <c r="E715" s="122"/>
      <c r="F715" s="99"/>
      <c r="G715" s="123"/>
      <c r="H715" s="98"/>
      <c r="I715" s="99"/>
      <c r="J715" s="99"/>
      <c r="K715" s="99"/>
    </row>
    <row r="716">
      <c r="C716" s="99"/>
      <c r="D716" s="99"/>
      <c r="E716" s="122"/>
      <c r="F716" s="99"/>
      <c r="G716" s="123"/>
      <c r="H716" s="98"/>
      <c r="I716" s="99"/>
      <c r="J716" s="99"/>
      <c r="K716" s="99"/>
    </row>
    <row r="717">
      <c r="C717" s="99"/>
      <c r="D717" s="99"/>
      <c r="E717" s="122"/>
      <c r="F717" s="99"/>
      <c r="G717" s="123"/>
      <c r="H717" s="98"/>
      <c r="I717" s="99"/>
      <c r="J717" s="99"/>
      <c r="K717" s="99"/>
    </row>
    <row r="718">
      <c r="C718" s="99"/>
      <c r="D718" s="99"/>
      <c r="E718" s="122"/>
      <c r="F718" s="99"/>
      <c r="G718" s="123"/>
      <c r="H718" s="98"/>
      <c r="I718" s="99"/>
      <c r="J718" s="99"/>
      <c r="K718" s="99"/>
    </row>
    <row r="719">
      <c r="C719" s="99"/>
      <c r="D719" s="99"/>
      <c r="E719" s="122"/>
      <c r="F719" s="99"/>
      <c r="G719" s="123"/>
      <c r="H719" s="98"/>
      <c r="I719" s="99"/>
      <c r="J719" s="99"/>
      <c r="K719" s="99"/>
    </row>
    <row r="720">
      <c r="C720" s="99"/>
      <c r="D720" s="99"/>
      <c r="E720" s="122"/>
      <c r="F720" s="99"/>
      <c r="G720" s="123"/>
      <c r="H720" s="98"/>
      <c r="I720" s="99"/>
      <c r="J720" s="99"/>
      <c r="K720" s="99"/>
    </row>
    <row r="721">
      <c r="C721" s="99"/>
      <c r="D721" s="99"/>
      <c r="E721" s="122"/>
      <c r="F721" s="99"/>
      <c r="G721" s="123"/>
      <c r="H721" s="98"/>
      <c r="I721" s="99"/>
      <c r="J721" s="99"/>
      <c r="K721" s="99"/>
    </row>
    <row r="722">
      <c r="C722" s="99"/>
      <c r="D722" s="99"/>
      <c r="E722" s="122"/>
      <c r="F722" s="99"/>
      <c r="G722" s="123"/>
      <c r="H722" s="98"/>
      <c r="I722" s="99"/>
      <c r="J722" s="99"/>
      <c r="K722" s="99"/>
    </row>
    <row r="723">
      <c r="C723" s="99"/>
      <c r="D723" s="99"/>
      <c r="E723" s="122"/>
      <c r="F723" s="99"/>
      <c r="G723" s="123"/>
      <c r="H723" s="98"/>
      <c r="I723" s="99"/>
      <c r="J723" s="99"/>
      <c r="K723" s="99"/>
    </row>
    <row r="724">
      <c r="C724" s="99"/>
      <c r="D724" s="99"/>
      <c r="E724" s="122"/>
      <c r="F724" s="99"/>
      <c r="G724" s="123"/>
      <c r="H724" s="98"/>
      <c r="I724" s="99"/>
      <c r="J724" s="99"/>
      <c r="K724" s="99"/>
    </row>
    <row r="725">
      <c r="C725" s="99"/>
      <c r="D725" s="99"/>
      <c r="E725" s="122"/>
      <c r="F725" s="99"/>
      <c r="G725" s="123"/>
      <c r="H725" s="98"/>
      <c r="I725" s="99"/>
      <c r="J725" s="99"/>
      <c r="K725" s="99"/>
    </row>
    <row r="726">
      <c r="C726" s="99"/>
      <c r="D726" s="99"/>
      <c r="E726" s="122"/>
      <c r="F726" s="99"/>
      <c r="G726" s="123"/>
      <c r="H726" s="98"/>
      <c r="I726" s="99"/>
      <c r="J726" s="99"/>
      <c r="K726" s="99"/>
    </row>
    <row r="727">
      <c r="C727" s="99"/>
      <c r="D727" s="99"/>
      <c r="E727" s="122"/>
      <c r="F727" s="99"/>
      <c r="G727" s="123"/>
      <c r="H727" s="98"/>
      <c r="I727" s="99"/>
      <c r="J727" s="99"/>
      <c r="K727" s="99"/>
    </row>
    <row r="728">
      <c r="C728" s="99"/>
      <c r="D728" s="99"/>
      <c r="E728" s="122"/>
      <c r="F728" s="99"/>
      <c r="G728" s="123"/>
      <c r="H728" s="98"/>
      <c r="I728" s="99"/>
      <c r="J728" s="99"/>
      <c r="K728" s="99"/>
    </row>
    <row r="729">
      <c r="C729" s="99"/>
      <c r="D729" s="99"/>
      <c r="E729" s="122"/>
      <c r="F729" s="99"/>
      <c r="G729" s="123"/>
      <c r="H729" s="98"/>
      <c r="I729" s="99"/>
      <c r="J729" s="99"/>
      <c r="K729" s="99"/>
    </row>
    <row r="730">
      <c r="C730" s="99"/>
      <c r="D730" s="99"/>
      <c r="E730" s="122"/>
      <c r="F730" s="99"/>
      <c r="G730" s="123"/>
      <c r="H730" s="98"/>
      <c r="I730" s="99"/>
      <c r="J730" s="99"/>
      <c r="K730" s="99"/>
    </row>
    <row r="731">
      <c r="C731" s="99"/>
      <c r="D731" s="99"/>
      <c r="E731" s="122"/>
      <c r="F731" s="99"/>
      <c r="G731" s="123"/>
      <c r="H731" s="98"/>
      <c r="I731" s="99"/>
      <c r="J731" s="99"/>
      <c r="K731" s="99"/>
    </row>
    <row r="732">
      <c r="C732" s="99"/>
      <c r="D732" s="99"/>
      <c r="E732" s="122"/>
      <c r="F732" s="99"/>
      <c r="G732" s="123"/>
      <c r="H732" s="98"/>
      <c r="I732" s="99"/>
      <c r="J732" s="99"/>
      <c r="K732" s="99"/>
    </row>
    <row r="733">
      <c r="C733" s="99"/>
      <c r="D733" s="99"/>
      <c r="E733" s="122"/>
      <c r="F733" s="99"/>
      <c r="G733" s="123"/>
      <c r="H733" s="98"/>
      <c r="I733" s="99"/>
      <c r="J733" s="99"/>
      <c r="K733" s="99"/>
    </row>
    <row r="734">
      <c r="C734" s="99"/>
      <c r="D734" s="99"/>
      <c r="E734" s="122"/>
      <c r="F734" s="99"/>
      <c r="G734" s="123"/>
      <c r="H734" s="98"/>
      <c r="I734" s="99"/>
      <c r="J734" s="99"/>
      <c r="K734" s="99"/>
    </row>
    <row r="735">
      <c r="C735" s="99"/>
      <c r="D735" s="99"/>
      <c r="E735" s="122"/>
      <c r="F735" s="99"/>
      <c r="G735" s="123"/>
      <c r="H735" s="98"/>
      <c r="I735" s="99"/>
      <c r="J735" s="99"/>
      <c r="K735" s="99"/>
    </row>
    <row r="736">
      <c r="C736" s="99"/>
      <c r="D736" s="99"/>
      <c r="E736" s="122"/>
      <c r="F736" s="99"/>
      <c r="G736" s="123"/>
      <c r="H736" s="98"/>
      <c r="I736" s="99"/>
      <c r="J736" s="99"/>
      <c r="K736" s="99"/>
    </row>
    <row r="737">
      <c r="C737" s="99"/>
      <c r="D737" s="99"/>
      <c r="E737" s="122"/>
      <c r="F737" s="99"/>
      <c r="G737" s="123"/>
      <c r="H737" s="98"/>
      <c r="I737" s="99"/>
      <c r="J737" s="99"/>
      <c r="K737" s="99"/>
    </row>
    <row r="738">
      <c r="C738" s="99"/>
      <c r="D738" s="99"/>
      <c r="E738" s="122"/>
      <c r="F738" s="99"/>
      <c r="G738" s="123"/>
      <c r="H738" s="98"/>
      <c r="I738" s="99"/>
      <c r="J738" s="99"/>
      <c r="K738" s="99"/>
    </row>
    <row r="739">
      <c r="C739" s="99"/>
      <c r="D739" s="99"/>
      <c r="E739" s="122"/>
      <c r="F739" s="99"/>
      <c r="G739" s="123"/>
      <c r="H739" s="98"/>
      <c r="I739" s="99"/>
      <c r="J739" s="99"/>
      <c r="K739" s="99"/>
    </row>
    <row r="740">
      <c r="C740" s="99"/>
      <c r="D740" s="99"/>
      <c r="E740" s="122"/>
      <c r="F740" s="99"/>
      <c r="G740" s="123"/>
      <c r="H740" s="98"/>
      <c r="I740" s="99"/>
      <c r="J740" s="99"/>
      <c r="K740" s="99"/>
    </row>
    <row r="741">
      <c r="C741" s="99"/>
      <c r="D741" s="99"/>
      <c r="E741" s="122"/>
      <c r="F741" s="99"/>
      <c r="G741" s="123"/>
      <c r="H741" s="98"/>
      <c r="I741" s="99"/>
      <c r="J741" s="99"/>
      <c r="K741" s="99"/>
    </row>
    <row r="742">
      <c r="C742" s="99"/>
      <c r="D742" s="99"/>
      <c r="E742" s="122"/>
      <c r="F742" s="99"/>
      <c r="G742" s="123"/>
      <c r="H742" s="98"/>
      <c r="I742" s="99"/>
      <c r="J742" s="99"/>
      <c r="K742" s="99"/>
    </row>
    <row r="743">
      <c r="C743" s="99"/>
      <c r="D743" s="99"/>
      <c r="E743" s="122"/>
      <c r="F743" s="99"/>
      <c r="G743" s="123"/>
      <c r="H743" s="98"/>
      <c r="I743" s="99"/>
      <c r="J743" s="99"/>
      <c r="K743" s="99"/>
    </row>
    <row r="744">
      <c r="C744" s="99"/>
      <c r="D744" s="99"/>
      <c r="E744" s="122"/>
      <c r="F744" s="99"/>
      <c r="G744" s="123"/>
      <c r="H744" s="98"/>
      <c r="I744" s="99"/>
      <c r="J744" s="99"/>
      <c r="K744" s="99"/>
    </row>
    <row r="745">
      <c r="C745" s="99"/>
      <c r="D745" s="99"/>
      <c r="E745" s="122"/>
      <c r="F745" s="99"/>
      <c r="G745" s="123"/>
      <c r="H745" s="98"/>
      <c r="I745" s="99"/>
      <c r="J745" s="99"/>
      <c r="K745" s="99"/>
    </row>
    <row r="746">
      <c r="C746" s="99"/>
      <c r="D746" s="99"/>
      <c r="E746" s="122"/>
      <c r="F746" s="99"/>
      <c r="G746" s="123"/>
      <c r="H746" s="98"/>
      <c r="I746" s="99"/>
      <c r="J746" s="99"/>
      <c r="K746" s="99"/>
    </row>
    <row r="747">
      <c r="C747" s="99"/>
      <c r="D747" s="99"/>
      <c r="E747" s="122"/>
      <c r="F747" s="99"/>
      <c r="G747" s="123"/>
      <c r="H747" s="98"/>
      <c r="I747" s="99"/>
      <c r="J747" s="99"/>
      <c r="K747" s="99"/>
    </row>
    <row r="748">
      <c r="C748" s="99"/>
      <c r="D748" s="99"/>
      <c r="E748" s="122"/>
      <c r="F748" s="99"/>
      <c r="G748" s="123"/>
      <c r="H748" s="98"/>
      <c r="I748" s="99"/>
      <c r="J748" s="99"/>
      <c r="K748" s="99"/>
    </row>
    <row r="749">
      <c r="C749" s="99"/>
      <c r="D749" s="99"/>
      <c r="E749" s="122"/>
      <c r="F749" s="99"/>
      <c r="G749" s="123"/>
      <c r="H749" s="98"/>
      <c r="I749" s="99"/>
      <c r="J749" s="99"/>
      <c r="K749" s="99"/>
    </row>
    <row r="750">
      <c r="C750" s="99"/>
      <c r="D750" s="99"/>
      <c r="E750" s="122"/>
      <c r="F750" s="99"/>
      <c r="G750" s="123"/>
      <c r="H750" s="98"/>
      <c r="I750" s="99"/>
      <c r="J750" s="99"/>
      <c r="K750" s="99"/>
    </row>
    <row r="751">
      <c r="C751" s="99"/>
      <c r="D751" s="99"/>
      <c r="E751" s="122"/>
      <c r="F751" s="99"/>
      <c r="G751" s="123"/>
      <c r="H751" s="98"/>
      <c r="I751" s="99"/>
      <c r="J751" s="99"/>
      <c r="K751" s="99"/>
    </row>
    <row r="752">
      <c r="C752" s="99"/>
      <c r="D752" s="99"/>
      <c r="E752" s="122"/>
      <c r="F752" s="99"/>
      <c r="G752" s="123"/>
      <c r="H752" s="98"/>
      <c r="I752" s="99"/>
      <c r="J752" s="99"/>
      <c r="K752" s="99"/>
    </row>
    <row r="753">
      <c r="C753" s="99"/>
      <c r="D753" s="99"/>
      <c r="E753" s="122"/>
      <c r="F753" s="99"/>
      <c r="G753" s="123"/>
      <c r="H753" s="98"/>
      <c r="I753" s="99"/>
      <c r="J753" s="99"/>
      <c r="K753" s="99"/>
    </row>
    <row r="754">
      <c r="C754" s="99"/>
      <c r="D754" s="99"/>
      <c r="E754" s="122"/>
      <c r="F754" s="99"/>
      <c r="G754" s="123"/>
      <c r="H754" s="98"/>
      <c r="I754" s="99"/>
      <c r="J754" s="99"/>
      <c r="K754" s="99"/>
    </row>
    <row r="755">
      <c r="C755" s="99"/>
      <c r="D755" s="99"/>
      <c r="E755" s="122"/>
      <c r="F755" s="99"/>
      <c r="G755" s="123"/>
      <c r="H755" s="98"/>
      <c r="I755" s="99"/>
      <c r="J755" s="99"/>
      <c r="K755" s="99"/>
    </row>
    <row r="756">
      <c r="C756" s="99"/>
      <c r="D756" s="99"/>
      <c r="E756" s="122"/>
      <c r="F756" s="99"/>
      <c r="G756" s="123"/>
      <c r="H756" s="98"/>
      <c r="I756" s="99"/>
      <c r="J756" s="99"/>
      <c r="K756" s="99"/>
    </row>
    <row r="757">
      <c r="C757" s="99"/>
      <c r="D757" s="99"/>
      <c r="E757" s="122"/>
      <c r="F757" s="99"/>
      <c r="G757" s="123"/>
      <c r="H757" s="98"/>
      <c r="I757" s="99"/>
      <c r="J757" s="99"/>
      <c r="K757" s="99"/>
    </row>
    <row r="758">
      <c r="C758" s="99"/>
      <c r="D758" s="99"/>
      <c r="E758" s="122"/>
      <c r="F758" s="99"/>
      <c r="G758" s="123"/>
      <c r="H758" s="98"/>
      <c r="I758" s="99"/>
      <c r="J758" s="99"/>
      <c r="K758" s="99"/>
    </row>
    <row r="759">
      <c r="C759" s="99"/>
      <c r="D759" s="99"/>
      <c r="E759" s="122"/>
      <c r="F759" s="99"/>
      <c r="G759" s="123"/>
      <c r="H759" s="98"/>
      <c r="I759" s="99"/>
      <c r="J759" s="99"/>
      <c r="K759" s="99"/>
    </row>
    <row r="760">
      <c r="C760" s="99"/>
      <c r="D760" s="99"/>
      <c r="E760" s="122"/>
      <c r="F760" s="99"/>
      <c r="G760" s="123"/>
      <c r="H760" s="98"/>
      <c r="I760" s="99"/>
      <c r="J760" s="99"/>
      <c r="K760" s="99"/>
    </row>
    <row r="761">
      <c r="C761" s="99"/>
      <c r="D761" s="99"/>
      <c r="E761" s="122"/>
      <c r="F761" s="99"/>
      <c r="G761" s="123"/>
      <c r="H761" s="98"/>
      <c r="I761" s="99"/>
      <c r="J761" s="99"/>
      <c r="K761" s="99"/>
    </row>
    <row r="762">
      <c r="C762" s="99"/>
      <c r="D762" s="99"/>
      <c r="E762" s="122"/>
      <c r="F762" s="99"/>
      <c r="G762" s="123"/>
      <c r="H762" s="98"/>
      <c r="I762" s="99"/>
      <c r="J762" s="99"/>
      <c r="K762" s="99"/>
    </row>
    <row r="763">
      <c r="C763" s="99"/>
      <c r="D763" s="99"/>
      <c r="E763" s="122"/>
      <c r="F763" s="99"/>
      <c r="G763" s="123"/>
      <c r="H763" s="98"/>
      <c r="I763" s="99"/>
      <c r="J763" s="99"/>
      <c r="K763" s="99"/>
    </row>
    <row r="764">
      <c r="C764" s="99"/>
      <c r="D764" s="99"/>
      <c r="E764" s="122"/>
      <c r="F764" s="99"/>
      <c r="G764" s="123"/>
      <c r="H764" s="98"/>
      <c r="I764" s="99"/>
      <c r="J764" s="99"/>
      <c r="K764" s="99"/>
    </row>
    <row r="765">
      <c r="C765" s="99"/>
      <c r="D765" s="99"/>
      <c r="E765" s="122"/>
      <c r="F765" s="99"/>
      <c r="G765" s="123"/>
      <c r="H765" s="98"/>
      <c r="I765" s="99"/>
      <c r="J765" s="99"/>
      <c r="K765" s="99"/>
    </row>
    <row r="766">
      <c r="C766" s="99"/>
      <c r="D766" s="99"/>
      <c r="E766" s="122"/>
      <c r="F766" s="99"/>
      <c r="G766" s="123"/>
      <c r="H766" s="98"/>
      <c r="I766" s="99"/>
      <c r="J766" s="99"/>
      <c r="K766" s="99"/>
    </row>
    <row r="767">
      <c r="C767" s="99"/>
      <c r="D767" s="99"/>
      <c r="E767" s="122"/>
      <c r="F767" s="99"/>
      <c r="G767" s="123"/>
      <c r="H767" s="98"/>
      <c r="I767" s="99"/>
      <c r="J767" s="99"/>
      <c r="K767" s="99"/>
    </row>
    <row r="768">
      <c r="C768" s="99"/>
      <c r="D768" s="99"/>
      <c r="E768" s="122"/>
      <c r="F768" s="99"/>
      <c r="G768" s="123"/>
      <c r="H768" s="98"/>
      <c r="I768" s="99"/>
      <c r="J768" s="99"/>
      <c r="K768" s="99"/>
    </row>
    <row r="769">
      <c r="C769" s="99"/>
      <c r="D769" s="99"/>
      <c r="E769" s="122"/>
      <c r="F769" s="99"/>
      <c r="G769" s="123"/>
      <c r="H769" s="98"/>
      <c r="I769" s="99"/>
      <c r="J769" s="99"/>
      <c r="K769" s="99"/>
    </row>
    <row r="770">
      <c r="C770" s="99"/>
      <c r="D770" s="99"/>
      <c r="E770" s="122"/>
      <c r="F770" s="99"/>
      <c r="G770" s="123"/>
      <c r="H770" s="98"/>
      <c r="I770" s="99"/>
      <c r="J770" s="99"/>
      <c r="K770" s="99"/>
    </row>
    <row r="771">
      <c r="C771" s="99"/>
      <c r="D771" s="99"/>
      <c r="E771" s="122"/>
      <c r="F771" s="99"/>
      <c r="G771" s="123"/>
      <c r="H771" s="98"/>
      <c r="I771" s="99"/>
      <c r="J771" s="99"/>
      <c r="K771" s="99"/>
    </row>
    <row r="772">
      <c r="C772" s="99"/>
      <c r="D772" s="99"/>
      <c r="E772" s="122"/>
      <c r="F772" s="99"/>
      <c r="G772" s="123"/>
      <c r="H772" s="98"/>
      <c r="I772" s="99"/>
      <c r="J772" s="99"/>
      <c r="K772" s="99"/>
    </row>
    <row r="773">
      <c r="C773" s="99"/>
      <c r="D773" s="99"/>
      <c r="E773" s="122"/>
      <c r="F773" s="99"/>
      <c r="G773" s="123"/>
      <c r="H773" s="98"/>
      <c r="I773" s="99"/>
      <c r="J773" s="99"/>
      <c r="K773" s="99"/>
    </row>
    <row r="774">
      <c r="C774" s="99"/>
      <c r="D774" s="99"/>
      <c r="E774" s="122"/>
      <c r="F774" s="99"/>
      <c r="G774" s="123"/>
      <c r="H774" s="98"/>
      <c r="I774" s="99"/>
      <c r="J774" s="99"/>
      <c r="K774" s="99"/>
    </row>
    <row r="775">
      <c r="C775" s="99"/>
      <c r="D775" s="99"/>
      <c r="E775" s="122"/>
      <c r="F775" s="99"/>
      <c r="G775" s="123"/>
      <c r="H775" s="98"/>
      <c r="I775" s="99"/>
      <c r="J775" s="99"/>
      <c r="K775" s="99"/>
    </row>
    <row r="776">
      <c r="C776" s="99"/>
      <c r="D776" s="99"/>
      <c r="E776" s="122"/>
      <c r="F776" s="99"/>
      <c r="G776" s="123"/>
      <c r="H776" s="98"/>
      <c r="I776" s="99"/>
      <c r="J776" s="99"/>
      <c r="K776" s="99"/>
    </row>
    <row r="777">
      <c r="C777" s="99"/>
      <c r="D777" s="99"/>
      <c r="E777" s="122"/>
      <c r="F777" s="99"/>
      <c r="G777" s="123"/>
      <c r="H777" s="98"/>
      <c r="I777" s="99"/>
      <c r="J777" s="99"/>
      <c r="K777" s="99"/>
    </row>
    <row r="778">
      <c r="C778" s="99"/>
      <c r="D778" s="99"/>
      <c r="E778" s="122"/>
      <c r="F778" s="99"/>
      <c r="G778" s="123"/>
      <c r="H778" s="98"/>
      <c r="I778" s="99"/>
      <c r="J778" s="99"/>
      <c r="K778" s="99"/>
    </row>
    <row r="779">
      <c r="C779" s="99"/>
      <c r="D779" s="99"/>
      <c r="E779" s="122"/>
      <c r="F779" s="99"/>
      <c r="G779" s="123"/>
      <c r="H779" s="98"/>
      <c r="I779" s="99"/>
      <c r="J779" s="99"/>
      <c r="K779" s="99"/>
    </row>
    <row r="780">
      <c r="C780" s="99"/>
      <c r="D780" s="99"/>
      <c r="E780" s="122"/>
      <c r="F780" s="99"/>
      <c r="G780" s="123"/>
      <c r="H780" s="98"/>
      <c r="I780" s="99"/>
      <c r="J780" s="99"/>
      <c r="K780" s="99"/>
    </row>
    <row r="781">
      <c r="C781" s="99"/>
      <c r="D781" s="99"/>
      <c r="E781" s="122"/>
      <c r="F781" s="99"/>
      <c r="G781" s="123"/>
      <c r="H781" s="98"/>
      <c r="I781" s="99"/>
      <c r="J781" s="99"/>
      <c r="K781" s="99"/>
    </row>
    <row r="782">
      <c r="C782" s="99"/>
      <c r="D782" s="99"/>
      <c r="E782" s="122"/>
      <c r="F782" s="99"/>
      <c r="G782" s="123"/>
      <c r="H782" s="98"/>
      <c r="I782" s="99"/>
      <c r="J782" s="99"/>
      <c r="K782" s="99"/>
    </row>
    <row r="783">
      <c r="C783" s="99"/>
      <c r="D783" s="99"/>
      <c r="E783" s="122"/>
      <c r="F783" s="99"/>
      <c r="G783" s="123"/>
      <c r="H783" s="98"/>
      <c r="I783" s="99"/>
      <c r="J783" s="99"/>
      <c r="K783" s="99"/>
    </row>
    <row r="784">
      <c r="C784" s="99"/>
      <c r="D784" s="99"/>
      <c r="E784" s="122"/>
      <c r="F784" s="99"/>
      <c r="G784" s="123"/>
      <c r="H784" s="98"/>
      <c r="I784" s="99"/>
      <c r="J784" s="99"/>
      <c r="K784" s="99"/>
    </row>
    <row r="785">
      <c r="C785" s="99"/>
      <c r="D785" s="99"/>
      <c r="E785" s="122"/>
      <c r="F785" s="99"/>
      <c r="G785" s="123"/>
      <c r="H785" s="98"/>
      <c r="I785" s="99"/>
      <c r="J785" s="99"/>
      <c r="K785" s="99"/>
    </row>
    <row r="786">
      <c r="C786" s="99"/>
      <c r="D786" s="99"/>
      <c r="E786" s="122"/>
      <c r="F786" s="99"/>
      <c r="G786" s="123"/>
      <c r="H786" s="98"/>
      <c r="I786" s="99"/>
      <c r="J786" s="99"/>
      <c r="K786" s="99"/>
    </row>
    <row r="787">
      <c r="C787" s="99"/>
      <c r="D787" s="99"/>
      <c r="E787" s="122"/>
      <c r="F787" s="99"/>
      <c r="G787" s="123"/>
      <c r="H787" s="98"/>
      <c r="I787" s="99"/>
      <c r="J787" s="99"/>
      <c r="K787" s="99"/>
    </row>
    <row r="788">
      <c r="C788" s="99"/>
      <c r="D788" s="99"/>
      <c r="E788" s="122"/>
      <c r="F788" s="99"/>
      <c r="G788" s="123"/>
      <c r="H788" s="98"/>
      <c r="I788" s="99"/>
      <c r="J788" s="99"/>
      <c r="K788" s="99"/>
    </row>
    <row r="789">
      <c r="C789" s="99"/>
      <c r="D789" s="99"/>
      <c r="E789" s="122"/>
      <c r="F789" s="99"/>
      <c r="G789" s="123"/>
      <c r="H789" s="98"/>
      <c r="I789" s="99"/>
      <c r="J789" s="99"/>
      <c r="K789" s="99"/>
    </row>
    <row r="790">
      <c r="C790" s="99"/>
      <c r="D790" s="99"/>
      <c r="E790" s="122"/>
      <c r="F790" s="99"/>
      <c r="G790" s="123"/>
      <c r="H790" s="98"/>
      <c r="I790" s="99"/>
      <c r="J790" s="99"/>
      <c r="K790" s="99"/>
    </row>
    <row r="791">
      <c r="C791" s="99"/>
      <c r="D791" s="99"/>
      <c r="E791" s="122"/>
      <c r="F791" s="99"/>
      <c r="G791" s="123"/>
      <c r="H791" s="98"/>
      <c r="I791" s="99"/>
      <c r="J791" s="99"/>
      <c r="K791" s="99"/>
    </row>
    <row r="792">
      <c r="C792" s="99"/>
      <c r="D792" s="99"/>
      <c r="E792" s="122"/>
      <c r="F792" s="99"/>
      <c r="G792" s="123"/>
      <c r="H792" s="98"/>
      <c r="I792" s="99"/>
      <c r="J792" s="99"/>
      <c r="K792" s="99"/>
    </row>
    <row r="793">
      <c r="C793" s="99"/>
      <c r="D793" s="99"/>
      <c r="E793" s="122"/>
      <c r="F793" s="99"/>
      <c r="G793" s="123"/>
      <c r="H793" s="98"/>
      <c r="I793" s="99"/>
      <c r="J793" s="99"/>
      <c r="K793" s="99"/>
    </row>
    <row r="794">
      <c r="C794" s="99"/>
      <c r="D794" s="99"/>
      <c r="E794" s="122"/>
      <c r="F794" s="99"/>
      <c r="G794" s="123"/>
      <c r="H794" s="98"/>
      <c r="I794" s="99"/>
      <c r="J794" s="99"/>
      <c r="K794" s="99"/>
    </row>
    <row r="795">
      <c r="C795" s="99"/>
      <c r="D795" s="99"/>
      <c r="E795" s="122"/>
      <c r="F795" s="99"/>
      <c r="G795" s="123"/>
      <c r="H795" s="98"/>
      <c r="I795" s="99"/>
      <c r="J795" s="99"/>
      <c r="K795" s="99"/>
    </row>
    <row r="796">
      <c r="C796" s="99"/>
      <c r="D796" s="99"/>
      <c r="E796" s="122"/>
      <c r="F796" s="99"/>
      <c r="G796" s="123"/>
      <c r="H796" s="98"/>
      <c r="I796" s="99"/>
      <c r="J796" s="99"/>
      <c r="K796" s="99"/>
    </row>
    <row r="797">
      <c r="C797" s="99"/>
      <c r="D797" s="99"/>
      <c r="E797" s="122"/>
      <c r="F797" s="99"/>
      <c r="G797" s="123"/>
      <c r="H797" s="98"/>
      <c r="I797" s="99"/>
      <c r="J797" s="99"/>
      <c r="K797" s="99"/>
    </row>
    <row r="798">
      <c r="C798" s="99"/>
      <c r="D798" s="99"/>
      <c r="E798" s="122"/>
      <c r="F798" s="99"/>
      <c r="G798" s="123"/>
      <c r="H798" s="98"/>
      <c r="I798" s="99"/>
      <c r="J798" s="99"/>
      <c r="K798" s="99"/>
    </row>
    <row r="799">
      <c r="C799" s="99"/>
      <c r="D799" s="99"/>
      <c r="E799" s="122"/>
      <c r="F799" s="99"/>
      <c r="G799" s="123"/>
      <c r="H799" s="98"/>
      <c r="I799" s="99"/>
      <c r="J799" s="99"/>
      <c r="K799" s="99"/>
    </row>
    <row r="800">
      <c r="C800" s="99"/>
      <c r="D800" s="99"/>
      <c r="E800" s="122"/>
      <c r="F800" s="99"/>
      <c r="G800" s="123"/>
      <c r="H800" s="98"/>
      <c r="I800" s="99"/>
      <c r="J800" s="99"/>
      <c r="K800" s="99"/>
    </row>
    <row r="801">
      <c r="C801" s="99"/>
      <c r="D801" s="99"/>
      <c r="E801" s="122"/>
      <c r="F801" s="99"/>
      <c r="G801" s="123"/>
      <c r="H801" s="98"/>
      <c r="I801" s="99"/>
      <c r="J801" s="99"/>
      <c r="K801" s="99"/>
    </row>
    <row r="802">
      <c r="C802" s="99"/>
      <c r="D802" s="99"/>
      <c r="E802" s="122"/>
      <c r="F802" s="99"/>
      <c r="G802" s="123"/>
      <c r="H802" s="98"/>
      <c r="I802" s="99"/>
      <c r="J802" s="99"/>
      <c r="K802" s="99"/>
    </row>
    <row r="803">
      <c r="C803" s="99"/>
      <c r="D803" s="99"/>
      <c r="E803" s="122"/>
      <c r="F803" s="99"/>
      <c r="G803" s="123"/>
      <c r="H803" s="98"/>
      <c r="I803" s="99"/>
      <c r="J803" s="99"/>
      <c r="K803" s="99"/>
    </row>
    <row r="804">
      <c r="C804" s="99"/>
      <c r="D804" s="99"/>
      <c r="E804" s="122"/>
      <c r="F804" s="99"/>
      <c r="G804" s="123"/>
      <c r="H804" s="98"/>
      <c r="I804" s="99"/>
      <c r="J804" s="99"/>
      <c r="K804" s="99"/>
    </row>
    <row r="805">
      <c r="C805" s="99"/>
      <c r="D805" s="99"/>
      <c r="E805" s="122"/>
      <c r="F805" s="99"/>
      <c r="G805" s="123"/>
      <c r="H805" s="98"/>
      <c r="I805" s="99"/>
      <c r="J805" s="99"/>
      <c r="K805" s="99"/>
    </row>
    <row r="806">
      <c r="C806" s="99"/>
      <c r="D806" s="99"/>
      <c r="E806" s="122"/>
      <c r="F806" s="99"/>
      <c r="G806" s="123"/>
      <c r="H806" s="98"/>
      <c r="I806" s="99"/>
      <c r="J806" s="99"/>
      <c r="K806" s="99"/>
    </row>
    <row r="807">
      <c r="C807" s="99"/>
      <c r="D807" s="99"/>
      <c r="E807" s="122"/>
      <c r="F807" s="99"/>
      <c r="G807" s="123"/>
      <c r="H807" s="98"/>
      <c r="I807" s="99"/>
      <c r="J807" s="99"/>
      <c r="K807" s="99"/>
    </row>
    <row r="808">
      <c r="C808" s="99"/>
      <c r="D808" s="99"/>
      <c r="E808" s="122"/>
      <c r="F808" s="99"/>
      <c r="G808" s="123"/>
      <c r="H808" s="98"/>
      <c r="I808" s="99"/>
      <c r="J808" s="99"/>
      <c r="K808" s="99"/>
    </row>
    <row r="809">
      <c r="C809" s="99"/>
      <c r="D809" s="99"/>
      <c r="E809" s="122"/>
      <c r="F809" s="99"/>
      <c r="G809" s="123"/>
      <c r="H809" s="98"/>
      <c r="I809" s="99"/>
      <c r="J809" s="99"/>
      <c r="K809" s="99"/>
    </row>
    <row r="810">
      <c r="C810" s="99"/>
      <c r="D810" s="99"/>
      <c r="E810" s="122"/>
      <c r="F810" s="99"/>
      <c r="G810" s="123"/>
      <c r="H810" s="98"/>
      <c r="I810" s="99"/>
      <c r="J810" s="99"/>
      <c r="K810" s="99"/>
    </row>
    <row r="811">
      <c r="C811" s="99"/>
      <c r="D811" s="99"/>
      <c r="E811" s="122"/>
      <c r="F811" s="99"/>
      <c r="G811" s="123"/>
      <c r="H811" s="98"/>
      <c r="I811" s="99"/>
      <c r="J811" s="99"/>
      <c r="K811" s="99"/>
    </row>
    <row r="812">
      <c r="C812" s="99"/>
      <c r="D812" s="99"/>
      <c r="E812" s="122"/>
      <c r="F812" s="99"/>
      <c r="G812" s="123"/>
      <c r="H812" s="98"/>
      <c r="I812" s="99"/>
      <c r="J812" s="99"/>
      <c r="K812" s="99"/>
    </row>
    <row r="813">
      <c r="C813" s="99"/>
      <c r="D813" s="99"/>
      <c r="E813" s="122"/>
      <c r="F813" s="99"/>
      <c r="G813" s="123"/>
      <c r="H813" s="98"/>
      <c r="I813" s="99"/>
      <c r="J813" s="99"/>
      <c r="K813" s="99"/>
    </row>
    <row r="814">
      <c r="C814" s="99"/>
      <c r="D814" s="99"/>
      <c r="E814" s="122"/>
      <c r="F814" s="99"/>
      <c r="G814" s="123"/>
      <c r="H814" s="98"/>
      <c r="I814" s="99"/>
      <c r="J814" s="99"/>
      <c r="K814" s="99"/>
    </row>
    <row r="815">
      <c r="C815" s="99"/>
      <c r="D815" s="99"/>
      <c r="E815" s="122"/>
      <c r="F815" s="99"/>
      <c r="G815" s="123"/>
      <c r="H815" s="98"/>
      <c r="I815" s="99"/>
      <c r="J815" s="99"/>
      <c r="K815" s="99"/>
    </row>
    <row r="816">
      <c r="C816" s="99"/>
      <c r="D816" s="99"/>
      <c r="E816" s="122"/>
      <c r="F816" s="99"/>
      <c r="G816" s="123"/>
      <c r="H816" s="98"/>
      <c r="I816" s="99"/>
      <c r="J816" s="99"/>
      <c r="K816" s="99"/>
    </row>
    <row r="817">
      <c r="C817" s="99"/>
      <c r="D817" s="99"/>
      <c r="E817" s="122"/>
      <c r="F817" s="99"/>
      <c r="G817" s="123"/>
      <c r="H817" s="98"/>
      <c r="I817" s="99"/>
      <c r="J817" s="99"/>
      <c r="K817" s="99"/>
    </row>
    <row r="818">
      <c r="C818" s="99"/>
      <c r="D818" s="99"/>
      <c r="E818" s="122"/>
      <c r="F818" s="99"/>
      <c r="G818" s="123"/>
      <c r="H818" s="98"/>
      <c r="I818" s="99"/>
      <c r="J818" s="99"/>
      <c r="K818" s="99"/>
    </row>
    <row r="819">
      <c r="C819" s="99"/>
      <c r="D819" s="99"/>
      <c r="E819" s="122"/>
      <c r="F819" s="99"/>
      <c r="G819" s="123"/>
      <c r="H819" s="98"/>
      <c r="I819" s="99"/>
      <c r="J819" s="99"/>
      <c r="K819" s="99"/>
    </row>
    <row r="820">
      <c r="C820" s="99"/>
      <c r="D820" s="99"/>
      <c r="E820" s="122"/>
      <c r="F820" s="99"/>
      <c r="G820" s="123"/>
      <c r="H820" s="98"/>
      <c r="I820" s="99"/>
      <c r="J820" s="99"/>
      <c r="K820" s="99"/>
    </row>
    <row r="821">
      <c r="C821" s="99"/>
      <c r="D821" s="99"/>
      <c r="E821" s="122"/>
      <c r="F821" s="99"/>
      <c r="G821" s="123"/>
      <c r="H821" s="98"/>
      <c r="I821" s="99"/>
      <c r="J821" s="99"/>
      <c r="K821" s="99"/>
    </row>
    <row r="822">
      <c r="C822" s="99"/>
      <c r="D822" s="99"/>
      <c r="E822" s="122"/>
      <c r="F822" s="99"/>
      <c r="G822" s="123"/>
      <c r="H822" s="98"/>
      <c r="I822" s="99"/>
      <c r="J822" s="99"/>
      <c r="K822" s="99"/>
    </row>
    <row r="823">
      <c r="C823" s="99"/>
      <c r="D823" s="99"/>
      <c r="E823" s="122"/>
      <c r="F823" s="99"/>
      <c r="G823" s="123"/>
      <c r="H823" s="98"/>
      <c r="I823" s="99"/>
      <c r="J823" s="99"/>
      <c r="K823" s="99"/>
    </row>
    <row r="824">
      <c r="C824" s="99"/>
      <c r="D824" s="99"/>
      <c r="E824" s="122"/>
      <c r="F824" s="99"/>
      <c r="G824" s="123"/>
      <c r="H824" s="98"/>
      <c r="I824" s="99"/>
      <c r="J824" s="99"/>
      <c r="K824" s="99"/>
    </row>
    <row r="825">
      <c r="C825" s="99"/>
      <c r="D825" s="99"/>
      <c r="E825" s="122"/>
      <c r="F825" s="99"/>
      <c r="G825" s="123"/>
      <c r="H825" s="98"/>
      <c r="I825" s="99"/>
      <c r="J825" s="99"/>
      <c r="K825" s="99"/>
    </row>
    <row r="826">
      <c r="C826" s="99"/>
      <c r="D826" s="99"/>
      <c r="E826" s="122"/>
      <c r="F826" s="99"/>
      <c r="G826" s="123"/>
      <c r="H826" s="98"/>
      <c r="I826" s="99"/>
      <c r="J826" s="99"/>
      <c r="K826" s="99"/>
    </row>
    <row r="827">
      <c r="C827" s="99"/>
      <c r="D827" s="99"/>
      <c r="E827" s="122"/>
      <c r="F827" s="99"/>
      <c r="G827" s="123"/>
      <c r="H827" s="98"/>
      <c r="I827" s="99"/>
      <c r="J827" s="99"/>
      <c r="K827" s="99"/>
    </row>
    <row r="828">
      <c r="C828" s="99"/>
      <c r="D828" s="99"/>
      <c r="E828" s="122"/>
      <c r="F828" s="99"/>
      <c r="G828" s="123"/>
      <c r="H828" s="98"/>
      <c r="I828" s="99"/>
      <c r="J828" s="99"/>
      <c r="K828" s="99"/>
    </row>
    <row r="829">
      <c r="C829" s="99"/>
      <c r="D829" s="99"/>
      <c r="E829" s="122"/>
      <c r="F829" s="99"/>
      <c r="G829" s="123"/>
      <c r="H829" s="98"/>
      <c r="I829" s="99"/>
      <c r="J829" s="99"/>
      <c r="K829" s="99"/>
    </row>
    <row r="830">
      <c r="C830" s="99"/>
      <c r="D830" s="99"/>
      <c r="E830" s="122"/>
      <c r="F830" s="99"/>
      <c r="G830" s="123"/>
      <c r="H830" s="98"/>
      <c r="I830" s="99"/>
      <c r="J830" s="99"/>
      <c r="K830" s="99"/>
    </row>
    <row r="831">
      <c r="C831" s="99"/>
      <c r="D831" s="99"/>
      <c r="E831" s="122"/>
      <c r="F831" s="99"/>
      <c r="G831" s="123"/>
      <c r="H831" s="98"/>
      <c r="I831" s="99"/>
      <c r="J831" s="99"/>
      <c r="K831" s="99"/>
    </row>
    <row r="832">
      <c r="C832" s="99"/>
      <c r="D832" s="99"/>
      <c r="E832" s="122"/>
      <c r="F832" s="99"/>
      <c r="G832" s="123"/>
      <c r="H832" s="98"/>
      <c r="I832" s="99"/>
      <c r="J832" s="99"/>
      <c r="K832" s="99"/>
    </row>
    <row r="833">
      <c r="C833" s="99"/>
      <c r="D833" s="99"/>
      <c r="E833" s="122"/>
      <c r="F833" s="99"/>
      <c r="G833" s="123"/>
      <c r="H833" s="98"/>
      <c r="I833" s="99"/>
      <c r="J833" s="99"/>
      <c r="K833" s="99"/>
    </row>
    <row r="834">
      <c r="C834" s="99"/>
      <c r="D834" s="99"/>
      <c r="E834" s="122"/>
      <c r="F834" s="99"/>
      <c r="G834" s="123"/>
      <c r="H834" s="98"/>
      <c r="I834" s="99"/>
      <c r="J834" s="99"/>
      <c r="K834" s="99"/>
    </row>
    <row r="835">
      <c r="C835" s="99"/>
      <c r="D835" s="99"/>
      <c r="E835" s="122"/>
      <c r="F835" s="99"/>
      <c r="G835" s="123"/>
      <c r="H835" s="98"/>
      <c r="I835" s="99"/>
      <c r="J835" s="99"/>
      <c r="K835" s="99"/>
    </row>
    <row r="836">
      <c r="C836" s="99"/>
      <c r="D836" s="99"/>
      <c r="E836" s="122"/>
      <c r="F836" s="99"/>
      <c r="G836" s="123"/>
      <c r="H836" s="98"/>
      <c r="I836" s="99"/>
      <c r="J836" s="99"/>
      <c r="K836" s="99"/>
    </row>
    <row r="837">
      <c r="C837" s="99"/>
      <c r="D837" s="99"/>
      <c r="E837" s="122"/>
      <c r="F837" s="99"/>
      <c r="G837" s="123"/>
      <c r="H837" s="98"/>
      <c r="I837" s="99"/>
      <c r="J837" s="99"/>
      <c r="K837" s="99"/>
    </row>
    <row r="838">
      <c r="C838" s="99"/>
      <c r="D838" s="99"/>
      <c r="E838" s="122"/>
      <c r="F838" s="99"/>
      <c r="G838" s="123"/>
      <c r="H838" s="98"/>
      <c r="I838" s="99"/>
      <c r="J838" s="99"/>
      <c r="K838" s="99"/>
    </row>
    <row r="839">
      <c r="C839" s="99"/>
      <c r="D839" s="99"/>
      <c r="E839" s="122"/>
      <c r="F839" s="99"/>
      <c r="G839" s="123"/>
      <c r="H839" s="98"/>
      <c r="I839" s="99"/>
      <c r="J839" s="99"/>
      <c r="K839" s="99"/>
    </row>
    <row r="840">
      <c r="C840" s="99"/>
      <c r="D840" s="99"/>
      <c r="E840" s="122"/>
      <c r="F840" s="99"/>
      <c r="G840" s="123"/>
      <c r="H840" s="98"/>
      <c r="I840" s="99"/>
      <c r="J840" s="99"/>
      <c r="K840" s="99"/>
    </row>
    <row r="841">
      <c r="C841" s="99"/>
      <c r="D841" s="99"/>
      <c r="E841" s="122"/>
      <c r="F841" s="99"/>
      <c r="G841" s="123"/>
      <c r="H841" s="98"/>
      <c r="I841" s="99"/>
      <c r="J841" s="99"/>
      <c r="K841" s="99"/>
    </row>
    <row r="842">
      <c r="C842" s="99"/>
      <c r="D842" s="99"/>
      <c r="E842" s="122"/>
      <c r="F842" s="99"/>
      <c r="G842" s="123"/>
      <c r="H842" s="98"/>
      <c r="I842" s="99"/>
      <c r="J842" s="99"/>
      <c r="K842" s="99"/>
    </row>
    <row r="843">
      <c r="C843" s="99"/>
      <c r="D843" s="99"/>
      <c r="E843" s="122"/>
      <c r="F843" s="99"/>
      <c r="G843" s="123"/>
      <c r="H843" s="98"/>
      <c r="I843" s="99"/>
      <c r="J843" s="99"/>
      <c r="K843" s="99"/>
    </row>
    <row r="844">
      <c r="C844" s="99"/>
      <c r="D844" s="99"/>
      <c r="E844" s="122"/>
      <c r="F844" s="99"/>
      <c r="G844" s="123"/>
      <c r="H844" s="98"/>
      <c r="I844" s="99"/>
      <c r="J844" s="99"/>
      <c r="K844" s="99"/>
    </row>
    <row r="845">
      <c r="C845" s="99"/>
      <c r="D845" s="99"/>
      <c r="E845" s="122"/>
      <c r="F845" s="99"/>
      <c r="G845" s="123"/>
      <c r="H845" s="98"/>
      <c r="I845" s="99"/>
      <c r="J845" s="99"/>
      <c r="K845" s="99"/>
    </row>
    <row r="846">
      <c r="C846" s="99"/>
      <c r="D846" s="99"/>
      <c r="E846" s="122"/>
      <c r="F846" s="99"/>
      <c r="G846" s="123"/>
      <c r="H846" s="98"/>
      <c r="I846" s="99"/>
      <c r="J846" s="99"/>
      <c r="K846" s="99"/>
    </row>
    <row r="847">
      <c r="C847" s="99"/>
      <c r="D847" s="99"/>
      <c r="E847" s="122"/>
      <c r="F847" s="99"/>
      <c r="G847" s="123"/>
      <c r="H847" s="98"/>
      <c r="I847" s="99"/>
      <c r="J847" s="99"/>
      <c r="K847" s="99"/>
    </row>
    <row r="848">
      <c r="C848" s="99"/>
      <c r="D848" s="99"/>
      <c r="E848" s="122"/>
      <c r="F848" s="99"/>
      <c r="G848" s="123"/>
      <c r="H848" s="98"/>
      <c r="I848" s="99"/>
      <c r="J848" s="99"/>
      <c r="K848" s="99"/>
    </row>
    <row r="849">
      <c r="C849" s="99"/>
      <c r="D849" s="99"/>
      <c r="E849" s="122"/>
      <c r="F849" s="99"/>
      <c r="G849" s="123"/>
      <c r="H849" s="98"/>
      <c r="I849" s="99"/>
      <c r="J849" s="99"/>
      <c r="K849" s="99"/>
    </row>
    <row r="850">
      <c r="C850" s="99"/>
      <c r="D850" s="99"/>
      <c r="E850" s="122"/>
      <c r="F850" s="99"/>
      <c r="G850" s="123"/>
      <c r="H850" s="98"/>
      <c r="I850" s="99"/>
      <c r="J850" s="99"/>
      <c r="K850" s="99"/>
    </row>
    <row r="851">
      <c r="C851" s="99"/>
      <c r="D851" s="99"/>
      <c r="E851" s="122"/>
      <c r="F851" s="99"/>
      <c r="G851" s="123"/>
      <c r="H851" s="98"/>
      <c r="I851" s="99"/>
      <c r="J851" s="99"/>
      <c r="K851" s="99"/>
    </row>
    <row r="852">
      <c r="C852" s="99"/>
      <c r="D852" s="99"/>
      <c r="E852" s="122"/>
      <c r="F852" s="99"/>
      <c r="G852" s="123"/>
      <c r="H852" s="98"/>
      <c r="I852" s="99"/>
      <c r="J852" s="99"/>
      <c r="K852" s="99"/>
    </row>
    <row r="853">
      <c r="C853" s="99"/>
      <c r="D853" s="99"/>
      <c r="E853" s="122"/>
      <c r="F853" s="99"/>
      <c r="G853" s="123"/>
      <c r="H853" s="98"/>
      <c r="I853" s="99"/>
      <c r="J853" s="99"/>
      <c r="K853" s="99"/>
    </row>
    <row r="854">
      <c r="C854" s="99"/>
      <c r="D854" s="99"/>
      <c r="E854" s="122"/>
      <c r="F854" s="99"/>
      <c r="G854" s="123"/>
      <c r="H854" s="98"/>
      <c r="I854" s="99"/>
      <c r="J854" s="99"/>
      <c r="K854" s="99"/>
    </row>
    <row r="855">
      <c r="C855" s="99"/>
      <c r="D855" s="99"/>
      <c r="E855" s="122"/>
      <c r="F855" s="99"/>
      <c r="G855" s="123"/>
      <c r="H855" s="98"/>
      <c r="I855" s="99"/>
      <c r="J855" s="99"/>
      <c r="K855" s="99"/>
    </row>
    <row r="856">
      <c r="C856" s="99"/>
      <c r="D856" s="99"/>
      <c r="E856" s="122"/>
      <c r="F856" s="99"/>
      <c r="G856" s="123"/>
      <c r="H856" s="98"/>
      <c r="I856" s="99"/>
      <c r="J856" s="99"/>
      <c r="K856" s="99"/>
    </row>
    <row r="857">
      <c r="C857" s="99"/>
      <c r="D857" s="99"/>
      <c r="E857" s="122"/>
      <c r="F857" s="99"/>
      <c r="G857" s="123"/>
      <c r="H857" s="98"/>
      <c r="I857" s="99"/>
      <c r="J857" s="99"/>
      <c r="K857" s="99"/>
    </row>
    <row r="858">
      <c r="C858" s="99"/>
      <c r="D858" s="99"/>
      <c r="E858" s="122"/>
      <c r="F858" s="99"/>
      <c r="G858" s="123"/>
      <c r="H858" s="98"/>
      <c r="I858" s="99"/>
      <c r="J858" s="99"/>
      <c r="K858" s="99"/>
    </row>
    <row r="859">
      <c r="C859" s="99"/>
      <c r="D859" s="99"/>
      <c r="E859" s="122"/>
      <c r="F859" s="99"/>
      <c r="G859" s="123"/>
      <c r="H859" s="98"/>
      <c r="I859" s="99"/>
      <c r="J859" s="99"/>
      <c r="K859" s="99"/>
    </row>
    <row r="860">
      <c r="C860" s="99"/>
      <c r="D860" s="99"/>
      <c r="E860" s="122"/>
      <c r="F860" s="99"/>
      <c r="G860" s="123"/>
      <c r="H860" s="98"/>
      <c r="I860" s="99"/>
      <c r="J860" s="99"/>
      <c r="K860" s="99"/>
    </row>
    <row r="861">
      <c r="C861" s="99"/>
      <c r="D861" s="99"/>
      <c r="E861" s="122"/>
      <c r="F861" s="99"/>
      <c r="G861" s="123"/>
      <c r="H861" s="98"/>
      <c r="I861" s="99"/>
      <c r="J861" s="99"/>
      <c r="K861" s="99"/>
    </row>
    <row r="862">
      <c r="C862" s="99"/>
      <c r="D862" s="99"/>
      <c r="E862" s="122"/>
      <c r="F862" s="99"/>
      <c r="G862" s="123"/>
      <c r="H862" s="98"/>
      <c r="I862" s="99"/>
      <c r="J862" s="99"/>
      <c r="K862" s="99"/>
    </row>
    <row r="863">
      <c r="C863" s="99"/>
      <c r="D863" s="99"/>
      <c r="E863" s="122"/>
      <c r="F863" s="99"/>
      <c r="G863" s="123"/>
      <c r="H863" s="98"/>
      <c r="I863" s="99"/>
      <c r="J863" s="99"/>
      <c r="K863" s="99"/>
    </row>
    <row r="864">
      <c r="C864" s="99"/>
      <c r="D864" s="99"/>
      <c r="E864" s="122"/>
      <c r="F864" s="99"/>
      <c r="G864" s="123"/>
      <c r="H864" s="98"/>
      <c r="I864" s="99"/>
      <c r="J864" s="99"/>
      <c r="K864" s="99"/>
    </row>
    <row r="865">
      <c r="C865" s="99"/>
      <c r="D865" s="99"/>
      <c r="E865" s="122"/>
      <c r="F865" s="99"/>
      <c r="G865" s="123"/>
      <c r="H865" s="98"/>
      <c r="I865" s="99"/>
      <c r="J865" s="99"/>
      <c r="K865" s="99"/>
    </row>
    <row r="866">
      <c r="C866" s="99"/>
      <c r="D866" s="99"/>
      <c r="E866" s="122"/>
      <c r="F866" s="99"/>
      <c r="G866" s="123"/>
      <c r="H866" s="98"/>
      <c r="I866" s="99"/>
      <c r="J866" s="99"/>
      <c r="K866" s="99"/>
    </row>
    <row r="867">
      <c r="C867" s="99"/>
      <c r="D867" s="99"/>
      <c r="E867" s="122"/>
      <c r="F867" s="99"/>
      <c r="G867" s="123"/>
      <c r="H867" s="98"/>
      <c r="I867" s="99"/>
      <c r="J867" s="99"/>
      <c r="K867" s="99"/>
    </row>
    <row r="868">
      <c r="C868" s="99"/>
      <c r="D868" s="99"/>
      <c r="E868" s="122"/>
      <c r="F868" s="99"/>
      <c r="G868" s="123"/>
      <c r="H868" s="98"/>
      <c r="I868" s="99"/>
      <c r="J868" s="99"/>
      <c r="K868" s="99"/>
    </row>
    <row r="869">
      <c r="C869" s="99"/>
      <c r="D869" s="99"/>
      <c r="E869" s="122"/>
      <c r="F869" s="99"/>
      <c r="G869" s="123"/>
      <c r="H869" s="98"/>
      <c r="I869" s="99"/>
      <c r="J869" s="99"/>
      <c r="K869" s="99"/>
    </row>
    <row r="870">
      <c r="C870" s="99"/>
      <c r="D870" s="99"/>
      <c r="E870" s="122"/>
      <c r="F870" s="99"/>
      <c r="G870" s="123"/>
      <c r="H870" s="98"/>
      <c r="I870" s="99"/>
      <c r="J870" s="99"/>
      <c r="K870" s="99"/>
    </row>
    <row r="871">
      <c r="C871" s="99"/>
      <c r="D871" s="99"/>
      <c r="E871" s="122"/>
      <c r="F871" s="99"/>
      <c r="G871" s="123"/>
      <c r="H871" s="98"/>
      <c r="I871" s="99"/>
      <c r="J871" s="99"/>
      <c r="K871" s="99"/>
    </row>
    <row r="872">
      <c r="C872" s="99"/>
      <c r="D872" s="99"/>
      <c r="E872" s="122"/>
      <c r="F872" s="99"/>
      <c r="G872" s="123"/>
      <c r="H872" s="98"/>
      <c r="I872" s="99"/>
      <c r="J872" s="99"/>
      <c r="K872" s="99"/>
    </row>
    <row r="873">
      <c r="C873" s="99"/>
      <c r="D873" s="99"/>
      <c r="E873" s="122"/>
      <c r="F873" s="99"/>
      <c r="G873" s="123"/>
      <c r="H873" s="98"/>
      <c r="I873" s="99"/>
      <c r="J873" s="99"/>
      <c r="K873" s="99"/>
    </row>
    <row r="874">
      <c r="C874" s="99"/>
      <c r="D874" s="99"/>
      <c r="E874" s="122"/>
      <c r="F874" s="99"/>
      <c r="G874" s="123"/>
      <c r="H874" s="98"/>
      <c r="I874" s="99"/>
      <c r="J874" s="99"/>
      <c r="K874" s="99"/>
    </row>
    <row r="875">
      <c r="C875" s="99"/>
      <c r="D875" s="99"/>
      <c r="E875" s="122"/>
      <c r="F875" s="99"/>
      <c r="G875" s="123"/>
      <c r="H875" s="98"/>
      <c r="I875" s="99"/>
      <c r="J875" s="99"/>
      <c r="K875" s="99"/>
    </row>
    <row r="876">
      <c r="C876" s="99"/>
      <c r="D876" s="99"/>
      <c r="E876" s="122"/>
      <c r="F876" s="99"/>
      <c r="G876" s="123"/>
      <c r="H876" s="98"/>
      <c r="I876" s="99"/>
      <c r="J876" s="99"/>
      <c r="K876" s="99"/>
    </row>
    <row r="877">
      <c r="C877" s="99"/>
      <c r="D877" s="99"/>
      <c r="E877" s="122"/>
      <c r="F877" s="99"/>
      <c r="G877" s="123"/>
      <c r="H877" s="98"/>
      <c r="I877" s="99"/>
      <c r="J877" s="99"/>
      <c r="K877" s="99"/>
    </row>
    <row r="878">
      <c r="C878" s="99"/>
      <c r="D878" s="99"/>
      <c r="E878" s="122"/>
      <c r="F878" s="99"/>
      <c r="G878" s="123"/>
      <c r="H878" s="98"/>
      <c r="I878" s="99"/>
      <c r="J878" s="99"/>
      <c r="K878" s="99"/>
    </row>
    <row r="879">
      <c r="C879" s="99"/>
      <c r="D879" s="99"/>
      <c r="E879" s="122"/>
      <c r="F879" s="99"/>
      <c r="G879" s="123"/>
      <c r="H879" s="98"/>
      <c r="I879" s="99"/>
      <c r="J879" s="99"/>
      <c r="K879" s="99"/>
    </row>
    <row r="880">
      <c r="C880" s="99"/>
      <c r="D880" s="99"/>
      <c r="E880" s="122"/>
      <c r="F880" s="99"/>
      <c r="G880" s="123"/>
      <c r="H880" s="98"/>
      <c r="I880" s="99"/>
      <c r="J880" s="99"/>
      <c r="K880" s="99"/>
    </row>
    <row r="881">
      <c r="C881" s="99"/>
      <c r="D881" s="99"/>
      <c r="E881" s="122"/>
      <c r="F881" s="99"/>
      <c r="G881" s="123"/>
      <c r="H881" s="98"/>
      <c r="I881" s="99"/>
      <c r="J881" s="99"/>
      <c r="K881" s="99"/>
    </row>
    <row r="882">
      <c r="C882" s="99"/>
      <c r="D882" s="99"/>
      <c r="E882" s="122"/>
      <c r="F882" s="99"/>
      <c r="G882" s="123"/>
      <c r="H882" s="98"/>
      <c r="I882" s="99"/>
      <c r="J882" s="99"/>
      <c r="K882" s="99"/>
    </row>
    <row r="883">
      <c r="C883" s="99"/>
      <c r="D883" s="99"/>
      <c r="E883" s="122"/>
      <c r="F883" s="99"/>
      <c r="G883" s="123"/>
      <c r="H883" s="98"/>
      <c r="I883" s="99"/>
      <c r="J883" s="99"/>
      <c r="K883" s="99"/>
    </row>
    <row r="884">
      <c r="C884" s="99"/>
      <c r="D884" s="99"/>
      <c r="E884" s="122"/>
      <c r="F884" s="99"/>
      <c r="G884" s="123"/>
      <c r="H884" s="98"/>
      <c r="I884" s="99"/>
      <c r="J884" s="99"/>
      <c r="K884" s="99"/>
    </row>
    <row r="885">
      <c r="C885" s="99"/>
      <c r="D885" s="99"/>
      <c r="E885" s="122"/>
      <c r="F885" s="99"/>
      <c r="G885" s="123"/>
      <c r="H885" s="98"/>
      <c r="I885" s="99"/>
      <c r="J885" s="99"/>
      <c r="K885" s="99"/>
    </row>
    <row r="886">
      <c r="C886" s="99"/>
      <c r="D886" s="99"/>
      <c r="E886" s="122"/>
      <c r="F886" s="99"/>
      <c r="G886" s="123"/>
      <c r="H886" s="98"/>
      <c r="I886" s="99"/>
      <c r="J886" s="99"/>
      <c r="K886" s="99"/>
    </row>
    <row r="887">
      <c r="C887" s="99"/>
      <c r="D887" s="99"/>
      <c r="E887" s="122"/>
      <c r="F887" s="99"/>
      <c r="G887" s="123"/>
      <c r="H887" s="98"/>
      <c r="I887" s="99"/>
      <c r="J887" s="99"/>
      <c r="K887" s="99"/>
    </row>
    <row r="888">
      <c r="C888" s="99"/>
      <c r="D888" s="99"/>
      <c r="E888" s="122"/>
      <c r="F888" s="99"/>
      <c r="G888" s="123"/>
      <c r="H888" s="98"/>
      <c r="I888" s="99"/>
      <c r="J888" s="99"/>
      <c r="K888" s="99"/>
    </row>
    <row r="889">
      <c r="C889" s="99"/>
      <c r="D889" s="99"/>
      <c r="E889" s="122"/>
      <c r="F889" s="99"/>
      <c r="G889" s="123"/>
      <c r="H889" s="98"/>
      <c r="I889" s="99"/>
      <c r="J889" s="99"/>
      <c r="K889" s="99"/>
    </row>
    <row r="890">
      <c r="C890" s="99"/>
      <c r="D890" s="99"/>
      <c r="E890" s="122"/>
      <c r="F890" s="99"/>
      <c r="G890" s="123"/>
      <c r="H890" s="98"/>
      <c r="I890" s="99"/>
      <c r="J890" s="99"/>
      <c r="K890" s="99"/>
    </row>
    <row r="891">
      <c r="C891" s="99"/>
      <c r="D891" s="99"/>
      <c r="E891" s="122"/>
      <c r="F891" s="99"/>
      <c r="G891" s="123"/>
      <c r="H891" s="98"/>
      <c r="I891" s="99"/>
      <c r="J891" s="99"/>
      <c r="K891" s="99"/>
    </row>
    <row r="892">
      <c r="C892" s="99"/>
      <c r="D892" s="99"/>
      <c r="E892" s="122"/>
      <c r="F892" s="99"/>
      <c r="G892" s="123"/>
      <c r="H892" s="98"/>
      <c r="I892" s="99"/>
      <c r="J892" s="99"/>
      <c r="K892" s="99"/>
    </row>
    <row r="893">
      <c r="C893" s="99"/>
      <c r="D893" s="99"/>
      <c r="E893" s="122"/>
      <c r="F893" s="99"/>
      <c r="G893" s="123"/>
      <c r="H893" s="98"/>
      <c r="I893" s="99"/>
      <c r="J893" s="99"/>
      <c r="K893" s="99"/>
    </row>
    <row r="894">
      <c r="C894" s="99"/>
      <c r="D894" s="99"/>
      <c r="E894" s="122"/>
      <c r="F894" s="99"/>
      <c r="G894" s="123"/>
      <c r="H894" s="98"/>
      <c r="I894" s="99"/>
      <c r="J894" s="99"/>
      <c r="K894" s="99"/>
    </row>
    <row r="895">
      <c r="C895" s="99"/>
      <c r="D895" s="99"/>
      <c r="E895" s="122"/>
      <c r="F895" s="99"/>
      <c r="G895" s="123"/>
      <c r="H895" s="98"/>
      <c r="I895" s="99"/>
      <c r="J895" s="99"/>
      <c r="K895" s="99"/>
    </row>
    <row r="896">
      <c r="C896" s="99"/>
      <c r="D896" s="99"/>
      <c r="E896" s="122"/>
      <c r="F896" s="99"/>
      <c r="G896" s="123"/>
      <c r="H896" s="98"/>
      <c r="I896" s="99"/>
      <c r="J896" s="99"/>
      <c r="K896" s="99"/>
    </row>
    <row r="897">
      <c r="C897" s="99"/>
      <c r="D897" s="99"/>
      <c r="E897" s="122"/>
      <c r="F897" s="99"/>
      <c r="G897" s="123"/>
      <c r="H897" s="98"/>
      <c r="I897" s="99"/>
      <c r="J897" s="99"/>
      <c r="K897" s="99"/>
    </row>
    <row r="898">
      <c r="C898" s="99"/>
      <c r="D898" s="99"/>
      <c r="E898" s="122"/>
      <c r="F898" s="99"/>
      <c r="G898" s="123"/>
      <c r="H898" s="98"/>
      <c r="I898" s="99"/>
      <c r="J898" s="99"/>
      <c r="K898" s="99"/>
    </row>
    <row r="899">
      <c r="C899" s="99"/>
      <c r="D899" s="99"/>
      <c r="E899" s="122"/>
      <c r="F899" s="99"/>
      <c r="G899" s="123"/>
      <c r="H899" s="98"/>
      <c r="I899" s="99"/>
      <c r="J899" s="99"/>
      <c r="K899" s="99"/>
    </row>
    <row r="900">
      <c r="C900" s="99"/>
      <c r="D900" s="99"/>
      <c r="E900" s="122"/>
      <c r="F900" s="99"/>
      <c r="G900" s="123"/>
      <c r="H900" s="98"/>
      <c r="I900" s="99"/>
      <c r="J900" s="99"/>
      <c r="K900" s="99"/>
    </row>
    <row r="901">
      <c r="C901" s="99"/>
      <c r="D901" s="99"/>
      <c r="E901" s="122"/>
      <c r="F901" s="99"/>
      <c r="G901" s="123"/>
      <c r="H901" s="98"/>
      <c r="I901" s="99"/>
      <c r="J901" s="99"/>
      <c r="K901" s="99"/>
    </row>
    <row r="902">
      <c r="C902" s="99"/>
      <c r="D902" s="99"/>
      <c r="E902" s="122"/>
      <c r="F902" s="99"/>
      <c r="G902" s="123"/>
      <c r="H902" s="98"/>
      <c r="I902" s="99"/>
      <c r="J902" s="99"/>
      <c r="K902" s="99"/>
    </row>
    <row r="903">
      <c r="C903" s="99"/>
      <c r="D903" s="99"/>
      <c r="E903" s="122"/>
      <c r="F903" s="99"/>
      <c r="G903" s="123"/>
      <c r="H903" s="98"/>
      <c r="I903" s="99"/>
      <c r="J903" s="99"/>
      <c r="K903" s="99"/>
    </row>
    <row r="904">
      <c r="C904" s="99"/>
      <c r="D904" s="99"/>
      <c r="E904" s="122"/>
      <c r="F904" s="99"/>
      <c r="G904" s="123"/>
      <c r="H904" s="98"/>
      <c r="I904" s="99"/>
      <c r="J904" s="99"/>
      <c r="K904" s="99"/>
    </row>
    <row r="905">
      <c r="C905" s="99"/>
      <c r="D905" s="99"/>
      <c r="E905" s="122"/>
      <c r="F905" s="99"/>
      <c r="G905" s="123"/>
      <c r="H905" s="98"/>
      <c r="I905" s="99"/>
      <c r="J905" s="99"/>
      <c r="K905" s="99"/>
    </row>
    <row r="906">
      <c r="C906" s="99"/>
      <c r="D906" s="99"/>
      <c r="E906" s="122"/>
      <c r="F906" s="99"/>
      <c r="G906" s="123"/>
      <c r="H906" s="98"/>
      <c r="I906" s="99"/>
      <c r="J906" s="99"/>
      <c r="K906" s="99"/>
    </row>
    <row r="907">
      <c r="C907" s="99"/>
      <c r="D907" s="99"/>
      <c r="E907" s="122"/>
      <c r="F907" s="99"/>
      <c r="G907" s="123"/>
      <c r="H907" s="98"/>
      <c r="I907" s="99"/>
      <c r="J907" s="99"/>
      <c r="K907" s="99"/>
    </row>
    <row r="908">
      <c r="C908" s="99"/>
      <c r="D908" s="99"/>
      <c r="E908" s="122"/>
      <c r="F908" s="99"/>
      <c r="G908" s="123"/>
      <c r="H908" s="98"/>
      <c r="I908" s="99"/>
      <c r="J908" s="99"/>
      <c r="K908" s="99"/>
    </row>
    <row r="909">
      <c r="C909" s="99"/>
      <c r="D909" s="99"/>
      <c r="E909" s="122"/>
      <c r="F909" s="99"/>
      <c r="G909" s="123"/>
      <c r="H909" s="98"/>
      <c r="I909" s="99"/>
      <c r="J909" s="99"/>
      <c r="K909" s="99"/>
    </row>
    <row r="910">
      <c r="C910" s="99"/>
      <c r="D910" s="99"/>
      <c r="E910" s="122"/>
      <c r="F910" s="99"/>
      <c r="G910" s="123"/>
      <c r="H910" s="98"/>
      <c r="I910" s="99"/>
      <c r="J910" s="99"/>
      <c r="K910" s="99"/>
    </row>
    <row r="911">
      <c r="C911" s="99"/>
      <c r="D911" s="99"/>
      <c r="E911" s="122"/>
      <c r="F911" s="99"/>
      <c r="G911" s="123"/>
      <c r="H911" s="98"/>
      <c r="I911" s="99"/>
      <c r="J911" s="99"/>
      <c r="K911" s="99"/>
    </row>
    <row r="912">
      <c r="C912" s="99"/>
      <c r="D912" s="99"/>
      <c r="E912" s="122"/>
      <c r="F912" s="99"/>
      <c r="G912" s="123"/>
      <c r="H912" s="98"/>
      <c r="I912" s="99"/>
      <c r="J912" s="99"/>
      <c r="K912" s="99"/>
    </row>
    <row r="913">
      <c r="C913" s="99"/>
      <c r="D913" s="99"/>
      <c r="E913" s="122"/>
      <c r="F913" s="99"/>
      <c r="G913" s="123"/>
      <c r="H913" s="98"/>
      <c r="I913" s="99"/>
      <c r="J913" s="99"/>
      <c r="K913" s="99"/>
    </row>
    <row r="914">
      <c r="C914" s="99"/>
      <c r="D914" s="99"/>
      <c r="E914" s="122"/>
      <c r="F914" s="99"/>
      <c r="G914" s="123"/>
      <c r="H914" s="98"/>
      <c r="I914" s="99"/>
      <c r="J914" s="99"/>
      <c r="K914" s="99"/>
    </row>
    <row r="915">
      <c r="C915" s="99"/>
      <c r="D915" s="99"/>
      <c r="E915" s="122"/>
      <c r="F915" s="99"/>
      <c r="G915" s="123"/>
      <c r="H915" s="98"/>
      <c r="I915" s="99"/>
      <c r="J915" s="99"/>
      <c r="K915" s="99"/>
    </row>
    <row r="916">
      <c r="C916" s="99"/>
      <c r="D916" s="99"/>
      <c r="E916" s="122"/>
      <c r="F916" s="99"/>
      <c r="G916" s="123"/>
      <c r="H916" s="98"/>
      <c r="I916" s="99"/>
      <c r="J916" s="99"/>
      <c r="K916" s="99"/>
    </row>
    <row r="917">
      <c r="C917" s="99"/>
      <c r="D917" s="99"/>
      <c r="E917" s="122"/>
      <c r="F917" s="99"/>
      <c r="G917" s="123"/>
      <c r="H917" s="98"/>
      <c r="I917" s="99"/>
      <c r="J917" s="99"/>
      <c r="K917" s="99"/>
    </row>
    <row r="918">
      <c r="C918" s="99"/>
      <c r="D918" s="99"/>
      <c r="E918" s="122"/>
      <c r="F918" s="99"/>
      <c r="G918" s="123"/>
      <c r="H918" s="98"/>
      <c r="I918" s="99"/>
      <c r="J918" s="99"/>
      <c r="K918" s="99"/>
    </row>
    <row r="919">
      <c r="C919" s="99"/>
      <c r="D919" s="99"/>
      <c r="E919" s="122"/>
      <c r="F919" s="99"/>
      <c r="G919" s="123"/>
      <c r="H919" s="98"/>
      <c r="I919" s="99"/>
      <c r="J919" s="99"/>
      <c r="K919" s="99"/>
    </row>
    <row r="920">
      <c r="C920" s="99"/>
      <c r="D920" s="99"/>
      <c r="E920" s="122"/>
      <c r="F920" s="99"/>
      <c r="G920" s="123"/>
      <c r="H920" s="98"/>
      <c r="I920" s="99"/>
      <c r="J920" s="99"/>
      <c r="K920" s="99"/>
    </row>
    <row r="921">
      <c r="C921" s="99"/>
      <c r="D921" s="99"/>
      <c r="E921" s="122"/>
      <c r="F921" s="99"/>
      <c r="G921" s="123"/>
      <c r="H921" s="98"/>
      <c r="I921" s="99"/>
      <c r="J921" s="99"/>
      <c r="K921" s="99"/>
    </row>
    <row r="922">
      <c r="C922" s="99"/>
      <c r="D922" s="99"/>
      <c r="E922" s="122"/>
      <c r="F922" s="99"/>
      <c r="G922" s="123"/>
      <c r="H922" s="98"/>
      <c r="I922" s="99"/>
      <c r="J922" s="99"/>
      <c r="K922" s="99"/>
    </row>
    <row r="923">
      <c r="C923" s="99"/>
      <c r="D923" s="99"/>
      <c r="E923" s="122"/>
      <c r="F923" s="99"/>
      <c r="G923" s="123"/>
      <c r="H923" s="98"/>
      <c r="I923" s="99"/>
      <c r="J923" s="99"/>
      <c r="K923" s="99"/>
    </row>
    <row r="924">
      <c r="C924" s="99"/>
      <c r="D924" s="99"/>
      <c r="E924" s="122"/>
      <c r="F924" s="99"/>
      <c r="G924" s="123"/>
      <c r="H924" s="98"/>
      <c r="I924" s="99"/>
      <c r="J924" s="99"/>
      <c r="K924" s="99"/>
    </row>
    <row r="925">
      <c r="C925" s="99"/>
      <c r="D925" s="99"/>
      <c r="E925" s="122"/>
      <c r="F925" s="99"/>
      <c r="G925" s="123"/>
      <c r="H925" s="98"/>
      <c r="I925" s="99"/>
      <c r="J925" s="99"/>
      <c r="K925" s="99"/>
    </row>
    <row r="926">
      <c r="C926" s="99"/>
      <c r="D926" s="99"/>
      <c r="E926" s="122"/>
      <c r="F926" s="99"/>
      <c r="G926" s="123"/>
      <c r="H926" s="98"/>
      <c r="I926" s="99"/>
      <c r="J926" s="99"/>
      <c r="K926" s="99"/>
    </row>
    <row r="927">
      <c r="C927" s="99"/>
      <c r="D927" s="99"/>
      <c r="E927" s="122"/>
      <c r="F927" s="99"/>
      <c r="G927" s="123"/>
      <c r="H927" s="98"/>
      <c r="I927" s="99"/>
      <c r="J927" s="99"/>
      <c r="K927" s="99"/>
    </row>
    <row r="928">
      <c r="C928" s="99"/>
      <c r="D928" s="99"/>
      <c r="E928" s="122"/>
      <c r="F928" s="99"/>
      <c r="G928" s="123"/>
      <c r="H928" s="98"/>
      <c r="I928" s="99"/>
      <c r="J928" s="99"/>
      <c r="K928" s="99"/>
    </row>
    <row r="929">
      <c r="C929" s="99"/>
      <c r="D929" s="99"/>
      <c r="E929" s="122"/>
      <c r="F929" s="99"/>
      <c r="G929" s="123"/>
      <c r="H929" s="98"/>
      <c r="I929" s="99"/>
      <c r="J929" s="99"/>
      <c r="K929" s="99"/>
    </row>
    <row r="930">
      <c r="C930" s="99"/>
      <c r="D930" s="99"/>
      <c r="E930" s="122"/>
      <c r="F930" s="99"/>
      <c r="G930" s="123"/>
      <c r="H930" s="98"/>
      <c r="I930" s="99"/>
      <c r="J930" s="99"/>
      <c r="K930" s="99"/>
    </row>
    <row r="931">
      <c r="C931" s="99"/>
      <c r="D931" s="99"/>
      <c r="E931" s="122"/>
      <c r="F931" s="99"/>
      <c r="G931" s="123"/>
      <c r="H931" s="98"/>
      <c r="I931" s="99"/>
      <c r="J931" s="99"/>
      <c r="K931" s="99"/>
    </row>
    <row r="932">
      <c r="C932" s="99"/>
      <c r="D932" s="99"/>
      <c r="E932" s="122"/>
      <c r="F932" s="99"/>
      <c r="G932" s="123"/>
      <c r="H932" s="98"/>
      <c r="I932" s="99"/>
      <c r="J932" s="99"/>
      <c r="K932" s="99"/>
    </row>
    <row r="933">
      <c r="C933" s="99"/>
      <c r="D933" s="99"/>
      <c r="E933" s="122"/>
      <c r="F933" s="99"/>
      <c r="G933" s="123"/>
      <c r="H933" s="98"/>
      <c r="I933" s="99"/>
      <c r="J933" s="99"/>
      <c r="K933" s="99"/>
    </row>
    <row r="934">
      <c r="C934" s="99"/>
      <c r="D934" s="99"/>
      <c r="E934" s="122"/>
      <c r="F934" s="99"/>
      <c r="G934" s="123"/>
      <c r="H934" s="98"/>
      <c r="I934" s="99"/>
      <c r="J934" s="99"/>
      <c r="K934" s="99"/>
    </row>
    <row r="935">
      <c r="C935" s="99"/>
      <c r="D935" s="99"/>
      <c r="E935" s="122"/>
      <c r="F935" s="99"/>
      <c r="G935" s="123"/>
      <c r="H935" s="98"/>
      <c r="I935" s="99"/>
      <c r="J935" s="99"/>
      <c r="K935" s="99"/>
    </row>
    <row r="936">
      <c r="C936" s="99"/>
      <c r="D936" s="99"/>
      <c r="E936" s="122"/>
      <c r="F936" s="99"/>
      <c r="G936" s="123"/>
      <c r="H936" s="98"/>
      <c r="I936" s="99"/>
      <c r="J936" s="99"/>
      <c r="K936" s="99"/>
    </row>
    <row r="937">
      <c r="C937" s="99"/>
      <c r="D937" s="99"/>
      <c r="E937" s="122"/>
      <c r="F937" s="99"/>
      <c r="G937" s="123"/>
      <c r="H937" s="98"/>
      <c r="I937" s="99"/>
      <c r="J937" s="99"/>
      <c r="K937" s="99"/>
    </row>
    <row r="938">
      <c r="C938" s="99"/>
      <c r="D938" s="99"/>
      <c r="E938" s="122"/>
      <c r="F938" s="99"/>
      <c r="G938" s="123"/>
      <c r="H938" s="98"/>
      <c r="I938" s="99"/>
      <c r="J938" s="99"/>
      <c r="K938" s="99"/>
    </row>
    <row r="939">
      <c r="C939" s="99"/>
      <c r="D939" s="99"/>
      <c r="E939" s="122"/>
      <c r="F939" s="99"/>
      <c r="G939" s="123"/>
      <c r="H939" s="98"/>
      <c r="I939" s="99"/>
      <c r="J939" s="99"/>
      <c r="K939" s="99"/>
    </row>
    <row r="940">
      <c r="C940" s="99"/>
      <c r="D940" s="99"/>
      <c r="E940" s="122"/>
      <c r="F940" s="99"/>
      <c r="G940" s="123"/>
      <c r="H940" s="98"/>
      <c r="I940" s="99"/>
      <c r="J940" s="99"/>
      <c r="K940" s="99"/>
    </row>
    <row r="941">
      <c r="C941" s="99"/>
      <c r="D941" s="99"/>
      <c r="E941" s="122"/>
      <c r="F941" s="99"/>
      <c r="G941" s="123"/>
      <c r="H941" s="98"/>
      <c r="I941" s="99"/>
      <c r="J941" s="99"/>
      <c r="K941" s="99"/>
    </row>
    <row r="942">
      <c r="C942" s="99"/>
      <c r="D942" s="99"/>
      <c r="E942" s="122"/>
      <c r="F942" s="99"/>
      <c r="G942" s="123"/>
      <c r="H942" s="98"/>
      <c r="I942" s="99"/>
      <c r="J942" s="99"/>
      <c r="K942" s="99"/>
    </row>
    <row r="943">
      <c r="C943" s="99"/>
      <c r="D943" s="99"/>
      <c r="E943" s="122"/>
      <c r="F943" s="99"/>
      <c r="G943" s="123"/>
      <c r="H943" s="98"/>
      <c r="I943" s="99"/>
      <c r="J943" s="99"/>
      <c r="K943" s="99"/>
    </row>
    <row r="944">
      <c r="C944" s="99"/>
      <c r="D944" s="99"/>
      <c r="E944" s="122"/>
      <c r="F944" s="99"/>
      <c r="G944" s="123"/>
      <c r="H944" s="98"/>
      <c r="I944" s="99"/>
      <c r="J944" s="99"/>
      <c r="K944" s="99"/>
    </row>
    <row r="945">
      <c r="C945" s="99"/>
      <c r="D945" s="99"/>
      <c r="E945" s="122"/>
      <c r="F945" s="99"/>
      <c r="G945" s="123"/>
      <c r="H945" s="98"/>
      <c r="I945" s="99"/>
      <c r="J945" s="99"/>
      <c r="K945" s="99"/>
    </row>
    <row r="946">
      <c r="C946" s="99"/>
      <c r="D946" s="99"/>
      <c r="E946" s="122"/>
      <c r="F946" s="99"/>
      <c r="G946" s="123"/>
      <c r="H946" s="98"/>
      <c r="I946" s="99"/>
      <c r="J946" s="99"/>
      <c r="K946" s="99"/>
    </row>
    <row r="947">
      <c r="C947" s="99"/>
      <c r="D947" s="99"/>
      <c r="E947" s="122"/>
      <c r="F947" s="99"/>
      <c r="G947" s="123"/>
      <c r="H947" s="98"/>
      <c r="I947" s="99"/>
      <c r="J947" s="99"/>
      <c r="K947" s="99"/>
    </row>
    <row r="948">
      <c r="C948" s="99"/>
      <c r="D948" s="99"/>
      <c r="E948" s="122"/>
      <c r="F948" s="99"/>
      <c r="G948" s="123"/>
      <c r="H948" s="98"/>
      <c r="I948" s="99"/>
      <c r="J948" s="99"/>
      <c r="K948" s="99"/>
    </row>
    <row r="949">
      <c r="C949" s="99"/>
      <c r="D949" s="99"/>
      <c r="E949" s="122"/>
      <c r="F949" s="99"/>
      <c r="G949" s="123"/>
      <c r="H949" s="98"/>
      <c r="I949" s="99"/>
      <c r="J949" s="99"/>
      <c r="K949" s="99"/>
    </row>
    <row r="950">
      <c r="C950" s="99"/>
      <c r="D950" s="99"/>
      <c r="E950" s="122"/>
      <c r="F950" s="99"/>
      <c r="G950" s="123"/>
      <c r="H950" s="98"/>
      <c r="I950" s="99"/>
      <c r="J950" s="99"/>
      <c r="K950" s="99"/>
    </row>
    <row r="951">
      <c r="C951" s="99"/>
      <c r="D951" s="99"/>
      <c r="E951" s="122"/>
      <c r="F951" s="99"/>
      <c r="G951" s="123"/>
      <c r="H951" s="98"/>
      <c r="I951" s="99"/>
      <c r="J951" s="99"/>
      <c r="K951" s="99"/>
    </row>
    <row r="952">
      <c r="C952" s="99"/>
      <c r="D952" s="99"/>
      <c r="E952" s="122"/>
      <c r="F952" s="99"/>
      <c r="G952" s="123"/>
      <c r="H952" s="98"/>
      <c r="I952" s="99"/>
      <c r="J952" s="99"/>
      <c r="K952" s="99"/>
    </row>
    <row r="953">
      <c r="C953" s="99"/>
      <c r="D953" s="99"/>
      <c r="E953" s="122"/>
      <c r="F953" s="99"/>
      <c r="G953" s="123"/>
      <c r="H953" s="98"/>
      <c r="I953" s="99"/>
      <c r="J953" s="99"/>
      <c r="K953" s="99"/>
    </row>
    <row r="954">
      <c r="C954" s="99"/>
      <c r="D954" s="99"/>
      <c r="E954" s="122"/>
      <c r="F954" s="99"/>
      <c r="G954" s="123"/>
      <c r="H954" s="98"/>
      <c r="I954" s="99"/>
      <c r="J954" s="99"/>
      <c r="K954" s="99"/>
    </row>
    <row r="955">
      <c r="C955" s="99"/>
      <c r="D955" s="99"/>
      <c r="E955" s="122"/>
      <c r="F955" s="99"/>
      <c r="G955" s="123"/>
      <c r="H955" s="98"/>
      <c r="I955" s="99"/>
      <c r="J955" s="99"/>
      <c r="K955" s="99"/>
    </row>
    <row r="956">
      <c r="C956" s="99"/>
      <c r="D956" s="99"/>
      <c r="E956" s="122"/>
      <c r="F956" s="99"/>
      <c r="G956" s="123"/>
      <c r="H956" s="98"/>
      <c r="I956" s="99"/>
      <c r="J956" s="99"/>
      <c r="K956" s="99"/>
    </row>
    <row r="957">
      <c r="C957" s="99"/>
      <c r="D957" s="99"/>
      <c r="E957" s="122"/>
      <c r="F957" s="99"/>
      <c r="G957" s="123"/>
      <c r="H957" s="98"/>
      <c r="I957" s="99"/>
      <c r="J957" s="99"/>
      <c r="K957" s="99"/>
    </row>
    <row r="958">
      <c r="C958" s="99"/>
      <c r="D958" s="99"/>
      <c r="E958" s="122"/>
      <c r="F958" s="99"/>
      <c r="G958" s="123"/>
      <c r="H958" s="98"/>
      <c r="I958" s="99"/>
      <c r="J958" s="99"/>
      <c r="K958" s="99"/>
    </row>
    <row r="959">
      <c r="C959" s="99"/>
      <c r="D959" s="99"/>
      <c r="E959" s="122"/>
      <c r="F959" s="99"/>
      <c r="G959" s="123"/>
      <c r="H959" s="98"/>
      <c r="I959" s="99"/>
      <c r="J959" s="99"/>
      <c r="K959" s="99"/>
    </row>
    <row r="960">
      <c r="C960" s="99"/>
      <c r="D960" s="99"/>
      <c r="E960" s="122"/>
      <c r="F960" s="99"/>
      <c r="G960" s="123"/>
      <c r="H960" s="98"/>
      <c r="I960" s="99"/>
      <c r="J960" s="99"/>
      <c r="K960" s="99"/>
    </row>
    <row r="961">
      <c r="C961" s="99"/>
      <c r="D961" s="99"/>
      <c r="E961" s="122"/>
      <c r="F961" s="99"/>
      <c r="G961" s="123"/>
      <c r="H961" s="98"/>
      <c r="I961" s="99"/>
      <c r="J961" s="99"/>
      <c r="K961" s="99"/>
    </row>
    <row r="962">
      <c r="C962" s="99"/>
      <c r="D962" s="99"/>
      <c r="E962" s="122"/>
      <c r="F962" s="99"/>
      <c r="G962" s="123"/>
      <c r="H962" s="98"/>
      <c r="I962" s="99"/>
      <c r="J962" s="99"/>
      <c r="K962" s="99"/>
    </row>
    <row r="963">
      <c r="C963" s="99"/>
      <c r="D963" s="99"/>
      <c r="E963" s="122"/>
      <c r="F963" s="99"/>
      <c r="G963" s="123"/>
      <c r="H963" s="98"/>
      <c r="I963" s="99"/>
      <c r="J963" s="99"/>
      <c r="K963" s="99"/>
    </row>
    <row r="964">
      <c r="C964" s="99"/>
      <c r="D964" s="99"/>
      <c r="E964" s="122"/>
      <c r="F964" s="99"/>
      <c r="G964" s="123"/>
      <c r="H964" s="98"/>
      <c r="I964" s="99"/>
      <c r="J964" s="99"/>
      <c r="K964" s="99"/>
    </row>
    <row r="965">
      <c r="C965" s="99"/>
      <c r="D965" s="99"/>
      <c r="E965" s="122"/>
      <c r="F965" s="99"/>
      <c r="G965" s="123"/>
      <c r="H965" s="98"/>
      <c r="I965" s="99"/>
      <c r="J965" s="99"/>
      <c r="K965" s="99"/>
    </row>
    <row r="966">
      <c r="C966" s="99"/>
      <c r="D966" s="99"/>
      <c r="E966" s="122"/>
      <c r="F966" s="99"/>
      <c r="G966" s="123"/>
      <c r="H966" s="98"/>
      <c r="I966" s="99"/>
      <c r="J966" s="99"/>
      <c r="K966" s="99"/>
    </row>
    <row r="967">
      <c r="C967" s="99"/>
      <c r="D967" s="99"/>
      <c r="E967" s="122"/>
      <c r="F967" s="99"/>
      <c r="G967" s="123"/>
      <c r="H967" s="98"/>
      <c r="I967" s="99"/>
      <c r="J967" s="99"/>
      <c r="K967" s="99"/>
    </row>
    <row r="968">
      <c r="C968" s="99"/>
      <c r="D968" s="99"/>
      <c r="E968" s="122"/>
      <c r="F968" s="99"/>
      <c r="G968" s="123"/>
      <c r="H968" s="98"/>
      <c r="I968" s="99"/>
      <c r="J968" s="99"/>
      <c r="K968" s="99"/>
    </row>
    <row r="969">
      <c r="C969" s="99"/>
      <c r="D969" s="99"/>
      <c r="E969" s="122"/>
      <c r="F969" s="99"/>
      <c r="G969" s="123"/>
      <c r="H969" s="98"/>
      <c r="I969" s="99"/>
      <c r="J969" s="99"/>
      <c r="K969" s="99"/>
    </row>
    <row r="970">
      <c r="C970" s="99"/>
      <c r="D970" s="99"/>
      <c r="E970" s="122"/>
      <c r="F970" s="99"/>
      <c r="G970" s="123"/>
      <c r="H970" s="98"/>
      <c r="I970" s="99"/>
      <c r="J970" s="99"/>
      <c r="K970" s="99"/>
    </row>
    <row r="971">
      <c r="C971" s="99"/>
      <c r="D971" s="99"/>
      <c r="E971" s="122"/>
      <c r="F971" s="99"/>
      <c r="G971" s="123"/>
      <c r="H971" s="98"/>
      <c r="I971" s="99"/>
      <c r="J971" s="99"/>
      <c r="K971" s="99"/>
    </row>
    <row r="972">
      <c r="C972" s="99"/>
      <c r="D972" s="99"/>
      <c r="E972" s="122"/>
      <c r="F972" s="99"/>
      <c r="G972" s="123"/>
      <c r="H972" s="98"/>
      <c r="I972" s="99"/>
      <c r="J972" s="99"/>
      <c r="K972" s="99"/>
    </row>
    <row r="973">
      <c r="C973" s="99"/>
      <c r="D973" s="99"/>
      <c r="E973" s="122"/>
      <c r="F973" s="99"/>
      <c r="G973" s="123"/>
      <c r="H973" s="98"/>
      <c r="I973" s="99"/>
      <c r="J973" s="99"/>
      <c r="K973" s="99"/>
    </row>
    <row r="974">
      <c r="C974" s="99"/>
      <c r="D974" s="99"/>
      <c r="E974" s="122"/>
      <c r="F974" s="99"/>
      <c r="G974" s="123"/>
      <c r="H974" s="98"/>
      <c r="I974" s="99"/>
      <c r="J974" s="99"/>
      <c r="K974" s="99"/>
    </row>
    <row r="975">
      <c r="C975" s="99"/>
      <c r="D975" s="99"/>
      <c r="E975" s="122"/>
      <c r="F975" s="99"/>
      <c r="G975" s="123"/>
      <c r="H975" s="98"/>
      <c r="I975" s="99"/>
      <c r="J975" s="99"/>
      <c r="K975" s="99"/>
    </row>
    <row r="976">
      <c r="C976" s="99"/>
      <c r="D976" s="99"/>
      <c r="E976" s="122"/>
      <c r="F976" s="99"/>
      <c r="G976" s="123"/>
      <c r="H976" s="98"/>
      <c r="I976" s="99"/>
      <c r="J976" s="99"/>
      <c r="K976" s="99"/>
    </row>
    <row r="977">
      <c r="C977" s="99"/>
      <c r="D977" s="99"/>
      <c r="E977" s="122"/>
      <c r="F977" s="99"/>
      <c r="G977" s="123"/>
      <c r="H977" s="98"/>
      <c r="I977" s="99"/>
      <c r="J977" s="99"/>
      <c r="K977" s="99"/>
    </row>
    <row r="978">
      <c r="C978" s="99"/>
      <c r="D978" s="99"/>
      <c r="E978" s="122"/>
      <c r="F978" s="99"/>
      <c r="G978" s="123"/>
      <c r="H978" s="98"/>
      <c r="I978" s="99"/>
      <c r="J978" s="99"/>
      <c r="K978" s="99"/>
    </row>
    <row r="979">
      <c r="C979" s="99"/>
      <c r="D979" s="99"/>
      <c r="E979" s="122"/>
      <c r="F979" s="99"/>
      <c r="G979" s="123"/>
      <c r="H979" s="98"/>
      <c r="I979" s="99"/>
      <c r="J979" s="99"/>
      <c r="K979" s="99"/>
    </row>
    <row r="980">
      <c r="C980" s="99"/>
      <c r="D980" s="99"/>
      <c r="E980" s="122"/>
      <c r="F980" s="99"/>
      <c r="G980" s="123"/>
      <c r="H980" s="98"/>
      <c r="I980" s="99"/>
      <c r="J980" s="99"/>
      <c r="K980" s="99"/>
    </row>
    <row r="981">
      <c r="C981" s="99"/>
      <c r="D981" s="99"/>
      <c r="E981" s="122"/>
      <c r="F981" s="99"/>
      <c r="G981" s="123"/>
      <c r="H981" s="98"/>
      <c r="I981" s="99"/>
      <c r="J981" s="99"/>
      <c r="K981" s="99"/>
    </row>
    <row r="982">
      <c r="C982" s="99"/>
      <c r="D982" s="99"/>
      <c r="E982" s="122"/>
      <c r="F982" s="99"/>
      <c r="G982" s="123"/>
      <c r="H982" s="98"/>
      <c r="I982" s="99"/>
      <c r="J982" s="99"/>
      <c r="K982" s="99"/>
    </row>
    <row r="983">
      <c r="C983" s="99"/>
      <c r="D983" s="99"/>
      <c r="E983" s="122"/>
      <c r="F983" s="99"/>
      <c r="G983" s="123"/>
      <c r="H983" s="98"/>
      <c r="I983" s="99"/>
      <c r="J983" s="99"/>
      <c r="K983" s="99"/>
    </row>
    <row r="984">
      <c r="C984" s="99"/>
      <c r="D984" s="99"/>
      <c r="E984" s="122"/>
      <c r="F984" s="99"/>
      <c r="G984" s="123"/>
      <c r="H984" s="98"/>
      <c r="I984" s="99"/>
      <c r="J984" s="99"/>
      <c r="K984" s="99"/>
    </row>
    <row r="985">
      <c r="C985" s="99"/>
      <c r="D985" s="99"/>
      <c r="E985" s="122"/>
      <c r="F985" s="99"/>
      <c r="G985" s="123"/>
      <c r="H985" s="98"/>
      <c r="I985" s="99"/>
      <c r="J985" s="99"/>
      <c r="K985" s="99"/>
    </row>
    <row r="986">
      <c r="C986" s="99"/>
      <c r="D986" s="99"/>
      <c r="E986" s="122"/>
      <c r="F986" s="99"/>
      <c r="G986" s="123"/>
      <c r="H986" s="98"/>
      <c r="I986" s="99"/>
      <c r="J986" s="99"/>
      <c r="K986" s="99"/>
    </row>
    <row r="987">
      <c r="C987" s="99"/>
      <c r="D987" s="99"/>
      <c r="E987" s="122"/>
      <c r="F987" s="99"/>
      <c r="G987" s="123"/>
      <c r="H987" s="98"/>
      <c r="I987" s="99"/>
      <c r="J987" s="99"/>
      <c r="K987" s="99"/>
    </row>
    <row r="988">
      <c r="C988" s="99"/>
      <c r="D988" s="99"/>
      <c r="E988" s="122"/>
      <c r="F988" s="99"/>
      <c r="G988" s="123"/>
      <c r="H988" s="98"/>
      <c r="I988" s="99"/>
      <c r="J988" s="99"/>
      <c r="K988" s="99"/>
    </row>
    <row r="989">
      <c r="C989" s="99"/>
      <c r="D989" s="99"/>
      <c r="E989" s="122"/>
      <c r="F989" s="99"/>
      <c r="G989" s="123"/>
      <c r="H989" s="98"/>
      <c r="I989" s="99"/>
      <c r="J989" s="99"/>
      <c r="K989" s="99"/>
    </row>
    <row r="990">
      <c r="C990" s="99"/>
      <c r="D990" s="99"/>
      <c r="E990" s="122"/>
      <c r="F990" s="99"/>
      <c r="G990" s="123"/>
      <c r="H990" s="98"/>
      <c r="I990" s="99"/>
      <c r="J990" s="99"/>
      <c r="K990" s="99"/>
    </row>
    <row r="991">
      <c r="C991" s="99"/>
      <c r="D991" s="99"/>
      <c r="E991" s="122"/>
      <c r="F991" s="99"/>
      <c r="G991" s="123"/>
      <c r="H991" s="98"/>
      <c r="I991" s="99"/>
      <c r="J991" s="99"/>
      <c r="K991" s="99"/>
    </row>
    <row r="992">
      <c r="C992" s="99"/>
      <c r="D992" s="99"/>
      <c r="E992" s="122"/>
      <c r="F992" s="99"/>
      <c r="G992" s="123"/>
      <c r="H992" s="98"/>
      <c r="I992" s="99"/>
      <c r="J992" s="99"/>
      <c r="K992" s="99"/>
    </row>
    <row r="993">
      <c r="C993" s="99"/>
      <c r="D993" s="99"/>
      <c r="E993" s="122"/>
      <c r="F993" s="99"/>
      <c r="G993" s="123"/>
      <c r="H993" s="98"/>
      <c r="I993" s="99"/>
      <c r="J993" s="99"/>
      <c r="K993" s="99"/>
    </row>
    <row r="994">
      <c r="C994" s="99"/>
      <c r="D994" s="99"/>
      <c r="E994" s="122"/>
      <c r="F994" s="99"/>
      <c r="G994" s="123"/>
      <c r="H994" s="98"/>
      <c r="I994" s="99"/>
      <c r="J994" s="99"/>
      <c r="K994" s="99"/>
    </row>
    <row r="995">
      <c r="C995" s="99"/>
      <c r="D995" s="99"/>
      <c r="E995" s="122"/>
      <c r="F995" s="99"/>
      <c r="G995" s="123"/>
      <c r="H995" s="98"/>
      <c r="I995" s="99"/>
      <c r="J995" s="99"/>
      <c r="K995" s="99"/>
    </row>
    <row r="996">
      <c r="C996" s="99"/>
      <c r="D996" s="99"/>
      <c r="E996" s="122"/>
      <c r="F996" s="99"/>
      <c r="G996" s="123"/>
      <c r="H996" s="98"/>
      <c r="I996" s="99"/>
      <c r="J996" s="99"/>
      <c r="K996" s="99"/>
    </row>
    <row r="997">
      <c r="C997" s="99"/>
      <c r="D997" s="99"/>
      <c r="E997" s="122"/>
      <c r="F997" s="99"/>
      <c r="G997" s="123"/>
      <c r="H997" s="98"/>
      <c r="I997" s="99"/>
      <c r="J997" s="99"/>
      <c r="K997" s="99"/>
    </row>
    <row r="998">
      <c r="C998" s="99"/>
      <c r="D998" s="99"/>
      <c r="E998" s="122"/>
      <c r="F998" s="99"/>
      <c r="G998" s="123"/>
      <c r="H998" s="98"/>
      <c r="I998" s="99"/>
      <c r="J998" s="99"/>
      <c r="K998" s="99"/>
    </row>
    <row r="999">
      <c r="C999" s="99"/>
      <c r="D999" s="99"/>
      <c r="E999" s="122"/>
      <c r="F999" s="99"/>
      <c r="G999" s="123"/>
      <c r="H999" s="98"/>
      <c r="I999" s="99"/>
      <c r="J999" s="99"/>
      <c r="K999" s="99"/>
    </row>
    <row r="1000">
      <c r="C1000" s="99"/>
      <c r="D1000" s="99"/>
      <c r="E1000" s="122"/>
      <c r="F1000" s="99"/>
      <c r="G1000" s="123"/>
      <c r="H1000" s="98"/>
      <c r="I1000" s="99"/>
      <c r="J1000" s="99"/>
      <c r="K1000" s="99"/>
    </row>
    <row r="1001">
      <c r="C1001" s="99"/>
      <c r="D1001" s="99"/>
      <c r="E1001" s="122"/>
      <c r="F1001" s="99"/>
      <c r="G1001" s="123"/>
      <c r="H1001" s="98"/>
      <c r="I1001" s="99"/>
      <c r="J1001" s="99"/>
      <c r="K1001" s="99"/>
    </row>
    <row r="1002">
      <c r="C1002" s="99"/>
      <c r="D1002" s="99"/>
      <c r="E1002" s="122"/>
      <c r="F1002" s="99"/>
      <c r="G1002" s="123"/>
      <c r="H1002" s="98"/>
      <c r="I1002" s="99"/>
      <c r="J1002" s="99"/>
      <c r="K1002" s="99"/>
    </row>
    <row r="1003">
      <c r="C1003" s="99"/>
      <c r="D1003" s="99"/>
      <c r="E1003" s="122"/>
      <c r="F1003" s="99"/>
      <c r="G1003" s="123"/>
      <c r="H1003" s="98"/>
      <c r="I1003" s="99"/>
      <c r="J1003" s="99"/>
      <c r="K1003" s="99"/>
    </row>
    <row r="1004">
      <c r="C1004" s="99"/>
      <c r="D1004" s="99"/>
      <c r="E1004" s="122"/>
      <c r="F1004" s="99"/>
      <c r="G1004" s="123"/>
      <c r="H1004" s="98"/>
      <c r="I1004" s="99"/>
      <c r="J1004" s="99"/>
      <c r="K1004" s="99"/>
    </row>
    <row r="1005">
      <c r="C1005" s="99"/>
      <c r="D1005" s="99"/>
      <c r="E1005" s="122"/>
      <c r="F1005" s="99"/>
      <c r="G1005" s="123"/>
      <c r="H1005" s="98"/>
      <c r="I1005" s="99"/>
      <c r="J1005" s="99"/>
      <c r="K1005" s="99"/>
    </row>
    <row r="1006">
      <c r="C1006" s="99"/>
      <c r="D1006" s="99"/>
      <c r="E1006" s="122"/>
      <c r="F1006" s="99"/>
      <c r="G1006" s="123"/>
      <c r="H1006" s="98"/>
      <c r="I1006" s="99"/>
      <c r="J1006" s="99"/>
      <c r="K1006" s="99"/>
    </row>
    <row r="1007">
      <c r="C1007" s="99"/>
      <c r="D1007" s="99"/>
      <c r="E1007" s="122"/>
      <c r="F1007" s="99"/>
      <c r="G1007" s="123"/>
      <c r="H1007" s="98"/>
      <c r="I1007" s="99"/>
      <c r="J1007" s="99"/>
      <c r="K1007" s="99"/>
    </row>
    <row r="1008">
      <c r="C1008" s="99"/>
      <c r="D1008" s="99"/>
      <c r="E1008" s="122"/>
      <c r="F1008" s="99"/>
      <c r="G1008" s="123"/>
      <c r="H1008" s="98"/>
      <c r="I1008" s="99"/>
      <c r="J1008" s="99"/>
      <c r="K1008" s="99"/>
    </row>
    <row r="1009">
      <c r="C1009" s="99"/>
      <c r="D1009" s="99"/>
      <c r="E1009" s="122"/>
      <c r="F1009" s="99"/>
      <c r="G1009" s="123"/>
      <c r="H1009" s="98"/>
      <c r="I1009" s="99"/>
      <c r="J1009" s="99"/>
      <c r="K1009" s="99"/>
    </row>
    <row r="1010">
      <c r="C1010" s="99"/>
      <c r="D1010" s="99"/>
      <c r="E1010" s="122"/>
      <c r="F1010" s="99"/>
      <c r="G1010" s="123"/>
      <c r="H1010" s="98"/>
      <c r="I1010" s="99"/>
      <c r="J1010" s="99"/>
      <c r="K1010" s="99"/>
    </row>
    <row r="1011">
      <c r="C1011" s="99"/>
      <c r="D1011" s="99"/>
      <c r="E1011" s="122"/>
      <c r="F1011" s="99"/>
      <c r="G1011" s="123"/>
      <c r="H1011" s="98"/>
      <c r="I1011" s="99"/>
      <c r="J1011" s="99"/>
      <c r="K1011" s="99"/>
    </row>
    <row r="1012">
      <c r="C1012" s="99"/>
      <c r="D1012" s="99"/>
      <c r="E1012" s="122"/>
      <c r="F1012" s="99"/>
      <c r="G1012" s="123"/>
      <c r="H1012" s="98"/>
      <c r="I1012" s="99"/>
      <c r="J1012" s="99"/>
      <c r="K1012" s="99"/>
    </row>
    <row r="1013">
      <c r="C1013" s="99"/>
      <c r="D1013" s="99"/>
      <c r="E1013" s="122"/>
      <c r="F1013" s="99"/>
      <c r="G1013" s="123"/>
      <c r="H1013" s="98"/>
      <c r="I1013" s="99"/>
      <c r="J1013" s="99"/>
      <c r="K1013" s="99"/>
    </row>
    <row r="1014">
      <c r="C1014" s="99"/>
      <c r="D1014" s="99"/>
      <c r="E1014" s="122"/>
      <c r="F1014" s="99"/>
      <c r="G1014" s="123"/>
      <c r="H1014" s="98"/>
      <c r="I1014" s="99"/>
      <c r="J1014" s="99"/>
      <c r="K1014" s="99"/>
    </row>
    <row r="1015">
      <c r="C1015" s="99"/>
      <c r="D1015" s="99"/>
      <c r="E1015" s="122"/>
      <c r="F1015" s="99"/>
      <c r="G1015" s="123"/>
      <c r="H1015" s="98"/>
      <c r="I1015" s="99"/>
      <c r="J1015" s="99"/>
      <c r="K1015" s="99"/>
    </row>
    <row r="1016">
      <c r="C1016" s="99"/>
      <c r="D1016" s="99"/>
      <c r="E1016" s="122"/>
      <c r="F1016" s="99"/>
      <c r="G1016" s="123"/>
      <c r="H1016" s="98"/>
      <c r="I1016" s="99"/>
      <c r="J1016" s="99"/>
      <c r="K1016" s="99"/>
    </row>
    <row r="1017">
      <c r="C1017" s="99"/>
      <c r="D1017" s="99"/>
      <c r="E1017" s="122"/>
      <c r="F1017" s="99"/>
      <c r="G1017" s="123"/>
      <c r="H1017" s="98"/>
      <c r="I1017" s="99"/>
      <c r="J1017" s="99"/>
      <c r="K1017" s="99"/>
    </row>
    <row r="1018">
      <c r="C1018" s="99"/>
      <c r="D1018" s="99"/>
      <c r="E1018" s="122"/>
      <c r="F1018" s="99"/>
      <c r="G1018" s="123"/>
      <c r="H1018" s="98"/>
      <c r="I1018" s="99"/>
      <c r="J1018" s="99"/>
      <c r="K1018" s="99"/>
    </row>
    <row r="1019">
      <c r="C1019" s="99"/>
      <c r="D1019" s="99"/>
      <c r="E1019" s="122"/>
      <c r="F1019" s="99"/>
      <c r="G1019" s="123"/>
      <c r="H1019" s="98"/>
      <c r="I1019" s="99"/>
      <c r="J1019" s="99"/>
      <c r="K1019" s="99"/>
    </row>
    <row r="1020">
      <c r="C1020" s="99"/>
      <c r="D1020" s="99"/>
      <c r="E1020" s="122"/>
      <c r="F1020" s="99"/>
      <c r="G1020" s="123"/>
      <c r="H1020" s="98"/>
      <c r="I1020" s="99"/>
      <c r="J1020" s="99"/>
      <c r="K1020" s="99"/>
    </row>
    <row r="1021">
      <c r="C1021" s="99"/>
      <c r="D1021" s="99"/>
      <c r="E1021" s="122"/>
      <c r="F1021" s="99"/>
      <c r="G1021" s="123"/>
      <c r="H1021" s="98"/>
      <c r="I1021" s="99"/>
      <c r="J1021" s="99"/>
      <c r="K1021" s="99"/>
    </row>
    <row r="1022">
      <c r="C1022" s="99"/>
      <c r="D1022" s="99"/>
      <c r="E1022" s="122"/>
      <c r="F1022" s="99"/>
      <c r="G1022" s="123"/>
      <c r="H1022" s="98"/>
      <c r="I1022" s="99"/>
      <c r="J1022" s="99"/>
      <c r="K1022" s="99"/>
    </row>
    <row r="1023">
      <c r="C1023" s="99"/>
      <c r="D1023" s="99"/>
      <c r="E1023" s="122"/>
      <c r="F1023" s="99"/>
      <c r="G1023" s="123"/>
      <c r="H1023" s="98"/>
      <c r="I1023" s="99"/>
      <c r="J1023" s="99"/>
      <c r="K1023" s="99"/>
    </row>
    <row r="1024">
      <c r="C1024" s="99"/>
      <c r="D1024" s="99"/>
      <c r="E1024" s="122"/>
      <c r="F1024" s="99"/>
      <c r="G1024" s="123"/>
      <c r="H1024" s="98"/>
      <c r="I1024" s="99"/>
      <c r="J1024" s="99"/>
      <c r="K1024" s="99"/>
    </row>
    <row r="1025">
      <c r="C1025" s="99"/>
      <c r="D1025" s="99"/>
      <c r="E1025" s="122"/>
      <c r="F1025" s="99"/>
      <c r="G1025" s="123"/>
      <c r="H1025" s="98"/>
      <c r="I1025" s="99"/>
      <c r="J1025" s="99"/>
      <c r="K1025" s="99"/>
    </row>
    <row r="1026">
      <c r="C1026" s="99"/>
      <c r="D1026" s="99"/>
      <c r="E1026" s="122"/>
      <c r="F1026" s="99"/>
      <c r="G1026" s="123"/>
      <c r="H1026" s="98"/>
      <c r="I1026" s="99"/>
      <c r="J1026" s="99"/>
      <c r="K1026" s="99"/>
    </row>
    <row r="1027">
      <c r="C1027" s="99"/>
      <c r="D1027" s="99"/>
      <c r="E1027" s="122"/>
      <c r="F1027" s="99"/>
      <c r="G1027" s="123"/>
      <c r="H1027" s="98"/>
      <c r="I1027" s="99"/>
      <c r="J1027" s="99"/>
      <c r="K1027" s="99"/>
    </row>
    <row r="1028">
      <c r="C1028" s="99"/>
      <c r="D1028" s="99"/>
      <c r="E1028" s="122"/>
      <c r="F1028" s="99"/>
      <c r="G1028" s="123"/>
      <c r="H1028" s="98"/>
      <c r="I1028" s="99"/>
      <c r="J1028" s="99"/>
      <c r="K1028" s="99"/>
    </row>
    <row r="1029">
      <c r="C1029" s="99"/>
      <c r="D1029" s="99"/>
      <c r="E1029" s="122"/>
      <c r="F1029" s="99"/>
      <c r="G1029" s="123"/>
      <c r="H1029" s="98"/>
      <c r="I1029" s="99"/>
      <c r="J1029" s="99"/>
      <c r="K1029" s="99"/>
    </row>
    <row r="1030">
      <c r="C1030" s="99"/>
      <c r="D1030" s="99"/>
      <c r="E1030" s="122"/>
      <c r="F1030" s="99"/>
      <c r="G1030" s="123"/>
      <c r="H1030" s="98"/>
      <c r="I1030" s="99"/>
      <c r="J1030" s="99"/>
      <c r="K1030" s="99"/>
    </row>
    <row r="1031">
      <c r="C1031" s="99"/>
      <c r="D1031" s="99"/>
      <c r="E1031" s="122"/>
      <c r="F1031" s="99"/>
      <c r="G1031" s="123"/>
      <c r="H1031" s="98"/>
      <c r="I1031" s="99"/>
      <c r="J1031" s="99"/>
      <c r="K1031" s="99"/>
    </row>
    <row r="1032">
      <c r="C1032" s="99"/>
      <c r="D1032" s="99"/>
      <c r="E1032" s="122"/>
      <c r="F1032" s="99"/>
      <c r="G1032" s="123"/>
      <c r="H1032" s="98"/>
      <c r="I1032" s="99"/>
      <c r="J1032" s="99"/>
      <c r="K1032" s="99"/>
    </row>
    <row r="1033">
      <c r="E1033" s="126"/>
    </row>
    <row r="1034">
      <c r="E1034" s="126"/>
    </row>
    <row r="1035">
      <c r="E1035" s="126"/>
    </row>
    <row r="1036">
      <c r="E1036" s="126"/>
    </row>
    <row r="1037">
      <c r="E1037" s="126"/>
    </row>
    <row r="1038">
      <c r="E1038" s="126"/>
    </row>
    <row r="1039">
      <c r="E1039" s="126"/>
    </row>
    <row r="1040">
      <c r="E1040" s="126"/>
    </row>
    <row r="1041">
      <c r="E1041" s="126"/>
    </row>
    <row r="1042">
      <c r="E1042" s="126"/>
    </row>
    <row r="1043">
      <c r="E1043" s="126"/>
    </row>
    <row r="1044">
      <c r="E1044" s="126"/>
    </row>
    <row r="1045">
      <c r="E1045" s="126"/>
    </row>
    <row r="1046">
      <c r="E1046" s="126"/>
    </row>
    <row r="1047">
      <c r="E1047" s="126"/>
    </row>
    <row r="1048">
      <c r="E1048" s="126"/>
    </row>
    <row r="1049">
      <c r="E1049" s="126"/>
    </row>
    <row r="1050">
      <c r="E1050" s="126"/>
    </row>
    <row r="1051">
      <c r="E1051" s="126"/>
    </row>
    <row r="1052">
      <c r="E1052" s="126"/>
    </row>
    <row r="1053">
      <c r="E1053" s="126"/>
    </row>
    <row r="1054">
      <c r="E1054" s="126"/>
    </row>
    <row r="1055">
      <c r="E1055" s="126"/>
    </row>
    <row r="1056">
      <c r="E1056" s="126"/>
    </row>
    <row r="1057">
      <c r="E1057" s="126"/>
    </row>
    <row r="1058">
      <c r="E1058" s="126"/>
    </row>
    <row r="1059">
      <c r="E1059" s="126"/>
    </row>
    <row r="1060">
      <c r="E1060" s="126"/>
    </row>
    <row r="1061">
      <c r="E1061" s="126"/>
    </row>
    <row r="1062">
      <c r="E1062" s="126"/>
    </row>
    <row r="1063">
      <c r="E1063" s="126"/>
    </row>
    <row r="1064">
      <c r="E1064" s="126"/>
    </row>
    <row r="1065">
      <c r="E1065" s="126"/>
    </row>
    <row r="1066">
      <c r="E1066" s="126"/>
    </row>
    <row r="1067">
      <c r="E1067" s="126"/>
    </row>
    <row r="1068">
      <c r="E1068" s="126"/>
    </row>
    <row r="1069">
      <c r="E1069" s="126"/>
    </row>
    <row r="1070">
      <c r="E1070" s="126"/>
    </row>
    <row r="1071">
      <c r="E1071" s="126"/>
    </row>
    <row r="1072">
      <c r="E1072" s="126"/>
    </row>
    <row r="1073">
      <c r="E1073" s="126"/>
    </row>
    <row r="1074">
      <c r="E1074" s="126"/>
    </row>
    <row r="1075">
      <c r="E1075" s="126"/>
    </row>
    <row r="1076">
      <c r="E1076" s="126"/>
    </row>
    <row r="1077">
      <c r="E1077" s="126"/>
    </row>
    <row r="1078">
      <c r="E1078" s="126"/>
    </row>
    <row r="1079">
      <c r="E1079" s="126"/>
    </row>
    <row r="1080">
      <c r="E1080" s="126"/>
    </row>
    <row r="1081">
      <c r="E1081" s="126"/>
    </row>
    <row r="1082">
      <c r="E1082" s="126"/>
    </row>
    <row r="1083">
      <c r="E1083" s="126"/>
    </row>
    <row r="1084">
      <c r="E1084" s="126"/>
    </row>
    <row r="1085">
      <c r="E1085" s="126"/>
    </row>
    <row r="1086">
      <c r="E1086" s="126"/>
    </row>
    <row r="1087">
      <c r="E1087" s="126"/>
    </row>
    <row r="1088">
      <c r="E1088" s="126"/>
    </row>
    <row r="1089">
      <c r="E1089" s="126"/>
    </row>
    <row r="1090">
      <c r="E1090" s="126"/>
    </row>
    <row r="1091">
      <c r="E1091" s="126"/>
    </row>
    <row r="1092">
      <c r="E1092" s="126"/>
    </row>
    <row r="1093">
      <c r="E1093" s="126"/>
    </row>
    <row r="1094">
      <c r="E1094" s="126"/>
    </row>
    <row r="1095">
      <c r="E1095" s="126"/>
    </row>
    <row r="1096">
      <c r="E1096" s="126"/>
    </row>
    <row r="1097">
      <c r="E1097" s="126"/>
    </row>
    <row r="1098">
      <c r="E1098" s="126"/>
    </row>
    <row r="1099">
      <c r="E1099" s="126"/>
    </row>
    <row r="1100">
      <c r="E1100" s="126"/>
    </row>
    <row r="1101">
      <c r="E1101" s="126"/>
    </row>
    <row r="1102">
      <c r="E1102" s="126"/>
    </row>
    <row r="1103">
      <c r="E1103" s="126"/>
    </row>
    <row r="1104">
      <c r="E1104" s="126"/>
    </row>
    <row r="1105">
      <c r="E1105" s="126"/>
    </row>
    <row r="1106">
      <c r="E1106" s="126"/>
    </row>
    <row r="1107">
      <c r="E1107" s="126"/>
    </row>
    <row r="1108">
      <c r="E1108" s="126"/>
    </row>
    <row r="1109">
      <c r="E1109" s="126"/>
    </row>
    <row r="1110">
      <c r="E1110" s="126"/>
    </row>
    <row r="1111">
      <c r="E1111" s="126"/>
    </row>
    <row r="1112">
      <c r="E1112" s="126"/>
    </row>
    <row r="1113">
      <c r="E1113" s="126"/>
    </row>
    <row r="1114">
      <c r="E1114" s="126"/>
    </row>
    <row r="1115">
      <c r="E1115" s="126"/>
    </row>
    <row r="1116">
      <c r="E1116" s="126"/>
    </row>
    <row r="1117">
      <c r="E1117" s="126"/>
    </row>
    <row r="1118">
      <c r="E1118" s="126"/>
    </row>
    <row r="1119">
      <c r="E1119" s="126"/>
    </row>
    <row r="1120">
      <c r="E1120" s="126"/>
    </row>
    <row r="1121">
      <c r="E1121" s="126"/>
    </row>
    <row r="1122">
      <c r="E1122" s="126"/>
    </row>
    <row r="1123">
      <c r="E1123" s="126"/>
    </row>
    <row r="1124">
      <c r="E1124" s="126"/>
    </row>
    <row r="1125">
      <c r="E1125" s="126"/>
    </row>
    <row r="1126">
      <c r="E1126" s="126"/>
    </row>
    <row r="1127">
      <c r="E1127" s="126"/>
    </row>
    <row r="1128">
      <c r="E1128" s="126"/>
    </row>
    <row r="1129">
      <c r="E1129" s="126"/>
    </row>
    <row r="1130">
      <c r="E1130" s="126"/>
    </row>
    <row r="1131">
      <c r="E1131" s="126"/>
    </row>
    <row r="1132">
      <c r="E1132" s="126"/>
    </row>
    <row r="1133">
      <c r="E1133" s="126"/>
    </row>
    <row r="1134">
      <c r="E1134" s="126"/>
    </row>
    <row r="1135">
      <c r="E1135" s="126"/>
    </row>
    <row r="1136">
      <c r="E1136" s="126"/>
    </row>
    <row r="1137">
      <c r="E1137" s="126"/>
    </row>
    <row r="1138">
      <c r="E1138" s="126"/>
    </row>
    <row r="1139">
      <c r="E1139" s="126"/>
    </row>
    <row r="1140">
      <c r="E1140" s="126"/>
    </row>
    <row r="1141">
      <c r="E1141" s="126"/>
    </row>
    <row r="1142">
      <c r="E1142" s="126"/>
    </row>
    <row r="1143">
      <c r="E1143" s="126"/>
    </row>
    <row r="1144">
      <c r="E1144" s="126"/>
    </row>
    <row r="1145">
      <c r="E1145" s="126"/>
    </row>
    <row r="1146">
      <c r="E1146" s="126"/>
    </row>
    <row r="1147">
      <c r="E1147" s="126"/>
    </row>
    <row r="1148">
      <c r="E1148" s="126"/>
    </row>
    <row r="1149">
      <c r="E1149" s="126"/>
    </row>
    <row r="1150">
      <c r="E1150" s="126"/>
    </row>
    <row r="1151">
      <c r="E1151" s="126"/>
    </row>
    <row r="1152">
      <c r="E1152" s="126"/>
    </row>
    <row r="1153">
      <c r="E1153" s="126"/>
    </row>
    <row r="1154">
      <c r="E1154" s="126"/>
    </row>
    <row r="1155">
      <c r="E1155" s="126"/>
    </row>
    <row r="1156">
      <c r="E1156" s="126"/>
    </row>
    <row r="1157">
      <c r="E1157" s="126"/>
    </row>
    <row r="1158">
      <c r="E1158" s="126"/>
    </row>
    <row r="1159">
      <c r="E1159" s="126"/>
    </row>
    <row r="1160">
      <c r="E1160" s="126"/>
    </row>
    <row r="1161">
      <c r="E1161" s="126"/>
    </row>
    <row r="1162">
      <c r="E1162" s="126"/>
    </row>
    <row r="1163">
      <c r="E1163" s="126"/>
    </row>
    <row r="1164">
      <c r="E1164" s="126"/>
    </row>
    <row r="1165">
      <c r="E1165" s="126"/>
    </row>
    <row r="1166">
      <c r="E1166" s="126"/>
    </row>
    <row r="1167">
      <c r="E1167" s="126"/>
    </row>
    <row r="1168">
      <c r="E1168" s="126"/>
    </row>
    <row r="1169">
      <c r="E1169" s="126"/>
    </row>
    <row r="1170">
      <c r="E1170" s="126"/>
    </row>
    <row r="1171">
      <c r="E1171" s="126"/>
    </row>
    <row r="1172">
      <c r="E1172" s="126"/>
    </row>
    <row r="1173">
      <c r="E1173" s="126"/>
    </row>
    <row r="1174">
      <c r="E1174" s="126"/>
    </row>
    <row r="1175">
      <c r="E1175" s="126"/>
    </row>
    <row r="1176">
      <c r="E1176" s="126"/>
    </row>
    <row r="1177">
      <c r="E1177" s="126"/>
    </row>
    <row r="1178">
      <c r="E1178" s="126"/>
    </row>
    <row r="1179">
      <c r="E1179" s="126"/>
    </row>
    <row r="1180">
      <c r="E1180" s="126"/>
    </row>
    <row r="1181">
      <c r="E1181" s="126"/>
    </row>
    <row r="1182">
      <c r="E1182" s="126"/>
    </row>
    <row r="1183">
      <c r="E1183" s="126"/>
    </row>
    <row r="1184">
      <c r="E1184" s="126"/>
    </row>
    <row r="1185">
      <c r="E1185" s="126"/>
    </row>
    <row r="1186">
      <c r="E1186" s="126"/>
    </row>
    <row r="1187">
      <c r="E1187" s="126"/>
    </row>
    <row r="1188">
      <c r="E1188" s="126"/>
    </row>
    <row r="1189">
      <c r="E1189" s="126"/>
    </row>
    <row r="1190">
      <c r="E1190" s="126"/>
    </row>
    <row r="1191">
      <c r="E1191" s="126"/>
    </row>
    <row r="1192">
      <c r="E1192" s="126"/>
    </row>
    <row r="1193">
      <c r="E1193" s="126"/>
    </row>
    <row r="1194">
      <c r="E1194" s="126"/>
    </row>
    <row r="1195">
      <c r="E1195" s="126"/>
    </row>
    <row r="1196">
      <c r="E1196" s="126"/>
    </row>
    <row r="1197">
      <c r="E1197" s="126"/>
    </row>
    <row r="1198">
      <c r="E1198" s="126"/>
    </row>
    <row r="1199">
      <c r="E1199" s="126"/>
    </row>
    <row r="1200">
      <c r="E1200" s="126"/>
    </row>
    <row r="1201">
      <c r="E1201" s="126"/>
    </row>
    <row r="1202">
      <c r="E1202" s="126"/>
    </row>
    <row r="1203">
      <c r="E1203" s="126"/>
    </row>
    <row r="1204">
      <c r="E1204" s="126"/>
    </row>
    <row r="1205">
      <c r="E1205" s="126"/>
    </row>
    <row r="1206">
      <c r="E1206" s="126"/>
    </row>
    <row r="1207">
      <c r="E1207" s="126"/>
    </row>
    <row r="1208">
      <c r="E1208" s="126"/>
    </row>
    <row r="1209">
      <c r="E1209" s="126"/>
    </row>
    <row r="1210">
      <c r="E1210" s="126"/>
    </row>
    <row r="1211">
      <c r="E1211" s="126"/>
    </row>
    <row r="1212">
      <c r="E1212" s="126"/>
    </row>
    <row r="1213">
      <c r="E1213" s="126"/>
    </row>
    <row r="1214">
      <c r="E1214" s="126"/>
    </row>
    <row r="1215">
      <c r="E1215" s="126"/>
    </row>
    <row r="1216">
      <c r="E1216" s="126"/>
    </row>
    <row r="1217">
      <c r="E1217" s="126"/>
    </row>
    <row r="1218">
      <c r="E1218" s="126"/>
    </row>
    <row r="1219">
      <c r="E1219" s="126"/>
    </row>
    <row r="1220">
      <c r="E1220" s="126"/>
    </row>
    <row r="1221">
      <c r="E1221" s="126"/>
    </row>
    <row r="1222">
      <c r="E1222" s="126"/>
    </row>
    <row r="1223">
      <c r="E1223" s="126"/>
    </row>
    <row r="1224">
      <c r="E1224" s="126"/>
    </row>
    <row r="1225">
      <c r="E1225" s="126"/>
    </row>
    <row r="1226">
      <c r="E1226" s="126"/>
    </row>
    <row r="1227">
      <c r="E1227" s="126"/>
    </row>
    <row r="1228">
      <c r="E1228" s="126"/>
    </row>
    <row r="1229">
      <c r="E1229" s="126"/>
    </row>
    <row r="1230">
      <c r="E1230" s="126"/>
    </row>
    <row r="1231">
      <c r="E1231" s="126"/>
    </row>
    <row r="1232">
      <c r="E1232" s="126"/>
    </row>
    <row r="1233">
      <c r="E1233" s="126"/>
    </row>
    <row r="1234">
      <c r="E1234" s="126"/>
    </row>
    <row r="1235">
      <c r="E1235" s="126"/>
    </row>
    <row r="1236">
      <c r="E1236" s="126"/>
    </row>
    <row r="1237">
      <c r="E1237" s="126"/>
    </row>
    <row r="1238">
      <c r="E1238" s="126"/>
    </row>
    <row r="1239">
      <c r="E1239" s="126"/>
    </row>
    <row r="1240">
      <c r="E1240" s="126"/>
    </row>
    <row r="1241">
      <c r="E1241" s="126"/>
    </row>
    <row r="1242">
      <c r="E1242" s="126"/>
    </row>
    <row r="1243">
      <c r="E1243" s="126"/>
    </row>
    <row r="1244">
      <c r="E1244" s="126"/>
    </row>
    <row r="1245">
      <c r="E1245" s="126"/>
    </row>
    <row r="1246">
      <c r="E1246" s="126"/>
    </row>
    <row r="1247">
      <c r="E1247" s="126"/>
    </row>
    <row r="1248">
      <c r="E1248" s="126"/>
    </row>
    <row r="1249">
      <c r="E1249" s="126"/>
    </row>
    <row r="1250">
      <c r="E1250" s="126"/>
    </row>
    <row r="1251">
      <c r="E1251" s="126"/>
    </row>
    <row r="1252">
      <c r="E1252" s="126"/>
    </row>
    <row r="1253">
      <c r="E1253" s="126"/>
    </row>
    <row r="1254">
      <c r="E1254" s="126"/>
    </row>
    <row r="1255">
      <c r="E1255" s="126"/>
    </row>
    <row r="1256">
      <c r="E1256" s="126"/>
    </row>
    <row r="1257">
      <c r="E1257" s="126"/>
    </row>
    <row r="1258">
      <c r="E1258" s="126"/>
    </row>
    <row r="1259">
      <c r="E1259" s="126"/>
    </row>
    <row r="1260">
      <c r="E1260" s="126"/>
    </row>
    <row r="1261">
      <c r="E1261" s="126"/>
    </row>
    <row r="1262">
      <c r="E1262" s="126"/>
    </row>
    <row r="1263">
      <c r="E1263" s="126"/>
    </row>
    <row r="1264">
      <c r="E1264" s="126"/>
    </row>
    <row r="1265">
      <c r="E1265" s="126"/>
    </row>
    <row r="1266">
      <c r="E1266" s="126"/>
    </row>
    <row r="1267">
      <c r="E1267" s="126"/>
    </row>
    <row r="1268">
      <c r="E1268" s="126"/>
    </row>
    <row r="1269">
      <c r="E1269" s="126"/>
    </row>
    <row r="1270">
      <c r="E1270" s="126"/>
    </row>
    <row r="1271">
      <c r="E1271" s="126"/>
    </row>
    <row r="1272">
      <c r="E1272" s="126"/>
    </row>
    <row r="1273">
      <c r="E1273" s="126"/>
    </row>
    <row r="1274">
      <c r="E1274" s="126"/>
    </row>
    <row r="1275">
      <c r="E1275" s="126"/>
    </row>
    <row r="1276">
      <c r="E1276" s="126"/>
    </row>
    <row r="1277">
      <c r="E1277" s="126"/>
    </row>
    <row r="1278">
      <c r="E1278" s="126"/>
    </row>
    <row r="1279">
      <c r="E1279" s="126"/>
    </row>
    <row r="1280">
      <c r="E1280" s="126"/>
    </row>
    <row r="1281">
      <c r="E1281" s="126"/>
    </row>
    <row r="1282">
      <c r="E1282" s="126"/>
    </row>
    <row r="1283">
      <c r="E1283" s="126"/>
    </row>
    <row r="1284">
      <c r="E1284" s="126"/>
    </row>
    <row r="1285">
      <c r="E1285" s="126"/>
    </row>
    <row r="1286">
      <c r="E1286" s="126"/>
    </row>
    <row r="1287">
      <c r="E1287" s="126"/>
    </row>
    <row r="1288">
      <c r="E1288" s="126"/>
    </row>
    <row r="1289">
      <c r="E1289" s="126"/>
    </row>
    <row r="1290">
      <c r="E1290" s="126"/>
    </row>
    <row r="1291">
      <c r="E1291" s="126"/>
    </row>
    <row r="1292">
      <c r="E1292" s="126"/>
    </row>
    <row r="1293">
      <c r="E1293" s="126"/>
    </row>
    <row r="1294">
      <c r="E1294" s="126"/>
    </row>
    <row r="1295">
      <c r="E1295" s="126"/>
    </row>
    <row r="1296">
      <c r="E1296" s="126"/>
    </row>
    <row r="1297">
      <c r="E1297" s="126"/>
    </row>
    <row r="1298">
      <c r="E1298" s="126"/>
    </row>
    <row r="1299">
      <c r="E1299" s="126"/>
    </row>
    <row r="1300">
      <c r="E1300" s="126"/>
    </row>
    <row r="1301">
      <c r="E1301" s="126"/>
    </row>
    <row r="1302">
      <c r="E1302" s="126"/>
    </row>
    <row r="1303">
      <c r="E1303" s="126"/>
    </row>
    <row r="1304">
      <c r="E1304" s="126"/>
    </row>
    <row r="1305">
      <c r="E1305" s="126"/>
    </row>
    <row r="1306">
      <c r="E1306" s="126"/>
    </row>
    <row r="1307">
      <c r="E1307" s="126"/>
    </row>
    <row r="1308">
      <c r="E1308" s="126"/>
    </row>
    <row r="1309">
      <c r="E1309" s="126"/>
    </row>
    <row r="1310">
      <c r="E1310" s="126"/>
    </row>
    <row r="1311">
      <c r="E1311" s="126"/>
    </row>
    <row r="1312">
      <c r="E1312" s="126"/>
    </row>
    <row r="1313">
      <c r="E1313" s="126"/>
    </row>
    <row r="1314">
      <c r="E1314" s="126"/>
    </row>
    <row r="1315">
      <c r="E1315" s="126"/>
    </row>
    <row r="1316">
      <c r="E1316" s="126"/>
    </row>
    <row r="1317">
      <c r="E1317" s="126"/>
    </row>
    <row r="1318">
      <c r="E1318" s="126"/>
    </row>
    <row r="1319">
      <c r="E1319" s="126"/>
    </row>
    <row r="1320">
      <c r="E1320" s="126"/>
    </row>
    <row r="1321">
      <c r="E1321" s="126"/>
    </row>
    <row r="1322">
      <c r="E1322" s="126"/>
    </row>
    <row r="1323">
      <c r="E1323" s="126"/>
    </row>
    <row r="1324">
      <c r="E1324" s="126"/>
    </row>
    <row r="1325">
      <c r="E1325" s="126"/>
    </row>
    <row r="1326">
      <c r="E1326" s="126"/>
    </row>
    <row r="1327">
      <c r="E1327" s="126"/>
    </row>
    <row r="1328">
      <c r="E1328" s="126"/>
    </row>
    <row r="1329">
      <c r="E1329" s="126"/>
    </row>
    <row r="1330">
      <c r="E1330" s="126"/>
    </row>
    <row r="1331">
      <c r="E1331" s="126"/>
    </row>
    <row r="1332">
      <c r="E1332" s="126"/>
    </row>
    <row r="1333">
      <c r="E1333" s="126"/>
    </row>
    <row r="1334">
      <c r="E1334" s="126"/>
    </row>
    <row r="1335">
      <c r="E1335" s="126"/>
    </row>
    <row r="1336">
      <c r="E1336" s="126"/>
    </row>
    <row r="1337">
      <c r="E1337" s="126"/>
    </row>
    <row r="1338">
      <c r="E1338" s="126"/>
    </row>
    <row r="1339">
      <c r="E1339" s="126"/>
    </row>
    <row r="1340">
      <c r="E1340" s="126"/>
    </row>
    <row r="1341">
      <c r="E1341" s="126"/>
    </row>
    <row r="1342">
      <c r="E1342" s="126"/>
    </row>
    <row r="1343">
      <c r="E1343" s="126"/>
    </row>
    <row r="1344">
      <c r="E1344" s="126"/>
    </row>
    <row r="1345">
      <c r="E1345" s="126"/>
    </row>
    <row r="1346">
      <c r="E1346" s="126"/>
    </row>
    <row r="1347">
      <c r="E1347" s="126"/>
    </row>
    <row r="1348">
      <c r="E1348" s="126"/>
    </row>
    <row r="1349">
      <c r="E1349" s="126"/>
    </row>
    <row r="1350">
      <c r="E1350" s="126"/>
    </row>
    <row r="1351">
      <c r="E1351" s="126"/>
    </row>
    <row r="1352">
      <c r="E1352" s="126"/>
    </row>
    <row r="1353">
      <c r="E1353" s="126"/>
    </row>
    <row r="1354">
      <c r="E1354" s="126"/>
    </row>
    <row r="1355">
      <c r="E1355" s="126"/>
    </row>
    <row r="1356">
      <c r="E1356" s="126"/>
    </row>
    <row r="1357">
      <c r="E1357" s="126"/>
    </row>
    <row r="1358">
      <c r="E1358" s="126"/>
    </row>
    <row r="1359">
      <c r="E1359" s="126"/>
    </row>
    <row r="1360">
      <c r="E1360" s="126"/>
    </row>
    <row r="1361">
      <c r="E1361" s="126"/>
    </row>
    <row r="1362">
      <c r="E1362" s="126"/>
    </row>
    <row r="1363">
      <c r="E1363" s="126"/>
    </row>
    <row r="1364">
      <c r="E1364" s="126"/>
    </row>
    <row r="1365">
      <c r="E1365" s="126"/>
    </row>
    <row r="1366">
      <c r="E1366" s="126"/>
    </row>
    <row r="1367">
      <c r="E1367" s="126"/>
    </row>
    <row r="1368">
      <c r="E1368" s="126"/>
    </row>
    <row r="1369">
      <c r="E1369" s="126"/>
    </row>
    <row r="1370">
      <c r="E1370" s="126"/>
    </row>
    <row r="1371">
      <c r="E1371" s="126"/>
    </row>
    <row r="1372">
      <c r="E1372" s="126"/>
    </row>
    <row r="1373">
      <c r="E1373" s="126"/>
    </row>
    <row r="1374">
      <c r="E1374" s="126"/>
    </row>
    <row r="1375">
      <c r="E1375" s="126"/>
    </row>
    <row r="1376">
      <c r="E1376" s="126"/>
    </row>
    <row r="1377">
      <c r="E1377" s="126"/>
    </row>
    <row r="1378">
      <c r="E1378" s="126"/>
    </row>
    <row r="1379">
      <c r="E1379" s="126"/>
    </row>
    <row r="1380">
      <c r="E1380" s="126"/>
    </row>
    <row r="1381">
      <c r="E1381" s="126"/>
    </row>
    <row r="1382">
      <c r="E1382" s="126"/>
    </row>
    <row r="1383">
      <c r="E1383" s="126"/>
    </row>
    <row r="1384">
      <c r="E1384" s="126"/>
    </row>
    <row r="1385">
      <c r="E1385" s="126"/>
    </row>
    <row r="1386">
      <c r="E1386" s="126"/>
    </row>
    <row r="1387">
      <c r="E1387" s="126"/>
    </row>
    <row r="1388">
      <c r="E1388" s="126"/>
    </row>
    <row r="1389">
      <c r="E1389" s="126"/>
    </row>
    <row r="1390">
      <c r="E1390" s="126"/>
    </row>
    <row r="1391">
      <c r="E1391" s="126"/>
    </row>
    <row r="1392">
      <c r="E1392" s="126"/>
    </row>
    <row r="1393">
      <c r="E1393" s="126"/>
    </row>
    <row r="1394">
      <c r="E1394" s="126"/>
    </row>
    <row r="1395">
      <c r="E1395" s="126"/>
    </row>
    <row r="1396">
      <c r="E1396" s="126"/>
    </row>
    <row r="1397">
      <c r="E1397" s="126"/>
    </row>
    <row r="1398">
      <c r="E1398" s="126"/>
    </row>
    <row r="1399">
      <c r="E1399" s="126"/>
    </row>
    <row r="1400">
      <c r="E1400" s="126"/>
    </row>
    <row r="1401">
      <c r="E1401" s="126"/>
    </row>
    <row r="1402">
      <c r="E1402" s="126"/>
    </row>
    <row r="1403">
      <c r="E1403" s="126"/>
    </row>
    <row r="1404">
      <c r="E1404" s="126"/>
    </row>
    <row r="1405">
      <c r="E1405" s="126"/>
    </row>
    <row r="1406">
      <c r="E1406" s="126"/>
    </row>
    <row r="1407">
      <c r="E1407" s="126"/>
    </row>
    <row r="1408">
      <c r="E1408" s="126"/>
    </row>
    <row r="1409">
      <c r="E1409" s="126"/>
    </row>
    <row r="1410">
      <c r="E1410" s="126"/>
    </row>
    <row r="1411">
      <c r="E1411" s="126"/>
    </row>
    <row r="1412">
      <c r="E1412" s="126"/>
    </row>
    <row r="1413">
      <c r="E1413" s="126"/>
    </row>
    <row r="1414">
      <c r="E1414" s="126"/>
    </row>
    <row r="1415">
      <c r="E1415" s="126"/>
    </row>
    <row r="1416">
      <c r="E1416" s="126"/>
    </row>
    <row r="1417">
      <c r="E1417" s="126"/>
    </row>
    <row r="1418">
      <c r="E1418" s="126"/>
    </row>
    <row r="1419">
      <c r="E1419" s="126"/>
    </row>
    <row r="1420">
      <c r="E1420" s="126"/>
    </row>
    <row r="1421">
      <c r="E1421" s="126"/>
    </row>
    <row r="1422">
      <c r="E1422" s="126"/>
    </row>
    <row r="1423">
      <c r="E1423" s="126"/>
    </row>
    <row r="1424">
      <c r="E1424" s="126"/>
    </row>
    <row r="1425">
      <c r="E1425" s="126"/>
    </row>
    <row r="1426">
      <c r="E1426" s="126"/>
    </row>
    <row r="1427">
      <c r="E1427" s="126"/>
    </row>
    <row r="1428">
      <c r="E1428" s="126"/>
    </row>
    <row r="1429">
      <c r="E1429" s="126"/>
    </row>
    <row r="1430">
      <c r="E1430" s="126"/>
    </row>
    <row r="1431">
      <c r="E1431" s="126"/>
    </row>
    <row r="1432">
      <c r="E1432" s="126"/>
    </row>
    <row r="1433">
      <c r="E1433" s="126"/>
    </row>
    <row r="1434">
      <c r="E1434" s="126"/>
    </row>
    <row r="1435">
      <c r="E1435" s="126"/>
    </row>
    <row r="1436">
      <c r="E1436" s="126"/>
    </row>
    <row r="1437">
      <c r="E1437" s="126"/>
    </row>
    <row r="1438">
      <c r="E1438" s="126"/>
    </row>
    <row r="1439">
      <c r="E1439" s="126"/>
    </row>
    <row r="1440">
      <c r="E1440" s="126"/>
    </row>
    <row r="1441">
      <c r="E1441" s="126"/>
    </row>
    <row r="1442">
      <c r="E1442" s="126"/>
    </row>
    <row r="1443">
      <c r="E1443" s="126"/>
    </row>
    <row r="1444">
      <c r="E1444" s="126"/>
    </row>
    <row r="1445">
      <c r="E1445" s="126"/>
    </row>
    <row r="1446">
      <c r="E1446" s="126"/>
    </row>
    <row r="1447">
      <c r="E1447" s="126"/>
    </row>
    <row r="1448">
      <c r="E1448" s="126"/>
    </row>
    <row r="1449">
      <c r="E1449" s="126"/>
    </row>
    <row r="1450">
      <c r="E1450" s="126"/>
    </row>
    <row r="1451">
      <c r="E1451" s="126"/>
    </row>
    <row r="1452">
      <c r="E1452" s="126"/>
    </row>
    <row r="1453">
      <c r="E1453" s="126"/>
    </row>
    <row r="1454">
      <c r="E1454" s="126"/>
    </row>
    <row r="1455">
      <c r="E1455" s="126"/>
    </row>
    <row r="1456">
      <c r="E1456" s="126"/>
    </row>
    <row r="1457">
      <c r="E1457" s="126"/>
    </row>
    <row r="1458">
      <c r="E1458" s="126"/>
    </row>
    <row r="1459">
      <c r="E1459" s="126"/>
    </row>
    <row r="1460">
      <c r="E1460" s="126"/>
    </row>
    <row r="1461">
      <c r="E1461" s="126"/>
    </row>
    <row r="1462">
      <c r="E1462" s="126"/>
    </row>
    <row r="1463">
      <c r="E1463" s="126"/>
    </row>
    <row r="1464">
      <c r="E1464" s="126"/>
    </row>
    <row r="1465">
      <c r="E1465" s="126"/>
    </row>
    <row r="1466">
      <c r="E1466" s="126"/>
    </row>
    <row r="1467">
      <c r="E1467" s="126"/>
    </row>
    <row r="1468">
      <c r="E1468" s="126"/>
    </row>
    <row r="1469">
      <c r="E1469" s="126"/>
    </row>
    <row r="1470">
      <c r="E1470" s="126"/>
    </row>
    <row r="1471">
      <c r="E1471" s="126"/>
    </row>
    <row r="1472">
      <c r="E1472" s="126"/>
    </row>
    <row r="1473">
      <c r="E1473" s="126"/>
    </row>
    <row r="1474">
      <c r="E1474" s="126"/>
    </row>
    <row r="1475">
      <c r="E1475" s="126"/>
    </row>
    <row r="1476">
      <c r="E1476" s="126"/>
    </row>
    <row r="1477">
      <c r="E1477" s="126"/>
    </row>
    <row r="1478">
      <c r="E1478" s="126"/>
    </row>
    <row r="1479">
      <c r="E1479" s="126"/>
    </row>
    <row r="1480">
      <c r="E1480" s="126"/>
    </row>
    <row r="1481">
      <c r="E1481" s="126"/>
    </row>
    <row r="1482">
      <c r="E1482" s="126"/>
    </row>
    <row r="1483">
      <c r="E1483" s="126"/>
    </row>
    <row r="1484">
      <c r="E1484" s="126"/>
    </row>
    <row r="1485">
      <c r="E1485" s="126"/>
    </row>
    <row r="1486">
      <c r="E1486" s="126"/>
    </row>
    <row r="1487">
      <c r="E1487" s="126"/>
    </row>
    <row r="1488">
      <c r="E1488" s="126"/>
    </row>
    <row r="1489">
      <c r="E1489" s="126"/>
    </row>
    <row r="1490">
      <c r="E1490" s="126"/>
    </row>
    <row r="1491">
      <c r="E1491" s="126"/>
    </row>
    <row r="1492">
      <c r="E1492" s="126"/>
    </row>
    <row r="1493">
      <c r="E1493" s="126"/>
    </row>
    <row r="1494">
      <c r="E1494" s="126"/>
    </row>
    <row r="1495">
      <c r="E1495" s="126"/>
    </row>
    <row r="1496">
      <c r="E1496" s="126"/>
    </row>
    <row r="1497">
      <c r="E1497" s="126"/>
    </row>
    <row r="1498">
      <c r="E1498" s="126"/>
    </row>
    <row r="1499">
      <c r="E1499" s="126"/>
    </row>
    <row r="1500">
      <c r="E1500" s="126"/>
    </row>
    <row r="1501">
      <c r="E1501" s="126"/>
    </row>
    <row r="1502">
      <c r="E1502" s="126"/>
    </row>
    <row r="1503">
      <c r="E1503" s="126"/>
    </row>
    <row r="1504">
      <c r="E1504" s="126"/>
    </row>
    <row r="1505">
      <c r="E1505" s="126"/>
    </row>
    <row r="1506">
      <c r="E1506" s="126"/>
    </row>
    <row r="1507">
      <c r="E1507" s="126"/>
    </row>
    <row r="1508">
      <c r="E1508" s="126"/>
    </row>
    <row r="1509">
      <c r="E1509" s="126"/>
    </row>
    <row r="1510">
      <c r="E1510" s="126"/>
    </row>
    <row r="1511">
      <c r="E1511" s="126"/>
    </row>
    <row r="1512">
      <c r="E1512" s="126"/>
    </row>
    <row r="1513">
      <c r="E1513" s="126"/>
    </row>
    <row r="1514">
      <c r="E1514" s="126"/>
    </row>
    <row r="1515">
      <c r="E1515" s="126"/>
    </row>
    <row r="1516">
      <c r="E1516" s="126"/>
    </row>
    <row r="1517">
      <c r="E1517" s="126"/>
    </row>
    <row r="1518">
      <c r="E1518" s="126"/>
    </row>
    <row r="1519">
      <c r="E1519" s="126"/>
    </row>
    <row r="1520">
      <c r="E1520" s="126"/>
    </row>
    <row r="1521">
      <c r="E1521" s="126"/>
    </row>
    <row r="1522">
      <c r="E1522" s="126"/>
    </row>
    <row r="1523">
      <c r="E1523" s="126"/>
    </row>
    <row r="1524">
      <c r="E1524" s="126"/>
    </row>
    <row r="1525">
      <c r="E1525" s="126"/>
    </row>
    <row r="1526">
      <c r="E1526" s="126"/>
    </row>
    <row r="1527">
      <c r="E1527" s="126"/>
    </row>
    <row r="1528">
      <c r="E1528" s="126"/>
    </row>
    <row r="1529">
      <c r="E1529" s="126"/>
    </row>
    <row r="1530">
      <c r="E1530" s="126"/>
    </row>
    <row r="1531">
      <c r="E1531" s="126"/>
    </row>
    <row r="1532">
      <c r="E1532" s="126"/>
    </row>
    <row r="1533">
      <c r="E1533" s="126"/>
    </row>
    <row r="1534">
      <c r="E1534" s="126"/>
    </row>
    <row r="1535">
      <c r="E1535" s="126"/>
    </row>
    <row r="1536">
      <c r="E1536" s="126"/>
    </row>
    <row r="1537">
      <c r="E1537" s="126"/>
    </row>
    <row r="1538">
      <c r="E1538" s="126"/>
    </row>
    <row r="1539">
      <c r="E1539" s="126"/>
    </row>
    <row r="1540">
      <c r="E1540" s="126"/>
    </row>
    <row r="1541">
      <c r="E1541" s="126"/>
    </row>
    <row r="1542">
      <c r="E1542" s="126"/>
    </row>
    <row r="1543">
      <c r="E1543" s="126"/>
    </row>
    <row r="1544">
      <c r="E1544" s="126"/>
    </row>
    <row r="1545">
      <c r="E1545" s="126"/>
    </row>
    <row r="1546">
      <c r="E1546" s="126"/>
    </row>
    <row r="1547">
      <c r="E1547" s="126"/>
    </row>
    <row r="1548">
      <c r="E1548" s="126"/>
    </row>
    <row r="1549">
      <c r="E1549" s="126"/>
    </row>
    <row r="1550">
      <c r="E1550" s="126"/>
    </row>
    <row r="1551">
      <c r="E1551" s="126"/>
    </row>
    <row r="1552">
      <c r="E1552" s="126"/>
    </row>
    <row r="1553">
      <c r="E1553" s="126"/>
    </row>
    <row r="1554">
      <c r="E1554" s="126"/>
    </row>
    <row r="1555">
      <c r="E1555" s="126"/>
    </row>
    <row r="1556">
      <c r="E1556" s="126"/>
    </row>
    <row r="1557">
      <c r="E1557" s="126"/>
    </row>
    <row r="1558">
      <c r="E1558" s="126"/>
    </row>
    <row r="1559">
      <c r="E1559" s="126"/>
    </row>
    <row r="1560">
      <c r="E1560" s="126"/>
    </row>
    <row r="1561">
      <c r="E1561" s="126"/>
    </row>
    <row r="1562">
      <c r="E1562" s="126"/>
    </row>
    <row r="1563">
      <c r="E1563" s="126"/>
    </row>
    <row r="1564">
      <c r="E1564" s="126"/>
    </row>
    <row r="1565">
      <c r="E1565" s="126"/>
    </row>
    <row r="1566">
      <c r="E1566" s="126"/>
    </row>
    <row r="1567">
      <c r="E1567" s="126"/>
    </row>
    <row r="1568">
      <c r="E1568" s="126"/>
    </row>
    <row r="1569">
      <c r="E1569" s="126"/>
    </row>
    <row r="1570">
      <c r="E1570" s="126"/>
    </row>
    <row r="1571">
      <c r="E1571" s="126"/>
    </row>
    <row r="1572">
      <c r="E1572" s="126"/>
    </row>
    <row r="1573">
      <c r="E1573" s="126"/>
    </row>
    <row r="1574">
      <c r="E1574" s="126"/>
    </row>
    <row r="1575">
      <c r="E1575" s="126"/>
    </row>
    <row r="1576">
      <c r="E1576" s="126"/>
    </row>
    <row r="1577">
      <c r="E1577" s="126"/>
    </row>
    <row r="1578">
      <c r="E1578" s="126"/>
    </row>
    <row r="1579">
      <c r="E1579" s="126"/>
    </row>
    <row r="1580">
      <c r="E1580" s="126"/>
    </row>
    <row r="1581">
      <c r="E1581" s="126"/>
    </row>
    <row r="1582">
      <c r="E1582" s="126"/>
    </row>
    <row r="1583">
      <c r="E1583" s="126"/>
    </row>
    <row r="1584">
      <c r="E1584" s="126"/>
    </row>
    <row r="1585">
      <c r="E1585" s="126"/>
    </row>
    <row r="1586">
      <c r="E1586" s="126"/>
    </row>
    <row r="1587">
      <c r="E1587" s="126"/>
    </row>
    <row r="1588">
      <c r="E1588" s="126"/>
    </row>
    <row r="1589">
      <c r="E1589" s="126"/>
    </row>
    <row r="1590">
      <c r="E1590" s="126"/>
    </row>
    <row r="1591">
      <c r="E1591" s="126"/>
    </row>
    <row r="1592">
      <c r="E1592" s="126"/>
    </row>
    <row r="1593">
      <c r="E1593" s="126"/>
    </row>
    <row r="1594">
      <c r="E1594" s="126"/>
    </row>
    <row r="1595">
      <c r="E1595" s="126"/>
    </row>
    <row r="1596">
      <c r="E1596" s="126"/>
    </row>
    <row r="1597">
      <c r="E1597" s="126"/>
    </row>
    <row r="1598">
      <c r="E1598" s="126"/>
    </row>
    <row r="1599">
      <c r="E1599" s="126"/>
    </row>
    <row r="1600">
      <c r="E1600" s="126"/>
    </row>
    <row r="1601">
      <c r="E1601" s="126"/>
    </row>
    <row r="1602">
      <c r="E1602" s="126"/>
    </row>
    <row r="1603">
      <c r="E1603" s="126"/>
    </row>
    <row r="1604">
      <c r="E1604" s="126"/>
    </row>
    <row r="1605">
      <c r="E1605" s="126"/>
    </row>
    <row r="1606">
      <c r="E1606" s="126"/>
    </row>
    <row r="1607">
      <c r="E1607" s="126"/>
    </row>
    <row r="1608">
      <c r="E1608" s="126"/>
    </row>
    <row r="1609">
      <c r="E1609" s="126"/>
    </row>
    <row r="1610">
      <c r="E1610" s="126"/>
    </row>
    <row r="1611">
      <c r="E1611" s="126"/>
    </row>
    <row r="1612">
      <c r="E1612" s="126"/>
    </row>
    <row r="1613">
      <c r="E1613" s="126"/>
    </row>
    <row r="1614">
      <c r="E1614" s="126"/>
    </row>
    <row r="1615">
      <c r="E1615" s="126"/>
    </row>
    <row r="1616">
      <c r="E1616" s="126"/>
    </row>
    <row r="1617">
      <c r="E1617" s="126"/>
    </row>
    <row r="1618">
      <c r="E1618" s="126"/>
    </row>
    <row r="1619">
      <c r="E1619" s="126"/>
    </row>
    <row r="1620">
      <c r="E1620" s="126"/>
    </row>
    <row r="1621">
      <c r="E1621" s="126"/>
    </row>
    <row r="1622">
      <c r="E1622" s="126"/>
    </row>
    <row r="1623">
      <c r="E1623" s="126"/>
    </row>
    <row r="1624">
      <c r="E1624" s="126"/>
    </row>
    <row r="1625">
      <c r="E1625" s="126"/>
    </row>
    <row r="1626">
      <c r="E1626" s="126"/>
    </row>
    <row r="1627">
      <c r="E1627" s="126"/>
    </row>
    <row r="1628">
      <c r="E1628" s="126"/>
    </row>
    <row r="1629">
      <c r="E1629" s="126"/>
    </row>
    <row r="1630">
      <c r="E1630" s="126"/>
    </row>
    <row r="1631">
      <c r="E1631" s="126"/>
    </row>
    <row r="1632">
      <c r="E1632" s="126"/>
    </row>
    <row r="1633">
      <c r="E1633" s="126"/>
    </row>
    <row r="1634">
      <c r="E1634" s="126"/>
    </row>
    <row r="1635">
      <c r="E1635" s="126"/>
    </row>
    <row r="1636">
      <c r="E1636" s="126"/>
    </row>
    <row r="1637">
      <c r="E1637" s="126"/>
    </row>
    <row r="1638">
      <c r="E1638" s="126"/>
    </row>
    <row r="1639">
      <c r="E1639" s="126"/>
    </row>
    <row r="1640">
      <c r="E1640" s="126"/>
    </row>
    <row r="1641">
      <c r="E1641" s="126"/>
    </row>
    <row r="1642">
      <c r="E1642" s="126"/>
    </row>
    <row r="1643">
      <c r="E1643" s="126"/>
    </row>
    <row r="1644">
      <c r="E1644" s="126"/>
    </row>
    <row r="1645">
      <c r="E1645" s="126"/>
    </row>
    <row r="1646">
      <c r="E1646" s="126"/>
    </row>
    <row r="1647">
      <c r="E1647" s="126"/>
    </row>
    <row r="1648">
      <c r="E1648" s="126"/>
    </row>
    <row r="1649">
      <c r="E1649" s="126"/>
    </row>
    <row r="1650">
      <c r="E1650" s="126"/>
    </row>
    <row r="1651">
      <c r="E1651" s="126"/>
    </row>
    <row r="1652">
      <c r="E1652" s="126"/>
    </row>
    <row r="1653">
      <c r="E1653" s="126"/>
    </row>
    <row r="1654">
      <c r="E1654" s="126"/>
    </row>
    <row r="1655">
      <c r="E1655" s="126"/>
    </row>
    <row r="1656">
      <c r="E1656" s="126"/>
    </row>
    <row r="1657">
      <c r="E1657" s="126"/>
    </row>
    <row r="1658">
      <c r="E1658" s="126"/>
    </row>
    <row r="1659">
      <c r="E1659" s="126"/>
    </row>
    <row r="1660">
      <c r="E1660" s="126"/>
    </row>
    <row r="1661">
      <c r="E1661" s="126"/>
    </row>
    <row r="1662">
      <c r="E1662" s="126"/>
    </row>
    <row r="1663">
      <c r="E1663" s="126"/>
    </row>
    <row r="1664">
      <c r="E1664" s="126"/>
    </row>
    <row r="1665">
      <c r="E1665" s="126"/>
    </row>
    <row r="1666">
      <c r="E1666" s="126"/>
    </row>
    <row r="1667">
      <c r="E1667" s="126"/>
    </row>
    <row r="1668">
      <c r="E1668" s="126"/>
    </row>
    <row r="1669">
      <c r="E1669" s="126"/>
    </row>
    <row r="1670">
      <c r="E1670" s="126"/>
    </row>
    <row r="1671">
      <c r="E1671" s="126"/>
    </row>
    <row r="1672">
      <c r="E1672" s="126"/>
    </row>
    <row r="1673">
      <c r="E1673" s="126"/>
    </row>
    <row r="1674">
      <c r="E1674" s="126"/>
    </row>
    <row r="1675">
      <c r="E1675" s="126"/>
    </row>
    <row r="1676">
      <c r="E1676" s="126"/>
    </row>
    <row r="1677">
      <c r="E1677" s="126"/>
    </row>
    <row r="1678">
      <c r="E1678" s="126"/>
    </row>
    <row r="1679">
      <c r="E1679" s="126"/>
    </row>
    <row r="1680">
      <c r="E1680" s="126"/>
    </row>
    <row r="1681">
      <c r="E1681" s="126"/>
    </row>
    <row r="1682">
      <c r="E1682" s="126"/>
    </row>
    <row r="1683">
      <c r="E1683" s="126"/>
    </row>
    <row r="1684">
      <c r="E1684" s="126"/>
    </row>
    <row r="1685">
      <c r="E1685" s="126"/>
    </row>
    <row r="1686">
      <c r="E1686" s="126"/>
    </row>
    <row r="1687">
      <c r="E1687" s="126"/>
    </row>
    <row r="1688">
      <c r="E1688" s="126"/>
    </row>
    <row r="1689">
      <c r="E1689" s="126"/>
    </row>
    <row r="1690">
      <c r="E1690" s="126"/>
    </row>
    <row r="1691">
      <c r="E1691" s="126"/>
    </row>
    <row r="1692">
      <c r="E1692" s="126"/>
    </row>
    <row r="1693">
      <c r="E1693" s="126"/>
    </row>
    <row r="1694">
      <c r="E1694" s="126"/>
    </row>
    <row r="1695">
      <c r="E1695" s="126"/>
    </row>
    <row r="1696">
      <c r="E1696" s="126"/>
    </row>
    <row r="1697">
      <c r="E1697" s="126"/>
    </row>
    <row r="1698">
      <c r="E1698" s="126"/>
    </row>
    <row r="1699">
      <c r="E1699" s="126"/>
    </row>
    <row r="1700">
      <c r="E1700" s="126"/>
    </row>
    <row r="1701">
      <c r="E1701" s="126"/>
    </row>
    <row r="1702">
      <c r="E1702" s="126"/>
    </row>
    <row r="1703">
      <c r="E1703" s="126"/>
    </row>
    <row r="1704">
      <c r="E1704" s="126"/>
    </row>
    <row r="1705">
      <c r="E1705" s="126"/>
    </row>
    <row r="1706">
      <c r="E1706" s="126"/>
    </row>
    <row r="1707">
      <c r="E1707" s="126"/>
    </row>
    <row r="1708">
      <c r="E1708" s="126"/>
    </row>
    <row r="1709">
      <c r="E1709" s="126"/>
    </row>
    <row r="1710">
      <c r="E1710" s="126"/>
    </row>
    <row r="1711">
      <c r="E1711" s="126"/>
    </row>
    <row r="1712">
      <c r="E1712" s="126"/>
    </row>
    <row r="1713">
      <c r="E1713" s="126"/>
    </row>
    <row r="1714">
      <c r="E1714" s="126"/>
    </row>
    <row r="1715">
      <c r="E1715" s="126"/>
    </row>
    <row r="1716">
      <c r="E1716" s="126"/>
    </row>
    <row r="1717">
      <c r="E1717" s="126"/>
    </row>
    <row r="1718">
      <c r="E1718" s="126"/>
    </row>
    <row r="1719">
      <c r="E1719" s="126"/>
    </row>
    <row r="1720">
      <c r="E1720" s="126"/>
    </row>
    <row r="1721">
      <c r="E1721" s="126"/>
    </row>
    <row r="1722">
      <c r="E1722" s="126"/>
    </row>
    <row r="1723">
      <c r="E1723" s="126"/>
    </row>
    <row r="1724">
      <c r="E1724" s="126"/>
    </row>
    <row r="1725">
      <c r="E1725" s="126"/>
    </row>
    <row r="1726">
      <c r="E1726" s="126"/>
    </row>
    <row r="1727">
      <c r="E1727" s="126"/>
    </row>
    <row r="1728">
      <c r="E1728" s="126"/>
    </row>
    <row r="1729">
      <c r="E1729" s="126"/>
    </row>
    <row r="1730">
      <c r="E1730" s="126"/>
    </row>
    <row r="1731">
      <c r="E1731" s="126"/>
    </row>
    <row r="1732">
      <c r="E1732" s="126"/>
    </row>
    <row r="1733">
      <c r="E1733" s="126"/>
    </row>
    <row r="1734">
      <c r="E1734" s="126"/>
    </row>
    <row r="1735">
      <c r="E1735" s="126"/>
    </row>
    <row r="1736">
      <c r="E1736" s="126"/>
    </row>
    <row r="1737">
      <c r="E1737" s="126"/>
    </row>
    <row r="1738">
      <c r="E1738" s="126"/>
    </row>
    <row r="1739">
      <c r="E1739" s="126"/>
    </row>
    <row r="1740">
      <c r="E1740" s="126"/>
    </row>
    <row r="1741">
      <c r="E1741" s="126"/>
    </row>
    <row r="1742">
      <c r="E1742" s="126"/>
    </row>
    <row r="1743">
      <c r="E1743" s="126"/>
    </row>
    <row r="1744">
      <c r="E1744" s="126"/>
    </row>
    <row r="1745">
      <c r="E1745" s="126"/>
    </row>
    <row r="1746">
      <c r="E1746" s="126"/>
    </row>
    <row r="1747">
      <c r="E1747" s="126"/>
    </row>
    <row r="1748">
      <c r="E1748" s="126"/>
    </row>
    <row r="1749">
      <c r="E1749" s="126"/>
    </row>
    <row r="1750">
      <c r="E1750" s="126"/>
    </row>
    <row r="1751">
      <c r="E1751" s="126"/>
    </row>
    <row r="1752">
      <c r="E1752" s="126"/>
    </row>
    <row r="1753">
      <c r="E1753" s="126"/>
    </row>
    <row r="1754">
      <c r="E1754" s="126"/>
    </row>
    <row r="1755">
      <c r="E1755" s="126"/>
    </row>
    <row r="1756">
      <c r="E1756" s="126"/>
    </row>
    <row r="1757">
      <c r="E1757" s="126"/>
    </row>
    <row r="1758">
      <c r="E1758" s="126"/>
    </row>
    <row r="1759">
      <c r="E1759" s="126"/>
    </row>
    <row r="1760">
      <c r="E1760" s="126"/>
    </row>
    <row r="1761">
      <c r="E1761" s="126"/>
    </row>
    <row r="1762">
      <c r="E1762" s="126"/>
    </row>
    <row r="1763">
      <c r="E1763" s="126"/>
    </row>
    <row r="1764">
      <c r="E1764" s="126"/>
    </row>
    <row r="1765">
      <c r="E1765" s="126"/>
    </row>
    <row r="1766">
      <c r="E1766" s="126"/>
    </row>
    <row r="1767">
      <c r="E1767" s="126"/>
    </row>
    <row r="1768">
      <c r="E1768" s="126"/>
    </row>
    <row r="1769">
      <c r="E1769" s="126"/>
    </row>
    <row r="1770">
      <c r="E1770" s="126"/>
    </row>
    <row r="1771">
      <c r="E1771" s="126"/>
    </row>
    <row r="1772">
      <c r="E1772" s="126"/>
    </row>
    <row r="1773">
      <c r="E1773" s="126"/>
    </row>
    <row r="1774">
      <c r="E1774" s="126"/>
    </row>
    <row r="1775">
      <c r="E1775" s="126"/>
    </row>
    <row r="1776">
      <c r="E1776" s="126"/>
    </row>
    <row r="1777">
      <c r="E1777" s="126"/>
    </row>
    <row r="1778">
      <c r="E1778" s="126"/>
    </row>
    <row r="1779">
      <c r="E1779" s="126"/>
    </row>
    <row r="1780">
      <c r="E1780" s="126"/>
    </row>
    <row r="1781">
      <c r="E1781" s="126"/>
    </row>
    <row r="1782">
      <c r="E1782" s="126"/>
    </row>
    <row r="1783">
      <c r="E1783" s="126"/>
    </row>
    <row r="1784">
      <c r="E1784" s="126"/>
    </row>
    <row r="1785">
      <c r="E1785" s="126"/>
    </row>
    <row r="1786">
      <c r="E1786" s="126"/>
    </row>
    <row r="1787">
      <c r="E1787" s="126"/>
    </row>
    <row r="1788">
      <c r="E1788" s="126"/>
      <c r="J1788" s="127"/>
      <c r="K1788" s="127"/>
    </row>
    <row r="1789">
      <c r="E1789" s="126"/>
    </row>
    <row r="1790">
      <c r="E1790" s="126"/>
    </row>
    <row r="1791">
      <c r="E1791" s="126"/>
    </row>
    <row r="1792">
      <c r="E1792" s="126"/>
    </row>
    <row r="1793">
      <c r="E1793" s="126"/>
    </row>
    <row r="1794">
      <c r="E1794" s="126"/>
    </row>
    <row r="1795">
      <c r="E1795" s="126"/>
    </row>
    <row r="1796">
      <c r="E1796" s="126"/>
    </row>
    <row r="1797">
      <c r="E1797" s="126"/>
    </row>
    <row r="1798">
      <c r="E1798" s="126"/>
    </row>
    <row r="1799">
      <c r="E1799" s="126"/>
    </row>
    <row r="1800">
      <c r="E1800" s="126"/>
    </row>
    <row r="1801">
      <c r="E1801" s="126"/>
    </row>
    <row r="1802">
      <c r="E1802" s="126"/>
    </row>
    <row r="1803">
      <c r="E1803" s="126"/>
    </row>
    <row r="1804">
      <c r="E1804" s="126"/>
    </row>
    <row r="1805">
      <c r="E1805" s="126"/>
    </row>
    <row r="1806">
      <c r="E1806" s="126"/>
    </row>
    <row r="1807">
      <c r="E1807" s="126"/>
    </row>
    <row r="1808">
      <c r="E1808" s="126"/>
    </row>
    <row r="1809">
      <c r="E1809" s="126"/>
    </row>
    <row r="1810">
      <c r="E1810" s="126"/>
    </row>
    <row r="1811">
      <c r="E1811" s="126"/>
    </row>
    <row r="1812">
      <c r="E1812" s="126"/>
    </row>
    <row r="1813">
      <c r="E1813" s="126"/>
    </row>
    <row r="1814">
      <c r="E1814" s="126"/>
    </row>
    <row r="1815">
      <c r="E1815" s="126"/>
    </row>
    <row r="1816">
      <c r="E1816" s="126"/>
    </row>
    <row r="1817">
      <c r="E1817" s="126"/>
    </row>
    <row r="1818">
      <c r="E1818" s="126"/>
    </row>
    <row r="1819">
      <c r="E1819" s="126"/>
    </row>
    <row r="1820">
      <c r="E1820" s="126"/>
    </row>
    <row r="1821">
      <c r="E1821" s="126"/>
    </row>
    <row r="1822">
      <c r="E1822" s="126"/>
    </row>
    <row r="1823">
      <c r="E1823" s="126"/>
    </row>
    <row r="1824">
      <c r="E1824" s="126"/>
    </row>
    <row r="1825">
      <c r="E1825" s="126"/>
    </row>
    <row r="1826">
      <c r="E1826" s="126"/>
    </row>
    <row r="1827">
      <c r="E1827" s="126"/>
    </row>
    <row r="1828">
      <c r="E1828" s="126"/>
    </row>
    <row r="1829">
      <c r="E1829" s="126"/>
    </row>
    <row r="1830">
      <c r="E1830" s="126"/>
    </row>
    <row r="1831">
      <c r="E1831" s="126"/>
    </row>
    <row r="1832">
      <c r="E1832" s="126"/>
    </row>
    <row r="1833">
      <c r="E1833" s="126"/>
    </row>
    <row r="1834">
      <c r="E1834" s="126"/>
    </row>
    <row r="1835">
      <c r="E1835" s="126"/>
    </row>
    <row r="1836">
      <c r="E1836" s="126"/>
    </row>
    <row r="1837">
      <c r="E1837" s="126"/>
    </row>
    <row r="1838">
      <c r="E1838" s="126"/>
    </row>
    <row r="1839">
      <c r="E1839" s="126"/>
    </row>
    <row r="1840">
      <c r="E1840" s="126"/>
    </row>
    <row r="1841">
      <c r="E1841" s="126"/>
    </row>
    <row r="1842">
      <c r="E1842" s="126"/>
    </row>
    <row r="1843">
      <c r="E1843" s="126"/>
    </row>
    <row r="1844">
      <c r="E1844" s="126"/>
    </row>
    <row r="1845">
      <c r="E1845" s="126"/>
    </row>
    <row r="1846">
      <c r="E1846" s="126"/>
    </row>
    <row r="1847">
      <c r="E1847" s="126"/>
    </row>
    <row r="1848">
      <c r="E1848" s="126"/>
    </row>
    <row r="1849">
      <c r="E1849" s="126"/>
    </row>
    <row r="1850">
      <c r="E1850" s="126"/>
    </row>
    <row r="1851">
      <c r="E1851" s="126"/>
    </row>
    <row r="1852">
      <c r="E1852" s="126"/>
    </row>
    <row r="1853">
      <c r="E1853" s="126"/>
    </row>
    <row r="1854">
      <c r="E1854" s="126"/>
    </row>
    <row r="1855">
      <c r="E1855" s="126"/>
    </row>
    <row r="1856">
      <c r="E1856" s="126"/>
    </row>
    <row r="1857">
      <c r="E1857" s="126"/>
    </row>
    <row r="1858">
      <c r="E1858" s="126"/>
    </row>
    <row r="1859">
      <c r="E1859" s="126"/>
    </row>
    <row r="1860">
      <c r="E1860" s="126"/>
    </row>
    <row r="1861">
      <c r="E1861" s="126"/>
    </row>
    <row r="1862">
      <c r="E1862" s="126"/>
    </row>
    <row r="1863">
      <c r="E1863" s="126"/>
    </row>
    <row r="1864">
      <c r="E1864" s="126"/>
    </row>
    <row r="1865">
      <c r="E1865" s="126"/>
    </row>
    <row r="1866">
      <c r="E1866" s="126"/>
    </row>
    <row r="1867">
      <c r="E1867" s="126"/>
    </row>
    <row r="1868">
      <c r="E1868" s="126"/>
    </row>
    <row r="1869">
      <c r="E1869" s="126"/>
    </row>
    <row r="1870">
      <c r="E1870" s="126"/>
    </row>
    <row r="1871">
      <c r="E1871" s="126"/>
    </row>
    <row r="1872">
      <c r="E1872" s="126"/>
    </row>
    <row r="1873">
      <c r="E1873" s="126"/>
    </row>
    <row r="1874">
      <c r="E1874" s="126"/>
    </row>
    <row r="1875">
      <c r="E1875" s="126"/>
    </row>
    <row r="1876">
      <c r="E1876" s="126"/>
    </row>
    <row r="1877">
      <c r="E1877" s="126"/>
    </row>
    <row r="1878">
      <c r="E1878" s="126"/>
    </row>
    <row r="1879">
      <c r="E1879" s="126"/>
    </row>
    <row r="1880">
      <c r="E1880" s="126"/>
    </row>
    <row r="1881">
      <c r="E1881" s="126"/>
    </row>
    <row r="1882">
      <c r="E1882" s="126"/>
    </row>
    <row r="1883">
      <c r="E1883" s="126"/>
    </row>
    <row r="1884">
      <c r="E1884" s="126"/>
    </row>
    <row r="1885">
      <c r="E1885" s="126"/>
    </row>
    <row r="1886">
      <c r="E1886" s="126"/>
    </row>
    <row r="1887">
      <c r="E1887" s="126"/>
    </row>
    <row r="1888">
      <c r="E1888" s="126"/>
    </row>
    <row r="1889">
      <c r="E1889" s="126"/>
    </row>
    <row r="1890">
      <c r="E1890" s="126"/>
    </row>
    <row r="1891">
      <c r="E1891" s="126"/>
    </row>
    <row r="1892">
      <c r="E1892" s="126"/>
    </row>
    <row r="1893">
      <c r="E1893" s="126"/>
    </row>
    <row r="1894">
      <c r="E1894" s="126"/>
    </row>
    <row r="1895">
      <c r="E1895" s="126"/>
    </row>
    <row r="1896">
      <c r="E1896" s="126"/>
    </row>
    <row r="1897">
      <c r="E1897" s="126"/>
    </row>
    <row r="1898">
      <c r="E1898" s="126"/>
    </row>
    <row r="1899">
      <c r="E1899" s="126"/>
    </row>
    <row r="1900">
      <c r="E1900" s="126"/>
    </row>
    <row r="1901">
      <c r="E1901" s="126"/>
    </row>
    <row r="1902">
      <c r="E1902" s="126"/>
    </row>
    <row r="1903">
      <c r="E1903" s="126"/>
    </row>
    <row r="1904">
      <c r="E1904" s="126"/>
    </row>
    <row r="1905">
      <c r="E1905" s="126"/>
    </row>
    <row r="1906">
      <c r="E1906" s="126"/>
    </row>
    <row r="1907">
      <c r="E1907" s="126"/>
    </row>
    <row r="1908">
      <c r="E1908" s="126"/>
    </row>
    <row r="1909">
      <c r="E1909" s="126"/>
    </row>
    <row r="1910">
      <c r="E1910" s="126"/>
    </row>
    <row r="1911">
      <c r="E1911" s="126"/>
    </row>
    <row r="1912">
      <c r="E1912" s="126"/>
    </row>
    <row r="1913">
      <c r="E1913" s="126"/>
    </row>
    <row r="1914">
      <c r="E1914" s="126"/>
    </row>
    <row r="1915">
      <c r="E1915" s="126"/>
    </row>
    <row r="1916">
      <c r="E1916" s="126"/>
    </row>
    <row r="1917">
      <c r="E1917" s="126"/>
    </row>
    <row r="1918">
      <c r="E1918" s="126"/>
    </row>
    <row r="1919">
      <c r="E1919" s="126"/>
    </row>
    <row r="1920">
      <c r="E1920" s="126"/>
    </row>
    <row r="1921">
      <c r="E1921" s="126"/>
    </row>
    <row r="1922">
      <c r="E1922" s="126"/>
    </row>
    <row r="1923">
      <c r="E1923" s="126"/>
    </row>
    <row r="1924">
      <c r="E1924" s="126"/>
    </row>
    <row r="1925">
      <c r="E1925" s="126"/>
    </row>
    <row r="1926">
      <c r="E1926" s="126"/>
    </row>
    <row r="1927">
      <c r="E1927" s="126"/>
    </row>
    <row r="1928">
      <c r="E1928" s="126"/>
    </row>
    <row r="1929">
      <c r="E1929" s="126"/>
    </row>
    <row r="1930">
      <c r="E1930" s="126"/>
    </row>
    <row r="1931">
      <c r="E1931" s="126"/>
    </row>
    <row r="1932">
      <c r="E1932" s="126"/>
    </row>
    <row r="1933">
      <c r="E1933" s="126"/>
    </row>
    <row r="1934">
      <c r="E1934" s="126"/>
    </row>
    <row r="1935">
      <c r="E1935" s="126"/>
    </row>
    <row r="1936">
      <c r="E1936" s="126"/>
    </row>
    <row r="1937">
      <c r="E1937" s="126"/>
    </row>
    <row r="1938">
      <c r="E1938" s="126"/>
    </row>
    <row r="1939">
      <c r="E1939" s="126"/>
    </row>
    <row r="1940">
      <c r="E1940" s="126"/>
    </row>
    <row r="1941">
      <c r="E1941" s="126"/>
    </row>
    <row r="1942">
      <c r="E1942" s="126"/>
    </row>
    <row r="1943">
      <c r="E1943" s="126"/>
    </row>
    <row r="1944">
      <c r="E1944" s="126"/>
    </row>
    <row r="1945">
      <c r="E1945" s="126"/>
    </row>
    <row r="1946">
      <c r="E1946" s="126"/>
    </row>
    <row r="1947">
      <c r="E1947" s="126"/>
    </row>
    <row r="1948">
      <c r="E1948" s="126"/>
    </row>
    <row r="1949">
      <c r="E1949" s="126"/>
    </row>
    <row r="1950">
      <c r="E1950" s="126"/>
    </row>
    <row r="1951">
      <c r="E1951" s="126"/>
    </row>
    <row r="1952">
      <c r="E1952" s="126"/>
    </row>
    <row r="1953">
      <c r="E1953" s="126"/>
    </row>
    <row r="1954">
      <c r="E1954" s="126"/>
    </row>
    <row r="1955">
      <c r="E1955" s="126"/>
    </row>
    <row r="1956">
      <c r="E1956" s="126"/>
    </row>
    <row r="1957">
      <c r="E1957" s="126"/>
    </row>
    <row r="1958">
      <c r="E1958" s="126"/>
    </row>
    <row r="1959">
      <c r="E1959" s="126"/>
    </row>
    <row r="1960">
      <c r="E1960" s="126"/>
    </row>
    <row r="1961">
      <c r="E1961" s="126"/>
    </row>
    <row r="1962">
      <c r="E1962" s="126"/>
    </row>
    <row r="1963">
      <c r="E1963" s="126"/>
    </row>
    <row r="1964">
      <c r="E1964" s="126"/>
    </row>
    <row r="1965">
      <c r="E1965" s="126"/>
    </row>
    <row r="1966">
      <c r="E1966" s="126"/>
    </row>
    <row r="1967">
      <c r="E1967" s="126"/>
    </row>
    <row r="1968">
      <c r="E1968" s="126"/>
    </row>
    <row r="1969">
      <c r="E1969" s="126"/>
    </row>
    <row r="1970">
      <c r="E1970" s="126"/>
    </row>
    <row r="1971">
      <c r="E1971" s="126"/>
    </row>
    <row r="1972">
      <c r="E1972" s="126"/>
    </row>
    <row r="1973">
      <c r="E1973" s="126"/>
    </row>
    <row r="1974">
      <c r="E1974" s="126"/>
    </row>
    <row r="1975">
      <c r="E1975" s="126"/>
    </row>
    <row r="1976">
      <c r="E1976" s="126"/>
    </row>
    <row r="1977">
      <c r="E1977" s="126"/>
    </row>
    <row r="1978">
      <c r="E1978" s="126"/>
    </row>
    <row r="1979">
      <c r="E1979" s="126"/>
    </row>
    <row r="1980">
      <c r="E1980" s="126"/>
    </row>
    <row r="1981">
      <c r="E1981" s="126"/>
    </row>
    <row r="1982">
      <c r="E1982" s="126"/>
    </row>
    <row r="1983">
      <c r="E1983" s="126"/>
    </row>
    <row r="1984">
      <c r="E1984" s="126"/>
    </row>
    <row r="1985">
      <c r="E1985" s="126"/>
    </row>
    <row r="1986">
      <c r="E1986" s="126"/>
    </row>
    <row r="1987">
      <c r="E1987" s="126"/>
    </row>
    <row r="1988">
      <c r="E1988" s="126"/>
    </row>
    <row r="1989">
      <c r="E1989" s="126"/>
    </row>
    <row r="1990">
      <c r="E1990" s="126"/>
    </row>
    <row r="1991">
      <c r="E1991" s="126"/>
    </row>
    <row r="1992">
      <c r="E1992" s="126"/>
    </row>
    <row r="1993">
      <c r="E1993" s="126"/>
    </row>
    <row r="1994">
      <c r="E1994" s="126"/>
    </row>
    <row r="1995">
      <c r="E1995" s="126"/>
    </row>
    <row r="1996">
      <c r="E1996" s="126"/>
    </row>
    <row r="1997">
      <c r="E1997" s="126"/>
    </row>
    <row r="1998">
      <c r="E1998" s="126"/>
    </row>
    <row r="1999">
      <c r="E1999" s="126"/>
    </row>
    <row r="2000">
      <c r="E2000" s="126"/>
    </row>
    <row r="2001">
      <c r="E2001" s="126"/>
    </row>
    <row r="2002">
      <c r="E2002" s="126"/>
    </row>
    <row r="2003">
      <c r="E2003" s="126"/>
    </row>
    <row r="2004">
      <c r="E2004" s="126"/>
    </row>
    <row r="2005">
      <c r="E2005" s="126"/>
    </row>
    <row r="2006">
      <c r="E2006" s="126"/>
    </row>
    <row r="2007">
      <c r="E2007" s="126"/>
    </row>
    <row r="2008">
      <c r="E2008" s="126"/>
    </row>
    <row r="2009">
      <c r="E2009" s="126"/>
    </row>
    <row r="2010">
      <c r="E2010" s="126"/>
    </row>
    <row r="2011">
      <c r="E2011" s="126"/>
    </row>
    <row r="2012">
      <c r="E2012" s="126"/>
    </row>
    <row r="2013">
      <c r="E2013" s="126"/>
    </row>
    <row r="2014">
      <c r="E2014" s="126"/>
    </row>
    <row r="2015">
      <c r="E2015" s="126"/>
    </row>
    <row r="2016">
      <c r="E2016" s="126"/>
    </row>
    <row r="2017">
      <c r="E2017" s="126"/>
    </row>
    <row r="2018">
      <c r="E2018" s="126"/>
    </row>
    <row r="2019">
      <c r="E2019" s="126"/>
    </row>
    <row r="2020">
      <c r="E2020" s="126"/>
    </row>
    <row r="2021">
      <c r="E2021" s="126"/>
    </row>
    <row r="2022">
      <c r="E2022" s="126"/>
    </row>
    <row r="2023">
      <c r="E2023" s="126"/>
    </row>
    <row r="2024">
      <c r="E2024" s="126"/>
    </row>
    <row r="2025">
      <c r="E2025" s="126"/>
    </row>
    <row r="2026">
      <c r="E2026" s="126"/>
    </row>
    <row r="2027">
      <c r="E2027" s="126"/>
    </row>
    <row r="2028">
      <c r="E2028" s="126"/>
    </row>
    <row r="2029">
      <c r="E2029" s="126"/>
    </row>
    <row r="2030">
      <c r="E2030" s="126"/>
    </row>
    <row r="2031">
      <c r="E2031" s="126"/>
    </row>
    <row r="2032">
      <c r="E2032" s="126"/>
    </row>
    <row r="2033">
      <c r="E2033" s="126"/>
    </row>
    <row r="2034">
      <c r="E2034" s="126"/>
    </row>
    <row r="2035">
      <c r="E2035" s="126"/>
    </row>
    <row r="2036">
      <c r="E2036" s="126"/>
    </row>
    <row r="2037">
      <c r="E2037" s="126"/>
    </row>
    <row r="2038">
      <c r="E2038" s="126"/>
    </row>
    <row r="2039">
      <c r="E2039" s="126"/>
    </row>
    <row r="2040">
      <c r="E2040" s="126"/>
    </row>
    <row r="2041">
      <c r="E2041" s="126"/>
    </row>
    <row r="2042">
      <c r="E2042" s="126"/>
    </row>
    <row r="2043">
      <c r="E2043" s="126"/>
    </row>
    <row r="2044">
      <c r="E2044" s="126"/>
    </row>
    <row r="2045">
      <c r="E2045" s="126"/>
    </row>
    <row r="2046">
      <c r="E2046" s="126"/>
    </row>
    <row r="2047">
      <c r="E2047" s="126"/>
    </row>
    <row r="2048">
      <c r="E2048" s="126"/>
    </row>
    <row r="2049">
      <c r="E2049" s="126"/>
    </row>
    <row r="2050">
      <c r="E2050" s="126"/>
    </row>
    <row r="2051">
      <c r="E2051" s="126"/>
    </row>
    <row r="2052">
      <c r="E2052" s="126"/>
    </row>
    <row r="2053">
      <c r="E2053" s="126"/>
    </row>
    <row r="2054">
      <c r="E2054" s="126"/>
    </row>
    <row r="2055">
      <c r="E2055" s="126"/>
    </row>
    <row r="2056">
      <c r="E2056" s="126"/>
    </row>
    <row r="2057">
      <c r="E2057" s="126"/>
    </row>
    <row r="2058">
      <c r="E2058" s="126"/>
    </row>
    <row r="2059">
      <c r="E2059" s="126"/>
    </row>
    <row r="2060">
      <c r="E2060" s="126"/>
    </row>
    <row r="2061">
      <c r="E2061" s="126"/>
    </row>
    <row r="2062">
      <c r="E2062" s="126"/>
    </row>
    <row r="2063">
      <c r="E2063" s="126"/>
    </row>
    <row r="2064">
      <c r="E2064" s="126"/>
    </row>
    <row r="2065">
      <c r="E2065" s="126"/>
    </row>
    <row r="2066">
      <c r="E2066" s="126"/>
    </row>
    <row r="2067">
      <c r="E2067" s="126"/>
    </row>
    <row r="2068">
      <c r="E2068" s="126"/>
    </row>
    <row r="2069">
      <c r="E2069" s="126"/>
    </row>
    <row r="2070">
      <c r="E2070" s="126"/>
    </row>
    <row r="2071">
      <c r="E2071" s="126"/>
    </row>
    <row r="2072">
      <c r="E2072" s="126"/>
    </row>
    <row r="2073">
      <c r="E2073" s="126"/>
    </row>
    <row r="2074">
      <c r="E2074" s="126"/>
    </row>
    <row r="2075">
      <c r="E2075" s="126"/>
    </row>
    <row r="2076">
      <c r="E2076" s="126"/>
    </row>
    <row r="2077">
      <c r="E2077" s="126"/>
    </row>
    <row r="2078">
      <c r="E2078" s="126"/>
    </row>
    <row r="2079">
      <c r="E2079" s="126"/>
    </row>
    <row r="2080">
      <c r="E2080" s="126"/>
    </row>
    <row r="2081">
      <c r="E2081" s="126"/>
    </row>
    <row r="2082">
      <c r="E2082" s="126"/>
    </row>
    <row r="2083">
      <c r="E2083" s="126"/>
    </row>
    <row r="2084">
      <c r="E2084" s="126"/>
    </row>
    <row r="2085">
      <c r="E2085" s="126"/>
    </row>
    <row r="2086">
      <c r="E2086" s="126"/>
    </row>
    <row r="2087">
      <c r="E2087" s="126"/>
    </row>
    <row r="2088">
      <c r="E2088" s="126"/>
    </row>
    <row r="2089">
      <c r="E2089" s="126"/>
    </row>
    <row r="2090">
      <c r="E2090" s="126"/>
    </row>
    <row r="2091">
      <c r="E2091" s="126"/>
    </row>
    <row r="2092">
      <c r="E2092" s="126"/>
    </row>
    <row r="2093">
      <c r="E2093" s="126"/>
    </row>
    <row r="2094">
      <c r="E2094" s="126"/>
    </row>
    <row r="2095">
      <c r="E2095" s="126"/>
    </row>
    <row r="2096">
      <c r="E2096" s="126"/>
    </row>
    <row r="2097">
      <c r="E2097" s="126"/>
    </row>
    <row r="2098">
      <c r="E2098" s="126"/>
    </row>
    <row r="2099">
      <c r="E2099" s="126"/>
    </row>
    <row r="2100">
      <c r="E2100" s="126"/>
    </row>
    <row r="2101">
      <c r="E2101" s="126"/>
    </row>
    <row r="2102">
      <c r="E2102" s="126"/>
    </row>
    <row r="2103">
      <c r="E2103" s="126"/>
    </row>
    <row r="2104">
      <c r="E2104" s="126"/>
    </row>
    <row r="2105">
      <c r="E2105" s="126"/>
    </row>
    <row r="2106">
      <c r="E2106" s="126"/>
    </row>
    <row r="2107">
      <c r="E2107" s="126"/>
    </row>
    <row r="2108">
      <c r="E2108" s="126"/>
    </row>
    <row r="2109">
      <c r="E2109" s="126"/>
    </row>
    <row r="2110">
      <c r="E2110" s="126"/>
    </row>
    <row r="2111">
      <c r="E2111" s="126"/>
    </row>
    <row r="2112">
      <c r="E2112" s="126"/>
    </row>
    <row r="2113">
      <c r="E2113" s="126"/>
    </row>
    <row r="2114">
      <c r="E2114" s="126"/>
    </row>
    <row r="2115">
      <c r="E2115" s="126"/>
    </row>
    <row r="2116">
      <c r="E2116" s="126"/>
    </row>
    <row r="2117">
      <c r="E2117" s="126"/>
    </row>
    <row r="2118">
      <c r="E2118" s="126"/>
    </row>
    <row r="2119">
      <c r="E2119" s="126"/>
    </row>
    <row r="2120">
      <c r="E2120" s="126"/>
    </row>
    <row r="2121">
      <c r="E2121" s="126"/>
    </row>
    <row r="2122">
      <c r="E2122" s="126"/>
    </row>
    <row r="2123">
      <c r="E2123" s="126"/>
    </row>
    <row r="2124">
      <c r="E2124" s="126"/>
    </row>
    <row r="2125">
      <c r="E2125" s="126"/>
    </row>
    <row r="2126">
      <c r="E2126" s="126"/>
    </row>
    <row r="2127">
      <c r="E2127" s="126"/>
    </row>
    <row r="2128">
      <c r="E2128" s="126"/>
    </row>
    <row r="2129">
      <c r="E2129" s="126"/>
    </row>
    <row r="2130">
      <c r="E2130" s="126"/>
    </row>
    <row r="2131">
      <c r="E2131" s="126"/>
    </row>
    <row r="2132">
      <c r="E2132" s="126"/>
    </row>
    <row r="2133">
      <c r="E2133" s="126"/>
    </row>
    <row r="2134">
      <c r="E2134" s="126"/>
    </row>
    <row r="2135">
      <c r="E2135" s="126"/>
    </row>
    <row r="2136">
      <c r="E2136" s="126"/>
    </row>
    <row r="2137">
      <c r="E2137" s="126"/>
    </row>
    <row r="2138">
      <c r="E2138" s="126"/>
    </row>
    <row r="2139">
      <c r="E2139" s="126"/>
    </row>
    <row r="2140">
      <c r="E2140" s="126"/>
    </row>
    <row r="2141">
      <c r="E2141" s="126"/>
    </row>
    <row r="2142">
      <c r="E2142" s="126"/>
    </row>
    <row r="2143">
      <c r="E2143" s="126"/>
    </row>
    <row r="2144">
      <c r="E2144" s="126"/>
    </row>
    <row r="2145">
      <c r="E2145" s="126"/>
    </row>
    <row r="2146">
      <c r="E2146" s="126"/>
    </row>
    <row r="2147">
      <c r="E2147" s="126"/>
    </row>
    <row r="2148">
      <c r="E2148" s="126"/>
    </row>
    <row r="2149">
      <c r="E2149" s="126"/>
    </row>
    <row r="2150">
      <c r="E2150" s="126"/>
    </row>
    <row r="2151">
      <c r="E2151" s="126"/>
    </row>
    <row r="2152">
      <c r="E2152" s="126"/>
    </row>
    <row r="2153">
      <c r="E2153" s="126"/>
    </row>
    <row r="2154">
      <c r="E2154" s="126"/>
    </row>
    <row r="2155">
      <c r="E2155" s="126"/>
    </row>
    <row r="2156">
      <c r="E2156" s="126"/>
    </row>
    <row r="2157">
      <c r="E2157" s="126"/>
    </row>
    <row r="2158">
      <c r="E2158" s="126"/>
    </row>
    <row r="2159">
      <c r="E2159" s="126"/>
    </row>
    <row r="2160">
      <c r="E2160" s="126"/>
    </row>
    <row r="2161">
      <c r="E2161" s="126"/>
    </row>
    <row r="2162">
      <c r="E2162" s="126"/>
    </row>
    <row r="2163">
      <c r="E2163" s="126"/>
    </row>
    <row r="2164">
      <c r="E2164" s="126"/>
    </row>
    <row r="2165">
      <c r="E2165" s="126"/>
    </row>
    <row r="2166">
      <c r="E2166" s="126"/>
    </row>
    <row r="2167">
      <c r="E2167" s="126"/>
    </row>
    <row r="2168">
      <c r="E2168" s="126"/>
    </row>
    <row r="2169">
      <c r="E2169" s="126"/>
    </row>
    <row r="2170">
      <c r="E2170" s="126"/>
    </row>
    <row r="2171">
      <c r="E2171" s="126"/>
    </row>
    <row r="2172">
      <c r="E2172" s="126"/>
    </row>
    <row r="2173">
      <c r="E2173" s="126"/>
    </row>
    <row r="2174">
      <c r="E2174" s="126"/>
    </row>
    <row r="2175">
      <c r="E2175" s="126"/>
    </row>
    <row r="2176">
      <c r="E2176" s="126"/>
    </row>
    <row r="2177">
      <c r="E2177" s="126"/>
    </row>
    <row r="2178">
      <c r="E2178" s="126"/>
    </row>
    <row r="2179">
      <c r="E2179" s="126"/>
    </row>
    <row r="2180">
      <c r="E2180" s="126"/>
    </row>
    <row r="2181">
      <c r="E2181" s="126"/>
    </row>
    <row r="2182">
      <c r="E2182" s="126"/>
    </row>
    <row r="2183">
      <c r="E2183" s="126"/>
    </row>
    <row r="2184">
      <c r="E2184" s="126"/>
    </row>
    <row r="2185">
      <c r="E2185" s="126"/>
    </row>
    <row r="2186">
      <c r="E2186" s="126"/>
    </row>
    <row r="2187">
      <c r="E2187" s="126"/>
    </row>
    <row r="2188">
      <c r="E2188" s="126"/>
    </row>
    <row r="2189">
      <c r="E2189" s="126"/>
    </row>
    <row r="2190">
      <c r="E2190" s="126"/>
    </row>
    <row r="2191">
      <c r="E2191" s="126"/>
    </row>
    <row r="2192">
      <c r="E2192" s="126"/>
    </row>
    <row r="2193">
      <c r="E2193" s="126"/>
    </row>
    <row r="2194">
      <c r="E2194" s="126"/>
    </row>
    <row r="2195">
      <c r="E2195" s="126"/>
    </row>
    <row r="2196">
      <c r="E2196" s="126"/>
    </row>
    <row r="2197">
      <c r="E2197" s="126"/>
    </row>
    <row r="2198">
      <c r="E2198" s="126"/>
    </row>
    <row r="2199">
      <c r="E2199" s="126"/>
    </row>
    <row r="2200">
      <c r="E2200" s="126"/>
    </row>
    <row r="2201">
      <c r="E2201" s="126"/>
    </row>
    <row r="2202">
      <c r="E2202" s="126"/>
    </row>
    <row r="2203">
      <c r="E2203" s="126"/>
    </row>
    <row r="2204">
      <c r="E2204" s="126"/>
    </row>
    <row r="2205">
      <c r="E2205" s="126"/>
    </row>
    <row r="2206">
      <c r="E2206" s="126"/>
    </row>
    <row r="2207">
      <c r="E2207" s="126"/>
    </row>
    <row r="2208">
      <c r="E2208" s="126"/>
    </row>
    <row r="2209">
      <c r="E2209" s="126"/>
    </row>
    <row r="2210">
      <c r="E2210" s="126"/>
    </row>
    <row r="2211">
      <c r="E2211" s="126"/>
    </row>
    <row r="2212">
      <c r="E2212" s="126"/>
    </row>
    <row r="2213">
      <c r="E2213" s="126"/>
    </row>
    <row r="2214">
      <c r="E2214" s="126"/>
    </row>
    <row r="2215">
      <c r="E2215" s="126"/>
    </row>
    <row r="2216">
      <c r="E2216" s="126"/>
    </row>
    <row r="2217">
      <c r="E2217" s="126"/>
    </row>
    <row r="2218">
      <c r="E2218" s="126"/>
    </row>
    <row r="2219">
      <c r="E2219" s="126"/>
    </row>
    <row r="2220">
      <c r="E2220" s="126"/>
    </row>
    <row r="2221">
      <c r="E2221" s="126"/>
    </row>
    <row r="2222">
      <c r="E2222" s="126"/>
    </row>
    <row r="2223">
      <c r="E2223" s="126"/>
    </row>
    <row r="2224">
      <c r="E2224" s="126"/>
    </row>
    <row r="2225">
      <c r="E2225" s="126"/>
    </row>
    <row r="2226">
      <c r="E2226" s="126"/>
    </row>
    <row r="2227">
      <c r="E2227" s="126"/>
    </row>
    <row r="2228">
      <c r="E2228" s="126"/>
    </row>
    <row r="2229">
      <c r="E2229" s="126"/>
    </row>
    <row r="2230">
      <c r="E2230" s="126"/>
    </row>
    <row r="2231">
      <c r="E2231" s="126"/>
    </row>
    <row r="2232">
      <c r="E2232" s="126"/>
    </row>
    <row r="2233">
      <c r="E2233" s="126"/>
    </row>
    <row r="2234">
      <c r="E2234" s="126"/>
    </row>
    <row r="2235">
      <c r="E2235" s="126"/>
    </row>
    <row r="2236">
      <c r="E2236" s="126"/>
    </row>
    <row r="2237">
      <c r="E2237" s="126"/>
    </row>
    <row r="2238">
      <c r="E2238" s="126"/>
    </row>
    <row r="2239">
      <c r="E2239" s="126"/>
    </row>
    <row r="2240">
      <c r="E2240" s="126"/>
    </row>
    <row r="2241">
      <c r="E2241" s="126"/>
    </row>
    <row r="2242">
      <c r="E2242" s="126"/>
    </row>
    <row r="2243">
      <c r="E2243" s="126"/>
    </row>
    <row r="2244">
      <c r="E2244" s="126"/>
    </row>
    <row r="2245">
      <c r="E2245" s="126"/>
    </row>
    <row r="2246">
      <c r="E2246" s="126"/>
    </row>
    <row r="2247">
      <c r="E2247" s="126"/>
    </row>
    <row r="2248">
      <c r="E2248" s="126"/>
    </row>
    <row r="2249">
      <c r="E2249" s="126"/>
    </row>
    <row r="2250">
      <c r="E2250" s="126"/>
    </row>
    <row r="2251">
      <c r="E2251" s="126"/>
    </row>
    <row r="2252">
      <c r="E2252" s="126"/>
    </row>
    <row r="2253">
      <c r="E2253" s="126"/>
    </row>
    <row r="2254">
      <c r="E2254" s="126"/>
    </row>
    <row r="2255">
      <c r="E2255" s="126"/>
    </row>
    <row r="2256">
      <c r="E2256" s="126"/>
    </row>
    <row r="2257">
      <c r="E2257" s="126"/>
    </row>
    <row r="2258">
      <c r="E2258" s="126"/>
    </row>
    <row r="2259">
      <c r="E2259" s="126"/>
    </row>
    <row r="2260">
      <c r="E2260" s="126"/>
    </row>
    <row r="2261">
      <c r="E2261" s="126"/>
    </row>
    <row r="2262">
      <c r="E2262" s="126"/>
    </row>
    <row r="2263">
      <c r="E2263" s="126"/>
    </row>
    <row r="2264">
      <c r="E2264" s="126"/>
    </row>
    <row r="2265">
      <c r="E2265" s="126"/>
    </row>
    <row r="2266">
      <c r="E2266" s="126"/>
    </row>
    <row r="2267">
      <c r="E2267" s="126"/>
    </row>
    <row r="2268">
      <c r="E2268" s="126"/>
    </row>
    <row r="2269">
      <c r="E2269" s="126"/>
    </row>
    <row r="2270">
      <c r="E2270" s="126"/>
    </row>
    <row r="2271">
      <c r="E2271" s="126"/>
    </row>
    <row r="2272">
      <c r="E2272" s="126"/>
    </row>
    <row r="2273">
      <c r="E2273" s="126"/>
    </row>
    <row r="2274">
      <c r="E2274" s="126"/>
    </row>
    <row r="2275">
      <c r="E2275" s="126"/>
    </row>
    <row r="2276">
      <c r="E2276" s="126"/>
    </row>
    <row r="2277">
      <c r="E2277" s="126"/>
    </row>
    <row r="2278">
      <c r="E2278" s="126"/>
    </row>
    <row r="2279">
      <c r="E2279" s="126"/>
    </row>
    <row r="2280">
      <c r="E2280" s="126"/>
    </row>
    <row r="2281">
      <c r="E2281" s="126"/>
    </row>
    <row r="2282">
      <c r="E2282" s="126"/>
    </row>
    <row r="2283">
      <c r="E2283" s="126"/>
    </row>
    <row r="2284">
      <c r="E2284" s="126"/>
    </row>
    <row r="2285">
      <c r="E2285" s="126"/>
    </row>
    <row r="2286">
      <c r="E2286" s="126"/>
    </row>
    <row r="2287">
      <c r="E2287" s="126"/>
    </row>
    <row r="2288">
      <c r="E2288" s="126"/>
    </row>
    <row r="2289">
      <c r="E2289" s="126"/>
    </row>
    <row r="2290">
      <c r="E2290" s="126"/>
    </row>
    <row r="2291">
      <c r="E2291" s="126"/>
    </row>
    <row r="2292">
      <c r="E2292" s="126"/>
    </row>
    <row r="2293">
      <c r="E2293" s="126"/>
    </row>
    <row r="2294">
      <c r="E2294" s="126"/>
    </row>
    <row r="2295">
      <c r="E2295" s="126"/>
    </row>
    <row r="2296">
      <c r="E2296" s="126"/>
    </row>
    <row r="2297">
      <c r="E2297" s="126"/>
    </row>
    <row r="2298">
      <c r="E2298" s="126"/>
    </row>
    <row r="2299">
      <c r="E2299" s="126"/>
    </row>
    <row r="2300">
      <c r="E2300" s="126"/>
    </row>
    <row r="2301">
      <c r="E2301" s="126"/>
    </row>
    <row r="2302">
      <c r="E2302" s="126"/>
    </row>
    <row r="2303">
      <c r="E2303" s="126"/>
    </row>
    <row r="2304">
      <c r="E2304" s="126"/>
    </row>
    <row r="2305">
      <c r="E2305" s="126"/>
    </row>
    <row r="2306">
      <c r="E2306" s="126"/>
    </row>
    <row r="2307">
      <c r="E2307" s="126"/>
    </row>
    <row r="2308">
      <c r="E2308" s="126"/>
    </row>
    <row r="2309">
      <c r="E2309" s="126"/>
    </row>
    <row r="2310">
      <c r="E2310" s="126"/>
    </row>
    <row r="2311">
      <c r="E2311" s="126"/>
    </row>
    <row r="2312">
      <c r="E2312" s="126"/>
    </row>
    <row r="2313">
      <c r="E2313" s="126"/>
    </row>
    <row r="2314">
      <c r="E2314" s="126"/>
    </row>
    <row r="2315">
      <c r="E2315" s="126"/>
    </row>
    <row r="2316">
      <c r="E2316" s="126"/>
    </row>
    <row r="2317">
      <c r="E2317" s="126"/>
    </row>
    <row r="2318">
      <c r="E2318" s="126"/>
    </row>
    <row r="2319">
      <c r="E2319" s="126"/>
    </row>
    <row r="2320">
      <c r="E2320" s="126"/>
    </row>
    <row r="2321">
      <c r="E2321" s="126"/>
    </row>
    <row r="2322">
      <c r="E2322" s="126"/>
    </row>
    <row r="2323">
      <c r="E2323" s="126"/>
    </row>
    <row r="2324">
      <c r="E2324" s="126"/>
    </row>
    <row r="2325">
      <c r="E2325" s="126"/>
    </row>
    <row r="2326">
      <c r="E2326" s="126"/>
    </row>
    <row r="2327">
      <c r="E2327" s="126"/>
    </row>
    <row r="2328">
      <c r="E2328" s="126"/>
    </row>
    <row r="2329">
      <c r="E2329" s="126"/>
    </row>
    <row r="2330">
      <c r="E2330" s="126"/>
    </row>
    <row r="2331">
      <c r="E2331" s="126"/>
    </row>
    <row r="2332">
      <c r="E2332" s="126"/>
    </row>
    <row r="2333">
      <c r="E2333" s="126"/>
    </row>
    <row r="2334">
      <c r="E2334" s="126"/>
    </row>
    <row r="2335">
      <c r="E2335" s="126"/>
    </row>
    <row r="2336">
      <c r="E2336" s="126"/>
    </row>
    <row r="2337">
      <c r="E2337" s="126"/>
    </row>
    <row r="2338">
      <c r="E2338" s="126"/>
    </row>
    <row r="2339">
      <c r="E2339" s="126"/>
    </row>
    <row r="2340">
      <c r="E2340" s="126"/>
    </row>
    <row r="2341">
      <c r="E2341" s="126"/>
    </row>
    <row r="2342">
      <c r="E2342" s="126"/>
    </row>
    <row r="2343">
      <c r="E2343" s="126"/>
    </row>
    <row r="2344">
      <c r="E2344" s="126"/>
    </row>
    <row r="2345">
      <c r="E2345" s="126"/>
    </row>
    <row r="2346">
      <c r="E2346" s="126"/>
    </row>
    <row r="2347">
      <c r="E2347" s="126"/>
    </row>
    <row r="2348">
      <c r="E2348" s="126"/>
    </row>
    <row r="2349">
      <c r="E2349" s="126"/>
    </row>
    <row r="2350">
      <c r="E2350" s="126"/>
    </row>
    <row r="2351">
      <c r="E2351" s="126"/>
    </row>
    <row r="2352">
      <c r="E2352" s="126"/>
    </row>
    <row r="2353">
      <c r="E2353" s="126"/>
    </row>
    <row r="2354">
      <c r="E2354" s="126"/>
    </row>
    <row r="2355">
      <c r="E2355" s="126"/>
    </row>
    <row r="2356">
      <c r="E2356" s="126"/>
    </row>
    <row r="2357">
      <c r="E2357" s="126"/>
    </row>
    <row r="2358">
      <c r="E2358" s="126"/>
    </row>
    <row r="2359">
      <c r="E2359" s="126"/>
    </row>
    <row r="2360">
      <c r="E2360" s="126"/>
    </row>
    <row r="2361">
      <c r="E2361" s="126"/>
    </row>
    <row r="2362">
      <c r="E2362" s="126"/>
    </row>
    <row r="2363">
      <c r="E2363" s="126"/>
    </row>
    <row r="2364">
      <c r="E2364" s="126"/>
    </row>
    <row r="2365">
      <c r="E2365" s="126"/>
    </row>
    <row r="2366">
      <c r="E2366" s="126"/>
    </row>
    <row r="2367">
      <c r="E2367" s="126"/>
    </row>
    <row r="2368">
      <c r="E2368" s="126"/>
    </row>
    <row r="2369">
      <c r="E2369" s="126"/>
    </row>
    <row r="2370">
      <c r="E2370" s="126"/>
    </row>
    <row r="2371">
      <c r="E2371" s="126"/>
    </row>
    <row r="2372">
      <c r="E2372" s="126"/>
    </row>
    <row r="2373">
      <c r="E2373" s="126"/>
    </row>
    <row r="2374">
      <c r="E2374" s="126"/>
    </row>
    <row r="2375">
      <c r="E2375" s="126"/>
    </row>
    <row r="2376">
      <c r="E2376" s="126"/>
    </row>
    <row r="2377">
      <c r="E2377" s="126"/>
    </row>
    <row r="2378">
      <c r="E2378" s="126"/>
    </row>
    <row r="2379">
      <c r="E2379" s="126"/>
    </row>
    <row r="2380">
      <c r="E2380" s="126"/>
    </row>
    <row r="2381">
      <c r="E2381" s="126"/>
    </row>
    <row r="2382">
      <c r="E2382" s="126"/>
    </row>
    <row r="2383">
      <c r="E2383" s="126"/>
    </row>
    <row r="2384">
      <c r="E2384" s="126"/>
    </row>
    <row r="2385">
      <c r="E2385" s="126"/>
    </row>
    <row r="2386">
      <c r="E2386" s="126"/>
    </row>
    <row r="2387">
      <c r="E2387" s="126"/>
    </row>
    <row r="2388">
      <c r="E2388" s="126"/>
    </row>
    <row r="2389">
      <c r="E2389" s="126"/>
    </row>
    <row r="2390">
      <c r="E2390" s="126"/>
    </row>
    <row r="2391">
      <c r="E2391" s="126"/>
    </row>
    <row r="2392">
      <c r="E2392" s="126"/>
    </row>
    <row r="2393">
      <c r="E2393" s="126"/>
    </row>
    <row r="2394">
      <c r="E2394" s="126"/>
    </row>
    <row r="2395">
      <c r="E2395" s="126"/>
    </row>
    <row r="2396">
      <c r="E2396" s="126"/>
    </row>
    <row r="2397">
      <c r="E2397" s="126"/>
    </row>
    <row r="2398">
      <c r="E2398" s="126"/>
    </row>
    <row r="2399">
      <c r="E2399" s="126"/>
    </row>
    <row r="2400">
      <c r="E2400" s="126"/>
    </row>
    <row r="2401">
      <c r="E2401" s="126"/>
    </row>
    <row r="2402">
      <c r="E2402" s="126"/>
    </row>
    <row r="2403">
      <c r="E2403" s="126"/>
    </row>
    <row r="2404">
      <c r="E2404" s="126"/>
    </row>
    <row r="2405">
      <c r="E2405" s="126"/>
    </row>
    <row r="2406">
      <c r="E2406" s="126"/>
    </row>
    <row r="2407">
      <c r="E2407" s="126"/>
    </row>
    <row r="2408">
      <c r="E2408" s="126"/>
    </row>
    <row r="2409">
      <c r="E2409" s="126"/>
    </row>
    <row r="2410">
      <c r="E2410" s="126"/>
    </row>
    <row r="2411">
      <c r="E2411" s="126"/>
    </row>
    <row r="2412">
      <c r="E2412" s="126"/>
    </row>
    <row r="2413">
      <c r="E2413" s="126"/>
    </row>
    <row r="2414">
      <c r="E2414" s="126"/>
    </row>
    <row r="2415">
      <c r="E2415" s="126"/>
    </row>
    <row r="2416">
      <c r="E2416" s="126"/>
    </row>
    <row r="2417">
      <c r="E2417" s="126"/>
    </row>
    <row r="2418">
      <c r="E2418" s="126"/>
    </row>
    <row r="2419">
      <c r="E2419" s="126"/>
    </row>
    <row r="2420">
      <c r="E2420" s="126"/>
    </row>
    <row r="2421">
      <c r="E2421" s="126"/>
    </row>
    <row r="2422">
      <c r="E2422" s="126"/>
    </row>
    <row r="2423">
      <c r="E2423" s="126"/>
    </row>
    <row r="2424">
      <c r="E2424" s="126"/>
    </row>
    <row r="2425">
      <c r="E2425" s="126"/>
    </row>
    <row r="2426">
      <c r="E2426" s="126"/>
    </row>
    <row r="2427">
      <c r="E2427" s="126"/>
    </row>
    <row r="2428">
      <c r="E2428" s="126"/>
    </row>
    <row r="2429">
      <c r="E2429" s="126"/>
    </row>
    <row r="2430">
      <c r="E2430" s="126"/>
    </row>
    <row r="2431">
      <c r="E2431" s="126"/>
    </row>
    <row r="2432">
      <c r="E2432" s="126"/>
    </row>
    <row r="2433">
      <c r="E2433" s="126"/>
    </row>
    <row r="2434">
      <c r="E2434" s="126"/>
    </row>
    <row r="2435">
      <c r="E2435" s="126"/>
    </row>
    <row r="2436">
      <c r="E2436" s="126"/>
    </row>
    <row r="2437">
      <c r="E2437" s="126"/>
    </row>
    <row r="2438">
      <c r="E2438" s="126"/>
    </row>
    <row r="2439">
      <c r="E2439" s="126"/>
    </row>
    <row r="2440">
      <c r="E2440" s="126"/>
    </row>
    <row r="2441">
      <c r="E2441" s="126"/>
    </row>
    <row r="2442">
      <c r="E2442" s="126"/>
    </row>
    <row r="2443">
      <c r="E2443" s="126"/>
    </row>
    <row r="2444">
      <c r="E2444" s="126"/>
    </row>
    <row r="2445">
      <c r="E2445" s="126"/>
    </row>
    <row r="2446">
      <c r="E2446" s="126"/>
    </row>
    <row r="2447">
      <c r="E2447" s="126"/>
    </row>
    <row r="2448">
      <c r="E2448" s="126"/>
    </row>
    <row r="2449">
      <c r="E2449" s="126"/>
    </row>
    <row r="2450">
      <c r="E2450" s="126"/>
    </row>
    <row r="2451">
      <c r="E2451" s="126"/>
    </row>
    <row r="2452">
      <c r="E2452" s="126"/>
    </row>
    <row r="2453">
      <c r="E2453" s="126"/>
    </row>
    <row r="2454">
      <c r="E2454" s="126"/>
    </row>
    <row r="2455">
      <c r="E2455" s="126"/>
    </row>
    <row r="2456">
      <c r="E2456" s="126"/>
    </row>
    <row r="2457">
      <c r="E2457" s="126"/>
    </row>
    <row r="2458">
      <c r="E2458" s="126"/>
    </row>
    <row r="2459">
      <c r="E2459" s="126"/>
    </row>
    <row r="2460">
      <c r="E2460" s="126"/>
    </row>
    <row r="2461">
      <c r="E2461" s="126"/>
    </row>
    <row r="2462">
      <c r="E2462" s="126"/>
    </row>
    <row r="2463">
      <c r="E2463" s="126"/>
    </row>
    <row r="2464">
      <c r="E2464" s="126"/>
    </row>
    <row r="2465">
      <c r="E2465" s="126"/>
    </row>
    <row r="2466">
      <c r="E2466" s="126"/>
    </row>
    <row r="2467">
      <c r="E2467" s="126"/>
    </row>
    <row r="2468">
      <c r="E2468" s="126"/>
    </row>
    <row r="2469">
      <c r="E2469" s="126"/>
    </row>
    <row r="2470">
      <c r="E2470" s="126"/>
    </row>
    <row r="2471">
      <c r="E2471" s="126"/>
    </row>
    <row r="2472">
      <c r="E2472" s="126"/>
    </row>
    <row r="2473">
      <c r="E2473" s="126"/>
    </row>
    <row r="2474">
      <c r="E2474" s="126"/>
    </row>
    <row r="2475">
      <c r="E2475" s="126"/>
    </row>
    <row r="2476">
      <c r="E2476" s="126"/>
    </row>
    <row r="2477">
      <c r="E2477" s="126"/>
    </row>
    <row r="2478">
      <c r="E2478" s="126"/>
    </row>
    <row r="2479">
      <c r="E2479" s="126"/>
    </row>
    <row r="2480">
      <c r="E2480" s="126"/>
    </row>
    <row r="2481">
      <c r="E2481" s="126"/>
    </row>
    <row r="2482">
      <c r="E2482" s="126"/>
    </row>
    <row r="2483">
      <c r="E2483" s="126"/>
    </row>
    <row r="2484">
      <c r="E2484" s="126"/>
    </row>
    <row r="2485">
      <c r="E2485" s="126"/>
    </row>
    <row r="2486">
      <c r="E2486" s="126"/>
    </row>
    <row r="2487">
      <c r="E2487" s="126"/>
    </row>
    <row r="2488">
      <c r="E2488" s="126"/>
    </row>
    <row r="2489">
      <c r="E2489" s="126"/>
    </row>
    <row r="2490">
      <c r="E2490" s="126"/>
    </row>
    <row r="2491">
      <c r="E2491" s="126"/>
    </row>
    <row r="2492">
      <c r="E2492" s="126"/>
    </row>
    <row r="2493">
      <c r="E2493" s="126"/>
    </row>
    <row r="2494">
      <c r="E2494" s="126"/>
    </row>
    <row r="2495">
      <c r="E2495" s="126"/>
    </row>
    <row r="2496">
      <c r="E2496" s="126"/>
    </row>
    <row r="2497">
      <c r="E2497" s="126"/>
    </row>
    <row r="2498">
      <c r="E2498" s="126"/>
    </row>
    <row r="2499">
      <c r="E2499" s="126"/>
    </row>
    <row r="2500">
      <c r="E2500" s="126"/>
    </row>
    <row r="2501">
      <c r="E2501" s="126"/>
    </row>
    <row r="2502">
      <c r="E2502" s="126"/>
    </row>
    <row r="2503">
      <c r="E2503" s="126"/>
    </row>
    <row r="2504">
      <c r="E2504" s="126"/>
    </row>
    <row r="2505">
      <c r="E2505" s="126"/>
    </row>
    <row r="2506">
      <c r="E2506" s="126"/>
    </row>
    <row r="2507">
      <c r="E2507" s="126"/>
    </row>
    <row r="2508">
      <c r="E2508" s="126"/>
    </row>
    <row r="2509">
      <c r="E2509" s="126"/>
    </row>
    <row r="2510">
      <c r="E2510" s="126"/>
    </row>
    <row r="2511">
      <c r="E2511" s="126"/>
    </row>
    <row r="2512">
      <c r="E2512" s="126"/>
    </row>
    <row r="2513">
      <c r="E2513" s="126"/>
    </row>
    <row r="2514">
      <c r="E2514" s="126"/>
    </row>
    <row r="2515">
      <c r="E2515" s="126"/>
    </row>
    <row r="2516">
      <c r="E2516" s="126"/>
    </row>
    <row r="2517">
      <c r="E2517" s="126"/>
    </row>
    <row r="2518">
      <c r="E2518" s="126"/>
    </row>
    <row r="2519">
      <c r="E2519" s="126"/>
    </row>
    <row r="2520">
      <c r="E2520" s="126"/>
    </row>
    <row r="2521">
      <c r="E2521" s="126"/>
    </row>
    <row r="2522">
      <c r="E2522" s="126"/>
    </row>
    <row r="2523">
      <c r="E2523" s="126"/>
    </row>
    <row r="2524">
      <c r="E2524" s="126"/>
    </row>
    <row r="2525">
      <c r="E2525" s="126"/>
    </row>
    <row r="2526">
      <c r="E2526" s="126"/>
    </row>
    <row r="2527">
      <c r="E2527" s="126"/>
    </row>
    <row r="2528">
      <c r="E2528" s="126"/>
    </row>
    <row r="2529">
      <c r="E2529" s="126"/>
    </row>
    <row r="2530">
      <c r="E2530" s="126"/>
    </row>
    <row r="2531">
      <c r="E2531" s="126"/>
    </row>
    <row r="2532">
      <c r="E2532" s="126"/>
    </row>
    <row r="2533">
      <c r="E2533" s="126"/>
    </row>
    <row r="2534">
      <c r="E2534" s="126"/>
    </row>
    <row r="2535">
      <c r="E2535" s="126"/>
    </row>
    <row r="2536">
      <c r="E2536" s="126"/>
    </row>
    <row r="2537">
      <c r="E2537" s="126"/>
    </row>
    <row r="2538">
      <c r="E2538" s="126"/>
    </row>
    <row r="2539">
      <c r="E2539" s="126"/>
    </row>
    <row r="2540">
      <c r="E2540" s="126"/>
    </row>
    <row r="2541">
      <c r="E2541" s="126"/>
    </row>
    <row r="2542">
      <c r="E2542" s="126"/>
    </row>
    <row r="2543">
      <c r="E2543" s="126"/>
    </row>
    <row r="2544">
      <c r="E2544" s="126"/>
    </row>
    <row r="2545">
      <c r="E2545" s="126"/>
    </row>
    <row r="2546">
      <c r="E2546" s="126"/>
    </row>
    <row r="2547">
      <c r="E2547" s="126"/>
    </row>
    <row r="2548">
      <c r="E2548" s="126"/>
    </row>
    <row r="2549">
      <c r="E2549" s="126"/>
    </row>
    <row r="2550">
      <c r="E2550" s="126"/>
    </row>
    <row r="2551">
      <c r="E2551" s="126"/>
    </row>
    <row r="2552">
      <c r="E2552" s="126"/>
    </row>
    <row r="2553">
      <c r="E2553" s="126"/>
    </row>
    <row r="2554">
      <c r="E2554" s="126"/>
    </row>
    <row r="2555">
      <c r="E2555" s="126"/>
    </row>
    <row r="2556">
      <c r="E2556" s="126"/>
    </row>
    <row r="2557">
      <c r="E2557" s="126"/>
    </row>
    <row r="2558">
      <c r="E2558" s="126"/>
    </row>
    <row r="2559">
      <c r="E2559" s="126"/>
    </row>
    <row r="2560">
      <c r="E2560" s="126"/>
    </row>
    <row r="2561">
      <c r="E2561" s="126"/>
    </row>
    <row r="2562">
      <c r="E2562" s="126"/>
    </row>
    <row r="2563">
      <c r="E2563" s="126"/>
    </row>
    <row r="2564">
      <c r="E2564" s="126"/>
    </row>
    <row r="2565">
      <c r="E2565" s="126"/>
    </row>
    <row r="2566">
      <c r="E2566" s="126"/>
    </row>
    <row r="2567">
      <c r="E2567" s="126"/>
    </row>
    <row r="2568">
      <c r="E2568" s="126"/>
    </row>
    <row r="2569">
      <c r="E2569" s="126"/>
    </row>
    <row r="2570">
      <c r="E2570" s="126"/>
    </row>
    <row r="2571">
      <c r="E2571" s="126"/>
    </row>
    <row r="2572">
      <c r="E2572" s="126"/>
    </row>
    <row r="2573">
      <c r="E2573" s="126"/>
    </row>
    <row r="2574">
      <c r="E2574" s="126"/>
    </row>
    <row r="2575">
      <c r="E2575" s="126"/>
    </row>
    <row r="2576">
      <c r="E2576" s="126"/>
    </row>
    <row r="2577">
      <c r="E2577" s="126"/>
    </row>
    <row r="2578">
      <c r="E2578" s="126"/>
    </row>
    <row r="2579">
      <c r="E2579" s="126"/>
    </row>
    <row r="2580">
      <c r="E2580" s="126"/>
    </row>
    <row r="2581">
      <c r="E2581" s="126"/>
    </row>
    <row r="2582">
      <c r="E2582" s="126"/>
    </row>
    <row r="2583">
      <c r="E2583" s="126"/>
    </row>
    <row r="2584">
      <c r="E2584" s="126"/>
    </row>
    <row r="2585">
      <c r="E2585" s="126"/>
    </row>
    <row r="2586">
      <c r="E2586" s="126"/>
    </row>
    <row r="2587">
      <c r="E2587" s="126"/>
    </row>
    <row r="2588">
      <c r="E2588" s="126"/>
    </row>
    <row r="2589">
      <c r="E2589" s="126"/>
    </row>
    <row r="2590">
      <c r="E2590" s="126"/>
    </row>
    <row r="2591">
      <c r="E2591" s="126"/>
    </row>
    <row r="2592">
      <c r="E2592" s="126"/>
    </row>
    <row r="2593">
      <c r="E2593" s="126"/>
    </row>
    <row r="2594">
      <c r="E2594" s="126"/>
    </row>
    <row r="2595">
      <c r="E2595" s="126"/>
    </row>
    <row r="2596">
      <c r="E2596" s="126"/>
    </row>
    <row r="2597">
      <c r="E2597" s="126"/>
    </row>
    <row r="2598">
      <c r="E2598" s="126"/>
    </row>
    <row r="2599">
      <c r="E2599" s="126"/>
    </row>
    <row r="2600">
      <c r="E2600" s="126"/>
    </row>
    <row r="2601">
      <c r="E2601" s="126"/>
    </row>
    <row r="2602">
      <c r="E2602" s="126"/>
    </row>
    <row r="2603">
      <c r="E2603" s="126"/>
    </row>
    <row r="2604">
      <c r="E2604" s="126"/>
    </row>
    <row r="2605">
      <c r="E2605" s="126"/>
    </row>
    <row r="2606">
      <c r="E2606" s="126"/>
    </row>
    <row r="2607">
      <c r="E2607" s="126"/>
    </row>
    <row r="2608">
      <c r="E2608" s="126"/>
    </row>
    <row r="2609">
      <c r="E2609" s="126"/>
    </row>
    <row r="2610">
      <c r="E2610" s="126"/>
    </row>
    <row r="2611">
      <c r="E2611" s="126"/>
    </row>
    <row r="2612">
      <c r="E2612" s="126"/>
    </row>
    <row r="2613">
      <c r="E2613" s="126"/>
    </row>
    <row r="2614">
      <c r="E2614" s="126"/>
    </row>
    <row r="2615">
      <c r="E2615" s="126"/>
    </row>
    <row r="2616">
      <c r="E2616" s="126"/>
    </row>
    <row r="2617">
      <c r="E2617" s="126"/>
    </row>
    <row r="2618">
      <c r="E2618" s="126"/>
    </row>
    <row r="2619">
      <c r="E2619" s="126"/>
    </row>
    <row r="2620">
      <c r="E2620" s="126"/>
    </row>
    <row r="2621">
      <c r="E2621" s="126"/>
    </row>
    <row r="2622">
      <c r="E2622" s="126"/>
    </row>
    <row r="2623">
      <c r="E2623" s="126"/>
    </row>
    <row r="2624">
      <c r="E2624" s="126"/>
    </row>
    <row r="2625">
      <c r="E2625" s="126"/>
    </row>
    <row r="2626">
      <c r="E2626" s="126"/>
    </row>
    <row r="2627">
      <c r="E2627" s="126"/>
    </row>
    <row r="2628">
      <c r="E2628" s="126"/>
    </row>
    <row r="2629">
      <c r="E2629" s="126"/>
    </row>
    <row r="2630">
      <c r="E2630" s="126"/>
    </row>
    <row r="2631">
      <c r="E2631" s="126"/>
    </row>
    <row r="2632">
      <c r="E2632" s="126"/>
    </row>
    <row r="2633">
      <c r="E2633" s="126"/>
    </row>
    <row r="2634">
      <c r="E2634" s="126"/>
    </row>
    <row r="2635">
      <c r="E2635" s="126"/>
    </row>
    <row r="2636">
      <c r="E2636" s="126"/>
    </row>
    <row r="2637">
      <c r="E2637" s="126"/>
    </row>
    <row r="2638">
      <c r="E2638" s="126"/>
    </row>
    <row r="2639">
      <c r="E2639" s="126"/>
    </row>
    <row r="2640">
      <c r="E2640" s="126"/>
    </row>
    <row r="2641">
      <c r="E2641" s="126"/>
    </row>
    <row r="2642">
      <c r="E2642" s="126"/>
    </row>
    <row r="2643">
      <c r="E2643" s="126"/>
    </row>
    <row r="2644">
      <c r="E2644" s="126"/>
    </row>
    <row r="2645">
      <c r="E2645" s="126"/>
    </row>
    <row r="2646">
      <c r="E2646" s="126"/>
    </row>
    <row r="2647">
      <c r="E2647" s="126"/>
    </row>
    <row r="2648">
      <c r="E2648" s="126"/>
    </row>
    <row r="2649">
      <c r="E2649" s="126"/>
    </row>
    <row r="2650">
      <c r="E2650" s="126"/>
    </row>
    <row r="2651">
      <c r="E2651" s="126"/>
    </row>
    <row r="2652">
      <c r="E2652" s="126"/>
    </row>
    <row r="2653">
      <c r="E2653" s="126"/>
    </row>
    <row r="2654">
      <c r="E2654" s="126"/>
    </row>
    <row r="2655">
      <c r="E2655" s="126"/>
    </row>
    <row r="2656">
      <c r="E2656" s="126"/>
    </row>
    <row r="2657">
      <c r="E2657" s="126"/>
    </row>
    <row r="2658">
      <c r="E2658" s="126"/>
    </row>
    <row r="2659">
      <c r="E2659" s="126"/>
    </row>
    <row r="2660">
      <c r="E2660" s="126"/>
    </row>
    <row r="2661">
      <c r="E2661" s="126"/>
    </row>
    <row r="2662">
      <c r="E2662" s="126"/>
    </row>
    <row r="2663">
      <c r="E2663" s="126"/>
    </row>
    <row r="2664">
      <c r="E2664" s="126"/>
    </row>
    <row r="2665">
      <c r="E2665" s="126"/>
    </row>
    <row r="2666">
      <c r="E2666" s="126"/>
    </row>
    <row r="2667">
      <c r="E2667" s="126"/>
    </row>
    <row r="2668">
      <c r="E2668" s="126"/>
    </row>
    <row r="2669">
      <c r="E2669" s="126"/>
    </row>
    <row r="2670">
      <c r="E2670" s="126"/>
    </row>
    <row r="2671">
      <c r="E2671" s="126"/>
    </row>
    <row r="2672">
      <c r="E2672" s="126"/>
    </row>
    <row r="2673">
      <c r="E2673" s="126"/>
    </row>
    <row r="2674">
      <c r="E2674" s="126"/>
    </row>
    <row r="2675">
      <c r="E2675" s="126"/>
    </row>
    <row r="2676">
      <c r="E2676" s="126"/>
    </row>
    <row r="2677">
      <c r="E2677" s="126"/>
    </row>
    <row r="2678">
      <c r="E2678" s="126"/>
    </row>
    <row r="2679">
      <c r="E2679" s="126"/>
    </row>
    <row r="2680">
      <c r="E2680" s="126"/>
    </row>
    <row r="2681">
      <c r="E2681" s="126"/>
    </row>
    <row r="2682">
      <c r="E2682" s="126"/>
    </row>
    <row r="2683">
      <c r="E2683" s="126"/>
    </row>
    <row r="2684">
      <c r="E2684" s="126"/>
    </row>
    <row r="2685">
      <c r="E2685" s="126"/>
    </row>
    <row r="2686">
      <c r="E2686" s="126"/>
    </row>
    <row r="2687">
      <c r="E2687" s="126"/>
    </row>
    <row r="2688">
      <c r="E2688" s="126"/>
    </row>
    <row r="2689">
      <c r="E2689" s="126"/>
    </row>
    <row r="2690">
      <c r="E2690" s="126"/>
    </row>
    <row r="2691">
      <c r="E2691" s="126"/>
    </row>
    <row r="2692">
      <c r="E2692" s="126"/>
    </row>
    <row r="2693">
      <c r="E2693" s="126"/>
    </row>
    <row r="2694">
      <c r="E2694" s="126"/>
    </row>
    <row r="2695">
      <c r="E2695" s="126"/>
    </row>
    <row r="2696">
      <c r="E2696" s="126"/>
    </row>
    <row r="2697">
      <c r="E2697" s="126"/>
    </row>
    <row r="2698">
      <c r="E2698" s="126"/>
    </row>
    <row r="2699">
      <c r="E2699" s="126"/>
    </row>
    <row r="2700">
      <c r="E2700" s="126"/>
    </row>
    <row r="2701">
      <c r="E2701" s="126"/>
    </row>
    <row r="2702">
      <c r="E2702" s="126"/>
    </row>
    <row r="2703">
      <c r="E2703" s="126"/>
    </row>
    <row r="2704">
      <c r="E2704" s="126"/>
    </row>
    <row r="2705">
      <c r="E2705" s="126"/>
    </row>
    <row r="2706">
      <c r="E2706" s="126"/>
    </row>
    <row r="2707">
      <c r="E2707" s="126"/>
    </row>
    <row r="2708">
      <c r="E2708" s="126"/>
    </row>
    <row r="2709">
      <c r="E2709" s="126"/>
    </row>
    <row r="2710">
      <c r="E2710" s="126"/>
    </row>
    <row r="2711">
      <c r="E2711" s="126"/>
    </row>
    <row r="2712">
      <c r="E2712" s="126"/>
    </row>
    <row r="2713">
      <c r="E2713" s="126"/>
    </row>
    <row r="2714">
      <c r="E2714" s="126"/>
    </row>
    <row r="2715">
      <c r="E2715" s="126"/>
    </row>
    <row r="2716">
      <c r="E2716" s="126"/>
    </row>
    <row r="2717">
      <c r="E2717" s="126"/>
    </row>
    <row r="2718">
      <c r="E2718" s="126"/>
    </row>
    <row r="2719">
      <c r="E2719" s="126"/>
    </row>
    <row r="2720">
      <c r="E2720" s="126"/>
    </row>
    <row r="2721">
      <c r="E2721" s="126"/>
    </row>
    <row r="2722">
      <c r="E2722" s="126"/>
    </row>
    <row r="2723">
      <c r="E2723" s="126"/>
    </row>
    <row r="2724">
      <c r="E2724" s="126"/>
    </row>
    <row r="2725">
      <c r="E2725" s="126"/>
    </row>
    <row r="2726">
      <c r="E2726" s="126"/>
    </row>
    <row r="2727">
      <c r="E2727" s="126"/>
    </row>
    <row r="2728">
      <c r="E2728" s="126"/>
    </row>
    <row r="2729">
      <c r="E2729" s="126"/>
    </row>
    <row r="2730">
      <c r="E2730" s="126"/>
    </row>
    <row r="2731">
      <c r="E2731" s="126"/>
    </row>
    <row r="2732">
      <c r="E2732" s="126"/>
    </row>
    <row r="2733">
      <c r="E2733" s="126"/>
    </row>
    <row r="2734">
      <c r="E2734" s="126"/>
    </row>
    <row r="2735">
      <c r="E2735" s="126"/>
    </row>
    <row r="2736">
      <c r="E2736" s="126"/>
    </row>
    <row r="2737">
      <c r="E2737" s="126"/>
    </row>
    <row r="2738">
      <c r="E2738" s="126"/>
    </row>
    <row r="2739">
      <c r="E2739" s="126"/>
    </row>
    <row r="2740">
      <c r="E2740" s="126"/>
    </row>
    <row r="2741">
      <c r="E2741" s="126"/>
    </row>
    <row r="2742">
      <c r="E2742" s="126"/>
    </row>
    <row r="2743">
      <c r="E2743" s="126"/>
    </row>
    <row r="2744">
      <c r="E2744" s="126"/>
    </row>
    <row r="2745">
      <c r="E2745" s="126"/>
    </row>
    <row r="2746">
      <c r="E2746" s="126"/>
    </row>
    <row r="2747">
      <c r="E2747" s="126"/>
    </row>
    <row r="2748">
      <c r="E2748" s="126"/>
    </row>
    <row r="2749">
      <c r="E2749" s="126"/>
    </row>
    <row r="2750">
      <c r="E2750" s="126"/>
    </row>
    <row r="2751">
      <c r="E2751" s="126"/>
    </row>
    <row r="2752">
      <c r="E2752" s="126"/>
    </row>
    <row r="2753">
      <c r="E2753" s="126"/>
    </row>
    <row r="2754">
      <c r="E2754" s="126"/>
    </row>
    <row r="2755">
      <c r="E2755" s="126"/>
    </row>
    <row r="2756">
      <c r="E2756" s="126"/>
    </row>
    <row r="2757">
      <c r="E2757" s="126"/>
    </row>
    <row r="2758">
      <c r="E2758" s="126"/>
    </row>
    <row r="2759">
      <c r="E2759" s="126"/>
    </row>
    <row r="2760">
      <c r="E2760" s="126"/>
    </row>
    <row r="2761">
      <c r="E2761" s="126"/>
    </row>
    <row r="2762">
      <c r="E2762" s="126"/>
    </row>
    <row r="2763">
      <c r="E2763" s="126"/>
    </row>
    <row r="2764">
      <c r="E2764" s="126"/>
    </row>
    <row r="2765">
      <c r="E2765" s="126"/>
    </row>
    <row r="2766">
      <c r="E2766" s="126"/>
    </row>
    <row r="2767">
      <c r="E2767" s="126"/>
    </row>
    <row r="2768">
      <c r="E2768" s="126"/>
    </row>
    <row r="2769">
      <c r="E2769" s="126"/>
    </row>
    <row r="2770">
      <c r="E2770" s="126"/>
    </row>
    <row r="2771">
      <c r="E2771" s="126"/>
    </row>
    <row r="2772">
      <c r="E2772" s="126"/>
    </row>
    <row r="2773">
      <c r="E2773" s="126"/>
    </row>
    <row r="2774">
      <c r="E2774" s="126"/>
    </row>
    <row r="2775">
      <c r="E2775" s="126"/>
    </row>
    <row r="2776">
      <c r="E2776" s="126"/>
    </row>
    <row r="2777">
      <c r="E2777" s="126"/>
    </row>
    <row r="2778">
      <c r="E2778" s="126"/>
    </row>
    <row r="2779">
      <c r="E2779" s="126"/>
    </row>
    <row r="2780">
      <c r="E2780" s="126"/>
    </row>
  </sheetData>
  <hyperlinks>
    <hyperlink r:id="rId1" location="share-of-world-population-living-in-democracies" ref="D21"/>
    <hyperlink r:id="rId2" ref="D22"/>
    <hyperlink r:id="rId3" ref="D23"/>
    <hyperlink r:id="rId4" ref="C32"/>
    <hyperlink r:id="rId5" ref="C41"/>
  </hyperlinks>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1.22" defaultRowHeight="15.0"/>
  <cols>
    <col customWidth="1" min="1" max="1" width="5.89"/>
    <col customWidth="1" min="2" max="2" width="9.0"/>
    <col customWidth="1" min="3" max="3" width="6.89"/>
    <col customWidth="1" min="4" max="4" width="11.0"/>
    <col customWidth="1" min="5" max="5" width="16.44"/>
  </cols>
  <sheetData>
    <row r="1">
      <c r="A1" s="128" t="s">
        <v>88</v>
      </c>
      <c r="B1" s="129" t="s">
        <v>83</v>
      </c>
      <c r="C1" s="129" t="s">
        <v>89</v>
      </c>
      <c r="D1" s="130" t="str">
        <f>ABOUT!B11</f>
        <v>Share of people in democracy</v>
      </c>
      <c r="E1" s="130" t="str">
        <f>ABOUT!B12</f>
        <v>Democracy population</v>
      </c>
    </row>
    <row r="2">
      <c r="A2" s="131" t="s">
        <v>90</v>
      </c>
      <c r="B2" s="132" t="s">
        <v>91</v>
      </c>
      <c r="C2" s="133">
        <f>calculations!B5</f>
        <v>1816</v>
      </c>
      <c r="D2" s="134" t="str">
        <f>calculations!C5</f>
        <v>#N/A</v>
      </c>
      <c r="E2" s="135" t="str">
        <f>calculations!D5</f>
        <v>#N/A</v>
      </c>
    </row>
    <row r="3">
      <c r="A3" s="131" t="s">
        <v>90</v>
      </c>
      <c r="B3" s="132" t="s">
        <v>91</v>
      </c>
      <c r="C3" s="133">
        <v>1817.0</v>
      </c>
      <c r="D3" s="134" t="str">
        <f>calculations!C6</f>
        <v>#N/A</v>
      </c>
      <c r="E3" s="135" t="str">
        <f>calculations!D6</f>
        <v>#N/A</v>
      </c>
    </row>
    <row r="4">
      <c r="A4" s="131" t="s">
        <v>90</v>
      </c>
      <c r="B4" s="132" t="s">
        <v>91</v>
      </c>
      <c r="C4" s="133">
        <v>1818.0</v>
      </c>
      <c r="D4" s="134" t="str">
        <f>calculations!C7</f>
        <v>#N/A</v>
      </c>
      <c r="E4" s="135" t="str">
        <f>calculations!D7</f>
        <v>#N/A</v>
      </c>
    </row>
    <row r="5">
      <c r="A5" s="131" t="s">
        <v>90</v>
      </c>
      <c r="B5" s="132" t="s">
        <v>91</v>
      </c>
      <c r="C5" s="133">
        <v>1819.0</v>
      </c>
      <c r="D5" s="134" t="str">
        <f>calculations!C8</f>
        <v>#N/A</v>
      </c>
      <c r="E5" s="135" t="str">
        <f>calculations!D8</f>
        <v>#N/A</v>
      </c>
    </row>
    <row r="6">
      <c r="A6" s="131" t="s">
        <v>90</v>
      </c>
      <c r="B6" s="132" t="s">
        <v>91</v>
      </c>
      <c r="C6" s="133">
        <v>1820.0</v>
      </c>
      <c r="D6" s="134" t="str">
        <f>calculations!C9</f>
        <v>#N/A</v>
      </c>
      <c r="E6" s="135" t="str">
        <f>calculations!D9</f>
        <v>#N/A</v>
      </c>
    </row>
    <row r="7">
      <c r="A7" s="131" t="s">
        <v>90</v>
      </c>
      <c r="B7" s="132" t="s">
        <v>91</v>
      </c>
      <c r="C7" s="133">
        <v>1821.0</v>
      </c>
      <c r="D7" s="134" t="str">
        <f>calculations!C10</f>
        <v>#N/A</v>
      </c>
      <c r="E7" s="135" t="str">
        <f>calculations!D10</f>
        <v>#N/A</v>
      </c>
    </row>
    <row r="8">
      <c r="A8" s="131" t="s">
        <v>90</v>
      </c>
      <c r="B8" s="132" t="s">
        <v>91</v>
      </c>
      <c r="C8" s="133">
        <v>1822.0</v>
      </c>
      <c r="D8" s="134" t="str">
        <f>calculations!C11</f>
        <v>#N/A</v>
      </c>
      <c r="E8" s="135" t="str">
        <f>calculations!D11</f>
        <v>#N/A</v>
      </c>
    </row>
    <row r="9">
      <c r="A9" s="131" t="s">
        <v>90</v>
      </c>
      <c r="B9" s="132" t="s">
        <v>91</v>
      </c>
      <c r="C9" s="133">
        <v>1823.0</v>
      </c>
      <c r="D9" s="134" t="str">
        <f>calculations!C12</f>
        <v>#N/A</v>
      </c>
      <c r="E9" s="135" t="str">
        <f>calculations!D12</f>
        <v>#N/A</v>
      </c>
    </row>
    <row r="10">
      <c r="A10" s="131" t="s">
        <v>90</v>
      </c>
      <c r="B10" s="132" t="s">
        <v>91</v>
      </c>
      <c r="C10" s="133">
        <v>1824.0</v>
      </c>
      <c r="D10" s="134" t="str">
        <f>calculations!C13</f>
        <v>#N/A</v>
      </c>
      <c r="E10" s="135" t="str">
        <f>calculations!D13</f>
        <v>#N/A</v>
      </c>
    </row>
    <row r="11">
      <c r="A11" s="131" t="s">
        <v>90</v>
      </c>
      <c r="B11" s="132" t="s">
        <v>91</v>
      </c>
      <c r="C11" s="133">
        <v>1825.0</v>
      </c>
      <c r="D11" s="134" t="str">
        <f>calculations!C14</f>
        <v>#N/A</v>
      </c>
      <c r="E11" s="135" t="str">
        <f>calculations!D14</f>
        <v>#N/A</v>
      </c>
    </row>
    <row r="12">
      <c r="A12" s="131" t="s">
        <v>90</v>
      </c>
      <c r="B12" s="132" t="s">
        <v>91</v>
      </c>
      <c r="C12" s="133">
        <v>1826.0</v>
      </c>
      <c r="D12" s="134" t="str">
        <f>calculations!C15</f>
        <v>#N/A</v>
      </c>
      <c r="E12" s="135" t="str">
        <f>calculations!D15</f>
        <v>#N/A</v>
      </c>
    </row>
    <row r="13">
      <c r="A13" s="131" t="s">
        <v>90</v>
      </c>
      <c r="B13" s="132" t="s">
        <v>91</v>
      </c>
      <c r="C13" s="133">
        <v>1827.0</v>
      </c>
      <c r="D13" s="134" t="str">
        <f>calculations!C16</f>
        <v>#N/A</v>
      </c>
      <c r="E13" s="135" t="str">
        <f>calculations!D16</f>
        <v>#N/A</v>
      </c>
    </row>
    <row r="14">
      <c r="A14" s="131" t="s">
        <v>90</v>
      </c>
      <c r="B14" s="132" t="s">
        <v>91</v>
      </c>
      <c r="C14" s="133">
        <v>1828.0</v>
      </c>
      <c r="D14" s="134" t="str">
        <f>calculations!C17</f>
        <v>#N/A</v>
      </c>
      <c r="E14" s="135" t="str">
        <f>calculations!D17</f>
        <v>#N/A</v>
      </c>
    </row>
    <row r="15">
      <c r="A15" s="131" t="s">
        <v>90</v>
      </c>
      <c r="B15" s="132" t="s">
        <v>91</v>
      </c>
      <c r="C15" s="133">
        <v>1829.0</v>
      </c>
      <c r="D15" s="134" t="str">
        <f>calculations!C18</f>
        <v>#N/A</v>
      </c>
      <c r="E15" s="135" t="str">
        <f>calculations!D18</f>
        <v>#N/A</v>
      </c>
    </row>
    <row r="16">
      <c r="A16" s="131" t="s">
        <v>90</v>
      </c>
      <c r="B16" s="132" t="s">
        <v>91</v>
      </c>
      <c r="C16" s="133">
        <v>1830.0</v>
      </c>
      <c r="D16" s="134" t="str">
        <f>calculations!C19</f>
        <v>#N/A</v>
      </c>
      <c r="E16" s="135" t="str">
        <f>calculations!D19</f>
        <v>#N/A</v>
      </c>
    </row>
    <row r="17">
      <c r="A17" s="131" t="s">
        <v>90</v>
      </c>
      <c r="B17" s="132" t="s">
        <v>91</v>
      </c>
      <c r="C17" s="133">
        <v>1831.0</v>
      </c>
      <c r="D17" s="134" t="str">
        <f>calculations!C20</f>
        <v>#N/A</v>
      </c>
      <c r="E17" s="135" t="str">
        <f>calculations!D20</f>
        <v>#N/A</v>
      </c>
    </row>
    <row r="18">
      <c r="A18" s="131" t="s">
        <v>90</v>
      </c>
      <c r="B18" s="132" t="s">
        <v>91</v>
      </c>
      <c r="C18" s="133">
        <v>1832.0</v>
      </c>
      <c r="D18" s="134" t="str">
        <f>calculations!C21</f>
        <v>#N/A</v>
      </c>
      <c r="E18" s="135" t="str">
        <f>calculations!D21</f>
        <v>#N/A</v>
      </c>
    </row>
    <row r="19">
      <c r="A19" s="131" t="s">
        <v>90</v>
      </c>
      <c r="B19" s="132" t="s">
        <v>91</v>
      </c>
      <c r="C19" s="133">
        <v>1833.0</v>
      </c>
      <c r="D19" s="134" t="str">
        <f>calculations!C22</f>
        <v>#N/A</v>
      </c>
      <c r="E19" s="135" t="str">
        <f>calculations!D22</f>
        <v>#N/A</v>
      </c>
    </row>
    <row r="20">
      <c r="A20" s="131" t="s">
        <v>90</v>
      </c>
      <c r="B20" s="132" t="s">
        <v>91</v>
      </c>
      <c r="C20" s="133">
        <v>1834.0</v>
      </c>
      <c r="D20" s="134" t="str">
        <f>calculations!C23</f>
        <v>#N/A</v>
      </c>
      <c r="E20" s="135" t="str">
        <f>calculations!D23</f>
        <v>#N/A</v>
      </c>
    </row>
    <row r="21">
      <c r="A21" s="131" t="s">
        <v>90</v>
      </c>
      <c r="B21" s="132" t="s">
        <v>91</v>
      </c>
      <c r="C21" s="133">
        <v>1835.0</v>
      </c>
      <c r="D21" s="134" t="str">
        <f>calculations!C24</f>
        <v>#N/A</v>
      </c>
      <c r="E21" s="135" t="str">
        <f>calculations!D24</f>
        <v>#N/A</v>
      </c>
    </row>
    <row r="22">
      <c r="A22" s="131" t="s">
        <v>90</v>
      </c>
      <c r="B22" s="132" t="s">
        <v>91</v>
      </c>
      <c r="C22" s="133">
        <v>1836.0</v>
      </c>
      <c r="D22" s="134" t="str">
        <f>calculations!C25</f>
        <v>#N/A</v>
      </c>
      <c r="E22" s="135" t="str">
        <f>calculations!D25</f>
        <v>#N/A</v>
      </c>
    </row>
    <row r="23">
      <c r="A23" s="131" t="s">
        <v>90</v>
      </c>
      <c r="B23" s="132" t="s">
        <v>91</v>
      </c>
      <c r="C23" s="133">
        <v>1837.0</v>
      </c>
      <c r="D23" s="134" t="str">
        <f>calculations!C26</f>
        <v>#N/A</v>
      </c>
      <c r="E23" s="135" t="str">
        <f>calculations!D26</f>
        <v>#N/A</v>
      </c>
    </row>
    <row r="24">
      <c r="A24" s="131" t="s">
        <v>90</v>
      </c>
      <c r="B24" s="132" t="s">
        <v>91</v>
      </c>
      <c r="C24" s="133">
        <v>1838.0</v>
      </c>
      <c r="D24" s="134" t="str">
        <f>calculations!C27</f>
        <v>#N/A</v>
      </c>
      <c r="E24" s="135" t="str">
        <f>calculations!D27</f>
        <v>#N/A</v>
      </c>
    </row>
    <row r="25">
      <c r="A25" s="131" t="s">
        <v>90</v>
      </c>
      <c r="B25" s="132" t="s">
        <v>91</v>
      </c>
      <c r="C25" s="133">
        <v>1839.0</v>
      </c>
      <c r="D25" s="134" t="str">
        <f>calculations!C28</f>
        <v>#N/A</v>
      </c>
      <c r="E25" s="135" t="str">
        <f>calculations!D28</f>
        <v>#N/A</v>
      </c>
    </row>
    <row r="26">
      <c r="A26" s="131" t="s">
        <v>90</v>
      </c>
      <c r="B26" s="132" t="s">
        <v>91</v>
      </c>
      <c r="C26" s="133">
        <v>1840.0</v>
      </c>
      <c r="D26" s="134" t="str">
        <f>calculations!C29</f>
        <v>#N/A</v>
      </c>
      <c r="E26" s="135" t="str">
        <f>calculations!D29</f>
        <v>#N/A</v>
      </c>
    </row>
    <row r="27">
      <c r="A27" s="131" t="s">
        <v>90</v>
      </c>
      <c r="B27" s="132" t="s">
        <v>91</v>
      </c>
      <c r="C27" s="133">
        <v>1841.0</v>
      </c>
      <c r="D27" s="134" t="str">
        <f>calculations!C30</f>
        <v>#N/A</v>
      </c>
      <c r="E27" s="135" t="str">
        <f>calculations!D30</f>
        <v>#N/A</v>
      </c>
    </row>
    <row r="28">
      <c r="A28" s="131" t="s">
        <v>90</v>
      </c>
      <c r="B28" s="132" t="s">
        <v>91</v>
      </c>
      <c r="C28" s="133">
        <v>1842.0</v>
      </c>
      <c r="D28" s="134" t="str">
        <f>calculations!C31</f>
        <v>#N/A</v>
      </c>
      <c r="E28" s="135" t="str">
        <f>calculations!D31</f>
        <v>#N/A</v>
      </c>
    </row>
    <row r="29">
      <c r="A29" s="131" t="s">
        <v>90</v>
      </c>
      <c r="B29" s="132" t="s">
        <v>91</v>
      </c>
      <c r="C29" s="133">
        <v>1843.0</v>
      </c>
      <c r="D29" s="134" t="str">
        <f>calculations!C32</f>
        <v>#N/A</v>
      </c>
      <c r="E29" s="135" t="str">
        <f>calculations!D32</f>
        <v>#N/A</v>
      </c>
    </row>
    <row r="30">
      <c r="A30" s="131" t="s">
        <v>90</v>
      </c>
      <c r="B30" s="132" t="s">
        <v>91</v>
      </c>
      <c r="C30" s="133">
        <v>1844.0</v>
      </c>
      <c r="D30" s="134" t="str">
        <f>calculations!C33</f>
        <v>#N/A</v>
      </c>
      <c r="E30" s="135" t="str">
        <f>calculations!D33</f>
        <v>#N/A</v>
      </c>
    </row>
    <row r="31">
      <c r="A31" s="131" t="s">
        <v>90</v>
      </c>
      <c r="B31" s="132" t="s">
        <v>91</v>
      </c>
      <c r="C31" s="133">
        <v>1845.0</v>
      </c>
      <c r="D31" s="134" t="str">
        <f>calculations!C34</f>
        <v>#N/A</v>
      </c>
      <c r="E31" s="135" t="str">
        <f>calculations!D34</f>
        <v>#N/A</v>
      </c>
    </row>
    <row r="32">
      <c r="A32" s="131" t="s">
        <v>90</v>
      </c>
      <c r="B32" s="132" t="s">
        <v>91</v>
      </c>
      <c r="C32" s="133">
        <v>1846.0</v>
      </c>
      <c r="D32" s="134" t="str">
        <f>calculations!C35</f>
        <v>#N/A</v>
      </c>
      <c r="E32" s="135" t="str">
        <f>calculations!D35</f>
        <v>#N/A</v>
      </c>
    </row>
    <row r="33">
      <c r="A33" s="131" t="s">
        <v>90</v>
      </c>
      <c r="B33" s="132" t="s">
        <v>91</v>
      </c>
      <c r="C33" s="133">
        <v>1847.0</v>
      </c>
      <c r="D33" s="134" t="str">
        <f>calculations!C36</f>
        <v>#N/A</v>
      </c>
      <c r="E33" s="135" t="str">
        <f>calculations!D36</f>
        <v>#N/A</v>
      </c>
    </row>
    <row r="34">
      <c r="A34" s="131" t="s">
        <v>90</v>
      </c>
      <c r="B34" s="132" t="s">
        <v>91</v>
      </c>
      <c r="C34" s="133">
        <v>1848.0</v>
      </c>
      <c r="D34" s="134" t="str">
        <f>calculations!C37</f>
        <v>#N/A</v>
      </c>
      <c r="E34" s="135" t="str">
        <f>calculations!D37</f>
        <v>#N/A</v>
      </c>
    </row>
    <row r="35">
      <c r="A35" s="131" t="s">
        <v>90</v>
      </c>
      <c r="B35" s="132" t="s">
        <v>91</v>
      </c>
      <c r="C35" s="133">
        <v>1849.0</v>
      </c>
      <c r="D35" s="134" t="str">
        <f>calculations!C38</f>
        <v>#N/A</v>
      </c>
      <c r="E35" s="135" t="str">
        <f>calculations!D38</f>
        <v>#N/A</v>
      </c>
    </row>
    <row r="36">
      <c r="A36" s="131" t="s">
        <v>90</v>
      </c>
      <c r="B36" s="132" t="s">
        <v>91</v>
      </c>
      <c r="C36" s="133">
        <v>1850.0</v>
      </c>
      <c r="D36" s="134" t="str">
        <f>calculations!C39</f>
        <v>#N/A</v>
      </c>
      <c r="E36" s="135" t="str">
        <f>calculations!D39</f>
        <v>#N/A</v>
      </c>
    </row>
    <row r="37">
      <c r="A37" s="131" t="s">
        <v>90</v>
      </c>
      <c r="B37" s="132" t="s">
        <v>91</v>
      </c>
      <c r="C37" s="133">
        <v>1851.0</v>
      </c>
      <c r="D37" s="134" t="str">
        <f>calculations!C40</f>
        <v>#N/A</v>
      </c>
      <c r="E37" s="135" t="str">
        <f>calculations!D40</f>
        <v>#N/A</v>
      </c>
    </row>
    <row r="38">
      <c r="A38" s="131" t="s">
        <v>90</v>
      </c>
      <c r="B38" s="132" t="s">
        <v>91</v>
      </c>
      <c r="C38" s="133">
        <v>1852.0</v>
      </c>
      <c r="D38" s="134" t="str">
        <f>calculations!C41</f>
        <v>#N/A</v>
      </c>
      <c r="E38" s="135" t="str">
        <f>calculations!D41</f>
        <v>#N/A</v>
      </c>
    </row>
    <row r="39">
      <c r="A39" s="131" t="s">
        <v>90</v>
      </c>
      <c r="B39" s="132" t="s">
        <v>91</v>
      </c>
      <c r="C39" s="133">
        <v>1853.0</v>
      </c>
      <c r="D39" s="134" t="str">
        <f>calculations!C42</f>
        <v>#N/A</v>
      </c>
      <c r="E39" s="135" t="str">
        <f>calculations!D42</f>
        <v>#N/A</v>
      </c>
    </row>
    <row r="40">
      <c r="A40" s="131" t="s">
        <v>90</v>
      </c>
      <c r="B40" s="132" t="s">
        <v>91</v>
      </c>
      <c r="C40" s="133">
        <v>1854.0</v>
      </c>
      <c r="D40" s="134" t="str">
        <f>calculations!C43</f>
        <v>#N/A</v>
      </c>
      <c r="E40" s="135" t="str">
        <f>calculations!D43</f>
        <v>#N/A</v>
      </c>
    </row>
    <row r="41">
      <c r="A41" s="131" t="s">
        <v>90</v>
      </c>
      <c r="B41" s="132" t="s">
        <v>91</v>
      </c>
      <c r="C41" s="133">
        <v>1855.0</v>
      </c>
      <c r="D41" s="134" t="str">
        <f>calculations!C44</f>
        <v>#N/A</v>
      </c>
      <c r="E41" s="135" t="str">
        <f>calculations!D44</f>
        <v>#N/A</v>
      </c>
    </row>
    <row r="42">
      <c r="A42" s="131" t="s">
        <v>90</v>
      </c>
      <c r="B42" s="132" t="s">
        <v>91</v>
      </c>
      <c r="C42" s="133">
        <v>1856.0</v>
      </c>
      <c r="D42" s="134" t="str">
        <f>calculations!C45</f>
        <v>#N/A</v>
      </c>
      <c r="E42" s="135" t="str">
        <f>calculations!D45</f>
        <v>#N/A</v>
      </c>
    </row>
    <row r="43">
      <c r="A43" s="131" t="s">
        <v>90</v>
      </c>
      <c r="B43" s="132" t="s">
        <v>91</v>
      </c>
      <c r="C43" s="133">
        <v>1857.0</v>
      </c>
      <c r="D43" s="134" t="str">
        <f>calculations!C46</f>
        <v>#N/A</v>
      </c>
      <c r="E43" s="135" t="str">
        <f>calculations!D46</f>
        <v>#N/A</v>
      </c>
    </row>
    <row r="44">
      <c r="A44" s="131" t="s">
        <v>90</v>
      </c>
      <c r="B44" s="132" t="s">
        <v>91</v>
      </c>
      <c r="C44" s="133">
        <v>1858.0</v>
      </c>
      <c r="D44" s="134" t="str">
        <f>calculations!C47</f>
        <v>#N/A</v>
      </c>
      <c r="E44" s="135" t="str">
        <f>calculations!D47</f>
        <v>#N/A</v>
      </c>
    </row>
    <row r="45">
      <c r="A45" s="131" t="s">
        <v>90</v>
      </c>
      <c r="B45" s="132" t="s">
        <v>91</v>
      </c>
      <c r="C45" s="133">
        <v>1859.0</v>
      </c>
      <c r="D45" s="134" t="str">
        <f>calculations!C48</f>
        <v>#N/A</v>
      </c>
      <c r="E45" s="135" t="str">
        <f>calculations!D48</f>
        <v>#N/A</v>
      </c>
    </row>
    <row r="46">
      <c r="A46" s="131" t="s">
        <v>90</v>
      </c>
      <c r="B46" s="132" t="s">
        <v>91</v>
      </c>
      <c r="C46" s="133">
        <v>1860.0</v>
      </c>
      <c r="D46" s="134" t="str">
        <f>calculations!C49</f>
        <v>#N/A</v>
      </c>
      <c r="E46" s="135" t="str">
        <f>calculations!D49</f>
        <v>#N/A</v>
      </c>
    </row>
    <row r="47">
      <c r="A47" s="131" t="s">
        <v>90</v>
      </c>
      <c r="B47" s="132" t="s">
        <v>91</v>
      </c>
      <c r="C47" s="133">
        <v>1861.0</v>
      </c>
      <c r="D47" s="134" t="str">
        <f>calculations!C50</f>
        <v>#N/A</v>
      </c>
      <c r="E47" s="135" t="str">
        <f>calculations!D50</f>
        <v>#N/A</v>
      </c>
    </row>
    <row r="48">
      <c r="A48" s="131" t="s">
        <v>90</v>
      </c>
      <c r="B48" s="132" t="s">
        <v>91</v>
      </c>
      <c r="C48" s="133">
        <v>1862.0</v>
      </c>
      <c r="D48" s="134" t="str">
        <f>calculations!C51</f>
        <v>#N/A</v>
      </c>
      <c r="E48" s="135" t="str">
        <f>calculations!D51</f>
        <v>#N/A</v>
      </c>
    </row>
    <row r="49">
      <c r="A49" s="131" t="s">
        <v>90</v>
      </c>
      <c r="B49" s="132" t="s">
        <v>91</v>
      </c>
      <c r="C49" s="133">
        <v>1863.0</v>
      </c>
      <c r="D49" s="134" t="str">
        <f>calculations!C52</f>
        <v>#N/A</v>
      </c>
      <c r="E49" s="135" t="str">
        <f>calculations!D52</f>
        <v>#N/A</v>
      </c>
    </row>
    <row r="50">
      <c r="A50" s="131" t="s">
        <v>90</v>
      </c>
      <c r="B50" s="132" t="s">
        <v>91</v>
      </c>
      <c r="C50" s="133">
        <v>1864.0</v>
      </c>
      <c r="D50" s="134" t="str">
        <f>calculations!C53</f>
        <v>#N/A</v>
      </c>
      <c r="E50" s="135" t="str">
        <f>calculations!D53</f>
        <v>#N/A</v>
      </c>
    </row>
    <row r="51">
      <c r="A51" s="131" t="s">
        <v>90</v>
      </c>
      <c r="B51" s="132" t="s">
        <v>91</v>
      </c>
      <c r="C51" s="133">
        <v>1865.0</v>
      </c>
      <c r="D51" s="134" t="str">
        <f>calculations!C54</f>
        <v>#N/A</v>
      </c>
      <c r="E51" s="135" t="str">
        <f>calculations!D54</f>
        <v>#N/A</v>
      </c>
    </row>
    <row r="52">
      <c r="A52" s="131" t="s">
        <v>90</v>
      </c>
      <c r="B52" s="132" t="s">
        <v>91</v>
      </c>
      <c r="C52" s="133">
        <v>1866.0</v>
      </c>
      <c r="D52" s="134" t="str">
        <f>calculations!C55</f>
        <v>#N/A</v>
      </c>
      <c r="E52" s="135" t="str">
        <f>calculations!D55</f>
        <v>#N/A</v>
      </c>
    </row>
    <row r="53">
      <c r="A53" s="131" t="s">
        <v>90</v>
      </c>
      <c r="B53" s="132" t="s">
        <v>91</v>
      </c>
      <c r="C53" s="133">
        <v>1867.0</v>
      </c>
      <c r="D53" s="134" t="str">
        <f>calculations!C56</f>
        <v>#N/A</v>
      </c>
      <c r="E53" s="135" t="str">
        <f>calculations!D56</f>
        <v>#N/A</v>
      </c>
    </row>
    <row r="54">
      <c r="A54" s="131" t="s">
        <v>90</v>
      </c>
      <c r="B54" s="132" t="s">
        <v>91</v>
      </c>
      <c r="C54" s="133">
        <v>1868.0</v>
      </c>
      <c r="D54" s="134" t="str">
        <f>calculations!C57</f>
        <v>#N/A</v>
      </c>
      <c r="E54" s="135" t="str">
        <f>calculations!D57</f>
        <v>#N/A</v>
      </c>
    </row>
    <row r="55">
      <c r="A55" s="131" t="s">
        <v>90</v>
      </c>
      <c r="B55" s="132" t="s">
        <v>91</v>
      </c>
      <c r="C55" s="133">
        <v>1869.0</v>
      </c>
      <c r="D55" s="134" t="str">
        <f>calculations!C58</f>
        <v>#N/A</v>
      </c>
      <c r="E55" s="135" t="str">
        <f>calculations!D58</f>
        <v>#N/A</v>
      </c>
    </row>
    <row r="56">
      <c r="A56" s="131" t="s">
        <v>90</v>
      </c>
      <c r="B56" s="132" t="s">
        <v>91</v>
      </c>
      <c r="C56" s="133">
        <v>1870.0</v>
      </c>
      <c r="D56" s="134" t="str">
        <f>calculations!C59</f>
        <v>#N/A</v>
      </c>
      <c r="E56" s="135" t="str">
        <f>calculations!D59</f>
        <v>#N/A</v>
      </c>
    </row>
    <row r="57">
      <c r="A57" s="131" t="s">
        <v>90</v>
      </c>
      <c r="B57" s="132" t="s">
        <v>91</v>
      </c>
      <c r="C57" s="133">
        <v>1871.0</v>
      </c>
      <c r="D57" s="134" t="str">
        <f>calculations!C60</f>
        <v>#N/A</v>
      </c>
      <c r="E57" s="135" t="str">
        <f>calculations!D60</f>
        <v>#N/A</v>
      </c>
    </row>
    <row r="58">
      <c r="A58" s="131" t="s">
        <v>90</v>
      </c>
      <c r="B58" s="132" t="s">
        <v>91</v>
      </c>
      <c r="C58" s="133">
        <v>1872.0</v>
      </c>
      <c r="D58" s="134" t="str">
        <f>calculations!C61</f>
        <v>#N/A</v>
      </c>
      <c r="E58" s="135" t="str">
        <f>calculations!D61</f>
        <v>#N/A</v>
      </c>
    </row>
    <row r="59">
      <c r="A59" s="131" t="s">
        <v>90</v>
      </c>
      <c r="B59" s="132" t="s">
        <v>91</v>
      </c>
      <c r="C59" s="133">
        <v>1873.0</v>
      </c>
      <c r="D59" s="134" t="str">
        <f>calculations!C62</f>
        <v>#N/A</v>
      </c>
      <c r="E59" s="135" t="str">
        <f>calculations!D62</f>
        <v>#N/A</v>
      </c>
    </row>
    <row r="60">
      <c r="A60" s="131" t="s">
        <v>90</v>
      </c>
      <c r="B60" s="132" t="s">
        <v>91</v>
      </c>
      <c r="C60" s="133">
        <v>1874.0</v>
      </c>
      <c r="D60" s="134" t="str">
        <f>calculations!C63</f>
        <v>#N/A</v>
      </c>
      <c r="E60" s="135" t="str">
        <f>calculations!D63</f>
        <v>#N/A</v>
      </c>
    </row>
    <row r="61">
      <c r="A61" s="131" t="s">
        <v>90</v>
      </c>
      <c r="B61" s="132" t="s">
        <v>91</v>
      </c>
      <c r="C61" s="133">
        <v>1875.0</v>
      </c>
      <c r="D61" s="134" t="str">
        <f>calculations!C64</f>
        <v>#N/A</v>
      </c>
      <c r="E61" s="135" t="str">
        <f>calculations!D64</f>
        <v>#N/A</v>
      </c>
    </row>
    <row r="62">
      <c r="A62" s="131" t="s">
        <v>90</v>
      </c>
      <c r="B62" s="132" t="s">
        <v>91</v>
      </c>
      <c r="C62" s="133">
        <v>1876.0</v>
      </c>
      <c r="D62" s="134" t="str">
        <f>calculations!C65</f>
        <v>#N/A</v>
      </c>
      <c r="E62" s="135" t="str">
        <f>calculations!D65</f>
        <v>#N/A</v>
      </c>
    </row>
    <row r="63">
      <c r="A63" s="131" t="s">
        <v>90</v>
      </c>
      <c r="B63" s="132" t="s">
        <v>91</v>
      </c>
      <c r="C63" s="133">
        <v>1877.0</v>
      </c>
      <c r="D63" s="134" t="str">
        <f>calculations!C66</f>
        <v>#N/A</v>
      </c>
      <c r="E63" s="135" t="str">
        <f>calculations!D66</f>
        <v>#N/A</v>
      </c>
    </row>
    <row r="64">
      <c r="A64" s="131" t="s">
        <v>90</v>
      </c>
      <c r="B64" s="132" t="s">
        <v>91</v>
      </c>
      <c r="C64" s="133">
        <v>1878.0</v>
      </c>
      <c r="D64" s="134" t="str">
        <f>calculations!C67</f>
        <v>#N/A</v>
      </c>
      <c r="E64" s="135" t="str">
        <f>calculations!D67</f>
        <v>#N/A</v>
      </c>
    </row>
    <row r="65">
      <c r="A65" s="131" t="s">
        <v>90</v>
      </c>
      <c r="B65" s="132" t="s">
        <v>91</v>
      </c>
      <c r="C65" s="133">
        <v>1879.0</v>
      </c>
      <c r="D65" s="134" t="str">
        <f>calculations!C68</f>
        <v>#N/A</v>
      </c>
      <c r="E65" s="135" t="str">
        <f>calculations!D68</f>
        <v>#N/A</v>
      </c>
    </row>
    <row r="66">
      <c r="A66" s="131" t="s">
        <v>90</v>
      </c>
      <c r="B66" s="132" t="s">
        <v>91</v>
      </c>
      <c r="C66" s="133">
        <v>1880.0</v>
      </c>
      <c r="D66" s="134" t="str">
        <f>calculations!C69</f>
        <v>#N/A</v>
      </c>
      <c r="E66" s="135" t="str">
        <f>calculations!D69</f>
        <v>#N/A</v>
      </c>
    </row>
    <row r="67">
      <c r="A67" s="131" t="s">
        <v>90</v>
      </c>
      <c r="B67" s="132" t="s">
        <v>91</v>
      </c>
      <c r="C67" s="133">
        <v>1881.0</v>
      </c>
      <c r="D67" s="134" t="str">
        <f>calculations!C70</f>
        <v>#N/A</v>
      </c>
      <c r="E67" s="135" t="str">
        <f>calculations!D70</f>
        <v>#N/A</v>
      </c>
    </row>
    <row r="68">
      <c r="A68" s="131" t="s">
        <v>90</v>
      </c>
      <c r="B68" s="132" t="s">
        <v>91</v>
      </c>
      <c r="C68" s="133">
        <v>1882.0</v>
      </c>
      <c r="D68" s="134" t="str">
        <f>calculations!C71</f>
        <v>#N/A</v>
      </c>
      <c r="E68" s="135" t="str">
        <f>calculations!D71</f>
        <v>#N/A</v>
      </c>
    </row>
    <row r="69">
      <c r="A69" s="131" t="s">
        <v>90</v>
      </c>
      <c r="B69" s="132" t="s">
        <v>91</v>
      </c>
      <c r="C69" s="133">
        <v>1883.0</v>
      </c>
      <c r="D69" s="134" t="str">
        <f>calculations!C72</f>
        <v>#N/A</v>
      </c>
      <c r="E69" s="135" t="str">
        <f>calculations!D72</f>
        <v>#N/A</v>
      </c>
    </row>
    <row r="70">
      <c r="A70" s="131" t="s">
        <v>90</v>
      </c>
      <c r="B70" s="132" t="s">
        <v>91</v>
      </c>
      <c r="C70" s="133">
        <v>1884.0</v>
      </c>
      <c r="D70" s="134" t="str">
        <f>calculations!C73</f>
        <v>#N/A</v>
      </c>
      <c r="E70" s="135" t="str">
        <f>calculations!D73</f>
        <v>#N/A</v>
      </c>
    </row>
    <row r="71">
      <c r="A71" s="131" t="s">
        <v>90</v>
      </c>
      <c r="B71" s="132" t="s">
        <v>91</v>
      </c>
      <c r="C71" s="133">
        <v>1885.0</v>
      </c>
      <c r="D71" s="134" t="str">
        <f>calculations!C74</f>
        <v>#N/A</v>
      </c>
      <c r="E71" s="135" t="str">
        <f>calculations!D74</f>
        <v>#N/A</v>
      </c>
    </row>
    <row r="72">
      <c r="A72" s="131" t="s">
        <v>90</v>
      </c>
      <c r="B72" s="132" t="s">
        <v>91</v>
      </c>
      <c r="C72" s="133">
        <v>1886.0</v>
      </c>
      <c r="D72" s="134" t="str">
        <f>calculations!C75</f>
        <v>#N/A</v>
      </c>
      <c r="E72" s="135" t="str">
        <f>calculations!D75</f>
        <v>#N/A</v>
      </c>
    </row>
    <row r="73">
      <c r="A73" s="131" t="s">
        <v>90</v>
      </c>
      <c r="B73" s="132" t="s">
        <v>91</v>
      </c>
      <c r="C73" s="133">
        <v>1887.0</v>
      </c>
      <c r="D73" s="134" t="str">
        <f>calculations!C76</f>
        <v>#N/A</v>
      </c>
      <c r="E73" s="135" t="str">
        <f>calculations!D76</f>
        <v>#N/A</v>
      </c>
    </row>
    <row r="74">
      <c r="A74" s="131" t="s">
        <v>90</v>
      </c>
      <c r="B74" s="132" t="s">
        <v>91</v>
      </c>
      <c r="C74" s="133">
        <v>1888.0</v>
      </c>
      <c r="D74" s="134" t="str">
        <f>calculations!C77</f>
        <v>#N/A</v>
      </c>
      <c r="E74" s="135" t="str">
        <f>calculations!D77</f>
        <v>#N/A</v>
      </c>
    </row>
    <row r="75">
      <c r="A75" s="131" t="s">
        <v>90</v>
      </c>
      <c r="B75" s="132" t="s">
        <v>91</v>
      </c>
      <c r="C75" s="133">
        <v>1889.0</v>
      </c>
      <c r="D75" s="134" t="str">
        <f>calculations!C78</f>
        <v>#N/A</v>
      </c>
      <c r="E75" s="135" t="str">
        <f>calculations!D78</f>
        <v>#N/A</v>
      </c>
    </row>
    <row r="76">
      <c r="A76" s="131" t="s">
        <v>90</v>
      </c>
      <c r="B76" s="132" t="s">
        <v>91</v>
      </c>
      <c r="C76" s="133">
        <v>1890.0</v>
      </c>
      <c r="D76" s="134" t="str">
        <f>calculations!C79</f>
        <v>#N/A</v>
      </c>
      <c r="E76" s="135" t="str">
        <f>calculations!D79</f>
        <v>#N/A</v>
      </c>
    </row>
    <row r="77">
      <c r="A77" s="131" t="s">
        <v>90</v>
      </c>
      <c r="B77" s="132" t="s">
        <v>91</v>
      </c>
      <c r="C77" s="133">
        <v>1891.0</v>
      </c>
      <c r="D77" s="134" t="str">
        <f>calculations!C80</f>
        <v>#N/A</v>
      </c>
      <c r="E77" s="135" t="str">
        <f>calculations!D80</f>
        <v>#N/A</v>
      </c>
    </row>
    <row r="78">
      <c r="A78" s="131" t="s">
        <v>90</v>
      </c>
      <c r="B78" s="132" t="s">
        <v>91</v>
      </c>
      <c r="C78" s="133">
        <v>1892.0</v>
      </c>
      <c r="D78" s="134" t="str">
        <f>calculations!C81</f>
        <v>#N/A</v>
      </c>
      <c r="E78" s="135" t="str">
        <f>calculations!D81</f>
        <v>#N/A</v>
      </c>
    </row>
    <row r="79">
      <c r="A79" s="131" t="s">
        <v>90</v>
      </c>
      <c r="B79" s="132" t="s">
        <v>91</v>
      </c>
      <c r="C79" s="133">
        <v>1893.0</v>
      </c>
      <c r="D79" s="134" t="str">
        <f>calculations!C82</f>
        <v>#N/A</v>
      </c>
      <c r="E79" s="135" t="str">
        <f>calculations!D82</f>
        <v>#N/A</v>
      </c>
    </row>
    <row r="80">
      <c r="A80" s="131" t="s">
        <v>90</v>
      </c>
      <c r="B80" s="132" t="s">
        <v>91</v>
      </c>
      <c r="C80" s="133">
        <v>1894.0</v>
      </c>
      <c r="D80" s="134" t="str">
        <f>calculations!C83</f>
        <v>#N/A</v>
      </c>
      <c r="E80" s="135" t="str">
        <f>calculations!D83</f>
        <v>#N/A</v>
      </c>
    </row>
    <row r="81">
      <c r="A81" s="131" t="s">
        <v>90</v>
      </c>
      <c r="B81" s="132" t="s">
        <v>91</v>
      </c>
      <c r="C81" s="133">
        <v>1895.0</v>
      </c>
      <c r="D81" s="134" t="str">
        <f>calculations!C84</f>
        <v>#N/A</v>
      </c>
      <c r="E81" s="135" t="str">
        <f>calculations!D84</f>
        <v>#N/A</v>
      </c>
    </row>
    <row r="82">
      <c r="A82" s="131" t="s">
        <v>90</v>
      </c>
      <c r="B82" s="132" t="s">
        <v>91</v>
      </c>
      <c r="C82" s="133">
        <v>1896.0</v>
      </c>
      <c r="D82" s="134" t="str">
        <f>calculations!C85</f>
        <v>#N/A</v>
      </c>
      <c r="E82" s="135" t="str">
        <f>calculations!D85</f>
        <v>#N/A</v>
      </c>
    </row>
    <row r="83">
      <c r="A83" s="131" t="s">
        <v>90</v>
      </c>
      <c r="B83" s="132" t="s">
        <v>91</v>
      </c>
      <c r="C83" s="133">
        <v>1897.0</v>
      </c>
      <c r="D83" s="134" t="str">
        <f>calculations!C86</f>
        <v>#N/A</v>
      </c>
      <c r="E83" s="135" t="str">
        <f>calculations!D86</f>
        <v>#N/A</v>
      </c>
    </row>
    <row r="84">
      <c r="A84" s="131" t="s">
        <v>90</v>
      </c>
      <c r="B84" s="132" t="s">
        <v>91</v>
      </c>
      <c r="C84" s="133">
        <v>1898.0</v>
      </c>
      <c r="D84" s="134" t="str">
        <f>calculations!C87</f>
        <v>#N/A</v>
      </c>
      <c r="E84" s="135" t="str">
        <f>calculations!D87</f>
        <v>#N/A</v>
      </c>
    </row>
    <row r="85">
      <c r="A85" s="131" t="s">
        <v>90</v>
      </c>
      <c r="B85" s="132" t="s">
        <v>91</v>
      </c>
      <c r="C85" s="133">
        <v>1899.0</v>
      </c>
      <c r="D85" s="134" t="str">
        <f>calculations!C88</f>
        <v>#N/A</v>
      </c>
      <c r="E85" s="135" t="str">
        <f>calculations!D88</f>
        <v>#N/A</v>
      </c>
    </row>
    <row r="86">
      <c r="A86" s="131" t="s">
        <v>90</v>
      </c>
      <c r="B86" s="132" t="s">
        <v>91</v>
      </c>
      <c r="C86" s="133">
        <v>1900.0</v>
      </c>
      <c r="D86" s="134" t="str">
        <f>calculations!C89</f>
        <v>#N/A</v>
      </c>
      <c r="E86" s="135" t="str">
        <f>calculations!D89</f>
        <v>#N/A</v>
      </c>
    </row>
    <row r="87">
      <c r="A87" s="131" t="s">
        <v>90</v>
      </c>
      <c r="B87" s="132" t="s">
        <v>91</v>
      </c>
      <c r="C87" s="133">
        <v>1901.0</v>
      </c>
      <c r="D87" s="134" t="str">
        <f>calculations!C90</f>
        <v>#N/A</v>
      </c>
      <c r="E87" s="135" t="str">
        <f>calculations!D90</f>
        <v>#N/A</v>
      </c>
    </row>
    <row r="88">
      <c r="A88" s="131" t="s">
        <v>90</v>
      </c>
      <c r="B88" s="132" t="s">
        <v>91</v>
      </c>
      <c r="C88" s="133">
        <v>1902.0</v>
      </c>
      <c r="D88" s="134" t="str">
        <f>calculations!C91</f>
        <v>#N/A</v>
      </c>
      <c r="E88" s="135" t="str">
        <f>calculations!D91</f>
        <v>#N/A</v>
      </c>
    </row>
    <row r="89">
      <c r="A89" s="131" t="s">
        <v>90</v>
      </c>
      <c r="B89" s="132" t="s">
        <v>91</v>
      </c>
      <c r="C89" s="133">
        <v>1903.0</v>
      </c>
      <c r="D89" s="134" t="str">
        <f>calculations!C92</f>
        <v>#N/A</v>
      </c>
      <c r="E89" s="135" t="str">
        <f>calculations!D92</f>
        <v>#N/A</v>
      </c>
    </row>
    <row r="90">
      <c r="A90" s="131" t="s">
        <v>90</v>
      </c>
      <c r="B90" s="132" t="s">
        <v>91</v>
      </c>
      <c r="C90" s="133">
        <v>1904.0</v>
      </c>
      <c r="D90" s="134" t="str">
        <f>calculations!C93</f>
        <v>#N/A</v>
      </c>
      <c r="E90" s="135" t="str">
        <f>calculations!D93</f>
        <v>#N/A</v>
      </c>
    </row>
    <row r="91">
      <c r="A91" s="131" t="s">
        <v>90</v>
      </c>
      <c r="B91" s="132" t="s">
        <v>91</v>
      </c>
      <c r="C91" s="133">
        <v>1905.0</v>
      </c>
      <c r="D91" s="134" t="str">
        <f>calculations!C94</f>
        <v>#N/A</v>
      </c>
      <c r="E91" s="135" t="str">
        <f>calculations!D94</f>
        <v>#N/A</v>
      </c>
    </row>
    <row r="92">
      <c r="A92" s="131" t="s">
        <v>90</v>
      </c>
      <c r="B92" s="132" t="s">
        <v>91</v>
      </c>
      <c r="C92" s="133">
        <v>1906.0</v>
      </c>
      <c r="D92" s="134" t="str">
        <f>calculations!C95</f>
        <v>#N/A</v>
      </c>
      <c r="E92" s="135" t="str">
        <f>calculations!D95</f>
        <v>#N/A</v>
      </c>
    </row>
    <row r="93">
      <c r="A93" s="131" t="s">
        <v>90</v>
      </c>
      <c r="B93" s="132" t="s">
        <v>91</v>
      </c>
      <c r="C93" s="133">
        <v>1907.0</v>
      </c>
      <c r="D93" s="134" t="str">
        <f>calculations!C96</f>
        <v>#N/A</v>
      </c>
      <c r="E93" s="135" t="str">
        <f>calculations!D96</f>
        <v>#N/A</v>
      </c>
    </row>
    <row r="94">
      <c r="A94" s="131" t="s">
        <v>90</v>
      </c>
      <c r="B94" s="132" t="s">
        <v>91</v>
      </c>
      <c r="C94" s="133">
        <v>1908.0</v>
      </c>
      <c r="D94" s="134" t="str">
        <f>calculations!C97</f>
        <v>#N/A</v>
      </c>
      <c r="E94" s="135" t="str">
        <f>calculations!D97</f>
        <v>#N/A</v>
      </c>
    </row>
    <row r="95">
      <c r="A95" s="131" t="s">
        <v>90</v>
      </c>
      <c r="B95" s="132" t="s">
        <v>91</v>
      </c>
      <c r="C95" s="133">
        <v>1909.0</v>
      </c>
      <c r="D95" s="134" t="str">
        <f>calculations!C98</f>
        <v>#N/A</v>
      </c>
      <c r="E95" s="135" t="str">
        <f>calculations!D98</f>
        <v>#N/A</v>
      </c>
    </row>
    <row r="96">
      <c r="A96" s="131" t="s">
        <v>90</v>
      </c>
      <c r="B96" s="132" t="s">
        <v>91</v>
      </c>
      <c r="C96" s="133">
        <v>1910.0</v>
      </c>
      <c r="D96" s="134" t="str">
        <f>calculations!C99</f>
        <v>#N/A</v>
      </c>
      <c r="E96" s="135" t="str">
        <f>calculations!D99</f>
        <v>#N/A</v>
      </c>
    </row>
    <row r="97">
      <c r="A97" s="131" t="s">
        <v>90</v>
      </c>
      <c r="B97" s="132" t="s">
        <v>91</v>
      </c>
      <c r="C97" s="133">
        <v>1911.0</v>
      </c>
      <c r="D97" s="134" t="str">
        <f>calculations!C100</f>
        <v>#N/A</v>
      </c>
      <c r="E97" s="135" t="str">
        <f>calculations!D100</f>
        <v>#N/A</v>
      </c>
    </row>
    <row r="98">
      <c r="A98" s="131" t="s">
        <v>90</v>
      </c>
      <c r="B98" s="132" t="s">
        <v>91</v>
      </c>
      <c r="C98" s="133">
        <v>1912.0</v>
      </c>
      <c r="D98" s="134" t="str">
        <f>calculations!C101</f>
        <v>#N/A</v>
      </c>
      <c r="E98" s="135" t="str">
        <f>calculations!D101</f>
        <v>#N/A</v>
      </c>
    </row>
    <row r="99">
      <c r="A99" s="131" t="s">
        <v>90</v>
      </c>
      <c r="B99" s="132" t="s">
        <v>91</v>
      </c>
      <c r="C99" s="133">
        <v>1913.0</v>
      </c>
      <c r="D99" s="134" t="str">
        <f>calculations!C102</f>
        <v>#N/A</v>
      </c>
      <c r="E99" s="135" t="str">
        <f>calculations!D102</f>
        <v>#N/A</v>
      </c>
    </row>
    <row r="100">
      <c r="A100" s="131" t="s">
        <v>90</v>
      </c>
      <c r="B100" s="132" t="s">
        <v>91</v>
      </c>
      <c r="C100" s="133">
        <v>1914.0</v>
      </c>
      <c r="D100" s="134" t="str">
        <f>calculations!C103</f>
        <v>#N/A</v>
      </c>
      <c r="E100" s="135" t="str">
        <f>calculations!D103</f>
        <v>#N/A</v>
      </c>
    </row>
    <row r="101">
      <c r="A101" s="131" t="s">
        <v>90</v>
      </c>
      <c r="B101" s="132" t="s">
        <v>91</v>
      </c>
      <c r="C101" s="133">
        <v>1915.0</v>
      </c>
      <c r="D101" s="134" t="str">
        <f>calculations!C104</f>
        <v>#N/A</v>
      </c>
      <c r="E101" s="135" t="str">
        <f>calculations!D104</f>
        <v>#N/A</v>
      </c>
    </row>
    <row r="102">
      <c r="A102" s="131" t="s">
        <v>90</v>
      </c>
      <c r="B102" s="132" t="s">
        <v>91</v>
      </c>
      <c r="C102" s="133">
        <v>1916.0</v>
      </c>
      <c r="D102" s="134" t="str">
        <f>calculations!C105</f>
        <v>#N/A</v>
      </c>
      <c r="E102" s="135" t="str">
        <f>calculations!D105</f>
        <v>#N/A</v>
      </c>
    </row>
    <row r="103">
      <c r="A103" s="131" t="s">
        <v>90</v>
      </c>
      <c r="B103" s="132" t="s">
        <v>91</v>
      </c>
      <c r="C103" s="133">
        <v>1917.0</v>
      </c>
      <c r="D103" s="134" t="str">
        <f>calculations!C106</f>
        <v>#N/A</v>
      </c>
      <c r="E103" s="135" t="str">
        <f>calculations!D106</f>
        <v>#N/A</v>
      </c>
    </row>
    <row r="104">
      <c r="A104" s="131" t="s">
        <v>90</v>
      </c>
      <c r="B104" s="132" t="s">
        <v>91</v>
      </c>
      <c r="C104" s="133">
        <v>1918.0</v>
      </c>
      <c r="D104" s="134" t="str">
        <f>calculations!C107</f>
        <v>#N/A</v>
      </c>
      <c r="E104" s="135" t="str">
        <f>calculations!D107</f>
        <v>#N/A</v>
      </c>
    </row>
    <row r="105">
      <c r="A105" s="131" t="s">
        <v>90</v>
      </c>
      <c r="B105" s="132" t="s">
        <v>91</v>
      </c>
      <c r="C105" s="133">
        <v>1919.0</v>
      </c>
      <c r="D105" s="134" t="str">
        <f>calculations!C108</f>
        <v>#N/A</v>
      </c>
      <c r="E105" s="135" t="str">
        <f>calculations!D108</f>
        <v>#N/A</v>
      </c>
    </row>
    <row r="106">
      <c r="A106" s="131" t="s">
        <v>90</v>
      </c>
      <c r="B106" s="132" t="s">
        <v>91</v>
      </c>
      <c r="C106" s="133">
        <v>1920.0</v>
      </c>
      <c r="D106" s="134" t="str">
        <f>calculations!C109</f>
        <v>#N/A</v>
      </c>
      <c r="E106" s="135" t="str">
        <f>calculations!D109</f>
        <v>#N/A</v>
      </c>
    </row>
    <row r="107">
      <c r="A107" s="131" t="s">
        <v>90</v>
      </c>
      <c r="B107" s="132" t="s">
        <v>91</v>
      </c>
      <c r="C107" s="133">
        <v>1921.0</v>
      </c>
      <c r="D107" s="134" t="str">
        <f>calculations!C110</f>
        <v>#N/A</v>
      </c>
      <c r="E107" s="135" t="str">
        <f>calculations!D110</f>
        <v>#N/A</v>
      </c>
    </row>
    <row r="108">
      <c r="A108" s="131" t="s">
        <v>90</v>
      </c>
      <c r="B108" s="132" t="s">
        <v>91</v>
      </c>
      <c r="C108" s="133">
        <v>1922.0</v>
      </c>
      <c r="D108" s="134" t="str">
        <f>calculations!C111</f>
        <v>#N/A</v>
      </c>
      <c r="E108" s="135" t="str">
        <f>calculations!D111</f>
        <v>#N/A</v>
      </c>
    </row>
    <row r="109">
      <c r="A109" s="131" t="s">
        <v>90</v>
      </c>
      <c r="B109" s="132" t="s">
        <v>91</v>
      </c>
      <c r="C109" s="133">
        <v>1923.0</v>
      </c>
      <c r="D109" s="134" t="str">
        <f>calculations!C112</f>
        <v>#N/A</v>
      </c>
      <c r="E109" s="135" t="str">
        <f>calculations!D112</f>
        <v>#N/A</v>
      </c>
    </row>
    <row r="110">
      <c r="A110" s="131" t="s">
        <v>90</v>
      </c>
      <c r="B110" s="132" t="s">
        <v>91</v>
      </c>
      <c r="C110" s="133">
        <v>1924.0</v>
      </c>
      <c r="D110" s="134" t="str">
        <f>calculations!C113</f>
        <v>#N/A</v>
      </c>
      <c r="E110" s="135" t="str">
        <f>calculations!D113</f>
        <v>#N/A</v>
      </c>
    </row>
    <row r="111">
      <c r="A111" s="131" t="s">
        <v>90</v>
      </c>
      <c r="B111" s="132" t="s">
        <v>91</v>
      </c>
      <c r="C111" s="133">
        <v>1925.0</v>
      </c>
      <c r="D111" s="134" t="str">
        <f>calculations!C114</f>
        <v>#N/A</v>
      </c>
      <c r="E111" s="135" t="str">
        <f>calculations!D114</f>
        <v>#N/A</v>
      </c>
    </row>
    <row r="112">
      <c r="A112" s="131" t="s">
        <v>90</v>
      </c>
      <c r="B112" s="132" t="s">
        <v>91</v>
      </c>
      <c r="C112" s="133">
        <v>1926.0</v>
      </c>
      <c r="D112" s="134" t="str">
        <f>calculations!C115</f>
        <v>#N/A</v>
      </c>
      <c r="E112" s="135" t="str">
        <f>calculations!D115</f>
        <v>#N/A</v>
      </c>
    </row>
    <row r="113">
      <c r="A113" s="131" t="s">
        <v>90</v>
      </c>
      <c r="B113" s="132" t="s">
        <v>91</v>
      </c>
      <c r="C113" s="133">
        <v>1927.0</v>
      </c>
      <c r="D113" s="134" t="str">
        <f>calculations!C116</f>
        <v>#N/A</v>
      </c>
      <c r="E113" s="135" t="str">
        <f>calculations!D116</f>
        <v>#N/A</v>
      </c>
    </row>
    <row r="114">
      <c r="A114" s="131" t="s">
        <v>90</v>
      </c>
      <c r="B114" s="132" t="s">
        <v>91</v>
      </c>
      <c r="C114" s="133">
        <v>1928.0</v>
      </c>
      <c r="D114" s="134" t="str">
        <f>calculations!C117</f>
        <v>#N/A</v>
      </c>
      <c r="E114" s="135" t="str">
        <f>calculations!D117</f>
        <v>#N/A</v>
      </c>
    </row>
    <row r="115">
      <c r="A115" s="131" t="s">
        <v>90</v>
      </c>
      <c r="B115" s="132" t="s">
        <v>91</v>
      </c>
      <c r="C115" s="133">
        <v>1929.0</v>
      </c>
      <c r="D115" s="134" t="str">
        <f>calculations!C118</f>
        <v>#N/A</v>
      </c>
      <c r="E115" s="135" t="str">
        <f>calculations!D118</f>
        <v>#N/A</v>
      </c>
    </row>
    <row r="116">
      <c r="A116" s="131" t="s">
        <v>90</v>
      </c>
      <c r="B116" s="132" t="s">
        <v>91</v>
      </c>
      <c r="C116" s="133">
        <v>1930.0</v>
      </c>
      <c r="D116" s="134" t="str">
        <f>calculations!C119</f>
        <v>#N/A</v>
      </c>
      <c r="E116" s="135" t="str">
        <f>calculations!D119</f>
        <v>#N/A</v>
      </c>
    </row>
    <row r="117">
      <c r="A117" s="131" t="s">
        <v>90</v>
      </c>
      <c r="B117" s="132" t="s">
        <v>91</v>
      </c>
      <c r="C117" s="133">
        <v>1931.0</v>
      </c>
      <c r="D117" s="134" t="str">
        <f>calculations!C120</f>
        <v>#N/A</v>
      </c>
      <c r="E117" s="135" t="str">
        <f>calculations!D120</f>
        <v>#N/A</v>
      </c>
    </row>
    <row r="118">
      <c r="A118" s="131" t="s">
        <v>90</v>
      </c>
      <c r="B118" s="132" t="s">
        <v>91</v>
      </c>
      <c r="C118" s="133">
        <v>1932.0</v>
      </c>
      <c r="D118" s="134" t="str">
        <f>calculations!C121</f>
        <v>#N/A</v>
      </c>
      <c r="E118" s="135" t="str">
        <f>calculations!D121</f>
        <v>#N/A</v>
      </c>
    </row>
    <row r="119">
      <c r="A119" s="131" t="s">
        <v>90</v>
      </c>
      <c r="B119" s="132" t="s">
        <v>91</v>
      </c>
      <c r="C119" s="133">
        <v>1933.0</v>
      </c>
      <c r="D119" s="134" t="str">
        <f>calculations!C122</f>
        <v>#N/A</v>
      </c>
      <c r="E119" s="135" t="str">
        <f>calculations!D122</f>
        <v>#N/A</v>
      </c>
    </row>
    <row r="120">
      <c r="A120" s="131" t="s">
        <v>90</v>
      </c>
      <c r="B120" s="132" t="s">
        <v>91</v>
      </c>
      <c r="C120" s="133">
        <v>1934.0</v>
      </c>
      <c r="D120" s="134" t="str">
        <f>calculations!C123</f>
        <v>#N/A</v>
      </c>
      <c r="E120" s="135" t="str">
        <f>calculations!D123</f>
        <v>#N/A</v>
      </c>
    </row>
    <row r="121">
      <c r="A121" s="131" t="s">
        <v>90</v>
      </c>
      <c r="B121" s="132" t="s">
        <v>91</v>
      </c>
      <c r="C121" s="133">
        <v>1935.0</v>
      </c>
      <c r="D121" s="134" t="str">
        <f>calculations!C124</f>
        <v>#N/A</v>
      </c>
      <c r="E121" s="135" t="str">
        <f>calculations!D124</f>
        <v>#N/A</v>
      </c>
    </row>
    <row r="122">
      <c r="A122" s="131" t="s">
        <v>90</v>
      </c>
      <c r="B122" s="132" t="s">
        <v>91</v>
      </c>
      <c r="C122" s="133">
        <v>1936.0</v>
      </c>
      <c r="D122" s="134" t="str">
        <f>calculations!C125</f>
        <v>#N/A</v>
      </c>
      <c r="E122" s="135" t="str">
        <f>calculations!D125</f>
        <v>#N/A</v>
      </c>
    </row>
    <row r="123">
      <c r="A123" s="131" t="s">
        <v>90</v>
      </c>
      <c r="B123" s="132" t="s">
        <v>91</v>
      </c>
      <c r="C123" s="133">
        <v>1937.0</v>
      </c>
      <c r="D123" s="134" t="str">
        <f>calculations!C126</f>
        <v>#N/A</v>
      </c>
      <c r="E123" s="135" t="str">
        <f>calculations!D126</f>
        <v>#N/A</v>
      </c>
    </row>
    <row r="124">
      <c r="A124" s="131" t="s">
        <v>90</v>
      </c>
      <c r="B124" s="132" t="s">
        <v>91</v>
      </c>
      <c r="C124" s="133">
        <v>1938.0</v>
      </c>
      <c r="D124" s="134" t="str">
        <f>calculations!C127</f>
        <v>#N/A</v>
      </c>
      <c r="E124" s="135" t="str">
        <f>calculations!D127</f>
        <v>#N/A</v>
      </c>
    </row>
    <row r="125">
      <c r="A125" s="131" t="s">
        <v>90</v>
      </c>
      <c r="B125" s="132" t="s">
        <v>91</v>
      </c>
      <c r="C125" s="133">
        <v>1939.0</v>
      </c>
      <c r="D125" s="134" t="str">
        <f>calculations!C128</f>
        <v>#N/A</v>
      </c>
      <c r="E125" s="135" t="str">
        <f>calculations!D128</f>
        <v>#N/A</v>
      </c>
    </row>
    <row r="126">
      <c r="A126" s="131" t="s">
        <v>90</v>
      </c>
      <c r="B126" s="132" t="s">
        <v>91</v>
      </c>
      <c r="C126" s="133">
        <v>1940.0</v>
      </c>
      <c r="D126" s="134" t="str">
        <f>calculations!C129</f>
        <v>#N/A</v>
      </c>
      <c r="E126" s="135" t="str">
        <f>calculations!D129</f>
        <v>#N/A</v>
      </c>
    </row>
    <row r="127">
      <c r="A127" s="131" t="s">
        <v>90</v>
      </c>
      <c r="B127" s="132" t="s">
        <v>91</v>
      </c>
      <c r="C127" s="133">
        <v>1941.0</v>
      </c>
      <c r="D127" s="134" t="str">
        <f>calculations!C130</f>
        <v>#N/A</v>
      </c>
      <c r="E127" s="135" t="str">
        <f>calculations!D130</f>
        <v>#N/A</v>
      </c>
    </row>
    <row r="128">
      <c r="A128" s="131" t="s">
        <v>90</v>
      </c>
      <c r="B128" s="132" t="s">
        <v>91</v>
      </c>
      <c r="C128" s="133">
        <v>1942.0</v>
      </c>
      <c r="D128" s="134" t="str">
        <f>calculations!C131</f>
        <v>#N/A</v>
      </c>
      <c r="E128" s="135" t="str">
        <f>calculations!D131</f>
        <v>#N/A</v>
      </c>
    </row>
    <row r="129">
      <c r="A129" s="131" t="s">
        <v>90</v>
      </c>
      <c r="B129" s="132" t="s">
        <v>91</v>
      </c>
      <c r="C129" s="133">
        <v>1943.0</v>
      </c>
      <c r="D129" s="134" t="str">
        <f>calculations!C132</f>
        <v>#N/A</v>
      </c>
      <c r="E129" s="135" t="str">
        <f>calculations!D132</f>
        <v>#N/A</v>
      </c>
    </row>
    <row r="130">
      <c r="A130" s="131" t="s">
        <v>90</v>
      </c>
      <c r="B130" s="132" t="s">
        <v>91</v>
      </c>
      <c r="C130" s="133">
        <v>1944.0</v>
      </c>
      <c r="D130" s="134" t="str">
        <f>calculations!C133</f>
        <v>#N/A</v>
      </c>
      <c r="E130" s="135" t="str">
        <f>calculations!D133</f>
        <v>#N/A</v>
      </c>
    </row>
    <row r="131">
      <c r="A131" s="131" t="s">
        <v>90</v>
      </c>
      <c r="B131" s="132" t="s">
        <v>91</v>
      </c>
      <c r="C131" s="133">
        <v>1945.0</v>
      </c>
      <c r="D131" s="134" t="str">
        <f>calculations!C134</f>
        <v>#N/A</v>
      </c>
      <c r="E131" s="135" t="str">
        <f>calculations!D134</f>
        <v>#N/A</v>
      </c>
    </row>
    <row r="132">
      <c r="A132" s="131" t="s">
        <v>90</v>
      </c>
      <c r="B132" s="132" t="s">
        <v>91</v>
      </c>
      <c r="C132" s="133">
        <v>1946.0</v>
      </c>
      <c r="D132" s="134" t="str">
        <f>calculations!C135</f>
        <v>#N/A</v>
      </c>
      <c r="E132" s="135" t="str">
        <f>calculations!D135</f>
        <v>#N/A</v>
      </c>
    </row>
    <row r="133">
      <c r="A133" s="131" t="s">
        <v>90</v>
      </c>
      <c r="B133" s="132" t="s">
        <v>91</v>
      </c>
      <c r="C133" s="133">
        <v>1947.0</v>
      </c>
      <c r="D133" s="134" t="str">
        <f>calculations!C136</f>
        <v>#N/A</v>
      </c>
      <c r="E133" s="135" t="str">
        <f>calculations!D136</f>
        <v>#N/A</v>
      </c>
    </row>
    <row r="134">
      <c r="A134" s="131" t="s">
        <v>90</v>
      </c>
      <c r="B134" s="132" t="s">
        <v>91</v>
      </c>
      <c r="C134" s="133">
        <v>1948.0</v>
      </c>
      <c r="D134" s="134" t="str">
        <f>calculations!C137</f>
        <v>#N/A</v>
      </c>
      <c r="E134" s="135" t="str">
        <f>calculations!D137</f>
        <v>#N/A</v>
      </c>
    </row>
    <row r="135">
      <c r="A135" s="131" t="s">
        <v>90</v>
      </c>
      <c r="B135" s="132" t="s">
        <v>91</v>
      </c>
      <c r="C135" s="133">
        <v>1949.0</v>
      </c>
      <c r="D135" s="134" t="str">
        <f>calculations!C138</f>
        <v>#N/A</v>
      </c>
      <c r="E135" s="135" t="str">
        <f>calculations!D138</f>
        <v>#N/A</v>
      </c>
    </row>
    <row r="136">
      <c r="A136" s="131" t="s">
        <v>90</v>
      </c>
      <c r="B136" s="132" t="s">
        <v>91</v>
      </c>
      <c r="C136" s="133">
        <v>1950.0</v>
      </c>
      <c r="D136" s="134" t="str">
        <f>calculations!C139</f>
        <v>#N/A</v>
      </c>
      <c r="E136" s="135" t="str">
        <f>calculations!D139</f>
        <v>#N/A</v>
      </c>
    </row>
    <row r="137">
      <c r="A137" s="131" t="s">
        <v>90</v>
      </c>
      <c r="B137" s="132" t="s">
        <v>91</v>
      </c>
      <c r="C137" s="133">
        <v>1951.0</v>
      </c>
      <c r="D137" s="134" t="str">
        <f>calculations!C140</f>
        <v>#N/A</v>
      </c>
      <c r="E137" s="135" t="str">
        <f>calculations!D140</f>
        <v>#N/A</v>
      </c>
    </row>
    <row r="138">
      <c r="A138" s="131" t="s">
        <v>90</v>
      </c>
      <c r="B138" s="132" t="s">
        <v>91</v>
      </c>
      <c r="C138" s="133">
        <v>1952.0</v>
      </c>
      <c r="D138" s="134" t="str">
        <f>calculations!C141</f>
        <v>#N/A</v>
      </c>
      <c r="E138" s="135" t="str">
        <f>calculations!D141</f>
        <v>#N/A</v>
      </c>
    </row>
    <row r="139">
      <c r="A139" s="131" t="s">
        <v>90</v>
      </c>
      <c r="B139" s="132" t="s">
        <v>91</v>
      </c>
      <c r="C139" s="133">
        <v>1953.0</v>
      </c>
      <c r="D139" s="134" t="str">
        <f>calculations!C142</f>
        <v>#N/A</v>
      </c>
      <c r="E139" s="135" t="str">
        <f>calculations!D142</f>
        <v>#N/A</v>
      </c>
    </row>
    <row r="140">
      <c r="A140" s="131" t="s">
        <v>90</v>
      </c>
      <c r="B140" s="132" t="s">
        <v>91</v>
      </c>
      <c r="C140" s="133">
        <v>1954.0</v>
      </c>
      <c r="D140" s="134" t="str">
        <f>calculations!C143</f>
        <v>#N/A</v>
      </c>
      <c r="E140" s="135" t="str">
        <f>calculations!D143</f>
        <v>#N/A</v>
      </c>
    </row>
    <row r="141">
      <c r="A141" s="131" t="s">
        <v>90</v>
      </c>
      <c r="B141" s="132" t="s">
        <v>91</v>
      </c>
      <c r="C141" s="133">
        <v>1955.0</v>
      </c>
      <c r="D141" s="134" t="str">
        <f>calculations!C144</f>
        <v>#N/A</v>
      </c>
      <c r="E141" s="135" t="str">
        <f>calculations!D144</f>
        <v>#N/A</v>
      </c>
    </row>
    <row r="142">
      <c r="A142" s="131" t="s">
        <v>90</v>
      </c>
      <c r="B142" s="132" t="s">
        <v>91</v>
      </c>
      <c r="C142" s="133">
        <v>1956.0</v>
      </c>
      <c r="D142" s="134" t="str">
        <f>calculations!C145</f>
        <v>#N/A</v>
      </c>
      <c r="E142" s="135" t="str">
        <f>calculations!D145</f>
        <v>#N/A</v>
      </c>
    </row>
    <row r="143">
      <c r="A143" s="131" t="s">
        <v>90</v>
      </c>
      <c r="B143" s="132" t="s">
        <v>91</v>
      </c>
      <c r="C143" s="133">
        <v>1957.0</v>
      </c>
      <c r="D143" s="134" t="str">
        <f>calculations!C146</f>
        <v>#N/A</v>
      </c>
      <c r="E143" s="135" t="str">
        <f>calculations!D146</f>
        <v>#N/A</v>
      </c>
    </row>
    <row r="144">
      <c r="A144" s="131" t="s">
        <v>90</v>
      </c>
      <c r="B144" s="132" t="s">
        <v>91</v>
      </c>
      <c r="C144" s="133">
        <v>1958.0</v>
      </c>
      <c r="D144" s="134" t="str">
        <f>calculations!C147</f>
        <v>#N/A</v>
      </c>
      <c r="E144" s="135" t="str">
        <f>calculations!D147</f>
        <v>#N/A</v>
      </c>
    </row>
    <row r="145">
      <c r="A145" s="131" t="s">
        <v>90</v>
      </c>
      <c r="B145" s="132" t="s">
        <v>91</v>
      </c>
      <c r="C145" s="133">
        <v>1959.0</v>
      </c>
      <c r="D145" s="134" t="str">
        <f>calculations!C148</f>
        <v>#N/A</v>
      </c>
      <c r="E145" s="135" t="str">
        <f>calculations!D148</f>
        <v>#N/A</v>
      </c>
    </row>
    <row r="146">
      <c r="A146" s="131" t="s">
        <v>90</v>
      </c>
      <c r="B146" s="132" t="s">
        <v>91</v>
      </c>
      <c r="C146" s="133">
        <v>1960.0</v>
      </c>
      <c r="D146" s="134" t="str">
        <f>calculations!C149</f>
        <v>#N/A</v>
      </c>
      <c r="E146" s="135" t="str">
        <f>calculations!D149</f>
        <v>#N/A</v>
      </c>
    </row>
    <row r="147">
      <c r="A147" s="131" t="s">
        <v>90</v>
      </c>
      <c r="B147" s="132" t="s">
        <v>91</v>
      </c>
      <c r="C147" s="133">
        <v>1961.0</v>
      </c>
      <c r="D147" s="134" t="str">
        <f>calculations!C150</f>
        <v>#N/A</v>
      </c>
      <c r="E147" s="135" t="str">
        <f>calculations!D150</f>
        <v>#N/A</v>
      </c>
    </row>
    <row r="148">
      <c r="A148" s="131" t="s">
        <v>90</v>
      </c>
      <c r="B148" s="132" t="s">
        <v>91</v>
      </c>
      <c r="C148" s="133">
        <v>1962.0</v>
      </c>
      <c r="D148" s="134" t="str">
        <f>calculations!C151</f>
        <v>#N/A</v>
      </c>
      <c r="E148" s="135" t="str">
        <f>calculations!D151</f>
        <v>#N/A</v>
      </c>
    </row>
    <row r="149">
      <c r="A149" s="131" t="s">
        <v>90</v>
      </c>
      <c r="B149" s="132" t="s">
        <v>91</v>
      </c>
      <c r="C149" s="133">
        <v>1963.0</v>
      </c>
      <c r="D149" s="134" t="str">
        <f>calculations!C152</f>
        <v>#N/A</v>
      </c>
      <c r="E149" s="135" t="str">
        <f>calculations!D152</f>
        <v>#N/A</v>
      </c>
    </row>
    <row r="150">
      <c r="A150" s="131" t="s">
        <v>90</v>
      </c>
      <c r="B150" s="132" t="s">
        <v>91</v>
      </c>
      <c r="C150" s="133">
        <v>1964.0</v>
      </c>
      <c r="D150" s="134" t="str">
        <f>calculations!C153</f>
        <v>#N/A</v>
      </c>
      <c r="E150" s="135" t="str">
        <f>calculations!D153</f>
        <v>#N/A</v>
      </c>
    </row>
    <row r="151">
      <c r="A151" s="131" t="s">
        <v>90</v>
      </c>
      <c r="B151" s="132" t="s">
        <v>91</v>
      </c>
      <c r="C151" s="133">
        <v>1965.0</v>
      </c>
      <c r="D151" s="134" t="str">
        <f>calculations!C154</f>
        <v>#N/A</v>
      </c>
      <c r="E151" s="135" t="str">
        <f>calculations!D154</f>
        <v>#N/A</v>
      </c>
    </row>
    <row r="152">
      <c r="A152" s="131" t="s">
        <v>90</v>
      </c>
      <c r="B152" s="132" t="s">
        <v>91</v>
      </c>
      <c r="C152" s="133">
        <v>1966.0</v>
      </c>
      <c r="D152" s="134" t="str">
        <f>calculations!C155</f>
        <v>#N/A</v>
      </c>
      <c r="E152" s="135" t="str">
        <f>calculations!D155</f>
        <v>#N/A</v>
      </c>
    </row>
    <row r="153">
      <c r="A153" s="131" t="s">
        <v>90</v>
      </c>
      <c r="B153" s="132" t="s">
        <v>91</v>
      </c>
      <c r="C153" s="133">
        <v>1967.0</v>
      </c>
      <c r="D153" s="134" t="str">
        <f>calculations!C156</f>
        <v>#N/A</v>
      </c>
      <c r="E153" s="136" t="str">
        <f>calculations!D156</f>
        <v>#N/A</v>
      </c>
    </row>
    <row r="154">
      <c r="A154" s="131" t="s">
        <v>90</v>
      </c>
      <c r="B154" s="132" t="s">
        <v>91</v>
      </c>
      <c r="C154" s="133">
        <v>1968.0</v>
      </c>
      <c r="D154" s="134" t="str">
        <f>calculations!C157</f>
        <v>#N/A</v>
      </c>
      <c r="E154" s="136" t="str">
        <f>calculations!D157</f>
        <v>#N/A</v>
      </c>
    </row>
    <row r="155">
      <c r="A155" s="131" t="s">
        <v>90</v>
      </c>
      <c r="B155" s="132" t="s">
        <v>91</v>
      </c>
      <c r="C155" s="133">
        <v>1969.0</v>
      </c>
      <c r="D155" s="134" t="str">
        <f>calculations!C158</f>
        <v>#N/A</v>
      </c>
      <c r="E155" s="136" t="str">
        <f>calculations!D158</f>
        <v>#N/A</v>
      </c>
    </row>
    <row r="156">
      <c r="A156" s="131" t="s">
        <v>90</v>
      </c>
      <c r="B156" s="132" t="s">
        <v>91</v>
      </c>
      <c r="C156" s="133">
        <v>1970.0</v>
      </c>
      <c r="D156" s="134" t="str">
        <f>calculations!C159</f>
        <v>#N/A</v>
      </c>
      <c r="E156" s="136" t="str">
        <f>calculations!D159</f>
        <v>#N/A</v>
      </c>
    </row>
    <row r="157">
      <c r="A157" s="131" t="s">
        <v>90</v>
      </c>
      <c r="B157" s="132" t="s">
        <v>91</v>
      </c>
      <c r="C157" s="133">
        <v>1971.0</v>
      </c>
      <c r="D157" s="134" t="str">
        <f>calculations!C160</f>
        <v>#N/A</v>
      </c>
      <c r="E157" s="136" t="str">
        <f>calculations!D160</f>
        <v>#N/A</v>
      </c>
    </row>
    <row r="158">
      <c r="A158" s="131" t="s">
        <v>90</v>
      </c>
      <c r="B158" s="132" t="s">
        <v>91</v>
      </c>
      <c r="C158" s="133">
        <v>1972.0</v>
      </c>
      <c r="D158" s="134" t="str">
        <f>calculations!C161</f>
        <v>#N/A</v>
      </c>
      <c r="E158" s="136" t="str">
        <f>calculations!D161</f>
        <v>#N/A</v>
      </c>
    </row>
    <row r="159">
      <c r="A159" s="131" t="s">
        <v>90</v>
      </c>
      <c r="B159" s="132" t="s">
        <v>91</v>
      </c>
      <c r="C159" s="133">
        <v>1973.0</v>
      </c>
      <c r="D159" s="134" t="str">
        <f>calculations!C162</f>
        <v>#N/A</v>
      </c>
      <c r="E159" s="136" t="str">
        <f>calculations!D162</f>
        <v>#N/A</v>
      </c>
    </row>
    <row r="160">
      <c r="A160" s="131" t="s">
        <v>90</v>
      </c>
      <c r="B160" s="132" t="s">
        <v>91</v>
      </c>
      <c r="C160" s="133">
        <v>1974.0</v>
      </c>
      <c r="D160" s="134" t="str">
        <f>calculations!C163</f>
        <v>#N/A</v>
      </c>
      <c r="E160" s="136" t="str">
        <f>calculations!D163</f>
        <v>#N/A</v>
      </c>
    </row>
    <row r="161">
      <c r="A161" s="131" t="s">
        <v>90</v>
      </c>
      <c r="B161" s="132" t="s">
        <v>91</v>
      </c>
      <c r="C161" s="133">
        <v>1975.0</v>
      </c>
      <c r="D161" s="134" t="str">
        <f>calculations!C164</f>
        <v>#N/A</v>
      </c>
      <c r="E161" s="136" t="str">
        <f>calculations!D164</f>
        <v>#N/A</v>
      </c>
    </row>
    <row r="162">
      <c r="A162" s="131" t="s">
        <v>90</v>
      </c>
      <c r="B162" s="132" t="s">
        <v>91</v>
      </c>
      <c r="C162" s="133">
        <v>1976.0</v>
      </c>
      <c r="D162" s="134" t="str">
        <f>calculations!C165</f>
        <v>#N/A</v>
      </c>
      <c r="E162" s="136" t="str">
        <f>calculations!D165</f>
        <v>#N/A</v>
      </c>
    </row>
    <row r="163">
      <c r="A163" s="131" t="s">
        <v>90</v>
      </c>
      <c r="B163" s="132" t="s">
        <v>91</v>
      </c>
      <c r="C163" s="133">
        <v>1977.0</v>
      </c>
      <c r="D163" s="134" t="str">
        <f>calculations!C166</f>
        <v>#N/A</v>
      </c>
      <c r="E163" s="136" t="str">
        <f>calculations!D166</f>
        <v>#N/A</v>
      </c>
    </row>
    <row r="164">
      <c r="A164" s="131" t="s">
        <v>90</v>
      </c>
      <c r="B164" s="132" t="s">
        <v>91</v>
      </c>
      <c r="C164" s="133">
        <v>1978.0</v>
      </c>
      <c r="D164" s="134" t="str">
        <f>calculations!C167</f>
        <v>#N/A</v>
      </c>
      <c r="E164" s="136" t="str">
        <f>calculations!D167</f>
        <v>#N/A</v>
      </c>
    </row>
    <row r="165">
      <c r="A165" s="131" t="s">
        <v>90</v>
      </c>
      <c r="B165" s="132" t="s">
        <v>91</v>
      </c>
      <c r="C165" s="133">
        <v>1979.0</v>
      </c>
      <c r="D165" s="134" t="str">
        <f>calculations!C168</f>
        <v>#N/A</v>
      </c>
      <c r="E165" s="136" t="str">
        <f>calculations!D168</f>
        <v>#N/A</v>
      </c>
    </row>
    <row r="166">
      <c r="A166" s="131" t="s">
        <v>90</v>
      </c>
      <c r="B166" s="132" t="s">
        <v>91</v>
      </c>
      <c r="C166" s="133">
        <v>1980.0</v>
      </c>
      <c r="D166" s="134" t="str">
        <f>calculations!C169</f>
        <v>#N/A</v>
      </c>
      <c r="E166" s="136" t="str">
        <f>calculations!D169</f>
        <v>#N/A</v>
      </c>
    </row>
    <row r="167">
      <c r="A167" s="131" t="s">
        <v>90</v>
      </c>
      <c r="B167" s="132" t="s">
        <v>91</v>
      </c>
      <c r="C167" s="133">
        <v>1981.0</v>
      </c>
      <c r="D167" s="134" t="str">
        <f>calculations!C170</f>
        <v>#N/A</v>
      </c>
      <c r="E167" s="136" t="str">
        <f>calculations!D170</f>
        <v>#N/A</v>
      </c>
    </row>
    <row r="168">
      <c r="A168" s="131" t="s">
        <v>90</v>
      </c>
      <c r="B168" s="132" t="s">
        <v>91</v>
      </c>
      <c r="C168" s="133">
        <v>1982.0</v>
      </c>
      <c r="D168" s="134" t="str">
        <f>calculations!C171</f>
        <v>#N/A</v>
      </c>
      <c r="E168" s="136" t="str">
        <f>calculations!D171</f>
        <v>#N/A</v>
      </c>
    </row>
    <row r="169">
      <c r="A169" s="131" t="s">
        <v>90</v>
      </c>
      <c r="B169" s="132" t="s">
        <v>91</v>
      </c>
      <c r="C169" s="133">
        <v>1983.0</v>
      </c>
      <c r="D169" s="134" t="str">
        <f>calculations!C172</f>
        <v>#N/A</v>
      </c>
      <c r="E169" s="136" t="str">
        <f>calculations!D172</f>
        <v>#N/A</v>
      </c>
    </row>
    <row r="170">
      <c r="A170" s="131" t="s">
        <v>90</v>
      </c>
      <c r="B170" s="132" t="s">
        <v>91</v>
      </c>
      <c r="C170" s="133">
        <v>1984.0</v>
      </c>
      <c r="D170" s="134" t="str">
        <f>calculations!C173</f>
        <v>#N/A</v>
      </c>
      <c r="E170" s="136" t="str">
        <f>calculations!D173</f>
        <v>#N/A</v>
      </c>
    </row>
    <row r="171">
      <c r="A171" s="131" t="s">
        <v>90</v>
      </c>
      <c r="B171" s="132" t="s">
        <v>91</v>
      </c>
      <c r="C171" s="133">
        <v>1985.0</v>
      </c>
      <c r="D171" s="134" t="str">
        <f>calculations!C174</f>
        <v>#N/A</v>
      </c>
      <c r="E171" s="136" t="str">
        <f>calculations!D174</f>
        <v>#N/A</v>
      </c>
    </row>
    <row r="172">
      <c r="A172" s="131" t="s">
        <v>90</v>
      </c>
      <c r="B172" s="132" t="s">
        <v>91</v>
      </c>
      <c r="C172" s="133">
        <v>1986.0</v>
      </c>
      <c r="D172" s="134" t="str">
        <f>calculations!C175</f>
        <v>#N/A</v>
      </c>
      <c r="E172" s="136" t="str">
        <f>calculations!D175</f>
        <v>#N/A</v>
      </c>
    </row>
    <row r="173">
      <c r="A173" s="131" t="s">
        <v>90</v>
      </c>
      <c r="B173" s="132" t="s">
        <v>91</v>
      </c>
      <c r="C173" s="133">
        <v>1987.0</v>
      </c>
      <c r="D173" s="134" t="str">
        <f>calculations!C176</f>
        <v>#N/A</v>
      </c>
      <c r="E173" s="136" t="str">
        <f>calculations!D176</f>
        <v>#N/A</v>
      </c>
    </row>
    <row r="174">
      <c r="A174" s="131" t="s">
        <v>90</v>
      </c>
      <c r="B174" s="132" t="s">
        <v>91</v>
      </c>
      <c r="C174" s="133">
        <v>1988.0</v>
      </c>
      <c r="D174" s="134" t="str">
        <f>calculations!C177</f>
        <v>#N/A</v>
      </c>
      <c r="E174" s="136" t="str">
        <f>calculations!D177</f>
        <v>#N/A</v>
      </c>
    </row>
    <row r="175">
      <c r="A175" s="131" t="s">
        <v>90</v>
      </c>
      <c r="B175" s="132" t="s">
        <v>91</v>
      </c>
      <c r="C175" s="133">
        <v>1989.0</v>
      </c>
      <c r="D175" s="134" t="str">
        <f>calculations!C178</f>
        <v>#N/A</v>
      </c>
      <c r="E175" s="136" t="str">
        <f>calculations!D178</f>
        <v>#N/A</v>
      </c>
    </row>
    <row r="176">
      <c r="A176" s="131" t="s">
        <v>90</v>
      </c>
      <c r="B176" s="132" t="s">
        <v>91</v>
      </c>
      <c r="C176" s="133">
        <v>1990.0</v>
      </c>
      <c r="D176" s="134" t="str">
        <f>calculations!C179</f>
        <v>#N/A</v>
      </c>
      <c r="E176" s="136" t="str">
        <f>calculations!D179</f>
        <v>#N/A</v>
      </c>
    </row>
    <row r="177">
      <c r="A177" s="131" t="s">
        <v>90</v>
      </c>
      <c r="B177" s="132" t="s">
        <v>91</v>
      </c>
      <c r="C177" s="133">
        <v>1991.0</v>
      </c>
      <c r="D177" s="134" t="str">
        <f>calculations!C180</f>
        <v>#N/A</v>
      </c>
      <c r="E177" s="136" t="str">
        <f>calculations!D180</f>
        <v>#N/A</v>
      </c>
    </row>
    <row r="178">
      <c r="A178" s="131" t="s">
        <v>90</v>
      </c>
      <c r="B178" s="132" t="s">
        <v>91</v>
      </c>
      <c r="C178" s="133">
        <v>1992.0</v>
      </c>
      <c r="D178" s="134" t="str">
        <f>calculations!C181</f>
        <v>#N/A</v>
      </c>
      <c r="E178" s="136" t="str">
        <f>calculations!D181</f>
        <v>#N/A</v>
      </c>
    </row>
    <row r="179">
      <c r="A179" s="131" t="s">
        <v>90</v>
      </c>
      <c r="B179" s="132" t="s">
        <v>91</v>
      </c>
      <c r="C179" s="133">
        <v>1993.0</v>
      </c>
      <c r="D179" s="134" t="str">
        <f>calculations!C182</f>
        <v>#N/A</v>
      </c>
      <c r="E179" s="136" t="str">
        <f>calculations!D182</f>
        <v>#N/A</v>
      </c>
    </row>
    <row r="180">
      <c r="A180" s="131" t="s">
        <v>90</v>
      </c>
      <c r="B180" s="132" t="s">
        <v>91</v>
      </c>
      <c r="C180" s="133">
        <v>1994.0</v>
      </c>
      <c r="D180" s="134" t="str">
        <f>calculations!C183</f>
        <v>#N/A</v>
      </c>
      <c r="E180" s="136" t="str">
        <f>calculations!D183</f>
        <v>#N/A</v>
      </c>
    </row>
    <row r="181">
      <c r="A181" s="131" t="s">
        <v>90</v>
      </c>
      <c r="B181" s="132" t="s">
        <v>91</v>
      </c>
      <c r="C181" s="133">
        <v>1995.0</v>
      </c>
      <c r="D181" s="134" t="str">
        <f>calculations!C184</f>
        <v>#N/A</v>
      </c>
      <c r="E181" s="136" t="str">
        <f>calculations!D184</f>
        <v>#N/A</v>
      </c>
    </row>
    <row r="182">
      <c r="A182" s="131" t="s">
        <v>90</v>
      </c>
      <c r="B182" s="132" t="s">
        <v>91</v>
      </c>
      <c r="C182" s="133">
        <v>1996.0</v>
      </c>
      <c r="D182" s="134" t="str">
        <f>calculations!C185</f>
        <v>#N/A</v>
      </c>
      <c r="E182" s="136" t="str">
        <f>calculations!D185</f>
        <v>#N/A</v>
      </c>
    </row>
    <row r="183">
      <c r="A183" s="131" t="s">
        <v>90</v>
      </c>
      <c r="B183" s="132" t="s">
        <v>91</v>
      </c>
      <c r="C183" s="133">
        <v>1997.0</v>
      </c>
      <c r="D183" s="134" t="str">
        <f>calculations!C186</f>
        <v>#N/A</v>
      </c>
      <c r="E183" s="136" t="str">
        <f>calculations!D186</f>
        <v>#N/A</v>
      </c>
    </row>
    <row r="184">
      <c r="A184" s="131" t="s">
        <v>90</v>
      </c>
      <c r="B184" s="132" t="s">
        <v>91</v>
      </c>
      <c r="C184" s="133">
        <v>1998.0</v>
      </c>
      <c r="D184" s="134" t="str">
        <f>calculations!C187</f>
        <v>#N/A</v>
      </c>
      <c r="E184" s="136" t="str">
        <f>calculations!D187</f>
        <v>#N/A</v>
      </c>
    </row>
    <row r="185">
      <c r="A185" s="131" t="s">
        <v>90</v>
      </c>
      <c r="B185" s="132" t="s">
        <v>91</v>
      </c>
      <c r="C185" s="133">
        <v>1999.0</v>
      </c>
      <c r="D185" s="134" t="str">
        <f>calculations!C188</f>
        <v>#N/A</v>
      </c>
      <c r="E185" s="136" t="str">
        <f>calculations!D188</f>
        <v>#N/A</v>
      </c>
    </row>
    <row r="186">
      <c r="A186" s="131" t="s">
        <v>90</v>
      </c>
      <c r="B186" s="132" t="s">
        <v>91</v>
      </c>
      <c r="C186" s="133">
        <v>2000.0</v>
      </c>
      <c r="D186" s="134" t="str">
        <f>calculations!C189</f>
        <v>#N/A</v>
      </c>
      <c r="E186" s="136" t="str">
        <f>calculations!D189</f>
        <v>#N/A</v>
      </c>
    </row>
    <row r="187">
      <c r="A187" s="131" t="s">
        <v>90</v>
      </c>
      <c r="B187" s="132" t="s">
        <v>91</v>
      </c>
      <c r="C187" s="133">
        <v>2001.0</v>
      </c>
      <c r="D187" s="134" t="str">
        <f>calculations!C190</f>
        <v>#N/A</v>
      </c>
      <c r="E187" s="136" t="str">
        <f>calculations!D190</f>
        <v>#N/A</v>
      </c>
    </row>
    <row r="188">
      <c r="A188" s="131" t="s">
        <v>90</v>
      </c>
      <c r="B188" s="132" t="s">
        <v>91</v>
      </c>
      <c r="C188" s="133">
        <v>2002.0</v>
      </c>
      <c r="D188" s="134" t="str">
        <f>calculations!C191</f>
        <v>#N/A</v>
      </c>
      <c r="E188" s="136" t="str">
        <f>calculations!D191</f>
        <v>#N/A</v>
      </c>
    </row>
    <row r="189">
      <c r="A189" s="131" t="s">
        <v>90</v>
      </c>
      <c r="B189" s="132" t="s">
        <v>91</v>
      </c>
      <c r="C189" s="133">
        <v>2003.0</v>
      </c>
      <c r="D189" s="134" t="str">
        <f>calculations!C192</f>
        <v>#N/A</v>
      </c>
      <c r="E189" s="136" t="str">
        <f>calculations!D192</f>
        <v>#N/A</v>
      </c>
    </row>
    <row r="190">
      <c r="A190" s="131" t="s">
        <v>90</v>
      </c>
      <c r="B190" s="132" t="s">
        <v>91</v>
      </c>
      <c r="C190" s="133">
        <v>2004.0</v>
      </c>
      <c r="D190" s="134" t="str">
        <f>calculations!C193</f>
        <v>#N/A</v>
      </c>
      <c r="E190" s="136" t="str">
        <f>calculations!D193</f>
        <v>#N/A</v>
      </c>
    </row>
    <row r="191">
      <c r="A191" s="131" t="s">
        <v>90</v>
      </c>
      <c r="B191" s="132" t="s">
        <v>91</v>
      </c>
      <c r="C191" s="133">
        <v>2005.0</v>
      </c>
      <c r="D191" s="134" t="str">
        <f>calculations!C194</f>
        <v>#N/A</v>
      </c>
      <c r="E191" s="136" t="str">
        <f>calculations!D194</f>
        <v>#N/A</v>
      </c>
    </row>
    <row r="192">
      <c r="A192" s="131" t="s">
        <v>90</v>
      </c>
      <c r="B192" s="132" t="s">
        <v>91</v>
      </c>
      <c r="C192" s="133">
        <v>2006.0</v>
      </c>
      <c r="D192" s="134" t="str">
        <f>calculations!C195</f>
        <v>#N/A</v>
      </c>
      <c r="E192" s="136" t="str">
        <f>calculations!D195</f>
        <v>#N/A</v>
      </c>
    </row>
    <row r="193">
      <c r="A193" s="131" t="s">
        <v>90</v>
      </c>
      <c r="B193" s="132" t="s">
        <v>91</v>
      </c>
      <c r="C193" s="133">
        <v>2007.0</v>
      </c>
      <c r="D193" s="134" t="str">
        <f>calculations!C196</f>
        <v>#DIV/0!</v>
      </c>
      <c r="E193" s="136" t="str">
        <f>calculations!D196</f>
        <v>#DIV/0!</v>
      </c>
    </row>
    <row r="194">
      <c r="A194" s="131" t="s">
        <v>90</v>
      </c>
      <c r="B194" s="132" t="s">
        <v>91</v>
      </c>
      <c r="C194" s="133">
        <v>2008.0</v>
      </c>
      <c r="D194" s="134" t="str">
        <f>calculations!C197</f>
        <v>#DIV/0!</v>
      </c>
      <c r="E194" s="136" t="str">
        <f>calculations!D197</f>
        <v>#DIV/0!</v>
      </c>
    </row>
    <row r="195">
      <c r="A195" s="131" t="s">
        <v>90</v>
      </c>
      <c r="B195" s="132" t="s">
        <v>91</v>
      </c>
      <c r="C195" s="133">
        <v>2009.0</v>
      </c>
      <c r="D195" s="134" t="str">
        <f>calculations!C198</f>
        <v>#DIV/0!</v>
      </c>
      <c r="E195" s="136" t="str">
        <f>calculations!D198</f>
        <v>#DIV/0!</v>
      </c>
    </row>
    <row r="196">
      <c r="A196" s="131" t="s">
        <v>90</v>
      </c>
      <c r="B196" s="132" t="s">
        <v>91</v>
      </c>
      <c r="C196" s="133">
        <v>2010.0</v>
      </c>
      <c r="D196" s="134" t="str">
        <f>calculations!C199</f>
        <v>#DIV/0!</v>
      </c>
      <c r="E196" s="136" t="str">
        <f>calculations!D199</f>
        <v>#DIV/0!</v>
      </c>
    </row>
    <row r="197">
      <c r="A197" s="131" t="s">
        <v>90</v>
      </c>
      <c r="B197" s="132" t="s">
        <v>91</v>
      </c>
      <c r="C197" s="133">
        <v>2011.0</v>
      </c>
      <c r="D197" s="134" t="str">
        <f>calculations!C200</f>
        <v>#DIV/0!</v>
      </c>
      <c r="E197" s="136" t="str">
        <f>calculations!D200</f>
        <v>#DIV/0!</v>
      </c>
    </row>
    <row r="198">
      <c r="A198" s="131" t="s">
        <v>90</v>
      </c>
      <c r="B198" s="132" t="s">
        <v>91</v>
      </c>
      <c r="C198" s="133">
        <v>2012.0</v>
      </c>
      <c r="D198" s="134" t="str">
        <f>calculations!C201</f>
        <v>#DIV/0!</v>
      </c>
      <c r="E198" s="136" t="str">
        <f>calculations!D201</f>
        <v>#DIV/0!</v>
      </c>
    </row>
    <row r="199">
      <c r="A199" s="131" t="s">
        <v>90</v>
      </c>
      <c r="B199" s="132" t="s">
        <v>91</v>
      </c>
      <c r="C199" s="133">
        <v>2013.0</v>
      </c>
      <c r="D199" s="134" t="str">
        <f>calculations!C202</f>
        <v>#DIV/0!</v>
      </c>
      <c r="E199" s="136" t="str">
        <f>calculations!D202</f>
        <v>#DIV/0!</v>
      </c>
    </row>
    <row r="200">
      <c r="A200" s="131" t="s">
        <v>90</v>
      </c>
      <c r="B200" s="132" t="s">
        <v>91</v>
      </c>
      <c r="C200" s="133">
        <v>2014.0</v>
      </c>
      <c r="D200" s="134" t="str">
        <f>calculations!C203</f>
        <v>#DIV/0!</v>
      </c>
      <c r="E200" s="136" t="str">
        <f>calculations!D203</f>
        <v>#DIV/0!</v>
      </c>
    </row>
    <row r="201">
      <c r="A201" s="131" t="s">
        <v>90</v>
      </c>
      <c r="B201" s="132" t="s">
        <v>91</v>
      </c>
      <c r="C201" s="133">
        <v>2015.0</v>
      </c>
      <c r="D201" s="134" t="str">
        <f>calculations!C204</f>
        <v>#DIV/0!</v>
      </c>
      <c r="E201" s="136" t="str">
        <f>calculations!D204</f>
        <v>#DIV/0!</v>
      </c>
    </row>
    <row r="202">
      <c r="A202" s="131" t="s">
        <v>90</v>
      </c>
      <c r="B202" s="132" t="s">
        <v>91</v>
      </c>
      <c r="C202" s="132">
        <v>2016.0</v>
      </c>
      <c r="D202" s="134" t="str">
        <f>calculations!C205</f>
        <v>#DIV/0!</v>
      </c>
      <c r="E202" s="136" t="str">
        <f>calculations!D205</f>
        <v>#DIV/0!</v>
      </c>
    </row>
    <row r="203">
      <c r="A203" s="131" t="s">
        <v>90</v>
      </c>
      <c r="B203" s="132" t="s">
        <v>91</v>
      </c>
      <c r="C203" s="132">
        <v>2017.0</v>
      </c>
      <c r="D203" s="134" t="str">
        <f>calculations!C206</f>
        <v>#DIV/0!</v>
      </c>
      <c r="E203" s="136" t="str">
        <f>calculations!D206</f>
        <v>#DIV/0!</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1.22" defaultRowHeight="15.0"/>
  <cols>
    <col customWidth="1" min="1" max="2" width="6.89"/>
    <col customWidth="1" min="3" max="4" width="18.22"/>
    <col customWidth="1" min="5" max="5" width="20.78"/>
    <col customWidth="1" min="6" max="9" width="18.22"/>
    <col customWidth="1" min="10" max="10" width="17.56"/>
    <col customWidth="1" min="11" max="11" width="13.78"/>
    <col customWidth="1" min="12" max="13" width="17.56"/>
    <col customWidth="1" min="14" max="14" width="22.11"/>
  </cols>
  <sheetData>
    <row r="1">
      <c r="A1" s="137"/>
      <c r="B1" s="138"/>
      <c r="C1" s="139"/>
      <c r="E1" s="140" t="s">
        <v>92</v>
      </c>
      <c r="F1" s="139"/>
      <c r="G1" s="139"/>
      <c r="H1" s="139"/>
      <c r="I1" s="139"/>
      <c r="J1" s="141"/>
      <c r="K1" s="142"/>
      <c r="L1" s="143"/>
      <c r="M1" s="143"/>
      <c r="N1" s="143"/>
    </row>
    <row r="2">
      <c r="A2" s="137"/>
      <c r="B2" s="138"/>
      <c r="C2" s="139"/>
      <c r="E2" s="144" t="s">
        <v>93</v>
      </c>
      <c r="F2" s="139" t="s">
        <v>94</v>
      </c>
      <c r="G2" s="145" t="str">
        <f>G195</f>
        <v>#N/A</v>
      </c>
      <c r="H2" s="146"/>
      <c r="I2" s="145">
        <f>I195</f>
        <v>0.567722736</v>
      </c>
      <c r="J2" s="141"/>
      <c r="K2" s="142"/>
      <c r="L2" s="143"/>
      <c r="M2" s="143"/>
      <c r="N2" s="143"/>
    </row>
    <row r="3">
      <c r="A3" s="137"/>
      <c r="B3" s="138"/>
      <c r="C3" s="146" t="s">
        <v>95</v>
      </c>
      <c r="D3" s="139"/>
      <c r="E3" s="140" t="s">
        <v>96</v>
      </c>
      <c r="F3" s="139" t="s">
        <v>97</v>
      </c>
      <c r="G3" s="147" t="str">
        <f>G2/I2</f>
        <v>#N/A</v>
      </c>
      <c r="H3" s="139"/>
      <c r="I3" s="139"/>
      <c r="J3" s="141" t="s">
        <v>98</v>
      </c>
      <c r="K3" s="142" t="s">
        <v>99</v>
      </c>
      <c r="L3" s="143"/>
      <c r="M3" s="143"/>
      <c r="N3" s="143"/>
    </row>
    <row r="4">
      <c r="A4" s="137" t="s">
        <v>83</v>
      </c>
      <c r="B4" s="137" t="s">
        <v>100</v>
      </c>
      <c r="C4" s="139" t="s">
        <v>101</v>
      </c>
      <c r="D4" s="139" t="s">
        <v>101</v>
      </c>
      <c r="E4" s="139" t="s">
        <v>102</v>
      </c>
      <c r="F4" s="139"/>
      <c r="G4" s="139" t="s">
        <v>103</v>
      </c>
      <c r="H4" s="139" t="s">
        <v>104</v>
      </c>
      <c r="I4" s="139" t="s">
        <v>105</v>
      </c>
      <c r="J4" s="148" t="s">
        <v>106</v>
      </c>
      <c r="K4" s="139" t="s">
        <v>107</v>
      </c>
      <c r="L4" s="143"/>
      <c r="M4" s="149"/>
      <c r="N4" s="149"/>
    </row>
    <row r="5">
      <c r="A5" s="150" t="s">
        <v>91</v>
      </c>
      <c r="B5" s="151">
        <v>1816.0</v>
      </c>
      <c r="C5" s="152" t="str">
        <f t="shared" ref="C5:C194" si="1">E5</f>
        <v>#N/A</v>
      </c>
      <c r="D5" s="153" t="str">
        <f t="shared" ref="D5:D206" si="2">C5*K5</f>
        <v>#N/A</v>
      </c>
      <c r="E5" s="154" t="str">
        <f t="shared" ref="E5:E195" si="3">I5*$G$3</f>
        <v>#N/A</v>
      </c>
      <c r="F5" s="155"/>
      <c r="G5" s="155"/>
      <c r="H5" s="155"/>
      <c r="I5" s="155">
        <f t="shared" ref="I5:I204" si="4">J5/K5</f>
        <v>0.009054544258</v>
      </c>
      <c r="J5" s="156">
        <f>'input-from-OWID'!C4</f>
        <v>9243738</v>
      </c>
      <c r="K5" s="156">
        <f>vlookup(B5,'imported-world-population'!$C$2:$D$470,2,false)</f>
        <v>1020894894</v>
      </c>
      <c r="L5" s="156"/>
      <c r="M5" s="156"/>
      <c r="N5" s="156"/>
    </row>
    <row r="6">
      <c r="A6" s="150" t="s">
        <v>91</v>
      </c>
      <c r="B6" s="151">
        <v>1817.0</v>
      </c>
      <c r="C6" s="152" t="str">
        <f t="shared" si="1"/>
        <v>#N/A</v>
      </c>
      <c r="D6" s="153" t="str">
        <f t="shared" si="2"/>
        <v>#N/A</v>
      </c>
      <c r="E6" s="154" t="str">
        <f t="shared" si="3"/>
        <v>#N/A</v>
      </c>
      <c r="F6" s="155"/>
      <c r="G6" s="155"/>
      <c r="H6" s="155"/>
      <c r="I6" s="155">
        <f t="shared" si="4"/>
        <v>0.009180465113</v>
      </c>
      <c r="J6" s="156">
        <f>'input-from-OWID'!C5</f>
        <v>9422669</v>
      </c>
      <c r="K6" s="156">
        <f>vlookup(B6,'imported-world-population'!$C$2:$D$470,2,false)</f>
        <v>1026382529</v>
      </c>
      <c r="L6" s="156"/>
      <c r="M6" s="156"/>
      <c r="N6" s="156"/>
    </row>
    <row r="7">
      <c r="A7" s="150" t="s">
        <v>91</v>
      </c>
      <c r="B7" s="151">
        <v>1818.0</v>
      </c>
      <c r="C7" s="152" t="str">
        <f t="shared" si="1"/>
        <v>#N/A</v>
      </c>
      <c r="D7" s="153" t="str">
        <f t="shared" si="2"/>
        <v>#N/A</v>
      </c>
      <c r="E7" s="154" t="str">
        <f t="shared" si="3"/>
        <v>#N/A</v>
      </c>
      <c r="F7" s="155"/>
      <c r="G7" s="155"/>
      <c r="H7" s="155"/>
      <c r="I7" s="155">
        <f t="shared" si="4"/>
        <v>0.009307166345</v>
      </c>
      <c r="J7" s="156">
        <f>'input-from-OWID'!C6</f>
        <v>9605062</v>
      </c>
      <c r="K7" s="156">
        <f>vlookup(B7,'imported-world-population'!$C$2:$D$470,2,false)</f>
        <v>1032007127</v>
      </c>
      <c r="L7" s="156"/>
      <c r="M7" s="156"/>
      <c r="N7" s="156"/>
    </row>
    <row r="8">
      <c r="A8" s="150" t="s">
        <v>91</v>
      </c>
      <c r="B8" s="151">
        <v>1819.0</v>
      </c>
      <c r="C8" s="152" t="str">
        <f t="shared" si="1"/>
        <v>#N/A</v>
      </c>
      <c r="D8" s="153" t="str">
        <f t="shared" si="2"/>
        <v>#N/A</v>
      </c>
      <c r="E8" s="154" t="str">
        <f t="shared" si="3"/>
        <v>#N/A</v>
      </c>
      <c r="F8" s="155"/>
      <c r="G8" s="155"/>
      <c r="H8" s="155"/>
      <c r="I8" s="155">
        <f t="shared" si="4"/>
        <v>0.009434658561</v>
      </c>
      <c r="J8" s="156">
        <f>'input-from-OWID'!C7</f>
        <v>9790987</v>
      </c>
      <c r="K8" s="156">
        <f>vlookup(B8,'imported-world-population'!$C$2:$D$470,2,false)</f>
        <v>1037768027</v>
      </c>
      <c r="L8" s="156"/>
      <c r="M8" s="156"/>
      <c r="N8" s="156"/>
    </row>
    <row r="9">
      <c r="A9" s="150" t="s">
        <v>91</v>
      </c>
      <c r="B9" s="151">
        <v>1820.0</v>
      </c>
      <c r="C9" s="152" t="str">
        <f t="shared" si="1"/>
        <v>#N/A</v>
      </c>
      <c r="D9" s="153" t="str">
        <f t="shared" si="2"/>
        <v>#N/A</v>
      </c>
      <c r="E9" s="154" t="str">
        <f t="shared" si="3"/>
        <v>#N/A</v>
      </c>
      <c r="F9" s="155"/>
      <c r="G9" s="155"/>
      <c r="H9" s="155"/>
      <c r="I9" s="155">
        <f t="shared" si="4"/>
        <v>0.009562935307</v>
      </c>
      <c r="J9" s="156">
        <f>'input-from-OWID'!C8</f>
        <v>9980510</v>
      </c>
      <c r="K9" s="156">
        <f>vlookup(B9,'imported-world-population'!$C$2:$D$470,2,false)</f>
        <v>1043665954</v>
      </c>
      <c r="L9" s="156"/>
      <c r="M9" s="156"/>
      <c r="N9" s="156"/>
    </row>
    <row r="10">
      <c r="A10" s="150" t="s">
        <v>91</v>
      </c>
      <c r="B10" s="151">
        <v>1821.0</v>
      </c>
      <c r="C10" s="152" t="str">
        <f t="shared" si="1"/>
        <v>#N/A</v>
      </c>
      <c r="D10" s="153" t="str">
        <f t="shared" si="2"/>
        <v>#N/A</v>
      </c>
      <c r="E10" s="154" t="str">
        <f t="shared" si="3"/>
        <v>#N/A</v>
      </c>
      <c r="F10" s="155"/>
      <c r="G10" s="155"/>
      <c r="H10" s="155"/>
      <c r="I10" s="155">
        <f t="shared" si="4"/>
        <v>0.00981248372</v>
      </c>
      <c r="J10" s="156">
        <f>'input-from-OWID'!C9</f>
        <v>10298969</v>
      </c>
      <c r="K10" s="156">
        <f>vlookup(B10,'imported-world-population'!$C$2:$D$470,2,false)</f>
        <v>1049578200</v>
      </c>
      <c r="L10" s="156"/>
      <c r="M10" s="156"/>
      <c r="N10" s="156"/>
    </row>
    <row r="11">
      <c r="A11" s="150" t="s">
        <v>91</v>
      </c>
      <c r="B11" s="151">
        <v>1822.0</v>
      </c>
      <c r="C11" s="152" t="str">
        <f t="shared" si="1"/>
        <v>#N/A</v>
      </c>
      <c r="D11" s="153" t="str">
        <f t="shared" si="2"/>
        <v>#N/A</v>
      </c>
      <c r="E11" s="154" t="str">
        <f t="shared" si="3"/>
        <v>#N/A</v>
      </c>
      <c r="F11" s="155"/>
      <c r="G11" s="155"/>
      <c r="H11" s="155"/>
      <c r="I11" s="155">
        <f t="shared" si="4"/>
        <v>0.01006678589</v>
      </c>
      <c r="J11" s="156">
        <f>'input-from-OWID'!C10</f>
        <v>10625503</v>
      </c>
      <c r="K11" s="156">
        <f>vlookup(B11,'imported-world-population'!$C$2:$D$470,2,false)</f>
        <v>1055501042</v>
      </c>
      <c r="L11" s="156"/>
      <c r="M11" s="156"/>
      <c r="N11" s="156"/>
    </row>
    <row r="12">
      <c r="A12" s="150" t="s">
        <v>91</v>
      </c>
      <c r="B12" s="151">
        <v>1823.0</v>
      </c>
      <c r="C12" s="152" t="str">
        <f t="shared" si="1"/>
        <v>#N/A</v>
      </c>
      <c r="D12" s="153" t="str">
        <f t="shared" si="2"/>
        <v>#N/A</v>
      </c>
      <c r="E12" s="154" t="str">
        <f t="shared" si="3"/>
        <v>#N/A</v>
      </c>
      <c r="F12" s="155"/>
      <c r="G12" s="155"/>
      <c r="H12" s="155"/>
      <c r="I12" s="155">
        <f t="shared" si="4"/>
        <v>0.0103172545</v>
      </c>
      <c r="J12" s="156">
        <f>'input-from-OWID'!C11</f>
        <v>10951077</v>
      </c>
      <c r="K12" s="156">
        <f>vlookup(B12,'imported-world-population'!$C$2:$D$470,2,false)</f>
        <v>1061433252</v>
      </c>
      <c r="L12" s="156"/>
      <c r="M12" s="156"/>
      <c r="N12" s="156"/>
    </row>
    <row r="13">
      <c r="A13" s="150" t="s">
        <v>91</v>
      </c>
      <c r="B13" s="151">
        <v>1824.0</v>
      </c>
      <c r="C13" s="152" t="str">
        <f t="shared" si="1"/>
        <v>#N/A</v>
      </c>
      <c r="D13" s="153" t="str">
        <f t="shared" si="2"/>
        <v>#N/A</v>
      </c>
      <c r="E13" s="154" t="str">
        <f t="shared" si="3"/>
        <v>#N/A</v>
      </c>
      <c r="F13" s="155"/>
      <c r="G13" s="155"/>
      <c r="H13" s="155"/>
      <c r="I13" s="155">
        <f t="shared" si="4"/>
        <v>0.01056492126</v>
      </c>
      <c r="J13" s="156">
        <f>'input-from-OWID'!C12</f>
        <v>11276695</v>
      </c>
      <c r="K13" s="156">
        <f>vlookup(B13,'imported-world-population'!$C$2:$D$470,2,false)</f>
        <v>1067371419</v>
      </c>
      <c r="L13" s="156"/>
      <c r="M13" s="156"/>
      <c r="N13" s="156"/>
    </row>
    <row r="14">
      <c r="A14" s="150" t="s">
        <v>91</v>
      </c>
      <c r="B14" s="151">
        <v>1825.0</v>
      </c>
      <c r="C14" s="152" t="str">
        <f t="shared" si="1"/>
        <v>#N/A</v>
      </c>
      <c r="D14" s="153" t="str">
        <f t="shared" si="2"/>
        <v>#N/A</v>
      </c>
      <c r="E14" s="154" t="str">
        <f t="shared" si="3"/>
        <v>#N/A</v>
      </c>
      <c r="F14" s="155"/>
      <c r="G14" s="155"/>
      <c r="H14" s="155"/>
      <c r="I14" s="155">
        <f t="shared" si="4"/>
        <v>0.01080970942</v>
      </c>
      <c r="J14" s="156">
        <f>'input-from-OWID'!C13</f>
        <v>11602355</v>
      </c>
      <c r="K14" s="156">
        <f>vlookup(B14,'imported-world-population'!$C$2:$D$470,2,false)</f>
        <v>1073327187</v>
      </c>
      <c r="L14" s="156"/>
      <c r="M14" s="156"/>
      <c r="N14" s="156"/>
    </row>
    <row r="15">
      <c r="A15" s="150" t="s">
        <v>91</v>
      </c>
      <c r="B15" s="151">
        <v>1826.0</v>
      </c>
      <c r="C15" s="152" t="str">
        <f t="shared" si="1"/>
        <v>#N/A</v>
      </c>
      <c r="D15" s="153" t="str">
        <f t="shared" si="2"/>
        <v>#N/A</v>
      </c>
      <c r="E15" s="154" t="str">
        <f t="shared" si="3"/>
        <v>#N/A</v>
      </c>
      <c r="F15" s="155"/>
      <c r="G15" s="155"/>
      <c r="H15" s="155"/>
      <c r="I15" s="155">
        <f t="shared" si="4"/>
        <v>0.01105170167</v>
      </c>
      <c r="J15" s="156">
        <f>'input-from-OWID'!C14</f>
        <v>11928057</v>
      </c>
      <c r="K15" s="156">
        <f>vlookup(B15,'imported-world-population'!$C$2:$D$470,2,false)</f>
        <v>1079295963</v>
      </c>
      <c r="L15" s="156"/>
      <c r="M15" s="156"/>
      <c r="N15" s="156"/>
    </row>
    <row r="16">
      <c r="A16" s="150" t="s">
        <v>91</v>
      </c>
      <c r="B16" s="151">
        <v>1827.0</v>
      </c>
      <c r="C16" s="152" t="str">
        <f t="shared" si="1"/>
        <v>#N/A</v>
      </c>
      <c r="D16" s="153" t="str">
        <f t="shared" si="2"/>
        <v>#N/A</v>
      </c>
      <c r="E16" s="154" t="str">
        <f t="shared" si="3"/>
        <v>#N/A</v>
      </c>
      <c r="F16" s="155"/>
      <c r="G16" s="155"/>
      <c r="H16" s="155"/>
      <c r="I16" s="155">
        <f t="shared" si="4"/>
        <v>0.01128825355</v>
      </c>
      <c r="J16" s="156">
        <f>'input-from-OWID'!C15</f>
        <v>12250905</v>
      </c>
      <c r="K16" s="156">
        <f>vlookup(B16,'imported-world-population'!$C$2:$D$470,2,false)</f>
        <v>1085279042</v>
      </c>
      <c r="L16" s="156"/>
      <c r="M16" s="156"/>
      <c r="N16" s="156"/>
    </row>
    <row r="17">
      <c r="A17" s="150" t="s">
        <v>91</v>
      </c>
      <c r="B17" s="151">
        <v>1828.0</v>
      </c>
      <c r="C17" s="152" t="str">
        <f t="shared" si="1"/>
        <v>#N/A</v>
      </c>
      <c r="D17" s="153" t="str">
        <f t="shared" si="2"/>
        <v>#N/A</v>
      </c>
      <c r="E17" s="154" t="str">
        <f t="shared" si="3"/>
        <v>#N/A</v>
      </c>
      <c r="F17" s="155"/>
      <c r="G17" s="155"/>
      <c r="H17" s="155"/>
      <c r="I17" s="155">
        <f t="shared" si="4"/>
        <v>0.01152832531</v>
      </c>
      <c r="J17" s="156">
        <f>'input-from-OWID'!C16</f>
        <v>12580590</v>
      </c>
      <c r="K17" s="156">
        <f>vlookup(B17,'imported-world-population'!$C$2:$D$470,2,false)</f>
        <v>1091276457</v>
      </c>
      <c r="L17" s="156"/>
      <c r="M17" s="156"/>
      <c r="N17" s="156"/>
    </row>
    <row r="18">
      <c r="A18" s="150" t="s">
        <v>91</v>
      </c>
      <c r="B18" s="151">
        <v>1829.0</v>
      </c>
      <c r="C18" s="152" t="str">
        <f t="shared" si="1"/>
        <v>#N/A</v>
      </c>
      <c r="D18" s="153" t="str">
        <f t="shared" si="2"/>
        <v>#N/A</v>
      </c>
      <c r="E18" s="154" t="str">
        <f t="shared" si="3"/>
        <v>#N/A</v>
      </c>
      <c r="F18" s="155"/>
      <c r="G18" s="155"/>
      <c r="H18" s="155"/>
      <c r="I18" s="155">
        <f t="shared" si="4"/>
        <v>0.01176208558</v>
      </c>
      <c r="J18" s="156">
        <f>'input-from-OWID'!C17</f>
        <v>12906416</v>
      </c>
      <c r="K18" s="156">
        <f>vlookup(B18,'imported-world-population'!$C$2:$D$470,2,false)</f>
        <v>1097289755</v>
      </c>
      <c r="L18" s="156"/>
      <c r="M18" s="156"/>
      <c r="N18" s="156"/>
    </row>
    <row r="19">
      <c r="A19" s="150" t="s">
        <v>91</v>
      </c>
      <c r="B19" s="151">
        <v>1830.0</v>
      </c>
      <c r="C19" s="152" t="str">
        <f t="shared" si="1"/>
        <v>#N/A</v>
      </c>
      <c r="D19" s="153" t="str">
        <f t="shared" si="2"/>
        <v>#N/A</v>
      </c>
      <c r="E19" s="154" t="str">
        <f t="shared" si="3"/>
        <v>#N/A</v>
      </c>
      <c r="F19" s="155"/>
      <c r="G19" s="155"/>
      <c r="H19" s="155"/>
      <c r="I19" s="155">
        <f t="shared" si="4"/>
        <v>0.01200043375</v>
      </c>
      <c r="J19" s="156">
        <f>'input-from-OWID'!C18</f>
        <v>13240314</v>
      </c>
      <c r="K19" s="156">
        <f>vlookup(B19,'imported-world-population'!$C$2:$D$470,2,false)</f>
        <v>1103319620</v>
      </c>
      <c r="L19" s="156"/>
      <c r="M19" s="156"/>
      <c r="N19" s="156"/>
    </row>
    <row r="20">
      <c r="A20" s="150" t="s">
        <v>91</v>
      </c>
      <c r="B20" s="151">
        <v>1831.0</v>
      </c>
      <c r="C20" s="152" t="str">
        <f t="shared" si="1"/>
        <v>#N/A</v>
      </c>
      <c r="D20" s="153" t="str">
        <f t="shared" si="2"/>
        <v>#N/A</v>
      </c>
      <c r="E20" s="154" t="str">
        <f t="shared" si="3"/>
        <v>#N/A</v>
      </c>
      <c r="F20" s="155"/>
      <c r="G20" s="155"/>
      <c r="H20" s="155"/>
      <c r="I20" s="155">
        <f t="shared" si="4"/>
        <v>0.01231213538</v>
      </c>
      <c r="J20" s="156">
        <f>'input-from-OWID'!C19</f>
        <v>13658580</v>
      </c>
      <c r="K20" s="156">
        <f>vlookup(B20,'imported-world-population'!$C$2:$D$470,2,false)</f>
        <v>1109359147</v>
      </c>
      <c r="L20" s="156"/>
      <c r="M20" s="156"/>
      <c r="N20" s="156"/>
    </row>
    <row r="21">
      <c r="A21" s="150" t="s">
        <v>91</v>
      </c>
      <c r="B21" s="151">
        <v>1832.0</v>
      </c>
      <c r="C21" s="152" t="str">
        <f t="shared" si="1"/>
        <v>#N/A</v>
      </c>
      <c r="D21" s="153" t="str">
        <f t="shared" si="2"/>
        <v>#N/A</v>
      </c>
      <c r="E21" s="154" t="str">
        <f t="shared" si="3"/>
        <v>#N/A</v>
      </c>
      <c r="F21" s="155"/>
      <c r="G21" s="155"/>
      <c r="H21" s="155"/>
      <c r="I21" s="155">
        <f t="shared" si="4"/>
        <v>0.01262244794</v>
      </c>
      <c r="J21" s="156">
        <f>'input-from-OWID'!C20</f>
        <v>14077890</v>
      </c>
      <c r="K21" s="156">
        <f>vlookup(B21,'imported-world-population'!$C$2:$D$470,2,false)</f>
        <v>1115305848</v>
      </c>
      <c r="L21" s="156"/>
      <c r="M21" s="156"/>
      <c r="N21" s="156"/>
    </row>
    <row r="22">
      <c r="A22" s="150" t="s">
        <v>91</v>
      </c>
      <c r="B22" s="151">
        <v>1833.0</v>
      </c>
      <c r="C22" s="152" t="str">
        <f t="shared" si="1"/>
        <v>#N/A</v>
      </c>
      <c r="D22" s="153" t="str">
        <f t="shared" si="2"/>
        <v>#N/A</v>
      </c>
      <c r="E22" s="154" t="str">
        <f t="shared" si="3"/>
        <v>#N/A</v>
      </c>
      <c r="F22" s="155"/>
      <c r="G22" s="155"/>
      <c r="H22" s="155"/>
      <c r="I22" s="155">
        <f t="shared" si="4"/>
        <v>0.0129297298</v>
      </c>
      <c r="J22" s="156">
        <f>'input-from-OWID'!C21</f>
        <v>14496235</v>
      </c>
      <c r="K22" s="156">
        <f>vlookup(B22,'imported-world-population'!$C$2:$D$470,2,false)</f>
        <v>1121155293</v>
      </c>
      <c r="L22" s="156"/>
      <c r="M22" s="156"/>
      <c r="N22" s="156"/>
    </row>
    <row r="23">
      <c r="A23" s="150" t="s">
        <v>91</v>
      </c>
      <c r="B23" s="151">
        <v>1834.0</v>
      </c>
      <c r="C23" s="152" t="str">
        <f t="shared" si="1"/>
        <v>#N/A</v>
      </c>
      <c r="D23" s="153" t="str">
        <f t="shared" si="2"/>
        <v>#N/A</v>
      </c>
      <c r="E23" s="154" t="str">
        <f t="shared" si="3"/>
        <v>#N/A</v>
      </c>
      <c r="F23" s="155"/>
      <c r="G23" s="155"/>
      <c r="H23" s="155"/>
      <c r="I23" s="155">
        <f t="shared" si="4"/>
        <v>0.01323496546</v>
      </c>
      <c r="J23" s="156">
        <f>'input-from-OWID'!C22</f>
        <v>14914618</v>
      </c>
      <c r="K23" s="156">
        <f>vlookup(B23,'imported-world-population'!$C$2:$D$470,2,false)</f>
        <v>1126910232</v>
      </c>
      <c r="L23" s="156"/>
      <c r="M23" s="156"/>
      <c r="N23" s="156"/>
    </row>
    <row r="24">
      <c r="A24" s="150" t="s">
        <v>91</v>
      </c>
      <c r="B24" s="151">
        <v>1835.0</v>
      </c>
      <c r="C24" s="152" t="str">
        <f t="shared" si="1"/>
        <v>#N/A</v>
      </c>
      <c r="D24" s="153" t="str">
        <f t="shared" si="2"/>
        <v>#N/A</v>
      </c>
      <c r="E24" s="154" t="str">
        <f t="shared" si="3"/>
        <v>#N/A</v>
      </c>
      <c r="F24" s="155"/>
      <c r="G24" s="155"/>
      <c r="H24" s="155"/>
      <c r="I24" s="155">
        <f t="shared" si="4"/>
        <v>0.01353914734</v>
      </c>
      <c r="J24" s="156">
        <f>'input-from-OWID'!C23</f>
        <v>15334042</v>
      </c>
      <c r="K24" s="156">
        <f>vlookup(B24,'imported-world-population'!$C$2:$D$470,2,false)</f>
        <v>1132570731</v>
      </c>
      <c r="L24" s="156"/>
      <c r="M24" s="156"/>
      <c r="N24" s="156"/>
    </row>
    <row r="25">
      <c r="A25" s="150" t="s">
        <v>91</v>
      </c>
      <c r="B25" s="151">
        <v>1836.0</v>
      </c>
      <c r="C25" s="152" t="str">
        <f t="shared" si="1"/>
        <v>#N/A</v>
      </c>
      <c r="D25" s="153" t="str">
        <f t="shared" si="2"/>
        <v>#N/A</v>
      </c>
      <c r="E25" s="154" t="str">
        <f t="shared" si="3"/>
        <v>#N/A</v>
      </c>
      <c r="F25" s="155"/>
      <c r="G25" s="155"/>
      <c r="H25" s="155"/>
      <c r="I25" s="155">
        <f t="shared" si="4"/>
        <v>0.0138406742</v>
      </c>
      <c r="J25" s="156">
        <f>'input-from-OWID'!C24</f>
        <v>15752501</v>
      </c>
      <c r="K25" s="156">
        <f>vlookup(B25,'imported-world-population'!$C$2:$D$470,2,false)</f>
        <v>1138131046</v>
      </c>
      <c r="L25" s="156"/>
      <c r="M25" s="156"/>
      <c r="N25" s="156"/>
    </row>
    <row r="26">
      <c r="A26" s="150" t="s">
        <v>91</v>
      </c>
      <c r="B26" s="151">
        <v>1837.0</v>
      </c>
      <c r="C26" s="152" t="str">
        <f t="shared" si="1"/>
        <v>#N/A</v>
      </c>
      <c r="D26" s="153" t="str">
        <f t="shared" si="2"/>
        <v>#N/A</v>
      </c>
      <c r="E26" s="154" t="str">
        <f t="shared" si="3"/>
        <v>#N/A</v>
      </c>
      <c r="F26" s="155"/>
      <c r="G26" s="155"/>
      <c r="H26" s="155"/>
      <c r="I26" s="155">
        <f t="shared" si="4"/>
        <v>0.01414083775</v>
      </c>
      <c r="J26" s="156">
        <f>'input-from-OWID'!C25</f>
        <v>16170997</v>
      </c>
      <c r="K26" s="156">
        <f>vlookup(B26,'imported-world-population'!$C$2:$D$470,2,false)</f>
        <v>1143567113</v>
      </c>
      <c r="L26" s="156"/>
      <c r="M26" s="156"/>
      <c r="N26" s="156"/>
    </row>
    <row r="27">
      <c r="A27" s="150" t="s">
        <v>91</v>
      </c>
      <c r="B27" s="151">
        <v>1838.0</v>
      </c>
      <c r="C27" s="152" t="str">
        <f t="shared" si="1"/>
        <v>#N/A</v>
      </c>
      <c r="D27" s="153" t="str">
        <f t="shared" si="2"/>
        <v>#N/A</v>
      </c>
      <c r="E27" s="154" t="str">
        <f t="shared" si="3"/>
        <v>#N/A</v>
      </c>
      <c r="F27" s="155"/>
      <c r="G27" s="155"/>
      <c r="H27" s="155"/>
      <c r="I27" s="155">
        <f t="shared" si="4"/>
        <v>0.01444084438</v>
      </c>
      <c r="J27" s="156">
        <f>'input-from-OWID'!C26</f>
        <v>16590533</v>
      </c>
      <c r="K27" s="156">
        <f>vlookup(B27,'imported-world-population'!$C$2:$D$470,2,false)</f>
        <v>1148861698</v>
      </c>
      <c r="L27" s="156"/>
      <c r="M27" s="156"/>
      <c r="N27" s="156"/>
    </row>
    <row r="28">
      <c r="A28" s="150" t="s">
        <v>91</v>
      </c>
      <c r="B28" s="151">
        <v>1839.0</v>
      </c>
      <c r="C28" s="152" t="str">
        <f t="shared" si="1"/>
        <v>#N/A</v>
      </c>
      <c r="D28" s="153" t="str">
        <f t="shared" si="2"/>
        <v>#N/A</v>
      </c>
      <c r="E28" s="154" t="str">
        <f t="shared" si="3"/>
        <v>#N/A</v>
      </c>
      <c r="F28" s="155"/>
      <c r="G28" s="155"/>
      <c r="H28" s="155"/>
      <c r="I28" s="155">
        <f t="shared" si="4"/>
        <v>0.01473887223</v>
      </c>
      <c r="J28" s="156">
        <f>'input-from-OWID'!C27</f>
        <v>17009100</v>
      </c>
      <c r="K28" s="156">
        <f>vlookup(B28,'imported-world-population'!$C$2:$D$470,2,false)</f>
        <v>1154029951</v>
      </c>
      <c r="L28" s="156"/>
      <c r="M28" s="156"/>
      <c r="N28" s="156"/>
    </row>
    <row r="29">
      <c r="A29" s="150" t="s">
        <v>91</v>
      </c>
      <c r="B29" s="151">
        <v>1840.0</v>
      </c>
      <c r="C29" s="152" t="str">
        <f t="shared" si="1"/>
        <v>#N/A</v>
      </c>
      <c r="D29" s="153" t="str">
        <f t="shared" si="2"/>
        <v>#N/A</v>
      </c>
      <c r="E29" s="154" t="str">
        <f t="shared" si="3"/>
        <v>#N/A</v>
      </c>
      <c r="F29" s="155"/>
      <c r="G29" s="155"/>
      <c r="H29" s="155"/>
      <c r="I29" s="155">
        <f t="shared" si="4"/>
        <v>0.01504965081</v>
      </c>
      <c r="J29" s="156">
        <f>'input-from-OWID'!C28</f>
        <v>17443768</v>
      </c>
      <c r="K29" s="156">
        <f>vlookup(B29,'imported-world-population'!$C$2:$D$470,2,false)</f>
        <v>1159081245</v>
      </c>
      <c r="L29" s="156"/>
      <c r="M29" s="156"/>
      <c r="N29" s="156"/>
    </row>
    <row r="30">
      <c r="A30" s="150" t="s">
        <v>91</v>
      </c>
      <c r="B30" s="151">
        <v>1841.0</v>
      </c>
      <c r="C30" s="152" t="str">
        <f t="shared" si="1"/>
        <v>#N/A</v>
      </c>
      <c r="D30" s="153" t="str">
        <f t="shared" si="2"/>
        <v>#N/A</v>
      </c>
      <c r="E30" s="154" t="str">
        <f t="shared" si="3"/>
        <v>#N/A</v>
      </c>
      <c r="F30" s="155"/>
      <c r="G30" s="155"/>
      <c r="H30" s="155"/>
      <c r="I30" s="155">
        <f t="shared" si="4"/>
        <v>0.01551397833</v>
      </c>
      <c r="J30" s="156">
        <f>'input-from-OWID'!C29</f>
        <v>18056100</v>
      </c>
      <c r="K30" s="156">
        <f>vlookup(B30,'imported-world-population'!$C$2:$D$470,2,false)</f>
        <v>1163860076</v>
      </c>
      <c r="L30" s="156"/>
      <c r="M30" s="156"/>
      <c r="N30" s="156"/>
    </row>
    <row r="31">
      <c r="A31" s="150" t="s">
        <v>91</v>
      </c>
      <c r="B31" s="151">
        <v>1842.0</v>
      </c>
      <c r="C31" s="152" t="str">
        <f t="shared" si="1"/>
        <v>#N/A</v>
      </c>
      <c r="D31" s="153" t="str">
        <f t="shared" si="2"/>
        <v>#N/A</v>
      </c>
      <c r="E31" s="154" t="str">
        <f t="shared" si="3"/>
        <v>#N/A</v>
      </c>
      <c r="F31" s="155"/>
      <c r="G31" s="155"/>
      <c r="H31" s="155"/>
      <c r="I31" s="155">
        <f t="shared" si="4"/>
        <v>0.01597549659</v>
      </c>
      <c r="J31" s="156">
        <f>'input-from-OWID'!C30</f>
        <v>18667464</v>
      </c>
      <c r="K31" s="156">
        <f>vlookup(B31,'imported-world-population'!$C$2:$D$470,2,false)</f>
        <v>1168506024</v>
      </c>
      <c r="L31" s="156"/>
      <c r="M31" s="156"/>
      <c r="N31" s="156"/>
    </row>
    <row r="32">
      <c r="A32" s="150" t="s">
        <v>91</v>
      </c>
      <c r="B32" s="151">
        <v>1843.0</v>
      </c>
      <c r="C32" s="152" t="str">
        <f t="shared" si="1"/>
        <v>#N/A</v>
      </c>
      <c r="D32" s="153" t="str">
        <f t="shared" si="2"/>
        <v>#N/A</v>
      </c>
      <c r="E32" s="154" t="str">
        <f t="shared" si="3"/>
        <v>#N/A</v>
      </c>
      <c r="F32" s="155"/>
      <c r="G32" s="155"/>
      <c r="H32" s="155"/>
      <c r="I32" s="155">
        <f t="shared" si="4"/>
        <v>0.01643518986</v>
      </c>
      <c r="J32" s="156">
        <f>'input-from-OWID'!C31</f>
        <v>19278864</v>
      </c>
      <c r="K32" s="156">
        <f>vlookup(B32,'imported-world-population'!$C$2:$D$470,2,false)</f>
        <v>1173023504</v>
      </c>
      <c r="L32" s="156"/>
      <c r="M32" s="156"/>
      <c r="N32" s="156"/>
    </row>
    <row r="33">
      <c r="A33" s="150" t="s">
        <v>91</v>
      </c>
      <c r="B33" s="151">
        <v>1844.0</v>
      </c>
      <c r="C33" s="152" t="str">
        <f t="shared" si="1"/>
        <v>#N/A</v>
      </c>
      <c r="D33" s="153" t="str">
        <f t="shared" si="2"/>
        <v>#N/A</v>
      </c>
      <c r="E33" s="154" t="str">
        <f t="shared" si="3"/>
        <v>#N/A</v>
      </c>
      <c r="F33" s="155"/>
      <c r="G33" s="155"/>
      <c r="H33" s="155"/>
      <c r="I33" s="155">
        <f t="shared" si="4"/>
        <v>0.01689332867</v>
      </c>
      <c r="J33" s="156">
        <f>'input-from-OWID'!C32</f>
        <v>19890300</v>
      </c>
      <c r="K33" s="156">
        <f>vlookup(B33,'imported-world-population'!$C$2:$D$470,2,false)</f>
        <v>1177405613</v>
      </c>
      <c r="L33" s="156"/>
      <c r="M33" s="156"/>
      <c r="N33" s="156"/>
    </row>
    <row r="34">
      <c r="A34" s="150" t="s">
        <v>91</v>
      </c>
      <c r="B34" s="151">
        <v>1845.0</v>
      </c>
      <c r="C34" s="152" t="str">
        <f t="shared" si="1"/>
        <v>#N/A</v>
      </c>
      <c r="D34" s="153" t="str">
        <f t="shared" si="2"/>
        <v>#N/A</v>
      </c>
      <c r="E34" s="154" t="str">
        <f t="shared" si="3"/>
        <v>#N/A</v>
      </c>
      <c r="F34" s="155"/>
      <c r="G34" s="155"/>
      <c r="H34" s="155"/>
      <c r="I34" s="155">
        <f t="shared" si="4"/>
        <v>0.01735078569</v>
      </c>
      <c r="J34" s="156">
        <f>'input-from-OWID'!C33</f>
        <v>20502776</v>
      </c>
      <c r="K34" s="156">
        <f>vlookup(B34,'imported-world-population'!$C$2:$D$470,2,false)</f>
        <v>1181662685</v>
      </c>
      <c r="L34" s="156"/>
      <c r="M34" s="156"/>
      <c r="N34" s="156"/>
    </row>
    <row r="35">
      <c r="A35" s="150" t="s">
        <v>91</v>
      </c>
      <c r="B35" s="151">
        <v>1846.0</v>
      </c>
      <c r="C35" s="152" t="str">
        <f t="shared" si="1"/>
        <v>#N/A</v>
      </c>
      <c r="D35" s="153" t="str">
        <f t="shared" si="2"/>
        <v>#N/A</v>
      </c>
      <c r="E35" s="154" t="str">
        <f t="shared" si="3"/>
        <v>#N/A</v>
      </c>
      <c r="F35" s="155"/>
      <c r="G35" s="155"/>
      <c r="H35" s="155"/>
      <c r="I35" s="155">
        <f t="shared" si="4"/>
        <v>0.01780615844</v>
      </c>
      <c r="J35" s="156">
        <f>'input-from-OWID'!C34</f>
        <v>21114282</v>
      </c>
      <c r="K35" s="156">
        <f>vlookup(B35,'imported-world-population'!$C$2:$D$470,2,false)</f>
        <v>1185785360</v>
      </c>
      <c r="L35" s="156"/>
      <c r="M35" s="156"/>
      <c r="N35" s="156"/>
    </row>
    <row r="36">
      <c r="A36" s="150" t="s">
        <v>91</v>
      </c>
      <c r="B36" s="151">
        <v>1847.0</v>
      </c>
      <c r="C36" s="152" t="str">
        <f t="shared" si="1"/>
        <v>#N/A</v>
      </c>
      <c r="D36" s="153" t="str">
        <f t="shared" si="2"/>
        <v>#N/A</v>
      </c>
      <c r="E36" s="154" t="str">
        <f t="shared" si="3"/>
        <v>#N/A</v>
      </c>
      <c r="F36" s="155"/>
      <c r="G36" s="155"/>
      <c r="H36" s="155"/>
      <c r="I36" s="155">
        <f t="shared" si="4"/>
        <v>0.01826033024</v>
      </c>
      <c r="J36" s="156">
        <f>'input-from-OWID'!C35</f>
        <v>21725822</v>
      </c>
      <c r="K36" s="156">
        <f>vlookup(B36,'imported-world-population'!$C$2:$D$470,2,false)</f>
        <v>1189782535</v>
      </c>
      <c r="L36" s="156"/>
      <c r="M36" s="156"/>
      <c r="N36" s="156"/>
    </row>
    <row r="37">
      <c r="A37" s="150" t="s">
        <v>91</v>
      </c>
      <c r="B37" s="151">
        <v>1848.0</v>
      </c>
      <c r="C37" s="152" t="str">
        <f t="shared" si="1"/>
        <v>#N/A</v>
      </c>
      <c r="D37" s="153" t="str">
        <f t="shared" si="2"/>
        <v>#N/A</v>
      </c>
      <c r="E37" s="154" t="str">
        <f t="shared" si="3"/>
        <v>#N/A</v>
      </c>
      <c r="F37" s="155"/>
      <c r="G37" s="155"/>
      <c r="H37" s="155"/>
      <c r="I37" s="155">
        <f t="shared" si="4"/>
        <v>0.0509128045</v>
      </c>
      <c r="J37" s="156">
        <f>'input-from-OWID'!C36</f>
        <v>60772396</v>
      </c>
      <c r="K37" s="156">
        <f>vlookup(B37,'imported-world-population'!$C$2:$D$470,2,false)</f>
        <v>1193656421</v>
      </c>
      <c r="L37" s="156"/>
      <c r="M37" s="156"/>
      <c r="N37" s="156"/>
    </row>
    <row r="38">
      <c r="A38" s="150" t="s">
        <v>91</v>
      </c>
      <c r="B38" s="151">
        <v>1849.0</v>
      </c>
      <c r="C38" s="152" t="str">
        <f t="shared" si="1"/>
        <v>#N/A</v>
      </c>
      <c r="D38" s="153" t="str">
        <f t="shared" si="2"/>
        <v>#N/A</v>
      </c>
      <c r="E38" s="154" t="str">
        <f t="shared" si="3"/>
        <v>#N/A</v>
      </c>
      <c r="F38" s="155"/>
      <c r="G38" s="155"/>
      <c r="H38" s="155"/>
      <c r="I38" s="155">
        <f t="shared" si="4"/>
        <v>0.05138759294</v>
      </c>
      <c r="J38" s="156">
        <f>'input-from-OWID'!C37</f>
        <v>61532008</v>
      </c>
      <c r="K38" s="156">
        <f>vlookup(B38,'imported-world-population'!$C$2:$D$470,2,false)</f>
        <v>1197409812</v>
      </c>
      <c r="L38" s="156"/>
      <c r="M38" s="156"/>
      <c r="N38" s="156"/>
    </row>
    <row r="39">
      <c r="A39" s="150" t="s">
        <v>91</v>
      </c>
      <c r="B39" s="151">
        <v>1850.0</v>
      </c>
      <c r="C39" s="152" t="str">
        <f t="shared" si="1"/>
        <v>#N/A</v>
      </c>
      <c r="D39" s="153" t="str">
        <f t="shared" si="2"/>
        <v>#N/A</v>
      </c>
      <c r="E39" s="154" t="str">
        <f t="shared" si="3"/>
        <v>#N/A</v>
      </c>
      <c r="F39" s="155"/>
      <c r="G39" s="155"/>
      <c r="H39" s="155"/>
      <c r="I39" s="155">
        <f t="shared" si="4"/>
        <v>0.05187869012</v>
      </c>
      <c r="J39" s="156">
        <f>'input-from-OWID'!C38</f>
        <v>62308718</v>
      </c>
      <c r="K39" s="156">
        <f>vlookup(B39,'imported-world-population'!$C$2:$D$470,2,false)</f>
        <v>1201046477</v>
      </c>
      <c r="L39" s="156"/>
      <c r="M39" s="156"/>
      <c r="N39" s="156"/>
    </row>
    <row r="40">
      <c r="A40" s="150" t="s">
        <v>91</v>
      </c>
      <c r="B40" s="151">
        <v>1851.0</v>
      </c>
      <c r="C40" s="152" t="str">
        <f t="shared" si="1"/>
        <v>#N/A</v>
      </c>
      <c r="D40" s="153" t="str">
        <f t="shared" si="2"/>
        <v>#N/A</v>
      </c>
      <c r="E40" s="154" t="str">
        <f t="shared" si="3"/>
        <v>#N/A</v>
      </c>
      <c r="F40" s="155"/>
      <c r="G40" s="155"/>
      <c r="H40" s="155"/>
      <c r="I40" s="155">
        <f t="shared" si="4"/>
        <v>0.0222499578</v>
      </c>
      <c r="J40" s="156">
        <f>'input-from-OWID'!C39</f>
        <v>26804304</v>
      </c>
      <c r="K40" s="156">
        <f>vlookup(B40,'imported-world-population'!$C$2:$D$470,2,false)</f>
        <v>1204690105</v>
      </c>
      <c r="L40" s="156"/>
      <c r="M40" s="156"/>
      <c r="N40" s="156"/>
    </row>
    <row r="41">
      <c r="A41" s="150" t="s">
        <v>91</v>
      </c>
      <c r="B41" s="151">
        <v>1852.0</v>
      </c>
      <c r="C41" s="152" t="str">
        <f t="shared" si="1"/>
        <v>#N/A</v>
      </c>
      <c r="D41" s="153" t="str">
        <f t="shared" si="2"/>
        <v>#N/A</v>
      </c>
      <c r="E41" s="154" t="str">
        <f t="shared" si="3"/>
        <v>#N/A</v>
      </c>
      <c r="F41" s="155"/>
      <c r="G41" s="155"/>
      <c r="H41" s="155"/>
      <c r="I41" s="155">
        <f t="shared" si="4"/>
        <v>0.02287277112</v>
      </c>
      <c r="J41" s="156">
        <f>'input-from-OWID'!C40</f>
        <v>27636918</v>
      </c>
      <c r="K41" s="156">
        <f>vlookup(B41,'imported-world-population'!$C$2:$D$470,2,false)</f>
        <v>1208289011</v>
      </c>
      <c r="L41" s="156"/>
      <c r="M41" s="156"/>
      <c r="N41" s="156"/>
    </row>
    <row r="42">
      <c r="A42" s="150" t="s">
        <v>91</v>
      </c>
      <c r="B42" s="151">
        <v>1853.0</v>
      </c>
      <c r="C42" s="152" t="str">
        <f t="shared" si="1"/>
        <v>#N/A</v>
      </c>
      <c r="D42" s="153" t="str">
        <f t="shared" si="2"/>
        <v>#N/A</v>
      </c>
      <c r="E42" s="154" t="str">
        <f t="shared" si="3"/>
        <v>#N/A</v>
      </c>
      <c r="F42" s="155"/>
      <c r="G42" s="155"/>
      <c r="H42" s="155"/>
      <c r="I42" s="155">
        <f t="shared" si="4"/>
        <v>0.02731606569</v>
      </c>
      <c r="J42" s="156">
        <f>'input-from-OWID'!C41</f>
        <v>33102952</v>
      </c>
      <c r="K42" s="156">
        <f>vlookup(B42,'imported-world-population'!$C$2:$D$470,2,false)</f>
        <v>1211849187</v>
      </c>
      <c r="L42" s="156"/>
      <c r="M42" s="156"/>
      <c r="N42" s="156"/>
    </row>
    <row r="43">
      <c r="A43" s="150" t="s">
        <v>91</v>
      </c>
      <c r="B43" s="151">
        <v>1854.0</v>
      </c>
      <c r="C43" s="152" t="str">
        <f t="shared" si="1"/>
        <v>#N/A</v>
      </c>
      <c r="D43" s="153" t="str">
        <f t="shared" si="2"/>
        <v>#N/A</v>
      </c>
      <c r="E43" s="154" t="str">
        <f t="shared" si="3"/>
        <v>#N/A</v>
      </c>
      <c r="F43" s="155"/>
      <c r="G43" s="155"/>
      <c r="H43" s="155"/>
      <c r="I43" s="155">
        <f t="shared" si="4"/>
        <v>0.02786976029</v>
      </c>
      <c r="J43" s="156">
        <f>'input-from-OWID'!C42</f>
        <v>33872238</v>
      </c>
      <c r="K43" s="156">
        <f>vlookup(B43,'imported-world-population'!$C$2:$D$470,2,false)</f>
        <v>1215376008</v>
      </c>
      <c r="L43" s="156"/>
      <c r="M43" s="156"/>
      <c r="N43" s="156"/>
    </row>
    <row r="44">
      <c r="A44" s="150" t="s">
        <v>91</v>
      </c>
      <c r="B44" s="151">
        <v>1855.0</v>
      </c>
      <c r="C44" s="152" t="str">
        <f t="shared" si="1"/>
        <v>#N/A</v>
      </c>
      <c r="D44" s="153" t="str">
        <f t="shared" si="2"/>
        <v>#N/A</v>
      </c>
      <c r="E44" s="154" t="str">
        <f t="shared" si="3"/>
        <v>#N/A</v>
      </c>
      <c r="F44" s="155"/>
      <c r="G44" s="155"/>
      <c r="H44" s="155"/>
      <c r="I44" s="155">
        <f t="shared" si="4"/>
        <v>0.02850351917</v>
      </c>
      <c r="J44" s="156">
        <f>'input-from-OWID'!C43</f>
        <v>34741944</v>
      </c>
      <c r="K44" s="156">
        <f>vlookup(B44,'imported-world-population'!$C$2:$D$470,2,false)</f>
        <v>1218865074</v>
      </c>
      <c r="L44" s="156"/>
      <c r="M44" s="156"/>
      <c r="N44" s="156"/>
    </row>
    <row r="45">
      <c r="A45" s="150" t="s">
        <v>91</v>
      </c>
      <c r="B45" s="151">
        <v>1856.0</v>
      </c>
      <c r="C45" s="152" t="str">
        <f t="shared" si="1"/>
        <v>#N/A</v>
      </c>
      <c r="D45" s="153" t="str">
        <f t="shared" si="2"/>
        <v>#N/A</v>
      </c>
      <c r="E45" s="154" t="str">
        <f t="shared" si="3"/>
        <v>#N/A</v>
      </c>
      <c r="F45" s="155"/>
      <c r="G45" s="155"/>
      <c r="H45" s="155"/>
      <c r="I45" s="155">
        <f t="shared" si="4"/>
        <v>0.02913570088</v>
      </c>
      <c r="J45" s="156">
        <f>'input-from-OWID'!C44</f>
        <v>35612680</v>
      </c>
      <c r="K45" s="156">
        <f>vlookup(B45,'imported-world-population'!$C$2:$D$470,2,false)</f>
        <v>1222303872</v>
      </c>
      <c r="L45" s="156"/>
      <c r="M45" s="156"/>
      <c r="N45" s="156"/>
    </row>
    <row r="46">
      <c r="A46" s="150" t="s">
        <v>91</v>
      </c>
      <c r="B46" s="151">
        <v>1857.0</v>
      </c>
      <c r="C46" s="152" t="str">
        <f t="shared" si="1"/>
        <v>#N/A</v>
      </c>
      <c r="D46" s="153" t="str">
        <f t="shared" si="2"/>
        <v>#N/A</v>
      </c>
      <c r="E46" s="154" t="str">
        <f t="shared" si="3"/>
        <v>#N/A</v>
      </c>
      <c r="F46" s="155"/>
      <c r="G46" s="155"/>
      <c r="H46" s="155"/>
      <c r="I46" s="155">
        <f t="shared" si="4"/>
        <v>0.02986060535</v>
      </c>
      <c r="J46" s="156">
        <f>'input-from-OWID'!C45</f>
        <v>36600114</v>
      </c>
      <c r="K46" s="156">
        <f>vlookup(B46,'imported-world-population'!$C$2:$D$470,2,false)</f>
        <v>1225698996</v>
      </c>
      <c r="L46" s="156"/>
      <c r="M46" s="156"/>
      <c r="N46" s="156"/>
    </row>
    <row r="47">
      <c r="A47" s="150" t="s">
        <v>91</v>
      </c>
      <c r="B47" s="151">
        <v>1858.0</v>
      </c>
      <c r="C47" s="152" t="str">
        <f t="shared" si="1"/>
        <v>#N/A</v>
      </c>
      <c r="D47" s="153" t="str">
        <f t="shared" si="2"/>
        <v>#N/A</v>
      </c>
      <c r="E47" s="154" t="str">
        <f t="shared" si="3"/>
        <v>#N/A</v>
      </c>
      <c r="F47" s="155"/>
      <c r="G47" s="155"/>
      <c r="H47" s="155"/>
      <c r="I47" s="155">
        <f t="shared" si="4"/>
        <v>0.03048851479</v>
      </c>
      <c r="J47" s="156">
        <f>'input-from-OWID'!C46</f>
        <v>37472499</v>
      </c>
      <c r="K47" s="156">
        <f>vlookup(B47,'imported-world-population'!$C$2:$D$470,2,false)</f>
        <v>1229069348</v>
      </c>
      <c r="L47" s="156"/>
      <c r="M47" s="156"/>
      <c r="N47" s="156"/>
    </row>
    <row r="48">
      <c r="A48" s="150" t="s">
        <v>91</v>
      </c>
      <c r="B48" s="151">
        <v>1859.0</v>
      </c>
      <c r="C48" s="152" t="str">
        <f t="shared" si="1"/>
        <v>#N/A</v>
      </c>
      <c r="D48" s="153" t="str">
        <f t="shared" si="2"/>
        <v>#N/A</v>
      </c>
      <c r="E48" s="154" t="str">
        <f t="shared" si="3"/>
        <v>#N/A</v>
      </c>
      <c r="F48" s="155"/>
      <c r="G48" s="155"/>
      <c r="H48" s="155"/>
      <c r="I48" s="155">
        <f t="shared" si="4"/>
        <v>0.03111339299</v>
      </c>
      <c r="J48" s="156">
        <f>'input-from-OWID'!C47</f>
        <v>38346092</v>
      </c>
      <c r="K48" s="156">
        <f>vlookup(B48,'imported-world-population'!$C$2:$D$470,2,false)</f>
        <v>1232462561</v>
      </c>
      <c r="L48" s="156"/>
      <c r="M48" s="156"/>
      <c r="N48" s="156"/>
    </row>
    <row r="49">
      <c r="A49" s="150" t="s">
        <v>91</v>
      </c>
      <c r="B49" s="151">
        <v>1860.0</v>
      </c>
      <c r="C49" s="152" t="str">
        <f t="shared" si="1"/>
        <v>#N/A</v>
      </c>
      <c r="D49" s="153" t="str">
        <f t="shared" si="2"/>
        <v>#N/A</v>
      </c>
      <c r="E49" s="154" t="str">
        <f t="shared" si="3"/>
        <v>#N/A</v>
      </c>
      <c r="F49" s="155"/>
      <c r="G49" s="155"/>
      <c r="H49" s="155"/>
      <c r="I49" s="155">
        <f t="shared" si="4"/>
        <v>0.03173664278</v>
      </c>
      <c r="J49" s="156">
        <f>'input-from-OWID'!C48</f>
        <v>39220900</v>
      </c>
      <c r="K49" s="156">
        <f>vlookup(B49,'imported-world-population'!$C$2:$D$470,2,false)</f>
        <v>1235823848</v>
      </c>
      <c r="L49" s="156"/>
      <c r="M49" s="156"/>
      <c r="N49" s="156"/>
    </row>
    <row r="50">
      <c r="A50" s="150" t="s">
        <v>91</v>
      </c>
      <c r="B50" s="151">
        <v>1861.0</v>
      </c>
      <c r="C50" s="152" t="str">
        <f t="shared" si="1"/>
        <v>#N/A</v>
      </c>
      <c r="D50" s="153" t="str">
        <f t="shared" si="2"/>
        <v>#N/A</v>
      </c>
      <c r="E50" s="154" t="str">
        <f t="shared" si="3"/>
        <v>#N/A</v>
      </c>
      <c r="F50" s="155"/>
      <c r="G50" s="155"/>
      <c r="H50" s="155"/>
      <c r="I50" s="155">
        <f t="shared" si="4"/>
        <v>0.03237202279</v>
      </c>
      <c r="J50" s="156">
        <f>'input-from-OWID'!C49</f>
        <v>40118600</v>
      </c>
      <c r="K50" s="156">
        <f>vlookup(B50,'imported-world-population'!$C$2:$D$470,2,false)</f>
        <v>1239298522</v>
      </c>
      <c r="L50" s="156"/>
      <c r="M50" s="156"/>
      <c r="N50" s="156"/>
    </row>
    <row r="51">
      <c r="A51" s="150" t="s">
        <v>91</v>
      </c>
      <c r="B51" s="151">
        <v>1862.0</v>
      </c>
      <c r="C51" s="152" t="str">
        <f t="shared" si="1"/>
        <v>#N/A</v>
      </c>
      <c r="D51" s="153" t="str">
        <f t="shared" si="2"/>
        <v>#N/A</v>
      </c>
      <c r="E51" s="154" t="str">
        <f t="shared" si="3"/>
        <v>#N/A</v>
      </c>
      <c r="F51" s="155"/>
      <c r="G51" s="155"/>
      <c r="H51" s="155"/>
      <c r="I51" s="155">
        <f t="shared" si="4"/>
        <v>0.03299616254</v>
      </c>
      <c r="J51" s="156">
        <f>'input-from-OWID'!C50</f>
        <v>41017218</v>
      </c>
      <c r="K51" s="156">
        <f>vlookup(B51,'imported-world-population'!$C$2:$D$470,2,false)</f>
        <v>1243090555</v>
      </c>
      <c r="L51" s="156"/>
      <c r="M51" s="156"/>
      <c r="N51" s="156"/>
    </row>
    <row r="52">
      <c r="A52" s="150" t="s">
        <v>91</v>
      </c>
      <c r="B52" s="151">
        <v>1863.0</v>
      </c>
      <c r="C52" s="152" t="str">
        <f t="shared" si="1"/>
        <v>#N/A</v>
      </c>
      <c r="D52" s="153" t="str">
        <f t="shared" si="2"/>
        <v>#N/A</v>
      </c>
      <c r="E52" s="154" t="str">
        <f t="shared" si="3"/>
        <v>#N/A</v>
      </c>
      <c r="F52" s="155"/>
      <c r="G52" s="155"/>
      <c r="H52" s="155"/>
      <c r="I52" s="155">
        <f t="shared" si="4"/>
        <v>0.03360953962</v>
      </c>
      <c r="J52" s="156">
        <f>'input-from-OWID'!C51</f>
        <v>41917836</v>
      </c>
      <c r="K52" s="156">
        <f>vlookup(B52,'imported-world-population'!$C$2:$D$470,2,false)</f>
        <v>1247200541</v>
      </c>
      <c r="L52" s="156"/>
      <c r="M52" s="156"/>
      <c r="N52" s="156"/>
    </row>
    <row r="53">
      <c r="A53" s="150" t="s">
        <v>91</v>
      </c>
      <c r="B53" s="151">
        <v>1864.0</v>
      </c>
      <c r="C53" s="152" t="str">
        <f t="shared" si="1"/>
        <v>#N/A</v>
      </c>
      <c r="D53" s="153" t="str">
        <f t="shared" si="2"/>
        <v>#N/A</v>
      </c>
      <c r="E53" s="154" t="str">
        <f t="shared" si="3"/>
        <v>#N/A</v>
      </c>
      <c r="F53" s="155"/>
      <c r="G53" s="155"/>
      <c r="H53" s="155"/>
      <c r="I53" s="155">
        <f t="shared" si="4"/>
        <v>0.03697550599</v>
      </c>
      <c r="J53" s="156">
        <f>'input-from-OWID'!C52</f>
        <v>46279525</v>
      </c>
      <c r="K53" s="156">
        <f>vlookup(B53,'imported-world-population'!$C$2:$D$470,2,false)</f>
        <v>1251626550</v>
      </c>
      <c r="L53" s="156"/>
      <c r="M53" s="156"/>
      <c r="N53" s="156"/>
    </row>
    <row r="54">
      <c r="A54" s="150" t="s">
        <v>91</v>
      </c>
      <c r="B54" s="151">
        <v>1865.0</v>
      </c>
      <c r="C54" s="152" t="str">
        <f t="shared" si="1"/>
        <v>#N/A</v>
      </c>
      <c r="D54" s="153" t="str">
        <f t="shared" si="2"/>
        <v>#N/A</v>
      </c>
      <c r="E54" s="154" t="str">
        <f t="shared" si="3"/>
        <v>#N/A</v>
      </c>
      <c r="F54" s="155"/>
      <c r="G54" s="155"/>
      <c r="H54" s="155"/>
      <c r="I54" s="155">
        <f t="shared" si="4"/>
        <v>0.03757996346</v>
      </c>
      <c r="J54" s="156">
        <f>'input-from-OWID'!C53</f>
        <v>47214378</v>
      </c>
      <c r="K54" s="156">
        <f>vlookup(B54,'imported-world-population'!$C$2:$D$470,2,false)</f>
        <v>1256371046</v>
      </c>
      <c r="L54" s="156"/>
      <c r="M54" s="156"/>
      <c r="N54" s="156"/>
    </row>
    <row r="55">
      <c r="A55" s="150" t="s">
        <v>91</v>
      </c>
      <c r="B55" s="151">
        <v>1866.0</v>
      </c>
      <c r="C55" s="152" t="str">
        <f t="shared" si="1"/>
        <v>#N/A</v>
      </c>
      <c r="D55" s="153" t="str">
        <f t="shared" si="2"/>
        <v>#N/A</v>
      </c>
      <c r="E55" s="154" t="str">
        <f t="shared" si="3"/>
        <v>#N/A</v>
      </c>
      <c r="F55" s="155"/>
      <c r="G55" s="155"/>
      <c r="H55" s="155"/>
      <c r="I55" s="155">
        <f t="shared" si="4"/>
        <v>0.03817018013</v>
      </c>
      <c r="J55" s="156">
        <f>'input-from-OWID'!C54</f>
        <v>48149480</v>
      </c>
      <c r="K55" s="156">
        <f>vlookup(B55,'imported-world-population'!$C$2:$D$470,2,false)</f>
        <v>1261442305</v>
      </c>
      <c r="L55" s="156"/>
      <c r="M55" s="156"/>
      <c r="N55" s="156"/>
    </row>
    <row r="56">
      <c r="A56" s="150" t="s">
        <v>91</v>
      </c>
      <c r="B56" s="151">
        <v>1867.0</v>
      </c>
      <c r="C56" s="152" t="str">
        <f t="shared" si="1"/>
        <v>#N/A</v>
      </c>
      <c r="D56" s="153" t="str">
        <f t="shared" si="2"/>
        <v>#N/A</v>
      </c>
      <c r="E56" s="154" t="str">
        <f t="shared" si="3"/>
        <v>#N/A</v>
      </c>
      <c r="F56" s="155"/>
      <c r="G56" s="155"/>
      <c r="H56" s="155"/>
      <c r="I56" s="155">
        <f t="shared" si="4"/>
        <v>0.04059589033</v>
      </c>
      <c r="J56" s="156">
        <f>'input-from-OWID'!C55</f>
        <v>51428771</v>
      </c>
      <c r="K56" s="156">
        <f>vlookup(B56,'imported-world-population'!$C$2:$D$470,2,false)</f>
        <v>1266846732</v>
      </c>
      <c r="L56" s="156"/>
      <c r="M56" s="156"/>
      <c r="N56" s="156"/>
    </row>
    <row r="57">
      <c r="A57" s="150" t="s">
        <v>91</v>
      </c>
      <c r="B57" s="151">
        <v>1868.0</v>
      </c>
      <c r="C57" s="152" t="str">
        <f t="shared" si="1"/>
        <v>#N/A</v>
      </c>
      <c r="D57" s="153" t="str">
        <f t="shared" si="2"/>
        <v>#N/A</v>
      </c>
      <c r="E57" s="154" t="str">
        <f t="shared" si="3"/>
        <v>#N/A</v>
      </c>
      <c r="F57" s="155"/>
      <c r="G57" s="155"/>
      <c r="H57" s="155"/>
      <c r="I57" s="155">
        <f t="shared" si="4"/>
        <v>0.0411678677</v>
      </c>
      <c r="J57" s="156">
        <f>'input-from-OWID'!C56</f>
        <v>52388951</v>
      </c>
      <c r="K57" s="156">
        <f>vlookup(B57,'imported-world-population'!$C$2:$D$470,2,false)</f>
        <v>1272568970</v>
      </c>
      <c r="L57" s="156"/>
      <c r="M57" s="156"/>
      <c r="N57" s="156"/>
    </row>
    <row r="58">
      <c r="A58" s="150" t="s">
        <v>91</v>
      </c>
      <c r="B58" s="151">
        <v>1869.0</v>
      </c>
      <c r="C58" s="152" t="str">
        <f t="shared" si="1"/>
        <v>#N/A</v>
      </c>
      <c r="D58" s="153" t="str">
        <f t="shared" si="2"/>
        <v>#N/A</v>
      </c>
      <c r="E58" s="154" t="str">
        <f t="shared" si="3"/>
        <v>#N/A</v>
      </c>
      <c r="F58" s="155"/>
      <c r="G58" s="155"/>
      <c r="H58" s="155"/>
      <c r="I58" s="155">
        <f t="shared" si="4"/>
        <v>0.04169981269</v>
      </c>
      <c r="J58" s="156">
        <f>'input-from-OWID'!C57</f>
        <v>53317841</v>
      </c>
      <c r="K58" s="156">
        <f>vlookup(B58,'imported-world-population'!$C$2:$D$470,2,false)</f>
        <v>1278611043</v>
      </c>
      <c r="L58" s="156"/>
      <c r="M58" s="156"/>
      <c r="N58" s="156"/>
    </row>
    <row r="59">
      <c r="A59" s="150" t="s">
        <v>91</v>
      </c>
      <c r="B59" s="151">
        <v>1870.0</v>
      </c>
      <c r="C59" s="152" t="str">
        <f t="shared" si="1"/>
        <v>#N/A</v>
      </c>
      <c r="D59" s="153" t="str">
        <f t="shared" si="2"/>
        <v>#N/A</v>
      </c>
      <c r="E59" s="154" t="str">
        <f t="shared" si="3"/>
        <v>#N/A</v>
      </c>
      <c r="F59" s="155"/>
      <c r="G59" s="155"/>
      <c r="H59" s="155"/>
      <c r="I59" s="155">
        <f t="shared" si="4"/>
        <v>0.04228229656</v>
      </c>
      <c r="J59" s="156">
        <f>'input-from-OWID'!C58</f>
        <v>54331632</v>
      </c>
      <c r="K59" s="156">
        <f>vlookup(B59,'imported-world-population'!$C$2:$D$470,2,false)</f>
        <v>1284973533</v>
      </c>
      <c r="L59" s="156"/>
      <c r="M59" s="156"/>
      <c r="N59" s="156"/>
    </row>
    <row r="60">
      <c r="A60" s="150" t="s">
        <v>91</v>
      </c>
      <c r="B60" s="151">
        <v>1871.0</v>
      </c>
      <c r="C60" s="152" t="str">
        <f t="shared" si="1"/>
        <v>#N/A</v>
      </c>
      <c r="D60" s="153" t="str">
        <f t="shared" si="2"/>
        <v>#N/A</v>
      </c>
      <c r="E60" s="154" t="str">
        <f t="shared" si="3"/>
        <v>#N/A</v>
      </c>
      <c r="F60" s="155"/>
      <c r="G60" s="155"/>
      <c r="H60" s="155"/>
      <c r="I60" s="155">
        <f t="shared" si="4"/>
        <v>0.04285064413</v>
      </c>
      <c r="J60" s="156">
        <f>'input-from-OWID'!C59</f>
        <v>55348314</v>
      </c>
      <c r="K60" s="156">
        <f>vlookup(B60,'imported-world-population'!$C$2:$D$470,2,false)</f>
        <v>1291656523</v>
      </c>
      <c r="L60" s="156"/>
      <c r="M60" s="156"/>
      <c r="N60" s="156"/>
    </row>
    <row r="61">
      <c r="A61" s="150" t="s">
        <v>91</v>
      </c>
      <c r="B61" s="151">
        <v>1872.0</v>
      </c>
      <c r="C61" s="152" t="str">
        <f t="shared" si="1"/>
        <v>#N/A</v>
      </c>
      <c r="D61" s="153" t="str">
        <f t="shared" si="2"/>
        <v>#N/A</v>
      </c>
      <c r="E61" s="154" t="str">
        <f t="shared" si="3"/>
        <v>#N/A</v>
      </c>
      <c r="F61" s="155"/>
      <c r="G61" s="155"/>
      <c r="H61" s="155"/>
      <c r="I61" s="155">
        <f t="shared" si="4"/>
        <v>0.04353837993</v>
      </c>
      <c r="J61" s="156">
        <f>'input-from-OWID'!C60</f>
        <v>56538342</v>
      </c>
      <c r="K61" s="156">
        <f>vlookup(B61,'imported-world-population'!$C$2:$D$470,2,false)</f>
        <v>1298586261</v>
      </c>
      <c r="L61" s="156"/>
      <c r="M61" s="156"/>
      <c r="N61" s="156"/>
    </row>
    <row r="62">
      <c r="A62" s="150" t="s">
        <v>91</v>
      </c>
      <c r="B62" s="151">
        <v>1873.0</v>
      </c>
      <c r="C62" s="152" t="str">
        <f t="shared" si="1"/>
        <v>#N/A</v>
      </c>
      <c r="D62" s="153" t="str">
        <f t="shared" si="2"/>
        <v>#N/A</v>
      </c>
      <c r="E62" s="154" t="str">
        <f t="shared" si="3"/>
        <v>#N/A</v>
      </c>
      <c r="F62" s="155"/>
      <c r="G62" s="155"/>
      <c r="H62" s="155"/>
      <c r="I62" s="155">
        <f t="shared" si="4"/>
        <v>0.04425215278</v>
      </c>
      <c r="J62" s="156">
        <f>'input-from-OWID'!C61</f>
        <v>57731095</v>
      </c>
      <c r="K62" s="156">
        <f>vlookup(B62,'imported-world-population'!$C$2:$D$470,2,false)</f>
        <v>1304594045</v>
      </c>
      <c r="L62" s="156"/>
      <c r="M62" s="156"/>
      <c r="N62" s="156"/>
    </row>
    <row r="63">
      <c r="A63" s="150" t="s">
        <v>91</v>
      </c>
      <c r="B63" s="151">
        <v>1874.0</v>
      </c>
      <c r="C63" s="152" t="str">
        <f t="shared" si="1"/>
        <v>#N/A</v>
      </c>
      <c r="D63" s="153" t="str">
        <f t="shared" si="2"/>
        <v>#N/A</v>
      </c>
      <c r="E63" s="154" t="str">
        <f t="shared" si="3"/>
        <v>#N/A</v>
      </c>
      <c r="F63" s="155"/>
      <c r="G63" s="155"/>
      <c r="H63" s="155"/>
      <c r="I63" s="155">
        <f t="shared" si="4"/>
        <v>0.04492369809</v>
      </c>
      <c r="J63" s="156">
        <f>'input-from-OWID'!C62</f>
        <v>58943587</v>
      </c>
      <c r="K63" s="156">
        <f>vlookup(B63,'imported-world-population'!$C$2:$D$470,2,false)</f>
        <v>1312082253</v>
      </c>
      <c r="L63" s="156"/>
      <c r="M63" s="156"/>
      <c r="N63" s="156"/>
    </row>
    <row r="64">
      <c r="A64" s="150" t="s">
        <v>91</v>
      </c>
      <c r="B64" s="151">
        <v>1875.0</v>
      </c>
      <c r="C64" s="152" t="str">
        <f t="shared" si="1"/>
        <v>#N/A</v>
      </c>
      <c r="D64" s="153" t="str">
        <f t="shared" si="2"/>
        <v>#N/A</v>
      </c>
      <c r="E64" s="154" t="str">
        <f t="shared" si="3"/>
        <v>#N/A</v>
      </c>
      <c r="F64" s="155"/>
      <c r="G64" s="155"/>
      <c r="H64" s="155"/>
      <c r="I64" s="155">
        <f t="shared" si="4"/>
        <v>0.04569484094</v>
      </c>
      <c r="J64" s="156">
        <f>'input-from-OWID'!C63</f>
        <v>60310830</v>
      </c>
      <c r="K64" s="156">
        <f>vlookup(B64,'imported-world-population'!$C$2:$D$470,2,false)</f>
        <v>1319860815</v>
      </c>
      <c r="L64" s="156"/>
      <c r="M64" s="156"/>
      <c r="N64" s="156"/>
    </row>
    <row r="65">
      <c r="A65" s="150" t="s">
        <v>91</v>
      </c>
      <c r="B65" s="151">
        <v>1876.0</v>
      </c>
      <c r="C65" s="152" t="str">
        <f t="shared" si="1"/>
        <v>#N/A</v>
      </c>
      <c r="D65" s="153" t="str">
        <f t="shared" si="2"/>
        <v>#N/A</v>
      </c>
      <c r="E65" s="154" t="str">
        <f t="shared" si="3"/>
        <v>#N/A</v>
      </c>
      <c r="F65" s="155"/>
      <c r="G65" s="155"/>
      <c r="H65" s="155"/>
      <c r="I65" s="155">
        <f t="shared" si="4"/>
        <v>0.07492178403</v>
      </c>
      <c r="J65" s="156">
        <f>'input-from-OWID'!C64</f>
        <v>99492194</v>
      </c>
      <c r="K65" s="156">
        <f>vlookup(B65,'imported-world-population'!$C$2:$D$470,2,false)</f>
        <v>1327947476</v>
      </c>
      <c r="L65" s="156"/>
      <c r="M65" s="156"/>
      <c r="N65" s="156"/>
    </row>
    <row r="66">
      <c r="A66" s="150" t="s">
        <v>91</v>
      </c>
      <c r="B66" s="151">
        <v>1877.0</v>
      </c>
      <c r="C66" s="152" t="str">
        <f t="shared" si="1"/>
        <v>#N/A</v>
      </c>
      <c r="D66" s="153" t="str">
        <f t="shared" si="2"/>
        <v>#N/A</v>
      </c>
      <c r="E66" s="154" t="str">
        <f t="shared" si="3"/>
        <v>#N/A</v>
      </c>
      <c r="F66" s="155"/>
      <c r="G66" s="155"/>
      <c r="H66" s="155"/>
      <c r="I66" s="155">
        <f t="shared" si="4"/>
        <v>0.07585824917</v>
      </c>
      <c r="J66" s="156">
        <f>'input-from-OWID'!C65</f>
        <v>101314407</v>
      </c>
      <c r="K66" s="156">
        <f>vlookup(B66,'imported-world-population'!$C$2:$D$470,2,false)</f>
        <v>1335575341</v>
      </c>
      <c r="L66" s="156"/>
      <c r="M66" s="156"/>
      <c r="N66" s="156"/>
    </row>
    <row r="67">
      <c r="A67" s="150" t="s">
        <v>91</v>
      </c>
      <c r="B67" s="151">
        <v>1878.0</v>
      </c>
      <c r="C67" s="152" t="str">
        <f t="shared" si="1"/>
        <v>#N/A</v>
      </c>
      <c r="D67" s="153" t="str">
        <f t="shared" si="2"/>
        <v>#N/A</v>
      </c>
      <c r="E67" s="154" t="str">
        <f t="shared" si="3"/>
        <v>#N/A</v>
      </c>
      <c r="F67" s="155"/>
      <c r="G67" s="155"/>
      <c r="H67" s="155"/>
      <c r="I67" s="155">
        <f t="shared" si="4"/>
        <v>0.07639728776</v>
      </c>
      <c r="J67" s="156">
        <f>'input-from-OWID'!C66</f>
        <v>102710488</v>
      </c>
      <c r="K67" s="156">
        <f>vlookup(B67,'imported-world-population'!$C$2:$D$470,2,false)</f>
        <v>1344425843</v>
      </c>
      <c r="L67" s="156"/>
      <c r="M67" s="156"/>
      <c r="N67" s="156"/>
    </row>
    <row r="68">
      <c r="A68" s="150" t="s">
        <v>91</v>
      </c>
      <c r="B68" s="151">
        <v>1879.0</v>
      </c>
      <c r="C68" s="152" t="str">
        <f t="shared" si="1"/>
        <v>#N/A</v>
      </c>
      <c r="D68" s="153" t="str">
        <f t="shared" si="2"/>
        <v>#N/A</v>
      </c>
      <c r="E68" s="154" t="str">
        <f t="shared" si="3"/>
        <v>#N/A</v>
      </c>
      <c r="F68" s="155"/>
      <c r="G68" s="155"/>
      <c r="H68" s="155"/>
      <c r="I68" s="155">
        <f t="shared" si="4"/>
        <v>0.07689060714</v>
      </c>
      <c r="J68" s="156">
        <f>'input-from-OWID'!C67</f>
        <v>104081449</v>
      </c>
      <c r="K68" s="156">
        <f>vlookup(B68,'imported-world-population'!$C$2:$D$470,2,false)</f>
        <v>1353630214</v>
      </c>
      <c r="L68" s="156"/>
      <c r="M68" s="156"/>
      <c r="N68" s="156"/>
    </row>
    <row r="69">
      <c r="A69" s="150" t="s">
        <v>91</v>
      </c>
      <c r="B69" s="151">
        <v>1880.0</v>
      </c>
      <c r="C69" s="152" t="str">
        <f t="shared" si="1"/>
        <v>#N/A</v>
      </c>
      <c r="D69" s="153" t="str">
        <f t="shared" si="2"/>
        <v>#N/A</v>
      </c>
      <c r="E69" s="154" t="str">
        <f t="shared" si="3"/>
        <v>#N/A</v>
      </c>
      <c r="F69" s="155"/>
      <c r="G69" s="155"/>
      <c r="H69" s="155"/>
      <c r="I69" s="155">
        <f t="shared" si="4"/>
        <v>0.1000596446</v>
      </c>
      <c r="J69" s="156">
        <f>'input-from-OWID'!C68</f>
        <v>136382195</v>
      </c>
      <c r="K69" s="156">
        <f>vlookup(B69,'imported-world-population'!$C$2:$D$470,2,false)</f>
        <v>1363008989</v>
      </c>
      <c r="L69" s="156"/>
      <c r="M69" s="156"/>
      <c r="N69" s="156"/>
    </row>
    <row r="70">
      <c r="A70" s="150" t="s">
        <v>91</v>
      </c>
      <c r="B70" s="151">
        <v>1881.0</v>
      </c>
      <c r="C70" s="152" t="str">
        <f t="shared" si="1"/>
        <v>#N/A</v>
      </c>
      <c r="D70" s="153" t="str">
        <f t="shared" si="2"/>
        <v>#N/A</v>
      </c>
      <c r="E70" s="154" t="str">
        <f t="shared" si="3"/>
        <v>#N/A</v>
      </c>
      <c r="F70" s="155"/>
      <c r="G70" s="155"/>
      <c r="H70" s="155"/>
      <c r="I70" s="155">
        <f t="shared" si="4"/>
        <v>0.1008271819</v>
      </c>
      <c r="J70" s="156">
        <f>'input-from-OWID'!C69</f>
        <v>138357524</v>
      </c>
      <c r="K70" s="156">
        <f>vlookup(B70,'imported-world-population'!$C$2:$D$470,2,false)</f>
        <v>1372224448</v>
      </c>
      <c r="L70" s="156"/>
      <c r="M70" s="156"/>
      <c r="N70" s="156"/>
    </row>
    <row r="71">
      <c r="A71" s="150" t="s">
        <v>91</v>
      </c>
      <c r="B71" s="151">
        <v>1882.0</v>
      </c>
      <c r="C71" s="152" t="str">
        <f t="shared" si="1"/>
        <v>#N/A</v>
      </c>
      <c r="D71" s="153" t="str">
        <f t="shared" si="2"/>
        <v>#N/A</v>
      </c>
      <c r="E71" s="154" t="str">
        <f t="shared" si="3"/>
        <v>#N/A</v>
      </c>
      <c r="F71" s="155"/>
      <c r="G71" s="155"/>
      <c r="H71" s="155"/>
      <c r="I71" s="155">
        <f t="shared" si="4"/>
        <v>0.1015175871</v>
      </c>
      <c r="J71" s="156">
        <f>'input-from-OWID'!C70</f>
        <v>140279242</v>
      </c>
      <c r="K71" s="156">
        <f>vlookup(B71,'imported-world-population'!$C$2:$D$470,2,false)</f>
        <v>1381822066</v>
      </c>
      <c r="L71" s="156"/>
      <c r="M71" s="156"/>
      <c r="N71" s="156"/>
    </row>
    <row r="72">
      <c r="A72" s="150" t="s">
        <v>91</v>
      </c>
      <c r="B72" s="151">
        <v>1883.0</v>
      </c>
      <c r="C72" s="152" t="str">
        <f t="shared" si="1"/>
        <v>#N/A</v>
      </c>
      <c r="D72" s="153" t="str">
        <f t="shared" si="2"/>
        <v>#N/A</v>
      </c>
      <c r="E72" s="154" t="str">
        <f t="shared" si="3"/>
        <v>#N/A</v>
      </c>
      <c r="F72" s="155"/>
      <c r="G72" s="155"/>
      <c r="H72" s="155"/>
      <c r="I72" s="155">
        <f t="shared" si="4"/>
        <v>0.1021809724</v>
      </c>
      <c r="J72" s="156">
        <f>'input-from-OWID'!C71</f>
        <v>142190675</v>
      </c>
      <c r="K72" s="156">
        <f>vlookup(B72,'imported-world-population'!$C$2:$D$470,2,false)</f>
        <v>1391557270</v>
      </c>
      <c r="L72" s="156"/>
      <c r="M72" s="156"/>
      <c r="N72" s="156"/>
    </row>
    <row r="73">
      <c r="A73" s="150" t="s">
        <v>91</v>
      </c>
      <c r="B73" s="151">
        <v>1884.0</v>
      </c>
      <c r="C73" s="152" t="str">
        <f t="shared" si="1"/>
        <v>#N/A</v>
      </c>
      <c r="D73" s="153" t="str">
        <f t="shared" si="2"/>
        <v>#N/A</v>
      </c>
      <c r="E73" s="154" t="str">
        <f t="shared" si="3"/>
        <v>#N/A</v>
      </c>
      <c r="F73" s="155"/>
      <c r="G73" s="155"/>
      <c r="H73" s="155"/>
      <c r="I73" s="155">
        <f t="shared" si="4"/>
        <v>0.1028770836</v>
      </c>
      <c r="J73" s="156">
        <f>'input-from-OWID'!C72</f>
        <v>144143096</v>
      </c>
      <c r="K73" s="156">
        <f>vlookup(B73,'imported-world-population'!$C$2:$D$470,2,false)</f>
        <v>1401119579</v>
      </c>
      <c r="L73" s="156"/>
      <c r="M73" s="156"/>
      <c r="N73" s="156"/>
    </row>
    <row r="74">
      <c r="A74" s="150" t="s">
        <v>91</v>
      </c>
      <c r="B74" s="151">
        <v>1885.0</v>
      </c>
      <c r="C74" s="152" t="str">
        <f t="shared" si="1"/>
        <v>#N/A</v>
      </c>
      <c r="D74" s="153" t="str">
        <f t="shared" si="2"/>
        <v>#N/A</v>
      </c>
      <c r="E74" s="154" t="str">
        <f t="shared" si="3"/>
        <v>#N/A</v>
      </c>
      <c r="F74" s="155"/>
      <c r="G74" s="155"/>
      <c r="H74" s="155"/>
      <c r="I74" s="155">
        <f t="shared" si="4"/>
        <v>0.1034993969</v>
      </c>
      <c r="J74" s="156">
        <f>'input-from-OWID'!C73</f>
        <v>146045351</v>
      </c>
      <c r="K74" s="156">
        <f>vlookup(B74,'imported-world-population'!$C$2:$D$470,2,false)</f>
        <v>1411074415</v>
      </c>
      <c r="L74" s="156"/>
      <c r="M74" s="156"/>
      <c r="N74" s="156"/>
    </row>
    <row r="75">
      <c r="A75" s="150" t="s">
        <v>91</v>
      </c>
      <c r="B75" s="151">
        <v>1886.0</v>
      </c>
      <c r="C75" s="152" t="str">
        <f t="shared" si="1"/>
        <v>#N/A</v>
      </c>
      <c r="D75" s="153" t="str">
        <f t="shared" si="2"/>
        <v>#N/A</v>
      </c>
      <c r="E75" s="154" t="str">
        <f t="shared" si="3"/>
        <v>#N/A</v>
      </c>
      <c r="F75" s="155"/>
      <c r="G75" s="155"/>
      <c r="H75" s="155"/>
      <c r="I75" s="155">
        <f t="shared" si="4"/>
        <v>0.1018867122</v>
      </c>
      <c r="J75" s="156">
        <f>'input-from-OWID'!C74</f>
        <v>144799623</v>
      </c>
      <c r="K75" s="156">
        <f>vlookup(B75,'imported-world-population'!$C$2:$D$470,2,false)</f>
        <v>1421182605</v>
      </c>
      <c r="L75" s="156"/>
      <c r="M75" s="156"/>
      <c r="N75" s="156"/>
    </row>
    <row r="76">
      <c r="A76" s="150" t="s">
        <v>91</v>
      </c>
      <c r="B76" s="151">
        <v>1887.0</v>
      </c>
      <c r="C76" s="152" t="str">
        <f t="shared" si="1"/>
        <v>#N/A</v>
      </c>
      <c r="D76" s="153" t="str">
        <f t="shared" si="2"/>
        <v>#N/A</v>
      </c>
      <c r="E76" s="154" t="str">
        <f t="shared" si="3"/>
        <v>#N/A</v>
      </c>
      <c r="F76" s="155"/>
      <c r="G76" s="155"/>
      <c r="H76" s="155"/>
      <c r="I76" s="155">
        <f t="shared" si="4"/>
        <v>0.1024039697</v>
      </c>
      <c r="J76" s="156">
        <f>'input-from-OWID'!C75</f>
        <v>146553030</v>
      </c>
      <c r="K76" s="156">
        <f>vlookup(B76,'imported-world-population'!$C$2:$D$470,2,false)</f>
        <v>1431126454</v>
      </c>
      <c r="L76" s="156"/>
      <c r="M76" s="156"/>
      <c r="N76" s="156"/>
    </row>
    <row r="77">
      <c r="A77" s="150" t="s">
        <v>91</v>
      </c>
      <c r="B77" s="151">
        <v>1888.0</v>
      </c>
      <c r="C77" s="152" t="str">
        <f t="shared" si="1"/>
        <v>#N/A</v>
      </c>
      <c r="D77" s="153" t="str">
        <f t="shared" si="2"/>
        <v>#N/A</v>
      </c>
      <c r="E77" s="154" t="str">
        <f t="shared" si="3"/>
        <v>#N/A</v>
      </c>
      <c r="F77" s="155"/>
      <c r="G77" s="155"/>
      <c r="H77" s="155"/>
      <c r="I77" s="155">
        <f t="shared" si="4"/>
        <v>0.1062244049</v>
      </c>
      <c r="J77" s="156">
        <f>'input-from-OWID'!C76</f>
        <v>153120628</v>
      </c>
      <c r="K77" s="156">
        <f>vlookup(B77,'imported-world-population'!$C$2:$D$470,2,false)</f>
        <v>1441482568</v>
      </c>
      <c r="L77" s="156"/>
      <c r="M77" s="156"/>
      <c r="N77" s="156"/>
    </row>
    <row r="78">
      <c r="A78" s="150" t="s">
        <v>91</v>
      </c>
      <c r="B78" s="151">
        <v>1889.0</v>
      </c>
      <c r="C78" s="152" t="str">
        <f t="shared" si="1"/>
        <v>#N/A</v>
      </c>
      <c r="D78" s="153" t="str">
        <f t="shared" si="2"/>
        <v>#N/A</v>
      </c>
      <c r="E78" s="154" t="str">
        <f t="shared" si="3"/>
        <v>#N/A</v>
      </c>
      <c r="F78" s="155"/>
      <c r="G78" s="155"/>
      <c r="H78" s="155"/>
      <c r="I78" s="155">
        <f t="shared" si="4"/>
        <v>0.1067366327</v>
      </c>
      <c r="J78" s="156">
        <f>'input-from-OWID'!C77</f>
        <v>154982911</v>
      </c>
      <c r="K78" s="156">
        <f>vlookup(B78,'imported-world-population'!$C$2:$D$470,2,false)</f>
        <v>1452012370</v>
      </c>
      <c r="L78" s="156"/>
      <c r="M78" s="156"/>
      <c r="N78" s="156"/>
    </row>
    <row r="79">
      <c r="A79" s="150" t="s">
        <v>91</v>
      </c>
      <c r="B79" s="151">
        <v>1890.0</v>
      </c>
      <c r="C79" s="152" t="str">
        <f t="shared" si="1"/>
        <v>#N/A</v>
      </c>
      <c r="D79" s="153" t="str">
        <f t="shared" si="2"/>
        <v>#N/A</v>
      </c>
      <c r="E79" s="154" t="str">
        <f t="shared" si="3"/>
        <v>#N/A</v>
      </c>
      <c r="F79" s="155"/>
      <c r="G79" s="155"/>
      <c r="H79" s="155"/>
      <c r="I79" s="155">
        <f t="shared" si="4"/>
        <v>0.1073234433</v>
      </c>
      <c r="J79" s="156">
        <f>'input-from-OWID'!C78</f>
        <v>156984189</v>
      </c>
      <c r="K79" s="156">
        <f>vlookup(B79,'imported-world-population'!$C$2:$D$470,2,false)</f>
        <v>1462720391</v>
      </c>
      <c r="L79" s="156"/>
      <c r="M79" s="156"/>
      <c r="N79" s="156"/>
    </row>
    <row r="80">
      <c r="A80" s="150" t="s">
        <v>91</v>
      </c>
      <c r="B80" s="151">
        <v>1891.0</v>
      </c>
      <c r="C80" s="152" t="str">
        <f t="shared" si="1"/>
        <v>#N/A</v>
      </c>
      <c r="D80" s="153" t="str">
        <f t="shared" si="2"/>
        <v>#N/A</v>
      </c>
      <c r="E80" s="154" t="str">
        <f t="shared" si="3"/>
        <v>#N/A</v>
      </c>
      <c r="F80" s="155"/>
      <c r="G80" s="155"/>
      <c r="H80" s="155"/>
      <c r="I80" s="155">
        <f t="shared" si="4"/>
        <v>0.1077684031</v>
      </c>
      <c r="J80" s="156">
        <f>'input-from-OWID'!C79</f>
        <v>158806970</v>
      </c>
      <c r="K80" s="156">
        <f>vlookup(B80,'imported-world-population'!$C$2:$D$470,2,false)</f>
        <v>1473594908</v>
      </c>
      <c r="L80" s="156"/>
      <c r="M80" s="156"/>
      <c r="N80" s="156"/>
    </row>
    <row r="81">
      <c r="A81" s="150" t="s">
        <v>91</v>
      </c>
      <c r="B81" s="151">
        <v>1892.0</v>
      </c>
      <c r="C81" s="152" t="str">
        <f t="shared" si="1"/>
        <v>#N/A</v>
      </c>
      <c r="D81" s="153" t="str">
        <f t="shared" si="2"/>
        <v>#N/A</v>
      </c>
      <c r="E81" s="154" t="str">
        <f t="shared" si="3"/>
        <v>#N/A</v>
      </c>
      <c r="F81" s="155"/>
      <c r="G81" s="155"/>
      <c r="H81" s="155"/>
      <c r="I81" s="155">
        <f t="shared" si="4"/>
        <v>0.1082468122</v>
      </c>
      <c r="J81" s="156">
        <f>'input-from-OWID'!C80</f>
        <v>160712699</v>
      </c>
      <c r="K81" s="156">
        <f>vlookup(B81,'imported-world-population'!$C$2:$D$470,2,false)</f>
        <v>1484687593</v>
      </c>
      <c r="L81" s="156"/>
      <c r="M81" s="156"/>
      <c r="N81" s="156"/>
    </row>
    <row r="82">
      <c r="A82" s="150" t="s">
        <v>91</v>
      </c>
      <c r="B82" s="151">
        <v>1893.0</v>
      </c>
      <c r="C82" s="152" t="str">
        <f t="shared" si="1"/>
        <v>#N/A</v>
      </c>
      <c r="D82" s="153" t="str">
        <f t="shared" si="2"/>
        <v>#N/A</v>
      </c>
      <c r="E82" s="154" t="str">
        <f t="shared" si="3"/>
        <v>#N/A</v>
      </c>
      <c r="F82" s="155"/>
      <c r="G82" s="155"/>
      <c r="H82" s="155"/>
      <c r="I82" s="155">
        <f t="shared" si="4"/>
        <v>0.1087211444</v>
      </c>
      <c r="J82" s="156">
        <f>'input-from-OWID'!C81</f>
        <v>162648408</v>
      </c>
      <c r="K82" s="156">
        <f>vlookup(B82,'imported-world-population'!$C$2:$D$470,2,false)</f>
        <v>1496014495</v>
      </c>
      <c r="L82" s="156"/>
      <c r="M82" s="156"/>
      <c r="N82" s="156"/>
    </row>
    <row r="83">
      <c r="A83" s="150" t="s">
        <v>91</v>
      </c>
      <c r="B83" s="151">
        <v>1894.0</v>
      </c>
      <c r="C83" s="152" t="str">
        <f t="shared" si="1"/>
        <v>#N/A</v>
      </c>
      <c r="D83" s="153" t="str">
        <f t="shared" si="2"/>
        <v>#N/A</v>
      </c>
      <c r="E83" s="154" t="str">
        <f t="shared" si="3"/>
        <v>#N/A</v>
      </c>
      <c r="F83" s="155"/>
      <c r="G83" s="155"/>
      <c r="H83" s="155"/>
      <c r="I83" s="155">
        <f t="shared" si="4"/>
        <v>0.1091898738</v>
      </c>
      <c r="J83" s="156">
        <f>'input-from-OWID'!C82</f>
        <v>164609875</v>
      </c>
      <c r="K83" s="156">
        <f>vlookup(B83,'imported-world-population'!$C$2:$D$470,2,false)</f>
        <v>1507556235</v>
      </c>
      <c r="L83" s="156"/>
      <c r="M83" s="156"/>
      <c r="N83" s="156"/>
    </row>
    <row r="84">
      <c r="A84" s="150" t="s">
        <v>91</v>
      </c>
      <c r="B84" s="151">
        <v>1895.0</v>
      </c>
      <c r="C84" s="152" t="str">
        <f t="shared" si="1"/>
        <v>#N/A</v>
      </c>
      <c r="D84" s="153" t="str">
        <f t="shared" si="2"/>
        <v>#N/A</v>
      </c>
      <c r="E84" s="154" t="str">
        <f t="shared" si="3"/>
        <v>#N/A</v>
      </c>
      <c r="F84" s="155"/>
      <c r="G84" s="155"/>
      <c r="H84" s="155"/>
      <c r="I84" s="155">
        <f t="shared" si="4"/>
        <v>0.1096342015</v>
      </c>
      <c r="J84" s="156">
        <f>'input-from-OWID'!C83</f>
        <v>166567344</v>
      </c>
      <c r="K84" s="156">
        <f>vlookup(B84,'imported-world-population'!$C$2:$D$470,2,false)</f>
        <v>1519300927</v>
      </c>
      <c r="L84" s="156"/>
      <c r="M84" s="156"/>
      <c r="N84" s="156"/>
    </row>
    <row r="85">
      <c r="A85" s="150" t="s">
        <v>91</v>
      </c>
      <c r="B85" s="151">
        <v>1896.0</v>
      </c>
      <c r="C85" s="152" t="str">
        <f t="shared" si="1"/>
        <v>#N/A</v>
      </c>
      <c r="D85" s="153" t="str">
        <f t="shared" si="2"/>
        <v>#N/A</v>
      </c>
      <c r="E85" s="154" t="str">
        <f t="shared" si="3"/>
        <v>#N/A</v>
      </c>
      <c r="F85" s="155"/>
      <c r="G85" s="155"/>
      <c r="H85" s="155"/>
      <c r="I85" s="155">
        <f t="shared" si="4"/>
        <v>0.1100863849</v>
      </c>
      <c r="J85" s="156">
        <f>'input-from-OWID'!C84</f>
        <v>168572158</v>
      </c>
      <c r="K85" s="156">
        <f>vlookup(B85,'imported-world-population'!$C$2:$D$470,2,false)</f>
        <v>1531271629</v>
      </c>
      <c r="L85" s="156"/>
      <c r="M85" s="156"/>
      <c r="N85" s="156"/>
    </row>
    <row r="86">
      <c r="A86" s="150" t="s">
        <v>91</v>
      </c>
      <c r="B86" s="151">
        <v>1897.0</v>
      </c>
      <c r="C86" s="152" t="str">
        <f t="shared" si="1"/>
        <v>#N/A</v>
      </c>
      <c r="D86" s="153" t="str">
        <f t="shared" si="2"/>
        <v>#N/A</v>
      </c>
      <c r="E86" s="154" t="str">
        <f t="shared" si="3"/>
        <v>#N/A</v>
      </c>
      <c r="F86" s="155"/>
      <c r="G86" s="155"/>
      <c r="H86" s="155"/>
      <c r="I86" s="155">
        <f t="shared" si="4"/>
        <v>0.1105616397</v>
      </c>
      <c r="J86" s="156">
        <f>'input-from-OWID'!C85</f>
        <v>170649881</v>
      </c>
      <c r="K86" s="156">
        <f>vlookup(B86,'imported-world-population'!$C$2:$D$470,2,false)</f>
        <v>1543481821</v>
      </c>
      <c r="L86" s="156"/>
      <c r="M86" s="156"/>
      <c r="N86" s="156"/>
    </row>
    <row r="87">
      <c r="A87" s="150" t="s">
        <v>91</v>
      </c>
      <c r="B87" s="151">
        <v>1898.0</v>
      </c>
      <c r="C87" s="152" t="str">
        <f t="shared" si="1"/>
        <v>#N/A</v>
      </c>
      <c r="D87" s="153" t="str">
        <f t="shared" si="2"/>
        <v>#N/A</v>
      </c>
      <c r="E87" s="154" t="str">
        <f t="shared" si="3"/>
        <v>#N/A</v>
      </c>
      <c r="F87" s="155"/>
      <c r="G87" s="155"/>
      <c r="H87" s="155"/>
      <c r="I87" s="155">
        <f t="shared" si="4"/>
        <v>0.1124010468</v>
      </c>
      <c r="J87" s="156">
        <f>'input-from-OWID'!C86</f>
        <v>174883783</v>
      </c>
      <c r="K87" s="156">
        <f>vlookup(B87,'imported-world-population'!$C$2:$D$470,2,false)</f>
        <v>1555891052</v>
      </c>
      <c r="L87" s="156"/>
      <c r="M87" s="156"/>
      <c r="N87" s="156"/>
    </row>
    <row r="88">
      <c r="A88" s="150" t="s">
        <v>91</v>
      </c>
      <c r="B88" s="151">
        <v>1899.0</v>
      </c>
      <c r="C88" s="152" t="str">
        <f t="shared" si="1"/>
        <v>#N/A</v>
      </c>
      <c r="D88" s="153" t="str">
        <f t="shared" si="2"/>
        <v>#N/A</v>
      </c>
      <c r="E88" s="154" t="str">
        <f t="shared" si="3"/>
        <v>#N/A</v>
      </c>
      <c r="F88" s="155"/>
      <c r="G88" s="155"/>
      <c r="H88" s="155"/>
      <c r="I88" s="155">
        <f t="shared" si="4"/>
        <v>0.1127961995</v>
      </c>
      <c r="J88" s="156">
        <f>'input-from-OWID'!C87</f>
        <v>176926720</v>
      </c>
      <c r="K88" s="156">
        <f>vlookup(B88,'imported-world-population'!$C$2:$D$470,2,false)</f>
        <v>1568552139</v>
      </c>
      <c r="L88" s="156"/>
      <c r="M88" s="156"/>
      <c r="N88" s="156"/>
    </row>
    <row r="89">
      <c r="A89" s="150" t="s">
        <v>91</v>
      </c>
      <c r="B89" s="151">
        <v>1900.0</v>
      </c>
      <c r="C89" s="152" t="str">
        <f t="shared" si="1"/>
        <v>#N/A</v>
      </c>
      <c r="D89" s="153" t="str">
        <f t="shared" si="2"/>
        <v>#N/A</v>
      </c>
      <c r="E89" s="154" t="str">
        <f t="shared" si="3"/>
        <v>#N/A</v>
      </c>
      <c r="F89" s="155"/>
      <c r="G89" s="155"/>
      <c r="H89" s="155"/>
      <c r="I89" s="155">
        <f t="shared" si="4"/>
        <v>0.1249000276</v>
      </c>
      <c r="J89" s="156">
        <f>'input-from-OWID'!C88</f>
        <v>197515944</v>
      </c>
      <c r="K89" s="156">
        <f>vlookup(B89,'imported-world-population'!$C$2:$D$470,2,false)</f>
        <v>1581392317</v>
      </c>
      <c r="L89" s="156"/>
      <c r="M89" s="156"/>
      <c r="N89" s="156"/>
    </row>
    <row r="90">
      <c r="A90" s="150" t="s">
        <v>91</v>
      </c>
      <c r="B90" s="151">
        <v>1901.0</v>
      </c>
      <c r="C90" s="152" t="str">
        <f t="shared" si="1"/>
        <v>#N/A</v>
      </c>
      <c r="D90" s="153" t="str">
        <f t="shared" si="2"/>
        <v>#N/A</v>
      </c>
      <c r="E90" s="154" t="str">
        <f t="shared" si="3"/>
        <v>#N/A</v>
      </c>
      <c r="F90" s="155"/>
      <c r="G90" s="155"/>
      <c r="H90" s="155"/>
      <c r="I90" s="155">
        <f t="shared" si="4"/>
        <v>0.1277194383</v>
      </c>
      <c r="J90" s="156">
        <f>'input-from-OWID'!C89</f>
        <v>203634995</v>
      </c>
      <c r="K90" s="156">
        <f>vlookup(B90,'imported-world-population'!$C$2:$D$470,2,false)</f>
        <v>1594393130</v>
      </c>
      <c r="L90" s="156"/>
      <c r="M90" s="156"/>
      <c r="N90" s="156"/>
    </row>
    <row r="91">
      <c r="A91" s="150" t="s">
        <v>91</v>
      </c>
      <c r="B91" s="151">
        <v>1902.0</v>
      </c>
      <c r="C91" s="152" t="str">
        <f t="shared" si="1"/>
        <v>#N/A</v>
      </c>
      <c r="D91" s="153" t="str">
        <f t="shared" si="2"/>
        <v>#N/A</v>
      </c>
      <c r="E91" s="154" t="str">
        <f t="shared" si="3"/>
        <v>#N/A</v>
      </c>
      <c r="F91" s="155"/>
      <c r="G91" s="155"/>
      <c r="H91" s="155"/>
      <c r="I91" s="155">
        <f t="shared" si="4"/>
        <v>0.1282771945</v>
      </c>
      <c r="J91" s="156">
        <f>'input-from-OWID'!C90</f>
        <v>206181936</v>
      </c>
      <c r="K91" s="156">
        <f>vlookup(B91,'imported-world-population'!$C$2:$D$470,2,false)</f>
        <v>1607315601</v>
      </c>
      <c r="L91" s="156"/>
      <c r="M91" s="156"/>
      <c r="N91" s="156"/>
    </row>
    <row r="92">
      <c r="A92" s="150" t="s">
        <v>91</v>
      </c>
      <c r="B92" s="151">
        <v>1903.0</v>
      </c>
      <c r="C92" s="152" t="str">
        <f t="shared" si="1"/>
        <v>#N/A</v>
      </c>
      <c r="D92" s="153" t="str">
        <f t="shared" si="2"/>
        <v>#N/A</v>
      </c>
      <c r="E92" s="154" t="str">
        <f t="shared" si="3"/>
        <v>#N/A</v>
      </c>
      <c r="F92" s="155"/>
      <c r="G92" s="155"/>
      <c r="H92" s="155"/>
      <c r="I92" s="155">
        <f t="shared" si="4"/>
        <v>0.128744075</v>
      </c>
      <c r="J92" s="156">
        <f>'input-from-OWID'!C91</f>
        <v>208647450</v>
      </c>
      <c r="K92" s="156">
        <f>vlookup(B92,'imported-world-population'!$C$2:$D$470,2,false)</f>
        <v>1620637299</v>
      </c>
      <c r="L92" s="156"/>
      <c r="M92" s="156"/>
      <c r="N92" s="156"/>
    </row>
    <row r="93">
      <c r="A93" s="150" t="s">
        <v>91</v>
      </c>
      <c r="B93" s="151">
        <v>1904.0</v>
      </c>
      <c r="C93" s="152" t="str">
        <f t="shared" si="1"/>
        <v>#N/A</v>
      </c>
      <c r="D93" s="153" t="str">
        <f t="shared" si="2"/>
        <v>#N/A</v>
      </c>
      <c r="E93" s="154" t="str">
        <f t="shared" si="3"/>
        <v>#N/A</v>
      </c>
      <c r="F93" s="155"/>
      <c r="G93" s="155"/>
      <c r="H93" s="155"/>
      <c r="I93" s="155">
        <f t="shared" si="4"/>
        <v>0.1292470993</v>
      </c>
      <c r="J93" s="156">
        <f>'input-from-OWID'!C92</f>
        <v>211207989</v>
      </c>
      <c r="K93" s="156">
        <f>vlookup(B93,'imported-world-population'!$C$2:$D$470,2,false)</f>
        <v>1634141038</v>
      </c>
      <c r="L93" s="156"/>
      <c r="M93" s="156"/>
      <c r="N93" s="156"/>
    </row>
    <row r="94">
      <c r="A94" s="150" t="s">
        <v>91</v>
      </c>
      <c r="B94" s="151">
        <v>1905.0</v>
      </c>
      <c r="C94" s="152" t="str">
        <f t="shared" si="1"/>
        <v>#N/A</v>
      </c>
      <c r="D94" s="153" t="str">
        <f t="shared" si="2"/>
        <v>#N/A</v>
      </c>
      <c r="E94" s="154" t="str">
        <f t="shared" si="3"/>
        <v>#N/A</v>
      </c>
      <c r="F94" s="155"/>
      <c r="G94" s="155"/>
      <c r="H94" s="155"/>
      <c r="I94" s="155">
        <f t="shared" si="4"/>
        <v>0.1297164798</v>
      </c>
      <c r="J94" s="156">
        <f>'input-from-OWID'!C93</f>
        <v>213753822</v>
      </c>
      <c r="K94" s="156">
        <f>vlookup(B94,'imported-world-population'!$C$2:$D$470,2,false)</f>
        <v>1647854014</v>
      </c>
      <c r="L94" s="156"/>
      <c r="M94" s="156"/>
      <c r="N94" s="156"/>
    </row>
    <row r="95">
      <c r="A95" s="150" t="s">
        <v>91</v>
      </c>
      <c r="B95" s="151">
        <v>1906.0</v>
      </c>
      <c r="C95" s="152" t="str">
        <f t="shared" si="1"/>
        <v>#N/A</v>
      </c>
      <c r="D95" s="153" t="str">
        <f t="shared" si="2"/>
        <v>#N/A</v>
      </c>
      <c r="E95" s="154" t="str">
        <f t="shared" si="3"/>
        <v>#N/A</v>
      </c>
      <c r="F95" s="155"/>
      <c r="G95" s="155"/>
      <c r="H95" s="155"/>
      <c r="I95" s="155">
        <f t="shared" si="4"/>
        <v>0.13024066</v>
      </c>
      <c r="J95" s="156">
        <f>'input-from-OWID'!C94</f>
        <v>216422976</v>
      </c>
      <c r="K95" s="156">
        <f>vlookup(B95,'imported-world-population'!$C$2:$D$470,2,false)</f>
        <v>1661715903</v>
      </c>
      <c r="L95" s="156"/>
      <c r="M95" s="156"/>
      <c r="N95" s="156"/>
    </row>
    <row r="96">
      <c r="A96" s="150" t="s">
        <v>91</v>
      </c>
      <c r="B96" s="151">
        <v>1907.0</v>
      </c>
      <c r="C96" s="152" t="str">
        <f t="shared" si="1"/>
        <v>#N/A</v>
      </c>
      <c r="D96" s="153" t="str">
        <f t="shared" si="2"/>
        <v>#N/A</v>
      </c>
      <c r="E96" s="154" t="str">
        <f t="shared" si="3"/>
        <v>#N/A</v>
      </c>
      <c r="F96" s="155"/>
      <c r="G96" s="155"/>
      <c r="H96" s="155"/>
      <c r="I96" s="155">
        <f t="shared" si="4"/>
        <v>0.1307812662</v>
      </c>
      <c r="J96" s="156">
        <f>'input-from-OWID'!C95</f>
        <v>219092543</v>
      </c>
      <c r="K96" s="156">
        <f>vlookup(B96,'imported-world-population'!$C$2:$D$470,2,false)</f>
        <v>1675259380</v>
      </c>
      <c r="L96" s="156"/>
      <c r="M96" s="156"/>
      <c r="N96" s="156"/>
    </row>
    <row r="97">
      <c r="A97" s="150" t="s">
        <v>91</v>
      </c>
      <c r="B97" s="151">
        <v>1908.0</v>
      </c>
      <c r="C97" s="152" t="str">
        <f t="shared" si="1"/>
        <v>#N/A</v>
      </c>
      <c r="D97" s="153" t="str">
        <f t="shared" si="2"/>
        <v>#N/A</v>
      </c>
      <c r="E97" s="154" t="str">
        <f t="shared" si="3"/>
        <v>#N/A</v>
      </c>
      <c r="F97" s="155"/>
      <c r="G97" s="155"/>
      <c r="H97" s="155"/>
      <c r="I97" s="155">
        <f t="shared" si="4"/>
        <v>0.1313609111</v>
      </c>
      <c r="J97" s="156">
        <f>'input-from-OWID'!C96</f>
        <v>221921140</v>
      </c>
      <c r="K97" s="156">
        <f>vlookup(B97,'imported-world-population'!$C$2:$D$470,2,false)</f>
        <v>1689400128</v>
      </c>
      <c r="L97" s="156"/>
      <c r="M97" s="156"/>
      <c r="N97" s="156"/>
    </row>
    <row r="98">
      <c r="A98" s="150" t="s">
        <v>91</v>
      </c>
      <c r="B98" s="151">
        <v>1909.0</v>
      </c>
      <c r="C98" s="152" t="str">
        <f t="shared" si="1"/>
        <v>#N/A</v>
      </c>
      <c r="D98" s="153" t="str">
        <f t="shared" si="2"/>
        <v>#N/A</v>
      </c>
      <c r="E98" s="154" t="str">
        <f t="shared" si="3"/>
        <v>#N/A</v>
      </c>
      <c r="F98" s="155"/>
      <c r="G98" s="155"/>
      <c r="H98" s="155"/>
      <c r="I98" s="155">
        <f t="shared" si="4"/>
        <v>0.131897111</v>
      </c>
      <c r="J98" s="156">
        <f>'input-from-OWID'!C97</f>
        <v>224774186</v>
      </c>
      <c r="K98" s="156">
        <f>vlookup(B98,'imported-world-population'!$C$2:$D$470,2,false)</f>
        <v>1704163073</v>
      </c>
      <c r="L98" s="156"/>
      <c r="M98" s="156"/>
      <c r="N98" s="156"/>
    </row>
    <row r="99">
      <c r="A99" s="150" t="s">
        <v>91</v>
      </c>
      <c r="B99" s="151">
        <v>1910.0</v>
      </c>
      <c r="C99" s="152" t="str">
        <f t="shared" si="1"/>
        <v>#N/A</v>
      </c>
      <c r="D99" s="153" t="str">
        <f t="shared" si="2"/>
        <v>#N/A</v>
      </c>
      <c r="E99" s="154" t="str">
        <f t="shared" si="3"/>
        <v>#N/A</v>
      </c>
      <c r="F99" s="155"/>
      <c r="G99" s="155"/>
      <c r="H99" s="155"/>
      <c r="I99" s="155">
        <f t="shared" si="4"/>
        <v>0.132477471</v>
      </c>
      <c r="J99" s="156">
        <f>'input-from-OWID'!C98</f>
        <v>227781090</v>
      </c>
      <c r="K99" s="156">
        <f>vlookup(B99,'imported-world-population'!$C$2:$D$470,2,false)</f>
        <v>1719394915</v>
      </c>
      <c r="L99" s="156"/>
      <c r="M99" s="156"/>
      <c r="N99" s="156"/>
    </row>
    <row r="100">
      <c r="A100" s="150" t="s">
        <v>91</v>
      </c>
      <c r="B100" s="151">
        <v>1911.0</v>
      </c>
      <c r="C100" s="152" t="str">
        <f t="shared" si="1"/>
        <v>#N/A</v>
      </c>
      <c r="D100" s="153" t="str">
        <f t="shared" si="2"/>
        <v>#N/A</v>
      </c>
      <c r="E100" s="154" t="str">
        <f t="shared" si="3"/>
        <v>#N/A</v>
      </c>
      <c r="F100" s="155"/>
      <c r="G100" s="155"/>
      <c r="H100" s="155"/>
      <c r="I100" s="155">
        <f t="shared" si="4"/>
        <v>0.1378645928</v>
      </c>
      <c r="J100" s="156">
        <f>'input-from-OWID'!C99</f>
        <v>239159424</v>
      </c>
      <c r="K100" s="156">
        <f>vlookup(B100,'imported-world-population'!$C$2:$D$470,2,false)</f>
        <v>1734741453</v>
      </c>
      <c r="L100" s="156"/>
      <c r="M100" s="156"/>
      <c r="N100" s="156"/>
    </row>
    <row r="101">
      <c r="A101" s="150" t="s">
        <v>91</v>
      </c>
      <c r="B101" s="151">
        <v>1912.0</v>
      </c>
      <c r="C101" s="152" t="str">
        <f t="shared" si="1"/>
        <v>#N/A</v>
      </c>
      <c r="D101" s="153" t="str">
        <f t="shared" si="2"/>
        <v>#N/A</v>
      </c>
      <c r="E101" s="154" t="str">
        <f t="shared" si="3"/>
        <v>#N/A</v>
      </c>
      <c r="F101" s="155"/>
      <c r="G101" s="155"/>
      <c r="H101" s="155"/>
      <c r="I101" s="155">
        <f t="shared" si="4"/>
        <v>0.1379544392</v>
      </c>
      <c r="J101" s="156">
        <f>'input-from-OWID'!C100</f>
        <v>241600175</v>
      </c>
      <c r="K101" s="156">
        <f>vlookup(B101,'imported-world-population'!$C$2:$D$470,2,false)</f>
        <v>1751304100</v>
      </c>
      <c r="L101" s="156"/>
      <c r="M101" s="156"/>
      <c r="N101" s="156"/>
    </row>
    <row r="102">
      <c r="A102" s="150" t="s">
        <v>91</v>
      </c>
      <c r="B102" s="151">
        <v>1913.0</v>
      </c>
      <c r="C102" s="152" t="str">
        <f t="shared" si="1"/>
        <v>#N/A</v>
      </c>
      <c r="D102" s="153" t="str">
        <f t="shared" si="2"/>
        <v>#N/A</v>
      </c>
      <c r="E102" s="154" t="str">
        <f t="shared" si="3"/>
        <v>#N/A</v>
      </c>
      <c r="F102" s="155"/>
      <c r="G102" s="155"/>
      <c r="H102" s="155"/>
      <c r="I102" s="155">
        <f t="shared" si="4"/>
        <v>0.1383690363</v>
      </c>
      <c r="J102" s="156">
        <f>'input-from-OWID'!C101</f>
        <v>244645336</v>
      </c>
      <c r="K102" s="156">
        <f>vlookup(B102,'imported-world-population'!$C$2:$D$470,2,false)</f>
        <v>1768064175</v>
      </c>
      <c r="L102" s="156"/>
      <c r="M102" s="156"/>
      <c r="N102" s="156"/>
    </row>
    <row r="103">
      <c r="A103" s="150" t="s">
        <v>91</v>
      </c>
      <c r="B103" s="151">
        <v>1914.0</v>
      </c>
      <c r="C103" s="152" t="str">
        <f t="shared" si="1"/>
        <v>#N/A</v>
      </c>
      <c r="D103" s="153" t="str">
        <f t="shared" si="2"/>
        <v>#N/A</v>
      </c>
      <c r="E103" s="154" t="str">
        <f t="shared" si="3"/>
        <v>#N/A</v>
      </c>
      <c r="F103" s="155"/>
      <c r="G103" s="155"/>
      <c r="H103" s="155"/>
      <c r="I103" s="155">
        <f t="shared" si="4"/>
        <v>0.1376586761</v>
      </c>
      <c r="J103" s="156">
        <f>'input-from-OWID'!C102</f>
        <v>245635148</v>
      </c>
      <c r="K103" s="156">
        <f>vlookup(B103,'imported-world-population'!$C$2:$D$470,2,false)</f>
        <v>1784378253</v>
      </c>
      <c r="L103" s="156"/>
      <c r="M103" s="156"/>
      <c r="N103" s="156"/>
    </row>
    <row r="104">
      <c r="A104" s="150" t="s">
        <v>91</v>
      </c>
      <c r="B104" s="151">
        <v>1915.0</v>
      </c>
      <c r="C104" s="152" t="str">
        <f t="shared" si="1"/>
        <v>#N/A</v>
      </c>
      <c r="D104" s="153" t="str">
        <f t="shared" si="2"/>
        <v>#N/A</v>
      </c>
      <c r="E104" s="154" t="str">
        <f t="shared" si="3"/>
        <v>#N/A</v>
      </c>
      <c r="F104" s="155"/>
      <c r="G104" s="155"/>
      <c r="H104" s="155"/>
      <c r="I104" s="155">
        <f t="shared" si="4"/>
        <v>0.1383903674</v>
      </c>
      <c r="J104" s="156">
        <f>'input-from-OWID'!C103</f>
        <v>249088410</v>
      </c>
      <c r="K104" s="156">
        <f>vlookup(B104,'imported-world-population'!$C$2:$D$470,2,false)</f>
        <v>1799897021</v>
      </c>
      <c r="L104" s="156"/>
      <c r="M104" s="156"/>
      <c r="N104" s="156"/>
    </row>
    <row r="105">
      <c r="A105" s="150" t="s">
        <v>91</v>
      </c>
      <c r="B105" s="151">
        <v>1916.0</v>
      </c>
      <c r="C105" s="152" t="str">
        <f t="shared" si="1"/>
        <v>#N/A</v>
      </c>
      <c r="D105" s="153" t="str">
        <f t="shared" si="2"/>
        <v>#N/A</v>
      </c>
      <c r="E105" s="154" t="str">
        <f t="shared" si="3"/>
        <v>#N/A</v>
      </c>
      <c r="F105" s="155"/>
      <c r="G105" s="155"/>
      <c r="H105" s="155"/>
      <c r="I105" s="155">
        <f t="shared" si="4"/>
        <v>0.1379983329</v>
      </c>
      <c r="J105" s="156">
        <f>'input-from-OWID'!C104</f>
        <v>250356636</v>
      </c>
      <c r="K105" s="156">
        <f>vlookup(B105,'imported-world-population'!$C$2:$D$470,2,false)</f>
        <v>1814200438</v>
      </c>
      <c r="L105" s="156"/>
      <c r="M105" s="156"/>
      <c r="N105" s="156"/>
    </row>
    <row r="106">
      <c r="A106" s="150" t="s">
        <v>91</v>
      </c>
      <c r="B106" s="151">
        <v>1917.0</v>
      </c>
      <c r="C106" s="152" t="str">
        <f t="shared" si="1"/>
        <v>#N/A</v>
      </c>
      <c r="D106" s="153" t="str">
        <f t="shared" si="2"/>
        <v>#N/A</v>
      </c>
      <c r="E106" s="154" t="str">
        <f t="shared" si="3"/>
        <v>#N/A</v>
      </c>
      <c r="F106" s="155"/>
      <c r="G106" s="155"/>
      <c r="H106" s="155"/>
      <c r="I106" s="155">
        <f t="shared" si="4"/>
        <v>0.1434482335</v>
      </c>
      <c r="J106" s="156">
        <f>'input-from-OWID'!C105</f>
        <v>262185264</v>
      </c>
      <c r="K106" s="156">
        <f>vlookup(B106,'imported-world-population'!$C$2:$D$470,2,false)</f>
        <v>1827734351</v>
      </c>
      <c r="L106" s="156"/>
      <c r="M106" s="156"/>
      <c r="N106" s="156"/>
    </row>
    <row r="107">
      <c r="A107" s="150" t="s">
        <v>91</v>
      </c>
      <c r="B107" s="151">
        <v>1918.0</v>
      </c>
      <c r="C107" s="152" t="str">
        <f t="shared" si="1"/>
        <v>#N/A</v>
      </c>
      <c r="D107" s="153" t="str">
        <f t="shared" si="2"/>
        <v>#N/A</v>
      </c>
      <c r="E107" s="154" t="str">
        <f t="shared" si="3"/>
        <v>#N/A</v>
      </c>
      <c r="F107" s="155"/>
      <c r="G107" s="155"/>
      <c r="H107" s="155"/>
      <c r="I107" s="155">
        <f t="shared" si="4"/>
        <v>0.155978569</v>
      </c>
      <c r="J107" s="156">
        <f>'input-from-OWID'!C106</f>
        <v>286906862</v>
      </c>
      <c r="K107" s="156">
        <f>vlookup(B107,'imported-world-population'!$C$2:$D$470,2,false)</f>
        <v>1839399245</v>
      </c>
      <c r="L107" s="156"/>
      <c r="M107" s="156"/>
      <c r="N107" s="156"/>
    </row>
    <row r="108">
      <c r="A108" s="150" t="s">
        <v>91</v>
      </c>
      <c r="B108" s="151">
        <v>1919.0</v>
      </c>
      <c r="C108" s="152" t="str">
        <f t="shared" si="1"/>
        <v>#N/A</v>
      </c>
      <c r="D108" s="153" t="str">
        <f t="shared" si="2"/>
        <v>#N/A</v>
      </c>
      <c r="E108" s="154" t="str">
        <f t="shared" si="3"/>
        <v>#N/A</v>
      </c>
      <c r="F108" s="155"/>
      <c r="G108" s="155"/>
      <c r="H108" s="155"/>
      <c r="I108" s="155">
        <f t="shared" si="4"/>
        <v>0.1912439</v>
      </c>
      <c r="J108" s="156">
        <f>'input-from-OWID'!C107</f>
        <v>354215523</v>
      </c>
      <c r="K108" s="156">
        <f>vlookup(B108,'imported-world-population'!$C$2:$D$470,2,false)</f>
        <v>1852166385</v>
      </c>
      <c r="L108" s="156"/>
      <c r="M108" s="156"/>
      <c r="N108" s="156"/>
    </row>
    <row r="109">
      <c r="A109" s="150" t="s">
        <v>91</v>
      </c>
      <c r="B109" s="151">
        <v>1920.0</v>
      </c>
      <c r="C109" s="152" t="str">
        <f t="shared" si="1"/>
        <v>#N/A</v>
      </c>
      <c r="D109" s="153" t="str">
        <f t="shared" si="2"/>
        <v>#N/A</v>
      </c>
      <c r="E109" s="154" t="str">
        <f t="shared" si="3"/>
        <v>#N/A</v>
      </c>
      <c r="F109" s="155"/>
      <c r="G109" s="155"/>
      <c r="H109" s="155"/>
      <c r="I109" s="155">
        <f t="shared" si="4"/>
        <v>0.1955237825</v>
      </c>
      <c r="J109" s="156">
        <f>'input-from-OWID'!C108</f>
        <v>364863936</v>
      </c>
      <c r="K109" s="156">
        <f>vlookup(B109,'imported-world-population'!$C$2:$D$470,2,false)</f>
        <v>1866084685</v>
      </c>
      <c r="L109" s="156"/>
      <c r="M109" s="156"/>
      <c r="N109" s="156"/>
    </row>
    <row r="110">
      <c r="A110" s="150" t="s">
        <v>91</v>
      </c>
      <c r="B110" s="151">
        <v>1921.0</v>
      </c>
      <c r="C110" s="152" t="str">
        <f t="shared" si="1"/>
        <v>#N/A</v>
      </c>
      <c r="D110" s="153" t="str">
        <f t="shared" si="2"/>
        <v>#N/A</v>
      </c>
      <c r="E110" s="154" t="str">
        <f t="shared" si="3"/>
        <v>#N/A</v>
      </c>
      <c r="F110" s="155"/>
      <c r="G110" s="155"/>
      <c r="H110" s="155"/>
      <c r="I110" s="155">
        <f t="shared" si="4"/>
        <v>0.1951682265</v>
      </c>
      <c r="J110" s="156">
        <f>'input-from-OWID'!C109</f>
        <v>367367644</v>
      </c>
      <c r="K110" s="156">
        <f>vlookup(B110,'imported-world-population'!$C$2:$D$470,2,false)</f>
        <v>1882312765</v>
      </c>
      <c r="L110" s="156"/>
      <c r="M110" s="156"/>
      <c r="N110" s="156"/>
    </row>
    <row r="111">
      <c r="A111" s="150" t="s">
        <v>91</v>
      </c>
      <c r="B111" s="151">
        <v>1922.0</v>
      </c>
      <c r="C111" s="152" t="str">
        <f t="shared" si="1"/>
        <v>#N/A</v>
      </c>
      <c r="D111" s="153" t="str">
        <f t="shared" si="2"/>
        <v>#N/A</v>
      </c>
      <c r="E111" s="154" t="str">
        <f t="shared" si="3"/>
        <v>#N/A</v>
      </c>
      <c r="F111" s="155"/>
      <c r="G111" s="155"/>
      <c r="H111" s="155"/>
      <c r="I111" s="155">
        <f t="shared" si="4"/>
        <v>0.1954961647</v>
      </c>
      <c r="J111" s="156">
        <f>'input-from-OWID'!C110</f>
        <v>371155301</v>
      </c>
      <c r="K111" s="156">
        <f>vlookup(B111,'imported-world-population'!$C$2:$D$470,2,false)</f>
        <v>1898529833</v>
      </c>
      <c r="L111" s="156"/>
      <c r="M111" s="156"/>
      <c r="N111" s="156"/>
    </row>
    <row r="112">
      <c r="A112" s="150" t="s">
        <v>91</v>
      </c>
      <c r="B112" s="151">
        <v>1923.0</v>
      </c>
      <c r="C112" s="152" t="str">
        <f t="shared" si="1"/>
        <v>#N/A</v>
      </c>
      <c r="D112" s="153" t="str">
        <f t="shared" si="2"/>
        <v>#N/A</v>
      </c>
      <c r="E112" s="154" t="str">
        <f t="shared" si="3"/>
        <v>#N/A</v>
      </c>
      <c r="F112" s="155"/>
      <c r="G112" s="155"/>
      <c r="H112" s="155"/>
      <c r="I112" s="155">
        <f t="shared" si="4"/>
        <v>0.1847591371</v>
      </c>
      <c r="J112" s="156">
        <f>'input-from-OWID'!C111</f>
        <v>353844863</v>
      </c>
      <c r="K112" s="156">
        <f>vlookup(B112,'imported-world-population'!$C$2:$D$470,2,false)</f>
        <v>1915168411</v>
      </c>
      <c r="L112" s="156"/>
      <c r="M112" s="156"/>
      <c r="N112" s="156"/>
    </row>
    <row r="113">
      <c r="A113" s="150" t="s">
        <v>91</v>
      </c>
      <c r="B113" s="151">
        <v>1924.0</v>
      </c>
      <c r="C113" s="152" t="str">
        <f t="shared" si="1"/>
        <v>#N/A</v>
      </c>
      <c r="D113" s="153" t="str">
        <f t="shared" si="2"/>
        <v>#N/A</v>
      </c>
      <c r="E113" s="154" t="str">
        <f t="shared" si="3"/>
        <v>#N/A</v>
      </c>
      <c r="F113" s="155"/>
      <c r="G113" s="155"/>
      <c r="H113" s="155"/>
      <c r="I113" s="155">
        <f t="shared" si="4"/>
        <v>0.1854473675</v>
      </c>
      <c r="J113" s="156">
        <f>'input-from-OWID'!C112</f>
        <v>358298318</v>
      </c>
      <c r="K113" s="156">
        <f>vlookup(B113,'imported-world-population'!$C$2:$D$470,2,false)</f>
        <v>1932075515</v>
      </c>
      <c r="L113" s="156"/>
      <c r="M113" s="156"/>
      <c r="N113" s="156"/>
    </row>
    <row r="114">
      <c r="A114" s="150" t="s">
        <v>91</v>
      </c>
      <c r="B114" s="151">
        <v>1925.0</v>
      </c>
      <c r="C114" s="152" t="str">
        <f t="shared" si="1"/>
        <v>#N/A</v>
      </c>
      <c r="D114" s="153" t="str">
        <f t="shared" si="2"/>
        <v>#N/A</v>
      </c>
      <c r="E114" s="154" t="str">
        <f t="shared" si="3"/>
        <v>#N/A</v>
      </c>
      <c r="F114" s="155"/>
      <c r="G114" s="155"/>
      <c r="H114" s="155"/>
      <c r="I114" s="155">
        <f t="shared" si="4"/>
        <v>0.1857909666</v>
      </c>
      <c r="J114" s="156">
        <f>'input-from-OWID'!C113</f>
        <v>362098361</v>
      </c>
      <c r="K114" s="156">
        <f>vlookup(B114,'imported-world-population'!$C$2:$D$470,2,false)</f>
        <v>1948955687</v>
      </c>
      <c r="L114" s="156"/>
      <c r="M114" s="156"/>
      <c r="N114" s="156"/>
    </row>
    <row r="115">
      <c r="A115" s="150" t="s">
        <v>91</v>
      </c>
      <c r="B115" s="151">
        <v>1926.0</v>
      </c>
      <c r="C115" s="152" t="str">
        <f t="shared" si="1"/>
        <v>#N/A</v>
      </c>
      <c r="D115" s="153" t="str">
        <f t="shared" si="2"/>
        <v>#N/A</v>
      </c>
      <c r="E115" s="154" t="str">
        <f t="shared" si="3"/>
        <v>#N/A</v>
      </c>
      <c r="F115" s="155"/>
      <c r="G115" s="155"/>
      <c r="H115" s="155"/>
      <c r="I115" s="155">
        <f t="shared" si="4"/>
        <v>0.172185045</v>
      </c>
      <c r="J115" s="156">
        <f>'input-from-OWID'!C114</f>
        <v>338463346</v>
      </c>
      <c r="K115" s="156">
        <f>vlookup(B115,'imported-world-population'!$C$2:$D$470,2,false)</f>
        <v>1965695371</v>
      </c>
      <c r="L115" s="156"/>
      <c r="M115" s="156"/>
      <c r="N115" s="156"/>
    </row>
    <row r="116">
      <c r="A116" s="150" t="s">
        <v>91</v>
      </c>
      <c r="B116" s="151">
        <v>1927.0</v>
      </c>
      <c r="C116" s="152" t="str">
        <f t="shared" si="1"/>
        <v>#N/A</v>
      </c>
      <c r="D116" s="153" t="str">
        <f t="shared" si="2"/>
        <v>#N/A</v>
      </c>
      <c r="E116" s="154" t="str">
        <f t="shared" si="3"/>
        <v>#N/A</v>
      </c>
      <c r="F116" s="155"/>
      <c r="G116" s="155"/>
      <c r="H116" s="155"/>
      <c r="I116" s="155">
        <f t="shared" si="4"/>
        <v>0.172240594</v>
      </c>
      <c r="J116" s="156">
        <f>'input-from-OWID'!C115</f>
        <v>341473183</v>
      </c>
      <c r="K116" s="156">
        <f>vlookup(B116,'imported-world-population'!$C$2:$D$470,2,false)</f>
        <v>1982536028</v>
      </c>
      <c r="L116" s="156"/>
      <c r="M116" s="156"/>
      <c r="N116" s="156"/>
    </row>
    <row r="117">
      <c r="A117" s="150" t="s">
        <v>91</v>
      </c>
      <c r="B117" s="151">
        <v>1928.0</v>
      </c>
      <c r="C117" s="152" t="str">
        <f t="shared" si="1"/>
        <v>#N/A</v>
      </c>
      <c r="D117" s="153" t="str">
        <f t="shared" si="2"/>
        <v>#N/A</v>
      </c>
      <c r="E117" s="154" t="str">
        <f t="shared" si="3"/>
        <v>#N/A</v>
      </c>
      <c r="F117" s="155"/>
      <c r="G117" s="155"/>
      <c r="H117" s="155"/>
      <c r="I117" s="155">
        <f t="shared" si="4"/>
        <v>0.172229603</v>
      </c>
      <c r="J117" s="156">
        <f>'input-from-OWID'!C116</f>
        <v>344340689</v>
      </c>
      <c r="K117" s="156">
        <f>vlookup(B117,'imported-world-population'!$C$2:$D$470,2,false)</f>
        <v>1999311866</v>
      </c>
      <c r="L117" s="156"/>
      <c r="M117" s="156"/>
      <c r="N117" s="156"/>
    </row>
    <row r="118">
      <c r="A118" s="150" t="s">
        <v>91</v>
      </c>
      <c r="B118" s="151">
        <v>1929.0</v>
      </c>
      <c r="C118" s="152" t="str">
        <f t="shared" si="1"/>
        <v>#N/A</v>
      </c>
      <c r="D118" s="153" t="str">
        <f t="shared" si="2"/>
        <v>#N/A</v>
      </c>
      <c r="E118" s="154" t="str">
        <f t="shared" si="3"/>
        <v>#N/A</v>
      </c>
      <c r="F118" s="155"/>
      <c r="G118" s="155"/>
      <c r="H118" s="155"/>
      <c r="I118" s="155">
        <f t="shared" si="4"/>
        <v>0.1720043183</v>
      </c>
      <c r="J118" s="156">
        <f>'input-from-OWID'!C117</f>
        <v>346940607</v>
      </c>
      <c r="K118" s="156">
        <f>vlookup(B118,'imported-world-population'!$C$2:$D$470,2,false)</f>
        <v>2017045912</v>
      </c>
      <c r="L118" s="156"/>
      <c r="M118" s="156"/>
      <c r="N118" s="156"/>
    </row>
    <row r="119">
      <c r="A119" s="150" t="s">
        <v>91</v>
      </c>
      <c r="B119" s="151">
        <v>1930.0</v>
      </c>
      <c r="C119" s="152" t="str">
        <f t="shared" si="1"/>
        <v>#N/A</v>
      </c>
      <c r="D119" s="153" t="str">
        <f t="shared" si="2"/>
        <v>#N/A</v>
      </c>
      <c r="E119" s="154" t="str">
        <f t="shared" si="3"/>
        <v>#N/A</v>
      </c>
      <c r="F119" s="155"/>
      <c r="G119" s="155"/>
      <c r="H119" s="155"/>
      <c r="I119" s="155">
        <f t="shared" si="4"/>
        <v>0.1718488679</v>
      </c>
      <c r="J119" s="156">
        <f>'input-from-OWID'!C118</f>
        <v>349931727</v>
      </c>
      <c r="K119" s="156">
        <f>vlookup(B119,'imported-world-population'!$C$2:$D$470,2,false)</f>
        <v>2036276010</v>
      </c>
      <c r="L119" s="156"/>
      <c r="M119" s="156"/>
      <c r="N119" s="156"/>
    </row>
    <row r="120">
      <c r="A120" s="150" t="s">
        <v>91</v>
      </c>
      <c r="B120" s="151">
        <v>1931.0</v>
      </c>
      <c r="C120" s="152" t="str">
        <f t="shared" si="1"/>
        <v>#N/A</v>
      </c>
      <c r="D120" s="153" t="str">
        <f t="shared" si="2"/>
        <v>#N/A</v>
      </c>
      <c r="E120" s="154" t="str">
        <f t="shared" si="3"/>
        <v>#N/A</v>
      </c>
      <c r="F120" s="155"/>
      <c r="G120" s="155"/>
      <c r="H120" s="155"/>
      <c r="I120" s="155">
        <f t="shared" si="4"/>
        <v>0.1811043665</v>
      </c>
      <c r="J120" s="156">
        <f>'input-from-OWID'!C119</f>
        <v>372574682</v>
      </c>
      <c r="K120" s="156">
        <f>vlookup(B120,'imported-world-population'!$C$2:$D$470,2,false)</f>
        <v>2057237433</v>
      </c>
      <c r="L120" s="156"/>
      <c r="M120" s="156"/>
      <c r="N120" s="156"/>
    </row>
    <row r="121">
      <c r="A121" s="150" t="s">
        <v>91</v>
      </c>
      <c r="B121" s="151">
        <v>1932.0</v>
      </c>
      <c r="C121" s="152" t="str">
        <f t="shared" si="1"/>
        <v>#N/A</v>
      </c>
      <c r="D121" s="153" t="str">
        <f t="shared" si="2"/>
        <v>#N/A</v>
      </c>
      <c r="E121" s="154" t="str">
        <f t="shared" si="3"/>
        <v>#N/A</v>
      </c>
      <c r="F121" s="155"/>
      <c r="G121" s="155"/>
      <c r="H121" s="155"/>
      <c r="I121" s="155">
        <f t="shared" si="4"/>
        <v>0.1802798921</v>
      </c>
      <c r="J121" s="156">
        <f>'input-from-OWID'!C120</f>
        <v>374787693</v>
      </c>
      <c r="K121" s="156">
        <f>vlookup(B121,'imported-world-population'!$C$2:$D$470,2,false)</f>
        <v>2078921219</v>
      </c>
      <c r="L121" s="156"/>
      <c r="M121" s="156"/>
      <c r="N121" s="156"/>
    </row>
    <row r="122">
      <c r="A122" s="150" t="s">
        <v>91</v>
      </c>
      <c r="B122" s="151">
        <v>1933.0</v>
      </c>
      <c r="C122" s="152" t="str">
        <f t="shared" si="1"/>
        <v>#N/A</v>
      </c>
      <c r="D122" s="153" t="str">
        <f t="shared" si="2"/>
        <v>#N/A</v>
      </c>
      <c r="E122" s="154" t="str">
        <f t="shared" si="3"/>
        <v>#N/A</v>
      </c>
      <c r="F122" s="155"/>
      <c r="G122" s="155"/>
      <c r="H122" s="155"/>
      <c r="I122" s="155">
        <f t="shared" si="4"/>
        <v>0.1447793535</v>
      </c>
      <c r="J122" s="156">
        <f>'input-from-OWID'!C121</f>
        <v>304100790</v>
      </c>
      <c r="K122" s="156">
        <f>vlookup(B122,'imported-world-population'!$C$2:$D$470,2,false)</f>
        <v>2100443072</v>
      </c>
      <c r="L122" s="156"/>
      <c r="M122" s="156"/>
      <c r="N122" s="156"/>
    </row>
    <row r="123">
      <c r="A123" s="150" t="s">
        <v>91</v>
      </c>
      <c r="B123" s="151">
        <v>1934.0</v>
      </c>
      <c r="C123" s="152" t="str">
        <f t="shared" si="1"/>
        <v>#N/A</v>
      </c>
      <c r="D123" s="153" t="str">
        <f t="shared" si="2"/>
        <v>#N/A</v>
      </c>
      <c r="E123" s="154" t="str">
        <f t="shared" si="3"/>
        <v>#N/A</v>
      </c>
      <c r="F123" s="155"/>
      <c r="G123" s="155"/>
      <c r="H123" s="155"/>
      <c r="I123" s="155">
        <f t="shared" si="4"/>
        <v>0.1429121537</v>
      </c>
      <c r="J123" s="156">
        <f>'input-from-OWID'!C122</f>
        <v>303245271</v>
      </c>
      <c r="K123" s="156">
        <f>vlookup(B123,'imported-world-population'!$C$2:$D$470,2,false)</f>
        <v>2121899805</v>
      </c>
      <c r="L123" s="156"/>
      <c r="M123" s="156"/>
      <c r="N123" s="156"/>
    </row>
    <row r="124">
      <c r="A124" s="150" t="s">
        <v>91</v>
      </c>
      <c r="B124" s="151">
        <v>1935.0</v>
      </c>
      <c r="C124" s="152" t="str">
        <f t="shared" si="1"/>
        <v>#N/A</v>
      </c>
      <c r="D124" s="153" t="str">
        <f t="shared" si="2"/>
        <v>#N/A</v>
      </c>
      <c r="E124" s="154" t="str">
        <f t="shared" si="3"/>
        <v>#N/A</v>
      </c>
      <c r="F124" s="155"/>
      <c r="G124" s="155"/>
      <c r="H124" s="155"/>
      <c r="I124" s="155">
        <f t="shared" si="4"/>
        <v>0.1423287555</v>
      </c>
      <c r="J124" s="156">
        <f>'input-from-OWID'!C123</f>
        <v>305038181</v>
      </c>
      <c r="K124" s="156">
        <f>vlookup(B124,'imported-world-population'!$C$2:$D$470,2,false)</f>
        <v>2143194324</v>
      </c>
      <c r="L124" s="156"/>
      <c r="M124" s="156"/>
      <c r="N124" s="156"/>
    </row>
    <row r="125">
      <c r="A125" s="150" t="s">
        <v>91</v>
      </c>
      <c r="B125" s="151">
        <v>1936.0</v>
      </c>
      <c r="C125" s="152" t="str">
        <f t="shared" si="1"/>
        <v>#N/A</v>
      </c>
      <c r="D125" s="153" t="str">
        <f t="shared" si="2"/>
        <v>#N/A</v>
      </c>
      <c r="E125" s="154" t="str">
        <f t="shared" si="3"/>
        <v>#N/A</v>
      </c>
      <c r="F125" s="155"/>
      <c r="G125" s="155"/>
      <c r="H125" s="155"/>
      <c r="I125" s="155">
        <f t="shared" si="4"/>
        <v>0.1385117747</v>
      </c>
      <c r="J125" s="156">
        <f>'input-from-OWID'!C124</f>
        <v>299848753</v>
      </c>
      <c r="K125" s="156">
        <f>vlookup(B125,'imported-world-population'!$C$2:$D$470,2,false)</f>
        <v>2164788904</v>
      </c>
      <c r="L125" s="156"/>
      <c r="M125" s="156"/>
      <c r="N125" s="156"/>
    </row>
    <row r="126">
      <c r="A126" s="150" t="s">
        <v>91</v>
      </c>
      <c r="B126" s="151">
        <v>1937.0</v>
      </c>
      <c r="C126" s="152" t="str">
        <f t="shared" si="1"/>
        <v>#N/A</v>
      </c>
      <c r="D126" s="153" t="str">
        <f t="shared" si="2"/>
        <v>#N/A</v>
      </c>
      <c r="E126" s="154" t="str">
        <f t="shared" si="3"/>
        <v>#N/A</v>
      </c>
      <c r="F126" s="155"/>
      <c r="G126" s="155"/>
      <c r="H126" s="155"/>
      <c r="I126" s="155">
        <f t="shared" si="4"/>
        <v>0.13786696</v>
      </c>
      <c r="J126" s="156">
        <f>'input-from-OWID'!C125</f>
        <v>301450761</v>
      </c>
      <c r="K126" s="156">
        <f>vlookup(B126,'imported-world-population'!$C$2:$D$470,2,false)</f>
        <v>2186533749</v>
      </c>
      <c r="L126" s="156"/>
      <c r="M126" s="156"/>
      <c r="N126" s="156"/>
    </row>
    <row r="127">
      <c r="A127" s="150" t="s">
        <v>91</v>
      </c>
      <c r="B127" s="151">
        <v>1938.0</v>
      </c>
      <c r="C127" s="152" t="str">
        <f t="shared" si="1"/>
        <v>#N/A</v>
      </c>
      <c r="D127" s="153" t="str">
        <f t="shared" si="2"/>
        <v>#N/A</v>
      </c>
      <c r="E127" s="154" t="str">
        <f t="shared" si="3"/>
        <v>#N/A</v>
      </c>
      <c r="F127" s="155"/>
      <c r="G127" s="155"/>
      <c r="H127" s="155"/>
      <c r="I127" s="155">
        <f t="shared" si="4"/>
        <v>0.1373260524</v>
      </c>
      <c r="J127" s="156">
        <f>'input-from-OWID'!C126</f>
        <v>303325186</v>
      </c>
      <c r="K127" s="156">
        <f>vlookup(B127,'imported-world-population'!$C$2:$D$470,2,false)</f>
        <v>2208795642</v>
      </c>
      <c r="L127" s="156"/>
      <c r="M127" s="156"/>
      <c r="N127" s="156"/>
    </row>
    <row r="128">
      <c r="A128" s="150" t="s">
        <v>91</v>
      </c>
      <c r="B128" s="151">
        <v>1939.0</v>
      </c>
      <c r="C128" s="152" t="str">
        <f t="shared" si="1"/>
        <v>#N/A</v>
      </c>
      <c r="D128" s="153" t="str">
        <f t="shared" si="2"/>
        <v>#N/A</v>
      </c>
      <c r="E128" s="154" t="str">
        <f t="shared" si="3"/>
        <v>#N/A</v>
      </c>
      <c r="F128" s="155"/>
      <c r="G128" s="155"/>
      <c r="H128" s="155"/>
      <c r="I128" s="155">
        <f t="shared" si="4"/>
        <v>0.1217583613</v>
      </c>
      <c r="J128" s="156">
        <f>'input-from-OWID'!C127</f>
        <v>271581418</v>
      </c>
      <c r="K128" s="156">
        <f>vlookup(B128,'imported-world-population'!$C$2:$D$470,2,false)</f>
        <v>2230495015</v>
      </c>
      <c r="L128" s="156"/>
      <c r="M128" s="156"/>
      <c r="N128" s="156"/>
    </row>
    <row r="129">
      <c r="A129" s="150" t="s">
        <v>91</v>
      </c>
      <c r="B129" s="151">
        <v>1940.0</v>
      </c>
      <c r="C129" s="152" t="str">
        <f t="shared" si="1"/>
        <v>#N/A</v>
      </c>
      <c r="D129" s="153" t="str">
        <f t="shared" si="2"/>
        <v>#N/A</v>
      </c>
      <c r="E129" s="154" t="str">
        <f t="shared" si="3"/>
        <v>#N/A</v>
      </c>
      <c r="F129" s="155"/>
      <c r="G129" s="155"/>
      <c r="H129" s="155"/>
      <c r="I129" s="155">
        <f t="shared" si="4"/>
        <v>0.09570356315</v>
      </c>
      <c r="J129" s="156">
        <f>'input-from-OWID'!C128</f>
        <v>215489007</v>
      </c>
      <c r="K129" s="156">
        <f>vlookup(B129,'imported-world-population'!$C$2:$D$470,2,false)</f>
        <v>2251629928</v>
      </c>
      <c r="L129" s="156"/>
      <c r="M129" s="156"/>
      <c r="N129" s="156"/>
    </row>
    <row r="130">
      <c r="A130" s="150" t="s">
        <v>91</v>
      </c>
      <c r="B130" s="151">
        <v>1941.0</v>
      </c>
      <c r="C130" s="152" t="str">
        <f t="shared" si="1"/>
        <v>#N/A</v>
      </c>
      <c r="D130" s="153" t="str">
        <f t="shared" si="2"/>
        <v>#N/A</v>
      </c>
      <c r="E130" s="154" t="str">
        <f t="shared" si="3"/>
        <v>#N/A</v>
      </c>
      <c r="F130" s="155"/>
      <c r="G130" s="155"/>
      <c r="H130" s="155"/>
      <c r="I130" s="155">
        <f t="shared" si="4"/>
        <v>0.09552408657</v>
      </c>
      <c r="J130" s="156">
        <f>'input-from-OWID'!C129</f>
        <v>217066873</v>
      </c>
      <c r="K130" s="156">
        <f>vlookup(B130,'imported-world-population'!$C$2:$D$470,2,false)</f>
        <v>2272378421</v>
      </c>
      <c r="L130" s="156"/>
      <c r="M130" s="156"/>
      <c r="N130" s="156"/>
    </row>
    <row r="131">
      <c r="A131" s="150" t="s">
        <v>91</v>
      </c>
      <c r="B131" s="151">
        <v>1942.0</v>
      </c>
      <c r="C131" s="152" t="str">
        <f t="shared" si="1"/>
        <v>#N/A</v>
      </c>
      <c r="D131" s="153" t="str">
        <f t="shared" si="2"/>
        <v>#N/A</v>
      </c>
      <c r="E131" s="154" t="str">
        <f t="shared" si="3"/>
        <v>#N/A</v>
      </c>
      <c r="F131" s="155"/>
      <c r="G131" s="155"/>
      <c r="H131" s="155"/>
      <c r="I131" s="155">
        <f t="shared" si="4"/>
        <v>0.09548789554</v>
      </c>
      <c r="J131" s="156">
        <f>'input-from-OWID'!C130</f>
        <v>218997064</v>
      </c>
      <c r="K131" s="156">
        <f>vlookup(B131,'imported-world-population'!$C$2:$D$470,2,false)</f>
        <v>2293453665</v>
      </c>
      <c r="L131" s="156"/>
      <c r="M131" s="156"/>
      <c r="N131" s="156"/>
    </row>
    <row r="132">
      <c r="A132" s="150" t="s">
        <v>91</v>
      </c>
      <c r="B132" s="151">
        <v>1943.0</v>
      </c>
      <c r="C132" s="152" t="str">
        <f t="shared" si="1"/>
        <v>#N/A</v>
      </c>
      <c r="D132" s="153" t="str">
        <f t="shared" si="2"/>
        <v>#N/A</v>
      </c>
      <c r="E132" s="154" t="str">
        <f t="shared" si="3"/>
        <v>#N/A</v>
      </c>
      <c r="F132" s="155"/>
      <c r="G132" s="155"/>
      <c r="H132" s="155"/>
      <c r="I132" s="155">
        <f t="shared" si="4"/>
        <v>0.0957204991</v>
      </c>
      <c r="J132" s="156">
        <f>'input-from-OWID'!C131</f>
        <v>221575393</v>
      </c>
      <c r="K132" s="156">
        <f>vlookup(B132,'imported-world-population'!$C$2:$D$470,2,false)</f>
        <v>2314816524</v>
      </c>
      <c r="L132" s="156"/>
      <c r="M132" s="156"/>
      <c r="N132" s="156"/>
    </row>
    <row r="133">
      <c r="A133" s="150" t="s">
        <v>91</v>
      </c>
      <c r="B133" s="151">
        <v>1944.0</v>
      </c>
      <c r="C133" s="152" t="str">
        <f t="shared" si="1"/>
        <v>#N/A</v>
      </c>
      <c r="D133" s="153" t="str">
        <f t="shared" si="2"/>
        <v>#N/A</v>
      </c>
      <c r="E133" s="154" t="str">
        <f t="shared" si="3"/>
        <v>#N/A</v>
      </c>
      <c r="F133" s="155"/>
      <c r="G133" s="155"/>
      <c r="H133" s="155"/>
      <c r="I133" s="155">
        <f t="shared" si="4"/>
        <v>0.1041467647</v>
      </c>
      <c r="J133" s="156">
        <f>'input-from-OWID'!C132</f>
        <v>243153472</v>
      </c>
      <c r="K133" s="156">
        <f>vlookup(B133,'imported-world-population'!$C$2:$D$470,2,false)</f>
        <v>2334719399</v>
      </c>
      <c r="L133" s="156"/>
      <c r="M133" s="156"/>
      <c r="N133" s="156"/>
    </row>
    <row r="134">
      <c r="A134" s="150" t="s">
        <v>91</v>
      </c>
      <c r="B134" s="151">
        <v>1945.0</v>
      </c>
      <c r="C134" s="152" t="str">
        <f t="shared" si="1"/>
        <v>#N/A</v>
      </c>
      <c r="D134" s="153" t="str">
        <f t="shared" si="2"/>
        <v>#N/A</v>
      </c>
      <c r="E134" s="154" t="str">
        <f t="shared" si="3"/>
        <v>#N/A</v>
      </c>
      <c r="F134" s="155"/>
      <c r="G134" s="155"/>
      <c r="H134" s="155"/>
      <c r="I134" s="155">
        <f t="shared" si="4"/>
        <v>0.1112599892</v>
      </c>
      <c r="J134" s="156">
        <f>'input-from-OWID'!C133</f>
        <v>262049824</v>
      </c>
      <c r="K134" s="156">
        <f>vlookup(B134,'imported-world-population'!$C$2:$D$470,2,false)</f>
        <v>2355292552</v>
      </c>
      <c r="L134" s="156"/>
      <c r="M134" s="156"/>
      <c r="N134" s="156"/>
    </row>
    <row r="135">
      <c r="A135" s="150" t="s">
        <v>91</v>
      </c>
      <c r="B135" s="151">
        <v>1946.0</v>
      </c>
      <c r="C135" s="152" t="str">
        <f t="shared" si="1"/>
        <v>#N/A</v>
      </c>
      <c r="D135" s="153" t="str">
        <f t="shared" si="2"/>
        <v>#N/A</v>
      </c>
      <c r="E135" s="154" t="str">
        <f t="shared" si="3"/>
        <v>#N/A</v>
      </c>
      <c r="F135" s="155"/>
      <c r="G135" s="155"/>
      <c r="H135" s="155"/>
      <c r="I135" s="155">
        <f t="shared" si="4"/>
        <v>0.1590536376</v>
      </c>
      <c r="J135" s="156">
        <f>'input-from-OWID'!C134</f>
        <v>378355799</v>
      </c>
      <c r="K135" s="156">
        <f>vlookup(B135,'imported-world-population'!$C$2:$D$470,2,false)</f>
        <v>2378793750</v>
      </c>
      <c r="L135" s="156"/>
      <c r="M135" s="156"/>
      <c r="N135" s="156"/>
    </row>
    <row r="136">
      <c r="A136" s="150" t="s">
        <v>91</v>
      </c>
      <c r="B136" s="151">
        <v>1947.0</v>
      </c>
      <c r="C136" s="152" t="str">
        <f t="shared" si="1"/>
        <v>#N/A</v>
      </c>
      <c r="D136" s="153" t="str">
        <f t="shared" si="2"/>
        <v>#N/A</v>
      </c>
      <c r="E136" s="154" t="str">
        <f t="shared" si="3"/>
        <v>#N/A</v>
      </c>
      <c r="F136" s="155"/>
      <c r="G136" s="155"/>
      <c r="H136" s="155"/>
      <c r="I136" s="155">
        <f t="shared" si="4"/>
        <v>0.3025082701</v>
      </c>
      <c r="J136" s="156">
        <f>'input-from-OWID'!C135</f>
        <v>728074977</v>
      </c>
      <c r="K136" s="156">
        <f>vlookup(B136,'imported-world-population'!$C$2:$D$470,2,false)</f>
        <v>2406793628</v>
      </c>
      <c r="L136" s="156"/>
      <c r="M136" s="156"/>
      <c r="N136" s="156"/>
    </row>
    <row r="137">
      <c r="A137" s="150" t="s">
        <v>91</v>
      </c>
      <c r="B137" s="151">
        <v>1948.0</v>
      </c>
      <c r="C137" s="152" t="str">
        <f t="shared" si="1"/>
        <v>#N/A</v>
      </c>
      <c r="D137" s="153" t="str">
        <f t="shared" si="2"/>
        <v>#N/A</v>
      </c>
      <c r="E137" s="154" t="str">
        <f t="shared" si="3"/>
        <v>#N/A</v>
      </c>
      <c r="F137" s="155"/>
      <c r="G137" s="155"/>
      <c r="H137" s="155"/>
      <c r="I137" s="155">
        <f t="shared" si="4"/>
        <v>0.313036952</v>
      </c>
      <c r="J137" s="156">
        <f>'input-from-OWID'!C136</f>
        <v>763054211</v>
      </c>
      <c r="K137" s="156">
        <f>vlookup(B137,'imported-world-population'!$C$2:$D$470,2,false)</f>
        <v>2437585103</v>
      </c>
      <c r="L137" s="156"/>
      <c r="M137" s="156"/>
      <c r="N137" s="156"/>
    </row>
    <row r="138">
      <c r="A138" s="150" t="s">
        <v>91</v>
      </c>
      <c r="B138" s="151">
        <v>1949.0</v>
      </c>
      <c r="C138" s="152" t="str">
        <f t="shared" si="1"/>
        <v>#N/A</v>
      </c>
      <c r="D138" s="153" t="str">
        <f t="shared" si="2"/>
        <v>#N/A</v>
      </c>
      <c r="E138" s="154" t="str">
        <f t="shared" si="3"/>
        <v>#N/A</v>
      </c>
      <c r="F138" s="155"/>
      <c r="G138" s="155"/>
      <c r="H138" s="155"/>
      <c r="I138" s="155">
        <f t="shared" si="4"/>
        <v>0.3090842554</v>
      </c>
      <c r="J138" s="156">
        <f>'input-from-OWID'!C137</f>
        <v>765677302</v>
      </c>
      <c r="K138" s="156">
        <f>vlookup(B138,'imported-world-population'!$C$2:$D$470,2,false)</f>
        <v>2477244598</v>
      </c>
      <c r="L138" s="156"/>
      <c r="M138" s="156"/>
      <c r="N138" s="156"/>
    </row>
    <row r="139">
      <c r="A139" s="150" t="s">
        <v>91</v>
      </c>
      <c r="B139" s="151">
        <v>1950.0</v>
      </c>
      <c r="C139" s="152" t="str">
        <f t="shared" si="1"/>
        <v>#N/A</v>
      </c>
      <c r="D139" s="153" t="str">
        <f t="shared" si="2"/>
        <v>#N/A</v>
      </c>
      <c r="E139" s="154" t="str">
        <f t="shared" si="3"/>
        <v>#N/A</v>
      </c>
      <c r="F139" s="155"/>
      <c r="G139" s="155"/>
      <c r="H139" s="155"/>
      <c r="I139" s="155">
        <f t="shared" si="4"/>
        <v>0.3144102063</v>
      </c>
      <c r="J139" s="156">
        <f>'input-from-OWID'!C138</f>
        <v>793192527</v>
      </c>
      <c r="K139" s="156">
        <f>vlookup(B139,'imported-world-population'!$C$2:$D$470,2,false)</f>
        <v>2522795097</v>
      </c>
      <c r="L139" s="156"/>
      <c r="M139" s="156"/>
      <c r="N139" s="156"/>
    </row>
    <row r="140">
      <c r="A140" s="150" t="s">
        <v>91</v>
      </c>
      <c r="B140" s="151">
        <v>1951.0</v>
      </c>
      <c r="C140" s="152" t="str">
        <f t="shared" si="1"/>
        <v>#N/A</v>
      </c>
      <c r="D140" s="153" t="str">
        <f t="shared" si="2"/>
        <v>#N/A</v>
      </c>
      <c r="E140" s="154" t="str">
        <f t="shared" si="3"/>
        <v>#N/A</v>
      </c>
      <c r="F140" s="155"/>
      <c r="G140" s="155"/>
      <c r="H140" s="155"/>
      <c r="I140" s="155">
        <f t="shared" si="4"/>
        <v>0.3130881067</v>
      </c>
      <c r="J140" s="156">
        <f>'input-from-OWID'!C139</f>
        <v>804621158</v>
      </c>
      <c r="K140" s="156">
        <f>vlookup(B140,'imported-world-population'!$C$2:$D$470,2,false)</f>
        <v>2569951208</v>
      </c>
      <c r="L140" s="156"/>
      <c r="M140" s="156"/>
      <c r="N140" s="156"/>
    </row>
    <row r="141">
      <c r="A141" s="150" t="s">
        <v>91</v>
      </c>
      <c r="B141" s="151">
        <v>1952.0</v>
      </c>
      <c r="C141" s="152" t="str">
        <f t="shared" si="1"/>
        <v>#N/A</v>
      </c>
      <c r="D141" s="153" t="str">
        <f t="shared" si="2"/>
        <v>#N/A</v>
      </c>
      <c r="E141" s="154" t="str">
        <f t="shared" si="3"/>
        <v>#N/A</v>
      </c>
      <c r="F141" s="155"/>
      <c r="G141" s="155"/>
      <c r="H141" s="155"/>
      <c r="I141" s="155">
        <f t="shared" si="4"/>
        <v>0.3456167913</v>
      </c>
      <c r="J141" s="156">
        <f>'input-from-OWID'!C140</f>
        <v>904243003</v>
      </c>
      <c r="K141" s="156">
        <f>vlookup(B141,'imported-world-population'!$C$2:$D$470,2,false)</f>
        <v>2616316758</v>
      </c>
      <c r="L141" s="156"/>
      <c r="M141" s="156"/>
      <c r="N141" s="156"/>
    </row>
    <row r="142">
      <c r="A142" s="150" t="s">
        <v>91</v>
      </c>
      <c r="B142" s="151">
        <v>1953.0</v>
      </c>
      <c r="C142" s="152" t="str">
        <f t="shared" si="1"/>
        <v>#N/A</v>
      </c>
      <c r="D142" s="153" t="str">
        <f t="shared" si="2"/>
        <v>#N/A</v>
      </c>
      <c r="E142" s="154" t="str">
        <f t="shared" si="3"/>
        <v>#N/A</v>
      </c>
      <c r="F142" s="155"/>
      <c r="G142" s="155"/>
      <c r="H142" s="155"/>
      <c r="I142" s="155">
        <f t="shared" si="4"/>
        <v>0.3448799633</v>
      </c>
      <c r="J142" s="156">
        <f>'input-from-OWID'!C141</f>
        <v>918257906</v>
      </c>
      <c r="K142" s="156">
        <f>vlookup(B142,'imported-world-population'!$C$2:$D$470,2,false)</f>
        <v>2662543504</v>
      </c>
      <c r="L142" s="156"/>
      <c r="M142" s="156"/>
      <c r="N142" s="156"/>
    </row>
    <row r="143">
      <c r="A143" s="150" t="s">
        <v>91</v>
      </c>
      <c r="B143" s="151">
        <v>1954.0</v>
      </c>
      <c r="C143" s="152" t="str">
        <f t="shared" si="1"/>
        <v>#N/A</v>
      </c>
      <c r="D143" s="153" t="str">
        <f t="shared" si="2"/>
        <v>#N/A</v>
      </c>
      <c r="E143" s="154" t="str">
        <f t="shared" si="3"/>
        <v>#N/A</v>
      </c>
      <c r="F143" s="155"/>
      <c r="G143" s="155"/>
      <c r="H143" s="155"/>
      <c r="I143" s="155">
        <f t="shared" si="4"/>
        <v>0.3368438866</v>
      </c>
      <c r="J143" s="156">
        <f>'input-from-OWID'!C142</f>
        <v>912570170</v>
      </c>
      <c r="K143" s="156">
        <f>vlookup(B143,'imported-world-population'!$C$2:$D$470,2,false)</f>
        <v>2709178365</v>
      </c>
      <c r="L143" s="156"/>
      <c r="M143" s="156"/>
      <c r="N143" s="156"/>
    </row>
    <row r="144">
      <c r="A144" s="150" t="s">
        <v>91</v>
      </c>
      <c r="B144" s="151">
        <v>1955.0</v>
      </c>
      <c r="C144" s="152" t="str">
        <f t="shared" si="1"/>
        <v>#N/A</v>
      </c>
      <c r="D144" s="153" t="str">
        <f t="shared" si="2"/>
        <v>#N/A</v>
      </c>
      <c r="E144" s="154" t="str">
        <f t="shared" si="3"/>
        <v>#N/A</v>
      </c>
      <c r="F144" s="155"/>
      <c r="G144" s="155"/>
      <c r="H144" s="155"/>
      <c r="I144" s="155">
        <f t="shared" si="4"/>
        <v>0.336182959</v>
      </c>
      <c r="J144" s="156">
        <f>'input-from-OWID'!C143</f>
        <v>926742962</v>
      </c>
      <c r="K144" s="156">
        <f>vlookup(B144,'imported-world-population'!$C$2:$D$470,2,false)</f>
        <v>2756662517</v>
      </c>
      <c r="L144" s="156"/>
      <c r="M144" s="156"/>
      <c r="N144" s="156"/>
    </row>
    <row r="145">
      <c r="A145" s="150" t="s">
        <v>91</v>
      </c>
      <c r="B145" s="151">
        <v>1956.0</v>
      </c>
      <c r="C145" s="152" t="str">
        <f t="shared" si="1"/>
        <v>#N/A</v>
      </c>
      <c r="D145" s="153" t="str">
        <f t="shared" si="2"/>
        <v>#N/A</v>
      </c>
      <c r="E145" s="154" t="str">
        <f t="shared" si="3"/>
        <v>#N/A</v>
      </c>
      <c r="F145" s="155"/>
      <c r="G145" s="155"/>
      <c r="H145" s="155"/>
      <c r="I145" s="155">
        <f t="shared" si="4"/>
        <v>0.3534657542</v>
      </c>
      <c r="J145" s="156">
        <f>'input-from-OWID'!C144</f>
        <v>991587699</v>
      </c>
      <c r="K145" s="156">
        <f>vlookup(B145,'imported-world-population'!$C$2:$D$470,2,false)</f>
        <v>2805328910</v>
      </c>
      <c r="L145" s="156"/>
      <c r="M145" s="156"/>
      <c r="N145" s="156"/>
    </row>
    <row r="146">
      <c r="A146" s="150" t="s">
        <v>91</v>
      </c>
      <c r="B146" s="151">
        <v>1957.0</v>
      </c>
      <c r="C146" s="152" t="str">
        <f t="shared" si="1"/>
        <v>#N/A</v>
      </c>
      <c r="D146" s="153" t="str">
        <f t="shared" si="2"/>
        <v>#N/A</v>
      </c>
      <c r="E146" s="154" t="str">
        <f t="shared" si="3"/>
        <v>#N/A</v>
      </c>
      <c r="F146" s="155"/>
      <c r="G146" s="155"/>
      <c r="H146" s="155"/>
      <c r="I146" s="155">
        <f t="shared" si="4"/>
        <v>0.3612825978</v>
      </c>
      <c r="J146" s="156">
        <f>'input-from-OWID'!C145</f>
        <v>1031608112</v>
      </c>
      <c r="K146" s="156">
        <f>vlookup(B146,'imported-world-population'!$C$2:$D$470,2,false)</f>
        <v>2855404933</v>
      </c>
      <c r="L146" s="156"/>
      <c r="M146" s="156"/>
      <c r="N146" s="156"/>
    </row>
    <row r="147">
      <c r="A147" s="150" t="s">
        <v>91</v>
      </c>
      <c r="B147" s="151">
        <v>1958.0</v>
      </c>
      <c r="C147" s="152" t="str">
        <f t="shared" si="1"/>
        <v>#N/A</v>
      </c>
      <c r="D147" s="153" t="str">
        <f t="shared" si="2"/>
        <v>#N/A</v>
      </c>
      <c r="E147" s="154" t="str">
        <f t="shared" si="3"/>
        <v>#N/A</v>
      </c>
      <c r="F147" s="155"/>
      <c r="G147" s="155"/>
      <c r="H147" s="155"/>
      <c r="I147" s="155">
        <f t="shared" si="4"/>
        <v>0.3517952186</v>
      </c>
      <c r="J147" s="156">
        <f>'input-from-OWID'!C146</f>
        <v>1022676956</v>
      </c>
      <c r="K147" s="156">
        <f>vlookup(B147,'imported-world-population'!$C$2:$D$470,2,false)</f>
        <v>2907023467</v>
      </c>
      <c r="L147" s="156"/>
      <c r="M147" s="156"/>
      <c r="N147" s="156"/>
    </row>
    <row r="148">
      <c r="A148" s="150" t="s">
        <v>91</v>
      </c>
      <c r="B148" s="151">
        <v>1959.0</v>
      </c>
      <c r="C148" s="152" t="str">
        <f t="shared" si="1"/>
        <v>#N/A</v>
      </c>
      <c r="D148" s="153" t="str">
        <f t="shared" si="2"/>
        <v>#N/A</v>
      </c>
      <c r="E148" s="154" t="str">
        <f t="shared" si="3"/>
        <v>#N/A</v>
      </c>
      <c r="F148" s="155"/>
      <c r="G148" s="155"/>
      <c r="H148" s="155"/>
      <c r="I148" s="155">
        <f t="shared" si="4"/>
        <v>0.3526047458</v>
      </c>
      <c r="J148" s="156">
        <f>'input-from-OWID'!C147</f>
        <v>1043794690</v>
      </c>
      <c r="K148" s="156">
        <f>vlookup(B148,'imported-world-population'!$C$2:$D$470,2,false)</f>
        <v>2960240049</v>
      </c>
      <c r="L148" s="156"/>
      <c r="M148" s="156"/>
      <c r="N148" s="156"/>
    </row>
    <row r="149">
      <c r="A149" s="150" t="s">
        <v>91</v>
      </c>
      <c r="B149" s="151">
        <v>1960.0</v>
      </c>
      <c r="C149" s="152" t="str">
        <f t="shared" si="1"/>
        <v>#N/A</v>
      </c>
      <c r="D149" s="153" t="str">
        <f t="shared" si="2"/>
        <v>#N/A</v>
      </c>
      <c r="E149" s="154" t="str">
        <f t="shared" si="3"/>
        <v>#N/A</v>
      </c>
      <c r="F149" s="155"/>
      <c r="G149" s="155"/>
      <c r="H149" s="155"/>
      <c r="I149" s="155">
        <f t="shared" si="4"/>
        <v>0.3856163524</v>
      </c>
      <c r="J149" s="156">
        <f>'input-from-OWID'!C148</f>
        <v>1162666403</v>
      </c>
      <c r="K149" s="156">
        <f>vlookup(B149,'imported-world-population'!$C$2:$D$470,2,false)</f>
        <v>3015085838</v>
      </c>
      <c r="L149" s="156"/>
      <c r="M149" s="156"/>
      <c r="N149" s="156"/>
    </row>
    <row r="150">
      <c r="A150" s="150" t="s">
        <v>91</v>
      </c>
      <c r="B150" s="151">
        <v>1961.0</v>
      </c>
      <c r="C150" s="152" t="str">
        <f t="shared" si="1"/>
        <v>#N/A</v>
      </c>
      <c r="D150" s="153" t="str">
        <f t="shared" si="2"/>
        <v>#N/A</v>
      </c>
      <c r="E150" s="154" t="str">
        <f t="shared" si="3"/>
        <v>#N/A</v>
      </c>
      <c r="F150" s="155"/>
      <c r="G150" s="155"/>
      <c r="H150" s="155"/>
      <c r="I150" s="155">
        <f t="shared" si="4"/>
        <v>0.3533847045</v>
      </c>
      <c r="J150" s="156">
        <f>'input-from-OWID'!C149</f>
        <v>1085464630</v>
      </c>
      <c r="K150" s="156">
        <f>vlookup(B150,'imported-world-population'!$C$2:$D$470,2,false)</f>
        <v>3071623124</v>
      </c>
      <c r="L150" s="156"/>
      <c r="M150" s="156"/>
      <c r="N150" s="156"/>
    </row>
    <row r="151">
      <c r="A151" s="150" t="s">
        <v>91</v>
      </c>
      <c r="B151" s="151">
        <v>1962.0</v>
      </c>
      <c r="C151" s="152" t="str">
        <f t="shared" si="1"/>
        <v>#N/A</v>
      </c>
      <c r="D151" s="153" t="str">
        <f t="shared" si="2"/>
        <v>#N/A</v>
      </c>
      <c r="E151" s="154" t="str">
        <f t="shared" si="3"/>
        <v>#N/A</v>
      </c>
      <c r="F151" s="155"/>
      <c r="G151" s="155"/>
      <c r="H151" s="155"/>
      <c r="I151" s="155">
        <f t="shared" si="4"/>
        <v>0.34954094</v>
      </c>
      <c r="J151" s="156">
        <f>'input-from-OWID'!C150</f>
        <v>1094061449</v>
      </c>
      <c r="K151" s="156">
        <f>vlookup(B151,'imported-world-population'!$C$2:$D$470,2,false)</f>
        <v>3129995156</v>
      </c>
      <c r="L151" s="156"/>
      <c r="M151" s="156"/>
      <c r="N151" s="156"/>
    </row>
    <row r="152">
      <c r="A152" s="150" t="s">
        <v>91</v>
      </c>
      <c r="B152" s="151">
        <v>1963.0</v>
      </c>
      <c r="C152" s="152" t="str">
        <f t="shared" si="1"/>
        <v>#N/A</v>
      </c>
      <c r="D152" s="153" t="str">
        <f t="shared" si="2"/>
        <v>#N/A</v>
      </c>
      <c r="E152" s="154" t="str">
        <f t="shared" si="3"/>
        <v>#N/A</v>
      </c>
      <c r="F152" s="155"/>
      <c r="G152" s="155"/>
      <c r="H152" s="155"/>
      <c r="I152" s="155">
        <f t="shared" si="4"/>
        <v>0.3470080119</v>
      </c>
      <c r="J152" s="156">
        <f>'input-from-OWID'!C151</f>
        <v>1107110387</v>
      </c>
      <c r="K152" s="156">
        <f>vlookup(B152,'imported-world-population'!$C$2:$D$470,2,false)</f>
        <v>3190446183</v>
      </c>
      <c r="L152" s="156"/>
      <c r="M152" s="156"/>
      <c r="N152" s="156"/>
    </row>
    <row r="153">
      <c r="A153" s="150" t="s">
        <v>91</v>
      </c>
      <c r="B153" s="151">
        <v>1964.0</v>
      </c>
      <c r="C153" s="152" t="str">
        <f t="shared" si="1"/>
        <v>#N/A</v>
      </c>
      <c r="D153" s="153" t="str">
        <f t="shared" si="2"/>
        <v>#N/A</v>
      </c>
      <c r="E153" s="154" t="str">
        <f t="shared" si="3"/>
        <v>#N/A</v>
      </c>
      <c r="F153" s="155"/>
      <c r="G153" s="155"/>
      <c r="H153" s="155"/>
      <c r="I153" s="155">
        <f t="shared" si="4"/>
        <v>0.3488160634</v>
      </c>
      <c r="J153" s="156">
        <f>'input-from-OWID'!C152</f>
        <v>1134790327</v>
      </c>
      <c r="K153" s="156">
        <f>vlookup(B153,'imported-world-population'!$C$2:$D$470,2,false)</f>
        <v>3253262811</v>
      </c>
      <c r="L153" s="156"/>
      <c r="M153" s="156"/>
      <c r="N153" s="156"/>
    </row>
    <row r="154">
      <c r="A154" s="150" t="s">
        <v>91</v>
      </c>
      <c r="B154" s="151">
        <v>1965.0</v>
      </c>
      <c r="C154" s="152" t="str">
        <f t="shared" si="1"/>
        <v>#N/A</v>
      </c>
      <c r="D154" s="153" t="str">
        <f t="shared" si="2"/>
        <v>#N/A</v>
      </c>
      <c r="E154" s="154" t="str">
        <f t="shared" si="3"/>
        <v>#N/A</v>
      </c>
      <c r="F154" s="155"/>
      <c r="G154" s="155"/>
      <c r="H154" s="155"/>
      <c r="I154" s="155">
        <f t="shared" si="4"/>
        <v>0.3511342341</v>
      </c>
      <c r="J154" s="156">
        <f>'input-from-OWID'!C153</f>
        <v>1165273471</v>
      </c>
      <c r="K154" s="156">
        <f>vlookup(B154,'imported-world-population'!$C$2:$D$470,2,false)</f>
        <v>3318598296</v>
      </c>
      <c r="L154" s="156"/>
      <c r="M154" s="156"/>
      <c r="N154" s="156"/>
    </row>
    <row r="155">
      <c r="A155" s="150" t="s">
        <v>91</v>
      </c>
      <c r="B155" s="151">
        <v>1966.0</v>
      </c>
      <c r="C155" s="152" t="str">
        <f t="shared" si="1"/>
        <v>#N/A</v>
      </c>
      <c r="D155" s="153" t="str">
        <f t="shared" si="2"/>
        <v>#N/A</v>
      </c>
      <c r="E155" s="154" t="str">
        <f t="shared" si="3"/>
        <v>#N/A</v>
      </c>
      <c r="F155" s="155"/>
      <c r="G155" s="155"/>
      <c r="H155" s="155"/>
      <c r="I155" s="155">
        <f t="shared" si="4"/>
        <v>0.3326295165</v>
      </c>
      <c r="J155" s="156">
        <f>'input-from-OWID'!C154</f>
        <v>1126461752</v>
      </c>
      <c r="K155" s="156">
        <f>vlookup(B155,'imported-world-population'!$C$2:$D$470,2,false)</f>
        <v>3386535759</v>
      </c>
      <c r="L155" s="156"/>
      <c r="M155" s="156"/>
      <c r="N155" s="156"/>
    </row>
    <row r="156">
      <c r="A156" s="150" t="s">
        <v>91</v>
      </c>
      <c r="B156" s="151">
        <v>1967.0</v>
      </c>
      <c r="C156" s="152" t="str">
        <f t="shared" si="1"/>
        <v>#N/A</v>
      </c>
      <c r="D156" s="153" t="str">
        <f t="shared" si="2"/>
        <v>#N/A</v>
      </c>
      <c r="E156" s="154" t="str">
        <f t="shared" si="3"/>
        <v>#N/A</v>
      </c>
      <c r="F156" s="155"/>
      <c r="G156" s="155"/>
      <c r="H156" s="155"/>
      <c r="I156" s="155">
        <f t="shared" si="4"/>
        <v>0.3306863763</v>
      </c>
      <c r="J156" s="156">
        <f>'input-from-OWID'!C155</f>
        <v>1143141395</v>
      </c>
      <c r="K156" s="156">
        <f>vlookup(B156,'imported-world-population'!$C$2:$D$470,2,false)</f>
        <v>3456874782</v>
      </c>
      <c r="L156" s="156"/>
      <c r="M156" s="156"/>
      <c r="N156" s="156"/>
    </row>
    <row r="157">
      <c r="A157" s="150" t="s">
        <v>91</v>
      </c>
      <c r="B157" s="151">
        <v>1968.0</v>
      </c>
      <c r="C157" s="152" t="str">
        <f t="shared" si="1"/>
        <v>#N/A</v>
      </c>
      <c r="D157" s="153" t="str">
        <f t="shared" si="2"/>
        <v>#N/A</v>
      </c>
      <c r="E157" s="154" t="str">
        <f t="shared" si="3"/>
        <v>#N/A</v>
      </c>
      <c r="F157" s="155"/>
      <c r="G157" s="155"/>
      <c r="H157" s="155"/>
      <c r="I157" s="155">
        <f t="shared" si="4"/>
        <v>0.3298143848</v>
      </c>
      <c r="J157" s="156">
        <f>'input-from-OWID'!C156</f>
        <v>1163953765</v>
      </c>
      <c r="K157" s="156">
        <f>vlookup(B157,'imported-world-population'!$C$2:$D$470,2,false)</f>
        <v>3529117645</v>
      </c>
      <c r="L157" s="156"/>
      <c r="M157" s="156"/>
      <c r="N157" s="156"/>
    </row>
    <row r="158">
      <c r="A158" s="150" t="s">
        <v>91</v>
      </c>
      <c r="B158" s="151">
        <v>1969.0</v>
      </c>
      <c r="C158" s="152" t="str">
        <f t="shared" si="1"/>
        <v>#N/A</v>
      </c>
      <c r="D158" s="153" t="str">
        <f t="shared" si="2"/>
        <v>#N/A</v>
      </c>
      <c r="E158" s="154" t="str">
        <f t="shared" si="3"/>
        <v>#N/A</v>
      </c>
      <c r="F158" s="155"/>
      <c r="G158" s="155"/>
      <c r="H158" s="155"/>
      <c r="I158" s="155">
        <f t="shared" si="4"/>
        <v>0.335473102</v>
      </c>
      <c r="J158" s="156">
        <f>'input-from-OWID'!C157</f>
        <v>1208569504</v>
      </c>
      <c r="K158" s="156">
        <f>vlookup(B158,'imported-world-population'!$C$2:$D$470,2,false)</f>
        <v>3602582433</v>
      </c>
      <c r="L158" s="156"/>
      <c r="M158" s="156"/>
      <c r="N158" s="156"/>
    </row>
    <row r="159">
      <c r="A159" s="150" t="s">
        <v>91</v>
      </c>
      <c r="B159" s="151">
        <v>1970.0</v>
      </c>
      <c r="C159" s="152" t="str">
        <f t="shared" si="1"/>
        <v>#N/A</v>
      </c>
      <c r="D159" s="153" t="str">
        <f t="shared" si="2"/>
        <v>#N/A</v>
      </c>
      <c r="E159" s="154" t="str">
        <f t="shared" si="3"/>
        <v>#N/A</v>
      </c>
      <c r="F159" s="155"/>
      <c r="G159" s="155"/>
      <c r="H159" s="155"/>
      <c r="I159" s="155">
        <f t="shared" si="4"/>
        <v>0.3340082473</v>
      </c>
      <c r="J159" s="156">
        <f>'input-from-OWID'!C158</f>
        <v>1228057430</v>
      </c>
      <c r="K159" s="156">
        <f>vlookup(B159,'imported-world-population'!$C$2:$D$470,2,false)</f>
        <v>3676727865</v>
      </c>
      <c r="L159" s="156"/>
      <c r="M159" s="156"/>
      <c r="N159" s="156"/>
    </row>
    <row r="160">
      <c r="A160" s="150" t="s">
        <v>91</v>
      </c>
      <c r="B160" s="151">
        <v>1971.0</v>
      </c>
      <c r="C160" s="152" t="str">
        <f t="shared" si="1"/>
        <v>#N/A</v>
      </c>
      <c r="D160" s="153" t="str">
        <f t="shared" si="2"/>
        <v>#N/A</v>
      </c>
      <c r="E160" s="154" t="str">
        <f t="shared" si="3"/>
        <v>#N/A</v>
      </c>
      <c r="F160" s="155"/>
      <c r="G160" s="155"/>
      <c r="H160" s="155"/>
      <c r="I160" s="155">
        <f t="shared" si="4"/>
        <v>0.3223981515</v>
      </c>
      <c r="J160" s="156">
        <f>'input-from-OWID'!C159</f>
        <v>1209462089</v>
      </c>
      <c r="K160" s="156">
        <f>vlookup(B160,'imported-world-population'!$C$2:$D$470,2,false)</f>
        <v>3751454788</v>
      </c>
      <c r="L160" s="156"/>
      <c r="M160" s="156"/>
      <c r="N160" s="156"/>
    </row>
    <row r="161">
      <c r="A161" s="150" t="s">
        <v>91</v>
      </c>
      <c r="B161" s="151">
        <v>1972.0</v>
      </c>
      <c r="C161" s="152" t="str">
        <f t="shared" si="1"/>
        <v>#N/A</v>
      </c>
      <c r="D161" s="153" t="str">
        <f t="shared" si="2"/>
        <v>#N/A</v>
      </c>
      <c r="E161" s="154" t="str">
        <f t="shared" si="3"/>
        <v>#N/A</v>
      </c>
      <c r="F161" s="155"/>
      <c r="G161" s="155"/>
      <c r="H161" s="155"/>
      <c r="I161" s="155">
        <f t="shared" si="4"/>
        <v>0.3391971302</v>
      </c>
      <c r="J161" s="156">
        <f>'input-from-OWID'!C160</f>
        <v>1298025201</v>
      </c>
      <c r="K161" s="156">
        <f>vlookup(B161,'imported-world-population'!$C$2:$D$470,2,false)</f>
        <v>3826757615</v>
      </c>
      <c r="L161" s="156"/>
      <c r="M161" s="156"/>
      <c r="N161" s="156"/>
    </row>
    <row r="162">
      <c r="A162" s="150" t="s">
        <v>91</v>
      </c>
      <c r="B162" s="151">
        <v>1973.0</v>
      </c>
      <c r="C162" s="152" t="str">
        <f t="shared" si="1"/>
        <v>#N/A</v>
      </c>
      <c r="D162" s="153" t="str">
        <f t="shared" si="2"/>
        <v>#N/A</v>
      </c>
      <c r="E162" s="154" t="str">
        <f t="shared" si="3"/>
        <v>#N/A</v>
      </c>
      <c r="F162" s="155"/>
      <c r="G162" s="155"/>
      <c r="H162" s="155"/>
      <c r="I162" s="155">
        <f t="shared" si="4"/>
        <v>0.3681215632</v>
      </c>
      <c r="J162" s="156">
        <f>'input-from-OWID'!C161</f>
        <v>1436526971</v>
      </c>
      <c r="K162" s="156">
        <f>vlookup(B162,'imported-world-population'!$C$2:$D$470,2,false)</f>
        <v>3902316828</v>
      </c>
      <c r="L162" s="156"/>
      <c r="M162" s="156"/>
      <c r="N162" s="156"/>
    </row>
    <row r="163">
      <c r="A163" s="150" t="s">
        <v>91</v>
      </c>
      <c r="B163" s="151">
        <v>1974.0</v>
      </c>
      <c r="C163" s="152" t="str">
        <f t="shared" si="1"/>
        <v>#N/A</v>
      </c>
      <c r="D163" s="153" t="str">
        <f t="shared" si="2"/>
        <v>#N/A</v>
      </c>
      <c r="E163" s="154" t="str">
        <f t="shared" si="3"/>
        <v>#N/A</v>
      </c>
      <c r="F163" s="155"/>
      <c r="G163" s="155"/>
      <c r="H163" s="155"/>
      <c r="I163" s="155">
        <f t="shared" si="4"/>
        <v>0.3497825073</v>
      </c>
      <c r="J163" s="156">
        <f>'input-from-OWID'!C162</f>
        <v>1391359180</v>
      </c>
      <c r="K163" s="156">
        <f>vlookup(B163,'imported-world-population'!$C$2:$D$470,2,false)</f>
        <v>3977783768</v>
      </c>
      <c r="L163" s="156"/>
      <c r="M163" s="156"/>
      <c r="N163" s="156"/>
    </row>
    <row r="164">
      <c r="A164" s="150" t="s">
        <v>91</v>
      </c>
      <c r="B164" s="151">
        <v>1975.0</v>
      </c>
      <c r="C164" s="152" t="str">
        <f t="shared" si="1"/>
        <v>#N/A</v>
      </c>
      <c r="D164" s="153" t="str">
        <f t="shared" si="2"/>
        <v>#N/A</v>
      </c>
      <c r="E164" s="154" t="str">
        <f t="shared" si="3"/>
        <v>#N/A</v>
      </c>
      <c r="F164" s="155"/>
      <c r="G164" s="155"/>
      <c r="H164" s="155"/>
      <c r="I164" s="155">
        <f t="shared" si="4"/>
        <v>0.3514764854</v>
      </c>
      <c r="J164" s="156">
        <f>'input-from-OWID'!C163</f>
        <v>1424518165</v>
      </c>
      <c r="K164" s="156">
        <f>vlookup(B164,'imported-world-population'!$C$2:$D$470,2,false)</f>
        <v>4052954392</v>
      </c>
      <c r="L164" s="156"/>
      <c r="M164" s="156"/>
      <c r="N164" s="156"/>
    </row>
    <row r="165">
      <c r="A165" s="150" t="s">
        <v>91</v>
      </c>
      <c r="B165" s="151">
        <v>1976.0</v>
      </c>
      <c r="C165" s="152" t="str">
        <f t="shared" si="1"/>
        <v>#N/A</v>
      </c>
      <c r="D165" s="153" t="str">
        <f t="shared" si="2"/>
        <v>#N/A</v>
      </c>
      <c r="E165" s="154" t="str">
        <f t="shared" si="3"/>
        <v>#N/A</v>
      </c>
      <c r="F165" s="155"/>
      <c r="G165" s="155"/>
      <c r="H165" s="155"/>
      <c r="I165" s="155">
        <f t="shared" si="4"/>
        <v>0.3469036814</v>
      </c>
      <c r="J165" s="156">
        <f>'input-from-OWID'!C164</f>
        <v>1431898303</v>
      </c>
      <c r="K165" s="156">
        <f>vlookup(B165,'imported-world-population'!$C$2:$D$470,2,false)</f>
        <v>4127653812</v>
      </c>
      <c r="L165" s="156"/>
      <c r="M165" s="156"/>
      <c r="N165" s="156"/>
    </row>
    <row r="166">
      <c r="A166" s="150" t="s">
        <v>91</v>
      </c>
      <c r="B166" s="151">
        <v>1977.0</v>
      </c>
      <c r="C166" s="152" t="str">
        <f t="shared" si="1"/>
        <v>#N/A</v>
      </c>
      <c r="D166" s="153" t="str">
        <f t="shared" si="2"/>
        <v>#N/A</v>
      </c>
      <c r="E166" s="154" t="str">
        <f t="shared" si="3"/>
        <v>#N/A</v>
      </c>
      <c r="F166" s="155"/>
      <c r="G166" s="155"/>
      <c r="H166" s="155"/>
      <c r="I166" s="155">
        <f t="shared" si="4"/>
        <v>0.3292726123</v>
      </c>
      <c r="J166" s="156">
        <f>'input-from-OWID'!C165</f>
        <v>1383616957</v>
      </c>
      <c r="K166" s="156">
        <f>vlookup(B166,'imported-world-population'!$C$2:$D$470,2,false)</f>
        <v>4202040817</v>
      </c>
      <c r="L166" s="156"/>
      <c r="M166" s="156"/>
      <c r="N166" s="156"/>
    </row>
    <row r="167">
      <c r="A167" s="150" t="s">
        <v>91</v>
      </c>
      <c r="B167" s="151">
        <v>1978.0</v>
      </c>
      <c r="C167" s="152" t="str">
        <f t="shared" si="1"/>
        <v>#N/A</v>
      </c>
      <c r="D167" s="153" t="str">
        <f t="shared" si="2"/>
        <v>#N/A</v>
      </c>
      <c r="E167" s="154" t="str">
        <f t="shared" si="3"/>
        <v>#N/A</v>
      </c>
      <c r="F167" s="155"/>
      <c r="G167" s="155"/>
      <c r="H167" s="155"/>
      <c r="I167" s="155">
        <f t="shared" si="4"/>
        <v>0.3387728976</v>
      </c>
      <c r="J167" s="156">
        <f>'input-from-OWID'!C166</f>
        <v>1448822136</v>
      </c>
      <c r="K167" s="156">
        <f>vlookup(B167,'imported-world-population'!$C$2:$D$470,2,false)</f>
        <v>4276676636</v>
      </c>
      <c r="L167" s="156"/>
      <c r="M167" s="156"/>
      <c r="N167" s="156"/>
    </row>
    <row r="168">
      <c r="A168" s="150" t="s">
        <v>91</v>
      </c>
      <c r="B168" s="151">
        <v>1979.0</v>
      </c>
      <c r="C168" s="152" t="str">
        <f t="shared" si="1"/>
        <v>#N/A</v>
      </c>
      <c r="D168" s="153" t="str">
        <f t="shared" si="2"/>
        <v>#N/A</v>
      </c>
      <c r="E168" s="154" t="str">
        <f t="shared" si="3"/>
        <v>#N/A</v>
      </c>
      <c r="F168" s="155"/>
      <c r="G168" s="155"/>
      <c r="H168" s="155"/>
      <c r="I168" s="155">
        <f t="shared" si="4"/>
        <v>0.3593405812</v>
      </c>
      <c r="J168" s="156">
        <f>'input-from-OWID'!C167</f>
        <v>1563976120</v>
      </c>
      <c r="K168" s="156">
        <f>vlookup(B168,'imported-world-population'!$C$2:$D$470,2,false)</f>
        <v>4352350393</v>
      </c>
      <c r="L168" s="156"/>
      <c r="M168" s="156"/>
      <c r="N168" s="156"/>
    </row>
    <row r="169">
      <c r="A169" s="150" t="s">
        <v>91</v>
      </c>
      <c r="B169" s="151">
        <v>1980.0</v>
      </c>
      <c r="C169" s="152" t="str">
        <f t="shared" si="1"/>
        <v>#N/A</v>
      </c>
      <c r="D169" s="153" t="str">
        <f t="shared" si="2"/>
        <v>#N/A</v>
      </c>
      <c r="E169" s="154" t="str">
        <f t="shared" si="3"/>
        <v>#N/A</v>
      </c>
      <c r="F169" s="155"/>
      <c r="G169" s="155"/>
      <c r="H169" s="155"/>
      <c r="I169" s="155">
        <f t="shared" si="4"/>
        <v>0.3529179419</v>
      </c>
      <c r="J169" s="156">
        <f>'input-from-OWID'!C168</f>
        <v>1563306543</v>
      </c>
      <c r="K169" s="156">
        <f>vlookup(B169,'imported-world-population'!$C$2:$D$470,2,false)</f>
        <v>4429660149</v>
      </c>
      <c r="L169" s="156"/>
      <c r="M169" s="156"/>
      <c r="N169" s="156"/>
    </row>
    <row r="170">
      <c r="A170" s="150" t="s">
        <v>91</v>
      </c>
      <c r="B170" s="151">
        <v>1981.0</v>
      </c>
      <c r="C170" s="152" t="str">
        <f t="shared" si="1"/>
        <v>#N/A</v>
      </c>
      <c r="D170" s="153" t="str">
        <f t="shared" si="2"/>
        <v>#N/A</v>
      </c>
      <c r="E170" s="154" t="str">
        <f t="shared" si="3"/>
        <v>#N/A</v>
      </c>
      <c r="F170" s="155"/>
      <c r="G170" s="155"/>
      <c r="H170" s="155"/>
      <c r="I170" s="155">
        <f t="shared" si="4"/>
        <v>0.3499632974</v>
      </c>
      <c r="J170" s="156">
        <f>'input-from-OWID'!C169</f>
        <v>1577844954</v>
      </c>
      <c r="K170" s="156">
        <f>vlookup(B170,'imported-world-population'!$C$2:$D$470,2,false)</f>
        <v>4508601232</v>
      </c>
      <c r="L170" s="156"/>
      <c r="M170" s="156"/>
      <c r="N170" s="156"/>
    </row>
    <row r="171">
      <c r="A171" s="150" t="s">
        <v>91</v>
      </c>
      <c r="B171" s="151">
        <v>1982.0</v>
      </c>
      <c r="C171" s="152" t="str">
        <f t="shared" si="1"/>
        <v>#N/A</v>
      </c>
      <c r="D171" s="153" t="str">
        <f t="shared" si="2"/>
        <v>#N/A</v>
      </c>
      <c r="E171" s="154" t="str">
        <f t="shared" si="3"/>
        <v>#N/A</v>
      </c>
      <c r="F171" s="155"/>
      <c r="G171" s="155"/>
      <c r="H171" s="155"/>
      <c r="I171" s="155">
        <f t="shared" si="4"/>
        <v>0.3480730674</v>
      </c>
      <c r="J171" s="156">
        <f>'input-from-OWID'!C170</f>
        <v>1597327226</v>
      </c>
      <c r="K171" s="156">
        <f>vlookup(B171,'imported-world-population'!$C$2:$D$470,2,false)</f>
        <v>4589057229</v>
      </c>
      <c r="L171" s="156"/>
      <c r="M171" s="156"/>
      <c r="N171" s="156"/>
    </row>
    <row r="172">
      <c r="A172" s="150" t="s">
        <v>91</v>
      </c>
      <c r="B172" s="151">
        <v>1983.0</v>
      </c>
      <c r="C172" s="152" t="str">
        <f t="shared" si="1"/>
        <v>#N/A</v>
      </c>
      <c r="D172" s="153" t="str">
        <f t="shared" si="2"/>
        <v>#N/A</v>
      </c>
      <c r="E172" s="154" t="str">
        <f t="shared" si="3"/>
        <v>#N/A</v>
      </c>
      <c r="F172" s="155"/>
      <c r="G172" s="155"/>
      <c r="H172" s="155"/>
      <c r="I172" s="155">
        <f t="shared" si="4"/>
        <v>0.363882164</v>
      </c>
      <c r="J172" s="156">
        <f>'input-from-OWID'!C171</f>
        <v>1699821891</v>
      </c>
      <c r="K172" s="156">
        <f>vlookup(B172,'imported-world-population'!$C$2:$D$470,2,false)</f>
        <v>4671352595</v>
      </c>
      <c r="L172" s="156"/>
      <c r="M172" s="156"/>
      <c r="N172" s="156"/>
    </row>
    <row r="173">
      <c r="A173" s="150" t="s">
        <v>91</v>
      </c>
      <c r="B173" s="151">
        <v>1984.0</v>
      </c>
      <c r="C173" s="152" t="str">
        <f t="shared" si="1"/>
        <v>#N/A</v>
      </c>
      <c r="D173" s="153" t="str">
        <f t="shared" si="2"/>
        <v>#N/A</v>
      </c>
      <c r="E173" s="154" t="str">
        <f t="shared" si="3"/>
        <v>#N/A</v>
      </c>
      <c r="F173" s="155"/>
      <c r="G173" s="155"/>
      <c r="H173" s="155"/>
      <c r="I173" s="155">
        <f t="shared" si="4"/>
        <v>0.3466453886</v>
      </c>
      <c r="J173" s="156">
        <f>'input-from-OWID'!C172</f>
        <v>1648595085</v>
      </c>
      <c r="K173" s="156">
        <f>vlookup(B173,'imported-world-population'!$C$2:$D$470,2,false)</f>
        <v>4755854655</v>
      </c>
      <c r="L173" s="156"/>
      <c r="M173" s="156"/>
      <c r="N173" s="156"/>
    </row>
    <row r="174">
      <c r="A174" s="150" t="s">
        <v>91</v>
      </c>
      <c r="B174" s="151">
        <v>1985.0</v>
      </c>
      <c r="C174" s="152" t="str">
        <f t="shared" si="1"/>
        <v>#N/A</v>
      </c>
      <c r="D174" s="153" t="str">
        <f t="shared" si="2"/>
        <v>#N/A</v>
      </c>
      <c r="E174" s="154" t="str">
        <f t="shared" si="3"/>
        <v>#N/A</v>
      </c>
      <c r="F174" s="155"/>
      <c r="G174" s="155"/>
      <c r="H174" s="155"/>
      <c r="I174" s="155">
        <f t="shared" si="4"/>
        <v>0.3736239988</v>
      </c>
      <c r="J174" s="156">
        <f>'input-from-OWID'!C173</f>
        <v>1809351009</v>
      </c>
      <c r="K174" s="156">
        <f>vlookup(B174,'imported-world-population'!$C$2:$D$470,2,false)</f>
        <v>4842705541</v>
      </c>
      <c r="L174" s="156"/>
      <c r="M174" s="156"/>
      <c r="N174" s="156"/>
    </row>
    <row r="175">
      <c r="A175" s="150" t="s">
        <v>91</v>
      </c>
      <c r="B175" s="151">
        <v>1986.0</v>
      </c>
      <c r="C175" s="152" t="str">
        <f t="shared" si="1"/>
        <v>#N/A</v>
      </c>
      <c r="D175" s="153" t="str">
        <f t="shared" si="2"/>
        <v>#N/A</v>
      </c>
      <c r="E175" s="154" t="str">
        <f t="shared" si="3"/>
        <v>#N/A</v>
      </c>
      <c r="F175" s="155"/>
      <c r="G175" s="155"/>
      <c r="H175" s="155"/>
      <c r="I175" s="155">
        <f t="shared" si="4"/>
        <v>0.3765417712</v>
      </c>
      <c r="J175" s="156">
        <f>'input-from-OWID'!C174</f>
        <v>1857146529</v>
      </c>
      <c r="K175" s="156">
        <f>vlookup(B175,'imported-world-population'!$C$2:$D$470,2,false)</f>
        <v>4932112905</v>
      </c>
      <c r="L175" s="156"/>
      <c r="M175" s="156"/>
      <c r="N175" s="156"/>
    </row>
    <row r="176">
      <c r="A176" s="150" t="s">
        <v>91</v>
      </c>
      <c r="B176" s="151">
        <v>1987.0</v>
      </c>
      <c r="C176" s="152" t="str">
        <f t="shared" si="1"/>
        <v>#N/A</v>
      </c>
      <c r="D176" s="153" t="str">
        <f t="shared" si="2"/>
        <v>#N/A</v>
      </c>
      <c r="E176" s="154" t="str">
        <f t="shared" si="3"/>
        <v>#N/A</v>
      </c>
      <c r="F176" s="155"/>
      <c r="G176" s="155"/>
      <c r="H176" s="155"/>
      <c r="I176" s="155">
        <f t="shared" si="4"/>
        <v>0.3866887322</v>
      </c>
      <c r="J176" s="156">
        <f>'input-from-OWID'!C175</f>
        <v>1942599438</v>
      </c>
      <c r="K176" s="156">
        <f>vlookup(B176,'imported-world-population'!$C$2:$D$470,2,false)</f>
        <v>5023677382</v>
      </c>
      <c r="L176" s="156"/>
      <c r="M176" s="156"/>
      <c r="N176" s="156"/>
    </row>
    <row r="177">
      <c r="A177" s="150" t="s">
        <v>91</v>
      </c>
      <c r="B177" s="151">
        <v>1988.0</v>
      </c>
      <c r="C177" s="152" t="str">
        <f t="shared" si="1"/>
        <v>#N/A</v>
      </c>
      <c r="D177" s="153" t="str">
        <f t="shared" si="2"/>
        <v>#N/A</v>
      </c>
      <c r="E177" s="154" t="str">
        <f t="shared" si="3"/>
        <v>#N/A</v>
      </c>
      <c r="F177" s="155"/>
      <c r="G177" s="155"/>
      <c r="H177" s="155"/>
      <c r="I177" s="155">
        <f t="shared" si="4"/>
        <v>0.4145205872</v>
      </c>
      <c r="J177" s="156">
        <f>'input-from-OWID'!C176</f>
        <v>2120757228</v>
      </c>
      <c r="K177" s="156">
        <f>vlookup(B177,'imported-world-population'!$C$2:$D$470,2,false)</f>
        <v>5116168638</v>
      </c>
      <c r="L177" s="156"/>
      <c r="M177" s="156"/>
      <c r="N177" s="156"/>
    </row>
    <row r="178">
      <c r="A178" s="150" t="s">
        <v>91</v>
      </c>
      <c r="B178" s="151">
        <v>1989.0</v>
      </c>
      <c r="C178" s="152" t="str">
        <f t="shared" si="1"/>
        <v>#N/A</v>
      </c>
      <c r="D178" s="153" t="str">
        <f t="shared" si="2"/>
        <v>#N/A</v>
      </c>
      <c r="E178" s="154" t="str">
        <f t="shared" si="3"/>
        <v>#N/A</v>
      </c>
      <c r="F178" s="155"/>
      <c r="G178" s="155"/>
      <c r="H178" s="155"/>
      <c r="I178" s="155">
        <f t="shared" si="4"/>
        <v>0.4137669073</v>
      </c>
      <c r="J178" s="156">
        <f>'input-from-OWID'!C177</f>
        <v>2154869288</v>
      </c>
      <c r="K178" s="156">
        <f>vlookup(B178,'imported-world-population'!$C$2:$D$470,2,false)</f>
        <v>5207930480</v>
      </c>
      <c r="L178" s="156"/>
      <c r="M178" s="156"/>
      <c r="N178" s="156"/>
    </row>
    <row r="179">
      <c r="A179" s="150" t="s">
        <v>91</v>
      </c>
      <c r="B179" s="151">
        <v>1990.0</v>
      </c>
      <c r="C179" s="152" t="str">
        <f t="shared" si="1"/>
        <v>#N/A</v>
      </c>
      <c r="D179" s="153" t="str">
        <f t="shared" si="2"/>
        <v>#N/A</v>
      </c>
      <c r="E179" s="154" t="str">
        <f t="shared" si="3"/>
        <v>#N/A</v>
      </c>
      <c r="F179" s="155"/>
      <c r="G179" s="155"/>
      <c r="H179" s="155"/>
      <c r="I179" s="155">
        <f t="shared" si="4"/>
        <v>0.4342256806</v>
      </c>
      <c r="J179" s="156">
        <f>'input-from-OWID'!C178</f>
        <v>2300414255</v>
      </c>
      <c r="K179" s="156">
        <f>vlookup(B179,'imported-world-population'!$C$2:$D$470,2,false)</f>
        <v>5297738844</v>
      </c>
      <c r="L179" s="156"/>
      <c r="M179" s="156"/>
      <c r="N179" s="156"/>
    </row>
    <row r="180">
      <c r="A180" s="150" t="s">
        <v>91</v>
      </c>
      <c r="B180" s="151">
        <v>1991.0</v>
      </c>
      <c r="C180" s="152" t="str">
        <f t="shared" si="1"/>
        <v>#N/A</v>
      </c>
      <c r="D180" s="153" t="str">
        <f t="shared" si="2"/>
        <v>#N/A</v>
      </c>
      <c r="E180" s="154" t="str">
        <f t="shared" si="3"/>
        <v>#N/A</v>
      </c>
      <c r="F180" s="155"/>
      <c r="G180" s="155"/>
      <c r="H180" s="155"/>
      <c r="I180" s="155">
        <f t="shared" si="4"/>
        <v>0.4763036219</v>
      </c>
      <c r="J180" s="156">
        <f>'input-from-OWID'!C179</f>
        <v>2564976917</v>
      </c>
      <c r="K180" s="156">
        <f>vlookup(B180,'imported-world-population'!$C$2:$D$470,2,false)</f>
        <v>5385171977</v>
      </c>
      <c r="L180" s="156"/>
      <c r="M180" s="156"/>
      <c r="N180" s="156"/>
    </row>
    <row r="181">
      <c r="A181" s="150" t="s">
        <v>91</v>
      </c>
      <c r="B181" s="151">
        <v>1992.0</v>
      </c>
      <c r="C181" s="152" t="str">
        <f t="shared" si="1"/>
        <v>#N/A</v>
      </c>
      <c r="D181" s="153" t="str">
        <f t="shared" si="2"/>
        <v>#N/A</v>
      </c>
      <c r="E181" s="154" t="str">
        <f t="shared" si="3"/>
        <v>#N/A</v>
      </c>
      <c r="F181" s="155"/>
      <c r="G181" s="155"/>
      <c r="H181" s="155"/>
      <c r="I181" s="155">
        <f t="shared" si="4"/>
        <v>0.4999232753</v>
      </c>
      <c r="J181" s="156">
        <f>'input-from-OWID'!C180</f>
        <v>2734804505</v>
      </c>
      <c r="K181" s="156">
        <f>vlookup(B181,'imported-world-population'!$C$2:$D$470,2,false)</f>
        <v>5470448447</v>
      </c>
      <c r="L181" s="156"/>
      <c r="M181" s="156"/>
      <c r="N181" s="156"/>
    </row>
    <row r="182">
      <c r="A182" s="150" t="s">
        <v>91</v>
      </c>
      <c r="B182" s="151">
        <v>1993.0</v>
      </c>
      <c r="C182" s="152" t="str">
        <f t="shared" si="1"/>
        <v>#N/A</v>
      </c>
      <c r="D182" s="153" t="str">
        <f t="shared" si="2"/>
        <v>#N/A</v>
      </c>
      <c r="E182" s="154" t="str">
        <f t="shared" si="3"/>
        <v>#N/A</v>
      </c>
      <c r="F182" s="155"/>
      <c r="G182" s="155"/>
      <c r="H182" s="155"/>
      <c r="I182" s="155">
        <f t="shared" si="4"/>
        <v>0.4942778849</v>
      </c>
      <c r="J182" s="156">
        <f>'input-from-OWID'!C181</f>
        <v>2745115305</v>
      </c>
      <c r="K182" s="156">
        <f>vlookup(B182,'imported-world-population'!$C$2:$D$470,2,false)</f>
        <v>5553789455</v>
      </c>
      <c r="L182" s="156"/>
      <c r="M182" s="156"/>
      <c r="N182" s="156"/>
    </row>
    <row r="183">
      <c r="A183" s="150" t="s">
        <v>91</v>
      </c>
      <c r="B183" s="151">
        <v>1994.0</v>
      </c>
      <c r="C183" s="152" t="str">
        <f t="shared" si="1"/>
        <v>#N/A</v>
      </c>
      <c r="D183" s="153" t="str">
        <f t="shared" si="2"/>
        <v>#N/A</v>
      </c>
      <c r="E183" s="154" t="str">
        <f t="shared" si="3"/>
        <v>#N/A</v>
      </c>
      <c r="F183" s="155"/>
      <c r="G183" s="155"/>
      <c r="H183" s="155"/>
      <c r="I183" s="155">
        <f t="shared" si="4"/>
        <v>0.5048823045</v>
      </c>
      <c r="J183" s="156">
        <f>'input-from-OWID'!C182</f>
        <v>2845350123</v>
      </c>
      <c r="K183" s="156">
        <f>vlookup(B183,'imported-world-population'!$C$2:$D$470,2,false)</f>
        <v>5635670131</v>
      </c>
      <c r="L183" s="156"/>
      <c r="M183" s="156"/>
      <c r="N183" s="156"/>
    </row>
    <row r="184">
      <c r="A184" s="150" t="s">
        <v>91</v>
      </c>
      <c r="B184" s="151">
        <v>1995.0</v>
      </c>
      <c r="C184" s="152" t="str">
        <f t="shared" si="1"/>
        <v>#N/A</v>
      </c>
      <c r="D184" s="153" t="str">
        <f t="shared" si="2"/>
        <v>#N/A</v>
      </c>
      <c r="E184" s="154" t="str">
        <f t="shared" si="3"/>
        <v>#N/A</v>
      </c>
      <c r="F184" s="155"/>
      <c r="G184" s="155"/>
      <c r="H184" s="155"/>
      <c r="I184" s="155">
        <f t="shared" si="4"/>
        <v>0.5023943776</v>
      </c>
      <c r="J184" s="156">
        <f>'input-from-OWID'!C183</f>
        <v>2871930422</v>
      </c>
      <c r="K184" s="156">
        <f>vlookup(B184,'imported-world-population'!$C$2:$D$470,2,false)</f>
        <v>5716485992</v>
      </c>
      <c r="L184" s="156"/>
      <c r="M184" s="156"/>
      <c r="N184" s="156"/>
    </row>
    <row r="185">
      <c r="A185" s="150" t="s">
        <v>91</v>
      </c>
      <c r="B185" s="151">
        <v>1996.0</v>
      </c>
      <c r="C185" s="152" t="str">
        <f t="shared" si="1"/>
        <v>#N/A</v>
      </c>
      <c r="D185" s="153" t="str">
        <f t="shared" si="2"/>
        <v>#N/A</v>
      </c>
      <c r="E185" s="154" t="str">
        <f t="shared" si="3"/>
        <v>#N/A</v>
      </c>
      <c r="F185" s="155"/>
      <c r="G185" s="155"/>
      <c r="H185" s="155"/>
      <c r="I185" s="155">
        <f t="shared" si="4"/>
        <v>0.5062366535</v>
      </c>
      <c r="J185" s="156">
        <f>'input-from-OWID'!C184</f>
        <v>2934270227</v>
      </c>
      <c r="K185" s="156">
        <f>vlookup(B185,'imported-world-population'!$C$2:$D$470,2,false)</f>
        <v>5796242146</v>
      </c>
      <c r="L185" s="156"/>
      <c r="M185" s="156"/>
      <c r="N185" s="156"/>
    </row>
    <row r="186">
      <c r="A186" s="150" t="s">
        <v>91</v>
      </c>
      <c r="B186" s="151">
        <v>1997.0</v>
      </c>
      <c r="C186" s="152" t="str">
        <f t="shared" si="1"/>
        <v>#N/A</v>
      </c>
      <c r="D186" s="153" t="str">
        <f t="shared" si="2"/>
        <v>#N/A</v>
      </c>
      <c r="E186" s="154" t="str">
        <f t="shared" si="3"/>
        <v>#N/A</v>
      </c>
      <c r="F186" s="155"/>
      <c r="G186" s="155"/>
      <c r="H186" s="155"/>
      <c r="I186" s="155">
        <f t="shared" si="4"/>
        <v>0.5224726182</v>
      </c>
      <c r="J186" s="156">
        <f>'input-from-OWID'!C185</f>
        <v>3069482118</v>
      </c>
      <c r="K186" s="156">
        <f>vlookup(B186,'imported-world-population'!$C$2:$D$470,2,false)</f>
        <v>5874914801</v>
      </c>
      <c r="L186" s="156"/>
      <c r="M186" s="156"/>
      <c r="N186" s="156"/>
    </row>
    <row r="187">
      <c r="A187" s="150" t="s">
        <v>91</v>
      </c>
      <c r="B187" s="151">
        <v>1998.0</v>
      </c>
      <c r="C187" s="152" t="str">
        <f t="shared" si="1"/>
        <v>#N/A</v>
      </c>
      <c r="D187" s="153" t="str">
        <f t="shared" si="2"/>
        <v>#N/A</v>
      </c>
      <c r="E187" s="154" t="str">
        <f t="shared" si="3"/>
        <v>#N/A</v>
      </c>
      <c r="F187" s="155"/>
      <c r="G187" s="155"/>
      <c r="H187" s="155"/>
      <c r="I187" s="155">
        <f t="shared" si="4"/>
        <v>0.5222394182</v>
      </c>
      <c r="J187" s="156">
        <f>'input-from-OWID'!C186</f>
        <v>3108825190</v>
      </c>
      <c r="K187" s="156">
        <f>vlookup(B187,'imported-world-population'!$C$2:$D$470,2,false)</f>
        <v>5952873494</v>
      </c>
      <c r="L187" s="156"/>
      <c r="M187" s="156"/>
      <c r="N187" s="156"/>
    </row>
    <row r="188">
      <c r="A188" s="150" t="s">
        <v>91</v>
      </c>
      <c r="B188" s="151">
        <v>1999.0</v>
      </c>
      <c r="C188" s="152" t="str">
        <f t="shared" si="1"/>
        <v>#N/A</v>
      </c>
      <c r="D188" s="153" t="str">
        <f t="shared" si="2"/>
        <v>#N/A</v>
      </c>
      <c r="E188" s="154" t="str">
        <f t="shared" si="3"/>
        <v>#N/A</v>
      </c>
      <c r="F188" s="155"/>
      <c r="G188" s="155"/>
      <c r="H188" s="155"/>
      <c r="I188" s="155">
        <f t="shared" si="4"/>
        <v>0.5364824711</v>
      </c>
      <c r="J188" s="156">
        <f>'input-from-OWID'!C187</f>
        <v>3235302507</v>
      </c>
      <c r="K188" s="156">
        <f>vlookup(B188,'imported-world-population'!$C$2:$D$470,2,false)</f>
        <v>6030583814</v>
      </c>
      <c r="L188" s="156"/>
      <c r="M188" s="156"/>
      <c r="N188" s="156"/>
    </row>
    <row r="189">
      <c r="A189" s="150" t="s">
        <v>91</v>
      </c>
      <c r="B189" s="151">
        <v>2000.0</v>
      </c>
      <c r="C189" s="152" t="str">
        <f t="shared" si="1"/>
        <v>#N/A</v>
      </c>
      <c r="D189" s="153" t="str">
        <f t="shared" si="2"/>
        <v>#N/A</v>
      </c>
      <c r="E189" s="154" t="str">
        <f t="shared" si="3"/>
        <v>#N/A</v>
      </c>
      <c r="F189" s="155"/>
      <c r="G189" s="155"/>
      <c r="H189" s="155"/>
      <c r="I189" s="155">
        <f t="shared" si="4"/>
        <v>0.5624273292</v>
      </c>
      <c r="J189" s="156">
        <f>'input-from-OWID'!C188</f>
        <v>3435545000</v>
      </c>
      <c r="K189" s="156">
        <f>vlookup(B189,'imported-world-population'!$C$2:$D$470,2,false)</f>
        <v>6108424718</v>
      </c>
      <c r="L189" s="156"/>
      <c r="M189" s="156"/>
      <c r="N189" s="156"/>
    </row>
    <row r="190">
      <c r="A190" s="150" t="s">
        <v>91</v>
      </c>
      <c r="B190" s="151">
        <v>2001.0</v>
      </c>
      <c r="C190" s="152" t="str">
        <f t="shared" si="1"/>
        <v>#N/A</v>
      </c>
      <c r="D190" s="153" t="str">
        <f t="shared" si="2"/>
        <v>#N/A</v>
      </c>
      <c r="E190" s="154" t="str">
        <f t="shared" si="3"/>
        <v>#N/A</v>
      </c>
      <c r="F190" s="155"/>
      <c r="G190" s="155"/>
      <c r="H190" s="155"/>
      <c r="I190" s="155">
        <f t="shared" si="4"/>
        <v>0.5707654035</v>
      </c>
      <c r="J190" s="156">
        <f>'input-from-OWID'!C189</f>
        <v>3531064744</v>
      </c>
      <c r="K190" s="156">
        <f>vlookup(B190,'imported-world-population'!$C$2:$D$470,2,false)</f>
        <v>6186543057</v>
      </c>
      <c r="L190" s="156"/>
      <c r="M190" s="156"/>
      <c r="N190" s="156"/>
    </row>
    <row r="191">
      <c r="A191" s="150" t="s">
        <v>91</v>
      </c>
      <c r="B191" s="151">
        <v>2002.0</v>
      </c>
      <c r="C191" s="152" t="str">
        <f t="shared" si="1"/>
        <v>#N/A</v>
      </c>
      <c r="D191" s="153" t="str">
        <f t="shared" si="2"/>
        <v>#N/A</v>
      </c>
      <c r="E191" s="154" t="str">
        <f t="shared" si="3"/>
        <v>#N/A</v>
      </c>
      <c r="F191" s="155"/>
      <c r="G191" s="155"/>
      <c r="H191" s="155"/>
      <c r="I191" s="155">
        <f t="shared" si="4"/>
        <v>0.5719599825</v>
      </c>
      <c r="J191" s="156">
        <f>'input-from-OWID'!C190</f>
        <v>3583332380</v>
      </c>
      <c r="K191" s="156">
        <f>vlookup(B191,'imported-world-population'!$C$2:$D$470,2,false)</f>
        <v>6265005402</v>
      </c>
      <c r="L191" s="156"/>
      <c r="M191" s="156"/>
      <c r="N191" s="156"/>
    </row>
    <row r="192">
      <c r="A192" s="150" t="s">
        <v>91</v>
      </c>
      <c r="B192" s="151">
        <v>2003.0</v>
      </c>
      <c r="C192" s="152" t="str">
        <f t="shared" si="1"/>
        <v>#N/A</v>
      </c>
      <c r="D192" s="153" t="str">
        <f t="shared" si="2"/>
        <v>#N/A</v>
      </c>
      <c r="E192" s="154" t="str">
        <f t="shared" si="3"/>
        <v>#N/A</v>
      </c>
      <c r="F192" s="155"/>
      <c r="G192" s="155"/>
      <c r="H192" s="155"/>
      <c r="I192" s="155">
        <f t="shared" si="4"/>
        <v>0.5682700587</v>
      </c>
      <c r="J192" s="156">
        <f>'input-from-OWID'!C191</f>
        <v>3605107120</v>
      </c>
      <c r="K192" s="156">
        <f>vlookup(B192,'imported-world-population'!$C$2:$D$470,2,false)</f>
        <v>6344003287</v>
      </c>
      <c r="L192" s="156"/>
      <c r="M192" s="156"/>
      <c r="N192" s="156"/>
    </row>
    <row r="193">
      <c r="A193" s="150" t="s">
        <v>91</v>
      </c>
      <c r="B193" s="151">
        <v>2004.0</v>
      </c>
      <c r="C193" s="152" t="str">
        <f t="shared" si="1"/>
        <v>#N/A</v>
      </c>
      <c r="D193" s="153" t="str">
        <f t="shared" si="2"/>
        <v>#N/A</v>
      </c>
      <c r="E193" s="154" t="str">
        <f t="shared" si="3"/>
        <v>#N/A</v>
      </c>
      <c r="F193" s="155"/>
      <c r="G193" s="155"/>
      <c r="H193" s="155"/>
      <c r="I193" s="155">
        <f t="shared" si="4"/>
        <v>0.5724491156</v>
      </c>
      <c r="J193" s="156">
        <f>'input-from-OWID'!C192</f>
        <v>3677252816</v>
      </c>
      <c r="K193" s="156">
        <f>vlookup(B193,'imported-world-population'!$C$2:$D$470,2,false)</f>
        <v>6423719971</v>
      </c>
      <c r="L193" s="156"/>
      <c r="M193" s="156"/>
      <c r="N193" s="156"/>
    </row>
    <row r="194">
      <c r="A194" s="150" t="s">
        <v>91</v>
      </c>
      <c r="B194" s="151">
        <v>2005.0</v>
      </c>
      <c r="C194" s="152" t="str">
        <f t="shared" si="1"/>
        <v>#N/A</v>
      </c>
      <c r="D194" s="153" t="str">
        <f t="shared" si="2"/>
        <v>#N/A</v>
      </c>
      <c r="E194" s="154" t="str">
        <f t="shared" si="3"/>
        <v>#N/A</v>
      </c>
      <c r="F194" s="155"/>
      <c r="G194" s="155"/>
      <c r="H194" s="155"/>
      <c r="I194" s="155">
        <f t="shared" si="4"/>
        <v>0.573646199</v>
      </c>
      <c r="J194" s="156">
        <f>'input-from-OWID'!C193</f>
        <v>3731156069</v>
      </c>
      <c r="K194" s="156">
        <f>vlookup(B194,'imported-world-population'!$C$2:$D$470,2,false)</f>
        <v>6504280993</v>
      </c>
      <c r="L194" s="156"/>
      <c r="M194" s="156"/>
      <c r="N194" s="156"/>
    </row>
    <row r="195">
      <c r="A195" s="150" t="s">
        <v>91</v>
      </c>
      <c r="B195" s="151">
        <v>2006.0</v>
      </c>
      <c r="C195" s="157" t="str">
        <f t="shared" ref="C195:C206" si="5">G195</f>
        <v>#N/A</v>
      </c>
      <c r="D195" s="153" t="str">
        <f t="shared" si="2"/>
        <v>#N/A</v>
      </c>
      <c r="E195" s="158" t="str">
        <f t="shared" si="3"/>
        <v>#N/A</v>
      </c>
      <c r="F195" s="155"/>
      <c r="G195" s="155" t="str">
        <f>'sum-countries-with-democracy-in'!E3</f>
        <v>#N/A</v>
      </c>
      <c r="H195" s="159" t="str">
        <f>'sum-countries-with-democracy-in'!D3</f>
        <v>#N/A</v>
      </c>
      <c r="I195" s="155">
        <f t="shared" si="4"/>
        <v>0.567722736</v>
      </c>
      <c r="J195" s="156">
        <f>'input-from-OWID'!C194</f>
        <v>3738885795</v>
      </c>
      <c r="K195" s="156">
        <f>vlookup(B195,'imported-world-population'!$C$2:$D$470,2,false)</f>
        <v>6585760192</v>
      </c>
      <c r="L195" s="156"/>
      <c r="M195" s="156"/>
      <c r="N195" s="156"/>
    </row>
    <row r="196">
      <c r="A196" s="150" t="s">
        <v>91</v>
      </c>
      <c r="B196" s="151">
        <v>2007.0</v>
      </c>
      <c r="C196" s="157" t="str">
        <f t="shared" si="5"/>
        <v>#DIV/0!</v>
      </c>
      <c r="D196" s="153" t="str">
        <f t="shared" si="2"/>
        <v>#DIV/0!</v>
      </c>
      <c r="E196" s="155"/>
      <c r="F196" s="155"/>
      <c r="G196" s="155" t="str">
        <f>'sum-countries-with-democracy-in'!E4</f>
        <v>#DIV/0!</v>
      </c>
      <c r="H196" s="159">
        <f>'sum-countries-with-democracy-in'!D4</f>
        <v>0</v>
      </c>
      <c r="I196" s="155">
        <f t="shared" si="4"/>
        <v>0.5225220228</v>
      </c>
      <c r="J196" s="156">
        <f>'input-from-OWID'!C195</f>
        <v>3484248995</v>
      </c>
      <c r="K196" s="156">
        <f>vlookup(B196,'imported-world-population'!$C$2:$D$470,2,false)</f>
        <v>6668138074</v>
      </c>
      <c r="L196" s="156"/>
      <c r="M196" s="156"/>
      <c r="N196" s="156"/>
    </row>
    <row r="197">
      <c r="A197" s="150" t="s">
        <v>91</v>
      </c>
      <c r="B197" s="151">
        <v>2008.0</v>
      </c>
      <c r="C197" s="157" t="str">
        <f t="shared" si="5"/>
        <v>#DIV/0!</v>
      </c>
      <c r="D197" s="153" t="str">
        <f t="shared" si="2"/>
        <v>#DIV/0!</v>
      </c>
      <c r="E197" s="155"/>
      <c r="F197" s="155"/>
      <c r="G197" s="155" t="str">
        <f>'sum-countries-with-democracy-in'!E5</f>
        <v>#DIV/0!</v>
      </c>
      <c r="H197" s="159">
        <f>'sum-countries-with-democracy-in'!D5</f>
        <v>0</v>
      </c>
      <c r="I197" s="155">
        <f t="shared" si="4"/>
        <v>0.5278246348</v>
      </c>
      <c r="J197" s="156">
        <f>'input-from-OWID'!C196</f>
        <v>3563508172</v>
      </c>
      <c r="K197" s="156">
        <f>vlookup(B197,'imported-world-population'!$C$2:$D$470,2,false)</f>
        <v>6751310827</v>
      </c>
      <c r="L197" s="156"/>
      <c r="M197" s="156"/>
      <c r="N197" s="156"/>
    </row>
    <row r="198">
      <c r="A198" s="150" t="s">
        <v>91</v>
      </c>
      <c r="B198" s="151">
        <v>2009.0</v>
      </c>
      <c r="C198" s="157" t="str">
        <f t="shared" si="5"/>
        <v>#DIV/0!</v>
      </c>
      <c r="D198" s="153" t="str">
        <f t="shared" si="2"/>
        <v>#DIV/0!</v>
      </c>
      <c r="E198" s="155"/>
      <c r="F198" s="155"/>
      <c r="G198" s="155" t="str">
        <f>'sum-countries-with-democracy-in'!E6</f>
        <v>#DIV/0!</v>
      </c>
      <c r="H198" s="159">
        <f>'sum-countries-with-democracy-in'!D6</f>
        <v>0</v>
      </c>
      <c r="I198" s="155">
        <f t="shared" si="4"/>
        <v>0.5190431294</v>
      </c>
      <c r="J198" s="156">
        <f>'input-from-OWID'!C197</f>
        <v>3547716117</v>
      </c>
      <c r="K198" s="156">
        <f>vlookup(B198,'imported-world-population'!$C$2:$D$470,2,false)</f>
        <v>6835108522</v>
      </c>
      <c r="L198" s="156"/>
      <c r="M198" s="156"/>
      <c r="N198" s="156"/>
    </row>
    <row r="199">
      <c r="A199" s="150" t="s">
        <v>91</v>
      </c>
      <c r="B199" s="151">
        <v>2010.0</v>
      </c>
      <c r="C199" s="157" t="str">
        <f t="shared" si="5"/>
        <v>#DIV/0!</v>
      </c>
      <c r="D199" s="153" t="str">
        <f t="shared" si="2"/>
        <v>#DIV/0!</v>
      </c>
      <c r="E199" s="155"/>
      <c r="F199" s="155"/>
      <c r="G199" s="155" t="str">
        <f>'sum-countries-with-democracy-in'!E7</f>
        <v>#DIV/0!</v>
      </c>
      <c r="H199" s="159">
        <f>'sum-countries-with-democracy-in'!D7</f>
        <v>0</v>
      </c>
      <c r="I199" s="155">
        <f t="shared" si="4"/>
        <v>0.5433678027</v>
      </c>
      <c r="J199" s="156">
        <f>'input-from-OWID'!C198</f>
        <v>3759761910</v>
      </c>
      <c r="K199" s="156">
        <f>vlookup(B199,'imported-world-population'!$C$2:$D$470,2,false)</f>
        <v>6919368228</v>
      </c>
      <c r="L199" s="156"/>
      <c r="M199" s="156"/>
      <c r="N199" s="156"/>
    </row>
    <row r="200">
      <c r="A200" s="150" t="s">
        <v>91</v>
      </c>
      <c r="B200" s="151">
        <v>2011.0</v>
      </c>
      <c r="C200" s="157" t="str">
        <f t="shared" si="5"/>
        <v>#DIV/0!</v>
      </c>
      <c r="D200" s="153" t="str">
        <f t="shared" si="2"/>
        <v>#DIV/0!</v>
      </c>
      <c r="E200" s="155"/>
      <c r="F200" s="155"/>
      <c r="G200" s="155" t="str">
        <f>'sum-countries-with-democracy-in'!E8</f>
        <v>#DIV/0!</v>
      </c>
      <c r="H200" s="159">
        <f>'sum-countries-with-democracy-in'!D8</f>
        <v>0</v>
      </c>
      <c r="I200" s="155">
        <f t="shared" si="4"/>
        <v>0.5556922498</v>
      </c>
      <c r="J200" s="156">
        <f>'input-from-OWID'!C199</f>
        <v>3892092080</v>
      </c>
      <c r="K200" s="156">
        <f>vlookup(B200,'imported-world-population'!$C$2:$D$470,2,false)</f>
        <v>7004042402</v>
      </c>
      <c r="L200" s="156"/>
      <c r="M200" s="156"/>
      <c r="N200" s="156"/>
    </row>
    <row r="201">
      <c r="A201" s="150" t="s">
        <v>91</v>
      </c>
      <c r="B201" s="151">
        <v>2012.0</v>
      </c>
      <c r="C201" s="157" t="str">
        <f t="shared" si="5"/>
        <v>#DIV/0!</v>
      </c>
      <c r="D201" s="153" t="str">
        <f t="shared" si="2"/>
        <v>#DIV/0!</v>
      </c>
      <c r="E201" s="155"/>
      <c r="F201" s="155"/>
      <c r="G201" s="155" t="str">
        <f>'sum-countries-with-democracy-in'!E9</f>
        <v>#DIV/0!</v>
      </c>
      <c r="H201" s="159">
        <f>'sum-countries-with-democracy-in'!D9</f>
        <v>0</v>
      </c>
      <c r="I201" s="155">
        <f t="shared" si="4"/>
        <v>0.5524463883</v>
      </c>
      <c r="J201" s="156">
        <f>'input-from-OWID'!C200</f>
        <v>3916319135</v>
      </c>
      <c r="K201" s="156">
        <f>vlookup(B201,'imported-world-population'!$C$2:$D$470,2,false)</f>
        <v>7089048309</v>
      </c>
      <c r="L201" s="156"/>
      <c r="M201" s="156"/>
      <c r="N201" s="156"/>
    </row>
    <row r="202">
      <c r="A202" s="150" t="s">
        <v>91</v>
      </c>
      <c r="B202" s="151">
        <v>2013.0</v>
      </c>
      <c r="C202" s="157" t="str">
        <f t="shared" si="5"/>
        <v>#DIV/0!</v>
      </c>
      <c r="D202" s="153" t="str">
        <f t="shared" si="2"/>
        <v>#DIV/0!</v>
      </c>
      <c r="E202" s="155"/>
      <c r="F202" s="155"/>
      <c r="G202" s="155" t="str">
        <f>'sum-countries-with-democracy-in'!E10</f>
        <v>#DIV/0!</v>
      </c>
      <c r="H202" s="159">
        <f>'sum-countries-with-democracy-in'!D10</f>
        <v>0</v>
      </c>
      <c r="I202" s="155">
        <f t="shared" si="4"/>
        <v>0.5531610555</v>
      </c>
      <c r="J202" s="156">
        <f>'input-from-OWID'!C201</f>
        <v>3968452243</v>
      </c>
      <c r="K202" s="156">
        <f>vlookup(B202,'imported-world-population'!$C$2:$D$470,2,false)</f>
        <v>7174135279</v>
      </c>
      <c r="L202" s="156"/>
      <c r="M202" s="156"/>
      <c r="N202" s="156"/>
    </row>
    <row r="203">
      <c r="A203" s="150" t="s">
        <v>91</v>
      </c>
      <c r="B203" s="151">
        <v>2014.0</v>
      </c>
      <c r="C203" s="157" t="str">
        <f t="shared" si="5"/>
        <v>#DIV/0!</v>
      </c>
      <c r="D203" s="153" t="str">
        <f t="shared" si="2"/>
        <v>#DIV/0!</v>
      </c>
      <c r="E203" s="155"/>
      <c r="F203" s="155"/>
      <c r="G203" s="155" t="str">
        <f>'sum-countries-with-democracy-in'!E11</f>
        <v>#DIV/0!</v>
      </c>
      <c r="H203" s="159">
        <f>'sum-countries-with-democracy-in'!D11</f>
        <v>0</v>
      </c>
      <c r="I203" s="155">
        <f t="shared" si="4"/>
        <v>0.5302072578</v>
      </c>
      <c r="J203" s="156">
        <f>'input-from-OWID'!C202</f>
        <v>3848772306</v>
      </c>
      <c r="K203" s="156">
        <f>vlookup(B203,'imported-world-population'!$C$2:$D$470,2,false)</f>
        <v>7258995892</v>
      </c>
      <c r="L203" s="156"/>
      <c r="M203" s="156"/>
      <c r="N203" s="156"/>
    </row>
    <row r="204">
      <c r="A204" s="150" t="s">
        <v>91</v>
      </c>
      <c r="B204" s="151">
        <v>2015.0</v>
      </c>
      <c r="C204" s="157" t="str">
        <f t="shared" si="5"/>
        <v>#DIV/0!</v>
      </c>
      <c r="D204" s="153" t="str">
        <f t="shared" si="2"/>
        <v>#DIV/0!</v>
      </c>
      <c r="E204" s="155"/>
      <c r="F204" s="155"/>
      <c r="G204" s="155" t="str">
        <f>'sum-countries-with-democracy-in'!E12</f>
        <v>#DIV/0!</v>
      </c>
      <c r="H204" s="159">
        <f>'sum-countries-with-democracy-in'!D12</f>
        <v>0</v>
      </c>
      <c r="I204" s="155">
        <f t="shared" si="4"/>
        <v>0.5585019186</v>
      </c>
      <c r="J204" s="156">
        <f>'input-from-OWID'!C203</f>
        <v>4101291986</v>
      </c>
      <c r="K204" s="156">
        <f>vlookup(B204,'imported-world-population'!$C$2:$D$470,2,false)</f>
        <v>7343380299</v>
      </c>
      <c r="L204" s="156"/>
      <c r="M204" s="156"/>
      <c r="N204" s="156"/>
    </row>
    <row r="205">
      <c r="A205" s="150" t="s">
        <v>91</v>
      </c>
      <c r="B205" s="151">
        <f t="shared" ref="B205:B206" si="6">B204+1</f>
        <v>2016</v>
      </c>
      <c r="C205" s="157" t="str">
        <f t="shared" si="5"/>
        <v>#DIV/0!</v>
      </c>
      <c r="D205" s="153" t="str">
        <f t="shared" si="2"/>
        <v>#DIV/0!</v>
      </c>
      <c r="E205" s="155"/>
      <c r="F205" s="155"/>
      <c r="G205" s="155" t="str">
        <f>'sum-countries-with-democracy-in'!E13</f>
        <v>#DIV/0!</v>
      </c>
      <c r="H205" s="159">
        <f>'sum-countries-with-democracy-in'!D13</f>
        <v>0</v>
      </c>
      <c r="I205" s="155"/>
      <c r="J205" s="156"/>
      <c r="K205" s="156">
        <f>vlookup(B205,'imported-world-population'!$C$2:$D$470,2,false)</f>
        <v>7427157079</v>
      </c>
      <c r="L205" s="156"/>
      <c r="M205" s="156"/>
      <c r="N205" s="156"/>
    </row>
    <row r="206">
      <c r="A206" s="150" t="s">
        <v>91</v>
      </c>
      <c r="B206" s="151">
        <f t="shared" si="6"/>
        <v>2017</v>
      </c>
      <c r="C206" s="157" t="str">
        <f t="shared" si="5"/>
        <v>#DIV/0!</v>
      </c>
      <c r="D206" s="153" t="str">
        <f t="shared" si="2"/>
        <v>#DIV/0!</v>
      </c>
      <c r="E206" s="155"/>
      <c r="F206" s="155"/>
      <c r="G206" s="155" t="str">
        <f>'sum-countries-with-democracy-in'!E14</f>
        <v>#DIV/0!</v>
      </c>
      <c r="H206" s="159">
        <f>'sum-countries-with-democracy-in'!D14</f>
        <v>0</v>
      </c>
      <c r="I206" s="155"/>
      <c r="J206" s="156"/>
      <c r="K206" s="156">
        <f>vlookup(B206,'imported-world-population'!$C$2:$D$470,2,false)</f>
        <v>7510270208</v>
      </c>
      <c r="L206" s="156"/>
      <c r="M206" s="156"/>
      <c r="N206" s="156"/>
    </row>
    <row r="207">
      <c r="A207" s="150"/>
      <c r="B207" s="151"/>
      <c r="C207" s="155"/>
      <c r="D207" s="153"/>
      <c r="E207" s="155"/>
      <c r="F207" s="155"/>
      <c r="G207" s="155"/>
      <c r="H207" s="155"/>
      <c r="I207" s="155"/>
      <c r="J207" s="156"/>
      <c r="K207" s="156"/>
      <c r="L207" s="156"/>
      <c r="M207" s="156"/>
      <c r="N207" s="156"/>
    </row>
    <row r="208">
      <c r="A208" s="150"/>
      <c r="B208" s="151"/>
      <c r="C208" s="155"/>
      <c r="D208" s="155"/>
      <c r="E208" s="155"/>
      <c r="F208" s="155"/>
      <c r="G208" s="155"/>
      <c r="H208" s="155"/>
      <c r="I208" s="155"/>
      <c r="J208" s="156"/>
      <c r="K208" s="156"/>
      <c r="L208" s="156"/>
      <c r="M208" s="156"/>
      <c r="N208" s="156"/>
    </row>
    <row r="209">
      <c r="A209" s="150"/>
      <c r="B209" s="151"/>
      <c r="C209" s="155"/>
      <c r="D209" s="155"/>
      <c r="E209" s="155"/>
      <c r="F209" s="155"/>
      <c r="G209" s="155"/>
      <c r="H209" s="155"/>
      <c r="I209" s="155"/>
      <c r="J209" s="156"/>
      <c r="K209" s="156"/>
      <c r="L209" s="156"/>
      <c r="M209" s="156"/>
      <c r="N209" s="15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sheetData>
    <row r="1">
      <c r="C1" s="160" t="s">
        <v>108</v>
      </c>
    </row>
    <row r="3">
      <c r="A3" s="137" t="s">
        <v>83</v>
      </c>
      <c r="B3" s="137" t="s">
        <v>100</v>
      </c>
      <c r="C3" s="161" t="s">
        <v>109</v>
      </c>
    </row>
    <row r="4">
      <c r="A4" s="150" t="s">
        <v>91</v>
      </c>
      <c r="B4" s="151">
        <v>1816.0</v>
      </c>
      <c r="C4" s="156">
        <v>9243738.0</v>
      </c>
    </row>
    <row r="5">
      <c r="A5" s="150" t="s">
        <v>91</v>
      </c>
      <c r="B5" s="151">
        <v>1817.0</v>
      </c>
      <c r="C5" s="156">
        <v>9422669.0</v>
      </c>
    </row>
    <row r="6">
      <c r="A6" s="150" t="s">
        <v>91</v>
      </c>
      <c r="B6" s="151">
        <v>1818.0</v>
      </c>
      <c r="C6" s="156">
        <v>9605062.0</v>
      </c>
    </row>
    <row r="7">
      <c r="A7" s="150" t="s">
        <v>91</v>
      </c>
      <c r="B7" s="151">
        <v>1819.0</v>
      </c>
      <c r="C7" s="156">
        <v>9790987.0</v>
      </c>
    </row>
    <row r="8">
      <c r="A8" s="150" t="s">
        <v>91</v>
      </c>
      <c r="B8" s="151">
        <v>1820.0</v>
      </c>
      <c r="C8" s="156">
        <v>9980510.0</v>
      </c>
    </row>
    <row r="9">
      <c r="A9" s="150" t="s">
        <v>91</v>
      </c>
      <c r="B9" s="151">
        <v>1821.0</v>
      </c>
      <c r="C9" s="156">
        <v>1.0298969E7</v>
      </c>
    </row>
    <row r="10">
      <c r="A10" s="150" t="s">
        <v>91</v>
      </c>
      <c r="B10" s="151">
        <v>1822.0</v>
      </c>
      <c r="C10" s="156">
        <v>1.0625503E7</v>
      </c>
    </row>
    <row r="11">
      <c r="A11" s="150" t="s">
        <v>91</v>
      </c>
      <c r="B11" s="151">
        <v>1823.0</v>
      </c>
      <c r="C11" s="156">
        <v>1.0951077E7</v>
      </c>
    </row>
    <row r="12">
      <c r="A12" s="150" t="s">
        <v>91</v>
      </c>
      <c r="B12" s="151">
        <v>1824.0</v>
      </c>
      <c r="C12" s="156">
        <v>1.1276695E7</v>
      </c>
    </row>
    <row r="13">
      <c r="A13" s="150" t="s">
        <v>91</v>
      </c>
      <c r="B13" s="151">
        <v>1825.0</v>
      </c>
      <c r="C13" s="156">
        <v>1.1602355E7</v>
      </c>
    </row>
    <row r="14">
      <c r="A14" s="150" t="s">
        <v>91</v>
      </c>
      <c r="B14" s="151">
        <v>1826.0</v>
      </c>
      <c r="C14" s="156">
        <v>1.1928057E7</v>
      </c>
    </row>
    <row r="15">
      <c r="A15" s="150" t="s">
        <v>91</v>
      </c>
      <c r="B15" s="151">
        <v>1827.0</v>
      </c>
      <c r="C15" s="156">
        <v>1.2250905E7</v>
      </c>
    </row>
    <row r="16">
      <c r="A16" s="150" t="s">
        <v>91</v>
      </c>
      <c r="B16" s="151">
        <v>1828.0</v>
      </c>
      <c r="C16" s="156">
        <v>1.258059E7</v>
      </c>
    </row>
    <row r="17">
      <c r="A17" s="150" t="s">
        <v>91</v>
      </c>
      <c r="B17" s="151">
        <v>1829.0</v>
      </c>
      <c r="C17" s="156">
        <v>1.2906416E7</v>
      </c>
    </row>
    <row r="18">
      <c r="A18" s="150" t="s">
        <v>91</v>
      </c>
      <c r="B18" s="151">
        <v>1830.0</v>
      </c>
      <c r="C18" s="156">
        <v>1.3240314E7</v>
      </c>
    </row>
    <row r="19">
      <c r="A19" s="150" t="s">
        <v>91</v>
      </c>
      <c r="B19" s="151">
        <v>1831.0</v>
      </c>
      <c r="C19" s="156">
        <v>1.365858E7</v>
      </c>
    </row>
    <row r="20">
      <c r="A20" s="150" t="s">
        <v>91</v>
      </c>
      <c r="B20" s="151">
        <v>1832.0</v>
      </c>
      <c r="C20" s="156">
        <v>1.407789E7</v>
      </c>
    </row>
    <row r="21">
      <c r="A21" s="150" t="s">
        <v>91</v>
      </c>
      <c r="B21" s="151">
        <v>1833.0</v>
      </c>
      <c r="C21" s="156">
        <v>1.4496235E7</v>
      </c>
    </row>
    <row r="22">
      <c r="A22" s="150" t="s">
        <v>91</v>
      </c>
      <c r="B22" s="151">
        <v>1834.0</v>
      </c>
      <c r="C22" s="156">
        <v>1.4914618E7</v>
      </c>
    </row>
    <row r="23">
      <c r="A23" s="150" t="s">
        <v>91</v>
      </c>
      <c r="B23" s="151">
        <v>1835.0</v>
      </c>
      <c r="C23" s="156">
        <v>1.5334042E7</v>
      </c>
    </row>
    <row r="24">
      <c r="A24" s="150" t="s">
        <v>91</v>
      </c>
      <c r="B24" s="151">
        <v>1836.0</v>
      </c>
      <c r="C24" s="156">
        <v>1.5752501E7</v>
      </c>
    </row>
    <row r="25">
      <c r="A25" s="150" t="s">
        <v>91</v>
      </c>
      <c r="B25" s="151">
        <v>1837.0</v>
      </c>
      <c r="C25" s="156">
        <v>1.6170997E7</v>
      </c>
    </row>
    <row r="26">
      <c r="A26" s="150" t="s">
        <v>91</v>
      </c>
      <c r="B26" s="151">
        <v>1838.0</v>
      </c>
      <c r="C26" s="156">
        <v>1.6590533E7</v>
      </c>
    </row>
    <row r="27">
      <c r="A27" s="150" t="s">
        <v>91</v>
      </c>
      <c r="B27" s="151">
        <v>1839.0</v>
      </c>
      <c r="C27" s="156">
        <v>1.70091E7</v>
      </c>
    </row>
    <row r="28">
      <c r="A28" s="150" t="s">
        <v>91</v>
      </c>
      <c r="B28" s="151">
        <v>1840.0</v>
      </c>
      <c r="C28" s="156">
        <v>1.7443768E7</v>
      </c>
    </row>
    <row r="29">
      <c r="A29" s="150" t="s">
        <v>91</v>
      </c>
      <c r="B29" s="151">
        <v>1841.0</v>
      </c>
      <c r="C29" s="156">
        <v>1.80561E7</v>
      </c>
    </row>
    <row r="30">
      <c r="A30" s="150" t="s">
        <v>91</v>
      </c>
      <c r="B30" s="151">
        <v>1842.0</v>
      </c>
      <c r="C30" s="156">
        <v>1.8667464E7</v>
      </c>
    </row>
    <row r="31">
      <c r="A31" s="150" t="s">
        <v>91</v>
      </c>
      <c r="B31" s="151">
        <v>1843.0</v>
      </c>
      <c r="C31" s="156">
        <v>1.9278864E7</v>
      </c>
    </row>
    <row r="32">
      <c r="A32" s="150" t="s">
        <v>91</v>
      </c>
      <c r="B32" s="151">
        <v>1844.0</v>
      </c>
      <c r="C32" s="156">
        <v>1.98903E7</v>
      </c>
    </row>
    <row r="33">
      <c r="A33" s="150" t="s">
        <v>91</v>
      </c>
      <c r="B33" s="151">
        <v>1845.0</v>
      </c>
      <c r="C33" s="156">
        <v>2.0502776E7</v>
      </c>
    </row>
    <row r="34">
      <c r="A34" s="150" t="s">
        <v>91</v>
      </c>
      <c r="B34" s="151">
        <v>1846.0</v>
      </c>
      <c r="C34" s="156">
        <v>2.1114282E7</v>
      </c>
    </row>
    <row r="35">
      <c r="A35" s="150" t="s">
        <v>91</v>
      </c>
      <c r="B35" s="151">
        <v>1847.0</v>
      </c>
      <c r="C35" s="156">
        <v>2.1725822E7</v>
      </c>
    </row>
    <row r="36">
      <c r="A36" s="150" t="s">
        <v>91</v>
      </c>
      <c r="B36" s="151">
        <v>1848.0</v>
      </c>
      <c r="C36" s="156">
        <v>6.0772396E7</v>
      </c>
    </row>
    <row r="37">
      <c r="A37" s="150" t="s">
        <v>91</v>
      </c>
      <c r="B37" s="151">
        <v>1849.0</v>
      </c>
      <c r="C37" s="156">
        <v>6.1532008E7</v>
      </c>
    </row>
    <row r="38">
      <c r="A38" s="150" t="s">
        <v>91</v>
      </c>
      <c r="B38" s="151">
        <v>1850.0</v>
      </c>
      <c r="C38" s="156">
        <v>6.2308718E7</v>
      </c>
    </row>
    <row r="39">
      <c r="A39" s="150" t="s">
        <v>91</v>
      </c>
      <c r="B39" s="151">
        <v>1851.0</v>
      </c>
      <c r="C39" s="156">
        <v>2.6804304E7</v>
      </c>
    </row>
    <row r="40">
      <c r="A40" s="150" t="s">
        <v>91</v>
      </c>
      <c r="B40" s="151">
        <v>1852.0</v>
      </c>
      <c r="C40" s="156">
        <v>2.7636918E7</v>
      </c>
    </row>
    <row r="41">
      <c r="A41" s="150" t="s">
        <v>91</v>
      </c>
      <c r="B41" s="151">
        <v>1853.0</v>
      </c>
      <c r="C41" s="156">
        <v>3.3102952E7</v>
      </c>
    </row>
    <row r="42">
      <c r="A42" s="150" t="s">
        <v>91</v>
      </c>
      <c r="B42" s="151">
        <v>1854.0</v>
      </c>
      <c r="C42" s="156">
        <v>3.3872238E7</v>
      </c>
    </row>
    <row r="43">
      <c r="A43" s="150" t="s">
        <v>91</v>
      </c>
      <c r="B43" s="151">
        <v>1855.0</v>
      </c>
      <c r="C43" s="156">
        <v>3.4741944E7</v>
      </c>
    </row>
    <row r="44">
      <c r="A44" s="150" t="s">
        <v>91</v>
      </c>
      <c r="B44" s="151">
        <v>1856.0</v>
      </c>
      <c r="C44" s="156">
        <v>3.561268E7</v>
      </c>
    </row>
    <row r="45">
      <c r="A45" s="150" t="s">
        <v>91</v>
      </c>
      <c r="B45" s="151">
        <v>1857.0</v>
      </c>
      <c r="C45" s="156">
        <v>3.6600114E7</v>
      </c>
    </row>
    <row r="46">
      <c r="A46" s="150" t="s">
        <v>91</v>
      </c>
      <c r="B46" s="151">
        <v>1858.0</v>
      </c>
      <c r="C46" s="156">
        <v>3.7472499E7</v>
      </c>
    </row>
    <row r="47">
      <c r="A47" s="150" t="s">
        <v>91</v>
      </c>
      <c r="B47" s="151">
        <v>1859.0</v>
      </c>
      <c r="C47" s="156">
        <v>3.8346092E7</v>
      </c>
    </row>
    <row r="48">
      <c r="A48" s="150" t="s">
        <v>91</v>
      </c>
      <c r="B48" s="151">
        <v>1860.0</v>
      </c>
      <c r="C48" s="156">
        <v>3.92209E7</v>
      </c>
    </row>
    <row r="49">
      <c r="A49" s="150" t="s">
        <v>91</v>
      </c>
      <c r="B49" s="151">
        <v>1861.0</v>
      </c>
      <c r="C49" s="156">
        <v>4.01186E7</v>
      </c>
    </row>
    <row r="50">
      <c r="A50" s="150" t="s">
        <v>91</v>
      </c>
      <c r="B50" s="151">
        <v>1862.0</v>
      </c>
      <c r="C50" s="156">
        <v>4.1017218E7</v>
      </c>
    </row>
    <row r="51">
      <c r="A51" s="150" t="s">
        <v>91</v>
      </c>
      <c r="B51" s="151">
        <v>1863.0</v>
      </c>
      <c r="C51" s="156">
        <v>4.1917836E7</v>
      </c>
    </row>
    <row r="52">
      <c r="A52" s="150" t="s">
        <v>91</v>
      </c>
      <c r="B52" s="151">
        <v>1864.0</v>
      </c>
      <c r="C52" s="156">
        <v>4.6279525E7</v>
      </c>
    </row>
    <row r="53">
      <c r="A53" s="150" t="s">
        <v>91</v>
      </c>
      <c r="B53" s="151">
        <v>1865.0</v>
      </c>
      <c r="C53" s="156">
        <v>4.7214378E7</v>
      </c>
    </row>
    <row r="54">
      <c r="A54" s="150" t="s">
        <v>91</v>
      </c>
      <c r="B54" s="151">
        <v>1866.0</v>
      </c>
      <c r="C54" s="156">
        <v>4.814948E7</v>
      </c>
    </row>
    <row r="55">
      <c r="A55" s="150" t="s">
        <v>91</v>
      </c>
      <c r="B55" s="151">
        <v>1867.0</v>
      </c>
      <c r="C55" s="156">
        <v>5.1428771E7</v>
      </c>
    </row>
    <row r="56">
      <c r="A56" s="150" t="s">
        <v>91</v>
      </c>
      <c r="B56" s="151">
        <v>1868.0</v>
      </c>
      <c r="C56" s="156">
        <v>5.2388951E7</v>
      </c>
    </row>
    <row r="57">
      <c r="A57" s="150" t="s">
        <v>91</v>
      </c>
      <c r="B57" s="151">
        <v>1869.0</v>
      </c>
      <c r="C57" s="156">
        <v>5.3317841E7</v>
      </c>
    </row>
    <row r="58">
      <c r="A58" s="150" t="s">
        <v>91</v>
      </c>
      <c r="B58" s="151">
        <v>1870.0</v>
      </c>
      <c r="C58" s="156">
        <v>5.4331632E7</v>
      </c>
    </row>
    <row r="59">
      <c r="A59" s="150" t="s">
        <v>91</v>
      </c>
      <c r="B59" s="151">
        <v>1871.0</v>
      </c>
      <c r="C59" s="156">
        <v>5.5348314E7</v>
      </c>
    </row>
    <row r="60">
      <c r="A60" s="150" t="s">
        <v>91</v>
      </c>
      <c r="B60" s="151">
        <v>1872.0</v>
      </c>
      <c r="C60" s="156">
        <v>5.6538342E7</v>
      </c>
    </row>
    <row r="61">
      <c r="A61" s="150" t="s">
        <v>91</v>
      </c>
      <c r="B61" s="151">
        <v>1873.0</v>
      </c>
      <c r="C61" s="156">
        <v>5.7731095E7</v>
      </c>
    </row>
    <row r="62">
      <c r="A62" s="150" t="s">
        <v>91</v>
      </c>
      <c r="B62" s="151">
        <v>1874.0</v>
      </c>
      <c r="C62" s="156">
        <v>5.8943587E7</v>
      </c>
    </row>
    <row r="63">
      <c r="A63" s="150" t="s">
        <v>91</v>
      </c>
      <c r="B63" s="151">
        <v>1875.0</v>
      </c>
      <c r="C63" s="156">
        <v>6.031083E7</v>
      </c>
    </row>
    <row r="64">
      <c r="A64" s="150" t="s">
        <v>91</v>
      </c>
      <c r="B64" s="151">
        <v>1876.0</v>
      </c>
      <c r="C64" s="156">
        <v>9.9492194E7</v>
      </c>
    </row>
    <row r="65">
      <c r="A65" s="150" t="s">
        <v>91</v>
      </c>
      <c r="B65" s="151">
        <v>1877.0</v>
      </c>
      <c r="C65" s="156">
        <v>1.01314407E8</v>
      </c>
    </row>
    <row r="66">
      <c r="A66" s="150" t="s">
        <v>91</v>
      </c>
      <c r="B66" s="151">
        <v>1878.0</v>
      </c>
      <c r="C66" s="156">
        <v>1.02710488E8</v>
      </c>
    </row>
    <row r="67">
      <c r="A67" s="150" t="s">
        <v>91</v>
      </c>
      <c r="B67" s="151">
        <v>1879.0</v>
      </c>
      <c r="C67" s="156">
        <v>1.04081449E8</v>
      </c>
    </row>
    <row r="68">
      <c r="A68" s="150" t="s">
        <v>91</v>
      </c>
      <c r="B68" s="151">
        <v>1880.0</v>
      </c>
      <c r="C68" s="156">
        <v>1.36382195E8</v>
      </c>
    </row>
    <row r="69">
      <c r="A69" s="150" t="s">
        <v>91</v>
      </c>
      <c r="B69" s="151">
        <v>1881.0</v>
      </c>
      <c r="C69" s="156">
        <v>1.38357524E8</v>
      </c>
    </row>
    <row r="70">
      <c r="A70" s="150" t="s">
        <v>91</v>
      </c>
      <c r="B70" s="151">
        <v>1882.0</v>
      </c>
      <c r="C70" s="156">
        <v>1.40279242E8</v>
      </c>
    </row>
    <row r="71">
      <c r="A71" s="150" t="s">
        <v>91</v>
      </c>
      <c r="B71" s="151">
        <v>1883.0</v>
      </c>
      <c r="C71" s="156">
        <v>1.42190675E8</v>
      </c>
    </row>
    <row r="72">
      <c r="A72" s="150" t="s">
        <v>91</v>
      </c>
      <c r="B72" s="151">
        <v>1884.0</v>
      </c>
      <c r="C72" s="156">
        <v>1.44143096E8</v>
      </c>
    </row>
    <row r="73">
      <c r="A73" s="150" t="s">
        <v>91</v>
      </c>
      <c r="B73" s="151">
        <v>1885.0</v>
      </c>
      <c r="C73" s="156">
        <v>1.46045351E8</v>
      </c>
    </row>
    <row r="74">
      <c r="A74" s="150" t="s">
        <v>91</v>
      </c>
      <c r="B74" s="151">
        <v>1886.0</v>
      </c>
      <c r="C74" s="156">
        <v>1.44799623E8</v>
      </c>
    </row>
    <row r="75">
      <c r="A75" s="150" t="s">
        <v>91</v>
      </c>
      <c r="B75" s="151">
        <v>1887.0</v>
      </c>
      <c r="C75" s="156">
        <v>1.4655303E8</v>
      </c>
    </row>
    <row r="76">
      <c r="A76" s="150" t="s">
        <v>91</v>
      </c>
      <c r="B76" s="151">
        <v>1888.0</v>
      </c>
      <c r="C76" s="156">
        <v>1.53120628E8</v>
      </c>
    </row>
    <row r="77">
      <c r="A77" s="150" t="s">
        <v>91</v>
      </c>
      <c r="B77" s="151">
        <v>1889.0</v>
      </c>
      <c r="C77" s="156">
        <v>1.54982911E8</v>
      </c>
    </row>
    <row r="78">
      <c r="A78" s="150" t="s">
        <v>91</v>
      </c>
      <c r="B78" s="151">
        <v>1890.0</v>
      </c>
      <c r="C78" s="156">
        <v>1.56984189E8</v>
      </c>
    </row>
    <row r="79">
      <c r="A79" s="150" t="s">
        <v>91</v>
      </c>
      <c r="B79" s="151">
        <v>1891.0</v>
      </c>
      <c r="C79" s="156">
        <v>1.5880697E8</v>
      </c>
    </row>
    <row r="80">
      <c r="A80" s="150" t="s">
        <v>91</v>
      </c>
      <c r="B80" s="151">
        <v>1892.0</v>
      </c>
      <c r="C80" s="156">
        <v>1.60712699E8</v>
      </c>
    </row>
    <row r="81">
      <c r="A81" s="150" t="s">
        <v>91</v>
      </c>
      <c r="B81" s="151">
        <v>1893.0</v>
      </c>
      <c r="C81" s="156">
        <v>1.62648408E8</v>
      </c>
    </row>
    <row r="82">
      <c r="A82" s="150" t="s">
        <v>91</v>
      </c>
      <c r="B82" s="151">
        <v>1894.0</v>
      </c>
      <c r="C82" s="156">
        <v>1.64609875E8</v>
      </c>
    </row>
    <row r="83">
      <c r="A83" s="150" t="s">
        <v>91</v>
      </c>
      <c r="B83" s="151">
        <v>1895.0</v>
      </c>
      <c r="C83" s="156">
        <v>1.66567344E8</v>
      </c>
    </row>
    <row r="84">
      <c r="A84" s="150" t="s">
        <v>91</v>
      </c>
      <c r="B84" s="151">
        <v>1896.0</v>
      </c>
      <c r="C84" s="156">
        <v>1.68572158E8</v>
      </c>
    </row>
    <row r="85">
      <c r="A85" s="150" t="s">
        <v>91</v>
      </c>
      <c r="B85" s="151">
        <v>1897.0</v>
      </c>
      <c r="C85" s="156">
        <v>1.70649881E8</v>
      </c>
    </row>
    <row r="86">
      <c r="A86" s="150" t="s">
        <v>91</v>
      </c>
      <c r="B86" s="151">
        <v>1898.0</v>
      </c>
      <c r="C86" s="156">
        <v>1.74883783E8</v>
      </c>
    </row>
    <row r="87">
      <c r="A87" s="150" t="s">
        <v>91</v>
      </c>
      <c r="B87" s="151">
        <v>1899.0</v>
      </c>
      <c r="C87" s="156">
        <v>1.7692672E8</v>
      </c>
    </row>
    <row r="88">
      <c r="A88" s="150" t="s">
        <v>91</v>
      </c>
      <c r="B88" s="151">
        <v>1900.0</v>
      </c>
      <c r="C88" s="156">
        <v>1.97515944E8</v>
      </c>
    </row>
    <row r="89">
      <c r="A89" s="150" t="s">
        <v>91</v>
      </c>
      <c r="B89" s="151">
        <v>1901.0</v>
      </c>
      <c r="C89" s="156">
        <v>2.03634995E8</v>
      </c>
    </row>
    <row r="90">
      <c r="A90" s="150" t="s">
        <v>91</v>
      </c>
      <c r="B90" s="151">
        <v>1902.0</v>
      </c>
      <c r="C90" s="156">
        <v>2.06181936E8</v>
      </c>
    </row>
    <row r="91">
      <c r="A91" s="150" t="s">
        <v>91</v>
      </c>
      <c r="B91" s="151">
        <v>1903.0</v>
      </c>
      <c r="C91" s="156">
        <v>2.0864745E8</v>
      </c>
    </row>
    <row r="92">
      <c r="A92" s="150" t="s">
        <v>91</v>
      </c>
      <c r="B92" s="151">
        <v>1904.0</v>
      </c>
      <c r="C92" s="156">
        <v>2.11207989E8</v>
      </c>
    </row>
    <row r="93">
      <c r="A93" s="150" t="s">
        <v>91</v>
      </c>
      <c r="B93" s="151">
        <v>1905.0</v>
      </c>
      <c r="C93" s="156">
        <v>2.13753822E8</v>
      </c>
    </row>
    <row r="94">
      <c r="A94" s="150" t="s">
        <v>91</v>
      </c>
      <c r="B94" s="151">
        <v>1906.0</v>
      </c>
      <c r="C94" s="156">
        <v>2.16422976E8</v>
      </c>
    </row>
    <row r="95">
      <c r="A95" s="150" t="s">
        <v>91</v>
      </c>
      <c r="B95" s="151">
        <v>1907.0</v>
      </c>
      <c r="C95" s="156">
        <v>2.19092543E8</v>
      </c>
    </row>
    <row r="96">
      <c r="A96" s="150" t="s">
        <v>91</v>
      </c>
      <c r="B96" s="151">
        <v>1908.0</v>
      </c>
      <c r="C96" s="156">
        <v>2.2192114E8</v>
      </c>
    </row>
    <row r="97">
      <c r="A97" s="150" t="s">
        <v>91</v>
      </c>
      <c r="B97" s="151">
        <v>1909.0</v>
      </c>
      <c r="C97" s="156">
        <v>2.24774186E8</v>
      </c>
    </row>
    <row r="98">
      <c r="A98" s="150" t="s">
        <v>91</v>
      </c>
      <c r="B98" s="151">
        <v>1910.0</v>
      </c>
      <c r="C98" s="156">
        <v>2.2778109E8</v>
      </c>
    </row>
    <row r="99">
      <c r="A99" s="150" t="s">
        <v>91</v>
      </c>
      <c r="B99" s="151">
        <v>1911.0</v>
      </c>
      <c r="C99" s="156">
        <v>2.39159424E8</v>
      </c>
    </row>
    <row r="100">
      <c r="A100" s="150" t="s">
        <v>91</v>
      </c>
      <c r="B100" s="151">
        <v>1912.0</v>
      </c>
      <c r="C100" s="156">
        <v>2.41600175E8</v>
      </c>
    </row>
    <row r="101">
      <c r="A101" s="150" t="s">
        <v>91</v>
      </c>
      <c r="B101" s="151">
        <v>1913.0</v>
      </c>
      <c r="C101" s="156">
        <v>2.44645336E8</v>
      </c>
    </row>
    <row r="102">
      <c r="A102" s="150" t="s">
        <v>91</v>
      </c>
      <c r="B102" s="151">
        <v>1914.0</v>
      </c>
      <c r="C102" s="156">
        <v>2.45635148E8</v>
      </c>
    </row>
    <row r="103">
      <c r="A103" s="150" t="s">
        <v>91</v>
      </c>
      <c r="B103" s="151">
        <v>1915.0</v>
      </c>
      <c r="C103" s="156">
        <v>2.4908841E8</v>
      </c>
    </row>
    <row r="104">
      <c r="A104" s="150" t="s">
        <v>91</v>
      </c>
      <c r="B104" s="151">
        <v>1916.0</v>
      </c>
      <c r="C104" s="156">
        <v>2.50356636E8</v>
      </c>
    </row>
    <row r="105">
      <c r="A105" s="150" t="s">
        <v>91</v>
      </c>
      <c r="B105" s="151">
        <v>1917.0</v>
      </c>
      <c r="C105" s="156">
        <v>2.62185264E8</v>
      </c>
    </row>
    <row r="106">
      <c r="A106" s="150" t="s">
        <v>91</v>
      </c>
      <c r="B106" s="151">
        <v>1918.0</v>
      </c>
      <c r="C106" s="156">
        <v>2.86906862E8</v>
      </c>
    </row>
    <row r="107">
      <c r="A107" s="150" t="s">
        <v>91</v>
      </c>
      <c r="B107" s="151">
        <v>1919.0</v>
      </c>
      <c r="C107" s="156">
        <v>3.54215523E8</v>
      </c>
    </row>
    <row r="108">
      <c r="A108" s="150" t="s">
        <v>91</v>
      </c>
      <c r="B108" s="151">
        <v>1920.0</v>
      </c>
      <c r="C108" s="156">
        <v>3.64863936E8</v>
      </c>
    </row>
    <row r="109">
      <c r="A109" s="150" t="s">
        <v>91</v>
      </c>
      <c r="B109" s="151">
        <v>1921.0</v>
      </c>
      <c r="C109" s="156">
        <v>3.67367644E8</v>
      </c>
    </row>
    <row r="110">
      <c r="A110" s="150" t="s">
        <v>91</v>
      </c>
      <c r="B110" s="151">
        <v>1922.0</v>
      </c>
      <c r="C110" s="156">
        <v>3.71155301E8</v>
      </c>
    </row>
    <row r="111">
      <c r="A111" s="150" t="s">
        <v>91</v>
      </c>
      <c r="B111" s="151">
        <v>1923.0</v>
      </c>
      <c r="C111" s="156">
        <v>3.53844863E8</v>
      </c>
    </row>
    <row r="112">
      <c r="A112" s="150" t="s">
        <v>91</v>
      </c>
      <c r="B112" s="151">
        <v>1924.0</v>
      </c>
      <c r="C112" s="156">
        <v>3.58298318E8</v>
      </c>
    </row>
    <row r="113">
      <c r="A113" s="150" t="s">
        <v>91</v>
      </c>
      <c r="B113" s="151">
        <v>1925.0</v>
      </c>
      <c r="C113" s="156">
        <v>3.62098361E8</v>
      </c>
    </row>
    <row r="114">
      <c r="A114" s="150" t="s">
        <v>91</v>
      </c>
      <c r="B114" s="151">
        <v>1926.0</v>
      </c>
      <c r="C114" s="156">
        <v>3.38463346E8</v>
      </c>
    </row>
    <row r="115">
      <c r="A115" s="150" t="s">
        <v>91</v>
      </c>
      <c r="B115" s="151">
        <v>1927.0</v>
      </c>
      <c r="C115" s="156">
        <v>3.41473183E8</v>
      </c>
    </row>
    <row r="116">
      <c r="A116" s="150" t="s">
        <v>91</v>
      </c>
      <c r="B116" s="151">
        <v>1928.0</v>
      </c>
      <c r="C116" s="156">
        <v>3.44340689E8</v>
      </c>
    </row>
    <row r="117">
      <c r="A117" s="150" t="s">
        <v>91</v>
      </c>
      <c r="B117" s="151">
        <v>1929.0</v>
      </c>
      <c r="C117" s="156">
        <v>3.46940607E8</v>
      </c>
    </row>
    <row r="118">
      <c r="A118" s="150" t="s">
        <v>91</v>
      </c>
      <c r="B118" s="151">
        <v>1930.0</v>
      </c>
      <c r="C118" s="156">
        <v>3.49931727E8</v>
      </c>
    </row>
    <row r="119">
      <c r="A119" s="150" t="s">
        <v>91</v>
      </c>
      <c r="B119" s="151">
        <v>1931.0</v>
      </c>
      <c r="C119" s="156">
        <v>3.72574682E8</v>
      </c>
    </row>
    <row r="120">
      <c r="A120" s="150" t="s">
        <v>91</v>
      </c>
      <c r="B120" s="151">
        <v>1932.0</v>
      </c>
      <c r="C120" s="156">
        <v>3.74787693E8</v>
      </c>
    </row>
    <row r="121">
      <c r="A121" s="150" t="s">
        <v>91</v>
      </c>
      <c r="B121" s="151">
        <v>1933.0</v>
      </c>
      <c r="C121" s="156">
        <v>3.0410079E8</v>
      </c>
    </row>
    <row r="122">
      <c r="A122" s="150" t="s">
        <v>91</v>
      </c>
      <c r="B122" s="151">
        <v>1934.0</v>
      </c>
      <c r="C122" s="156">
        <v>3.03245271E8</v>
      </c>
    </row>
    <row r="123">
      <c r="A123" s="150" t="s">
        <v>91</v>
      </c>
      <c r="B123" s="151">
        <v>1935.0</v>
      </c>
      <c r="C123" s="156">
        <v>3.05038181E8</v>
      </c>
    </row>
    <row r="124">
      <c r="A124" s="150" t="s">
        <v>91</v>
      </c>
      <c r="B124" s="151">
        <v>1936.0</v>
      </c>
      <c r="C124" s="156">
        <v>2.99848753E8</v>
      </c>
    </row>
    <row r="125">
      <c r="A125" s="150" t="s">
        <v>91</v>
      </c>
      <c r="B125" s="151">
        <v>1937.0</v>
      </c>
      <c r="C125" s="156">
        <v>3.01450761E8</v>
      </c>
    </row>
    <row r="126">
      <c r="A126" s="150" t="s">
        <v>91</v>
      </c>
      <c r="B126" s="151">
        <v>1938.0</v>
      </c>
      <c r="C126" s="156">
        <v>3.03325186E8</v>
      </c>
    </row>
    <row r="127">
      <c r="A127" s="150" t="s">
        <v>91</v>
      </c>
      <c r="B127" s="151">
        <v>1939.0</v>
      </c>
      <c r="C127" s="156">
        <v>2.71581418E8</v>
      </c>
    </row>
    <row r="128">
      <c r="A128" s="150" t="s">
        <v>91</v>
      </c>
      <c r="B128" s="151">
        <v>1940.0</v>
      </c>
      <c r="C128" s="156">
        <v>2.15489007E8</v>
      </c>
    </row>
    <row r="129">
      <c r="A129" s="150" t="s">
        <v>91</v>
      </c>
      <c r="B129" s="151">
        <v>1941.0</v>
      </c>
      <c r="C129" s="156">
        <v>2.17066873E8</v>
      </c>
    </row>
    <row r="130">
      <c r="A130" s="150" t="s">
        <v>91</v>
      </c>
      <c r="B130" s="151">
        <v>1942.0</v>
      </c>
      <c r="C130" s="156">
        <v>2.18997064E8</v>
      </c>
    </row>
    <row r="131">
      <c r="A131" s="150" t="s">
        <v>91</v>
      </c>
      <c r="B131" s="151">
        <v>1943.0</v>
      </c>
      <c r="C131" s="156">
        <v>2.21575393E8</v>
      </c>
    </row>
    <row r="132">
      <c r="A132" s="150" t="s">
        <v>91</v>
      </c>
      <c r="B132" s="151">
        <v>1944.0</v>
      </c>
      <c r="C132" s="156">
        <v>2.43153472E8</v>
      </c>
    </row>
    <row r="133">
      <c r="A133" s="150" t="s">
        <v>91</v>
      </c>
      <c r="B133" s="151">
        <v>1945.0</v>
      </c>
      <c r="C133" s="156">
        <v>2.62049824E8</v>
      </c>
    </row>
    <row r="134">
      <c r="A134" s="150" t="s">
        <v>91</v>
      </c>
      <c r="B134" s="151">
        <v>1946.0</v>
      </c>
      <c r="C134" s="156">
        <v>3.78355799E8</v>
      </c>
    </row>
    <row r="135">
      <c r="A135" s="150" t="s">
        <v>91</v>
      </c>
      <c r="B135" s="151">
        <v>1947.0</v>
      </c>
      <c r="C135" s="156">
        <v>7.28074977E8</v>
      </c>
    </row>
    <row r="136">
      <c r="A136" s="150" t="s">
        <v>91</v>
      </c>
      <c r="B136" s="151">
        <v>1948.0</v>
      </c>
      <c r="C136" s="156">
        <v>7.63054211E8</v>
      </c>
    </row>
    <row r="137">
      <c r="A137" s="150" t="s">
        <v>91</v>
      </c>
      <c r="B137" s="151">
        <v>1949.0</v>
      </c>
      <c r="C137" s="156">
        <v>7.65677302E8</v>
      </c>
    </row>
    <row r="138">
      <c r="A138" s="150" t="s">
        <v>91</v>
      </c>
      <c r="B138" s="151">
        <v>1950.0</v>
      </c>
      <c r="C138" s="156">
        <v>7.93192527E8</v>
      </c>
    </row>
    <row r="139">
      <c r="A139" s="150" t="s">
        <v>91</v>
      </c>
      <c r="B139" s="151">
        <v>1951.0</v>
      </c>
      <c r="C139" s="156">
        <v>8.04621158E8</v>
      </c>
    </row>
    <row r="140">
      <c r="A140" s="150" t="s">
        <v>91</v>
      </c>
      <c r="B140" s="151">
        <v>1952.0</v>
      </c>
      <c r="C140" s="156">
        <v>9.04243003E8</v>
      </c>
    </row>
    <row r="141">
      <c r="A141" s="150" t="s">
        <v>91</v>
      </c>
      <c r="B141" s="151">
        <v>1953.0</v>
      </c>
      <c r="C141" s="156">
        <v>9.18257906E8</v>
      </c>
    </row>
    <row r="142">
      <c r="A142" s="150" t="s">
        <v>91</v>
      </c>
      <c r="B142" s="151">
        <v>1954.0</v>
      </c>
      <c r="C142" s="156">
        <v>9.1257017E8</v>
      </c>
    </row>
    <row r="143">
      <c r="A143" s="150" t="s">
        <v>91</v>
      </c>
      <c r="B143" s="151">
        <v>1955.0</v>
      </c>
      <c r="C143" s="156">
        <v>9.26742962E8</v>
      </c>
    </row>
    <row r="144">
      <c r="A144" s="150" t="s">
        <v>91</v>
      </c>
      <c r="B144" s="151">
        <v>1956.0</v>
      </c>
      <c r="C144" s="156">
        <v>9.91587699E8</v>
      </c>
    </row>
    <row r="145">
      <c r="A145" s="150" t="s">
        <v>91</v>
      </c>
      <c r="B145" s="151">
        <v>1957.0</v>
      </c>
      <c r="C145" s="156">
        <v>1.031608112E9</v>
      </c>
    </row>
    <row r="146">
      <c r="A146" s="150" t="s">
        <v>91</v>
      </c>
      <c r="B146" s="151">
        <v>1958.0</v>
      </c>
      <c r="C146" s="156">
        <v>1.022676956E9</v>
      </c>
    </row>
    <row r="147">
      <c r="A147" s="150" t="s">
        <v>91</v>
      </c>
      <c r="B147" s="151">
        <v>1959.0</v>
      </c>
      <c r="C147" s="156">
        <v>1.04379469E9</v>
      </c>
    </row>
    <row r="148">
      <c r="A148" s="150" t="s">
        <v>91</v>
      </c>
      <c r="B148" s="151">
        <v>1960.0</v>
      </c>
      <c r="C148" s="156">
        <v>1.162666403E9</v>
      </c>
    </row>
    <row r="149">
      <c r="A149" s="150" t="s">
        <v>91</v>
      </c>
      <c r="B149" s="151">
        <v>1961.0</v>
      </c>
      <c r="C149" s="156">
        <v>1.08546463E9</v>
      </c>
    </row>
    <row r="150">
      <c r="A150" s="150" t="s">
        <v>91</v>
      </c>
      <c r="B150" s="151">
        <v>1962.0</v>
      </c>
      <c r="C150" s="156">
        <v>1.094061449E9</v>
      </c>
    </row>
    <row r="151">
      <c r="A151" s="150" t="s">
        <v>91</v>
      </c>
      <c r="B151" s="151">
        <v>1963.0</v>
      </c>
      <c r="C151" s="156">
        <v>1.107110387E9</v>
      </c>
    </row>
    <row r="152">
      <c r="A152" s="150" t="s">
        <v>91</v>
      </c>
      <c r="B152" s="151">
        <v>1964.0</v>
      </c>
      <c r="C152" s="156">
        <v>1.134790327E9</v>
      </c>
    </row>
    <row r="153">
      <c r="A153" s="150" t="s">
        <v>91</v>
      </c>
      <c r="B153" s="151">
        <v>1965.0</v>
      </c>
      <c r="C153" s="156">
        <v>1.165273471E9</v>
      </c>
    </row>
    <row r="154">
      <c r="A154" s="150" t="s">
        <v>91</v>
      </c>
      <c r="B154" s="151">
        <v>1966.0</v>
      </c>
      <c r="C154" s="156">
        <v>1.126461752E9</v>
      </c>
    </row>
    <row r="155">
      <c r="A155" s="150" t="s">
        <v>91</v>
      </c>
      <c r="B155" s="151">
        <v>1967.0</v>
      </c>
      <c r="C155" s="156">
        <v>1.143141395E9</v>
      </c>
    </row>
    <row r="156">
      <c r="A156" s="150" t="s">
        <v>91</v>
      </c>
      <c r="B156" s="151">
        <v>1968.0</v>
      </c>
      <c r="C156" s="156">
        <v>1.163953765E9</v>
      </c>
    </row>
    <row r="157">
      <c r="A157" s="150" t="s">
        <v>91</v>
      </c>
      <c r="B157" s="151">
        <v>1969.0</v>
      </c>
      <c r="C157" s="156">
        <v>1.208569504E9</v>
      </c>
    </row>
    <row r="158">
      <c r="A158" s="150" t="s">
        <v>91</v>
      </c>
      <c r="B158" s="151">
        <v>1970.0</v>
      </c>
      <c r="C158" s="156">
        <v>1.22805743E9</v>
      </c>
    </row>
    <row r="159">
      <c r="A159" s="150" t="s">
        <v>91</v>
      </c>
      <c r="B159" s="151">
        <v>1971.0</v>
      </c>
      <c r="C159" s="156">
        <v>1.209462089E9</v>
      </c>
    </row>
    <row r="160">
      <c r="A160" s="150" t="s">
        <v>91</v>
      </c>
      <c r="B160" s="151">
        <v>1972.0</v>
      </c>
      <c r="C160" s="156">
        <v>1.298025201E9</v>
      </c>
    </row>
    <row r="161">
      <c r="A161" s="150" t="s">
        <v>91</v>
      </c>
      <c r="B161" s="151">
        <v>1973.0</v>
      </c>
      <c r="C161" s="156">
        <v>1.436526971E9</v>
      </c>
    </row>
    <row r="162">
      <c r="A162" s="150" t="s">
        <v>91</v>
      </c>
      <c r="B162" s="151">
        <v>1974.0</v>
      </c>
      <c r="C162" s="156">
        <v>1.39135918E9</v>
      </c>
    </row>
    <row r="163">
      <c r="A163" s="150" t="s">
        <v>91</v>
      </c>
      <c r="B163" s="151">
        <v>1975.0</v>
      </c>
      <c r="C163" s="156">
        <v>1.424518165E9</v>
      </c>
    </row>
    <row r="164">
      <c r="A164" s="150" t="s">
        <v>91</v>
      </c>
      <c r="B164" s="151">
        <v>1976.0</v>
      </c>
      <c r="C164" s="156">
        <v>1.431898303E9</v>
      </c>
    </row>
    <row r="165">
      <c r="A165" s="150" t="s">
        <v>91</v>
      </c>
      <c r="B165" s="151">
        <v>1977.0</v>
      </c>
      <c r="C165" s="156">
        <v>1.383616957E9</v>
      </c>
    </row>
    <row r="166">
      <c r="A166" s="150" t="s">
        <v>91</v>
      </c>
      <c r="B166" s="151">
        <v>1978.0</v>
      </c>
      <c r="C166" s="156">
        <v>1.448822136E9</v>
      </c>
    </row>
    <row r="167">
      <c r="A167" s="150" t="s">
        <v>91</v>
      </c>
      <c r="B167" s="151">
        <v>1979.0</v>
      </c>
      <c r="C167" s="156">
        <v>1.56397612E9</v>
      </c>
    </row>
    <row r="168">
      <c r="A168" s="150" t="s">
        <v>91</v>
      </c>
      <c r="B168" s="151">
        <v>1980.0</v>
      </c>
      <c r="C168" s="156">
        <v>1.563306543E9</v>
      </c>
    </row>
    <row r="169">
      <c r="A169" s="150" t="s">
        <v>91</v>
      </c>
      <c r="B169" s="151">
        <v>1981.0</v>
      </c>
      <c r="C169" s="156">
        <v>1.577844954E9</v>
      </c>
    </row>
    <row r="170">
      <c r="A170" s="150" t="s">
        <v>91</v>
      </c>
      <c r="B170" s="151">
        <v>1982.0</v>
      </c>
      <c r="C170" s="156">
        <v>1.597327226E9</v>
      </c>
    </row>
    <row r="171">
      <c r="A171" s="150" t="s">
        <v>91</v>
      </c>
      <c r="B171" s="151">
        <v>1983.0</v>
      </c>
      <c r="C171" s="156">
        <v>1.699821891E9</v>
      </c>
    </row>
    <row r="172">
      <c r="A172" s="150" t="s">
        <v>91</v>
      </c>
      <c r="B172" s="151">
        <v>1984.0</v>
      </c>
      <c r="C172" s="156">
        <v>1.648595085E9</v>
      </c>
    </row>
    <row r="173">
      <c r="A173" s="150" t="s">
        <v>91</v>
      </c>
      <c r="B173" s="151">
        <v>1985.0</v>
      </c>
      <c r="C173" s="156">
        <v>1.809351009E9</v>
      </c>
    </row>
    <row r="174">
      <c r="A174" s="150" t="s">
        <v>91</v>
      </c>
      <c r="B174" s="151">
        <v>1986.0</v>
      </c>
      <c r="C174" s="156">
        <v>1.857146529E9</v>
      </c>
    </row>
    <row r="175">
      <c r="A175" s="150" t="s">
        <v>91</v>
      </c>
      <c r="B175" s="151">
        <v>1987.0</v>
      </c>
      <c r="C175" s="156">
        <v>1.942599438E9</v>
      </c>
    </row>
    <row r="176">
      <c r="A176" s="150" t="s">
        <v>91</v>
      </c>
      <c r="B176" s="151">
        <v>1988.0</v>
      </c>
      <c r="C176" s="156">
        <v>2.120757228E9</v>
      </c>
    </row>
    <row r="177">
      <c r="A177" s="150" t="s">
        <v>91</v>
      </c>
      <c r="B177" s="151">
        <v>1989.0</v>
      </c>
      <c r="C177" s="156">
        <v>2.154869288E9</v>
      </c>
    </row>
    <row r="178">
      <c r="A178" s="150" t="s">
        <v>91</v>
      </c>
      <c r="B178" s="151">
        <v>1990.0</v>
      </c>
      <c r="C178" s="156">
        <v>2.300414255E9</v>
      </c>
    </row>
    <row r="179">
      <c r="A179" s="150" t="s">
        <v>91</v>
      </c>
      <c r="B179" s="151">
        <v>1991.0</v>
      </c>
      <c r="C179" s="156">
        <v>2.564976917E9</v>
      </c>
    </row>
    <row r="180">
      <c r="A180" s="150" t="s">
        <v>91</v>
      </c>
      <c r="B180" s="151">
        <v>1992.0</v>
      </c>
      <c r="C180" s="156">
        <v>2.734804505E9</v>
      </c>
    </row>
    <row r="181">
      <c r="A181" s="150" t="s">
        <v>91</v>
      </c>
      <c r="B181" s="151">
        <v>1993.0</v>
      </c>
      <c r="C181" s="156">
        <v>2.745115305E9</v>
      </c>
    </row>
    <row r="182">
      <c r="A182" s="150" t="s">
        <v>91</v>
      </c>
      <c r="B182" s="151">
        <v>1994.0</v>
      </c>
      <c r="C182" s="156">
        <v>2.845350123E9</v>
      </c>
    </row>
    <row r="183">
      <c r="A183" s="150" t="s">
        <v>91</v>
      </c>
      <c r="B183" s="151">
        <v>1995.0</v>
      </c>
      <c r="C183" s="156">
        <v>2.871930422E9</v>
      </c>
    </row>
    <row r="184">
      <c r="A184" s="150" t="s">
        <v>91</v>
      </c>
      <c r="B184" s="151">
        <v>1996.0</v>
      </c>
      <c r="C184" s="156">
        <v>2.934270227E9</v>
      </c>
    </row>
    <row r="185">
      <c r="A185" s="150" t="s">
        <v>91</v>
      </c>
      <c r="B185" s="151">
        <v>1997.0</v>
      </c>
      <c r="C185" s="156">
        <v>3.069482118E9</v>
      </c>
    </row>
    <row r="186">
      <c r="A186" s="150" t="s">
        <v>91</v>
      </c>
      <c r="B186" s="151">
        <v>1998.0</v>
      </c>
      <c r="C186" s="156">
        <v>3.10882519E9</v>
      </c>
    </row>
    <row r="187">
      <c r="A187" s="150" t="s">
        <v>91</v>
      </c>
      <c r="B187" s="151">
        <v>1999.0</v>
      </c>
      <c r="C187" s="156">
        <v>3.235302507E9</v>
      </c>
    </row>
    <row r="188">
      <c r="A188" s="150" t="s">
        <v>91</v>
      </c>
      <c r="B188" s="151">
        <v>2000.0</v>
      </c>
      <c r="C188" s="156">
        <v>3.435545E9</v>
      </c>
    </row>
    <row r="189">
      <c r="A189" s="150" t="s">
        <v>91</v>
      </c>
      <c r="B189" s="151">
        <v>2001.0</v>
      </c>
      <c r="C189" s="156">
        <v>3.531064744E9</v>
      </c>
    </row>
    <row r="190">
      <c r="A190" s="150" t="s">
        <v>91</v>
      </c>
      <c r="B190" s="151">
        <v>2002.0</v>
      </c>
      <c r="C190" s="156">
        <v>3.58333238E9</v>
      </c>
    </row>
    <row r="191">
      <c r="A191" s="150" t="s">
        <v>91</v>
      </c>
      <c r="B191" s="151">
        <v>2003.0</v>
      </c>
      <c r="C191" s="156">
        <v>3.60510712E9</v>
      </c>
    </row>
    <row r="192">
      <c r="A192" s="150" t="s">
        <v>91</v>
      </c>
      <c r="B192" s="151">
        <v>2004.0</v>
      </c>
      <c r="C192" s="156">
        <v>3.677252816E9</v>
      </c>
    </row>
    <row r="193">
      <c r="A193" s="150" t="s">
        <v>91</v>
      </c>
      <c r="B193" s="151">
        <v>2005.0</v>
      </c>
      <c r="C193" s="156">
        <v>3.731156069E9</v>
      </c>
    </row>
    <row r="194">
      <c r="A194" s="150" t="s">
        <v>91</v>
      </c>
      <c r="B194" s="151">
        <v>2006.0</v>
      </c>
      <c r="C194" s="156">
        <v>3.738885795E9</v>
      </c>
    </row>
    <row r="195">
      <c r="A195" s="150" t="s">
        <v>91</v>
      </c>
      <c r="B195" s="151">
        <v>2007.0</v>
      </c>
      <c r="C195" s="156">
        <v>3.484248995E9</v>
      </c>
    </row>
    <row r="196">
      <c r="A196" s="150" t="s">
        <v>91</v>
      </c>
      <c r="B196" s="151">
        <v>2008.0</v>
      </c>
      <c r="C196" s="156">
        <v>3.563508172E9</v>
      </c>
    </row>
    <row r="197">
      <c r="A197" s="150" t="s">
        <v>91</v>
      </c>
      <c r="B197" s="151">
        <v>2009.0</v>
      </c>
      <c r="C197" s="156">
        <v>3.547716117E9</v>
      </c>
    </row>
    <row r="198">
      <c r="A198" s="150" t="s">
        <v>91</v>
      </c>
      <c r="B198" s="151">
        <v>2010.0</v>
      </c>
      <c r="C198" s="156">
        <v>3.75976191E9</v>
      </c>
    </row>
    <row r="199">
      <c r="A199" s="150" t="s">
        <v>91</v>
      </c>
      <c r="B199" s="151">
        <v>2011.0</v>
      </c>
      <c r="C199" s="156">
        <v>3.89209208E9</v>
      </c>
    </row>
    <row r="200">
      <c r="A200" s="150" t="s">
        <v>91</v>
      </c>
      <c r="B200" s="151">
        <v>2012.0</v>
      </c>
      <c r="C200" s="156">
        <v>3.916319135E9</v>
      </c>
    </row>
    <row r="201">
      <c r="A201" s="150" t="s">
        <v>91</v>
      </c>
      <c r="B201" s="151">
        <v>2013.0</v>
      </c>
      <c r="C201" s="156">
        <v>3.968452243E9</v>
      </c>
    </row>
    <row r="202">
      <c r="A202" s="150" t="s">
        <v>91</v>
      </c>
      <c r="B202" s="151">
        <v>2014.0</v>
      </c>
      <c r="C202" s="156">
        <v>3.848772306E9</v>
      </c>
    </row>
    <row r="203">
      <c r="A203" s="150" t="s">
        <v>91</v>
      </c>
      <c r="B203" s="151">
        <v>2015.0</v>
      </c>
      <c r="C203" s="156">
        <v>4.101291986E9</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1.22" defaultRowHeight="15.0"/>
  <sheetData>
    <row r="1"/>
    <row r="2">
      <c r="D2" s="99" t="s">
        <v>113</v>
      </c>
      <c r="E2" s="99" t="s">
        <v>18</v>
      </c>
    </row>
    <row r="3">
      <c r="D3" t="str">
        <f t="shared" ref="D3:D14" si="1">sum(B3:C3)</f>
        <v>#N/A</v>
      </c>
      <c r="E3" s="157" t="str">
        <f t="shared" ref="E3:E14" si="2">B3/D3</f>
        <v>#N/A</v>
      </c>
    </row>
    <row r="4">
      <c r="D4">
        <f t="shared" si="1"/>
        <v>0</v>
      </c>
      <c r="E4" s="157" t="str">
        <f t="shared" si="2"/>
        <v>#DIV/0!</v>
      </c>
    </row>
    <row r="5">
      <c r="D5">
        <f t="shared" si="1"/>
        <v>0</v>
      </c>
      <c r="E5" s="157" t="str">
        <f t="shared" si="2"/>
        <v>#DIV/0!</v>
      </c>
    </row>
    <row r="6">
      <c r="D6">
        <f t="shared" si="1"/>
        <v>0</v>
      </c>
      <c r="E6" s="157" t="str">
        <f t="shared" si="2"/>
        <v>#DIV/0!</v>
      </c>
    </row>
    <row r="7">
      <c r="D7">
        <f t="shared" si="1"/>
        <v>0</v>
      </c>
      <c r="E7" s="157" t="str">
        <f t="shared" si="2"/>
        <v>#DIV/0!</v>
      </c>
    </row>
    <row r="8">
      <c r="D8">
        <f t="shared" si="1"/>
        <v>0</v>
      </c>
      <c r="E8" s="157" t="str">
        <f t="shared" si="2"/>
        <v>#DIV/0!</v>
      </c>
    </row>
    <row r="9">
      <c r="D9">
        <f t="shared" si="1"/>
        <v>0</v>
      </c>
      <c r="E9" s="157" t="str">
        <f t="shared" si="2"/>
        <v>#DIV/0!</v>
      </c>
    </row>
    <row r="10">
      <c r="D10">
        <f t="shared" si="1"/>
        <v>0</v>
      </c>
      <c r="E10" s="157" t="str">
        <f t="shared" si="2"/>
        <v>#DIV/0!</v>
      </c>
    </row>
    <row r="11">
      <c r="D11">
        <f t="shared" si="1"/>
        <v>0</v>
      </c>
      <c r="E11" s="157" t="str">
        <f t="shared" si="2"/>
        <v>#DIV/0!</v>
      </c>
    </row>
    <row r="12">
      <c r="D12">
        <f t="shared" si="1"/>
        <v>0</v>
      </c>
      <c r="E12" s="157" t="str">
        <f t="shared" si="2"/>
        <v>#DIV/0!</v>
      </c>
    </row>
    <row r="13">
      <c r="D13">
        <f t="shared" si="1"/>
        <v>0</v>
      </c>
      <c r="E13" s="157" t="str">
        <f t="shared" si="2"/>
        <v>#DIV/0!</v>
      </c>
    </row>
    <row r="14">
      <c r="D14">
        <f t="shared" si="1"/>
        <v>0</v>
      </c>
      <c r="E14" s="157" t="str">
        <f t="shared" si="2"/>
        <v>#DIV/0!</v>
      </c>
    </row>
  </sheetData>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7" max="7" width="14.67"/>
    <col customWidth="1" min="9" max="9" width="14.33"/>
  </cols>
  <sheetData>
    <row r="2">
      <c r="B2" s="123" t="s">
        <v>114</v>
      </c>
      <c r="C2" t="str">
        <f>IFERROR(__xludf.DUMMYFUNCTION("IMPORTRANGE(""https://docs.google.com/spreadsheets/d/1d0noZrwAWxNBTDSfDgG06_aLGWUz4R6fgDhRaUZbDzE"", ""data-for-countries-etc-by-year!A:D"")"),"geo")</f>
        <v>geo</v>
      </c>
      <c r="D2" t="str">
        <f>IFERROR(__xludf.DUMMYFUNCTION("""COMPUTED_VALUE"""),"name")</f>
        <v>name</v>
      </c>
      <c r="E2" t="str">
        <f>IFERROR(__xludf.DUMMYFUNCTION("""COMPUTED_VALUE"""),"time")</f>
        <v>time</v>
      </c>
      <c r="F2" s="162" t="str">
        <f>IFERROR(__xludf.DUMMYFUNCTION("""COMPUTED_VALUE"""),"Democracy index (EIU)")</f>
        <v>Democracy index (EIU)</v>
      </c>
      <c r="G2" s="163" t="s">
        <v>115</v>
      </c>
      <c r="H2" s="99" t="s">
        <v>116</v>
      </c>
      <c r="I2" s="99" t="s">
        <v>111</v>
      </c>
    </row>
    <row r="3">
      <c r="B3" t="str">
        <f t="shared" ref="B3:B2006" si="1">C3&amp;"#"&amp;E3</f>
        <v>#</v>
      </c>
      <c r="G3" t="str">
        <f>vlookup(B3,'imported-population-for-countri'!$A$4:$E$17930,5,false)</f>
        <v>#N/A</v>
      </c>
      <c r="H3" t="str">
        <f t="shared" ref="H3:H2006" si="2">G3*F3</f>
        <v>#N/A</v>
      </c>
      <c r="I3" t="str">
        <f t="shared" ref="I3:I2006" si="3">if(F3&gt;59.999,"Democratic", "Non-democratic")</f>
        <v>Non-democratic</v>
      </c>
    </row>
    <row r="4">
      <c r="B4" t="str">
        <f t="shared" si="1"/>
        <v>#</v>
      </c>
      <c r="G4" t="str">
        <f>vlookup(B4,'imported-population-for-countri'!$A$4:$E$17930,5,false)</f>
        <v>#N/A</v>
      </c>
      <c r="H4" t="str">
        <f t="shared" si="2"/>
        <v>#N/A</v>
      </c>
      <c r="I4" t="str">
        <f t="shared" si="3"/>
        <v>Non-democratic</v>
      </c>
    </row>
    <row r="5">
      <c r="B5" t="str">
        <f t="shared" si="1"/>
        <v>#</v>
      </c>
      <c r="G5" t="str">
        <f>vlookup(B5,'imported-population-for-countri'!$A$4:$E$17930,5,false)</f>
        <v>#N/A</v>
      </c>
      <c r="H5" t="str">
        <f t="shared" si="2"/>
        <v>#N/A</v>
      </c>
      <c r="I5" t="str">
        <f t="shared" si="3"/>
        <v>Non-democratic</v>
      </c>
    </row>
    <row r="6">
      <c r="B6" t="str">
        <f t="shared" si="1"/>
        <v>#</v>
      </c>
      <c r="G6" t="str">
        <f>vlookup(B6,'imported-population-for-countri'!$A$4:$E$17930,5,false)</f>
        <v>#N/A</v>
      </c>
      <c r="H6" t="str">
        <f t="shared" si="2"/>
        <v>#N/A</v>
      </c>
      <c r="I6" t="str">
        <f t="shared" si="3"/>
        <v>Non-democratic</v>
      </c>
    </row>
    <row r="7">
      <c r="B7" t="str">
        <f t="shared" si="1"/>
        <v>#</v>
      </c>
      <c r="G7" t="str">
        <f>vlookup(B7,'imported-population-for-countri'!$A$4:$E$17930,5,false)</f>
        <v>#N/A</v>
      </c>
      <c r="H7" t="str">
        <f t="shared" si="2"/>
        <v>#N/A</v>
      </c>
      <c r="I7" t="str">
        <f t="shared" si="3"/>
        <v>Non-democratic</v>
      </c>
    </row>
    <row r="8">
      <c r="B8" t="str">
        <f t="shared" si="1"/>
        <v>#</v>
      </c>
      <c r="G8" t="str">
        <f>vlookup(B8,'imported-population-for-countri'!$A$4:$E$17930,5,false)</f>
        <v>#N/A</v>
      </c>
      <c r="H8" t="str">
        <f t="shared" si="2"/>
        <v>#N/A</v>
      </c>
      <c r="I8" t="str">
        <f t="shared" si="3"/>
        <v>Non-democratic</v>
      </c>
    </row>
    <row r="9">
      <c r="B9" t="str">
        <f t="shared" si="1"/>
        <v>#</v>
      </c>
      <c r="G9" t="str">
        <f>vlookup(B9,'imported-population-for-countri'!$A$4:$E$17930,5,false)</f>
        <v>#N/A</v>
      </c>
      <c r="H9" t="str">
        <f t="shared" si="2"/>
        <v>#N/A</v>
      </c>
      <c r="I9" t="str">
        <f t="shared" si="3"/>
        <v>Non-democratic</v>
      </c>
    </row>
    <row r="10">
      <c r="B10" t="str">
        <f t="shared" si="1"/>
        <v>#</v>
      </c>
      <c r="G10" t="str">
        <f>vlookup(B10,'imported-population-for-countri'!$A$4:$E$17930,5,false)</f>
        <v>#N/A</v>
      </c>
      <c r="H10" t="str">
        <f t="shared" si="2"/>
        <v>#N/A</v>
      </c>
      <c r="I10" t="str">
        <f t="shared" si="3"/>
        <v>Non-democratic</v>
      </c>
    </row>
    <row r="11">
      <c r="B11" t="str">
        <f t="shared" si="1"/>
        <v>#</v>
      </c>
      <c r="G11" t="str">
        <f>vlookup(B11,'imported-population-for-countri'!$A$4:$E$17930,5,false)</f>
        <v>#N/A</v>
      </c>
      <c r="H11" t="str">
        <f t="shared" si="2"/>
        <v>#N/A</v>
      </c>
      <c r="I11" t="str">
        <f t="shared" si="3"/>
        <v>Non-democratic</v>
      </c>
    </row>
    <row r="12">
      <c r="B12" t="str">
        <f t="shared" si="1"/>
        <v>#</v>
      </c>
      <c r="G12" t="str">
        <f>vlookup(B12,'imported-population-for-countri'!$A$4:$E$17930,5,false)</f>
        <v>#N/A</v>
      </c>
      <c r="H12" t="str">
        <f t="shared" si="2"/>
        <v>#N/A</v>
      </c>
      <c r="I12" t="str">
        <f t="shared" si="3"/>
        <v>Non-democratic</v>
      </c>
    </row>
    <row r="13">
      <c r="B13" t="str">
        <f t="shared" si="1"/>
        <v>#</v>
      </c>
      <c r="G13" t="str">
        <f>vlookup(B13,'imported-population-for-countri'!$A$4:$E$17930,5,false)</f>
        <v>#N/A</v>
      </c>
      <c r="H13" t="str">
        <f t="shared" si="2"/>
        <v>#N/A</v>
      </c>
      <c r="I13" t="str">
        <f t="shared" si="3"/>
        <v>Non-democratic</v>
      </c>
    </row>
    <row r="14">
      <c r="B14" t="str">
        <f t="shared" si="1"/>
        <v>#</v>
      </c>
      <c r="G14" t="str">
        <f>vlookup(B14,'imported-population-for-countri'!$A$4:$E$17930,5,false)</f>
        <v>#N/A</v>
      </c>
      <c r="H14" t="str">
        <f t="shared" si="2"/>
        <v>#N/A</v>
      </c>
      <c r="I14" t="str">
        <f t="shared" si="3"/>
        <v>Non-democratic</v>
      </c>
    </row>
    <row r="15">
      <c r="B15" t="str">
        <f t="shared" si="1"/>
        <v>#</v>
      </c>
      <c r="G15" t="str">
        <f>vlookup(B15,'imported-population-for-countri'!$A$4:$E$17930,5,false)</f>
        <v>#N/A</v>
      </c>
      <c r="H15" t="str">
        <f t="shared" si="2"/>
        <v>#N/A</v>
      </c>
      <c r="I15" t="str">
        <f t="shared" si="3"/>
        <v>Non-democratic</v>
      </c>
    </row>
    <row r="16">
      <c r="B16" t="str">
        <f t="shared" si="1"/>
        <v>#</v>
      </c>
      <c r="G16" t="str">
        <f>vlookup(B16,'imported-population-for-countri'!$A$4:$E$17930,5,false)</f>
        <v>#N/A</v>
      </c>
      <c r="H16" t="str">
        <f t="shared" si="2"/>
        <v>#N/A</v>
      </c>
      <c r="I16" t="str">
        <f t="shared" si="3"/>
        <v>Non-democratic</v>
      </c>
    </row>
    <row r="17">
      <c r="B17" t="str">
        <f t="shared" si="1"/>
        <v>#</v>
      </c>
      <c r="G17" t="str">
        <f>vlookup(B17,'imported-population-for-countri'!$A$4:$E$17930,5,false)</f>
        <v>#N/A</v>
      </c>
      <c r="H17" t="str">
        <f t="shared" si="2"/>
        <v>#N/A</v>
      </c>
      <c r="I17" t="str">
        <f t="shared" si="3"/>
        <v>Non-democratic</v>
      </c>
    </row>
    <row r="18">
      <c r="B18" t="str">
        <f t="shared" si="1"/>
        <v>#</v>
      </c>
      <c r="G18" t="str">
        <f>vlookup(B18,'imported-population-for-countri'!$A$4:$E$17930,5,false)</f>
        <v>#N/A</v>
      </c>
      <c r="H18" t="str">
        <f t="shared" si="2"/>
        <v>#N/A</v>
      </c>
      <c r="I18" t="str">
        <f t="shared" si="3"/>
        <v>Non-democratic</v>
      </c>
    </row>
    <row r="19">
      <c r="B19" t="str">
        <f t="shared" si="1"/>
        <v>#</v>
      </c>
      <c r="G19" t="str">
        <f>vlookup(B19,'imported-population-for-countri'!$A$4:$E$17930,5,false)</f>
        <v>#N/A</v>
      </c>
      <c r="H19" t="str">
        <f t="shared" si="2"/>
        <v>#N/A</v>
      </c>
      <c r="I19" t="str">
        <f t="shared" si="3"/>
        <v>Non-democratic</v>
      </c>
    </row>
    <row r="20">
      <c r="B20" t="str">
        <f t="shared" si="1"/>
        <v>#</v>
      </c>
      <c r="G20" t="str">
        <f>vlookup(B20,'imported-population-for-countri'!$A$4:$E$17930,5,false)</f>
        <v>#N/A</v>
      </c>
      <c r="H20" t="str">
        <f t="shared" si="2"/>
        <v>#N/A</v>
      </c>
      <c r="I20" t="str">
        <f t="shared" si="3"/>
        <v>Non-democratic</v>
      </c>
    </row>
    <row r="21">
      <c r="B21" t="str">
        <f t="shared" si="1"/>
        <v>#</v>
      </c>
      <c r="G21" t="str">
        <f>vlookup(B21,'imported-population-for-countri'!$A$4:$E$17930,5,false)</f>
        <v>#N/A</v>
      </c>
      <c r="H21" t="str">
        <f t="shared" si="2"/>
        <v>#N/A</v>
      </c>
      <c r="I21" t="str">
        <f t="shared" si="3"/>
        <v>Non-democratic</v>
      </c>
    </row>
    <row r="22">
      <c r="B22" t="str">
        <f t="shared" si="1"/>
        <v>#</v>
      </c>
      <c r="G22" t="str">
        <f>vlookup(B22,'imported-population-for-countri'!$A$4:$E$17930,5,false)</f>
        <v>#N/A</v>
      </c>
      <c r="H22" t="str">
        <f t="shared" si="2"/>
        <v>#N/A</v>
      </c>
      <c r="I22" t="str">
        <f t="shared" si="3"/>
        <v>Non-democratic</v>
      </c>
    </row>
    <row r="23">
      <c r="B23" t="str">
        <f t="shared" si="1"/>
        <v>#</v>
      </c>
      <c r="G23" t="str">
        <f>vlookup(B23,'imported-population-for-countri'!$A$4:$E$17930,5,false)</f>
        <v>#N/A</v>
      </c>
      <c r="H23" t="str">
        <f t="shared" si="2"/>
        <v>#N/A</v>
      </c>
      <c r="I23" t="str">
        <f t="shared" si="3"/>
        <v>Non-democratic</v>
      </c>
    </row>
    <row r="24">
      <c r="B24" t="str">
        <f t="shared" si="1"/>
        <v>#</v>
      </c>
      <c r="G24" t="str">
        <f>vlookup(B24,'imported-population-for-countri'!$A$4:$E$17930,5,false)</f>
        <v>#N/A</v>
      </c>
      <c r="H24" t="str">
        <f t="shared" si="2"/>
        <v>#N/A</v>
      </c>
      <c r="I24" t="str">
        <f t="shared" si="3"/>
        <v>Non-democratic</v>
      </c>
    </row>
    <row r="25">
      <c r="B25" t="str">
        <f t="shared" si="1"/>
        <v>#</v>
      </c>
      <c r="G25" t="str">
        <f>vlookup(B25,'imported-population-for-countri'!$A$4:$E$17930,5,false)</f>
        <v>#N/A</v>
      </c>
      <c r="H25" t="str">
        <f t="shared" si="2"/>
        <v>#N/A</v>
      </c>
      <c r="I25" t="str">
        <f t="shared" si="3"/>
        <v>Non-democratic</v>
      </c>
    </row>
    <row r="26">
      <c r="B26" t="str">
        <f t="shared" si="1"/>
        <v>#</v>
      </c>
      <c r="G26" t="str">
        <f>vlookup(B26,'imported-population-for-countri'!$A$4:$E$17930,5,false)</f>
        <v>#N/A</v>
      </c>
      <c r="H26" t="str">
        <f t="shared" si="2"/>
        <v>#N/A</v>
      </c>
      <c r="I26" t="str">
        <f t="shared" si="3"/>
        <v>Non-democratic</v>
      </c>
    </row>
    <row r="27">
      <c r="B27" t="str">
        <f t="shared" si="1"/>
        <v>#</v>
      </c>
      <c r="G27" t="str">
        <f>vlookup(B27,'imported-population-for-countri'!$A$4:$E$17930,5,false)</f>
        <v>#N/A</v>
      </c>
      <c r="H27" t="str">
        <f t="shared" si="2"/>
        <v>#N/A</v>
      </c>
      <c r="I27" t="str">
        <f t="shared" si="3"/>
        <v>Non-democratic</v>
      </c>
    </row>
    <row r="28">
      <c r="B28" t="str">
        <f t="shared" si="1"/>
        <v>#</v>
      </c>
      <c r="G28" t="str">
        <f>vlookup(B28,'imported-population-for-countri'!$A$4:$E$17930,5,false)</f>
        <v>#N/A</v>
      </c>
      <c r="H28" t="str">
        <f t="shared" si="2"/>
        <v>#N/A</v>
      </c>
      <c r="I28" t="str">
        <f t="shared" si="3"/>
        <v>Non-democratic</v>
      </c>
    </row>
    <row r="29">
      <c r="B29" t="str">
        <f t="shared" si="1"/>
        <v>#</v>
      </c>
      <c r="G29" t="str">
        <f>vlookup(B29,'imported-population-for-countri'!$A$4:$E$17930,5,false)</f>
        <v>#N/A</v>
      </c>
      <c r="H29" t="str">
        <f t="shared" si="2"/>
        <v>#N/A</v>
      </c>
      <c r="I29" t="str">
        <f t="shared" si="3"/>
        <v>Non-democratic</v>
      </c>
    </row>
    <row r="30">
      <c r="B30" t="str">
        <f t="shared" si="1"/>
        <v>#</v>
      </c>
      <c r="G30" t="str">
        <f>vlookup(B30,'imported-population-for-countri'!$A$4:$E$17930,5,false)</f>
        <v>#N/A</v>
      </c>
      <c r="H30" t="str">
        <f t="shared" si="2"/>
        <v>#N/A</v>
      </c>
      <c r="I30" t="str">
        <f t="shared" si="3"/>
        <v>Non-democratic</v>
      </c>
    </row>
    <row r="31">
      <c r="B31" t="str">
        <f t="shared" si="1"/>
        <v>#</v>
      </c>
      <c r="G31" t="str">
        <f>vlookup(B31,'imported-population-for-countri'!$A$4:$E$17930,5,false)</f>
        <v>#N/A</v>
      </c>
      <c r="H31" t="str">
        <f t="shared" si="2"/>
        <v>#N/A</v>
      </c>
      <c r="I31" t="str">
        <f t="shared" si="3"/>
        <v>Non-democratic</v>
      </c>
    </row>
    <row r="32">
      <c r="B32" t="str">
        <f t="shared" si="1"/>
        <v>#</v>
      </c>
      <c r="G32" t="str">
        <f>vlookup(B32,'imported-population-for-countri'!$A$4:$E$17930,5,false)</f>
        <v>#N/A</v>
      </c>
      <c r="H32" t="str">
        <f t="shared" si="2"/>
        <v>#N/A</v>
      </c>
      <c r="I32" t="str">
        <f t="shared" si="3"/>
        <v>Non-democratic</v>
      </c>
    </row>
    <row r="33">
      <c r="B33" t="str">
        <f t="shared" si="1"/>
        <v>#</v>
      </c>
      <c r="G33" t="str">
        <f>vlookup(B33,'imported-population-for-countri'!$A$4:$E$17930,5,false)</f>
        <v>#N/A</v>
      </c>
      <c r="H33" t="str">
        <f t="shared" si="2"/>
        <v>#N/A</v>
      </c>
      <c r="I33" t="str">
        <f t="shared" si="3"/>
        <v>Non-democratic</v>
      </c>
    </row>
    <row r="34">
      <c r="B34" t="str">
        <f t="shared" si="1"/>
        <v>#</v>
      </c>
      <c r="G34" t="str">
        <f>vlookup(B34,'imported-population-for-countri'!$A$4:$E$17930,5,false)</f>
        <v>#N/A</v>
      </c>
      <c r="H34" t="str">
        <f t="shared" si="2"/>
        <v>#N/A</v>
      </c>
      <c r="I34" t="str">
        <f t="shared" si="3"/>
        <v>Non-democratic</v>
      </c>
    </row>
    <row r="35">
      <c r="B35" t="str">
        <f t="shared" si="1"/>
        <v>#</v>
      </c>
      <c r="G35" t="str">
        <f>vlookup(B35,'imported-population-for-countri'!$A$4:$E$17930,5,false)</f>
        <v>#N/A</v>
      </c>
      <c r="H35" t="str">
        <f t="shared" si="2"/>
        <v>#N/A</v>
      </c>
      <c r="I35" t="str">
        <f t="shared" si="3"/>
        <v>Non-democratic</v>
      </c>
    </row>
    <row r="36">
      <c r="B36" t="str">
        <f t="shared" si="1"/>
        <v>#</v>
      </c>
      <c r="G36" t="str">
        <f>vlookup(B36,'imported-population-for-countri'!$A$4:$E$17930,5,false)</f>
        <v>#N/A</v>
      </c>
      <c r="H36" t="str">
        <f t="shared" si="2"/>
        <v>#N/A</v>
      </c>
      <c r="I36" t="str">
        <f t="shared" si="3"/>
        <v>Non-democratic</v>
      </c>
    </row>
    <row r="37">
      <c r="B37" t="str">
        <f t="shared" si="1"/>
        <v>#</v>
      </c>
      <c r="G37" t="str">
        <f>vlookup(B37,'imported-population-for-countri'!$A$4:$E$17930,5,false)</f>
        <v>#N/A</v>
      </c>
      <c r="H37" t="str">
        <f t="shared" si="2"/>
        <v>#N/A</v>
      </c>
      <c r="I37" t="str">
        <f t="shared" si="3"/>
        <v>Non-democratic</v>
      </c>
    </row>
    <row r="38">
      <c r="B38" t="str">
        <f t="shared" si="1"/>
        <v>#</v>
      </c>
      <c r="G38" t="str">
        <f>vlookup(B38,'imported-population-for-countri'!$A$4:$E$17930,5,false)</f>
        <v>#N/A</v>
      </c>
      <c r="H38" t="str">
        <f t="shared" si="2"/>
        <v>#N/A</v>
      </c>
      <c r="I38" t="str">
        <f t="shared" si="3"/>
        <v>Non-democratic</v>
      </c>
    </row>
    <row r="39">
      <c r="B39" t="str">
        <f t="shared" si="1"/>
        <v>#</v>
      </c>
      <c r="G39" t="str">
        <f>vlookup(B39,'imported-population-for-countri'!$A$4:$E$17930,5,false)</f>
        <v>#N/A</v>
      </c>
      <c r="H39" t="str">
        <f t="shared" si="2"/>
        <v>#N/A</v>
      </c>
      <c r="I39" t="str">
        <f t="shared" si="3"/>
        <v>Non-democratic</v>
      </c>
    </row>
    <row r="40">
      <c r="B40" t="str">
        <f t="shared" si="1"/>
        <v>#</v>
      </c>
      <c r="G40" t="str">
        <f>vlookup(B40,'imported-population-for-countri'!$A$4:$E$17930,5,false)</f>
        <v>#N/A</v>
      </c>
      <c r="H40" t="str">
        <f t="shared" si="2"/>
        <v>#N/A</v>
      </c>
      <c r="I40" t="str">
        <f t="shared" si="3"/>
        <v>Non-democratic</v>
      </c>
    </row>
    <row r="41">
      <c r="B41" t="str">
        <f t="shared" si="1"/>
        <v>#</v>
      </c>
      <c r="G41" t="str">
        <f>vlookup(B41,'imported-population-for-countri'!$A$4:$E$17930,5,false)</f>
        <v>#N/A</v>
      </c>
      <c r="H41" t="str">
        <f t="shared" si="2"/>
        <v>#N/A</v>
      </c>
      <c r="I41" t="str">
        <f t="shared" si="3"/>
        <v>Non-democratic</v>
      </c>
    </row>
    <row r="42">
      <c r="B42" t="str">
        <f t="shared" si="1"/>
        <v>#</v>
      </c>
      <c r="G42" t="str">
        <f>vlookup(B42,'imported-population-for-countri'!$A$4:$E$17930,5,false)</f>
        <v>#N/A</v>
      </c>
      <c r="H42" t="str">
        <f t="shared" si="2"/>
        <v>#N/A</v>
      </c>
      <c r="I42" t="str">
        <f t="shared" si="3"/>
        <v>Non-democratic</v>
      </c>
    </row>
    <row r="43">
      <c r="B43" t="str">
        <f t="shared" si="1"/>
        <v>#</v>
      </c>
      <c r="G43" t="str">
        <f>vlookup(B43,'imported-population-for-countri'!$A$4:$E$17930,5,false)</f>
        <v>#N/A</v>
      </c>
      <c r="H43" t="str">
        <f t="shared" si="2"/>
        <v>#N/A</v>
      </c>
      <c r="I43" t="str">
        <f t="shared" si="3"/>
        <v>Non-democratic</v>
      </c>
    </row>
    <row r="44">
      <c r="B44" t="str">
        <f t="shared" si="1"/>
        <v>#</v>
      </c>
      <c r="G44" t="str">
        <f>vlookup(B44,'imported-population-for-countri'!$A$4:$E$17930,5,false)</f>
        <v>#N/A</v>
      </c>
      <c r="H44" t="str">
        <f t="shared" si="2"/>
        <v>#N/A</v>
      </c>
      <c r="I44" t="str">
        <f t="shared" si="3"/>
        <v>Non-democratic</v>
      </c>
    </row>
    <row r="45">
      <c r="B45" t="str">
        <f t="shared" si="1"/>
        <v>#</v>
      </c>
      <c r="G45" t="str">
        <f>vlookup(B45,'imported-population-for-countri'!$A$4:$E$17930,5,false)</f>
        <v>#N/A</v>
      </c>
      <c r="H45" t="str">
        <f t="shared" si="2"/>
        <v>#N/A</v>
      </c>
      <c r="I45" t="str">
        <f t="shared" si="3"/>
        <v>Non-democratic</v>
      </c>
    </row>
    <row r="46">
      <c r="B46" t="str">
        <f t="shared" si="1"/>
        <v>#</v>
      </c>
      <c r="G46" t="str">
        <f>vlookup(B46,'imported-population-for-countri'!$A$4:$E$17930,5,false)</f>
        <v>#N/A</v>
      </c>
      <c r="H46" t="str">
        <f t="shared" si="2"/>
        <v>#N/A</v>
      </c>
      <c r="I46" t="str">
        <f t="shared" si="3"/>
        <v>Non-democratic</v>
      </c>
    </row>
    <row r="47">
      <c r="B47" t="str">
        <f t="shared" si="1"/>
        <v>#</v>
      </c>
      <c r="G47" t="str">
        <f>vlookup(B47,'imported-population-for-countri'!$A$4:$E$17930,5,false)</f>
        <v>#N/A</v>
      </c>
      <c r="H47" t="str">
        <f t="shared" si="2"/>
        <v>#N/A</v>
      </c>
      <c r="I47" t="str">
        <f t="shared" si="3"/>
        <v>Non-democratic</v>
      </c>
    </row>
    <row r="48">
      <c r="B48" t="str">
        <f t="shared" si="1"/>
        <v>#</v>
      </c>
      <c r="G48" t="str">
        <f>vlookup(B48,'imported-population-for-countri'!$A$4:$E$17930,5,false)</f>
        <v>#N/A</v>
      </c>
      <c r="H48" t="str">
        <f t="shared" si="2"/>
        <v>#N/A</v>
      </c>
      <c r="I48" t="str">
        <f t="shared" si="3"/>
        <v>Non-democratic</v>
      </c>
    </row>
    <row r="49">
      <c r="B49" t="str">
        <f t="shared" si="1"/>
        <v>#</v>
      </c>
      <c r="G49" t="str">
        <f>vlookup(B49,'imported-population-for-countri'!$A$4:$E$17930,5,false)</f>
        <v>#N/A</v>
      </c>
      <c r="H49" t="str">
        <f t="shared" si="2"/>
        <v>#N/A</v>
      </c>
      <c r="I49" t="str">
        <f t="shared" si="3"/>
        <v>Non-democratic</v>
      </c>
    </row>
    <row r="50">
      <c r="B50" t="str">
        <f t="shared" si="1"/>
        <v>#</v>
      </c>
      <c r="G50" t="str">
        <f>vlookup(B50,'imported-population-for-countri'!$A$4:$E$17930,5,false)</f>
        <v>#N/A</v>
      </c>
      <c r="H50" t="str">
        <f t="shared" si="2"/>
        <v>#N/A</v>
      </c>
      <c r="I50" t="str">
        <f t="shared" si="3"/>
        <v>Non-democratic</v>
      </c>
    </row>
    <row r="51">
      <c r="B51" t="str">
        <f t="shared" si="1"/>
        <v>#</v>
      </c>
      <c r="G51" t="str">
        <f>vlookup(B51,'imported-population-for-countri'!$A$4:$E$17930,5,false)</f>
        <v>#N/A</v>
      </c>
      <c r="H51" t="str">
        <f t="shared" si="2"/>
        <v>#N/A</v>
      </c>
      <c r="I51" t="str">
        <f t="shared" si="3"/>
        <v>Non-democratic</v>
      </c>
    </row>
    <row r="52">
      <c r="B52" t="str">
        <f t="shared" si="1"/>
        <v>#</v>
      </c>
      <c r="G52" t="str">
        <f>vlookup(B52,'imported-population-for-countri'!$A$4:$E$17930,5,false)</f>
        <v>#N/A</v>
      </c>
      <c r="H52" t="str">
        <f t="shared" si="2"/>
        <v>#N/A</v>
      </c>
      <c r="I52" t="str">
        <f t="shared" si="3"/>
        <v>Non-democratic</v>
      </c>
    </row>
    <row r="53">
      <c r="B53" t="str">
        <f t="shared" si="1"/>
        <v>#</v>
      </c>
      <c r="G53" t="str">
        <f>vlookup(B53,'imported-population-for-countri'!$A$4:$E$17930,5,false)</f>
        <v>#N/A</v>
      </c>
      <c r="H53" t="str">
        <f t="shared" si="2"/>
        <v>#N/A</v>
      </c>
      <c r="I53" t="str">
        <f t="shared" si="3"/>
        <v>Non-democratic</v>
      </c>
    </row>
    <row r="54">
      <c r="B54" t="str">
        <f t="shared" si="1"/>
        <v>#</v>
      </c>
      <c r="G54" t="str">
        <f>vlookup(B54,'imported-population-for-countri'!$A$4:$E$17930,5,false)</f>
        <v>#N/A</v>
      </c>
      <c r="H54" t="str">
        <f t="shared" si="2"/>
        <v>#N/A</v>
      </c>
      <c r="I54" t="str">
        <f t="shared" si="3"/>
        <v>Non-democratic</v>
      </c>
    </row>
    <row r="55">
      <c r="B55" t="str">
        <f t="shared" si="1"/>
        <v>#</v>
      </c>
      <c r="G55" t="str">
        <f>vlookup(B55,'imported-population-for-countri'!$A$4:$E$17930,5,false)</f>
        <v>#N/A</v>
      </c>
      <c r="H55" t="str">
        <f t="shared" si="2"/>
        <v>#N/A</v>
      </c>
      <c r="I55" t="str">
        <f t="shared" si="3"/>
        <v>Non-democratic</v>
      </c>
    </row>
    <row r="56">
      <c r="B56" t="str">
        <f t="shared" si="1"/>
        <v>#</v>
      </c>
      <c r="G56" t="str">
        <f>vlookup(B56,'imported-population-for-countri'!$A$4:$E$17930,5,false)</f>
        <v>#N/A</v>
      </c>
      <c r="H56" t="str">
        <f t="shared" si="2"/>
        <v>#N/A</v>
      </c>
      <c r="I56" t="str">
        <f t="shared" si="3"/>
        <v>Non-democratic</v>
      </c>
    </row>
    <row r="57">
      <c r="B57" t="str">
        <f t="shared" si="1"/>
        <v>#</v>
      </c>
      <c r="G57" t="str">
        <f>vlookup(B57,'imported-population-for-countri'!$A$4:$E$17930,5,false)</f>
        <v>#N/A</v>
      </c>
      <c r="H57" t="str">
        <f t="shared" si="2"/>
        <v>#N/A</v>
      </c>
      <c r="I57" t="str">
        <f t="shared" si="3"/>
        <v>Non-democratic</v>
      </c>
    </row>
    <row r="58">
      <c r="B58" t="str">
        <f t="shared" si="1"/>
        <v>#</v>
      </c>
      <c r="G58" t="str">
        <f>vlookup(B58,'imported-population-for-countri'!$A$4:$E$17930,5,false)</f>
        <v>#N/A</v>
      </c>
      <c r="H58" t="str">
        <f t="shared" si="2"/>
        <v>#N/A</v>
      </c>
      <c r="I58" t="str">
        <f t="shared" si="3"/>
        <v>Non-democratic</v>
      </c>
    </row>
    <row r="59">
      <c r="B59" t="str">
        <f t="shared" si="1"/>
        <v>#</v>
      </c>
      <c r="G59" t="str">
        <f>vlookup(B59,'imported-population-for-countri'!$A$4:$E$17930,5,false)</f>
        <v>#N/A</v>
      </c>
      <c r="H59" t="str">
        <f t="shared" si="2"/>
        <v>#N/A</v>
      </c>
      <c r="I59" t="str">
        <f t="shared" si="3"/>
        <v>Non-democratic</v>
      </c>
    </row>
    <row r="60">
      <c r="B60" t="str">
        <f t="shared" si="1"/>
        <v>#</v>
      </c>
      <c r="G60" t="str">
        <f>vlookup(B60,'imported-population-for-countri'!$A$4:$E$17930,5,false)</f>
        <v>#N/A</v>
      </c>
      <c r="H60" t="str">
        <f t="shared" si="2"/>
        <v>#N/A</v>
      </c>
      <c r="I60" t="str">
        <f t="shared" si="3"/>
        <v>Non-democratic</v>
      </c>
    </row>
    <row r="61">
      <c r="B61" t="str">
        <f t="shared" si="1"/>
        <v>#</v>
      </c>
      <c r="G61" t="str">
        <f>vlookup(B61,'imported-population-for-countri'!$A$4:$E$17930,5,false)</f>
        <v>#N/A</v>
      </c>
      <c r="H61" t="str">
        <f t="shared" si="2"/>
        <v>#N/A</v>
      </c>
      <c r="I61" t="str">
        <f t="shared" si="3"/>
        <v>Non-democratic</v>
      </c>
    </row>
    <row r="62">
      <c r="B62" t="str">
        <f t="shared" si="1"/>
        <v>#</v>
      </c>
      <c r="G62" t="str">
        <f>vlookup(B62,'imported-population-for-countri'!$A$4:$E$17930,5,false)</f>
        <v>#N/A</v>
      </c>
      <c r="H62" t="str">
        <f t="shared" si="2"/>
        <v>#N/A</v>
      </c>
      <c r="I62" t="str">
        <f t="shared" si="3"/>
        <v>Non-democratic</v>
      </c>
    </row>
    <row r="63">
      <c r="B63" t="str">
        <f t="shared" si="1"/>
        <v>#</v>
      </c>
      <c r="G63" t="str">
        <f>vlookup(B63,'imported-population-for-countri'!$A$4:$E$17930,5,false)</f>
        <v>#N/A</v>
      </c>
      <c r="H63" t="str">
        <f t="shared" si="2"/>
        <v>#N/A</v>
      </c>
      <c r="I63" t="str">
        <f t="shared" si="3"/>
        <v>Non-democratic</v>
      </c>
    </row>
    <row r="64">
      <c r="B64" t="str">
        <f t="shared" si="1"/>
        <v>#</v>
      </c>
      <c r="G64" t="str">
        <f>vlookup(B64,'imported-population-for-countri'!$A$4:$E$17930,5,false)</f>
        <v>#N/A</v>
      </c>
      <c r="H64" t="str">
        <f t="shared" si="2"/>
        <v>#N/A</v>
      </c>
      <c r="I64" t="str">
        <f t="shared" si="3"/>
        <v>Non-democratic</v>
      </c>
    </row>
    <row r="65">
      <c r="B65" t="str">
        <f t="shared" si="1"/>
        <v>#</v>
      </c>
      <c r="G65" t="str">
        <f>vlookup(B65,'imported-population-for-countri'!$A$4:$E$17930,5,false)</f>
        <v>#N/A</v>
      </c>
      <c r="H65" t="str">
        <f t="shared" si="2"/>
        <v>#N/A</v>
      </c>
      <c r="I65" t="str">
        <f t="shared" si="3"/>
        <v>Non-democratic</v>
      </c>
    </row>
    <row r="66">
      <c r="B66" t="str">
        <f t="shared" si="1"/>
        <v>#</v>
      </c>
      <c r="G66" t="str">
        <f>vlookup(B66,'imported-population-for-countri'!$A$4:$E$17930,5,false)</f>
        <v>#N/A</v>
      </c>
      <c r="H66" t="str">
        <f t="shared" si="2"/>
        <v>#N/A</v>
      </c>
      <c r="I66" t="str">
        <f t="shared" si="3"/>
        <v>Non-democratic</v>
      </c>
    </row>
    <row r="67">
      <c r="B67" t="str">
        <f t="shared" si="1"/>
        <v>#</v>
      </c>
      <c r="G67" t="str">
        <f>vlookup(B67,'imported-population-for-countri'!$A$4:$E$17930,5,false)</f>
        <v>#N/A</v>
      </c>
      <c r="H67" t="str">
        <f t="shared" si="2"/>
        <v>#N/A</v>
      </c>
      <c r="I67" t="str">
        <f t="shared" si="3"/>
        <v>Non-democratic</v>
      </c>
    </row>
    <row r="68">
      <c r="B68" t="str">
        <f t="shared" si="1"/>
        <v>#</v>
      </c>
      <c r="G68" t="str">
        <f>vlookup(B68,'imported-population-for-countri'!$A$4:$E$17930,5,false)</f>
        <v>#N/A</v>
      </c>
      <c r="H68" t="str">
        <f t="shared" si="2"/>
        <v>#N/A</v>
      </c>
      <c r="I68" t="str">
        <f t="shared" si="3"/>
        <v>Non-democratic</v>
      </c>
    </row>
    <row r="69">
      <c r="B69" t="str">
        <f t="shared" si="1"/>
        <v>#</v>
      </c>
      <c r="G69" t="str">
        <f>vlookup(B69,'imported-population-for-countri'!$A$4:$E$17930,5,false)</f>
        <v>#N/A</v>
      </c>
      <c r="H69" t="str">
        <f t="shared" si="2"/>
        <v>#N/A</v>
      </c>
      <c r="I69" t="str">
        <f t="shared" si="3"/>
        <v>Non-democratic</v>
      </c>
    </row>
    <row r="70">
      <c r="B70" t="str">
        <f t="shared" si="1"/>
        <v>#</v>
      </c>
      <c r="G70" t="str">
        <f>vlookup(B70,'imported-population-for-countri'!$A$4:$E$17930,5,false)</f>
        <v>#N/A</v>
      </c>
      <c r="H70" t="str">
        <f t="shared" si="2"/>
        <v>#N/A</v>
      </c>
      <c r="I70" t="str">
        <f t="shared" si="3"/>
        <v>Non-democratic</v>
      </c>
    </row>
    <row r="71">
      <c r="B71" t="str">
        <f t="shared" si="1"/>
        <v>#</v>
      </c>
      <c r="G71" t="str">
        <f>vlookup(B71,'imported-population-for-countri'!$A$4:$E$17930,5,false)</f>
        <v>#N/A</v>
      </c>
      <c r="H71" t="str">
        <f t="shared" si="2"/>
        <v>#N/A</v>
      </c>
      <c r="I71" t="str">
        <f t="shared" si="3"/>
        <v>Non-democratic</v>
      </c>
    </row>
    <row r="72">
      <c r="B72" t="str">
        <f t="shared" si="1"/>
        <v>#</v>
      </c>
      <c r="G72" t="str">
        <f>vlookup(B72,'imported-population-for-countri'!$A$4:$E$17930,5,false)</f>
        <v>#N/A</v>
      </c>
      <c r="H72" t="str">
        <f t="shared" si="2"/>
        <v>#N/A</v>
      </c>
      <c r="I72" t="str">
        <f t="shared" si="3"/>
        <v>Non-democratic</v>
      </c>
    </row>
    <row r="73">
      <c r="B73" t="str">
        <f t="shared" si="1"/>
        <v>#</v>
      </c>
      <c r="G73" t="str">
        <f>vlookup(B73,'imported-population-for-countri'!$A$4:$E$17930,5,false)</f>
        <v>#N/A</v>
      </c>
      <c r="H73" t="str">
        <f t="shared" si="2"/>
        <v>#N/A</v>
      </c>
      <c r="I73" t="str">
        <f t="shared" si="3"/>
        <v>Non-democratic</v>
      </c>
    </row>
    <row r="74">
      <c r="B74" t="str">
        <f t="shared" si="1"/>
        <v>#</v>
      </c>
      <c r="G74" t="str">
        <f>vlookup(B74,'imported-population-for-countri'!$A$4:$E$17930,5,false)</f>
        <v>#N/A</v>
      </c>
      <c r="H74" t="str">
        <f t="shared" si="2"/>
        <v>#N/A</v>
      </c>
      <c r="I74" t="str">
        <f t="shared" si="3"/>
        <v>Non-democratic</v>
      </c>
    </row>
    <row r="75">
      <c r="B75" t="str">
        <f t="shared" si="1"/>
        <v>#</v>
      </c>
      <c r="G75" t="str">
        <f>vlookup(B75,'imported-population-for-countri'!$A$4:$E$17930,5,false)</f>
        <v>#N/A</v>
      </c>
      <c r="H75" t="str">
        <f t="shared" si="2"/>
        <v>#N/A</v>
      </c>
      <c r="I75" t="str">
        <f t="shared" si="3"/>
        <v>Non-democratic</v>
      </c>
    </row>
    <row r="76">
      <c r="B76" t="str">
        <f t="shared" si="1"/>
        <v>#</v>
      </c>
      <c r="G76" t="str">
        <f>vlookup(B76,'imported-population-for-countri'!$A$4:$E$17930,5,false)</f>
        <v>#N/A</v>
      </c>
      <c r="H76" t="str">
        <f t="shared" si="2"/>
        <v>#N/A</v>
      </c>
      <c r="I76" t="str">
        <f t="shared" si="3"/>
        <v>Non-democratic</v>
      </c>
    </row>
    <row r="77">
      <c r="B77" t="str">
        <f t="shared" si="1"/>
        <v>#</v>
      </c>
      <c r="G77" t="str">
        <f>vlookup(B77,'imported-population-for-countri'!$A$4:$E$17930,5,false)</f>
        <v>#N/A</v>
      </c>
      <c r="H77" t="str">
        <f t="shared" si="2"/>
        <v>#N/A</v>
      </c>
      <c r="I77" t="str">
        <f t="shared" si="3"/>
        <v>Non-democratic</v>
      </c>
    </row>
    <row r="78">
      <c r="B78" t="str">
        <f t="shared" si="1"/>
        <v>#</v>
      </c>
      <c r="G78" t="str">
        <f>vlookup(B78,'imported-population-for-countri'!$A$4:$E$17930,5,false)</f>
        <v>#N/A</v>
      </c>
      <c r="H78" t="str">
        <f t="shared" si="2"/>
        <v>#N/A</v>
      </c>
      <c r="I78" t="str">
        <f t="shared" si="3"/>
        <v>Non-democratic</v>
      </c>
    </row>
    <row r="79">
      <c r="B79" t="str">
        <f t="shared" si="1"/>
        <v>#</v>
      </c>
      <c r="G79" t="str">
        <f>vlookup(B79,'imported-population-for-countri'!$A$4:$E$17930,5,false)</f>
        <v>#N/A</v>
      </c>
      <c r="H79" t="str">
        <f t="shared" si="2"/>
        <v>#N/A</v>
      </c>
      <c r="I79" t="str">
        <f t="shared" si="3"/>
        <v>Non-democratic</v>
      </c>
    </row>
    <row r="80">
      <c r="B80" t="str">
        <f t="shared" si="1"/>
        <v>#</v>
      </c>
      <c r="G80" t="str">
        <f>vlookup(B80,'imported-population-for-countri'!$A$4:$E$17930,5,false)</f>
        <v>#N/A</v>
      </c>
      <c r="H80" t="str">
        <f t="shared" si="2"/>
        <v>#N/A</v>
      </c>
      <c r="I80" t="str">
        <f t="shared" si="3"/>
        <v>Non-democratic</v>
      </c>
    </row>
    <row r="81">
      <c r="B81" t="str">
        <f t="shared" si="1"/>
        <v>#</v>
      </c>
      <c r="G81" t="str">
        <f>vlookup(B81,'imported-population-for-countri'!$A$4:$E$17930,5,false)</f>
        <v>#N/A</v>
      </c>
      <c r="H81" t="str">
        <f t="shared" si="2"/>
        <v>#N/A</v>
      </c>
      <c r="I81" t="str">
        <f t="shared" si="3"/>
        <v>Non-democratic</v>
      </c>
    </row>
    <row r="82">
      <c r="B82" t="str">
        <f t="shared" si="1"/>
        <v>#</v>
      </c>
      <c r="G82" t="str">
        <f>vlookup(B82,'imported-population-for-countri'!$A$4:$E$17930,5,false)</f>
        <v>#N/A</v>
      </c>
      <c r="H82" t="str">
        <f t="shared" si="2"/>
        <v>#N/A</v>
      </c>
      <c r="I82" t="str">
        <f t="shared" si="3"/>
        <v>Non-democratic</v>
      </c>
    </row>
    <row r="83">
      <c r="B83" t="str">
        <f t="shared" si="1"/>
        <v>#</v>
      </c>
      <c r="G83" t="str">
        <f>vlookup(B83,'imported-population-for-countri'!$A$4:$E$17930,5,false)</f>
        <v>#N/A</v>
      </c>
      <c r="H83" t="str">
        <f t="shared" si="2"/>
        <v>#N/A</v>
      </c>
      <c r="I83" t="str">
        <f t="shared" si="3"/>
        <v>Non-democratic</v>
      </c>
    </row>
    <row r="84">
      <c r="B84" t="str">
        <f t="shared" si="1"/>
        <v>#</v>
      </c>
      <c r="G84" t="str">
        <f>vlookup(B84,'imported-population-for-countri'!$A$4:$E$17930,5,false)</f>
        <v>#N/A</v>
      </c>
      <c r="H84" t="str">
        <f t="shared" si="2"/>
        <v>#N/A</v>
      </c>
      <c r="I84" t="str">
        <f t="shared" si="3"/>
        <v>Non-democratic</v>
      </c>
    </row>
    <row r="85">
      <c r="B85" t="str">
        <f t="shared" si="1"/>
        <v>#</v>
      </c>
      <c r="G85" t="str">
        <f>vlookup(B85,'imported-population-for-countri'!$A$4:$E$17930,5,false)</f>
        <v>#N/A</v>
      </c>
      <c r="H85" t="str">
        <f t="shared" si="2"/>
        <v>#N/A</v>
      </c>
      <c r="I85" t="str">
        <f t="shared" si="3"/>
        <v>Non-democratic</v>
      </c>
    </row>
    <row r="86">
      <c r="B86" t="str">
        <f t="shared" si="1"/>
        <v>#</v>
      </c>
      <c r="G86" t="str">
        <f>vlookup(B86,'imported-population-for-countri'!$A$4:$E$17930,5,false)</f>
        <v>#N/A</v>
      </c>
      <c r="H86" t="str">
        <f t="shared" si="2"/>
        <v>#N/A</v>
      </c>
      <c r="I86" t="str">
        <f t="shared" si="3"/>
        <v>Non-democratic</v>
      </c>
    </row>
    <row r="87">
      <c r="B87" t="str">
        <f t="shared" si="1"/>
        <v>#</v>
      </c>
      <c r="G87" t="str">
        <f>vlookup(B87,'imported-population-for-countri'!$A$4:$E$17930,5,false)</f>
        <v>#N/A</v>
      </c>
      <c r="H87" t="str">
        <f t="shared" si="2"/>
        <v>#N/A</v>
      </c>
      <c r="I87" t="str">
        <f t="shared" si="3"/>
        <v>Non-democratic</v>
      </c>
    </row>
    <row r="88">
      <c r="B88" t="str">
        <f t="shared" si="1"/>
        <v>#</v>
      </c>
      <c r="G88" t="str">
        <f>vlookup(B88,'imported-population-for-countri'!$A$4:$E$17930,5,false)</f>
        <v>#N/A</v>
      </c>
      <c r="H88" t="str">
        <f t="shared" si="2"/>
        <v>#N/A</v>
      </c>
      <c r="I88" t="str">
        <f t="shared" si="3"/>
        <v>Non-democratic</v>
      </c>
    </row>
    <row r="89">
      <c r="B89" t="str">
        <f t="shared" si="1"/>
        <v>#</v>
      </c>
      <c r="G89" t="str">
        <f>vlookup(B89,'imported-population-for-countri'!$A$4:$E$17930,5,false)</f>
        <v>#N/A</v>
      </c>
      <c r="H89" t="str">
        <f t="shared" si="2"/>
        <v>#N/A</v>
      </c>
      <c r="I89" t="str">
        <f t="shared" si="3"/>
        <v>Non-democratic</v>
      </c>
    </row>
    <row r="90">
      <c r="B90" t="str">
        <f t="shared" si="1"/>
        <v>#</v>
      </c>
      <c r="G90" t="str">
        <f>vlookup(B90,'imported-population-for-countri'!$A$4:$E$17930,5,false)</f>
        <v>#N/A</v>
      </c>
      <c r="H90" t="str">
        <f t="shared" si="2"/>
        <v>#N/A</v>
      </c>
      <c r="I90" t="str">
        <f t="shared" si="3"/>
        <v>Non-democratic</v>
      </c>
    </row>
    <row r="91">
      <c r="B91" t="str">
        <f t="shared" si="1"/>
        <v>#</v>
      </c>
      <c r="G91" t="str">
        <f>vlookup(B91,'imported-population-for-countri'!$A$4:$E$17930,5,false)</f>
        <v>#N/A</v>
      </c>
      <c r="H91" t="str">
        <f t="shared" si="2"/>
        <v>#N/A</v>
      </c>
      <c r="I91" t="str">
        <f t="shared" si="3"/>
        <v>Non-democratic</v>
      </c>
    </row>
    <row r="92">
      <c r="B92" t="str">
        <f t="shared" si="1"/>
        <v>#</v>
      </c>
      <c r="G92" t="str">
        <f>vlookup(B92,'imported-population-for-countri'!$A$4:$E$17930,5,false)</f>
        <v>#N/A</v>
      </c>
      <c r="H92" t="str">
        <f t="shared" si="2"/>
        <v>#N/A</v>
      </c>
      <c r="I92" t="str">
        <f t="shared" si="3"/>
        <v>Non-democratic</v>
      </c>
    </row>
    <row r="93">
      <c r="B93" t="str">
        <f t="shared" si="1"/>
        <v>#</v>
      </c>
      <c r="G93" t="str">
        <f>vlookup(B93,'imported-population-for-countri'!$A$4:$E$17930,5,false)</f>
        <v>#N/A</v>
      </c>
      <c r="H93" t="str">
        <f t="shared" si="2"/>
        <v>#N/A</v>
      </c>
      <c r="I93" t="str">
        <f t="shared" si="3"/>
        <v>Non-democratic</v>
      </c>
    </row>
    <row r="94">
      <c r="B94" t="str">
        <f t="shared" si="1"/>
        <v>#</v>
      </c>
      <c r="G94" t="str">
        <f>vlookup(B94,'imported-population-for-countri'!$A$4:$E$17930,5,false)</f>
        <v>#N/A</v>
      </c>
      <c r="H94" t="str">
        <f t="shared" si="2"/>
        <v>#N/A</v>
      </c>
      <c r="I94" t="str">
        <f t="shared" si="3"/>
        <v>Non-democratic</v>
      </c>
    </row>
    <row r="95">
      <c r="B95" t="str">
        <f t="shared" si="1"/>
        <v>#</v>
      </c>
      <c r="G95" t="str">
        <f>vlookup(B95,'imported-population-for-countri'!$A$4:$E$17930,5,false)</f>
        <v>#N/A</v>
      </c>
      <c r="H95" t="str">
        <f t="shared" si="2"/>
        <v>#N/A</v>
      </c>
      <c r="I95" t="str">
        <f t="shared" si="3"/>
        <v>Non-democratic</v>
      </c>
    </row>
    <row r="96">
      <c r="B96" t="str">
        <f t="shared" si="1"/>
        <v>#</v>
      </c>
      <c r="G96" t="str">
        <f>vlookup(B96,'imported-population-for-countri'!$A$4:$E$17930,5,false)</f>
        <v>#N/A</v>
      </c>
      <c r="H96" t="str">
        <f t="shared" si="2"/>
        <v>#N/A</v>
      </c>
      <c r="I96" t="str">
        <f t="shared" si="3"/>
        <v>Non-democratic</v>
      </c>
    </row>
    <row r="97">
      <c r="B97" t="str">
        <f t="shared" si="1"/>
        <v>#</v>
      </c>
      <c r="G97" t="str">
        <f>vlookup(B97,'imported-population-for-countri'!$A$4:$E$17930,5,false)</f>
        <v>#N/A</v>
      </c>
      <c r="H97" t="str">
        <f t="shared" si="2"/>
        <v>#N/A</v>
      </c>
      <c r="I97" t="str">
        <f t="shared" si="3"/>
        <v>Non-democratic</v>
      </c>
    </row>
    <row r="98">
      <c r="B98" t="str">
        <f t="shared" si="1"/>
        <v>#</v>
      </c>
      <c r="G98" t="str">
        <f>vlookup(B98,'imported-population-for-countri'!$A$4:$E$17930,5,false)</f>
        <v>#N/A</v>
      </c>
      <c r="H98" t="str">
        <f t="shared" si="2"/>
        <v>#N/A</v>
      </c>
      <c r="I98" t="str">
        <f t="shared" si="3"/>
        <v>Non-democratic</v>
      </c>
    </row>
    <row r="99">
      <c r="B99" t="str">
        <f t="shared" si="1"/>
        <v>#</v>
      </c>
      <c r="G99" t="str">
        <f>vlookup(B99,'imported-population-for-countri'!$A$4:$E$17930,5,false)</f>
        <v>#N/A</v>
      </c>
      <c r="H99" t="str">
        <f t="shared" si="2"/>
        <v>#N/A</v>
      </c>
      <c r="I99" t="str">
        <f t="shared" si="3"/>
        <v>Non-democratic</v>
      </c>
    </row>
    <row r="100">
      <c r="B100" t="str">
        <f t="shared" si="1"/>
        <v>#</v>
      </c>
      <c r="G100" t="str">
        <f>vlookup(B100,'imported-population-for-countri'!$A$4:$E$17930,5,false)</f>
        <v>#N/A</v>
      </c>
      <c r="H100" t="str">
        <f t="shared" si="2"/>
        <v>#N/A</v>
      </c>
      <c r="I100" t="str">
        <f t="shared" si="3"/>
        <v>Non-democratic</v>
      </c>
    </row>
    <row r="101">
      <c r="B101" t="str">
        <f t="shared" si="1"/>
        <v>#</v>
      </c>
      <c r="G101" t="str">
        <f>vlookup(B101,'imported-population-for-countri'!$A$4:$E$17930,5,false)</f>
        <v>#N/A</v>
      </c>
      <c r="H101" t="str">
        <f t="shared" si="2"/>
        <v>#N/A</v>
      </c>
      <c r="I101" t="str">
        <f t="shared" si="3"/>
        <v>Non-democratic</v>
      </c>
    </row>
    <row r="102">
      <c r="B102" t="str">
        <f t="shared" si="1"/>
        <v>#</v>
      </c>
      <c r="G102" t="str">
        <f>vlookup(B102,'imported-population-for-countri'!$A$4:$E$17930,5,false)</f>
        <v>#N/A</v>
      </c>
      <c r="H102" t="str">
        <f t="shared" si="2"/>
        <v>#N/A</v>
      </c>
      <c r="I102" t="str">
        <f t="shared" si="3"/>
        <v>Non-democratic</v>
      </c>
    </row>
    <row r="103">
      <c r="B103" t="str">
        <f t="shared" si="1"/>
        <v>#</v>
      </c>
      <c r="G103" t="str">
        <f>vlookup(B103,'imported-population-for-countri'!$A$4:$E$17930,5,false)</f>
        <v>#N/A</v>
      </c>
      <c r="H103" t="str">
        <f t="shared" si="2"/>
        <v>#N/A</v>
      </c>
      <c r="I103" t="str">
        <f t="shared" si="3"/>
        <v>Non-democratic</v>
      </c>
    </row>
    <row r="104">
      <c r="B104" t="str">
        <f t="shared" si="1"/>
        <v>#</v>
      </c>
      <c r="G104" t="str">
        <f>vlookup(B104,'imported-population-for-countri'!$A$4:$E$17930,5,false)</f>
        <v>#N/A</v>
      </c>
      <c r="H104" t="str">
        <f t="shared" si="2"/>
        <v>#N/A</v>
      </c>
      <c r="I104" t="str">
        <f t="shared" si="3"/>
        <v>Non-democratic</v>
      </c>
    </row>
    <row r="105">
      <c r="B105" t="str">
        <f t="shared" si="1"/>
        <v>#</v>
      </c>
      <c r="G105" t="str">
        <f>vlookup(B105,'imported-population-for-countri'!$A$4:$E$17930,5,false)</f>
        <v>#N/A</v>
      </c>
      <c r="H105" t="str">
        <f t="shared" si="2"/>
        <v>#N/A</v>
      </c>
      <c r="I105" t="str">
        <f t="shared" si="3"/>
        <v>Non-democratic</v>
      </c>
    </row>
    <row r="106">
      <c r="B106" t="str">
        <f t="shared" si="1"/>
        <v>#</v>
      </c>
      <c r="G106" t="str">
        <f>vlookup(B106,'imported-population-for-countri'!$A$4:$E$17930,5,false)</f>
        <v>#N/A</v>
      </c>
      <c r="H106" t="str">
        <f t="shared" si="2"/>
        <v>#N/A</v>
      </c>
      <c r="I106" t="str">
        <f t="shared" si="3"/>
        <v>Non-democratic</v>
      </c>
    </row>
    <row r="107">
      <c r="B107" t="str">
        <f t="shared" si="1"/>
        <v>#</v>
      </c>
      <c r="G107" t="str">
        <f>vlookup(B107,'imported-population-for-countri'!$A$4:$E$17930,5,false)</f>
        <v>#N/A</v>
      </c>
      <c r="H107" t="str">
        <f t="shared" si="2"/>
        <v>#N/A</v>
      </c>
      <c r="I107" t="str">
        <f t="shared" si="3"/>
        <v>Non-democratic</v>
      </c>
    </row>
    <row r="108">
      <c r="B108" t="str">
        <f t="shared" si="1"/>
        <v>#</v>
      </c>
      <c r="G108" t="str">
        <f>vlookup(B108,'imported-population-for-countri'!$A$4:$E$17930,5,false)</f>
        <v>#N/A</v>
      </c>
      <c r="H108" t="str">
        <f t="shared" si="2"/>
        <v>#N/A</v>
      </c>
      <c r="I108" t="str">
        <f t="shared" si="3"/>
        <v>Non-democratic</v>
      </c>
    </row>
    <row r="109">
      <c r="B109" t="str">
        <f t="shared" si="1"/>
        <v>#</v>
      </c>
      <c r="G109" t="str">
        <f>vlookup(B109,'imported-population-for-countri'!$A$4:$E$17930,5,false)</f>
        <v>#N/A</v>
      </c>
      <c r="H109" t="str">
        <f t="shared" si="2"/>
        <v>#N/A</v>
      </c>
      <c r="I109" t="str">
        <f t="shared" si="3"/>
        <v>Non-democratic</v>
      </c>
    </row>
    <row r="110">
      <c r="B110" t="str">
        <f t="shared" si="1"/>
        <v>#</v>
      </c>
      <c r="G110" t="str">
        <f>vlookup(B110,'imported-population-for-countri'!$A$4:$E$17930,5,false)</f>
        <v>#N/A</v>
      </c>
      <c r="H110" t="str">
        <f t="shared" si="2"/>
        <v>#N/A</v>
      </c>
      <c r="I110" t="str">
        <f t="shared" si="3"/>
        <v>Non-democratic</v>
      </c>
    </row>
    <row r="111">
      <c r="B111" t="str">
        <f t="shared" si="1"/>
        <v>#</v>
      </c>
      <c r="G111" t="str">
        <f>vlookup(B111,'imported-population-for-countri'!$A$4:$E$17930,5,false)</f>
        <v>#N/A</v>
      </c>
      <c r="H111" t="str">
        <f t="shared" si="2"/>
        <v>#N/A</v>
      </c>
      <c r="I111" t="str">
        <f t="shared" si="3"/>
        <v>Non-democratic</v>
      </c>
    </row>
    <row r="112">
      <c r="B112" t="str">
        <f t="shared" si="1"/>
        <v>#</v>
      </c>
      <c r="G112" t="str">
        <f>vlookup(B112,'imported-population-for-countri'!$A$4:$E$17930,5,false)</f>
        <v>#N/A</v>
      </c>
      <c r="H112" t="str">
        <f t="shared" si="2"/>
        <v>#N/A</v>
      </c>
      <c r="I112" t="str">
        <f t="shared" si="3"/>
        <v>Non-democratic</v>
      </c>
    </row>
    <row r="113">
      <c r="B113" t="str">
        <f t="shared" si="1"/>
        <v>#</v>
      </c>
      <c r="G113" t="str">
        <f>vlookup(B113,'imported-population-for-countri'!$A$4:$E$17930,5,false)</f>
        <v>#N/A</v>
      </c>
      <c r="H113" t="str">
        <f t="shared" si="2"/>
        <v>#N/A</v>
      </c>
      <c r="I113" t="str">
        <f t="shared" si="3"/>
        <v>Non-democratic</v>
      </c>
    </row>
    <row r="114">
      <c r="B114" t="str">
        <f t="shared" si="1"/>
        <v>#</v>
      </c>
      <c r="G114" t="str">
        <f>vlookup(B114,'imported-population-for-countri'!$A$4:$E$17930,5,false)</f>
        <v>#N/A</v>
      </c>
      <c r="H114" t="str">
        <f t="shared" si="2"/>
        <v>#N/A</v>
      </c>
      <c r="I114" t="str">
        <f t="shared" si="3"/>
        <v>Non-democratic</v>
      </c>
    </row>
    <row r="115">
      <c r="B115" t="str">
        <f t="shared" si="1"/>
        <v>#</v>
      </c>
      <c r="G115" t="str">
        <f>vlookup(B115,'imported-population-for-countri'!$A$4:$E$17930,5,false)</f>
        <v>#N/A</v>
      </c>
      <c r="H115" t="str">
        <f t="shared" si="2"/>
        <v>#N/A</v>
      </c>
      <c r="I115" t="str">
        <f t="shared" si="3"/>
        <v>Non-democratic</v>
      </c>
    </row>
    <row r="116">
      <c r="B116" t="str">
        <f t="shared" si="1"/>
        <v>#</v>
      </c>
      <c r="G116" t="str">
        <f>vlookup(B116,'imported-population-for-countri'!$A$4:$E$17930,5,false)</f>
        <v>#N/A</v>
      </c>
      <c r="H116" t="str">
        <f t="shared" si="2"/>
        <v>#N/A</v>
      </c>
      <c r="I116" t="str">
        <f t="shared" si="3"/>
        <v>Non-democratic</v>
      </c>
    </row>
    <row r="117">
      <c r="B117" t="str">
        <f t="shared" si="1"/>
        <v>#</v>
      </c>
      <c r="G117" t="str">
        <f>vlookup(B117,'imported-population-for-countri'!$A$4:$E$17930,5,false)</f>
        <v>#N/A</v>
      </c>
      <c r="H117" t="str">
        <f t="shared" si="2"/>
        <v>#N/A</v>
      </c>
      <c r="I117" t="str">
        <f t="shared" si="3"/>
        <v>Non-democratic</v>
      </c>
    </row>
    <row r="118">
      <c r="B118" t="str">
        <f t="shared" si="1"/>
        <v>#</v>
      </c>
      <c r="G118" t="str">
        <f>vlookup(B118,'imported-population-for-countri'!$A$4:$E$17930,5,false)</f>
        <v>#N/A</v>
      </c>
      <c r="H118" t="str">
        <f t="shared" si="2"/>
        <v>#N/A</v>
      </c>
      <c r="I118" t="str">
        <f t="shared" si="3"/>
        <v>Non-democratic</v>
      </c>
    </row>
    <row r="119">
      <c r="B119" t="str">
        <f t="shared" si="1"/>
        <v>#</v>
      </c>
      <c r="G119" t="str">
        <f>vlookup(B119,'imported-population-for-countri'!$A$4:$E$17930,5,false)</f>
        <v>#N/A</v>
      </c>
      <c r="H119" t="str">
        <f t="shared" si="2"/>
        <v>#N/A</v>
      </c>
      <c r="I119" t="str">
        <f t="shared" si="3"/>
        <v>Non-democratic</v>
      </c>
    </row>
    <row r="120">
      <c r="B120" t="str">
        <f t="shared" si="1"/>
        <v>#</v>
      </c>
      <c r="G120" t="str">
        <f>vlookup(B120,'imported-population-for-countri'!$A$4:$E$17930,5,false)</f>
        <v>#N/A</v>
      </c>
      <c r="H120" t="str">
        <f t="shared" si="2"/>
        <v>#N/A</v>
      </c>
      <c r="I120" t="str">
        <f t="shared" si="3"/>
        <v>Non-democratic</v>
      </c>
    </row>
    <row r="121">
      <c r="B121" t="str">
        <f t="shared" si="1"/>
        <v>#</v>
      </c>
      <c r="G121" t="str">
        <f>vlookup(B121,'imported-population-for-countri'!$A$4:$E$17930,5,false)</f>
        <v>#N/A</v>
      </c>
      <c r="H121" t="str">
        <f t="shared" si="2"/>
        <v>#N/A</v>
      </c>
      <c r="I121" t="str">
        <f t="shared" si="3"/>
        <v>Non-democratic</v>
      </c>
    </row>
    <row r="122">
      <c r="B122" t="str">
        <f t="shared" si="1"/>
        <v>#</v>
      </c>
      <c r="G122" t="str">
        <f>vlookup(B122,'imported-population-for-countri'!$A$4:$E$17930,5,false)</f>
        <v>#N/A</v>
      </c>
      <c r="H122" t="str">
        <f t="shared" si="2"/>
        <v>#N/A</v>
      </c>
      <c r="I122" t="str">
        <f t="shared" si="3"/>
        <v>Non-democratic</v>
      </c>
    </row>
    <row r="123">
      <c r="B123" t="str">
        <f t="shared" si="1"/>
        <v>#</v>
      </c>
      <c r="G123" t="str">
        <f>vlookup(B123,'imported-population-for-countri'!$A$4:$E$17930,5,false)</f>
        <v>#N/A</v>
      </c>
      <c r="H123" t="str">
        <f t="shared" si="2"/>
        <v>#N/A</v>
      </c>
      <c r="I123" t="str">
        <f t="shared" si="3"/>
        <v>Non-democratic</v>
      </c>
    </row>
    <row r="124">
      <c r="B124" t="str">
        <f t="shared" si="1"/>
        <v>#</v>
      </c>
      <c r="G124" t="str">
        <f>vlookup(B124,'imported-population-for-countri'!$A$4:$E$17930,5,false)</f>
        <v>#N/A</v>
      </c>
      <c r="H124" t="str">
        <f t="shared" si="2"/>
        <v>#N/A</v>
      </c>
      <c r="I124" t="str">
        <f t="shared" si="3"/>
        <v>Non-democratic</v>
      </c>
    </row>
    <row r="125">
      <c r="B125" t="str">
        <f t="shared" si="1"/>
        <v>#</v>
      </c>
      <c r="G125" t="str">
        <f>vlookup(B125,'imported-population-for-countri'!$A$4:$E$17930,5,false)</f>
        <v>#N/A</v>
      </c>
      <c r="H125" t="str">
        <f t="shared" si="2"/>
        <v>#N/A</v>
      </c>
      <c r="I125" t="str">
        <f t="shared" si="3"/>
        <v>Non-democratic</v>
      </c>
    </row>
    <row r="126">
      <c r="B126" t="str">
        <f t="shared" si="1"/>
        <v>#</v>
      </c>
      <c r="G126" t="str">
        <f>vlookup(B126,'imported-population-for-countri'!$A$4:$E$17930,5,false)</f>
        <v>#N/A</v>
      </c>
      <c r="H126" t="str">
        <f t="shared" si="2"/>
        <v>#N/A</v>
      </c>
      <c r="I126" t="str">
        <f t="shared" si="3"/>
        <v>Non-democratic</v>
      </c>
    </row>
    <row r="127">
      <c r="B127" t="str">
        <f t="shared" si="1"/>
        <v>#</v>
      </c>
      <c r="G127" t="str">
        <f>vlookup(B127,'imported-population-for-countri'!$A$4:$E$17930,5,false)</f>
        <v>#N/A</v>
      </c>
      <c r="H127" t="str">
        <f t="shared" si="2"/>
        <v>#N/A</v>
      </c>
      <c r="I127" t="str">
        <f t="shared" si="3"/>
        <v>Non-democratic</v>
      </c>
    </row>
    <row r="128">
      <c r="B128" t="str">
        <f t="shared" si="1"/>
        <v>#</v>
      </c>
      <c r="G128" t="str">
        <f>vlookup(B128,'imported-population-for-countri'!$A$4:$E$17930,5,false)</f>
        <v>#N/A</v>
      </c>
      <c r="H128" t="str">
        <f t="shared" si="2"/>
        <v>#N/A</v>
      </c>
      <c r="I128" t="str">
        <f t="shared" si="3"/>
        <v>Non-democratic</v>
      </c>
    </row>
    <row r="129">
      <c r="B129" t="str">
        <f t="shared" si="1"/>
        <v>#</v>
      </c>
      <c r="G129" t="str">
        <f>vlookup(B129,'imported-population-for-countri'!$A$4:$E$17930,5,false)</f>
        <v>#N/A</v>
      </c>
      <c r="H129" t="str">
        <f t="shared" si="2"/>
        <v>#N/A</v>
      </c>
      <c r="I129" t="str">
        <f t="shared" si="3"/>
        <v>Non-democratic</v>
      </c>
    </row>
    <row r="130">
      <c r="B130" t="str">
        <f t="shared" si="1"/>
        <v>#</v>
      </c>
      <c r="G130" t="str">
        <f>vlookup(B130,'imported-population-for-countri'!$A$4:$E$17930,5,false)</f>
        <v>#N/A</v>
      </c>
      <c r="H130" t="str">
        <f t="shared" si="2"/>
        <v>#N/A</v>
      </c>
      <c r="I130" t="str">
        <f t="shared" si="3"/>
        <v>Non-democratic</v>
      </c>
    </row>
    <row r="131">
      <c r="B131" t="str">
        <f t="shared" si="1"/>
        <v>#</v>
      </c>
      <c r="G131" t="str">
        <f>vlookup(B131,'imported-population-for-countri'!$A$4:$E$17930,5,false)</f>
        <v>#N/A</v>
      </c>
      <c r="H131" t="str">
        <f t="shared" si="2"/>
        <v>#N/A</v>
      </c>
      <c r="I131" t="str">
        <f t="shared" si="3"/>
        <v>Non-democratic</v>
      </c>
    </row>
    <row r="132">
      <c r="B132" t="str">
        <f t="shared" si="1"/>
        <v>#</v>
      </c>
      <c r="G132" t="str">
        <f>vlookup(B132,'imported-population-for-countri'!$A$4:$E$17930,5,false)</f>
        <v>#N/A</v>
      </c>
      <c r="H132" t="str">
        <f t="shared" si="2"/>
        <v>#N/A</v>
      </c>
      <c r="I132" t="str">
        <f t="shared" si="3"/>
        <v>Non-democratic</v>
      </c>
    </row>
    <row r="133">
      <c r="B133" t="str">
        <f t="shared" si="1"/>
        <v>#</v>
      </c>
      <c r="G133" t="str">
        <f>vlookup(B133,'imported-population-for-countri'!$A$4:$E$17930,5,false)</f>
        <v>#N/A</v>
      </c>
      <c r="H133" t="str">
        <f t="shared" si="2"/>
        <v>#N/A</v>
      </c>
      <c r="I133" t="str">
        <f t="shared" si="3"/>
        <v>Non-democratic</v>
      </c>
    </row>
    <row r="134">
      <c r="B134" t="str">
        <f t="shared" si="1"/>
        <v>#</v>
      </c>
      <c r="G134" t="str">
        <f>vlookup(B134,'imported-population-for-countri'!$A$4:$E$17930,5,false)</f>
        <v>#N/A</v>
      </c>
      <c r="H134" t="str">
        <f t="shared" si="2"/>
        <v>#N/A</v>
      </c>
      <c r="I134" t="str">
        <f t="shared" si="3"/>
        <v>Non-democratic</v>
      </c>
    </row>
    <row r="135">
      <c r="B135" t="str">
        <f t="shared" si="1"/>
        <v>#</v>
      </c>
      <c r="G135" t="str">
        <f>vlookup(B135,'imported-population-for-countri'!$A$4:$E$17930,5,false)</f>
        <v>#N/A</v>
      </c>
      <c r="H135" t="str">
        <f t="shared" si="2"/>
        <v>#N/A</v>
      </c>
      <c r="I135" t="str">
        <f t="shared" si="3"/>
        <v>Non-democratic</v>
      </c>
    </row>
    <row r="136">
      <c r="B136" t="str">
        <f t="shared" si="1"/>
        <v>#</v>
      </c>
      <c r="G136" t="str">
        <f>vlookup(B136,'imported-population-for-countri'!$A$4:$E$17930,5,false)</f>
        <v>#N/A</v>
      </c>
      <c r="H136" t="str">
        <f t="shared" si="2"/>
        <v>#N/A</v>
      </c>
      <c r="I136" t="str">
        <f t="shared" si="3"/>
        <v>Non-democratic</v>
      </c>
    </row>
    <row r="137">
      <c r="B137" t="str">
        <f t="shared" si="1"/>
        <v>#</v>
      </c>
      <c r="G137" t="str">
        <f>vlookup(B137,'imported-population-for-countri'!$A$4:$E$17930,5,false)</f>
        <v>#N/A</v>
      </c>
      <c r="H137" t="str">
        <f t="shared" si="2"/>
        <v>#N/A</v>
      </c>
      <c r="I137" t="str">
        <f t="shared" si="3"/>
        <v>Non-democratic</v>
      </c>
    </row>
    <row r="138">
      <c r="B138" t="str">
        <f t="shared" si="1"/>
        <v>#</v>
      </c>
      <c r="G138" t="str">
        <f>vlookup(B138,'imported-population-for-countri'!$A$4:$E$17930,5,false)</f>
        <v>#N/A</v>
      </c>
      <c r="H138" t="str">
        <f t="shared" si="2"/>
        <v>#N/A</v>
      </c>
      <c r="I138" t="str">
        <f t="shared" si="3"/>
        <v>Non-democratic</v>
      </c>
    </row>
    <row r="139">
      <c r="B139" t="str">
        <f t="shared" si="1"/>
        <v>#</v>
      </c>
      <c r="G139" t="str">
        <f>vlookup(B139,'imported-population-for-countri'!$A$4:$E$17930,5,false)</f>
        <v>#N/A</v>
      </c>
      <c r="H139" t="str">
        <f t="shared" si="2"/>
        <v>#N/A</v>
      </c>
      <c r="I139" t="str">
        <f t="shared" si="3"/>
        <v>Non-democratic</v>
      </c>
    </row>
    <row r="140">
      <c r="B140" t="str">
        <f t="shared" si="1"/>
        <v>#</v>
      </c>
      <c r="G140" t="str">
        <f>vlookup(B140,'imported-population-for-countri'!$A$4:$E$17930,5,false)</f>
        <v>#N/A</v>
      </c>
      <c r="H140" t="str">
        <f t="shared" si="2"/>
        <v>#N/A</v>
      </c>
      <c r="I140" t="str">
        <f t="shared" si="3"/>
        <v>Non-democratic</v>
      </c>
    </row>
    <row r="141">
      <c r="B141" t="str">
        <f t="shared" si="1"/>
        <v>#</v>
      </c>
      <c r="G141" t="str">
        <f>vlookup(B141,'imported-population-for-countri'!$A$4:$E$17930,5,false)</f>
        <v>#N/A</v>
      </c>
      <c r="H141" t="str">
        <f t="shared" si="2"/>
        <v>#N/A</v>
      </c>
      <c r="I141" t="str">
        <f t="shared" si="3"/>
        <v>Non-democratic</v>
      </c>
    </row>
    <row r="142">
      <c r="B142" t="str">
        <f t="shared" si="1"/>
        <v>#</v>
      </c>
      <c r="G142" t="str">
        <f>vlookup(B142,'imported-population-for-countri'!$A$4:$E$17930,5,false)</f>
        <v>#N/A</v>
      </c>
      <c r="H142" t="str">
        <f t="shared" si="2"/>
        <v>#N/A</v>
      </c>
      <c r="I142" t="str">
        <f t="shared" si="3"/>
        <v>Non-democratic</v>
      </c>
    </row>
    <row r="143">
      <c r="B143" t="str">
        <f t="shared" si="1"/>
        <v>#</v>
      </c>
      <c r="G143" t="str">
        <f>vlookup(B143,'imported-population-for-countri'!$A$4:$E$17930,5,false)</f>
        <v>#N/A</v>
      </c>
      <c r="H143" t="str">
        <f t="shared" si="2"/>
        <v>#N/A</v>
      </c>
      <c r="I143" t="str">
        <f t="shared" si="3"/>
        <v>Non-democratic</v>
      </c>
    </row>
    <row r="144">
      <c r="B144" t="str">
        <f t="shared" si="1"/>
        <v>#</v>
      </c>
      <c r="G144" t="str">
        <f>vlookup(B144,'imported-population-for-countri'!$A$4:$E$17930,5,false)</f>
        <v>#N/A</v>
      </c>
      <c r="H144" t="str">
        <f t="shared" si="2"/>
        <v>#N/A</v>
      </c>
      <c r="I144" t="str">
        <f t="shared" si="3"/>
        <v>Non-democratic</v>
      </c>
    </row>
    <row r="145">
      <c r="B145" t="str">
        <f t="shared" si="1"/>
        <v>#</v>
      </c>
      <c r="G145" t="str">
        <f>vlookup(B145,'imported-population-for-countri'!$A$4:$E$17930,5,false)</f>
        <v>#N/A</v>
      </c>
      <c r="H145" t="str">
        <f t="shared" si="2"/>
        <v>#N/A</v>
      </c>
      <c r="I145" t="str">
        <f t="shared" si="3"/>
        <v>Non-democratic</v>
      </c>
    </row>
    <row r="146">
      <c r="B146" t="str">
        <f t="shared" si="1"/>
        <v>#</v>
      </c>
      <c r="G146" t="str">
        <f>vlookup(B146,'imported-population-for-countri'!$A$4:$E$17930,5,false)</f>
        <v>#N/A</v>
      </c>
      <c r="H146" t="str">
        <f t="shared" si="2"/>
        <v>#N/A</v>
      </c>
      <c r="I146" t="str">
        <f t="shared" si="3"/>
        <v>Non-democratic</v>
      </c>
    </row>
    <row r="147">
      <c r="B147" t="str">
        <f t="shared" si="1"/>
        <v>#</v>
      </c>
      <c r="G147" t="str">
        <f>vlookup(B147,'imported-population-for-countri'!$A$4:$E$17930,5,false)</f>
        <v>#N/A</v>
      </c>
      <c r="H147" t="str">
        <f t="shared" si="2"/>
        <v>#N/A</v>
      </c>
      <c r="I147" t="str">
        <f t="shared" si="3"/>
        <v>Non-democratic</v>
      </c>
    </row>
    <row r="148">
      <c r="B148" t="str">
        <f t="shared" si="1"/>
        <v>#</v>
      </c>
      <c r="G148" t="str">
        <f>vlookup(B148,'imported-population-for-countri'!$A$4:$E$17930,5,false)</f>
        <v>#N/A</v>
      </c>
      <c r="H148" t="str">
        <f t="shared" si="2"/>
        <v>#N/A</v>
      </c>
      <c r="I148" t="str">
        <f t="shared" si="3"/>
        <v>Non-democratic</v>
      </c>
    </row>
    <row r="149">
      <c r="B149" t="str">
        <f t="shared" si="1"/>
        <v>#</v>
      </c>
      <c r="G149" t="str">
        <f>vlookup(B149,'imported-population-for-countri'!$A$4:$E$17930,5,false)</f>
        <v>#N/A</v>
      </c>
      <c r="H149" t="str">
        <f t="shared" si="2"/>
        <v>#N/A</v>
      </c>
      <c r="I149" t="str">
        <f t="shared" si="3"/>
        <v>Non-democratic</v>
      </c>
    </row>
    <row r="150">
      <c r="B150" t="str">
        <f t="shared" si="1"/>
        <v>#</v>
      </c>
      <c r="G150" t="str">
        <f>vlookup(B150,'imported-population-for-countri'!$A$4:$E$17930,5,false)</f>
        <v>#N/A</v>
      </c>
      <c r="H150" t="str">
        <f t="shared" si="2"/>
        <v>#N/A</v>
      </c>
      <c r="I150" t="str">
        <f t="shared" si="3"/>
        <v>Non-democratic</v>
      </c>
    </row>
    <row r="151">
      <c r="B151" t="str">
        <f t="shared" si="1"/>
        <v>#</v>
      </c>
      <c r="G151" t="str">
        <f>vlookup(B151,'imported-population-for-countri'!$A$4:$E$17930,5,false)</f>
        <v>#N/A</v>
      </c>
      <c r="H151" t="str">
        <f t="shared" si="2"/>
        <v>#N/A</v>
      </c>
      <c r="I151" t="str">
        <f t="shared" si="3"/>
        <v>Non-democratic</v>
      </c>
    </row>
    <row r="152">
      <c r="B152" t="str">
        <f t="shared" si="1"/>
        <v>#</v>
      </c>
      <c r="G152" t="str">
        <f>vlookup(B152,'imported-population-for-countri'!$A$4:$E$17930,5,false)</f>
        <v>#N/A</v>
      </c>
      <c r="H152" t="str">
        <f t="shared" si="2"/>
        <v>#N/A</v>
      </c>
      <c r="I152" t="str">
        <f t="shared" si="3"/>
        <v>Non-democratic</v>
      </c>
    </row>
    <row r="153">
      <c r="B153" t="str">
        <f t="shared" si="1"/>
        <v>#</v>
      </c>
      <c r="G153" t="str">
        <f>vlookup(B153,'imported-population-for-countri'!$A$4:$E$17930,5,false)</f>
        <v>#N/A</v>
      </c>
      <c r="H153" t="str">
        <f t="shared" si="2"/>
        <v>#N/A</v>
      </c>
      <c r="I153" t="str">
        <f t="shared" si="3"/>
        <v>Non-democratic</v>
      </c>
    </row>
    <row r="154">
      <c r="B154" t="str">
        <f t="shared" si="1"/>
        <v>#</v>
      </c>
      <c r="G154" t="str">
        <f>vlookup(B154,'imported-population-for-countri'!$A$4:$E$17930,5,false)</f>
        <v>#N/A</v>
      </c>
      <c r="H154" t="str">
        <f t="shared" si="2"/>
        <v>#N/A</v>
      </c>
      <c r="I154" t="str">
        <f t="shared" si="3"/>
        <v>Non-democratic</v>
      </c>
    </row>
    <row r="155">
      <c r="B155" t="str">
        <f t="shared" si="1"/>
        <v>#</v>
      </c>
      <c r="G155" t="str">
        <f>vlookup(B155,'imported-population-for-countri'!$A$4:$E$17930,5,false)</f>
        <v>#N/A</v>
      </c>
      <c r="H155" t="str">
        <f t="shared" si="2"/>
        <v>#N/A</v>
      </c>
      <c r="I155" t="str">
        <f t="shared" si="3"/>
        <v>Non-democratic</v>
      </c>
    </row>
    <row r="156">
      <c r="B156" t="str">
        <f t="shared" si="1"/>
        <v>#</v>
      </c>
      <c r="G156" t="str">
        <f>vlookup(B156,'imported-population-for-countri'!$A$4:$E$17930,5,false)</f>
        <v>#N/A</v>
      </c>
      <c r="H156" t="str">
        <f t="shared" si="2"/>
        <v>#N/A</v>
      </c>
      <c r="I156" t="str">
        <f t="shared" si="3"/>
        <v>Non-democratic</v>
      </c>
    </row>
    <row r="157">
      <c r="B157" t="str">
        <f t="shared" si="1"/>
        <v>#</v>
      </c>
      <c r="G157" t="str">
        <f>vlookup(B157,'imported-population-for-countri'!$A$4:$E$17930,5,false)</f>
        <v>#N/A</v>
      </c>
      <c r="H157" t="str">
        <f t="shared" si="2"/>
        <v>#N/A</v>
      </c>
      <c r="I157" t="str">
        <f t="shared" si="3"/>
        <v>Non-democratic</v>
      </c>
    </row>
    <row r="158">
      <c r="B158" t="str">
        <f t="shared" si="1"/>
        <v>#</v>
      </c>
      <c r="G158" t="str">
        <f>vlookup(B158,'imported-population-for-countri'!$A$4:$E$17930,5,false)</f>
        <v>#N/A</v>
      </c>
      <c r="H158" t="str">
        <f t="shared" si="2"/>
        <v>#N/A</v>
      </c>
      <c r="I158" t="str">
        <f t="shared" si="3"/>
        <v>Non-democratic</v>
      </c>
    </row>
    <row r="159">
      <c r="B159" t="str">
        <f t="shared" si="1"/>
        <v>#</v>
      </c>
      <c r="G159" t="str">
        <f>vlookup(B159,'imported-population-for-countri'!$A$4:$E$17930,5,false)</f>
        <v>#N/A</v>
      </c>
      <c r="H159" t="str">
        <f t="shared" si="2"/>
        <v>#N/A</v>
      </c>
      <c r="I159" t="str">
        <f t="shared" si="3"/>
        <v>Non-democratic</v>
      </c>
    </row>
    <row r="160">
      <c r="B160" t="str">
        <f t="shared" si="1"/>
        <v>#</v>
      </c>
      <c r="G160" t="str">
        <f>vlookup(B160,'imported-population-for-countri'!$A$4:$E$17930,5,false)</f>
        <v>#N/A</v>
      </c>
      <c r="H160" t="str">
        <f t="shared" si="2"/>
        <v>#N/A</v>
      </c>
      <c r="I160" t="str">
        <f t="shared" si="3"/>
        <v>Non-democratic</v>
      </c>
    </row>
    <row r="161">
      <c r="B161" t="str">
        <f t="shared" si="1"/>
        <v>#</v>
      </c>
      <c r="G161" t="str">
        <f>vlookup(B161,'imported-population-for-countri'!$A$4:$E$17930,5,false)</f>
        <v>#N/A</v>
      </c>
      <c r="H161" t="str">
        <f t="shared" si="2"/>
        <v>#N/A</v>
      </c>
      <c r="I161" t="str">
        <f t="shared" si="3"/>
        <v>Non-democratic</v>
      </c>
    </row>
    <row r="162">
      <c r="B162" t="str">
        <f t="shared" si="1"/>
        <v>#</v>
      </c>
      <c r="G162" t="str">
        <f>vlookup(B162,'imported-population-for-countri'!$A$4:$E$17930,5,false)</f>
        <v>#N/A</v>
      </c>
      <c r="H162" t="str">
        <f t="shared" si="2"/>
        <v>#N/A</v>
      </c>
      <c r="I162" t="str">
        <f t="shared" si="3"/>
        <v>Non-democratic</v>
      </c>
    </row>
    <row r="163">
      <c r="B163" t="str">
        <f t="shared" si="1"/>
        <v>#</v>
      </c>
      <c r="G163" t="str">
        <f>vlookup(B163,'imported-population-for-countri'!$A$4:$E$17930,5,false)</f>
        <v>#N/A</v>
      </c>
      <c r="H163" t="str">
        <f t="shared" si="2"/>
        <v>#N/A</v>
      </c>
      <c r="I163" t="str">
        <f t="shared" si="3"/>
        <v>Non-democratic</v>
      </c>
    </row>
    <row r="164">
      <c r="B164" t="str">
        <f t="shared" si="1"/>
        <v>#</v>
      </c>
      <c r="G164" t="str">
        <f>vlookup(B164,'imported-population-for-countri'!$A$4:$E$17930,5,false)</f>
        <v>#N/A</v>
      </c>
      <c r="H164" t="str">
        <f t="shared" si="2"/>
        <v>#N/A</v>
      </c>
      <c r="I164" t="str">
        <f t="shared" si="3"/>
        <v>Non-democratic</v>
      </c>
    </row>
    <row r="165">
      <c r="B165" t="str">
        <f t="shared" si="1"/>
        <v>#</v>
      </c>
      <c r="G165" t="str">
        <f>vlookup(B165,'imported-population-for-countri'!$A$4:$E$17930,5,false)</f>
        <v>#N/A</v>
      </c>
      <c r="H165" t="str">
        <f t="shared" si="2"/>
        <v>#N/A</v>
      </c>
      <c r="I165" t="str">
        <f t="shared" si="3"/>
        <v>Non-democratic</v>
      </c>
    </row>
    <row r="166">
      <c r="B166" t="str">
        <f t="shared" si="1"/>
        <v>#</v>
      </c>
      <c r="G166" t="str">
        <f>vlookup(B166,'imported-population-for-countri'!$A$4:$E$17930,5,false)</f>
        <v>#N/A</v>
      </c>
      <c r="H166" t="str">
        <f t="shared" si="2"/>
        <v>#N/A</v>
      </c>
      <c r="I166" t="str">
        <f t="shared" si="3"/>
        <v>Non-democratic</v>
      </c>
    </row>
    <row r="167">
      <c r="B167" t="str">
        <f t="shared" si="1"/>
        <v>#</v>
      </c>
      <c r="G167" t="str">
        <f>vlookup(B167,'imported-population-for-countri'!$A$4:$E$17930,5,false)</f>
        <v>#N/A</v>
      </c>
      <c r="H167" t="str">
        <f t="shared" si="2"/>
        <v>#N/A</v>
      </c>
      <c r="I167" t="str">
        <f t="shared" si="3"/>
        <v>Non-democratic</v>
      </c>
    </row>
    <row r="168">
      <c r="B168" t="str">
        <f t="shared" si="1"/>
        <v>#</v>
      </c>
      <c r="G168" t="str">
        <f>vlookup(B168,'imported-population-for-countri'!$A$4:$E$17930,5,false)</f>
        <v>#N/A</v>
      </c>
      <c r="H168" t="str">
        <f t="shared" si="2"/>
        <v>#N/A</v>
      </c>
      <c r="I168" t="str">
        <f t="shared" si="3"/>
        <v>Non-democratic</v>
      </c>
    </row>
    <row r="169">
      <c r="B169" t="str">
        <f t="shared" si="1"/>
        <v>#</v>
      </c>
      <c r="G169" t="str">
        <f>vlookup(B169,'imported-population-for-countri'!$A$4:$E$17930,5,false)</f>
        <v>#N/A</v>
      </c>
      <c r="H169" t="str">
        <f t="shared" si="2"/>
        <v>#N/A</v>
      </c>
      <c r="I169" t="str">
        <f t="shared" si="3"/>
        <v>Non-democratic</v>
      </c>
    </row>
    <row r="170">
      <c r="B170" t="str">
        <f t="shared" si="1"/>
        <v>#</v>
      </c>
      <c r="G170" t="str">
        <f>vlookup(B170,'imported-population-for-countri'!$A$4:$E$17930,5,false)</f>
        <v>#N/A</v>
      </c>
      <c r="H170" t="str">
        <f t="shared" si="2"/>
        <v>#N/A</v>
      </c>
      <c r="I170" t="str">
        <f t="shared" si="3"/>
        <v>Non-democratic</v>
      </c>
    </row>
    <row r="171">
      <c r="B171" t="str">
        <f t="shared" si="1"/>
        <v>#</v>
      </c>
      <c r="G171" t="str">
        <f>vlookup(B171,'imported-population-for-countri'!$A$4:$E$17930,5,false)</f>
        <v>#N/A</v>
      </c>
      <c r="H171" t="str">
        <f t="shared" si="2"/>
        <v>#N/A</v>
      </c>
      <c r="I171" t="str">
        <f t="shared" si="3"/>
        <v>Non-democratic</v>
      </c>
    </row>
    <row r="172">
      <c r="B172" t="str">
        <f t="shared" si="1"/>
        <v>#</v>
      </c>
      <c r="G172" t="str">
        <f>vlookup(B172,'imported-population-for-countri'!$A$4:$E$17930,5,false)</f>
        <v>#N/A</v>
      </c>
      <c r="H172" t="str">
        <f t="shared" si="2"/>
        <v>#N/A</v>
      </c>
      <c r="I172" t="str">
        <f t="shared" si="3"/>
        <v>Non-democratic</v>
      </c>
    </row>
    <row r="173">
      <c r="B173" t="str">
        <f t="shared" si="1"/>
        <v>#</v>
      </c>
      <c r="G173" t="str">
        <f>vlookup(B173,'imported-population-for-countri'!$A$4:$E$17930,5,false)</f>
        <v>#N/A</v>
      </c>
      <c r="H173" t="str">
        <f t="shared" si="2"/>
        <v>#N/A</v>
      </c>
      <c r="I173" t="str">
        <f t="shared" si="3"/>
        <v>Non-democratic</v>
      </c>
    </row>
    <row r="174">
      <c r="B174" t="str">
        <f t="shared" si="1"/>
        <v>#</v>
      </c>
      <c r="G174" t="str">
        <f>vlookup(B174,'imported-population-for-countri'!$A$4:$E$17930,5,false)</f>
        <v>#N/A</v>
      </c>
      <c r="H174" t="str">
        <f t="shared" si="2"/>
        <v>#N/A</v>
      </c>
      <c r="I174" t="str">
        <f t="shared" si="3"/>
        <v>Non-democratic</v>
      </c>
    </row>
    <row r="175">
      <c r="B175" t="str">
        <f t="shared" si="1"/>
        <v>#</v>
      </c>
      <c r="G175" t="str">
        <f>vlookup(B175,'imported-population-for-countri'!$A$4:$E$17930,5,false)</f>
        <v>#N/A</v>
      </c>
      <c r="H175" t="str">
        <f t="shared" si="2"/>
        <v>#N/A</v>
      </c>
      <c r="I175" t="str">
        <f t="shared" si="3"/>
        <v>Non-democratic</v>
      </c>
    </row>
    <row r="176">
      <c r="B176" t="str">
        <f t="shared" si="1"/>
        <v>#</v>
      </c>
      <c r="G176" t="str">
        <f>vlookup(B176,'imported-population-for-countri'!$A$4:$E$17930,5,false)</f>
        <v>#N/A</v>
      </c>
      <c r="H176" t="str">
        <f t="shared" si="2"/>
        <v>#N/A</v>
      </c>
      <c r="I176" t="str">
        <f t="shared" si="3"/>
        <v>Non-democratic</v>
      </c>
    </row>
    <row r="177">
      <c r="B177" t="str">
        <f t="shared" si="1"/>
        <v>#</v>
      </c>
      <c r="G177" t="str">
        <f>vlookup(B177,'imported-population-for-countri'!$A$4:$E$17930,5,false)</f>
        <v>#N/A</v>
      </c>
      <c r="H177" t="str">
        <f t="shared" si="2"/>
        <v>#N/A</v>
      </c>
      <c r="I177" t="str">
        <f t="shared" si="3"/>
        <v>Non-democratic</v>
      </c>
    </row>
    <row r="178">
      <c r="B178" t="str">
        <f t="shared" si="1"/>
        <v>#</v>
      </c>
      <c r="G178" t="str">
        <f>vlookup(B178,'imported-population-for-countri'!$A$4:$E$17930,5,false)</f>
        <v>#N/A</v>
      </c>
      <c r="H178" t="str">
        <f t="shared" si="2"/>
        <v>#N/A</v>
      </c>
      <c r="I178" t="str">
        <f t="shared" si="3"/>
        <v>Non-democratic</v>
      </c>
    </row>
    <row r="179">
      <c r="B179" t="str">
        <f t="shared" si="1"/>
        <v>#</v>
      </c>
      <c r="G179" t="str">
        <f>vlookup(B179,'imported-population-for-countri'!$A$4:$E$17930,5,false)</f>
        <v>#N/A</v>
      </c>
      <c r="H179" t="str">
        <f t="shared" si="2"/>
        <v>#N/A</v>
      </c>
      <c r="I179" t="str">
        <f t="shared" si="3"/>
        <v>Non-democratic</v>
      </c>
    </row>
    <row r="180">
      <c r="B180" t="str">
        <f t="shared" si="1"/>
        <v>#</v>
      </c>
      <c r="G180" t="str">
        <f>vlookup(B180,'imported-population-for-countri'!$A$4:$E$17930,5,false)</f>
        <v>#N/A</v>
      </c>
      <c r="H180" t="str">
        <f t="shared" si="2"/>
        <v>#N/A</v>
      </c>
      <c r="I180" t="str">
        <f t="shared" si="3"/>
        <v>Non-democratic</v>
      </c>
    </row>
    <row r="181">
      <c r="B181" t="str">
        <f t="shared" si="1"/>
        <v>#</v>
      </c>
      <c r="G181" t="str">
        <f>vlookup(B181,'imported-population-for-countri'!$A$4:$E$17930,5,false)</f>
        <v>#N/A</v>
      </c>
      <c r="H181" t="str">
        <f t="shared" si="2"/>
        <v>#N/A</v>
      </c>
      <c r="I181" t="str">
        <f t="shared" si="3"/>
        <v>Non-democratic</v>
      </c>
    </row>
    <row r="182">
      <c r="B182" t="str">
        <f t="shared" si="1"/>
        <v>#</v>
      </c>
      <c r="G182" t="str">
        <f>vlookup(B182,'imported-population-for-countri'!$A$4:$E$17930,5,false)</f>
        <v>#N/A</v>
      </c>
      <c r="H182" t="str">
        <f t="shared" si="2"/>
        <v>#N/A</v>
      </c>
      <c r="I182" t="str">
        <f t="shared" si="3"/>
        <v>Non-democratic</v>
      </c>
    </row>
    <row r="183">
      <c r="B183" t="str">
        <f t="shared" si="1"/>
        <v>#</v>
      </c>
      <c r="G183" t="str">
        <f>vlookup(B183,'imported-population-for-countri'!$A$4:$E$17930,5,false)</f>
        <v>#N/A</v>
      </c>
      <c r="H183" t="str">
        <f t="shared" si="2"/>
        <v>#N/A</v>
      </c>
      <c r="I183" t="str">
        <f t="shared" si="3"/>
        <v>Non-democratic</v>
      </c>
    </row>
    <row r="184">
      <c r="B184" t="str">
        <f t="shared" si="1"/>
        <v>#</v>
      </c>
      <c r="G184" t="str">
        <f>vlookup(B184,'imported-population-for-countri'!$A$4:$E$17930,5,false)</f>
        <v>#N/A</v>
      </c>
      <c r="H184" t="str">
        <f t="shared" si="2"/>
        <v>#N/A</v>
      </c>
      <c r="I184" t="str">
        <f t="shared" si="3"/>
        <v>Non-democratic</v>
      </c>
    </row>
    <row r="185">
      <c r="B185" t="str">
        <f t="shared" si="1"/>
        <v>#</v>
      </c>
      <c r="G185" t="str">
        <f>vlookup(B185,'imported-population-for-countri'!$A$4:$E$17930,5,false)</f>
        <v>#N/A</v>
      </c>
      <c r="H185" t="str">
        <f t="shared" si="2"/>
        <v>#N/A</v>
      </c>
      <c r="I185" t="str">
        <f t="shared" si="3"/>
        <v>Non-democratic</v>
      </c>
    </row>
    <row r="186">
      <c r="B186" t="str">
        <f t="shared" si="1"/>
        <v>#</v>
      </c>
      <c r="G186" t="str">
        <f>vlookup(B186,'imported-population-for-countri'!$A$4:$E$17930,5,false)</f>
        <v>#N/A</v>
      </c>
      <c r="H186" t="str">
        <f t="shared" si="2"/>
        <v>#N/A</v>
      </c>
      <c r="I186" t="str">
        <f t="shared" si="3"/>
        <v>Non-democratic</v>
      </c>
    </row>
    <row r="187">
      <c r="B187" t="str">
        <f t="shared" si="1"/>
        <v>#</v>
      </c>
      <c r="G187" t="str">
        <f>vlookup(B187,'imported-population-for-countri'!$A$4:$E$17930,5,false)</f>
        <v>#N/A</v>
      </c>
      <c r="H187" t="str">
        <f t="shared" si="2"/>
        <v>#N/A</v>
      </c>
      <c r="I187" t="str">
        <f t="shared" si="3"/>
        <v>Non-democratic</v>
      </c>
    </row>
    <row r="188">
      <c r="B188" t="str">
        <f t="shared" si="1"/>
        <v>#</v>
      </c>
      <c r="G188" t="str">
        <f>vlookup(B188,'imported-population-for-countri'!$A$4:$E$17930,5,false)</f>
        <v>#N/A</v>
      </c>
      <c r="H188" t="str">
        <f t="shared" si="2"/>
        <v>#N/A</v>
      </c>
      <c r="I188" t="str">
        <f t="shared" si="3"/>
        <v>Non-democratic</v>
      </c>
    </row>
    <row r="189">
      <c r="B189" t="str">
        <f t="shared" si="1"/>
        <v>#</v>
      </c>
      <c r="G189" t="str">
        <f>vlookup(B189,'imported-population-for-countri'!$A$4:$E$17930,5,false)</f>
        <v>#N/A</v>
      </c>
      <c r="H189" t="str">
        <f t="shared" si="2"/>
        <v>#N/A</v>
      </c>
      <c r="I189" t="str">
        <f t="shared" si="3"/>
        <v>Non-democratic</v>
      </c>
    </row>
    <row r="190">
      <c r="B190" t="str">
        <f t="shared" si="1"/>
        <v>#</v>
      </c>
      <c r="G190" t="str">
        <f>vlookup(B190,'imported-population-for-countri'!$A$4:$E$17930,5,false)</f>
        <v>#N/A</v>
      </c>
      <c r="H190" t="str">
        <f t="shared" si="2"/>
        <v>#N/A</v>
      </c>
      <c r="I190" t="str">
        <f t="shared" si="3"/>
        <v>Non-democratic</v>
      </c>
    </row>
    <row r="191">
      <c r="B191" t="str">
        <f t="shared" si="1"/>
        <v>#</v>
      </c>
      <c r="G191" t="str">
        <f>vlookup(B191,'imported-population-for-countri'!$A$4:$E$17930,5,false)</f>
        <v>#N/A</v>
      </c>
      <c r="H191" t="str">
        <f t="shared" si="2"/>
        <v>#N/A</v>
      </c>
      <c r="I191" t="str">
        <f t="shared" si="3"/>
        <v>Non-democratic</v>
      </c>
    </row>
    <row r="192">
      <c r="B192" t="str">
        <f t="shared" si="1"/>
        <v>#</v>
      </c>
      <c r="G192" t="str">
        <f>vlookup(B192,'imported-population-for-countri'!$A$4:$E$17930,5,false)</f>
        <v>#N/A</v>
      </c>
      <c r="H192" t="str">
        <f t="shared" si="2"/>
        <v>#N/A</v>
      </c>
      <c r="I192" t="str">
        <f t="shared" si="3"/>
        <v>Non-democratic</v>
      </c>
    </row>
    <row r="193">
      <c r="B193" t="str">
        <f t="shared" si="1"/>
        <v>#</v>
      </c>
      <c r="G193" t="str">
        <f>vlookup(B193,'imported-population-for-countri'!$A$4:$E$17930,5,false)</f>
        <v>#N/A</v>
      </c>
      <c r="H193" t="str">
        <f t="shared" si="2"/>
        <v>#N/A</v>
      </c>
      <c r="I193" t="str">
        <f t="shared" si="3"/>
        <v>Non-democratic</v>
      </c>
    </row>
    <row r="194">
      <c r="B194" t="str">
        <f t="shared" si="1"/>
        <v>#</v>
      </c>
      <c r="G194" t="str">
        <f>vlookup(B194,'imported-population-for-countri'!$A$4:$E$17930,5,false)</f>
        <v>#N/A</v>
      </c>
      <c r="H194" t="str">
        <f t="shared" si="2"/>
        <v>#N/A</v>
      </c>
      <c r="I194" t="str">
        <f t="shared" si="3"/>
        <v>Non-democratic</v>
      </c>
    </row>
    <row r="195">
      <c r="B195" t="str">
        <f t="shared" si="1"/>
        <v>#</v>
      </c>
      <c r="G195" t="str">
        <f>vlookup(B195,'imported-population-for-countri'!$A$4:$E$17930,5,false)</f>
        <v>#N/A</v>
      </c>
      <c r="H195" t="str">
        <f t="shared" si="2"/>
        <v>#N/A</v>
      </c>
      <c r="I195" t="str">
        <f t="shared" si="3"/>
        <v>Non-democratic</v>
      </c>
    </row>
    <row r="196">
      <c r="B196" t="str">
        <f t="shared" si="1"/>
        <v>#</v>
      </c>
      <c r="G196" t="str">
        <f>vlookup(B196,'imported-population-for-countri'!$A$4:$E$17930,5,false)</f>
        <v>#N/A</v>
      </c>
      <c r="H196" t="str">
        <f t="shared" si="2"/>
        <v>#N/A</v>
      </c>
      <c r="I196" t="str">
        <f t="shared" si="3"/>
        <v>Non-democratic</v>
      </c>
    </row>
    <row r="197">
      <c r="B197" t="str">
        <f t="shared" si="1"/>
        <v>#</v>
      </c>
      <c r="G197" t="str">
        <f>vlookup(B197,'imported-population-for-countri'!$A$4:$E$17930,5,false)</f>
        <v>#N/A</v>
      </c>
      <c r="H197" t="str">
        <f t="shared" si="2"/>
        <v>#N/A</v>
      </c>
      <c r="I197" t="str">
        <f t="shared" si="3"/>
        <v>Non-democratic</v>
      </c>
    </row>
    <row r="198">
      <c r="B198" t="str">
        <f t="shared" si="1"/>
        <v>#</v>
      </c>
      <c r="G198" t="str">
        <f>vlookup(B198,'imported-population-for-countri'!$A$4:$E$17930,5,false)</f>
        <v>#N/A</v>
      </c>
      <c r="H198" t="str">
        <f t="shared" si="2"/>
        <v>#N/A</v>
      </c>
      <c r="I198" t="str">
        <f t="shared" si="3"/>
        <v>Non-democratic</v>
      </c>
    </row>
    <row r="199">
      <c r="B199" t="str">
        <f t="shared" si="1"/>
        <v>#</v>
      </c>
      <c r="G199" t="str">
        <f>vlookup(B199,'imported-population-for-countri'!$A$4:$E$17930,5,false)</f>
        <v>#N/A</v>
      </c>
      <c r="H199" t="str">
        <f t="shared" si="2"/>
        <v>#N/A</v>
      </c>
      <c r="I199" t="str">
        <f t="shared" si="3"/>
        <v>Non-democratic</v>
      </c>
    </row>
    <row r="200">
      <c r="B200" t="str">
        <f t="shared" si="1"/>
        <v>#</v>
      </c>
      <c r="G200" t="str">
        <f>vlookup(B200,'imported-population-for-countri'!$A$4:$E$17930,5,false)</f>
        <v>#N/A</v>
      </c>
      <c r="H200" t="str">
        <f t="shared" si="2"/>
        <v>#N/A</v>
      </c>
      <c r="I200" t="str">
        <f t="shared" si="3"/>
        <v>Non-democratic</v>
      </c>
    </row>
    <row r="201">
      <c r="B201" t="str">
        <f t="shared" si="1"/>
        <v>#</v>
      </c>
      <c r="G201" t="str">
        <f>vlookup(B201,'imported-population-for-countri'!$A$4:$E$17930,5,false)</f>
        <v>#N/A</v>
      </c>
      <c r="H201" t="str">
        <f t="shared" si="2"/>
        <v>#N/A</v>
      </c>
      <c r="I201" t="str">
        <f t="shared" si="3"/>
        <v>Non-democratic</v>
      </c>
    </row>
    <row r="202">
      <c r="B202" t="str">
        <f t="shared" si="1"/>
        <v>#</v>
      </c>
      <c r="G202" t="str">
        <f>vlookup(B202,'imported-population-for-countri'!$A$4:$E$17930,5,false)</f>
        <v>#N/A</v>
      </c>
      <c r="H202" t="str">
        <f t="shared" si="2"/>
        <v>#N/A</v>
      </c>
      <c r="I202" t="str">
        <f t="shared" si="3"/>
        <v>Non-democratic</v>
      </c>
    </row>
    <row r="203">
      <c r="B203" t="str">
        <f t="shared" si="1"/>
        <v>#</v>
      </c>
      <c r="G203" t="str">
        <f>vlookup(B203,'imported-population-for-countri'!$A$4:$E$17930,5,false)</f>
        <v>#N/A</v>
      </c>
      <c r="H203" t="str">
        <f t="shared" si="2"/>
        <v>#N/A</v>
      </c>
      <c r="I203" t="str">
        <f t="shared" si="3"/>
        <v>Non-democratic</v>
      </c>
    </row>
    <row r="204">
      <c r="B204" t="str">
        <f t="shared" si="1"/>
        <v>#</v>
      </c>
      <c r="G204" t="str">
        <f>vlookup(B204,'imported-population-for-countri'!$A$4:$E$17930,5,false)</f>
        <v>#N/A</v>
      </c>
      <c r="H204" t="str">
        <f t="shared" si="2"/>
        <v>#N/A</v>
      </c>
      <c r="I204" t="str">
        <f t="shared" si="3"/>
        <v>Non-democratic</v>
      </c>
    </row>
    <row r="205">
      <c r="B205" t="str">
        <f t="shared" si="1"/>
        <v>#</v>
      </c>
      <c r="G205" t="str">
        <f>vlookup(B205,'imported-population-for-countri'!$A$4:$E$17930,5,false)</f>
        <v>#N/A</v>
      </c>
      <c r="H205" t="str">
        <f t="shared" si="2"/>
        <v>#N/A</v>
      </c>
      <c r="I205" t="str">
        <f t="shared" si="3"/>
        <v>Non-democratic</v>
      </c>
    </row>
    <row r="206">
      <c r="B206" t="str">
        <f t="shared" si="1"/>
        <v>#</v>
      </c>
      <c r="G206" t="str">
        <f>vlookup(B206,'imported-population-for-countri'!$A$4:$E$17930,5,false)</f>
        <v>#N/A</v>
      </c>
      <c r="H206" t="str">
        <f t="shared" si="2"/>
        <v>#N/A</v>
      </c>
      <c r="I206" t="str">
        <f t="shared" si="3"/>
        <v>Non-democratic</v>
      </c>
    </row>
    <row r="207">
      <c r="B207" t="str">
        <f t="shared" si="1"/>
        <v>#</v>
      </c>
      <c r="G207" t="str">
        <f>vlookup(B207,'imported-population-for-countri'!$A$4:$E$17930,5,false)</f>
        <v>#N/A</v>
      </c>
      <c r="H207" t="str">
        <f t="shared" si="2"/>
        <v>#N/A</v>
      </c>
      <c r="I207" t="str">
        <f t="shared" si="3"/>
        <v>Non-democratic</v>
      </c>
    </row>
    <row r="208">
      <c r="B208" t="str">
        <f t="shared" si="1"/>
        <v>#</v>
      </c>
      <c r="G208" t="str">
        <f>vlookup(B208,'imported-population-for-countri'!$A$4:$E$17930,5,false)</f>
        <v>#N/A</v>
      </c>
      <c r="H208" t="str">
        <f t="shared" si="2"/>
        <v>#N/A</v>
      </c>
      <c r="I208" t="str">
        <f t="shared" si="3"/>
        <v>Non-democratic</v>
      </c>
    </row>
    <row r="209">
      <c r="B209" t="str">
        <f t="shared" si="1"/>
        <v>#</v>
      </c>
      <c r="G209" t="str">
        <f>vlookup(B209,'imported-population-for-countri'!$A$4:$E$17930,5,false)</f>
        <v>#N/A</v>
      </c>
      <c r="H209" t="str">
        <f t="shared" si="2"/>
        <v>#N/A</v>
      </c>
      <c r="I209" t="str">
        <f t="shared" si="3"/>
        <v>Non-democratic</v>
      </c>
    </row>
    <row r="210">
      <c r="B210" t="str">
        <f t="shared" si="1"/>
        <v>#</v>
      </c>
      <c r="G210" t="str">
        <f>vlookup(B210,'imported-population-for-countri'!$A$4:$E$17930,5,false)</f>
        <v>#N/A</v>
      </c>
      <c r="H210" t="str">
        <f t="shared" si="2"/>
        <v>#N/A</v>
      </c>
      <c r="I210" t="str">
        <f t="shared" si="3"/>
        <v>Non-democratic</v>
      </c>
    </row>
    <row r="211">
      <c r="B211" t="str">
        <f t="shared" si="1"/>
        <v>#</v>
      </c>
      <c r="G211" t="str">
        <f>vlookup(B211,'imported-population-for-countri'!$A$4:$E$17930,5,false)</f>
        <v>#N/A</v>
      </c>
      <c r="H211" t="str">
        <f t="shared" si="2"/>
        <v>#N/A</v>
      </c>
      <c r="I211" t="str">
        <f t="shared" si="3"/>
        <v>Non-democratic</v>
      </c>
    </row>
    <row r="212">
      <c r="B212" t="str">
        <f t="shared" si="1"/>
        <v>#</v>
      </c>
      <c r="G212" t="str">
        <f>vlookup(B212,'imported-population-for-countri'!$A$4:$E$17930,5,false)</f>
        <v>#N/A</v>
      </c>
      <c r="H212" t="str">
        <f t="shared" si="2"/>
        <v>#N/A</v>
      </c>
      <c r="I212" t="str">
        <f t="shared" si="3"/>
        <v>Non-democratic</v>
      </c>
    </row>
    <row r="213">
      <c r="B213" t="str">
        <f t="shared" si="1"/>
        <v>#</v>
      </c>
      <c r="G213" t="str">
        <f>vlookup(B213,'imported-population-for-countri'!$A$4:$E$17930,5,false)</f>
        <v>#N/A</v>
      </c>
      <c r="H213" t="str">
        <f t="shared" si="2"/>
        <v>#N/A</v>
      </c>
      <c r="I213" t="str">
        <f t="shared" si="3"/>
        <v>Non-democratic</v>
      </c>
    </row>
    <row r="214">
      <c r="B214" t="str">
        <f t="shared" si="1"/>
        <v>#</v>
      </c>
      <c r="G214" t="str">
        <f>vlookup(B214,'imported-population-for-countri'!$A$4:$E$17930,5,false)</f>
        <v>#N/A</v>
      </c>
      <c r="H214" t="str">
        <f t="shared" si="2"/>
        <v>#N/A</v>
      </c>
      <c r="I214" t="str">
        <f t="shared" si="3"/>
        <v>Non-democratic</v>
      </c>
    </row>
    <row r="215">
      <c r="B215" t="str">
        <f t="shared" si="1"/>
        <v>#</v>
      </c>
      <c r="G215" t="str">
        <f>vlookup(B215,'imported-population-for-countri'!$A$4:$E$17930,5,false)</f>
        <v>#N/A</v>
      </c>
      <c r="H215" t="str">
        <f t="shared" si="2"/>
        <v>#N/A</v>
      </c>
      <c r="I215" t="str">
        <f t="shared" si="3"/>
        <v>Non-democratic</v>
      </c>
    </row>
    <row r="216">
      <c r="B216" t="str">
        <f t="shared" si="1"/>
        <v>#</v>
      </c>
      <c r="G216" t="str">
        <f>vlookup(B216,'imported-population-for-countri'!$A$4:$E$17930,5,false)</f>
        <v>#N/A</v>
      </c>
      <c r="H216" t="str">
        <f t="shared" si="2"/>
        <v>#N/A</v>
      </c>
      <c r="I216" t="str">
        <f t="shared" si="3"/>
        <v>Non-democratic</v>
      </c>
    </row>
    <row r="217">
      <c r="B217" t="str">
        <f t="shared" si="1"/>
        <v>#</v>
      </c>
      <c r="G217" t="str">
        <f>vlookup(B217,'imported-population-for-countri'!$A$4:$E$17930,5,false)</f>
        <v>#N/A</v>
      </c>
      <c r="H217" t="str">
        <f t="shared" si="2"/>
        <v>#N/A</v>
      </c>
      <c r="I217" t="str">
        <f t="shared" si="3"/>
        <v>Non-democratic</v>
      </c>
    </row>
    <row r="218">
      <c r="B218" t="str">
        <f t="shared" si="1"/>
        <v>#</v>
      </c>
      <c r="G218" t="str">
        <f>vlookup(B218,'imported-population-for-countri'!$A$4:$E$17930,5,false)</f>
        <v>#N/A</v>
      </c>
      <c r="H218" t="str">
        <f t="shared" si="2"/>
        <v>#N/A</v>
      </c>
      <c r="I218" t="str">
        <f t="shared" si="3"/>
        <v>Non-democratic</v>
      </c>
    </row>
    <row r="219">
      <c r="B219" t="str">
        <f t="shared" si="1"/>
        <v>#</v>
      </c>
      <c r="G219" t="str">
        <f>vlookup(B219,'imported-population-for-countri'!$A$4:$E$17930,5,false)</f>
        <v>#N/A</v>
      </c>
      <c r="H219" t="str">
        <f t="shared" si="2"/>
        <v>#N/A</v>
      </c>
      <c r="I219" t="str">
        <f t="shared" si="3"/>
        <v>Non-democratic</v>
      </c>
    </row>
    <row r="220">
      <c r="B220" t="str">
        <f t="shared" si="1"/>
        <v>#</v>
      </c>
      <c r="G220" t="str">
        <f>vlookup(B220,'imported-population-for-countri'!$A$4:$E$17930,5,false)</f>
        <v>#N/A</v>
      </c>
      <c r="H220" t="str">
        <f t="shared" si="2"/>
        <v>#N/A</v>
      </c>
      <c r="I220" t="str">
        <f t="shared" si="3"/>
        <v>Non-democratic</v>
      </c>
    </row>
    <row r="221">
      <c r="B221" t="str">
        <f t="shared" si="1"/>
        <v>#</v>
      </c>
      <c r="G221" t="str">
        <f>vlookup(B221,'imported-population-for-countri'!$A$4:$E$17930,5,false)</f>
        <v>#N/A</v>
      </c>
      <c r="H221" t="str">
        <f t="shared" si="2"/>
        <v>#N/A</v>
      </c>
      <c r="I221" t="str">
        <f t="shared" si="3"/>
        <v>Non-democratic</v>
      </c>
    </row>
    <row r="222">
      <c r="B222" t="str">
        <f t="shared" si="1"/>
        <v>#</v>
      </c>
      <c r="G222" t="str">
        <f>vlookup(B222,'imported-population-for-countri'!$A$4:$E$17930,5,false)</f>
        <v>#N/A</v>
      </c>
      <c r="H222" t="str">
        <f t="shared" si="2"/>
        <v>#N/A</v>
      </c>
      <c r="I222" t="str">
        <f t="shared" si="3"/>
        <v>Non-democratic</v>
      </c>
    </row>
    <row r="223">
      <c r="B223" t="str">
        <f t="shared" si="1"/>
        <v>#</v>
      </c>
      <c r="G223" t="str">
        <f>vlookup(B223,'imported-population-for-countri'!$A$4:$E$17930,5,false)</f>
        <v>#N/A</v>
      </c>
      <c r="H223" t="str">
        <f t="shared" si="2"/>
        <v>#N/A</v>
      </c>
      <c r="I223" t="str">
        <f t="shared" si="3"/>
        <v>Non-democratic</v>
      </c>
    </row>
    <row r="224">
      <c r="B224" t="str">
        <f t="shared" si="1"/>
        <v>#</v>
      </c>
      <c r="G224" t="str">
        <f>vlookup(B224,'imported-population-for-countri'!$A$4:$E$17930,5,false)</f>
        <v>#N/A</v>
      </c>
      <c r="H224" t="str">
        <f t="shared" si="2"/>
        <v>#N/A</v>
      </c>
      <c r="I224" t="str">
        <f t="shared" si="3"/>
        <v>Non-democratic</v>
      </c>
    </row>
    <row r="225">
      <c r="B225" t="str">
        <f t="shared" si="1"/>
        <v>#</v>
      </c>
      <c r="G225" t="str">
        <f>vlookup(B225,'imported-population-for-countri'!$A$4:$E$17930,5,false)</f>
        <v>#N/A</v>
      </c>
      <c r="H225" t="str">
        <f t="shared" si="2"/>
        <v>#N/A</v>
      </c>
      <c r="I225" t="str">
        <f t="shared" si="3"/>
        <v>Non-democratic</v>
      </c>
    </row>
    <row r="226">
      <c r="B226" t="str">
        <f t="shared" si="1"/>
        <v>#</v>
      </c>
      <c r="G226" t="str">
        <f>vlookup(B226,'imported-population-for-countri'!$A$4:$E$17930,5,false)</f>
        <v>#N/A</v>
      </c>
      <c r="H226" t="str">
        <f t="shared" si="2"/>
        <v>#N/A</v>
      </c>
      <c r="I226" t="str">
        <f t="shared" si="3"/>
        <v>Non-democratic</v>
      </c>
    </row>
    <row r="227">
      <c r="B227" t="str">
        <f t="shared" si="1"/>
        <v>#</v>
      </c>
      <c r="G227" t="str">
        <f>vlookup(B227,'imported-population-for-countri'!$A$4:$E$17930,5,false)</f>
        <v>#N/A</v>
      </c>
      <c r="H227" t="str">
        <f t="shared" si="2"/>
        <v>#N/A</v>
      </c>
      <c r="I227" t="str">
        <f t="shared" si="3"/>
        <v>Non-democratic</v>
      </c>
    </row>
    <row r="228">
      <c r="B228" t="str">
        <f t="shared" si="1"/>
        <v>#</v>
      </c>
      <c r="G228" t="str">
        <f>vlookup(B228,'imported-population-for-countri'!$A$4:$E$17930,5,false)</f>
        <v>#N/A</v>
      </c>
      <c r="H228" t="str">
        <f t="shared" si="2"/>
        <v>#N/A</v>
      </c>
      <c r="I228" t="str">
        <f t="shared" si="3"/>
        <v>Non-democratic</v>
      </c>
    </row>
    <row r="229">
      <c r="B229" t="str">
        <f t="shared" si="1"/>
        <v>#</v>
      </c>
      <c r="G229" t="str">
        <f>vlookup(B229,'imported-population-for-countri'!$A$4:$E$17930,5,false)</f>
        <v>#N/A</v>
      </c>
      <c r="H229" t="str">
        <f t="shared" si="2"/>
        <v>#N/A</v>
      </c>
      <c r="I229" t="str">
        <f t="shared" si="3"/>
        <v>Non-democratic</v>
      </c>
    </row>
    <row r="230">
      <c r="B230" t="str">
        <f t="shared" si="1"/>
        <v>#</v>
      </c>
      <c r="G230" t="str">
        <f>vlookup(B230,'imported-population-for-countri'!$A$4:$E$17930,5,false)</f>
        <v>#N/A</v>
      </c>
      <c r="H230" t="str">
        <f t="shared" si="2"/>
        <v>#N/A</v>
      </c>
      <c r="I230" t="str">
        <f t="shared" si="3"/>
        <v>Non-democratic</v>
      </c>
    </row>
    <row r="231">
      <c r="B231" t="str">
        <f t="shared" si="1"/>
        <v>#</v>
      </c>
      <c r="G231" t="str">
        <f>vlookup(B231,'imported-population-for-countri'!$A$4:$E$17930,5,false)</f>
        <v>#N/A</v>
      </c>
      <c r="H231" t="str">
        <f t="shared" si="2"/>
        <v>#N/A</v>
      </c>
      <c r="I231" t="str">
        <f t="shared" si="3"/>
        <v>Non-democratic</v>
      </c>
    </row>
    <row r="232">
      <c r="B232" t="str">
        <f t="shared" si="1"/>
        <v>#</v>
      </c>
      <c r="G232" t="str">
        <f>vlookup(B232,'imported-population-for-countri'!$A$4:$E$17930,5,false)</f>
        <v>#N/A</v>
      </c>
      <c r="H232" t="str">
        <f t="shared" si="2"/>
        <v>#N/A</v>
      </c>
      <c r="I232" t="str">
        <f t="shared" si="3"/>
        <v>Non-democratic</v>
      </c>
    </row>
    <row r="233">
      <c r="B233" t="str">
        <f t="shared" si="1"/>
        <v>#</v>
      </c>
      <c r="G233" t="str">
        <f>vlookup(B233,'imported-population-for-countri'!$A$4:$E$17930,5,false)</f>
        <v>#N/A</v>
      </c>
      <c r="H233" t="str">
        <f t="shared" si="2"/>
        <v>#N/A</v>
      </c>
      <c r="I233" t="str">
        <f t="shared" si="3"/>
        <v>Non-democratic</v>
      </c>
    </row>
    <row r="234">
      <c r="B234" t="str">
        <f t="shared" si="1"/>
        <v>#</v>
      </c>
      <c r="G234" t="str">
        <f>vlookup(B234,'imported-population-for-countri'!$A$4:$E$17930,5,false)</f>
        <v>#N/A</v>
      </c>
      <c r="H234" t="str">
        <f t="shared" si="2"/>
        <v>#N/A</v>
      </c>
      <c r="I234" t="str">
        <f t="shared" si="3"/>
        <v>Non-democratic</v>
      </c>
    </row>
    <row r="235">
      <c r="B235" t="str">
        <f t="shared" si="1"/>
        <v>#</v>
      </c>
      <c r="G235" t="str">
        <f>vlookup(B235,'imported-population-for-countri'!$A$4:$E$17930,5,false)</f>
        <v>#N/A</v>
      </c>
      <c r="H235" t="str">
        <f t="shared" si="2"/>
        <v>#N/A</v>
      </c>
      <c r="I235" t="str">
        <f t="shared" si="3"/>
        <v>Non-democratic</v>
      </c>
    </row>
    <row r="236">
      <c r="B236" t="str">
        <f t="shared" si="1"/>
        <v>#</v>
      </c>
      <c r="G236" t="str">
        <f>vlookup(B236,'imported-population-for-countri'!$A$4:$E$17930,5,false)</f>
        <v>#N/A</v>
      </c>
      <c r="H236" t="str">
        <f t="shared" si="2"/>
        <v>#N/A</v>
      </c>
      <c r="I236" t="str">
        <f t="shared" si="3"/>
        <v>Non-democratic</v>
      </c>
    </row>
    <row r="237">
      <c r="B237" t="str">
        <f t="shared" si="1"/>
        <v>#</v>
      </c>
      <c r="G237" t="str">
        <f>vlookup(B237,'imported-population-for-countri'!$A$4:$E$17930,5,false)</f>
        <v>#N/A</v>
      </c>
      <c r="H237" t="str">
        <f t="shared" si="2"/>
        <v>#N/A</v>
      </c>
      <c r="I237" t="str">
        <f t="shared" si="3"/>
        <v>Non-democratic</v>
      </c>
    </row>
    <row r="238">
      <c r="B238" t="str">
        <f t="shared" si="1"/>
        <v>#</v>
      </c>
      <c r="G238" t="str">
        <f>vlookup(B238,'imported-population-for-countri'!$A$4:$E$17930,5,false)</f>
        <v>#N/A</v>
      </c>
      <c r="H238" t="str">
        <f t="shared" si="2"/>
        <v>#N/A</v>
      </c>
      <c r="I238" t="str">
        <f t="shared" si="3"/>
        <v>Non-democratic</v>
      </c>
    </row>
    <row r="239">
      <c r="B239" t="str">
        <f t="shared" si="1"/>
        <v>#</v>
      </c>
      <c r="G239" t="str">
        <f>vlookup(B239,'imported-population-for-countri'!$A$4:$E$17930,5,false)</f>
        <v>#N/A</v>
      </c>
      <c r="H239" t="str">
        <f t="shared" si="2"/>
        <v>#N/A</v>
      </c>
      <c r="I239" t="str">
        <f t="shared" si="3"/>
        <v>Non-democratic</v>
      </c>
    </row>
    <row r="240">
      <c r="B240" t="str">
        <f t="shared" si="1"/>
        <v>#</v>
      </c>
      <c r="G240" t="str">
        <f>vlookup(B240,'imported-population-for-countri'!$A$4:$E$17930,5,false)</f>
        <v>#N/A</v>
      </c>
      <c r="H240" t="str">
        <f t="shared" si="2"/>
        <v>#N/A</v>
      </c>
      <c r="I240" t="str">
        <f t="shared" si="3"/>
        <v>Non-democratic</v>
      </c>
    </row>
    <row r="241">
      <c r="B241" t="str">
        <f t="shared" si="1"/>
        <v>#</v>
      </c>
      <c r="G241" t="str">
        <f>vlookup(B241,'imported-population-for-countri'!$A$4:$E$17930,5,false)</f>
        <v>#N/A</v>
      </c>
      <c r="H241" t="str">
        <f t="shared" si="2"/>
        <v>#N/A</v>
      </c>
      <c r="I241" t="str">
        <f t="shared" si="3"/>
        <v>Non-democratic</v>
      </c>
    </row>
    <row r="242">
      <c r="B242" t="str">
        <f t="shared" si="1"/>
        <v>#</v>
      </c>
      <c r="G242" t="str">
        <f>vlookup(B242,'imported-population-for-countri'!$A$4:$E$17930,5,false)</f>
        <v>#N/A</v>
      </c>
      <c r="H242" t="str">
        <f t="shared" si="2"/>
        <v>#N/A</v>
      </c>
      <c r="I242" t="str">
        <f t="shared" si="3"/>
        <v>Non-democratic</v>
      </c>
    </row>
    <row r="243">
      <c r="B243" t="str">
        <f t="shared" si="1"/>
        <v>#</v>
      </c>
      <c r="G243" t="str">
        <f>vlookup(B243,'imported-population-for-countri'!$A$4:$E$17930,5,false)</f>
        <v>#N/A</v>
      </c>
      <c r="H243" t="str">
        <f t="shared" si="2"/>
        <v>#N/A</v>
      </c>
      <c r="I243" t="str">
        <f t="shared" si="3"/>
        <v>Non-democratic</v>
      </c>
    </row>
    <row r="244">
      <c r="B244" t="str">
        <f t="shared" si="1"/>
        <v>#</v>
      </c>
      <c r="G244" t="str">
        <f>vlookup(B244,'imported-population-for-countri'!$A$4:$E$17930,5,false)</f>
        <v>#N/A</v>
      </c>
      <c r="H244" t="str">
        <f t="shared" si="2"/>
        <v>#N/A</v>
      </c>
      <c r="I244" t="str">
        <f t="shared" si="3"/>
        <v>Non-democratic</v>
      </c>
    </row>
    <row r="245">
      <c r="B245" t="str">
        <f t="shared" si="1"/>
        <v>#</v>
      </c>
      <c r="G245" t="str">
        <f>vlookup(B245,'imported-population-for-countri'!$A$4:$E$17930,5,false)</f>
        <v>#N/A</v>
      </c>
      <c r="H245" t="str">
        <f t="shared" si="2"/>
        <v>#N/A</v>
      </c>
      <c r="I245" t="str">
        <f t="shared" si="3"/>
        <v>Non-democratic</v>
      </c>
    </row>
    <row r="246">
      <c r="B246" t="str">
        <f t="shared" si="1"/>
        <v>#</v>
      </c>
      <c r="G246" t="str">
        <f>vlookup(B246,'imported-population-for-countri'!$A$4:$E$17930,5,false)</f>
        <v>#N/A</v>
      </c>
      <c r="H246" t="str">
        <f t="shared" si="2"/>
        <v>#N/A</v>
      </c>
      <c r="I246" t="str">
        <f t="shared" si="3"/>
        <v>Non-democratic</v>
      </c>
    </row>
    <row r="247">
      <c r="B247" t="str">
        <f t="shared" si="1"/>
        <v>#</v>
      </c>
      <c r="G247" t="str">
        <f>vlookup(B247,'imported-population-for-countri'!$A$4:$E$17930,5,false)</f>
        <v>#N/A</v>
      </c>
      <c r="H247" t="str">
        <f t="shared" si="2"/>
        <v>#N/A</v>
      </c>
      <c r="I247" t="str">
        <f t="shared" si="3"/>
        <v>Non-democratic</v>
      </c>
    </row>
    <row r="248">
      <c r="B248" t="str">
        <f t="shared" si="1"/>
        <v>#</v>
      </c>
      <c r="G248" t="str">
        <f>vlookup(B248,'imported-population-for-countri'!$A$4:$E$17930,5,false)</f>
        <v>#N/A</v>
      </c>
      <c r="H248" t="str">
        <f t="shared" si="2"/>
        <v>#N/A</v>
      </c>
      <c r="I248" t="str">
        <f t="shared" si="3"/>
        <v>Non-democratic</v>
      </c>
    </row>
    <row r="249">
      <c r="B249" t="str">
        <f t="shared" si="1"/>
        <v>#</v>
      </c>
      <c r="G249" t="str">
        <f>vlookup(B249,'imported-population-for-countri'!$A$4:$E$17930,5,false)</f>
        <v>#N/A</v>
      </c>
      <c r="H249" t="str">
        <f t="shared" si="2"/>
        <v>#N/A</v>
      </c>
      <c r="I249" t="str">
        <f t="shared" si="3"/>
        <v>Non-democratic</v>
      </c>
    </row>
    <row r="250">
      <c r="B250" t="str">
        <f t="shared" si="1"/>
        <v>#</v>
      </c>
      <c r="G250" t="str">
        <f>vlookup(B250,'imported-population-for-countri'!$A$4:$E$17930,5,false)</f>
        <v>#N/A</v>
      </c>
      <c r="H250" t="str">
        <f t="shared" si="2"/>
        <v>#N/A</v>
      </c>
      <c r="I250" t="str">
        <f t="shared" si="3"/>
        <v>Non-democratic</v>
      </c>
    </row>
    <row r="251">
      <c r="B251" t="str">
        <f t="shared" si="1"/>
        <v>#</v>
      </c>
      <c r="G251" t="str">
        <f>vlookup(B251,'imported-population-for-countri'!$A$4:$E$17930,5,false)</f>
        <v>#N/A</v>
      </c>
      <c r="H251" t="str">
        <f t="shared" si="2"/>
        <v>#N/A</v>
      </c>
      <c r="I251" t="str">
        <f t="shared" si="3"/>
        <v>Non-democratic</v>
      </c>
    </row>
    <row r="252">
      <c r="B252" t="str">
        <f t="shared" si="1"/>
        <v>#</v>
      </c>
      <c r="G252" t="str">
        <f>vlookup(B252,'imported-population-for-countri'!$A$4:$E$17930,5,false)</f>
        <v>#N/A</v>
      </c>
      <c r="H252" t="str">
        <f t="shared" si="2"/>
        <v>#N/A</v>
      </c>
      <c r="I252" t="str">
        <f t="shared" si="3"/>
        <v>Non-democratic</v>
      </c>
    </row>
    <row r="253">
      <c r="B253" t="str">
        <f t="shared" si="1"/>
        <v>#</v>
      </c>
      <c r="G253" t="str">
        <f>vlookup(B253,'imported-population-for-countri'!$A$4:$E$17930,5,false)</f>
        <v>#N/A</v>
      </c>
      <c r="H253" t="str">
        <f t="shared" si="2"/>
        <v>#N/A</v>
      </c>
      <c r="I253" t="str">
        <f t="shared" si="3"/>
        <v>Non-democratic</v>
      </c>
    </row>
    <row r="254">
      <c r="B254" t="str">
        <f t="shared" si="1"/>
        <v>#</v>
      </c>
      <c r="G254" t="str">
        <f>vlookup(B254,'imported-population-for-countri'!$A$4:$E$17930,5,false)</f>
        <v>#N/A</v>
      </c>
      <c r="H254" t="str">
        <f t="shared" si="2"/>
        <v>#N/A</v>
      </c>
      <c r="I254" t="str">
        <f t="shared" si="3"/>
        <v>Non-democratic</v>
      </c>
    </row>
    <row r="255">
      <c r="B255" t="str">
        <f t="shared" si="1"/>
        <v>#</v>
      </c>
      <c r="G255" t="str">
        <f>vlookup(B255,'imported-population-for-countri'!$A$4:$E$17930,5,false)</f>
        <v>#N/A</v>
      </c>
      <c r="H255" t="str">
        <f t="shared" si="2"/>
        <v>#N/A</v>
      </c>
      <c r="I255" t="str">
        <f t="shared" si="3"/>
        <v>Non-democratic</v>
      </c>
    </row>
    <row r="256">
      <c r="B256" t="str">
        <f t="shared" si="1"/>
        <v>#</v>
      </c>
      <c r="G256" t="str">
        <f>vlookup(B256,'imported-population-for-countri'!$A$4:$E$17930,5,false)</f>
        <v>#N/A</v>
      </c>
      <c r="H256" t="str">
        <f t="shared" si="2"/>
        <v>#N/A</v>
      </c>
      <c r="I256" t="str">
        <f t="shared" si="3"/>
        <v>Non-democratic</v>
      </c>
    </row>
    <row r="257">
      <c r="B257" t="str">
        <f t="shared" si="1"/>
        <v>#</v>
      </c>
      <c r="G257" t="str">
        <f>vlookup(B257,'imported-population-for-countri'!$A$4:$E$17930,5,false)</f>
        <v>#N/A</v>
      </c>
      <c r="H257" t="str">
        <f t="shared" si="2"/>
        <v>#N/A</v>
      </c>
      <c r="I257" t="str">
        <f t="shared" si="3"/>
        <v>Non-democratic</v>
      </c>
    </row>
    <row r="258">
      <c r="B258" t="str">
        <f t="shared" si="1"/>
        <v>#</v>
      </c>
      <c r="G258" t="str">
        <f>vlookup(B258,'imported-population-for-countri'!$A$4:$E$17930,5,false)</f>
        <v>#N/A</v>
      </c>
      <c r="H258" t="str">
        <f t="shared" si="2"/>
        <v>#N/A</v>
      </c>
      <c r="I258" t="str">
        <f t="shared" si="3"/>
        <v>Non-democratic</v>
      </c>
    </row>
    <row r="259">
      <c r="B259" t="str">
        <f t="shared" si="1"/>
        <v>#</v>
      </c>
      <c r="G259" t="str">
        <f>vlookup(B259,'imported-population-for-countri'!$A$4:$E$17930,5,false)</f>
        <v>#N/A</v>
      </c>
      <c r="H259" t="str">
        <f t="shared" si="2"/>
        <v>#N/A</v>
      </c>
      <c r="I259" t="str">
        <f t="shared" si="3"/>
        <v>Non-democratic</v>
      </c>
    </row>
    <row r="260">
      <c r="B260" t="str">
        <f t="shared" si="1"/>
        <v>#</v>
      </c>
      <c r="G260" t="str">
        <f>vlookup(B260,'imported-population-for-countri'!$A$4:$E$17930,5,false)</f>
        <v>#N/A</v>
      </c>
      <c r="H260" t="str">
        <f t="shared" si="2"/>
        <v>#N/A</v>
      </c>
      <c r="I260" t="str">
        <f t="shared" si="3"/>
        <v>Non-democratic</v>
      </c>
    </row>
    <row r="261">
      <c r="B261" t="str">
        <f t="shared" si="1"/>
        <v>#</v>
      </c>
      <c r="G261" t="str">
        <f>vlookup(B261,'imported-population-for-countri'!$A$4:$E$17930,5,false)</f>
        <v>#N/A</v>
      </c>
      <c r="H261" t="str">
        <f t="shared" si="2"/>
        <v>#N/A</v>
      </c>
      <c r="I261" t="str">
        <f t="shared" si="3"/>
        <v>Non-democratic</v>
      </c>
    </row>
    <row r="262">
      <c r="B262" t="str">
        <f t="shared" si="1"/>
        <v>#</v>
      </c>
      <c r="G262" t="str">
        <f>vlookup(B262,'imported-population-for-countri'!$A$4:$E$17930,5,false)</f>
        <v>#N/A</v>
      </c>
      <c r="H262" t="str">
        <f t="shared" si="2"/>
        <v>#N/A</v>
      </c>
      <c r="I262" t="str">
        <f t="shared" si="3"/>
        <v>Non-democratic</v>
      </c>
    </row>
    <row r="263">
      <c r="B263" t="str">
        <f t="shared" si="1"/>
        <v>#</v>
      </c>
      <c r="G263" t="str">
        <f>vlookup(B263,'imported-population-for-countri'!$A$4:$E$17930,5,false)</f>
        <v>#N/A</v>
      </c>
      <c r="H263" t="str">
        <f t="shared" si="2"/>
        <v>#N/A</v>
      </c>
      <c r="I263" t="str">
        <f t="shared" si="3"/>
        <v>Non-democratic</v>
      </c>
    </row>
    <row r="264">
      <c r="B264" t="str">
        <f t="shared" si="1"/>
        <v>#</v>
      </c>
      <c r="G264" t="str">
        <f>vlookup(B264,'imported-population-for-countri'!$A$4:$E$17930,5,false)</f>
        <v>#N/A</v>
      </c>
      <c r="H264" t="str">
        <f t="shared" si="2"/>
        <v>#N/A</v>
      </c>
      <c r="I264" t="str">
        <f t="shared" si="3"/>
        <v>Non-democratic</v>
      </c>
    </row>
    <row r="265">
      <c r="B265" t="str">
        <f t="shared" si="1"/>
        <v>#</v>
      </c>
      <c r="G265" t="str">
        <f>vlookup(B265,'imported-population-for-countri'!$A$4:$E$17930,5,false)</f>
        <v>#N/A</v>
      </c>
      <c r="H265" t="str">
        <f t="shared" si="2"/>
        <v>#N/A</v>
      </c>
      <c r="I265" t="str">
        <f t="shared" si="3"/>
        <v>Non-democratic</v>
      </c>
    </row>
    <row r="266">
      <c r="B266" t="str">
        <f t="shared" si="1"/>
        <v>#</v>
      </c>
      <c r="G266" t="str">
        <f>vlookup(B266,'imported-population-for-countri'!$A$4:$E$17930,5,false)</f>
        <v>#N/A</v>
      </c>
      <c r="H266" t="str">
        <f t="shared" si="2"/>
        <v>#N/A</v>
      </c>
      <c r="I266" t="str">
        <f t="shared" si="3"/>
        <v>Non-democratic</v>
      </c>
    </row>
    <row r="267">
      <c r="B267" t="str">
        <f t="shared" si="1"/>
        <v>#</v>
      </c>
      <c r="G267" t="str">
        <f>vlookup(B267,'imported-population-for-countri'!$A$4:$E$17930,5,false)</f>
        <v>#N/A</v>
      </c>
      <c r="H267" t="str">
        <f t="shared" si="2"/>
        <v>#N/A</v>
      </c>
      <c r="I267" t="str">
        <f t="shared" si="3"/>
        <v>Non-democratic</v>
      </c>
    </row>
    <row r="268">
      <c r="B268" t="str">
        <f t="shared" si="1"/>
        <v>#</v>
      </c>
      <c r="G268" t="str">
        <f>vlookup(B268,'imported-population-for-countri'!$A$4:$E$17930,5,false)</f>
        <v>#N/A</v>
      </c>
      <c r="H268" t="str">
        <f t="shared" si="2"/>
        <v>#N/A</v>
      </c>
      <c r="I268" t="str">
        <f t="shared" si="3"/>
        <v>Non-democratic</v>
      </c>
    </row>
    <row r="269">
      <c r="B269" t="str">
        <f t="shared" si="1"/>
        <v>#</v>
      </c>
      <c r="G269" t="str">
        <f>vlookup(B269,'imported-population-for-countri'!$A$4:$E$17930,5,false)</f>
        <v>#N/A</v>
      </c>
      <c r="H269" t="str">
        <f t="shared" si="2"/>
        <v>#N/A</v>
      </c>
      <c r="I269" t="str">
        <f t="shared" si="3"/>
        <v>Non-democratic</v>
      </c>
    </row>
    <row r="270">
      <c r="B270" t="str">
        <f t="shared" si="1"/>
        <v>#</v>
      </c>
      <c r="G270" t="str">
        <f>vlookup(B270,'imported-population-for-countri'!$A$4:$E$17930,5,false)</f>
        <v>#N/A</v>
      </c>
      <c r="H270" t="str">
        <f t="shared" si="2"/>
        <v>#N/A</v>
      </c>
      <c r="I270" t="str">
        <f t="shared" si="3"/>
        <v>Non-democratic</v>
      </c>
    </row>
    <row r="271">
      <c r="B271" t="str">
        <f t="shared" si="1"/>
        <v>#</v>
      </c>
      <c r="G271" t="str">
        <f>vlookup(B271,'imported-population-for-countri'!$A$4:$E$17930,5,false)</f>
        <v>#N/A</v>
      </c>
      <c r="H271" t="str">
        <f t="shared" si="2"/>
        <v>#N/A</v>
      </c>
      <c r="I271" t="str">
        <f t="shared" si="3"/>
        <v>Non-democratic</v>
      </c>
    </row>
    <row r="272">
      <c r="B272" t="str">
        <f t="shared" si="1"/>
        <v>#</v>
      </c>
      <c r="G272" t="str">
        <f>vlookup(B272,'imported-population-for-countri'!$A$4:$E$17930,5,false)</f>
        <v>#N/A</v>
      </c>
      <c r="H272" t="str">
        <f t="shared" si="2"/>
        <v>#N/A</v>
      </c>
      <c r="I272" t="str">
        <f t="shared" si="3"/>
        <v>Non-democratic</v>
      </c>
    </row>
    <row r="273">
      <c r="B273" t="str">
        <f t="shared" si="1"/>
        <v>#</v>
      </c>
      <c r="G273" t="str">
        <f>vlookup(B273,'imported-population-for-countri'!$A$4:$E$17930,5,false)</f>
        <v>#N/A</v>
      </c>
      <c r="H273" t="str">
        <f t="shared" si="2"/>
        <v>#N/A</v>
      </c>
      <c r="I273" t="str">
        <f t="shared" si="3"/>
        <v>Non-democratic</v>
      </c>
    </row>
    <row r="274">
      <c r="B274" t="str">
        <f t="shared" si="1"/>
        <v>#</v>
      </c>
      <c r="G274" t="str">
        <f>vlookup(B274,'imported-population-for-countri'!$A$4:$E$17930,5,false)</f>
        <v>#N/A</v>
      </c>
      <c r="H274" t="str">
        <f t="shared" si="2"/>
        <v>#N/A</v>
      </c>
      <c r="I274" t="str">
        <f t="shared" si="3"/>
        <v>Non-democratic</v>
      </c>
    </row>
    <row r="275">
      <c r="B275" t="str">
        <f t="shared" si="1"/>
        <v>#</v>
      </c>
      <c r="G275" t="str">
        <f>vlookup(B275,'imported-population-for-countri'!$A$4:$E$17930,5,false)</f>
        <v>#N/A</v>
      </c>
      <c r="H275" t="str">
        <f t="shared" si="2"/>
        <v>#N/A</v>
      </c>
      <c r="I275" t="str">
        <f t="shared" si="3"/>
        <v>Non-democratic</v>
      </c>
    </row>
    <row r="276">
      <c r="B276" t="str">
        <f t="shared" si="1"/>
        <v>#</v>
      </c>
      <c r="G276" t="str">
        <f>vlookup(B276,'imported-population-for-countri'!$A$4:$E$17930,5,false)</f>
        <v>#N/A</v>
      </c>
      <c r="H276" t="str">
        <f t="shared" si="2"/>
        <v>#N/A</v>
      </c>
      <c r="I276" t="str">
        <f t="shared" si="3"/>
        <v>Non-democratic</v>
      </c>
    </row>
    <row r="277">
      <c r="B277" t="str">
        <f t="shared" si="1"/>
        <v>#</v>
      </c>
      <c r="G277" t="str">
        <f>vlookup(B277,'imported-population-for-countri'!$A$4:$E$17930,5,false)</f>
        <v>#N/A</v>
      </c>
      <c r="H277" t="str">
        <f t="shared" si="2"/>
        <v>#N/A</v>
      </c>
      <c r="I277" t="str">
        <f t="shared" si="3"/>
        <v>Non-democratic</v>
      </c>
    </row>
    <row r="278">
      <c r="B278" t="str">
        <f t="shared" si="1"/>
        <v>#</v>
      </c>
      <c r="G278" t="str">
        <f>vlookup(B278,'imported-population-for-countri'!$A$4:$E$17930,5,false)</f>
        <v>#N/A</v>
      </c>
      <c r="H278" t="str">
        <f t="shared" si="2"/>
        <v>#N/A</v>
      </c>
      <c r="I278" t="str">
        <f t="shared" si="3"/>
        <v>Non-democratic</v>
      </c>
    </row>
    <row r="279">
      <c r="B279" t="str">
        <f t="shared" si="1"/>
        <v>#</v>
      </c>
      <c r="G279" t="str">
        <f>vlookup(B279,'imported-population-for-countri'!$A$4:$E$17930,5,false)</f>
        <v>#N/A</v>
      </c>
      <c r="H279" t="str">
        <f t="shared" si="2"/>
        <v>#N/A</v>
      </c>
      <c r="I279" t="str">
        <f t="shared" si="3"/>
        <v>Non-democratic</v>
      </c>
    </row>
    <row r="280">
      <c r="B280" t="str">
        <f t="shared" si="1"/>
        <v>#</v>
      </c>
      <c r="G280" t="str">
        <f>vlookup(B280,'imported-population-for-countri'!$A$4:$E$17930,5,false)</f>
        <v>#N/A</v>
      </c>
      <c r="H280" t="str">
        <f t="shared" si="2"/>
        <v>#N/A</v>
      </c>
      <c r="I280" t="str">
        <f t="shared" si="3"/>
        <v>Non-democratic</v>
      </c>
    </row>
    <row r="281">
      <c r="B281" t="str">
        <f t="shared" si="1"/>
        <v>#</v>
      </c>
      <c r="G281" t="str">
        <f>vlookup(B281,'imported-population-for-countri'!$A$4:$E$17930,5,false)</f>
        <v>#N/A</v>
      </c>
      <c r="H281" t="str">
        <f t="shared" si="2"/>
        <v>#N/A</v>
      </c>
      <c r="I281" t="str">
        <f t="shared" si="3"/>
        <v>Non-democratic</v>
      </c>
    </row>
    <row r="282">
      <c r="B282" t="str">
        <f t="shared" si="1"/>
        <v>#</v>
      </c>
      <c r="G282" t="str">
        <f>vlookup(B282,'imported-population-for-countri'!$A$4:$E$17930,5,false)</f>
        <v>#N/A</v>
      </c>
      <c r="H282" t="str">
        <f t="shared" si="2"/>
        <v>#N/A</v>
      </c>
      <c r="I282" t="str">
        <f t="shared" si="3"/>
        <v>Non-democratic</v>
      </c>
    </row>
    <row r="283">
      <c r="B283" t="str">
        <f t="shared" si="1"/>
        <v>#</v>
      </c>
      <c r="G283" t="str">
        <f>vlookup(B283,'imported-population-for-countri'!$A$4:$E$17930,5,false)</f>
        <v>#N/A</v>
      </c>
      <c r="H283" t="str">
        <f t="shared" si="2"/>
        <v>#N/A</v>
      </c>
      <c r="I283" t="str">
        <f t="shared" si="3"/>
        <v>Non-democratic</v>
      </c>
    </row>
    <row r="284">
      <c r="B284" t="str">
        <f t="shared" si="1"/>
        <v>#</v>
      </c>
      <c r="G284" t="str">
        <f>vlookup(B284,'imported-population-for-countri'!$A$4:$E$17930,5,false)</f>
        <v>#N/A</v>
      </c>
      <c r="H284" t="str">
        <f t="shared" si="2"/>
        <v>#N/A</v>
      </c>
      <c r="I284" t="str">
        <f t="shared" si="3"/>
        <v>Non-democratic</v>
      </c>
    </row>
    <row r="285">
      <c r="B285" t="str">
        <f t="shared" si="1"/>
        <v>#</v>
      </c>
      <c r="G285" t="str">
        <f>vlookup(B285,'imported-population-for-countri'!$A$4:$E$17930,5,false)</f>
        <v>#N/A</v>
      </c>
      <c r="H285" t="str">
        <f t="shared" si="2"/>
        <v>#N/A</v>
      </c>
      <c r="I285" t="str">
        <f t="shared" si="3"/>
        <v>Non-democratic</v>
      </c>
    </row>
    <row r="286">
      <c r="B286" t="str">
        <f t="shared" si="1"/>
        <v>#</v>
      </c>
      <c r="G286" t="str">
        <f>vlookup(B286,'imported-population-for-countri'!$A$4:$E$17930,5,false)</f>
        <v>#N/A</v>
      </c>
      <c r="H286" t="str">
        <f t="shared" si="2"/>
        <v>#N/A</v>
      </c>
      <c r="I286" t="str">
        <f t="shared" si="3"/>
        <v>Non-democratic</v>
      </c>
    </row>
    <row r="287">
      <c r="B287" t="str">
        <f t="shared" si="1"/>
        <v>#</v>
      </c>
      <c r="G287" t="str">
        <f>vlookup(B287,'imported-population-for-countri'!$A$4:$E$17930,5,false)</f>
        <v>#N/A</v>
      </c>
      <c r="H287" t="str">
        <f t="shared" si="2"/>
        <v>#N/A</v>
      </c>
      <c r="I287" t="str">
        <f t="shared" si="3"/>
        <v>Non-democratic</v>
      </c>
    </row>
    <row r="288">
      <c r="B288" t="str">
        <f t="shared" si="1"/>
        <v>#</v>
      </c>
      <c r="G288" t="str">
        <f>vlookup(B288,'imported-population-for-countri'!$A$4:$E$17930,5,false)</f>
        <v>#N/A</v>
      </c>
      <c r="H288" t="str">
        <f t="shared" si="2"/>
        <v>#N/A</v>
      </c>
      <c r="I288" t="str">
        <f t="shared" si="3"/>
        <v>Non-democratic</v>
      </c>
    </row>
    <row r="289">
      <c r="B289" t="str">
        <f t="shared" si="1"/>
        <v>#</v>
      </c>
      <c r="G289" t="str">
        <f>vlookup(B289,'imported-population-for-countri'!$A$4:$E$17930,5,false)</f>
        <v>#N/A</v>
      </c>
      <c r="H289" t="str">
        <f t="shared" si="2"/>
        <v>#N/A</v>
      </c>
      <c r="I289" t="str">
        <f t="shared" si="3"/>
        <v>Non-democratic</v>
      </c>
    </row>
    <row r="290">
      <c r="B290" t="str">
        <f t="shared" si="1"/>
        <v>#</v>
      </c>
      <c r="G290" t="str">
        <f>vlookup(B290,'imported-population-for-countri'!$A$4:$E$17930,5,false)</f>
        <v>#N/A</v>
      </c>
      <c r="H290" t="str">
        <f t="shared" si="2"/>
        <v>#N/A</v>
      </c>
      <c r="I290" t="str">
        <f t="shared" si="3"/>
        <v>Non-democratic</v>
      </c>
    </row>
    <row r="291">
      <c r="B291" t="str">
        <f t="shared" si="1"/>
        <v>#</v>
      </c>
      <c r="G291" t="str">
        <f>vlookup(B291,'imported-population-for-countri'!$A$4:$E$17930,5,false)</f>
        <v>#N/A</v>
      </c>
      <c r="H291" t="str">
        <f t="shared" si="2"/>
        <v>#N/A</v>
      </c>
      <c r="I291" t="str">
        <f t="shared" si="3"/>
        <v>Non-democratic</v>
      </c>
    </row>
    <row r="292">
      <c r="B292" t="str">
        <f t="shared" si="1"/>
        <v>#</v>
      </c>
      <c r="G292" t="str">
        <f>vlookup(B292,'imported-population-for-countri'!$A$4:$E$17930,5,false)</f>
        <v>#N/A</v>
      </c>
      <c r="H292" t="str">
        <f t="shared" si="2"/>
        <v>#N/A</v>
      </c>
      <c r="I292" t="str">
        <f t="shared" si="3"/>
        <v>Non-democratic</v>
      </c>
    </row>
    <row r="293">
      <c r="B293" t="str">
        <f t="shared" si="1"/>
        <v>#</v>
      </c>
      <c r="G293" t="str">
        <f>vlookup(B293,'imported-population-for-countri'!$A$4:$E$17930,5,false)</f>
        <v>#N/A</v>
      </c>
      <c r="H293" t="str">
        <f t="shared" si="2"/>
        <v>#N/A</v>
      </c>
      <c r="I293" t="str">
        <f t="shared" si="3"/>
        <v>Non-democratic</v>
      </c>
    </row>
    <row r="294">
      <c r="B294" t="str">
        <f t="shared" si="1"/>
        <v>#</v>
      </c>
      <c r="G294" t="str">
        <f>vlookup(B294,'imported-population-for-countri'!$A$4:$E$17930,5,false)</f>
        <v>#N/A</v>
      </c>
      <c r="H294" t="str">
        <f t="shared" si="2"/>
        <v>#N/A</v>
      </c>
      <c r="I294" t="str">
        <f t="shared" si="3"/>
        <v>Non-democratic</v>
      </c>
    </row>
    <row r="295">
      <c r="B295" t="str">
        <f t="shared" si="1"/>
        <v>#</v>
      </c>
      <c r="G295" t="str">
        <f>vlookup(B295,'imported-population-for-countri'!$A$4:$E$17930,5,false)</f>
        <v>#N/A</v>
      </c>
      <c r="H295" t="str">
        <f t="shared" si="2"/>
        <v>#N/A</v>
      </c>
      <c r="I295" t="str">
        <f t="shared" si="3"/>
        <v>Non-democratic</v>
      </c>
    </row>
    <row r="296">
      <c r="B296" t="str">
        <f t="shared" si="1"/>
        <v>#</v>
      </c>
      <c r="G296" t="str">
        <f>vlookup(B296,'imported-population-for-countri'!$A$4:$E$17930,5,false)</f>
        <v>#N/A</v>
      </c>
      <c r="H296" t="str">
        <f t="shared" si="2"/>
        <v>#N/A</v>
      </c>
      <c r="I296" t="str">
        <f t="shared" si="3"/>
        <v>Non-democratic</v>
      </c>
    </row>
    <row r="297">
      <c r="B297" t="str">
        <f t="shared" si="1"/>
        <v>#</v>
      </c>
      <c r="G297" t="str">
        <f>vlookup(B297,'imported-population-for-countri'!$A$4:$E$17930,5,false)</f>
        <v>#N/A</v>
      </c>
      <c r="H297" t="str">
        <f t="shared" si="2"/>
        <v>#N/A</v>
      </c>
      <c r="I297" t="str">
        <f t="shared" si="3"/>
        <v>Non-democratic</v>
      </c>
    </row>
    <row r="298">
      <c r="B298" t="str">
        <f t="shared" si="1"/>
        <v>#</v>
      </c>
      <c r="G298" t="str">
        <f>vlookup(B298,'imported-population-for-countri'!$A$4:$E$17930,5,false)</f>
        <v>#N/A</v>
      </c>
      <c r="H298" t="str">
        <f t="shared" si="2"/>
        <v>#N/A</v>
      </c>
      <c r="I298" t="str">
        <f t="shared" si="3"/>
        <v>Non-democratic</v>
      </c>
    </row>
    <row r="299">
      <c r="B299" t="str">
        <f t="shared" si="1"/>
        <v>#</v>
      </c>
      <c r="G299" t="str">
        <f>vlookup(B299,'imported-population-for-countri'!$A$4:$E$17930,5,false)</f>
        <v>#N/A</v>
      </c>
      <c r="H299" t="str">
        <f t="shared" si="2"/>
        <v>#N/A</v>
      </c>
      <c r="I299" t="str">
        <f t="shared" si="3"/>
        <v>Non-democratic</v>
      </c>
    </row>
    <row r="300">
      <c r="B300" t="str">
        <f t="shared" si="1"/>
        <v>#</v>
      </c>
      <c r="G300" t="str">
        <f>vlookup(B300,'imported-population-for-countri'!$A$4:$E$17930,5,false)</f>
        <v>#N/A</v>
      </c>
      <c r="H300" t="str">
        <f t="shared" si="2"/>
        <v>#N/A</v>
      </c>
      <c r="I300" t="str">
        <f t="shared" si="3"/>
        <v>Non-democratic</v>
      </c>
    </row>
    <row r="301">
      <c r="B301" t="str">
        <f t="shared" si="1"/>
        <v>#</v>
      </c>
      <c r="G301" t="str">
        <f>vlookup(B301,'imported-population-for-countri'!$A$4:$E$17930,5,false)</f>
        <v>#N/A</v>
      </c>
      <c r="H301" t="str">
        <f t="shared" si="2"/>
        <v>#N/A</v>
      </c>
      <c r="I301" t="str">
        <f t="shared" si="3"/>
        <v>Non-democratic</v>
      </c>
    </row>
    <row r="302">
      <c r="B302" t="str">
        <f t="shared" si="1"/>
        <v>#</v>
      </c>
      <c r="G302" t="str">
        <f>vlookup(B302,'imported-population-for-countri'!$A$4:$E$17930,5,false)</f>
        <v>#N/A</v>
      </c>
      <c r="H302" t="str">
        <f t="shared" si="2"/>
        <v>#N/A</v>
      </c>
      <c r="I302" t="str">
        <f t="shared" si="3"/>
        <v>Non-democratic</v>
      </c>
    </row>
    <row r="303">
      <c r="B303" t="str">
        <f t="shared" si="1"/>
        <v>#</v>
      </c>
      <c r="G303" t="str">
        <f>vlookup(B303,'imported-population-for-countri'!$A$4:$E$17930,5,false)</f>
        <v>#N/A</v>
      </c>
      <c r="H303" t="str">
        <f t="shared" si="2"/>
        <v>#N/A</v>
      </c>
      <c r="I303" t="str">
        <f t="shared" si="3"/>
        <v>Non-democratic</v>
      </c>
    </row>
    <row r="304">
      <c r="B304" t="str">
        <f t="shared" si="1"/>
        <v>#</v>
      </c>
      <c r="G304" t="str">
        <f>vlookup(B304,'imported-population-for-countri'!$A$4:$E$17930,5,false)</f>
        <v>#N/A</v>
      </c>
      <c r="H304" t="str">
        <f t="shared" si="2"/>
        <v>#N/A</v>
      </c>
      <c r="I304" t="str">
        <f t="shared" si="3"/>
        <v>Non-democratic</v>
      </c>
    </row>
    <row r="305">
      <c r="B305" t="str">
        <f t="shared" si="1"/>
        <v>#</v>
      </c>
      <c r="G305" t="str">
        <f>vlookup(B305,'imported-population-for-countri'!$A$4:$E$17930,5,false)</f>
        <v>#N/A</v>
      </c>
      <c r="H305" t="str">
        <f t="shared" si="2"/>
        <v>#N/A</v>
      </c>
      <c r="I305" t="str">
        <f t="shared" si="3"/>
        <v>Non-democratic</v>
      </c>
    </row>
    <row r="306">
      <c r="B306" t="str">
        <f t="shared" si="1"/>
        <v>#</v>
      </c>
      <c r="G306" t="str">
        <f>vlookup(B306,'imported-population-for-countri'!$A$4:$E$17930,5,false)</f>
        <v>#N/A</v>
      </c>
      <c r="H306" t="str">
        <f t="shared" si="2"/>
        <v>#N/A</v>
      </c>
      <c r="I306" t="str">
        <f t="shared" si="3"/>
        <v>Non-democratic</v>
      </c>
    </row>
    <row r="307">
      <c r="B307" t="str">
        <f t="shared" si="1"/>
        <v>#</v>
      </c>
      <c r="G307" t="str">
        <f>vlookup(B307,'imported-population-for-countri'!$A$4:$E$17930,5,false)</f>
        <v>#N/A</v>
      </c>
      <c r="H307" t="str">
        <f t="shared" si="2"/>
        <v>#N/A</v>
      </c>
      <c r="I307" t="str">
        <f t="shared" si="3"/>
        <v>Non-democratic</v>
      </c>
    </row>
    <row r="308">
      <c r="B308" t="str">
        <f t="shared" si="1"/>
        <v>#</v>
      </c>
      <c r="G308" t="str">
        <f>vlookup(B308,'imported-population-for-countri'!$A$4:$E$17930,5,false)</f>
        <v>#N/A</v>
      </c>
      <c r="H308" t="str">
        <f t="shared" si="2"/>
        <v>#N/A</v>
      </c>
      <c r="I308" t="str">
        <f t="shared" si="3"/>
        <v>Non-democratic</v>
      </c>
    </row>
    <row r="309">
      <c r="B309" t="str">
        <f t="shared" si="1"/>
        <v>#</v>
      </c>
      <c r="G309" t="str">
        <f>vlookup(B309,'imported-population-for-countri'!$A$4:$E$17930,5,false)</f>
        <v>#N/A</v>
      </c>
      <c r="H309" t="str">
        <f t="shared" si="2"/>
        <v>#N/A</v>
      </c>
      <c r="I309" t="str">
        <f t="shared" si="3"/>
        <v>Non-democratic</v>
      </c>
    </row>
    <row r="310">
      <c r="B310" t="str">
        <f t="shared" si="1"/>
        <v>#</v>
      </c>
      <c r="G310" t="str">
        <f>vlookup(B310,'imported-population-for-countri'!$A$4:$E$17930,5,false)</f>
        <v>#N/A</v>
      </c>
      <c r="H310" t="str">
        <f t="shared" si="2"/>
        <v>#N/A</v>
      </c>
      <c r="I310" t="str">
        <f t="shared" si="3"/>
        <v>Non-democratic</v>
      </c>
    </row>
    <row r="311">
      <c r="B311" t="str">
        <f t="shared" si="1"/>
        <v>#</v>
      </c>
      <c r="G311" t="str">
        <f>vlookup(B311,'imported-population-for-countri'!$A$4:$E$17930,5,false)</f>
        <v>#N/A</v>
      </c>
      <c r="H311" t="str">
        <f t="shared" si="2"/>
        <v>#N/A</v>
      </c>
      <c r="I311" t="str">
        <f t="shared" si="3"/>
        <v>Non-democratic</v>
      </c>
    </row>
    <row r="312">
      <c r="B312" t="str">
        <f t="shared" si="1"/>
        <v>#</v>
      </c>
      <c r="G312" t="str">
        <f>vlookup(B312,'imported-population-for-countri'!$A$4:$E$17930,5,false)</f>
        <v>#N/A</v>
      </c>
      <c r="H312" t="str">
        <f t="shared" si="2"/>
        <v>#N/A</v>
      </c>
      <c r="I312" t="str">
        <f t="shared" si="3"/>
        <v>Non-democratic</v>
      </c>
    </row>
    <row r="313">
      <c r="B313" t="str">
        <f t="shared" si="1"/>
        <v>#</v>
      </c>
      <c r="G313" t="str">
        <f>vlookup(B313,'imported-population-for-countri'!$A$4:$E$17930,5,false)</f>
        <v>#N/A</v>
      </c>
      <c r="H313" t="str">
        <f t="shared" si="2"/>
        <v>#N/A</v>
      </c>
      <c r="I313" t="str">
        <f t="shared" si="3"/>
        <v>Non-democratic</v>
      </c>
    </row>
    <row r="314">
      <c r="B314" t="str">
        <f t="shared" si="1"/>
        <v>#</v>
      </c>
      <c r="G314" t="str">
        <f>vlookup(B314,'imported-population-for-countri'!$A$4:$E$17930,5,false)</f>
        <v>#N/A</v>
      </c>
      <c r="H314" t="str">
        <f t="shared" si="2"/>
        <v>#N/A</v>
      </c>
      <c r="I314" t="str">
        <f t="shared" si="3"/>
        <v>Non-democratic</v>
      </c>
    </row>
    <row r="315">
      <c r="B315" t="str">
        <f t="shared" si="1"/>
        <v>#</v>
      </c>
      <c r="G315" t="str">
        <f>vlookup(B315,'imported-population-for-countri'!$A$4:$E$17930,5,false)</f>
        <v>#N/A</v>
      </c>
      <c r="H315" t="str">
        <f t="shared" si="2"/>
        <v>#N/A</v>
      </c>
      <c r="I315" t="str">
        <f t="shared" si="3"/>
        <v>Non-democratic</v>
      </c>
    </row>
    <row r="316">
      <c r="B316" t="str">
        <f t="shared" si="1"/>
        <v>#</v>
      </c>
      <c r="G316" t="str">
        <f>vlookup(B316,'imported-population-for-countri'!$A$4:$E$17930,5,false)</f>
        <v>#N/A</v>
      </c>
      <c r="H316" t="str">
        <f t="shared" si="2"/>
        <v>#N/A</v>
      </c>
      <c r="I316" t="str">
        <f t="shared" si="3"/>
        <v>Non-democratic</v>
      </c>
    </row>
    <row r="317">
      <c r="B317" t="str">
        <f t="shared" si="1"/>
        <v>#</v>
      </c>
      <c r="G317" t="str">
        <f>vlookup(B317,'imported-population-for-countri'!$A$4:$E$17930,5,false)</f>
        <v>#N/A</v>
      </c>
      <c r="H317" t="str">
        <f t="shared" si="2"/>
        <v>#N/A</v>
      </c>
      <c r="I317" t="str">
        <f t="shared" si="3"/>
        <v>Non-democratic</v>
      </c>
    </row>
    <row r="318">
      <c r="B318" t="str">
        <f t="shared" si="1"/>
        <v>#</v>
      </c>
      <c r="G318" t="str">
        <f>vlookup(B318,'imported-population-for-countri'!$A$4:$E$17930,5,false)</f>
        <v>#N/A</v>
      </c>
      <c r="H318" t="str">
        <f t="shared" si="2"/>
        <v>#N/A</v>
      </c>
      <c r="I318" t="str">
        <f t="shared" si="3"/>
        <v>Non-democratic</v>
      </c>
    </row>
    <row r="319">
      <c r="B319" t="str">
        <f t="shared" si="1"/>
        <v>#</v>
      </c>
      <c r="G319" t="str">
        <f>vlookup(B319,'imported-population-for-countri'!$A$4:$E$17930,5,false)</f>
        <v>#N/A</v>
      </c>
      <c r="H319" t="str">
        <f t="shared" si="2"/>
        <v>#N/A</v>
      </c>
      <c r="I319" t="str">
        <f t="shared" si="3"/>
        <v>Non-democratic</v>
      </c>
    </row>
    <row r="320">
      <c r="B320" t="str">
        <f t="shared" si="1"/>
        <v>#</v>
      </c>
      <c r="G320" t="str">
        <f>vlookup(B320,'imported-population-for-countri'!$A$4:$E$17930,5,false)</f>
        <v>#N/A</v>
      </c>
      <c r="H320" t="str">
        <f t="shared" si="2"/>
        <v>#N/A</v>
      </c>
      <c r="I320" t="str">
        <f t="shared" si="3"/>
        <v>Non-democratic</v>
      </c>
    </row>
    <row r="321">
      <c r="B321" t="str">
        <f t="shared" si="1"/>
        <v>#</v>
      </c>
      <c r="G321" t="str">
        <f>vlookup(B321,'imported-population-for-countri'!$A$4:$E$17930,5,false)</f>
        <v>#N/A</v>
      </c>
      <c r="H321" t="str">
        <f t="shared" si="2"/>
        <v>#N/A</v>
      </c>
      <c r="I321" t="str">
        <f t="shared" si="3"/>
        <v>Non-democratic</v>
      </c>
    </row>
    <row r="322">
      <c r="B322" t="str">
        <f t="shared" si="1"/>
        <v>#</v>
      </c>
      <c r="G322" t="str">
        <f>vlookup(B322,'imported-population-for-countri'!$A$4:$E$17930,5,false)</f>
        <v>#N/A</v>
      </c>
      <c r="H322" t="str">
        <f t="shared" si="2"/>
        <v>#N/A</v>
      </c>
      <c r="I322" t="str">
        <f t="shared" si="3"/>
        <v>Non-democratic</v>
      </c>
    </row>
    <row r="323">
      <c r="B323" t="str">
        <f t="shared" si="1"/>
        <v>#</v>
      </c>
      <c r="G323" t="str">
        <f>vlookup(B323,'imported-population-for-countri'!$A$4:$E$17930,5,false)</f>
        <v>#N/A</v>
      </c>
      <c r="H323" t="str">
        <f t="shared" si="2"/>
        <v>#N/A</v>
      </c>
      <c r="I323" t="str">
        <f t="shared" si="3"/>
        <v>Non-democratic</v>
      </c>
    </row>
    <row r="324">
      <c r="B324" t="str">
        <f t="shared" si="1"/>
        <v>#</v>
      </c>
      <c r="G324" t="str">
        <f>vlookup(B324,'imported-population-for-countri'!$A$4:$E$17930,5,false)</f>
        <v>#N/A</v>
      </c>
      <c r="H324" t="str">
        <f t="shared" si="2"/>
        <v>#N/A</v>
      </c>
      <c r="I324" t="str">
        <f t="shared" si="3"/>
        <v>Non-democratic</v>
      </c>
    </row>
    <row r="325">
      <c r="B325" t="str">
        <f t="shared" si="1"/>
        <v>#</v>
      </c>
      <c r="G325" t="str">
        <f>vlookup(B325,'imported-population-for-countri'!$A$4:$E$17930,5,false)</f>
        <v>#N/A</v>
      </c>
      <c r="H325" t="str">
        <f t="shared" si="2"/>
        <v>#N/A</v>
      </c>
      <c r="I325" t="str">
        <f t="shared" si="3"/>
        <v>Non-democratic</v>
      </c>
    </row>
    <row r="326">
      <c r="B326" t="str">
        <f t="shared" si="1"/>
        <v>#</v>
      </c>
      <c r="G326" t="str">
        <f>vlookup(B326,'imported-population-for-countri'!$A$4:$E$17930,5,false)</f>
        <v>#N/A</v>
      </c>
      <c r="H326" t="str">
        <f t="shared" si="2"/>
        <v>#N/A</v>
      </c>
      <c r="I326" t="str">
        <f t="shared" si="3"/>
        <v>Non-democratic</v>
      </c>
    </row>
    <row r="327">
      <c r="B327" t="str">
        <f t="shared" si="1"/>
        <v>#</v>
      </c>
      <c r="G327" t="str">
        <f>vlookup(B327,'imported-population-for-countri'!$A$4:$E$17930,5,false)</f>
        <v>#N/A</v>
      </c>
      <c r="H327" t="str">
        <f t="shared" si="2"/>
        <v>#N/A</v>
      </c>
      <c r="I327" t="str">
        <f t="shared" si="3"/>
        <v>Non-democratic</v>
      </c>
    </row>
    <row r="328">
      <c r="B328" t="str">
        <f t="shared" si="1"/>
        <v>#</v>
      </c>
      <c r="G328" t="str">
        <f>vlookup(B328,'imported-population-for-countri'!$A$4:$E$17930,5,false)</f>
        <v>#N/A</v>
      </c>
      <c r="H328" t="str">
        <f t="shared" si="2"/>
        <v>#N/A</v>
      </c>
      <c r="I328" t="str">
        <f t="shared" si="3"/>
        <v>Non-democratic</v>
      </c>
    </row>
    <row r="329">
      <c r="B329" t="str">
        <f t="shared" si="1"/>
        <v>#</v>
      </c>
      <c r="G329" t="str">
        <f>vlookup(B329,'imported-population-for-countri'!$A$4:$E$17930,5,false)</f>
        <v>#N/A</v>
      </c>
      <c r="H329" t="str">
        <f t="shared" si="2"/>
        <v>#N/A</v>
      </c>
      <c r="I329" t="str">
        <f t="shared" si="3"/>
        <v>Non-democratic</v>
      </c>
    </row>
    <row r="330">
      <c r="B330" t="str">
        <f t="shared" si="1"/>
        <v>#</v>
      </c>
      <c r="G330" t="str">
        <f>vlookup(B330,'imported-population-for-countri'!$A$4:$E$17930,5,false)</f>
        <v>#N/A</v>
      </c>
      <c r="H330" t="str">
        <f t="shared" si="2"/>
        <v>#N/A</v>
      </c>
      <c r="I330" t="str">
        <f t="shared" si="3"/>
        <v>Non-democratic</v>
      </c>
    </row>
    <row r="331">
      <c r="B331" t="str">
        <f t="shared" si="1"/>
        <v>#</v>
      </c>
      <c r="G331" t="str">
        <f>vlookup(B331,'imported-population-for-countri'!$A$4:$E$17930,5,false)</f>
        <v>#N/A</v>
      </c>
      <c r="H331" t="str">
        <f t="shared" si="2"/>
        <v>#N/A</v>
      </c>
      <c r="I331" t="str">
        <f t="shared" si="3"/>
        <v>Non-democratic</v>
      </c>
    </row>
    <row r="332">
      <c r="B332" t="str">
        <f t="shared" si="1"/>
        <v>#</v>
      </c>
      <c r="G332" t="str">
        <f>vlookup(B332,'imported-population-for-countri'!$A$4:$E$17930,5,false)</f>
        <v>#N/A</v>
      </c>
      <c r="H332" t="str">
        <f t="shared" si="2"/>
        <v>#N/A</v>
      </c>
      <c r="I332" t="str">
        <f t="shared" si="3"/>
        <v>Non-democratic</v>
      </c>
    </row>
    <row r="333">
      <c r="B333" t="str">
        <f t="shared" si="1"/>
        <v>#</v>
      </c>
      <c r="G333" t="str">
        <f>vlookup(B333,'imported-population-for-countri'!$A$4:$E$17930,5,false)</f>
        <v>#N/A</v>
      </c>
      <c r="H333" t="str">
        <f t="shared" si="2"/>
        <v>#N/A</v>
      </c>
      <c r="I333" t="str">
        <f t="shared" si="3"/>
        <v>Non-democratic</v>
      </c>
    </row>
    <row r="334">
      <c r="B334" t="str">
        <f t="shared" si="1"/>
        <v>#</v>
      </c>
      <c r="G334" t="str">
        <f>vlookup(B334,'imported-population-for-countri'!$A$4:$E$17930,5,false)</f>
        <v>#N/A</v>
      </c>
      <c r="H334" t="str">
        <f t="shared" si="2"/>
        <v>#N/A</v>
      </c>
      <c r="I334" t="str">
        <f t="shared" si="3"/>
        <v>Non-democratic</v>
      </c>
    </row>
    <row r="335">
      <c r="B335" t="str">
        <f t="shared" si="1"/>
        <v>#</v>
      </c>
      <c r="G335" t="str">
        <f>vlookup(B335,'imported-population-for-countri'!$A$4:$E$17930,5,false)</f>
        <v>#N/A</v>
      </c>
      <c r="H335" t="str">
        <f t="shared" si="2"/>
        <v>#N/A</v>
      </c>
      <c r="I335" t="str">
        <f t="shared" si="3"/>
        <v>Non-democratic</v>
      </c>
    </row>
    <row r="336">
      <c r="B336" t="str">
        <f t="shared" si="1"/>
        <v>#</v>
      </c>
      <c r="G336" t="str">
        <f>vlookup(B336,'imported-population-for-countri'!$A$4:$E$17930,5,false)</f>
        <v>#N/A</v>
      </c>
      <c r="H336" t="str">
        <f t="shared" si="2"/>
        <v>#N/A</v>
      </c>
      <c r="I336" t="str">
        <f t="shared" si="3"/>
        <v>Non-democratic</v>
      </c>
    </row>
    <row r="337">
      <c r="B337" t="str">
        <f t="shared" si="1"/>
        <v>#</v>
      </c>
      <c r="G337" t="str">
        <f>vlookup(B337,'imported-population-for-countri'!$A$4:$E$17930,5,false)</f>
        <v>#N/A</v>
      </c>
      <c r="H337" t="str">
        <f t="shared" si="2"/>
        <v>#N/A</v>
      </c>
      <c r="I337" t="str">
        <f t="shared" si="3"/>
        <v>Non-democratic</v>
      </c>
    </row>
    <row r="338">
      <c r="B338" t="str">
        <f t="shared" si="1"/>
        <v>#</v>
      </c>
      <c r="G338" t="str">
        <f>vlookup(B338,'imported-population-for-countri'!$A$4:$E$17930,5,false)</f>
        <v>#N/A</v>
      </c>
      <c r="H338" t="str">
        <f t="shared" si="2"/>
        <v>#N/A</v>
      </c>
      <c r="I338" t="str">
        <f t="shared" si="3"/>
        <v>Non-democratic</v>
      </c>
    </row>
    <row r="339">
      <c r="B339" t="str">
        <f t="shared" si="1"/>
        <v>#</v>
      </c>
      <c r="G339" t="str">
        <f>vlookup(B339,'imported-population-for-countri'!$A$4:$E$17930,5,false)</f>
        <v>#N/A</v>
      </c>
      <c r="H339" t="str">
        <f t="shared" si="2"/>
        <v>#N/A</v>
      </c>
      <c r="I339" t="str">
        <f t="shared" si="3"/>
        <v>Non-democratic</v>
      </c>
    </row>
    <row r="340">
      <c r="B340" t="str">
        <f t="shared" si="1"/>
        <v>#</v>
      </c>
      <c r="G340" t="str">
        <f>vlookup(B340,'imported-population-for-countri'!$A$4:$E$17930,5,false)</f>
        <v>#N/A</v>
      </c>
      <c r="H340" t="str">
        <f t="shared" si="2"/>
        <v>#N/A</v>
      </c>
      <c r="I340" t="str">
        <f t="shared" si="3"/>
        <v>Non-democratic</v>
      </c>
    </row>
    <row r="341">
      <c r="B341" t="str">
        <f t="shared" si="1"/>
        <v>#</v>
      </c>
      <c r="G341" t="str">
        <f>vlookup(B341,'imported-population-for-countri'!$A$4:$E$17930,5,false)</f>
        <v>#N/A</v>
      </c>
      <c r="H341" t="str">
        <f t="shared" si="2"/>
        <v>#N/A</v>
      </c>
      <c r="I341" t="str">
        <f t="shared" si="3"/>
        <v>Non-democratic</v>
      </c>
    </row>
    <row r="342">
      <c r="B342" t="str">
        <f t="shared" si="1"/>
        <v>#</v>
      </c>
      <c r="G342" t="str">
        <f>vlookup(B342,'imported-population-for-countri'!$A$4:$E$17930,5,false)</f>
        <v>#N/A</v>
      </c>
      <c r="H342" t="str">
        <f t="shared" si="2"/>
        <v>#N/A</v>
      </c>
      <c r="I342" t="str">
        <f t="shared" si="3"/>
        <v>Non-democratic</v>
      </c>
    </row>
    <row r="343">
      <c r="B343" t="str">
        <f t="shared" si="1"/>
        <v>#</v>
      </c>
      <c r="G343" t="str">
        <f>vlookup(B343,'imported-population-for-countri'!$A$4:$E$17930,5,false)</f>
        <v>#N/A</v>
      </c>
      <c r="H343" t="str">
        <f t="shared" si="2"/>
        <v>#N/A</v>
      </c>
      <c r="I343" t="str">
        <f t="shared" si="3"/>
        <v>Non-democratic</v>
      </c>
    </row>
    <row r="344">
      <c r="B344" t="str">
        <f t="shared" si="1"/>
        <v>#</v>
      </c>
      <c r="G344" t="str">
        <f>vlookup(B344,'imported-population-for-countri'!$A$4:$E$17930,5,false)</f>
        <v>#N/A</v>
      </c>
      <c r="H344" t="str">
        <f t="shared" si="2"/>
        <v>#N/A</v>
      </c>
      <c r="I344" t="str">
        <f t="shared" si="3"/>
        <v>Non-democratic</v>
      </c>
    </row>
    <row r="345">
      <c r="B345" t="str">
        <f t="shared" si="1"/>
        <v>#</v>
      </c>
      <c r="G345" t="str">
        <f>vlookup(B345,'imported-population-for-countri'!$A$4:$E$17930,5,false)</f>
        <v>#N/A</v>
      </c>
      <c r="H345" t="str">
        <f t="shared" si="2"/>
        <v>#N/A</v>
      </c>
      <c r="I345" t="str">
        <f t="shared" si="3"/>
        <v>Non-democratic</v>
      </c>
    </row>
    <row r="346">
      <c r="B346" t="str">
        <f t="shared" si="1"/>
        <v>#</v>
      </c>
      <c r="G346" t="str">
        <f>vlookup(B346,'imported-population-for-countri'!$A$4:$E$17930,5,false)</f>
        <v>#N/A</v>
      </c>
      <c r="H346" t="str">
        <f t="shared" si="2"/>
        <v>#N/A</v>
      </c>
      <c r="I346" t="str">
        <f t="shared" si="3"/>
        <v>Non-democratic</v>
      </c>
    </row>
    <row r="347">
      <c r="B347" t="str">
        <f t="shared" si="1"/>
        <v>#</v>
      </c>
      <c r="G347" t="str">
        <f>vlookup(B347,'imported-population-for-countri'!$A$4:$E$17930,5,false)</f>
        <v>#N/A</v>
      </c>
      <c r="H347" t="str">
        <f t="shared" si="2"/>
        <v>#N/A</v>
      </c>
      <c r="I347" t="str">
        <f t="shared" si="3"/>
        <v>Non-democratic</v>
      </c>
    </row>
    <row r="348">
      <c r="B348" t="str">
        <f t="shared" si="1"/>
        <v>#</v>
      </c>
      <c r="G348" t="str">
        <f>vlookup(B348,'imported-population-for-countri'!$A$4:$E$17930,5,false)</f>
        <v>#N/A</v>
      </c>
      <c r="H348" t="str">
        <f t="shared" si="2"/>
        <v>#N/A</v>
      </c>
      <c r="I348" t="str">
        <f t="shared" si="3"/>
        <v>Non-democratic</v>
      </c>
    </row>
    <row r="349">
      <c r="B349" t="str">
        <f t="shared" si="1"/>
        <v>#</v>
      </c>
      <c r="G349" t="str">
        <f>vlookup(B349,'imported-population-for-countri'!$A$4:$E$17930,5,false)</f>
        <v>#N/A</v>
      </c>
      <c r="H349" t="str">
        <f t="shared" si="2"/>
        <v>#N/A</v>
      </c>
      <c r="I349" t="str">
        <f t="shared" si="3"/>
        <v>Non-democratic</v>
      </c>
    </row>
    <row r="350">
      <c r="B350" t="str">
        <f t="shared" si="1"/>
        <v>#</v>
      </c>
      <c r="G350" t="str">
        <f>vlookup(B350,'imported-population-for-countri'!$A$4:$E$17930,5,false)</f>
        <v>#N/A</v>
      </c>
      <c r="H350" t="str">
        <f t="shared" si="2"/>
        <v>#N/A</v>
      </c>
      <c r="I350" t="str">
        <f t="shared" si="3"/>
        <v>Non-democratic</v>
      </c>
    </row>
    <row r="351">
      <c r="B351" t="str">
        <f t="shared" si="1"/>
        <v>#</v>
      </c>
      <c r="G351" t="str">
        <f>vlookup(B351,'imported-population-for-countri'!$A$4:$E$17930,5,false)</f>
        <v>#N/A</v>
      </c>
      <c r="H351" t="str">
        <f t="shared" si="2"/>
        <v>#N/A</v>
      </c>
      <c r="I351" t="str">
        <f t="shared" si="3"/>
        <v>Non-democratic</v>
      </c>
    </row>
    <row r="352">
      <c r="B352" t="str">
        <f t="shared" si="1"/>
        <v>#</v>
      </c>
      <c r="G352" t="str">
        <f>vlookup(B352,'imported-population-for-countri'!$A$4:$E$17930,5,false)</f>
        <v>#N/A</v>
      </c>
      <c r="H352" t="str">
        <f t="shared" si="2"/>
        <v>#N/A</v>
      </c>
      <c r="I352" t="str">
        <f t="shared" si="3"/>
        <v>Non-democratic</v>
      </c>
    </row>
    <row r="353">
      <c r="B353" t="str">
        <f t="shared" si="1"/>
        <v>#</v>
      </c>
      <c r="G353" t="str">
        <f>vlookup(B353,'imported-population-for-countri'!$A$4:$E$17930,5,false)</f>
        <v>#N/A</v>
      </c>
      <c r="H353" t="str">
        <f t="shared" si="2"/>
        <v>#N/A</v>
      </c>
      <c r="I353" t="str">
        <f t="shared" si="3"/>
        <v>Non-democratic</v>
      </c>
    </row>
    <row r="354">
      <c r="B354" t="str">
        <f t="shared" si="1"/>
        <v>#</v>
      </c>
      <c r="G354" t="str">
        <f>vlookup(B354,'imported-population-for-countri'!$A$4:$E$17930,5,false)</f>
        <v>#N/A</v>
      </c>
      <c r="H354" t="str">
        <f t="shared" si="2"/>
        <v>#N/A</v>
      </c>
      <c r="I354" t="str">
        <f t="shared" si="3"/>
        <v>Non-democratic</v>
      </c>
    </row>
    <row r="355">
      <c r="B355" t="str">
        <f t="shared" si="1"/>
        <v>#</v>
      </c>
      <c r="G355" t="str">
        <f>vlookup(B355,'imported-population-for-countri'!$A$4:$E$17930,5,false)</f>
        <v>#N/A</v>
      </c>
      <c r="H355" t="str">
        <f t="shared" si="2"/>
        <v>#N/A</v>
      </c>
      <c r="I355" t="str">
        <f t="shared" si="3"/>
        <v>Non-democratic</v>
      </c>
    </row>
    <row r="356">
      <c r="B356" t="str">
        <f t="shared" si="1"/>
        <v>#</v>
      </c>
      <c r="G356" t="str">
        <f>vlookup(B356,'imported-population-for-countri'!$A$4:$E$17930,5,false)</f>
        <v>#N/A</v>
      </c>
      <c r="H356" t="str">
        <f t="shared" si="2"/>
        <v>#N/A</v>
      </c>
      <c r="I356" t="str">
        <f t="shared" si="3"/>
        <v>Non-democratic</v>
      </c>
    </row>
    <row r="357">
      <c r="B357" t="str">
        <f t="shared" si="1"/>
        <v>#</v>
      </c>
      <c r="G357" t="str">
        <f>vlookup(B357,'imported-population-for-countri'!$A$4:$E$17930,5,false)</f>
        <v>#N/A</v>
      </c>
      <c r="H357" t="str">
        <f t="shared" si="2"/>
        <v>#N/A</v>
      </c>
      <c r="I357" t="str">
        <f t="shared" si="3"/>
        <v>Non-democratic</v>
      </c>
    </row>
    <row r="358">
      <c r="B358" t="str">
        <f t="shared" si="1"/>
        <v>#</v>
      </c>
      <c r="G358" t="str">
        <f>vlookup(B358,'imported-population-for-countri'!$A$4:$E$17930,5,false)</f>
        <v>#N/A</v>
      </c>
      <c r="H358" t="str">
        <f t="shared" si="2"/>
        <v>#N/A</v>
      </c>
      <c r="I358" t="str">
        <f t="shared" si="3"/>
        <v>Non-democratic</v>
      </c>
    </row>
    <row r="359">
      <c r="B359" t="str">
        <f t="shared" si="1"/>
        <v>#</v>
      </c>
      <c r="G359" t="str">
        <f>vlookup(B359,'imported-population-for-countri'!$A$4:$E$17930,5,false)</f>
        <v>#N/A</v>
      </c>
      <c r="H359" t="str">
        <f t="shared" si="2"/>
        <v>#N/A</v>
      </c>
      <c r="I359" t="str">
        <f t="shared" si="3"/>
        <v>Non-democratic</v>
      </c>
    </row>
    <row r="360">
      <c r="B360" t="str">
        <f t="shared" si="1"/>
        <v>#</v>
      </c>
      <c r="G360" t="str">
        <f>vlookup(B360,'imported-population-for-countri'!$A$4:$E$17930,5,false)</f>
        <v>#N/A</v>
      </c>
      <c r="H360" t="str">
        <f t="shared" si="2"/>
        <v>#N/A</v>
      </c>
      <c r="I360" t="str">
        <f t="shared" si="3"/>
        <v>Non-democratic</v>
      </c>
    </row>
    <row r="361">
      <c r="B361" t="str">
        <f t="shared" si="1"/>
        <v>#</v>
      </c>
      <c r="G361" t="str">
        <f>vlookup(B361,'imported-population-for-countri'!$A$4:$E$17930,5,false)</f>
        <v>#N/A</v>
      </c>
      <c r="H361" t="str">
        <f t="shared" si="2"/>
        <v>#N/A</v>
      </c>
      <c r="I361" t="str">
        <f t="shared" si="3"/>
        <v>Non-democratic</v>
      </c>
    </row>
    <row r="362">
      <c r="B362" t="str">
        <f t="shared" si="1"/>
        <v>#</v>
      </c>
      <c r="G362" t="str">
        <f>vlookup(B362,'imported-population-for-countri'!$A$4:$E$17930,5,false)</f>
        <v>#N/A</v>
      </c>
      <c r="H362" t="str">
        <f t="shared" si="2"/>
        <v>#N/A</v>
      </c>
      <c r="I362" t="str">
        <f t="shared" si="3"/>
        <v>Non-democratic</v>
      </c>
    </row>
    <row r="363">
      <c r="B363" t="str">
        <f t="shared" si="1"/>
        <v>#</v>
      </c>
      <c r="G363" t="str">
        <f>vlookup(B363,'imported-population-for-countri'!$A$4:$E$17930,5,false)</f>
        <v>#N/A</v>
      </c>
      <c r="H363" t="str">
        <f t="shared" si="2"/>
        <v>#N/A</v>
      </c>
      <c r="I363" t="str">
        <f t="shared" si="3"/>
        <v>Non-democratic</v>
      </c>
    </row>
    <row r="364">
      <c r="B364" t="str">
        <f t="shared" si="1"/>
        <v>#</v>
      </c>
      <c r="G364" t="str">
        <f>vlookup(B364,'imported-population-for-countri'!$A$4:$E$17930,5,false)</f>
        <v>#N/A</v>
      </c>
      <c r="H364" t="str">
        <f t="shared" si="2"/>
        <v>#N/A</v>
      </c>
      <c r="I364" t="str">
        <f t="shared" si="3"/>
        <v>Non-democratic</v>
      </c>
    </row>
    <row r="365">
      <c r="B365" t="str">
        <f t="shared" si="1"/>
        <v>#</v>
      </c>
      <c r="G365" t="str">
        <f>vlookup(B365,'imported-population-for-countri'!$A$4:$E$17930,5,false)</f>
        <v>#N/A</v>
      </c>
      <c r="H365" t="str">
        <f t="shared" si="2"/>
        <v>#N/A</v>
      </c>
      <c r="I365" t="str">
        <f t="shared" si="3"/>
        <v>Non-democratic</v>
      </c>
    </row>
    <row r="366">
      <c r="B366" t="str">
        <f t="shared" si="1"/>
        <v>#</v>
      </c>
      <c r="G366" t="str">
        <f>vlookup(B366,'imported-population-for-countri'!$A$4:$E$17930,5,false)</f>
        <v>#N/A</v>
      </c>
      <c r="H366" t="str">
        <f t="shared" si="2"/>
        <v>#N/A</v>
      </c>
      <c r="I366" t="str">
        <f t="shared" si="3"/>
        <v>Non-democratic</v>
      </c>
    </row>
    <row r="367">
      <c r="B367" t="str">
        <f t="shared" si="1"/>
        <v>#</v>
      </c>
      <c r="G367" t="str">
        <f>vlookup(B367,'imported-population-for-countri'!$A$4:$E$17930,5,false)</f>
        <v>#N/A</v>
      </c>
      <c r="H367" t="str">
        <f t="shared" si="2"/>
        <v>#N/A</v>
      </c>
      <c r="I367" t="str">
        <f t="shared" si="3"/>
        <v>Non-democratic</v>
      </c>
    </row>
    <row r="368">
      <c r="B368" t="str">
        <f t="shared" si="1"/>
        <v>#</v>
      </c>
      <c r="G368" t="str">
        <f>vlookup(B368,'imported-population-for-countri'!$A$4:$E$17930,5,false)</f>
        <v>#N/A</v>
      </c>
      <c r="H368" t="str">
        <f t="shared" si="2"/>
        <v>#N/A</v>
      </c>
      <c r="I368" t="str">
        <f t="shared" si="3"/>
        <v>Non-democratic</v>
      </c>
    </row>
    <row r="369">
      <c r="B369" t="str">
        <f t="shared" si="1"/>
        <v>#</v>
      </c>
      <c r="G369" t="str">
        <f>vlookup(B369,'imported-population-for-countri'!$A$4:$E$17930,5,false)</f>
        <v>#N/A</v>
      </c>
      <c r="H369" t="str">
        <f t="shared" si="2"/>
        <v>#N/A</v>
      </c>
      <c r="I369" t="str">
        <f t="shared" si="3"/>
        <v>Non-democratic</v>
      </c>
    </row>
    <row r="370">
      <c r="B370" t="str">
        <f t="shared" si="1"/>
        <v>#</v>
      </c>
      <c r="G370" t="str">
        <f>vlookup(B370,'imported-population-for-countri'!$A$4:$E$17930,5,false)</f>
        <v>#N/A</v>
      </c>
      <c r="H370" t="str">
        <f t="shared" si="2"/>
        <v>#N/A</v>
      </c>
      <c r="I370" t="str">
        <f t="shared" si="3"/>
        <v>Non-democratic</v>
      </c>
    </row>
    <row r="371">
      <c r="B371" t="str">
        <f t="shared" si="1"/>
        <v>#</v>
      </c>
      <c r="G371" t="str">
        <f>vlookup(B371,'imported-population-for-countri'!$A$4:$E$17930,5,false)</f>
        <v>#N/A</v>
      </c>
      <c r="H371" t="str">
        <f t="shared" si="2"/>
        <v>#N/A</v>
      </c>
      <c r="I371" t="str">
        <f t="shared" si="3"/>
        <v>Non-democratic</v>
      </c>
    </row>
    <row r="372">
      <c r="B372" t="str">
        <f t="shared" si="1"/>
        <v>#</v>
      </c>
      <c r="G372" t="str">
        <f>vlookup(B372,'imported-population-for-countri'!$A$4:$E$17930,5,false)</f>
        <v>#N/A</v>
      </c>
      <c r="H372" t="str">
        <f t="shared" si="2"/>
        <v>#N/A</v>
      </c>
      <c r="I372" t="str">
        <f t="shared" si="3"/>
        <v>Non-democratic</v>
      </c>
    </row>
    <row r="373">
      <c r="B373" t="str">
        <f t="shared" si="1"/>
        <v>#</v>
      </c>
      <c r="G373" t="str">
        <f>vlookup(B373,'imported-population-for-countri'!$A$4:$E$17930,5,false)</f>
        <v>#N/A</v>
      </c>
      <c r="H373" t="str">
        <f t="shared" si="2"/>
        <v>#N/A</v>
      </c>
      <c r="I373" t="str">
        <f t="shared" si="3"/>
        <v>Non-democratic</v>
      </c>
    </row>
    <row r="374">
      <c r="B374" t="str">
        <f t="shared" si="1"/>
        <v>#</v>
      </c>
      <c r="G374" t="str">
        <f>vlookup(B374,'imported-population-for-countri'!$A$4:$E$17930,5,false)</f>
        <v>#N/A</v>
      </c>
      <c r="H374" t="str">
        <f t="shared" si="2"/>
        <v>#N/A</v>
      </c>
      <c r="I374" t="str">
        <f t="shared" si="3"/>
        <v>Non-democratic</v>
      </c>
    </row>
    <row r="375">
      <c r="B375" t="str">
        <f t="shared" si="1"/>
        <v>#</v>
      </c>
      <c r="G375" t="str">
        <f>vlookup(B375,'imported-population-for-countri'!$A$4:$E$17930,5,false)</f>
        <v>#N/A</v>
      </c>
      <c r="H375" t="str">
        <f t="shared" si="2"/>
        <v>#N/A</v>
      </c>
      <c r="I375" t="str">
        <f t="shared" si="3"/>
        <v>Non-democratic</v>
      </c>
    </row>
    <row r="376">
      <c r="B376" t="str">
        <f t="shared" si="1"/>
        <v>#</v>
      </c>
      <c r="G376" t="str">
        <f>vlookup(B376,'imported-population-for-countri'!$A$4:$E$17930,5,false)</f>
        <v>#N/A</v>
      </c>
      <c r="H376" t="str">
        <f t="shared" si="2"/>
        <v>#N/A</v>
      </c>
      <c r="I376" t="str">
        <f t="shared" si="3"/>
        <v>Non-democratic</v>
      </c>
    </row>
    <row r="377">
      <c r="B377" t="str">
        <f t="shared" si="1"/>
        <v>#</v>
      </c>
      <c r="G377" t="str">
        <f>vlookup(B377,'imported-population-for-countri'!$A$4:$E$17930,5,false)</f>
        <v>#N/A</v>
      </c>
      <c r="H377" t="str">
        <f t="shared" si="2"/>
        <v>#N/A</v>
      </c>
      <c r="I377" t="str">
        <f t="shared" si="3"/>
        <v>Non-democratic</v>
      </c>
    </row>
    <row r="378">
      <c r="B378" t="str">
        <f t="shared" si="1"/>
        <v>#</v>
      </c>
      <c r="G378" t="str">
        <f>vlookup(B378,'imported-population-for-countri'!$A$4:$E$17930,5,false)</f>
        <v>#N/A</v>
      </c>
      <c r="H378" t="str">
        <f t="shared" si="2"/>
        <v>#N/A</v>
      </c>
      <c r="I378" t="str">
        <f t="shared" si="3"/>
        <v>Non-democratic</v>
      </c>
    </row>
    <row r="379">
      <c r="B379" t="str">
        <f t="shared" si="1"/>
        <v>#</v>
      </c>
      <c r="G379" t="str">
        <f>vlookup(B379,'imported-population-for-countri'!$A$4:$E$17930,5,false)</f>
        <v>#N/A</v>
      </c>
      <c r="H379" t="str">
        <f t="shared" si="2"/>
        <v>#N/A</v>
      </c>
      <c r="I379" t="str">
        <f t="shared" si="3"/>
        <v>Non-democratic</v>
      </c>
    </row>
    <row r="380">
      <c r="B380" t="str">
        <f t="shared" si="1"/>
        <v>#</v>
      </c>
      <c r="G380" t="str">
        <f>vlookup(B380,'imported-population-for-countri'!$A$4:$E$17930,5,false)</f>
        <v>#N/A</v>
      </c>
      <c r="H380" t="str">
        <f t="shared" si="2"/>
        <v>#N/A</v>
      </c>
      <c r="I380" t="str">
        <f t="shared" si="3"/>
        <v>Non-democratic</v>
      </c>
    </row>
    <row r="381">
      <c r="B381" t="str">
        <f t="shared" si="1"/>
        <v>#</v>
      </c>
      <c r="G381" t="str">
        <f>vlookup(B381,'imported-population-for-countri'!$A$4:$E$17930,5,false)</f>
        <v>#N/A</v>
      </c>
      <c r="H381" t="str">
        <f t="shared" si="2"/>
        <v>#N/A</v>
      </c>
      <c r="I381" t="str">
        <f t="shared" si="3"/>
        <v>Non-democratic</v>
      </c>
    </row>
    <row r="382">
      <c r="B382" t="str">
        <f t="shared" si="1"/>
        <v>#</v>
      </c>
      <c r="G382" t="str">
        <f>vlookup(B382,'imported-population-for-countri'!$A$4:$E$17930,5,false)</f>
        <v>#N/A</v>
      </c>
      <c r="H382" t="str">
        <f t="shared" si="2"/>
        <v>#N/A</v>
      </c>
      <c r="I382" t="str">
        <f t="shared" si="3"/>
        <v>Non-democratic</v>
      </c>
    </row>
    <row r="383">
      <c r="B383" t="str">
        <f t="shared" si="1"/>
        <v>#</v>
      </c>
      <c r="G383" t="str">
        <f>vlookup(B383,'imported-population-for-countri'!$A$4:$E$17930,5,false)</f>
        <v>#N/A</v>
      </c>
      <c r="H383" t="str">
        <f t="shared" si="2"/>
        <v>#N/A</v>
      </c>
      <c r="I383" t="str">
        <f t="shared" si="3"/>
        <v>Non-democratic</v>
      </c>
    </row>
    <row r="384">
      <c r="B384" t="str">
        <f t="shared" si="1"/>
        <v>#</v>
      </c>
      <c r="G384" t="str">
        <f>vlookup(B384,'imported-population-for-countri'!$A$4:$E$17930,5,false)</f>
        <v>#N/A</v>
      </c>
      <c r="H384" t="str">
        <f t="shared" si="2"/>
        <v>#N/A</v>
      </c>
      <c r="I384" t="str">
        <f t="shared" si="3"/>
        <v>Non-democratic</v>
      </c>
    </row>
    <row r="385">
      <c r="B385" t="str">
        <f t="shared" si="1"/>
        <v>#</v>
      </c>
      <c r="G385" t="str">
        <f>vlookup(B385,'imported-population-for-countri'!$A$4:$E$17930,5,false)</f>
        <v>#N/A</v>
      </c>
      <c r="H385" t="str">
        <f t="shared" si="2"/>
        <v>#N/A</v>
      </c>
      <c r="I385" t="str">
        <f t="shared" si="3"/>
        <v>Non-democratic</v>
      </c>
    </row>
    <row r="386">
      <c r="B386" t="str">
        <f t="shared" si="1"/>
        <v>#</v>
      </c>
      <c r="G386" t="str">
        <f>vlookup(B386,'imported-population-for-countri'!$A$4:$E$17930,5,false)</f>
        <v>#N/A</v>
      </c>
      <c r="H386" t="str">
        <f t="shared" si="2"/>
        <v>#N/A</v>
      </c>
      <c r="I386" t="str">
        <f t="shared" si="3"/>
        <v>Non-democratic</v>
      </c>
    </row>
    <row r="387">
      <c r="B387" t="str">
        <f t="shared" si="1"/>
        <v>#</v>
      </c>
      <c r="G387" t="str">
        <f>vlookup(B387,'imported-population-for-countri'!$A$4:$E$17930,5,false)</f>
        <v>#N/A</v>
      </c>
      <c r="H387" t="str">
        <f t="shared" si="2"/>
        <v>#N/A</v>
      </c>
      <c r="I387" t="str">
        <f t="shared" si="3"/>
        <v>Non-democratic</v>
      </c>
    </row>
    <row r="388">
      <c r="B388" t="str">
        <f t="shared" si="1"/>
        <v>#</v>
      </c>
      <c r="G388" t="str">
        <f>vlookup(B388,'imported-population-for-countri'!$A$4:$E$17930,5,false)</f>
        <v>#N/A</v>
      </c>
      <c r="H388" t="str">
        <f t="shared" si="2"/>
        <v>#N/A</v>
      </c>
      <c r="I388" t="str">
        <f t="shared" si="3"/>
        <v>Non-democratic</v>
      </c>
    </row>
    <row r="389">
      <c r="B389" t="str">
        <f t="shared" si="1"/>
        <v>#</v>
      </c>
      <c r="G389" t="str">
        <f>vlookup(B389,'imported-population-for-countri'!$A$4:$E$17930,5,false)</f>
        <v>#N/A</v>
      </c>
      <c r="H389" t="str">
        <f t="shared" si="2"/>
        <v>#N/A</v>
      </c>
      <c r="I389" t="str">
        <f t="shared" si="3"/>
        <v>Non-democratic</v>
      </c>
    </row>
    <row r="390">
      <c r="B390" t="str">
        <f t="shared" si="1"/>
        <v>#</v>
      </c>
      <c r="G390" t="str">
        <f>vlookup(B390,'imported-population-for-countri'!$A$4:$E$17930,5,false)</f>
        <v>#N/A</v>
      </c>
      <c r="H390" t="str">
        <f t="shared" si="2"/>
        <v>#N/A</v>
      </c>
      <c r="I390" t="str">
        <f t="shared" si="3"/>
        <v>Non-democratic</v>
      </c>
    </row>
    <row r="391">
      <c r="B391" t="str">
        <f t="shared" si="1"/>
        <v>#</v>
      </c>
      <c r="G391" t="str">
        <f>vlookup(B391,'imported-population-for-countri'!$A$4:$E$17930,5,false)</f>
        <v>#N/A</v>
      </c>
      <c r="H391" t="str">
        <f t="shared" si="2"/>
        <v>#N/A</v>
      </c>
      <c r="I391" t="str">
        <f t="shared" si="3"/>
        <v>Non-democratic</v>
      </c>
    </row>
    <row r="392">
      <c r="B392" t="str">
        <f t="shared" si="1"/>
        <v>#</v>
      </c>
      <c r="G392" t="str">
        <f>vlookup(B392,'imported-population-for-countri'!$A$4:$E$17930,5,false)</f>
        <v>#N/A</v>
      </c>
      <c r="H392" t="str">
        <f t="shared" si="2"/>
        <v>#N/A</v>
      </c>
      <c r="I392" t="str">
        <f t="shared" si="3"/>
        <v>Non-democratic</v>
      </c>
    </row>
    <row r="393">
      <c r="B393" t="str">
        <f t="shared" si="1"/>
        <v>#</v>
      </c>
      <c r="G393" t="str">
        <f>vlookup(B393,'imported-population-for-countri'!$A$4:$E$17930,5,false)</f>
        <v>#N/A</v>
      </c>
      <c r="H393" t="str">
        <f t="shared" si="2"/>
        <v>#N/A</v>
      </c>
      <c r="I393" t="str">
        <f t="shared" si="3"/>
        <v>Non-democratic</v>
      </c>
    </row>
    <row r="394">
      <c r="B394" t="str">
        <f t="shared" si="1"/>
        <v>#</v>
      </c>
      <c r="G394" t="str">
        <f>vlookup(B394,'imported-population-for-countri'!$A$4:$E$17930,5,false)</f>
        <v>#N/A</v>
      </c>
      <c r="H394" t="str">
        <f t="shared" si="2"/>
        <v>#N/A</v>
      </c>
      <c r="I394" t="str">
        <f t="shared" si="3"/>
        <v>Non-democratic</v>
      </c>
    </row>
    <row r="395">
      <c r="B395" t="str">
        <f t="shared" si="1"/>
        <v>#</v>
      </c>
      <c r="G395" t="str">
        <f>vlookup(B395,'imported-population-for-countri'!$A$4:$E$17930,5,false)</f>
        <v>#N/A</v>
      </c>
      <c r="H395" t="str">
        <f t="shared" si="2"/>
        <v>#N/A</v>
      </c>
      <c r="I395" t="str">
        <f t="shared" si="3"/>
        <v>Non-democratic</v>
      </c>
    </row>
    <row r="396">
      <c r="B396" t="str">
        <f t="shared" si="1"/>
        <v>#</v>
      </c>
      <c r="G396" t="str">
        <f>vlookup(B396,'imported-population-for-countri'!$A$4:$E$17930,5,false)</f>
        <v>#N/A</v>
      </c>
      <c r="H396" t="str">
        <f t="shared" si="2"/>
        <v>#N/A</v>
      </c>
      <c r="I396" t="str">
        <f t="shared" si="3"/>
        <v>Non-democratic</v>
      </c>
    </row>
    <row r="397">
      <c r="B397" t="str">
        <f t="shared" si="1"/>
        <v>#</v>
      </c>
      <c r="G397" t="str">
        <f>vlookup(B397,'imported-population-for-countri'!$A$4:$E$17930,5,false)</f>
        <v>#N/A</v>
      </c>
      <c r="H397" t="str">
        <f t="shared" si="2"/>
        <v>#N/A</v>
      </c>
      <c r="I397" t="str">
        <f t="shared" si="3"/>
        <v>Non-democratic</v>
      </c>
    </row>
    <row r="398">
      <c r="B398" t="str">
        <f t="shared" si="1"/>
        <v>#</v>
      </c>
      <c r="G398" t="str">
        <f>vlookup(B398,'imported-population-for-countri'!$A$4:$E$17930,5,false)</f>
        <v>#N/A</v>
      </c>
      <c r="H398" t="str">
        <f t="shared" si="2"/>
        <v>#N/A</v>
      </c>
      <c r="I398" t="str">
        <f t="shared" si="3"/>
        <v>Non-democratic</v>
      </c>
    </row>
    <row r="399">
      <c r="B399" t="str">
        <f t="shared" si="1"/>
        <v>#</v>
      </c>
      <c r="G399" t="str">
        <f>vlookup(B399,'imported-population-for-countri'!$A$4:$E$17930,5,false)</f>
        <v>#N/A</v>
      </c>
      <c r="H399" t="str">
        <f t="shared" si="2"/>
        <v>#N/A</v>
      </c>
      <c r="I399" t="str">
        <f t="shared" si="3"/>
        <v>Non-democratic</v>
      </c>
    </row>
    <row r="400">
      <c r="B400" t="str">
        <f t="shared" si="1"/>
        <v>#</v>
      </c>
      <c r="G400" t="str">
        <f>vlookup(B400,'imported-population-for-countri'!$A$4:$E$17930,5,false)</f>
        <v>#N/A</v>
      </c>
      <c r="H400" t="str">
        <f t="shared" si="2"/>
        <v>#N/A</v>
      </c>
      <c r="I400" t="str">
        <f t="shared" si="3"/>
        <v>Non-democratic</v>
      </c>
    </row>
    <row r="401">
      <c r="B401" t="str">
        <f t="shared" si="1"/>
        <v>#</v>
      </c>
      <c r="G401" t="str">
        <f>vlookup(B401,'imported-population-for-countri'!$A$4:$E$17930,5,false)</f>
        <v>#N/A</v>
      </c>
      <c r="H401" t="str">
        <f t="shared" si="2"/>
        <v>#N/A</v>
      </c>
      <c r="I401" t="str">
        <f t="shared" si="3"/>
        <v>Non-democratic</v>
      </c>
    </row>
    <row r="402">
      <c r="B402" t="str">
        <f t="shared" si="1"/>
        <v>#</v>
      </c>
      <c r="G402" t="str">
        <f>vlookup(B402,'imported-population-for-countri'!$A$4:$E$17930,5,false)</f>
        <v>#N/A</v>
      </c>
      <c r="H402" t="str">
        <f t="shared" si="2"/>
        <v>#N/A</v>
      </c>
      <c r="I402" t="str">
        <f t="shared" si="3"/>
        <v>Non-democratic</v>
      </c>
    </row>
    <row r="403">
      <c r="B403" t="str">
        <f t="shared" si="1"/>
        <v>#</v>
      </c>
      <c r="G403" t="str">
        <f>vlookup(B403,'imported-population-for-countri'!$A$4:$E$17930,5,false)</f>
        <v>#N/A</v>
      </c>
      <c r="H403" t="str">
        <f t="shared" si="2"/>
        <v>#N/A</v>
      </c>
      <c r="I403" t="str">
        <f t="shared" si="3"/>
        <v>Non-democratic</v>
      </c>
    </row>
    <row r="404">
      <c r="B404" t="str">
        <f t="shared" si="1"/>
        <v>#</v>
      </c>
      <c r="G404" t="str">
        <f>vlookup(B404,'imported-population-for-countri'!$A$4:$E$17930,5,false)</f>
        <v>#N/A</v>
      </c>
      <c r="H404" t="str">
        <f t="shared" si="2"/>
        <v>#N/A</v>
      </c>
      <c r="I404" t="str">
        <f t="shared" si="3"/>
        <v>Non-democratic</v>
      </c>
    </row>
    <row r="405">
      <c r="B405" t="str">
        <f t="shared" si="1"/>
        <v>#</v>
      </c>
      <c r="G405" t="str">
        <f>vlookup(B405,'imported-population-for-countri'!$A$4:$E$17930,5,false)</f>
        <v>#N/A</v>
      </c>
      <c r="H405" t="str">
        <f t="shared" si="2"/>
        <v>#N/A</v>
      </c>
      <c r="I405" t="str">
        <f t="shared" si="3"/>
        <v>Non-democratic</v>
      </c>
    </row>
    <row r="406">
      <c r="B406" t="str">
        <f t="shared" si="1"/>
        <v>#</v>
      </c>
      <c r="G406" t="str">
        <f>vlookup(B406,'imported-population-for-countri'!$A$4:$E$17930,5,false)</f>
        <v>#N/A</v>
      </c>
      <c r="H406" t="str">
        <f t="shared" si="2"/>
        <v>#N/A</v>
      </c>
      <c r="I406" t="str">
        <f t="shared" si="3"/>
        <v>Non-democratic</v>
      </c>
    </row>
    <row r="407">
      <c r="B407" t="str">
        <f t="shared" si="1"/>
        <v>#</v>
      </c>
      <c r="G407" t="str">
        <f>vlookup(B407,'imported-population-for-countri'!$A$4:$E$17930,5,false)</f>
        <v>#N/A</v>
      </c>
      <c r="H407" t="str">
        <f t="shared" si="2"/>
        <v>#N/A</v>
      </c>
      <c r="I407" t="str">
        <f t="shared" si="3"/>
        <v>Non-democratic</v>
      </c>
    </row>
    <row r="408">
      <c r="B408" t="str">
        <f t="shared" si="1"/>
        <v>#</v>
      </c>
      <c r="G408" t="str">
        <f>vlookup(B408,'imported-population-for-countri'!$A$4:$E$17930,5,false)</f>
        <v>#N/A</v>
      </c>
      <c r="H408" t="str">
        <f t="shared" si="2"/>
        <v>#N/A</v>
      </c>
      <c r="I408" t="str">
        <f t="shared" si="3"/>
        <v>Non-democratic</v>
      </c>
    </row>
    <row r="409">
      <c r="B409" t="str">
        <f t="shared" si="1"/>
        <v>#</v>
      </c>
      <c r="G409" t="str">
        <f>vlookup(B409,'imported-population-for-countri'!$A$4:$E$17930,5,false)</f>
        <v>#N/A</v>
      </c>
      <c r="H409" t="str">
        <f t="shared" si="2"/>
        <v>#N/A</v>
      </c>
      <c r="I409" t="str">
        <f t="shared" si="3"/>
        <v>Non-democratic</v>
      </c>
    </row>
    <row r="410">
      <c r="B410" t="str">
        <f t="shared" si="1"/>
        <v>#</v>
      </c>
      <c r="G410" t="str">
        <f>vlookup(B410,'imported-population-for-countri'!$A$4:$E$17930,5,false)</f>
        <v>#N/A</v>
      </c>
      <c r="H410" t="str">
        <f t="shared" si="2"/>
        <v>#N/A</v>
      </c>
      <c r="I410" t="str">
        <f t="shared" si="3"/>
        <v>Non-democratic</v>
      </c>
    </row>
    <row r="411">
      <c r="B411" t="str">
        <f t="shared" si="1"/>
        <v>#</v>
      </c>
      <c r="G411" t="str">
        <f>vlookup(B411,'imported-population-for-countri'!$A$4:$E$17930,5,false)</f>
        <v>#N/A</v>
      </c>
      <c r="H411" t="str">
        <f t="shared" si="2"/>
        <v>#N/A</v>
      </c>
      <c r="I411" t="str">
        <f t="shared" si="3"/>
        <v>Non-democratic</v>
      </c>
    </row>
    <row r="412">
      <c r="B412" t="str">
        <f t="shared" si="1"/>
        <v>#</v>
      </c>
      <c r="G412" t="str">
        <f>vlookup(B412,'imported-population-for-countri'!$A$4:$E$17930,5,false)</f>
        <v>#N/A</v>
      </c>
      <c r="H412" t="str">
        <f t="shared" si="2"/>
        <v>#N/A</v>
      </c>
      <c r="I412" t="str">
        <f t="shared" si="3"/>
        <v>Non-democratic</v>
      </c>
    </row>
    <row r="413">
      <c r="B413" t="str">
        <f t="shared" si="1"/>
        <v>#</v>
      </c>
      <c r="G413" t="str">
        <f>vlookup(B413,'imported-population-for-countri'!$A$4:$E$17930,5,false)</f>
        <v>#N/A</v>
      </c>
      <c r="H413" t="str">
        <f t="shared" si="2"/>
        <v>#N/A</v>
      </c>
      <c r="I413" t="str">
        <f t="shared" si="3"/>
        <v>Non-democratic</v>
      </c>
    </row>
    <row r="414">
      <c r="B414" t="str">
        <f t="shared" si="1"/>
        <v>#</v>
      </c>
      <c r="G414" t="str">
        <f>vlookup(B414,'imported-population-for-countri'!$A$4:$E$17930,5,false)</f>
        <v>#N/A</v>
      </c>
      <c r="H414" t="str">
        <f t="shared" si="2"/>
        <v>#N/A</v>
      </c>
      <c r="I414" t="str">
        <f t="shared" si="3"/>
        <v>Non-democratic</v>
      </c>
    </row>
    <row r="415">
      <c r="B415" t="str">
        <f t="shared" si="1"/>
        <v>#</v>
      </c>
      <c r="G415" t="str">
        <f>vlookup(B415,'imported-population-for-countri'!$A$4:$E$17930,5,false)</f>
        <v>#N/A</v>
      </c>
      <c r="H415" t="str">
        <f t="shared" si="2"/>
        <v>#N/A</v>
      </c>
      <c r="I415" t="str">
        <f t="shared" si="3"/>
        <v>Non-democratic</v>
      </c>
    </row>
    <row r="416">
      <c r="B416" t="str">
        <f t="shared" si="1"/>
        <v>#</v>
      </c>
      <c r="G416" t="str">
        <f>vlookup(B416,'imported-population-for-countri'!$A$4:$E$17930,5,false)</f>
        <v>#N/A</v>
      </c>
      <c r="H416" t="str">
        <f t="shared" si="2"/>
        <v>#N/A</v>
      </c>
      <c r="I416" t="str">
        <f t="shared" si="3"/>
        <v>Non-democratic</v>
      </c>
    </row>
    <row r="417">
      <c r="B417" t="str">
        <f t="shared" si="1"/>
        <v>#</v>
      </c>
      <c r="G417" t="str">
        <f>vlookup(B417,'imported-population-for-countri'!$A$4:$E$17930,5,false)</f>
        <v>#N/A</v>
      </c>
      <c r="H417" t="str">
        <f t="shared" si="2"/>
        <v>#N/A</v>
      </c>
      <c r="I417" t="str">
        <f t="shared" si="3"/>
        <v>Non-democratic</v>
      </c>
    </row>
    <row r="418">
      <c r="B418" t="str">
        <f t="shared" si="1"/>
        <v>#</v>
      </c>
      <c r="G418" t="str">
        <f>vlookup(B418,'imported-population-for-countri'!$A$4:$E$17930,5,false)</f>
        <v>#N/A</v>
      </c>
      <c r="H418" t="str">
        <f t="shared" si="2"/>
        <v>#N/A</v>
      </c>
      <c r="I418" t="str">
        <f t="shared" si="3"/>
        <v>Non-democratic</v>
      </c>
    </row>
    <row r="419">
      <c r="B419" t="str">
        <f t="shared" si="1"/>
        <v>#</v>
      </c>
      <c r="G419" t="str">
        <f>vlookup(B419,'imported-population-for-countri'!$A$4:$E$17930,5,false)</f>
        <v>#N/A</v>
      </c>
      <c r="H419" t="str">
        <f t="shared" si="2"/>
        <v>#N/A</v>
      </c>
      <c r="I419" t="str">
        <f t="shared" si="3"/>
        <v>Non-democratic</v>
      </c>
    </row>
    <row r="420">
      <c r="B420" t="str">
        <f t="shared" si="1"/>
        <v>#</v>
      </c>
      <c r="G420" t="str">
        <f>vlookup(B420,'imported-population-for-countri'!$A$4:$E$17930,5,false)</f>
        <v>#N/A</v>
      </c>
      <c r="H420" t="str">
        <f t="shared" si="2"/>
        <v>#N/A</v>
      </c>
      <c r="I420" t="str">
        <f t="shared" si="3"/>
        <v>Non-democratic</v>
      </c>
    </row>
    <row r="421">
      <c r="B421" t="str">
        <f t="shared" si="1"/>
        <v>#</v>
      </c>
      <c r="G421" t="str">
        <f>vlookup(B421,'imported-population-for-countri'!$A$4:$E$17930,5,false)</f>
        <v>#N/A</v>
      </c>
      <c r="H421" t="str">
        <f t="shared" si="2"/>
        <v>#N/A</v>
      </c>
      <c r="I421" t="str">
        <f t="shared" si="3"/>
        <v>Non-democratic</v>
      </c>
    </row>
    <row r="422">
      <c r="B422" t="str">
        <f t="shared" si="1"/>
        <v>#</v>
      </c>
      <c r="G422" t="str">
        <f>vlookup(B422,'imported-population-for-countri'!$A$4:$E$17930,5,false)</f>
        <v>#N/A</v>
      </c>
      <c r="H422" t="str">
        <f t="shared" si="2"/>
        <v>#N/A</v>
      </c>
      <c r="I422" t="str">
        <f t="shared" si="3"/>
        <v>Non-democratic</v>
      </c>
    </row>
    <row r="423">
      <c r="B423" t="str">
        <f t="shared" si="1"/>
        <v>#</v>
      </c>
      <c r="G423" t="str">
        <f>vlookup(B423,'imported-population-for-countri'!$A$4:$E$17930,5,false)</f>
        <v>#N/A</v>
      </c>
      <c r="H423" t="str">
        <f t="shared" si="2"/>
        <v>#N/A</v>
      </c>
      <c r="I423" t="str">
        <f t="shared" si="3"/>
        <v>Non-democratic</v>
      </c>
    </row>
    <row r="424">
      <c r="B424" t="str">
        <f t="shared" si="1"/>
        <v>#</v>
      </c>
      <c r="G424" t="str">
        <f>vlookup(B424,'imported-population-for-countri'!$A$4:$E$17930,5,false)</f>
        <v>#N/A</v>
      </c>
      <c r="H424" t="str">
        <f t="shared" si="2"/>
        <v>#N/A</v>
      </c>
      <c r="I424" t="str">
        <f t="shared" si="3"/>
        <v>Non-democratic</v>
      </c>
    </row>
    <row r="425">
      <c r="B425" t="str">
        <f t="shared" si="1"/>
        <v>#</v>
      </c>
      <c r="G425" t="str">
        <f>vlookup(B425,'imported-population-for-countri'!$A$4:$E$17930,5,false)</f>
        <v>#N/A</v>
      </c>
      <c r="H425" t="str">
        <f t="shared" si="2"/>
        <v>#N/A</v>
      </c>
      <c r="I425" t="str">
        <f t="shared" si="3"/>
        <v>Non-democratic</v>
      </c>
    </row>
    <row r="426">
      <c r="B426" t="str">
        <f t="shared" si="1"/>
        <v>#</v>
      </c>
      <c r="G426" t="str">
        <f>vlookup(B426,'imported-population-for-countri'!$A$4:$E$17930,5,false)</f>
        <v>#N/A</v>
      </c>
      <c r="H426" t="str">
        <f t="shared" si="2"/>
        <v>#N/A</v>
      </c>
      <c r="I426" t="str">
        <f t="shared" si="3"/>
        <v>Non-democratic</v>
      </c>
    </row>
    <row r="427">
      <c r="B427" t="str">
        <f t="shared" si="1"/>
        <v>#</v>
      </c>
      <c r="G427" t="str">
        <f>vlookup(B427,'imported-population-for-countri'!$A$4:$E$17930,5,false)</f>
        <v>#N/A</v>
      </c>
      <c r="H427" t="str">
        <f t="shared" si="2"/>
        <v>#N/A</v>
      </c>
      <c r="I427" t="str">
        <f t="shared" si="3"/>
        <v>Non-democratic</v>
      </c>
    </row>
    <row r="428">
      <c r="B428" t="str">
        <f t="shared" si="1"/>
        <v>#</v>
      </c>
      <c r="G428" t="str">
        <f>vlookup(B428,'imported-population-for-countri'!$A$4:$E$17930,5,false)</f>
        <v>#N/A</v>
      </c>
      <c r="H428" t="str">
        <f t="shared" si="2"/>
        <v>#N/A</v>
      </c>
      <c r="I428" t="str">
        <f t="shared" si="3"/>
        <v>Non-democratic</v>
      </c>
    </row>
    <row r="429">
      <c r="B429" t="str">
        <f t="shared" si="1"/>
        <v>#</v>
      </c>
      <c r="G429" t="str">
        <f>vlookup(B429,'imported-population-for-countri'!$A$4:$E$17930,5,false)</f>
        <v>#N/A</v>
      </c>
      <c r="H429" t="str">
        <f t="shared" si="2"/>
        <v>#N/A</v>
      </c>
      <c r="I429" t="str">
        <f t="shared" si="3"/>
        <v>Non-democratic</v>
      </c>
    </row>
    <row r="430">
      <c r="B430" t="str">
        <f t="shared" si="1"/>
        <v>#</v>
      </c>
      <c r="G430" t="str">
        <f>vlookup(B430,'imported-population-for-countri'!$A$4:$E$17930,5,false)</f>
        <v>#N/A</v>
      </c>
      <c r="H430" t="str">
        <f t="shared" si="2"/>
        <v>#N/A</v>
      </c>
      <c r="I430" t="str">
        <f t="shared" si="3"/>
        <v>Non-democratic</v>
      </c>
    </row>
    <row r="431">
      <c r="B431" t="str">
        <f t="shared" si="1"/>
        <v>#</v>
      </c>
      <c r="G431" t="str">
        <f>vlookup(B431,'imported-population-for-countri'!$A$4:$E$17930,5,false)</f>
        <v>#N/A</v>
      </c>
      <c r="H431" t="str">
        <f t="shared" si="2"/>
        <v>#N/A</v>
      </c>
      <c r="I431" t="str">
        <f t="shared" si="3"/>
        <v>Non-democratic</v>
      </c>
    </row>
    <row r="432">
      <c r="B432" t="str">
        <f t="shared" si="1"/>
        <v>#</v>
      </c>
      <c r="G432" t="str">
        <f>vlookup(B432,'imported-population-for-countri'!$A$4:$E$17930,5,false)</f>
        <v>#N/A</v>
      </c>
      <c r="H432" t="str">
        <f t="shared" si="2"/>
        <v>#N/A</v>
      </c>
      <c r="I432" t="str">
        <f t="shared" si="3"/>
        <v>Non-democratic</v>
      </c>
    </row>
    <row r="433">
      <c r="B433" t="str">
        <f t="shared" si="1"/>
        <v>#</v>
      </c>
      <c r="G433" t="str">
        <f>vlookup(B433,'imported-population-for-countri'!$A$4:$E$17930,5,false)</f>
        <v>#N/A</v>
      </c>
      <c r="H433" t="str">
        <f t="shared" si="2"/>
        <v>#N/A</v>
      </c>
      <c r="I433" t="str">
        <f t="shared" si="3"/>
        <v>Non-democratic</v>
      </c>
    </row>
    <row r="434">
      <c r="B434" t="str">
        <f t="shared" si="1"/>
        <v>#</v>
      </c>
      <c r="G434" t="str">
        <f>vlookup(B434,'imported-population-for-countri'!$A$4:$E$17930,5,false)</f>
        <v>#N/A</v>
      </c>
      <c r="H434" t="str">
        <f t="shared" si="2"/>
        <v>#N/A</v>
      </c>
      <c r="I434" t="str">
        <f t="shared" si="3"/>
        <v>Non-democratic</v>
      </c>
    </row>
    <row r="435">
      <c r="B435" t="str">
        <f t="shared" si="1"/>
        <v>#</v>
      </c>
      <c r="G435" t="str">
        <f>vlookup(B435,'imported-population-for-countri'!$A$4:$E$17930,5,false)</f>
        <v>#N/A</v>
      </c>
      <c r="H435" t="str">
        <f t="shared" si="2"/>
        <v>#N/A</v>
      </c>
      <c r="I435" t="str">
        <f t="shared" si="3"/>
        <v>Non-democratic</v>
      </c>
    </row>
    <row r="436">
      <c r="B436" t="str">
        <f t="shared" si="1"/>
        <v>#</v>
      </c>
      <c r="G436" t="str">
        <f>vlookup(B436,'imported-population-for-countri'!$A$4:$E$17930,5,false)</f>
        <v>#N/A</v>
      </c>
      <c r="H436" t="str">
        <f t="shared" si="2"/>
        <v>#N/A</v>
      </c>
      <c r="I436" t="str">
        <f t="shared" si="3"/>
        <v>Non-democratic</v>
      </c>
    </row>
    <row r="437">
      <c r="B437" t="str">
        <f t="shared" si="1"/>
        <v>#</v>
      </c>
      <c r="G437" t="str">
        <f>vlookup(B437,'imported-population-for-countri'!$A$4:$E$17930,5,false)</f>
        <v>#N/A</v>
      </c>
      <c r="H437" t="str">
        <f t="shared" si="2"/>
        <v>#N/A</v>
      </c>
      <c r="I437" t="str">
        <f t="shared" si="3"/>
        <v>Non-democratic</v>
      </c>
    </row>
    <row r="438">
      <c r="B438" t="str">
        <f t="shared" si="1"/>
        <v>#</v>
      </c>
      <c r="G438" t="str">
        <f>vlookup(B438,'imported-population-for-countri'!$A$4:$E$17930,5,false)</f>
        <v>#N/A</v>
      </c>
      <c r="H438" t="str">
        <f t="shared" si="2"/>
        <v>#N/A</v>
      </c>
      <c r="I438" t="str">
        <f t="shared" si="3"/>
        <v>Non-democratic</v>
      </c>
    </row>
    <row r="439">
      <c r="B439" t="str">
        <f t="shared" si="1"/>
        <v>#</v>
      </c>
      <c r="G439" t="str">
        <f>vlookup(B439,'imported-population-for-countri'!$A$4:$E$17930,5,false)</f>
        <v>#N/A</v>
      </c>
      <c r="H439" t="str">
        <f t="shared" si="2"/>
        <v>#N/A</v>
      </c>
      <c r="I439" t="str">
        <f t="shared" si="3"/>
        <v>Non-democratic</v>
      </c>
    </row>
    <row r="440">
      <c r="B440" t="str">
        <f t="shared" si="1"/>
        <v>#</v>
      </c>
      <c r="G440" t="str">
        <f>vlookup(B440,'imported-population-for-countri'!$A$4:$E$17930,5,false)</f>
        <v>#N/A</v>
      </c>
      <c r="H440" t="str">
        <f t="shared" si="2"/>
        <v>#N/A</v>
      </c>
      <c r="I440" t="str">
        <f t="shared" si="3"/>
        <v>Non-democratic</v>
      </c>
    </row>
    <row r="441">
      <c r="B441" t="str">
        <f t="shared" si="1"/>
        <v>#</v>
      </c>
      <c r="G441" t="str">
        <f>vlookup(B441,'imported-population-for-countri'!$A$4:$E$17930,5,false)</f>
        <v>#N/A</v>
      </c>
      <c r="H441" t="str">
        <f t="shared" si="2"/>
        <v>#N/A</v>
      </c>
      <c r="I441" t="str">
        <f t="shared" si="3"/>
        <v>Non-democratic</v>
      </c>
    </row>
    <row r="442">
      <c r="B442" t="str">
        <f t="shared" si="1"/>
        <v>#</v>
      </c>
      <c r="G442" t="str">
        <f>vlookup(B442,'imported-population-for-countri'!$A$4:$E$17930,5,false)</f>
        <v>#N/A</v>
      </c>
      <c r="H442" t="str">
        <f t="shared" si="2"/>
        <v>#N/A</v>
      </c>
      <c r="I442" t="str">
        <f t="shared" si="3"/>
        <v>Non-democratic</v>
      </c>
    </row>
    <row r="443">
      <c r="B443" t="str">
        <f t="shared" si="1"/>
        <v>#</v>
      </c>
      <c r="G443" t="str">
        <f>vlookup(B443,'imported-population-for-countri'!$A$4:$E$17930,5,false)</f>
        <v>#N/A</v>
      </c>
      <c r="H443" t="str">
        <f t="shared" si="2"/>
        <v>#N/A</v>
      </c>
      <c r="I443" t="str">
        <f t="shared" si="3"/>
        <v>Non-democratic</v>
      </c>
    </row>
    <row r="444">
      <c r="B444" t="str">
        <f t="shared" si="1"/>
        <v>#</v>
      </c>
      <c r="G444" t="str">
        <f>vlookup(B444,'imported-population-for-countri'!$A$4:$E$17930,5,false)</f>
        <v>#N/A</v>
      </c>
      <c r="H444" t="str">
        <f t="shared" si="2"/>
        <v>#N/A</v>
      </c>
      <c r="I444" t="str">
        <f t="shared" si="3"/>
        <v>Non-democratic</v>
      </c>
    </row>
    <row r="445">
      <c r="B445" t="str">
        <f t="shared" si="1"/>
        <v>#</v>
      </c>
      <c r="G445" t="str">
        <f>vlookup(B445,'imported-population-for-countri'!$A$4:$E$17930,5,false)</f>
        <v>#N/A</v>
      </c>
      <c r="H445" t="str">
        <f t="shared" si="2"/>
        <v>#N/A</v>
      </c>
      <c r="I445" t="str">
        <f t="shared" si="3"/>
        <v>Non-democratic</v>
      </c>
    </row>
    <row r="446">
      <c r="B446" t="str">
        <f t="shared" si="1"/>
        <v>#</v>
      </c>
      <c r="G446" t="str">
        <f>vlookup(B446,'imported-population-for-countri'!$A$4:$E$17930,5,false)</f>
        <v>#N/A</v>
      </c>
      <c r="H446" t="str">
        <f t="shared" si="2"/>
        <v>#N/A</v>
      </c>
      <c r="I446" t="str">
        <f t="shared" si="3"/>
        <v>Non-democratic</v>
      </c>
    </row>
    <row r="447">
      <c r="B447" t="str">
        <f t="shared" si="1"/>
        <v>#</v>
      </c>
      <c r="G447" t="str">
        <f>vlookup(B447,'imported-population-for-countri'!$A$4:$E$17930,5,false)</f>
        <v>#N/A</v>
      </c>
      <c r="H447" t="str">
        <f t="shared" si="2"/>
        <v>#N/A</v>
      </c>
      <c r="I447" t="str">
        <f t="shared" si="3"/>
        <v>Non-democratic</v>
      </c>
    </row>
    <row r="448">
      <c r="B448" t="str">
        <f t="shared" si="1"/>
        <v>#</v>
      </c>
      <c r="G448" t="str">
        <f>vlookup(B448,'imported-population-for-countri'!$A$4:$E$17930,5,false)</f>
        <v>#N/A</v>
      </c>
      <c r="H448" t="str">
        <f t="shared" si="2"/>
        <v>#N/A</v>
      </c>
      <c r="I448" t="str">
        <f t="shared" si="3"/>
        <v>Non-democratic</v>
      </c>
    </row>
    <row r="449">
      <c r="B449" t="str">
        <f t="shared" si="1"/>
        <v>#</v>
      </c>
      <c r="G449" t="str">
        <f>vlookup(B449,'imported-population-for-countri'!$A$4:$E$17930,5,false)</f>
        <v>#N/A</v>
      </c>
      <c r="H449" t="str">
        <f t="shared" si="2"/>
        <v>#N/A</v>
      </c>
      <c r="I449" t="str">
        <f t="shared" si="3"/>
        <v>Non-democratic</v>
      </c>
    </row>
    <row r="450">
      <c r="B450" t="str">
        <f t="shared" si="1"/>
        <v>#</v>
      </c>
      <c r="G450" t="str">
        <f>vlookup(B450,'imported-population-for-countri'!$A$4:$E$17930,5,false)</f>
        <v>#N/A</v>
      </c>
      <c r="H450" t="str">
        <f t="shared" si="2"/>
        <v>#N/A</v>
      </c>
      <c r="I450" t="str">
        <f t="shared" si="3"/>
        <v>Non-democratic</v>
      </c>
    </row>
    <row r="451">
      <c r="B451" t="str">
        <f t="shared" si="1"/>
        <v>#</v>
      </c>
      <c r="G451" t="str">
        <f>vlookup(B451,'imported-population-for-countri'!$A$4:$E$17930,5,false)</f>
        <v>#N/A</v>
      </c>
      <c r="H451" t="str">
        <f t="shared" si="2"/>
        <v>#N/A</v>
      </c>
      <c r="I451" t="str">
        <f t="shared" si="3"/>
        <v>Non-democratic</v>
      </c>
    </row>
    <row r="452">
      <c r="B452" t="str">
        <f t="shared" si="1"/>
        <v>#</v>
      </c>
      <c r="G452" t="str">
        <f>vlookup(B452,'imported-population-for-countri'!$A$4:$E$17930,5,false)</f>
        <v>#N/A</v>
      </c>
      <c r="H452" t="str">
        <f t="shared" si="2"/>
        <v>#N/A</v>
      </c>
      <c r="I452" t="str">
        <f t="shared" si="3"/>
        <v>Non-democratic</v>
      </c>
    </row>
    <row r="453">
      <c r="B453" t="str">
        <f t="shared" si="1"/>
        <v>#</v>
      </c>
      <c r="G453" t="str">
        <f>vlookup(B453,'imported-population-for-countri'!$A$4:$E$17930,5,false)</f>
        <v>#N/A</v>
      </c>
      <c r="H453" t="str">
        <f t="shared" si="2"/>
        <v>#N/A</v>
      </c>
      <c r="I453" t="str">
        <f t="shared" si="3"/>
        <v>Non-democratic</v>
      </c>
    </row>
    <row r="454">
      <c r="B454" t="str">
        <f t="shared" si="1"/>
        <v>#</v>
      </c>
      <c r="G454" t="str">
        <f>vlookup(B454,'imported-population-for-countri'!$A$4:$E$17930,5,false)</f>
        <v>#N/A</v>
      </c>
      <c r="H454" t="str">
        <f t="shared" si="2"/>
        <v>#N/A</v>
      </c>
      <c r="I454" t="str">
        <f t="shared" si="3"/>
        <v>Non-democratic</v>
      </c>
    </row>
    <row r="455">
      <c r="B455" t="str">
        <f t="shared" si="1"/>
        <v>#</v>
      </c>
      <c r="G455" t="str">
        <f>vlookup(B455,'imported-population-for-countri'!$A$4:$E$17930,5,false)</f>
        <v>#N/A</v>
      </c>
      <c r="H455" t="str">
        <f t="shared" si="2"/>
        <v>#N/A</v>
      </c>
      <c r="I455" t="str">
        <f t="shared" si="3"/>
        <v>Non-democratic</v>
      </c>
    </row>
    <row r="456">
      <c r="B456" t="str">
        <f t="shared" si="1"/>
        <v>#</v>
      </c>
      <c r="G456" t="str">
        <f>vlookup(B456,'imported-population-for-countri'!$A$4:$E$17930,5,false)</f>
        <v>#N/A</v>
      </c>
      <c r="H456" t="str">
        <f t="shared" si="2"/>
        <v>#N/A</v>
      </c>
      <c r="I456" t="str">
        <f t="shared" si="3"/>
        <v>Non-democratic</v>
      </c>
    </row>
    <row r="457">
      <c r="B457" t="str">
        <f t="shared" si="1"/>
        <v>#</v>
      </c>
      <c r="G457" t="str">
        <f>vlookup(B457,'imported-population-for-countri'!$A$4:$E$17930,5,false)</f>
        <v>#N/A</v>
      </c>
      <c r="H457" t="str">
        <f t="shared" si="2"/>
        <v>#N/A</v>
      </c>
      <c r="I457" t="str">
        <f t="shared" si="3"/>
        <v>Non-democratic</v>
      </c>
    </row>
    <row r="458">
      <c r="B458" t="str">
        <f t="shared" si="1"/>
        <v>#</v>
      </c>
      <c r="G458" t="str">
        <f>vlookup(B458,'imported-population-for-countri'!$A$4:$E$17930,5,false)</f>
        <v>#N/A</v>
      </c>
      <c r="H458" t="str">
        <f t="shared" si="2"/>
        <v>#N/A</v>
      </c>
      <c r="I458" t="str">
        <f t="shared" si="3"/>
        <v>Non-democratic</v>
      </c>
    </row>
    <row r="459">
      <c r="B459" t="str">
        <f t="shared" si="1"/>
        <v>#</v>
      </c>
      <c r="G459" t="str">
        <f>vlookup(B459,'imported-population-for-countri'!$A$4:$E$17930,5,false)</f>
        <v>#N/A</v>
      </c>
      <c r="H459" t="str">
        <f t="shared" si="2"/>
        <v>#N/A</v>
      </c>
      <c r="I459" t="str">
        <f t="shared" si="3"/>
        <v>Non-democratic</v>
      </c>
    </row>
    <row r="460">
      <c r="B460" t="str">
        <f t="shared" si="1"/>
        <v>#</v>
      </c>
      <c r="G460" t="str">
        <f>vlookup(B460,'imported-population-for-countri'!$A$4:$E$17930,5,false)</f>
        <v>#N/A</v>
      </c>
      <c r="H460" t="str">
        <f t="shared" si="2"/>
        <v>#N/A</v>
      </c>
      <c r="I460" t="str">
        <f t="shared" si="3"/>
        <v>Non-democratic</v>
      </c>
    </row>
    <row r="461">
      <c r="B461" t="str">
        <f t="shared" si="1"/>
        <v>#</v>
      </c>
      <c r="G461" t="str">
        <f>vlookup(B461,'imported-population-for-countri'!$A$4:$E$17930,5,false)</f>
        <v>#N/A</v>
      </c>
      <c r="H461" t="str">
        <f t="shared" si="2"/>
        <v>#N/A</v>
      </c>
      <c r="I461" t="str">
        <f t="shared" si="3"/>
        <v>Non-democratic</v>
      </c>
    </row>
    <row r="462">
      <c r="B462" t="str">
        <f t="shared" si="1"/>
        <v>#</v>
      </c>
      <c r="G462" t="str">
        <f>vlookup(B462,'imported-population-for-countri'!$A$4:$E$17930,5,false)</f>
        <v>#N/A</v>
      </c>
      <c r="H462" t="str">
        <f t="shared" si="2"/>
        <v>#N/A</v>
      </c>
      <c r="I462" t="str">
        <f t="shared" si="3"/>
        <v>Non-democratic</v>
      </c>
    </row>
    <row r="463">
      <c r="B463" t="str">
        <f t="shared" si="1"/>
        <v>#</v>
      </c>
      <c r="G463" t="str">
        <f>vlookup(B463,'imported-population-for-countri'!$A$4:$E$17930,5,false)</f>
        <v>#N/A</v>
      </c>
      <c r="H463" t="str">
        <f t="shared" si="2"/>
        <v>#N/A</v>
      </c>
      <c r="I463" t="str">
        <f t="shared" si="3"/>
        <v>Non-democratic</v>
      </c>
    </row>
    <row r="464">
      <c r="B464" t="str">
        <f t="shared" si="1"/>
        <v>#</v>
      </c>
      <c r="G464" t="str">
        <f>vlookup(B464,'imported-population-for-countri'!$A$4:$E$17930,5,false)</f>
        <v>#N/A</v>
      </c>
      <c r="H464" t="str">
        <f t="shared" si="2"/>
        <v>#N/A</v>
      </c>
      <c r="I464" t="str">
        <f t="shared" si="3"/>
        <v>Non-democratic</v>
      </c>
    </row>
    <row r="465">
      <c r="B465" t="str">
        <f t="shared" si="1"/>
        <v>#</v>
      </c>
      <c r="G465" t="str">
        <f>vlookup(B465,'imported-population-for-countri'!$A$4:$E$17930,5,false)</f>
        <v>#N/A</v>
      </c>
      <c r="H465" t="str">
        <f t="shared" si="2"/>
        <v>#N/A</v>
      </c>
      <c r="I465" t="str">
        <f t="shared" si="3"/>
        <v>Non-democratic</v>
      </c>
    </row>
    <row r="466">
      <c r="B466" t="str">
        <f t="shared" si="1"/>
        <v>#</v>
      </c>
      <c r="G466" t="str">
        <f>vlookup(B466,'imported-population-for-countri'!$A$4:$E$17930,5,false)</f>
        <v>#N/A</v>
      </c>
      <c r="H466" t="str">
        <f t="shared" si="2"/>
        <v>#N/A</v>
      </c>
      <c r="I466" t="str">
        <f t="shared" si="3"/>
        <v>Non-democratic</v>
      </c>
    </row>
    <row r="467">
      <c r="B467" t="str">
        <f t="shared" si="1"/>
        <v>#</v>
      </c>
      <c r="G467" t="str">
        <f>vlookup(B467,'imported-population-for-countri'!$A$4:$E$17930,5,false)</f>
        <v>#N/A</v>
      </c>
      <c r="H467" t="str">
        <f t="shared" si="2"/>
        <v>#N/A</v>
      </c>
      <c r="I467" t="str">
        <f t="shared" si="3"/>
        <v>Non-democratic</v>
      </c>
    </row>
    <row r="468">
      <c r="B468" t="str">
        <f t="shared" si="1"/>
        <v>#</v>
      </c>
      <c r="G468" t="str">
        <f>vlookup(B468,'imported-population-for-countri'!$A$4:$E$17930,5,false)</f>
        <v>#N/A</v>
      </c>
      <c r="H468" t="str">
        <f t="shared" si="2"/>
        <v>#N/A</v>
      </c>
      <c r="I468" t="str">
        <f t="shared" si="3"/>
        <v>Non-democratic</v>
      </c>
    </row>
    <row r="469">
      <c r="B469" t="str">
        <f t="shared" si="1"/>
        <v>#</v>
      </c>
      <c r="G469" t="str">
        <f>vlookup(B469,'imported-population-for-countri'!$A$4:$E$17930,5,false)</f>
        <v>#N/A</v>
      </c>
      <c r="H469" t="str">
        <f t="shared" si="2"/>
        <v>#N/A</v>
      </c>
      <c r="I469" t="str">
        <f t="shared" si="3"/>
        <v>Non-democratic</v>
      </c>
    </row>
    <row r="470">
      <c r="B470" t="str">
        <f t="shared" si="1"/>
        <v>#</v>
      </c>
      <c r="G470" t="str">
        <f>vlookup(B470,'imported-population-for-countri'!$A$4:$E$17930,5,false)</f>
        <v>#N/A</v>
      </c>
      <c r="H470" t="str">
        <f t="shared" si="2"/>
        <v>#N/A</v>
      </c>
      <c r="I470" t="str">
        <f t="shared" si="3"/>
        <v>Non-democratic</v>
      </c>
    </row>
    <row r="471">
      <c r="B471" t="str">
        <f t="shared" si="1"/>
        <v>#</v>
      </c>
      <c r="G471" t="str">
        <f>vlookup(B471,'imported-population-for-countri'!$A$4:$E$17930,5,false)</f>
        <v>#N/A</v>
      </c>
      <c r="H471" t="str">
        <f t="shared" si="2"/>
        <v>#N/A</v>
      </c>
      <c r="I471" t="str">
        <f t="shared" si="3"/>
        <v>Non-democratic</v>
      </c>
    </row>
    <row r="472">
      <c r="B472" t="str">
        <f t="shared" si="1"/>
        <v>#</v>
      </c>
      <c r="G472" t="str">
        <f>vlookup(B472,'imported-population-for-countri'!$A$4:$E$17930,5,false)</f>
        <v>#N/A</v>
      </c>
      <c r="H472" t="str">
        <f t="shared" si="2"/>
        <v>#N/A</v>
      </c>
      <c r="I472" t="str">
        <f t="shared" si="3"/>
        <v>Non-democratic</v>
      </c>
    </row>
    <row r="473">
      <c r="B473" t="str">
        <f t="shared" si="1"/>
        <v>#</v>
      </c>
      <c r="G473" t="str">
        <f>vlookup(B473,'imported-population-for-countri'!$A$4:$E$17930,5,false)</f>
        <v>#N/A</v>
      </c>
      <c r="H473" t="str">
        <f t="shared" si="2"/>
        <v>#N/A</v>
      </c>
      <c r="I473" t="str">
        <f t="shared" si="3"/>
        <v>Non-democratic</v>
      </c>
    </row>
    <row r="474">
      <c r="B474" t="str">
        <f t="shared" si="1"/>
        <v>#</v>
      </c>
      <c r="G474" t="str">
        <f>vlookup(B474,'imported-population-for-countri'!$A$4:$E$17930,5,false)</f>
        <v>#N/A</v>
      </c>
      <c r="H474" t="str">
        <f t="shared" si="2"/>
        <v>#N/A</v>
      </c>
      <c r="I474" t="str">
        <f t="shared" si="3"/>
        <v>Non-democratic</v>
      </c>
    </row>
    <row r="475">
      <c r="B475" t="str">
        <f t="shared" si="1"/>
        <v>#</v>
      </c>
      <c r="G475" t="str">
        <f>vlookup(B475,'imported-population-for-countri'!$A$4:$E$17930,5,false)</f>
        <v>#N/A</v>
      </c>
      <c r="H475" t="str">
        <f t="shared" si="2"/>
        <v>#N/A</v>
      </c>
      <c r="I475" t="str">
        <f t="shared" si="3"/>
        <v>Non-democratic</v>
      </c>
    </row>
    <row r="476">
      <c r="B476" t="str">
        <f t="shared" si="1"/>
        <v>#</v>
      </c>
      <c r="G476" t="str">
        <f>vlookup(B476,'imported-population-for-countri'!$A$4:$E$17930,5,false)</f>
        <v>#N/A</v>
      </c>
      <c r="H476" t="str">
        <f t="shared" si="2"/>
        <v>#N/A</v>
      </c>
      <c r="I476" t="str">
        <f t="shared" si="3"/>
        <v>Non-democratic</v>
      </c>
    </row>
    <row r="477">
      <c r="B477" t="str">
        <f t="shared" si="1"/>
        <v>#</v>
      </c>
      <c r="G477" t="str">
        <f>vlookup(B477,'imported-population-for-countri'!$A$4:$E$17930,5,false)</f>
        <v>#N/A</v>
      </c>
      <c r="H477" t="str">
        <f t="shared" si="2"/>
        <v>#N/A</v>
      </c>
      <c r="I477" t="str">
        <f t="shared" si="3"/>
        <v>Non-democratic</v>
      </c>
    </row>
    <row r="478">
      <c r="B478" t="str">
        <f t="shared" si="1"/>
        <v>#</v>
      </c>
      <c r="G478" t="str">
        <f>vlookup(B478,'imported-population-for-countri'!$A$4:$E$17930,5,false)</f>
        <v>#N/A</v>
      </c>
      <c r="H478" t="str">
        <f t="shared" si="2"/>
        <v>#N/A</v>
      </c>
      <c r="I478" t="str">
        <f t="shared" si="3"/>
        <v>Non-democratic</v>
      </c>
    </row>
    <row r="479">
      <c r="B479" t="str">
        <f t="shared" si="1"/>
        <v>#</v>
      </c>
      <c r="G479" t="str">
        <f>vlookup(B479,'imported-population-for-countri'!$A$4:$E$17930,5,false)</f>
        <v>#N/A</v>
      </c>
      <c r="H479" t="str">
        <f t="shared" si="2"/>
        <v>#N/A</v>
      </c>
      <c r="I479" t="str">
        <f t="shared" si="3"/>
        <v>Non-democratic</v>
      </c>
    </row>
    <row r="480">
      <c r="B480" t="str">
        <f t="shared" si="1"/>
        <v>#</v>
      </c>
      <c r="G480" t="str">
        <f>vlookup(B480,'imported-population-for-countri'!$A$4:$E$17930,5,false)</f>
        <v>#N/A</v>
      </c>
      <c r="H480" t="str">
        <f t="shared" si="2"/>
        <v>#N/A</v>
      </c>
      <c r="I480" t="str">
        <f t="shared" si="3"/>
        <v>Non-democratic</v>
      </c>
    </row>
    <row r="481">
      <c r="B481" t="str">
        <f t="shared" si="1"/>
        <v>#</v>
      </c>
      <c r="G481" t="str">
        <f>vlookup(B481,'imported-population-for-countri'!$A$4:$E$17930,5,false)</f>
        <v>#N/A</v>
      </c>
      <c r="H481" t="str">
        <f t="shared" si="2"/>
        <v>#N/A</v>
      </c>
      <c r="I481" t="str">
        <f t="shared" si="3"/>
        <v>Non-democratic</v>
      </c>
    </row>
    <row r="482">
      <c r="B482" t="str">
        <f t="shared" si="1"/>
        <v>#</v>
      </c>
      <c r="G482" t="str">
        <f>vlookup(B482,'imported-population-for-countri'!$A$4:$E$17930,5,false)</f>
        <v>#N/A</v>
      </c>
      <c r="H482" t="str">
        <f t="shared" si="2"/>
        <v>#N/A</v>
      </c>
      <c r="I482" t="str">
        <f t="shared" si="3"/>
        <v>Non-democratic</v>
      </c>
    </row>
    <row r="483">
      <c r="B483" t="str">
        <f t="shared" si="1"/>
        <v>#</v>
      </c>
      <c r="G483" t="str">
        <f>vlookup(B483,'imported-population-for-countri'!$A$4:$E$17930,5,false)</f>
        <v>#N/A</v>
      </c>
      <c r="H483" t="str">
        <f t="shared" si="2"/>
        <v>#N/A</v>
      </c>
      <c r="I483" t="str">
        <f t="shared" si="3"/>
        <v>Non-democratic</v>
      </c>
    </row>
    <row r="484">
      <c r="B484" t="str">
        <f t="shared" si="1"/>
        <v>#</v>
      </c>
      <c r="G484" t="str">
        <f>vlookup(B484,'imported-population-for-countri'!$A$4:$E$17930,5,false)</f>
        <v>#N/A</v>
      </c>
      <c r="H484" t="str">
        <f t="shared" si="2"/>
        <v>#N/A</v>
      </c>
      <c r="I484" t="str">
        <f t="shared" si="3"/>
        <v>Non-democratic</v>
      </c>
    </row>
    <row r="485">
      <c r="B485" t="str">
        <f t="shared" si="1"/>
        <v>#</v>
      </c>
      <c r="G485" t="str">
        <f>vlookup(B485,'imported-population-for-countri'!$A$4:$E$17930,5,false)</f>
        <v>#N/A</v>
      </c>
      <c r="H485" t="str">
        <f t="shared" si="2"/>
        <v>#N/A</v>
      </c>
      <c r="I485" t="str">
        <f t="shared" si="3"/>
        <v>Non-democratic</v>
      </c>
    </row>
    <row r="486">
      <c r="B486" t="str">
        <f t="shared" si="1"/>
        <v>#</v>
      </c>
      <c r="G486" t="str">
        <f>vlookup(B486,'imported-population-for-countri'!$A$4:$E$17930,5,false)</f>
        <v>#N/A</v>
      </c>
      <c r="H486" t="str">
        <f t="shared" si="2"/>
        <v>#N/A</v>
      </c>
      <c r="I486" t="str">
        <f t="shared" si="3"/>
        <v>Non-democratic</v>
      </c>
    </row>
    <row r="487">
      <c r="B487" t="str">
        <f t="shared" si="1"/>
        <v>#</v>
      </c>
      <c r="G487" t="str">
        <f>vlookup(B487,'imported-population-for-countri'!$A$4:$E$17930,5,false)</f>
        <v>#N/A</v>
      </c>
      <c r="H487" t="str">
        <f t="shared" si="2"/>
        <v>#N/A</v>
      </c>
      <c r="I487" t="str">
        <f t="shared" si="3"/>
        <v>Non-democratic</v>
      </c>
    </row>
    <row r="488">
      <c r="B488" t="str">
        <f t="shared" si="1"/>
        <v>#</v>
      </c>
      <c r="G488" t="str">
        <f>vlookup(B488,'imported-population-for-countri'!$A$4:$E$17930,5,false)</f>
        <v>#N/A</v>
      </c>
      <c r="H488" t="str">
        <f t="shared" si="2"/>
        <v>#N/A</v>
      </c>
      <c r="I488" t="str">
        <f t="shared" si="3"/>
        <v>Non-democratic</v>
      </c>
    </row>
    <row r="489">
      <c r="B489" t="str">
        <f t="shared" si="1"/>
        <v>#</v>
      </c>
      <c r="G489" t="str">
        <f>vlookup(B489,'imported-population-for-countri'!$A$4:$E$17930,5,false)</f>
        <v>#N/A</v>
      </c>
      <c r="H489" t="str">
        <f t="shared" si="2"/>
        <v>#N/A</v>
      </c>
      <c r="I489" t="str">
        <f t="shared" si="3"/>
        <v>Non-democratic</v>
      </c>
    </row>
    <row r="490">
      <c r="B490" t="str">
        <f t="shared" si="1"/>
        <v>#</v>
      </c>
      <c r="G490" t="str">
        <f>vlookup(B490,'imported-population-for-countri'!$A$4:$E$17930,5,false)</f>
        <v>#N/A</v>
      </c>
      <c r="H490" t="str">
        <f t="shared" si="2"/>
        <v>#N/A</v>
      </c>
      <c r="I490" t="str">
        <f t="shared" si="3"/>
        <v>Non-democratic</v>
      </c>
    </row>
    <row r="491">
      <c r="B491" t="str">
        <f t="shared" si="1"/>
        <v>#</v>
      </c>
      <c r="G491" t="str">
        <f>vlookup(B491,'imported-population-for-countri'!$A$4:$E$17930,5,false)</f>
        <v>#N/A</v>
      </c>
      <c r="H491" t="str">
        <f t="shared" si="2"/>
        <v>#N/A</v>
      </c>
      <c r="I491" t="str">
        <f t="shared" si="3"/>
        <v>Non-democratic</v>
      </c>
    </row>
    <row r="492">
      <c r="B492" t="str">
        <f t="shared" si="1"/>
        <v>#</v>
      </c>
      <c r="G492" t="str">
        <f>vlookup(B492,'imported-population-for-countri'!$A$4:$E$17930,5,false)</f>
        <v>#N/A</v>
      </c>
      <c r="H492" t="str">
        <f t="shared" si="2"/>
        <v>#N/A</v>
      </c>
      <c r="I492" t="str">
        <f t="shared" si="3"/>
        <v>Non-democratic</v>
      </c>
    </row>
    <row r="493">
      <c r="B493" t="str">
        <f t="shared" si="1"/>
        <v>#</v>
      </c>
      <c r="G493" t="str">
        <f>vlookup(B493,'imported-population-for-countri'!$A$4:$E$17930,5,false)</f>
        <v>#N/A</v>
      </c>
      <c r="H493" t="str">
        <f t="shared" si="2"/>
        <v>#N/A</v>
      </c>
      <c r="I493" t="str">
        <f t="shared" si="3"/>
        <v>Non-democratic</v>
      </c>
    </row>
    <row r="494">
      <c r="B494" t="str">
        <f t="shared" si="1"/>
        <v>#</v>
      </c>
      <c r="G494" t="str">
        <f>vlookup(B494,'imported-population-for-countri'!$A$4:$E$17930,5,false)</f>
        <v>#N/A</v>
      </c>
      <c r="H494" t="str">
        <f t="shared" si="2"/>
        <v>#N/A</v>
      </c>
      <c r="I494" t="str">
        <f t="shared" si="3"/>
        <v>Non-democratic</v>
      </c>
    </row>
    <row r="495">
      <c r="B495" t="str">
        <f t="shared" si="1"/>
        <v>#</v>
      </c>
      <c r="G495" t="str">
        <f>vlookup(B495,'imported-population-for-countri'!$A$4:$E$17930,5,false)</f>
        <v>#N/A</v>
      </c>
      <c r="H495" t="str">
        <f t="shared" si="2"/>
        <v>#N/A</v>
      </c>
      <c r="I495" t="str">
        <f t="shared" si="3"/>
        <v>Non-democratic</v>
      </c>
    </row>
    <row r="496">
      <c r="B496" t="str">
        <f t="shared" si="1"/>
        <v>#</v>
      </c>
      <c r="G496" t="str">
        <f>vlookup(B496,'imported-population-for-countri'!$A$4:$E$17930,5,false)</f>
        <v>#N/A</v>
      </c>
      <c r="H496" t="str">
        <f t="shared" si="2"/>
        <v>#N/A</v>
      </c>
      <c r="I496" t="str">
        <f t="shared" si="3"/>
        <v>Non-democratic</v>
      </c>
    </row>
    <row r="497">
      <c r="B497" t="str">
        <f t="shared" si="1"/>
        <v>#</v>
      </c>
      <c r="G497" t="str">
        <f>vlookup(B497,'imported-population-for-countri'!$A$4:$E$17930,5,false)</f>
        <v>#N/A</v>
      </c>
      <c r="H497" t="str">
        <f t="shared" si="2"/>
        <v>#N/A</v>
      </c>
      <c r="I497" t="str">
        <f t="shared" si="3"/>
        <v>Non-democratic</v>
      </c>
    </row>
    <row r="498">
      <c r="B498" t="str">
        <f t="shared" si="1"/>
        <v>#</v>
      </c>
      <c r="G498" t="str">
        <f>vlookup(B498,'imported-population-for-countri'!$A$4:$E$17930,5,false)</f>
        <v>#N/A</v>
      </c>
      <c r="H498" t="str">
        <f t="shared" si="2"/>
        <v>#N/A</v>
      </c>
      <c r="I498" t="str">
        <f t="shared" si="3"/>
        <v>Non-democratic</v>
      </c>
    </row>
    <row r="499">
      <c r="B499" t="str">
        <f t="shared" si="1"/>
        <v>#</v>
      </c>
      <c r="G499" t="str">
        <f>vlookup(B499,'imported-population-for-countri'!$A$4:$E$17930,5,false)</f>
        <v>#N/A</v>
      </c>
      <c r="H499" t="str">
        <f t="shared" si="2"/>
        <v>#N/A</v>
      </c>
      <c r="I499" t="str">
        <f t="shared" si="3"/>
        <v>Non-democratic</v>
      </c>
    </row>
    <row r="500">
      <c r="B500" t="str">
        <f t="shared" si="1"/>
        <v>#</v>
      </c>
      <c r="G500" t="str">
        <f>vlookup(B500,'imported-population-for-countri'!$A$4:$E$17930,5,false)</f>
        <v>#N/A</v>
      </c>
      <c r="H500" t="str">
        <f t="shared" si="2"/>
        <v>#N/A</v>
      </c>
      <c r="I500" t="str">
        <f t="shared" si="3"/>
        <v>Non-democratic</v>
      </c>
    </row>
    <row r="501">
      <c r="B501" t="str">
        <f t="shared" si="1"/>
        <v>#</v>
      </c>
      <c r="G501" t="str">
        <f>vlookup(B501,'imported-population-for-countri'!$A$4:$E$17930,5,false)</f>
        <v>#N/A</v>
      </c>
      <c r="H501" t="str">
        <f t="shared" si="2"/>
        <v>#N/A</v>
      </c>
      <c r="I501" t="str">
        <f t="shared" si="3"/>
        <v>Non-democratic</v>
      </c>
    </row>
    <row r="502">
      <c r="B502" t="str">
        <f t="shared" si="1"/>
        <v>#</v>
      </c>
      <c r="G502" t="str">
        <f>vlookup(B502,'imported-population-for-countri'!$A$4:$E$17930,5,false)</f>
        <v>#N/A</v>
      </c>
      <c r="H502" t="str">
        <f t="shared" si="2"/>
        <v>#N/A</v>
      </c>
      <c r="I502" t="str">
        <f t="shared" si="3"/>
        <v>Non-democratic</v>
      </c>
    </row>
    <row r="503">
      <c r="B503" t="str">
        <f t="shared" si="1"/>
        <v>#</v>
      </c>
      <c r="G503" t="str">
        <f>vlookup(B503,'imported-population-for-countri'!$A$4:$E$17930,5,false)</f>
        <v>#N/A</v>
      </c>
      <c r="H503" t="str">
        <f t="shared" si="2"/>
        <v>#N/A</v>
      </c>
      <c r="I503" t="str">
        <f t="shared" si="3"/>
        <v>Non-democratic</v>
      </c>
    </row>
    <row r="504">
      <c r="B504" t="str">
        <f t="shared" si="1"/>
        <v>#</v>
      </c>
      <c r="G504" t="str">
        <f>vlookup(B504,'imported-population-for-countri'!$A$4:$E$17930,5,false)</f>
        <v>#N/A</v>
      </c>
      <c r="H504" t="str">
        <f t="shared" si="2"/>
        <v>#N/A</v>
      </c>
      <c r="I504" t="str">
        <f t="shared" si="3"/>
        <v>Non-democratic</v>
      </c>
    </row>
    <row r="505">
      <c r="B505" t="str">
        <f t="shared" si="1"/>
        <v>#</v>
      </c>
      <c r="G505" t="str">
        <f>vlookup(B505,'imported-population-for-countri'!$A$4:$E$17930,5,false)</f>
        <v>#N/A</v>
      </c>
      <c r="H505" t="str">
        <f t="shared" si="2"/>
        <v>#N/A</v>
      </c>
      <c r="I505" t="str">
        <f t="shared" si="3"/>
        <v>Non-democratic</v>
      </c>
    </row>
    <row r="506">
      <c r="B506" t="str">
        <f t="shared" si="1"/>
        <v>#</v>
      </c>
      <c r="G506" t="str">
        <f>vlookup(B506,'imported-population-for-countri'!$A$4:$E$17930,5,false)</f>
        <v>#N/A</v>
      </c>
      <c r="H506" t="str">
        <f t="shared" si="2"/>
        <v>#N/A</v>
      </c>
      <c r="I506" t="str">
        <f t="shared" si="3"/>
        <v>Non-democratic</v>
      </c>
    </row>
    <row r="507">
      <c r="B507" t="str">
        <f t="shared" si="1"/>
        <v>#</v>
      </c>
      <c r="G507" t="str">
        <f>vlookup(B507,'imported-population-for-countri'!$A$4:$E$17930,5,false)</f>
        <v>#N/A</v>
      </c>
      <c r="H507" t="str">
        <f t="shared" si="2"/>
        <v>#N/A</v>
      </c>
      <c r="I507" t="str">
        <f t="shared" si="3"/>
        <v>Non-democratic</v>
      </c>
    </row>
    <row r="508">
      <c r="B508" t="str">
        <f t="shared" si="1"/>
        <v>#</v>
      </c>
      <c r="G508" t="str">
        <f>vlookup(B508,'imported-population-for-countri'!$A$4:$E$17930,5,false)</f>
        <v>#N/A</v>
      </c>
      <c r="H508" t="str">
        <f t="shared" si="2"/>
        <v>#N/A</v>
      </c>
      <c r="I508" t="str">
        <f t="shared" si="3"/>
        <v>Non-democratic</v>
      </c>
    </row>
    <row r="509">
      <c r="B509" t="str">
        <f t="shared" si="1"/>
        <v>#</v>
      </c>
      <c r="G509" t="str">
        <f>vlookup(B509,'imported-population-for-countri'!$A$4:$E$17930,5,false)</f>
        <v>#N/A</v>
      </c>
      <c r="H509" t="str">
        <f t="shared" si="2"/>
        <v>#N/A</v>
      </c>
      <c r="I509" t="str">
        <f t="shared" si="3"/>
        <v>Non-democratic</v>
      </c>
    </row>
    <row r="510">
      <c r="B510" t="str">
        <f t="shared" si="1"/>
        <v>#</v>
      </c>
      <c r="G510" t="str">
        <f>vlookup(B510,'imported-population-for-countri'!$A$4:$E$17930,5,false)</f>
        <v>#N/A</v>
      </c>
      <c r="H510" t="str">
        <f t="shared" si="2"/>
        <v>#N/A</v>
      </c>
      <c r="I510" t="str">
        <f t="shared" si="3"/>
        <v>Non-democratic</v>
      </c>
    </row>
    <row r="511">
      <c r="B511" t="str">
        <f t="shared" si="1"/>
        <v>#</v>
      </c>
      <c r="G511" t="str">
        <f>vlookup(B511,'imported-population-for-countri'!$A$4:$E$17930,5,false)</f>
        <v>#N/A</v>
      </c>
      <c r="H511" t="str">
        <f t="shared" si="2"/>
        <v>#N/A</v>
      </c>
      <c r="I511" t="str">
        <f t="shared" si="3"/>
        <v>Non-democratic</v>
      </c>
    </row>
    <row r="512">
      <c r="B512" t="str">
        <f t="shared" si="1"/>
        <v>#</v>
      </c>
      <c r="G512" t="str">
        <f>vlookup(B512,'imported-population-for-countri'!$A$4:$E$17930,5,false)</f>
        <v>#N/A</v>
      </c>
      <c r="H512" t="str">
        <f t="shared" si="2"/>
        <v>#N/A</v>
      </c>
      <c r="I512" t="str">
        <f t="shared" si="3"/>
        <v>Non-democratic</v>
      </c>
    </row>
    <row r="513">
      <c r="B513" t="str">
        <f t="shared" si="1"/>
        <v>#</v>
      </c>
      <c r="G513" t="str">
        <f>vlookup(B513,'imported-population-for-countri'!$A$4:$E$17930,5,false)</f>
        <v>#N/A</v>
      </c>
      <c r="H513" t="str">
        <f t="shared" si="2"/>
        <v>#N/A</v>
      </c>
      <c r="I513" t="str">
        <f t="shared" si="3"/>
        <v>Non-democratic</v>
      </c>
    </row>
    <row r="514">
      <c r="B514" t="str">
        <f t="shared" si="1"/>
        <v>#</v>
      </c>
      <c r="G514" t="str">
        <f>vlookup(B514,'imported-population-for-countri'!$A$4:$E$17930,5,false)</f>
        <v>#N/A</v>
      </c>
      <c r="H514" t="str">
        <f t="shared" si="2"/>
        <v>#N/A</v>
      </c>
      <c r="I514" t="str">
        <f t="shared" si="3"/>
        <v>Non-democratic</v>
      </c>
    </row>
    <row r="515">
      <c r="B515" t="str">
        <f t="shared" si="1"/>
        <v>#</v>
      </c>
      <c r="G515" t="str">
        <f>vlookup(B515,'imported-population-for-countri'!$A$4:$E$17930,5,false)</f>
        <v>#N/A</v>
      </c>
      <c r="H515" t="str">
        <f t="shared" si="2"/>
        <v>#N/A</v>
      </c>
      <c r="I515" t="str">
        <f t="shared" si="3"/>
        <v>Non-democratic</v>
      </c>
    </row>
    <row r="516">
      <c r="B516" t="str">
        <f t="shared" si="1"/>
        <v>#</v>
      </c>
      <c r="G516" t="str">
        <f>vlookup(B516,'imported-population-for-countri'!$A$4:$E$17930,5,false)</f>
        <v>#N/A</v>
      </c>
      <c r="H516" t="str">
        <f t="shared" si="2"/>
        <v>#N/A</v>
      </c>
      <c r="I516" t="str">
        <f t="shared" si="3"/>
        <v>Non-democratic</v>
      </c>
    </row>
    <row r="517">
      <c r="B517" t="str">
        <f t="shared" si="1"/>
        <v>#</v>
      </c>
      <c r="G517" t="str">
        <f>vlookup(B517,'imported-population-for-countri'!$A$4:$E$17930,5,false)</f>
        <v>#N/A</v>
      </c>
      <c r="H517" t="str">
        <f t="shared" si="2"/>
        <v>#N/A</v>
      </c>
      <c r="I517" t="str">
        <f t="shared" si="3"/>
        <v>Non-democratic</v>
      </c>
    </row>
    <row r="518">
      <c r="B518" t="str">
        <f t="shared" si="1"/>
        <v>#</v>
      </c>
      <c r="G518" t="str">
        <f>vlookup(B518,'imported-population-for-countri'!$A$4:$E$17930,5,false)</f>
        <v>#N/A</v>
      </c>
      <c r="H518" t="str">
        <f t="shared" si="2"/>
        <v>#N/A</v>
      </c>
      <c r="I518" t="str">
        <f t="shared" si="3"/>
        <v>Non-democratic</v>
      </c>
    </row>
    <row r="519">
      <c r="B519" t="str">
        <f t="shared" si="1"/>
        <v>#</v>
      </c>
      <c r="G519" t="str">
        <f>vlookup(B519,'imported-population-for-countri'!$A$4:$E$17930,5,false)</f>
        <v>#N/A</v>
      </c>
      <c r="H519" t="str">
        <f t="shared" si="2"/>
        <v>#N/A</v>
      </c>
      <c r="I519" t="str">
        <f t="shared" si="3"/>
        <v>Non-democratic</v>
      </c>
    </row>
    <row r="520">
      <c r="B520" t="str">
        <f t="shared" si="1"/>
        <v>#</v>
      </c>
      <c r="G520" t="str">
        <f>vlookup(B520,'imported-population-for-countri'!$A$4:$E$17930,5,false)</f>
        <v>#N/A</v>
      </c>
      <c r="H520" t="str">
        <f t="shared" si="2"/>
        <v>#N/A</v>
      </c>
      <c r="I520" t="str">
        <f t="shared" si="3"/>
        <v>Non-democratic</v>
      </c>
    </row>
    <row r="521">
      <c r="B521" t="str">
        <f t="shared" si="1"/>
        <v>#</v>
      </c>
      <c r="G521" t="str">
        <f>vlookup(B521,'imported-population-for-countri'!$A$4:$E$17930,5,false)</f>
        <v>#N/A</v>
      </c>
      <c r="H521" t="str">
        <f t="shared" si="2"/>
        <v>#N/A</v>
      </c>
      <c r="I521" t="str">
        <f t="shared" si="3"/>
        <v>Non-democratic</v>
      </c>
    </row>
    <row r="522">
      <c r="B522" t="str">
        <f t="shared" si="1"/>
        <v>#</v>
      </c>
      <c r="G522" t="str">
        <f>vlookup(B522,'imported-population-for-countri'!$A$4:$E$17930,5,false)</f>
        <v>#N/A</v>
      </c>
      <c r="H522" t="str">
        <f t="shared" si="2"/>
        <v>#N/A</v>
      </c>
      <c r="I522" t="str">
        <f t="shared" si="3"/>
        <v>Non-democratic</v>
      </c>
    </row>
    <row r="523">
      <c r="B523" t="str">
        <f t="shared" si="1"/>
        <v>#</v>
      </c>
      <c r="G523" t="str">
        <f>vlookup(B523,'imported-population-for-countri'!$A$4:$E$17930,5,false)</f>
        <v>#N/A</v>
      </c>
      <c r="H523" t="str">
        <f t="shared" si="2"/>
        <v>#N/A</v>
      </c>
      <c r="I523" t="str">
        <f t="shared" si="3"/>
        <v>Non-democratic</v>
      </c>
    </row>
    <row r="524">
      <c r="B524" t="str">
        <f t="shared" si="1"/>
        <v>#</v>
      </c>
      <c r="G524" t="str">
        <f>vlookup(B524,'imported-population-for-countri'!$A$4:$E$17930,5,false)</f>
        <v>#N/A</v>
      </c>
      <c r="H524" t="str">
        <f t="shared" si="2"/>
        <v>#N/A</v>
      </c>
      <c r="I524" t="str">
        <f t="shared" si="3"/>
        <v>Non-democratic</v>
      </c>
    </row>
    <row r="525">
      <c r="B525" t="str">
        <f t="shared" si="1"/>
        <v>#</v>
      </c>
      <c r="G525" t="str">
        <f>vlookup(B525,'imported-population-for-countri'!$A$4:$E$17930,5,false)</f>
        <v>#N/A</v>
      </c>
      <c r="H525" t="str">
        <f t="shared" si="2"/>
        <v>#N/A</v>
      </c>
      <c r="I525" t="str">
        <f t="shared" si="3"/>
        <v>Non-democratic</v>
      </c>
    </row>
    <row r="526">
      <c r="B526" t="str">
        <f t="shared" si="1"/>
        <v>#</v>
      </c>
      <c r="G526" t="str">
        <f>vlookup(B526,'imported-population-for-countri'!$A$4:$E$17930,5,false)</f>
        <v>#N/A</v>
      </c>
      <c r="H526" t="str">
        <f t="shared" si="2"/>
        <v>#N/A</v>
      </c>
      <c r="I526" t="str">
        <f t="shared" si="3"/>
        <v>Non-democratic</v>
      </c>
    </row>
    <row r="527">
      <c r="B527" t="str">
        <f t="shared" si="1"/>
        <v>#</v>
      </c>
      <c r="G527" t="str">
        <f>vlookup(B527,'imported-population-for-countri'!$A$4:$E$17930,5,false)</f>
        <v>#N/A</v>
      </c>
      <c r="H527" t="str">
        <f t="shared" si="2"/>
        <v>#N/A</v>
      </c>
      <c r="I527" t="str">
        <f t="shared" si="3"/>
        <v>Non-democratic</v>
      </c>
    </row>
    <row r="528">
      <c r="B528" t="str">
        <f t="shared" si="1"/>
        <v>#</v>
      </c>
      <c r="G528" t="str">
        <f>vlookup(B528,'imported-population-for-countri'!$A$4:$E$17930,5,false)</f>
        <v>#N/A</v>
      </c>
      <c r="H528" t="str">
        <f t="shared" si="2"/>
        <v>#N/A</v>
      </c>
      <c r="I528" t="str">
        <f t="shared" si="3"/>
        <v>Non-democratic</v>
      </c>
    </row>
    <row r="529">
      <c r="B529" t="str">
        <f t="shared" si="1"/>
        <v>#</v>
      </c>
      <c r="G529" t="str">
        <f>vlookup(B529,'imported-population-for-countri'!$A$4:$E$17930,5,false)</f>
        <v>#N/A</v>
      </c>
      <c r="H529" t="str">
        <f t="shared" si="2"/>
        <v>#N/A</v>
      </c>
      <c r="I529" t="str">
        <f t="shared" si="3"/>
        <v>Non-democratic</v>
      </c>
    </row>
    <row r="530">
      <c r="B530" t="str">
        <f t="shared" si="1"/>
        <v>#</v>
      </c>
      <c r="G530" t="str">
        <f>vlookup(B530,'imported-population-for-countri'!$A$4:$E$17930,5,false)</f>
        <v>#N/A</v>
      </c>
      <c r="H530" t="str">
        <f t="shared" si="2"/>
        <v>#N/A</v>
      </c>
      <c r="I530" t="str">
        <f t="shared" si="3"/>
        <v>Non-democratic</v>
      </c>
    </row>
    <row r="531">
      <c r="B531" t="str">
        <f t="shared" si="1"/>
        <v>#</v>
      </c>
      <c r="G531" t="str">
        <f>vlookup(B531,'imported-population-for-countri'!$A$4:$E$17930,5,false)</f>
        <v>#N/A</v>
      </c>
      <c r="H531" t="str">
        <f t="shared" si="2"/>
        <v>#N/A</v>
      </c>
      <c r="I531" t="str">
        <f t="shared" si="3"/>
        <v>Non-democratic</v>
      </c>
    </row>
    <row r="532">
      <c r="B532" t="str">
        <f t="shared" si="1"/>
        <v>#</v>
      </c>
      <c r="G532" t="str">
        <f>vlookup(B532,'imported-population-for-countri'!$A$4:$E$17930,5,false)</f>
        <v>#N/A</v>
      </c>
      <c r="H532" t="str">
        <f t="shared" si="2"/>
        <v>#N/A</v>
      </c>
      <c r="I532" t="str">
        <f t="shared" si="3"/>
        <v>Non-democratic</v>
      </c>
    </row>
    <row r="533">
      <c r="B533" t="str">
        <f t="shared" si="1"/>
        <v>#</v>
      </c>
      <c r="G533" t="str">
        <f>vlookup(B533,'imported-population-for-countri'!$A$4:$E$17930,5,false)</f>
        <v>#N/A</v>
      </c>
      <c r="H533" t="str">
        <f t="shared" si="2"/>
        <v>#N/A</v>
      </c>
      <c r="I533" t="str">
        <f t="shared" si="3"/>
        <v>Non-democratic</v>
      </c>
    </row>
    <row r="534">
      <c r="B534" t="str">
        <f t="shared" si="1"/>
        <v>#</v>
      </c>
      <c r="G534" t="str">
        <f>vlookup(B534,'imported-population-for-countri'!$A$4:$E$17930,5,false)</f>
        <v>#N/A</v>
      </c>
      <c r="H534" t="str">
        <f t="shared" si="2"/>
        <v>#N/A</v>
      </c>
      <c r="I534" t="str">
        <f t="shared" si="3"/>
        <v>Non-democratic</v>
      </c>
    </row>
    <row r="535">
      <c r="B535" t="str">
        <f t="shared" si="1"/>
        <v>#</v>
      </c>
      <c r="G535" t="str">
        <f>vlookup(B535,'imported-population-for-countri'!$A$4:$E$17930,5,false)</f>
        <v>#N/A</v>
      </c>
      <c r="H535" t="str">
        <f t="shared" si="2"/>
        <v>#N/A</v>
      </c>
      <c r="I535" t="str">
        <f t="shared" si="3"/>
        <v>Non-democratic</v>
      </c>
    </row>
    <row r="536">
      <c r="B536" t="str">
        <f t="shared" si="1"/>
        <v>#</v>
      </c>
      <c r="G536" t="str">
        <f>vlookup(B536,'imported-population-for-countri'!$A$4:$E$17930,5,false)</f>
        <v>#N/A</v>
      </c>
      <c r="H536" t="str">
        <f t="shared" si="2"/>
        <v>#N/A</v>
      </c>
      <c r="I536" t="str">
        <f t="shared" si="3"/>
        <v>Non-democratic</v>
      </c>
    </row>
    <row r="537">
      <c r="B537" t="str">
        <f t="shared" si="1"/>
        <v>#</v>
      </c>
      <c r="G537" t="str">
        <f>vlookup(B537,'imported-population-for-countri'!$A$4:$E$17930,5,false)</f>
        <v>#N/A</v>
      </c>
      <c r="H537" t="str">
        <f t="shared" si="2"/>
        <v>#N/A</v>
      </c>
      <c r="I537" t="str">
        <f t="shared" si="3"/>
        <v>Non-democratic</v>
      </c>
    </row>
    <row r="538">
      <c r="B538" t="str">
        <f t="shared" si="1"/>
        <v>#</v>
      </c>
      <c r="G538" t="str">
        <f>vlookup(B538,'imported-population-for-countri'!$A$4:$E$17930,5,false)</f>
        <v>#N/A</v>
      </c>
      <c r="H538" t="str">
        <f t="shared" si="2"/>
        <v>#N/A</v>
      </c>
      <c r="I538" t="str">
        <f t="shared" si="3"/>
        <v>Non-democratic</v>
      </c>
    </row>
    <row r="539">
      <c r="B539" t="str">
        <f t="shared" si="1"/>
        <v>#</v>
      </c>
      <c r="G539" t="str">
        <f>vlookup(B539,'imported-population-for-countri'!$A$4:$E$17930,5,false)</f>
        <v>#N/A</v>
      </c>
      <c r="H539" t="str">
        <f t="shared" si="2"/>
        <v>#N/A</v>
      </c>
      <c r="I539" t="str">
        <f t="shared" si="3"/>
        <v>Non-democratic</v>
      </c>
    </row>
    <row r="540">
      <c r="B540" t="str">
        <f t="shared" si="1"/>
        <v>#</v>
      </c>
      <c r="G540" t="str">
        <f>vlookup(B540,'imported-population-for-countri'!$A$4:$E$17930,5,false)</f>
        <v>#N/A</v>
      </c>
      <c r="H540" t="str">
        <f t="shared" si="2"/>
        <v>#N/A</v>
      </c>
      <c r="I540" t="str">
        <f t="shared" si="3"/>
        <v>Non-democratic</v>
      </c>
    </row>
    <row r="541">
      <c r="B541" t="str">
        <f t="shared" si="1"/>
        <v>#</v>
      </c>
      <c r="G541" t="str">
        <f>vlookup(B541,'imported-population-for-countri'!$A$4:$E$17930,5,false)</f>
        <v>#N/A</v>
      </c>
      <c r="H541" t="str">
        <f t="shared" si="2"/>
        <v>#N/A</v>
      </c>
      <c r="I541" t="str">
        <f t="shared" si="3"/>
        <v>Non-democratic</v>
      </c>
    </row>
    <row r="542">
      <c r="B542" t="str">
        <f t="shared" si="1"/>
        <v>#</v>
      </c>
      <c r="G542" t="str">
        <f>vlookup(B542,'imported-population-for-countri'!$A$4:$E$17930,5,false)</f>
        <v>#N/A</v>
      </c>
      <c r="H542" t="str">
        <f t="shared" si="2"/>
        <v>#N/A</v>
      </c>
      <c r="I542" t="str">
        <f t="shared" si="3"/>
        <v>Non-democratic</v>
      </c>
    </row>
    <row r="543">
      <c r="B543" t="str">
        <f t="shared" si="1"/>
        <v>#</v>
      </c>
      <c r="G543" t="str">
        <f>vlookup(B543,'imported-population-for-countri'!$A$4:$E$17930,5,false)</f>
        <v>#N/A</v>
      </c>
      <c r="H543" t="str">
        <f t="shared" si="2"/>
        <v>#N/A</v>
      </c>
      <c r="I543" t="str">
        <f t="shared" si="3"/>
        <v>Non-democratic</v>
      </c>
    </row>
    <row r="544">
      <c r="B544" t="str">
        <f t="shared" si="1"/>
        <v>#</v>
      </c>
      <c r="G544" t="str">
        <f>vlookup(B544,'imported-population-for-countri'!$A$4:$E$17930,5,false)</f>
        <v>#N/A</v>
      </c>
      <c r="H544" t="str">
        <f t="shared" si="2"/>
        <v>#N/A</v>
      </c>
      <c r="I544" t="str">
        <f t="shared" si="3"/>
        <v>Non-democratic</v>
      </c>
    </row>
    <row r="545">
      <c r="B545" t="str">
        <f t="shared" si="1"/>
        <v>#</v>
      </c>
      <c r="G545" t="str">
        <f>vlookup(B545,'imported-population-for-countri'!$A$4:$E$17930,5,false)</f>
        <v>#N/A</v>
      </c>
      <c r="H545" t="str">
        <f t="shared" si="2"/>
        <v>#N/A</v>
      </c>
      <c r="I545" t="str">
        <f t="shared" si="3"/>
        <v>Non-democratic</v>
      </c>
    </row>
    <row r="546">
      <c r="B546" t="str">
        <f t="shared" si="1"/>
        <v>#</v>
      </c>
      <c r="G546" t="str">
        <f>vlookup(B546,'imported-population-for-countri'!$A$4:$E$17930,5,false)</f>
        <v>#N/A</v>
      </c>
      <c r="H546" t="str">
        <f t="shared" si="2"/>
        <v>#N/A</v>
      </c>
      <c r="I546" t="str">
        <f t="shared" si="3"/>
        <v>Non-democratic</v>
      </c>
    </row>
    <row r="547">
      <c r="B547" t="str">
        <f t="shared" si="1"/>
        <v>#</v>
      </c>
      <c r="G547" t="str">
        <f>vlookup(B547,'imported-population-for-countri'!$A$4:$E$17930,5,false)</f>
        <v>#N/A</v>
      </c>
      <c r="H547" t="str">
        <f t="shared" si="2"/>
        <v>#N/A</v>
      </c>
      <c r="I547" t="str">
        <f t="shared" si="3"/>
        <v>Non-democratic</v>
      </c>
    </row>
    <row r="548">
      <c r="B548" t="str">
        <f t="shared" si="1"/>
        <v>#</v>
      </c>
      <c r="G548" t="str">
        <f>vlookup(B548,'imported-population-for-countri'!$A$4:$E$17930,5,false)</f>
        <v>#N/A</v>
      </c>
      <c r="H548" t="str">
        <f t="shared" si="2"/>
        <v>#N/A</v>
      </c>
      <c r="I548" t="str">
        <f t="shared" si="3"/>
        <v>Non-democratic</v>
      </c>
    </row>
    <row r="549">
      <c r="B549" t="str">
        <f t="shared" si="1"/>
        <v>#</v>
      </c>
      <c r="G549" t="str">
        <f>vlookup(B549,'imported-population-for-countri'!$A$4:$E$17930,5,false)</f>
        <v>#N/A</v>
      </c>
      <c r="H549" t="str">
        <f t="shared" si="2"/>
        <v>#N/A</v>
      </c>
      <c r="I549" t="str">
        <f t="shared" si="3"/>
        <v>Non-democratic</v>
      </c>
    </row>
    <row r="550">
      <c r="B550" t="str">
        <f t="shared" si="1"/>
        <v>#</v>
      </c>
      <c r="G550" t="str">
        <f>vlookup(B550,'imported-population-for-countri'!$A$4:$E$17930,5,false)</f>
        <v>#N/A</v>
      </c>
      <c r="H550" t="str">
        <f t="shared" si="2"/>
        <v>#N/A</v>
      </c>
      <c r="I550" t="str">
        <f t="shared" si="3"/>
        <v>Non-democratic</v>
      </c>
    </row>
    <row r="551">
      <c r="B551" t="str">
        <f t="shared" si="1"/>
        <v>#</v>
      </c>
      <c r="G551" t="str">
        <f>vlookup(B551,'imported-population-for-countri'!$A$4:$E$17930,5,false)</f>
        <v>#N/A</v>
      </c>
      <c r="H551" t="str">
        <f t="shared" si="2"/>
        <v>#N/A</v>
      </c>
      <c r="I551" t="str">
        <f t="shared" si="3"/>
        <v>Non-democratic</v>
      </c>
    </row>
    <row r="552">
      <c r="B552" t="str">
        <f t="shared" si="1"/>
        <v>#</v>
      </c>
      <c r="G552" t="str">
        <f>vlookup(B552,'imported-population-for-countri'!$A$4:$E$17930,5,false)</f>
        <v>#N/A</v>
      </c>
      <c r="H552" t="str">
        <f t="shared" si="2"/>
        <v>#N/A</v>
      </c>
      <c r="I552" t="str">
        <f t="shared" si="3"/>
        <v>Non-democratic</v>
      </c>
    </row>
    <row r="553">
      <c r="B553" t="str">
        <f t="shared" si="1"/>
        <v>#</v>
      </c>
      <c r="G553" t="str">
        <f>vlookup(B553,'imported-population-for-countri'!$A$4:$E$17930,5,false)</f>
        <v>#N/A</v>
      </c>
      <c r="H553" t="str">
        <f t="shared" si="2"/>
        <v>#N/A</v>
      </c>
      <c r="I553" t="str">
        <f t="shared" si="3"/>
        <v>Non-democratic</v>
      </c>
    </row>
    <row r="554">
      <c r="B554" t="str">
        <f t="shared" si="1"/>
        <v>#</v>
      </c>
      <c r="G554" t="str">
        <f>vlookup(B554,'imported-population-for-countri'!$A$4:$E$17930,5,false)</f>
        <v>#N/A</v>
      </c>
      <c r="H554" t="str">
        <f t="shared" si="2"/>
        <v>#N/A</v>
      </c>
      <c r="I554" t="str">
        <f t="shared" si="3"/>
        <v>Non-democratic</v>
      </c>
    </row>
    <row r="555">
      <c r="B555" t="str">
        <f t="shared" si="1"/>
        <v>#</v>
      </c>
      <c r="G555" t="str">
        <f>vlookup(B555,'imported-population-for-countri'!$A$4:$E$17930,5,false)</f>
        <v>#N/A</v>
      </c>
      <c r="H555" t="str">
        <f t="shared" si="2"/>
        <v>#N/A</v>
      </c>
      <c r="I555" t="str">
        <f t="shared" si="3"/>
        <v>Non-democratic</v>
      </c>
    </row>
    <row r="556">
      <c r="B556" t="str">
        <f t="shared" si="1"/>
        <v>#</v>
      </c>
      <c r="G556" t="str">
        <f>vlookup(B556,'imported-population-for-countri'!$A$4:$E$17930,5,false)</f>
        <v>#N/A</v>
      </c>
      <c r="H556" t="str">
        <f t="shared" si="2"/>
        <v>#N/A</v>
      </c>
      <c r="I556" t="str">
        <f t="shared" si="3"/>
        <v>Non-democratic</v>
      </c>
    </row>
    <row r="557">
      <c r="B557" t="str">
        <f t="shared" si="1"/>
        <v>#</v>
      </c>
      <c r="G557" t="str">
        <f>vlookup(B557,'imported-population-for-countri'!$A$4:$E$17930,5,false)</f>
        <v>#N/A</v>
      </c>
      <c r="H557" t="str">
        <f t="shared" si="2"/>
        <v>#N/A</v>
      </c>
      <c r="I557" t="str">
        <f t="shared" si="3"/>
        <v>Non-democratic</v>
      </c>
    </row>
    <row r="558">
      <c r="B558" t="str">
        <f t="shared" si="1"/>
        <v>#</v>
      </c>
      <c r="G558" t="str">
        <f>vlookup(B558,'imported-population-for-countri'!$A$4:$E$17930,5,false)</f>
        <v>#N/A</v>
      </c>
      <c r="H558" t="str">
        <f t="shared" si="2"/>
        <v>#N/A</v>
      </c>
      <c r="I558" t="str">
        <f t="shared" si="3"/>
        <v>Non-democratic</v>
      </c>
    </row>
    <row r="559">
      <c r="B559" t="str">
        <f t="shared" si="1"/>
        <v>#</v>
      </c>
      <c r="G559" t="str">
        <f>vlookup(B559,'imported-population-for-countri'!$A$4:$E$17930,5,false)</f>
        <v>#N/A</v>
      </c>
      <c r="H559" t="str">
        <f t="shared" si="2"/>
        <v>#N/A</v>
      </c>
      <c r="I559" t="str">
        <f t="shared" si="3"/>
        <v>Non-democratic</v>
      </c>
    </row>
    <row r="560">
      <c r="B560" t="str">
        <f t="shared" si="1"/>
        <v>#</v>
      </c>
      <c r="G560" t="str">
        <f>vlookup(B560,'imported-population-for-countri'!$A$4:$E$17930,5,false)</f>
        <v>#N/A</v>
      </c>
      <c r="H560" t="str">
        <f t="shared" si="2"/>
        <v>#N/A</v>
      </c>
      <c r="I560" t="str">
        <f t="shared" si="3"/>
        <v>Non-democratic</v>
      </c>
    </row>
    <row r="561">
      <c r="B561" t="str">
        <f t="shared" si="1"/>
        <v>#</v>
      </c>
      <c r="G561" t="str">
        <f>vlookup(B561,'imported-population-for-countri'!$A$4:$E$17930,5,false)</f>
        <v>#N/A</v>
      </c>
      <c r="H561" t="str">
        <f t="shared" si="2"/>
        <v>#N/A</v>
      </c>
      <c r="I561" t="str">
        <f t="shared" si="3"/>
        <v>Non-democratic</v>
      </c>
    </row>
    <row r="562">
      <c r="B562" t="str">
        <f t="shared" si="1"/>
        <v>#</v>
      </c>
      <c r="G562" t="str">
        <f>vlookup(B562,'imported-population-for-countri'!$A$4:$E$17930,5,false)</f>
        <v>#N/A</v>
      </c>
      <c r="H562" t="str">
        <f t="shared" si="2"/>
        <v>#N/A</v>
      </c>
      <c r="I562" t="str">
        <f t="shared" si="3"/>
        <v>Non-democratic</v>
      </c>
    </row>
    <row r="563">
      <c r="B563" t="str">
        <f t="shared" si="1"/>
        <v>#</v>
      </c>
      <c r="G563" t="str">
        <f>vlookup(B563,'imported-population-for-countri'!$A$4:$E$17930,5,false)</f>
        <v>#N/A</v>
      </c>
      <c r="H563" t="str">
        <f t="shared" si="2"/>
        <v>#N/A</v>
      </c>
      <c r="I563" t="str">
        <f t="shared" si="3"/>
        <v>Non-democratic</v>
      </c>
    </row>
    <row r="564">
      <c r="B564" t="str">
        <f t="shared" si="1"/>
        <v>#</v>
      </c>
      <c r="G564" t="str">
        <f>vlookup(B564,'imported-population-for-countri'!$A$4:$E$17930,5,false)</f>
        <v>#N/A</v>
      </c>
      <c r="H564" t="str">
        <f t="shared" si="2"/>
        <v>#N/A</v>
      </c>
      <c r="I564" t="str">
        <f t="shared" si="3"/>
        <v>Non-democratic</v>
      </c>
    </row>
    <row r="565">
      <c r="B565" t="str">
        <f t="shared" si="1"/>
        <v>#</v>
      </c>
      <c r="G565" t="str">
        <f>vlookup(B565,'imported-population-for-countri'!$A$4:$E$17930,5,false)</f>
        <v>#N/A</v>
      </c>
      <c r="H565" t="str">
        <f t="shared" si="2"/>
        <v>#N/A</v>
      </c>
      <c r="I565" t="str">
        <f t="shared" si="3"/>
        <v>Non-democratic</v>
      </c>
    </row>
    <row r="566">
      <c r="B566" t="str">
        <f t="shared" si="1"/>
        <v>#</v>
      </c>
      <c r="G566" t="str">
        <f>vlookup(B566,'imported-population-for-countri'!$A$4:$E$17930,5,false)</f>
        <v>#N/A</v>
      </c>
      <c r="H566" t="str">
        <f t="shared" si="2"/>
        <v>#N/A</v>
      </c>
      <c r="I566" t="str">
        <f t="shared" si="3"/>
        <v>Non-democratic</v>
      </c>
    </row>
    <row r="567">
      <c r="B567" t="str">
        <f t="shared" si="1"/>
        <v>#</v>
      </c>
      <c r="G567" t="str">
        <f>vlookup(B567,'imported-population-for-countri'!$A$4:$E$17930,5,false)</f>
        <v>#N/A</v>
      </c>
      <c r="H567" t="str">
        <f t="shared" si="2"/>
        <v>#N/A</v>
      </c>
      <c r="I567" t="str">
        <f t="shared" si="3"/>
        <v>Non-democratic</v>
      </c>
    </row>
    <row r="568">
      <c r="B568" t="str">
        <f t="shared" si="1"/>
        <v>#</v>
      </c>
      <c r="G568" t="str">
        <f>vlookup(B568,'imported-population-for-countri'!$A$4:$E$17930,5,false)</f>
        <v>#N/A</v>
      </c>
      <c r="H568" t="str">
        <f t="shared" si="2"/>
        <v>#N/A</v>
      </c>
      <c r="I568" t="str">
        <f t="shared" si="3"/>
        <v>Non-democratic</v>
      </c>
    </row>
    <row r="569">
      <c r="B569" t="str">
        <f t="shared" si="1"/>
        <v>#</v>
      </c>
      <c r="G569" t="str">
        <f>vlookup(B569,'imported-population-for-countri'!$A$4:$E$17930,5,false)</f>
        <v>#N/A</v>
      </c>
      <c r="H569" t="str">
        <f t="shared" si="2"/>
        <v>#N/A</v>
      </c>
      <c r="I569" t="str">
        <f t="shared" si="3"/>
        <v>Non-democratic</v>
      </c>
    </row>
    <row r="570">
      <c r="B570" t="str">
        <f t="shared" si="1"/>
        <v>#</v>
      </c>
      <c r="G570" t="str">
        <f>vlookup(B570,'imported-population-for-countri'!$A$4:$E$17930,5,false)</f>
        <v>#N/A</v>
      </c>
      <c r="H570" t="str">
        <f t="shared" si="2"/>
        <v>#N/A</v>
      </c>
      <c r="I570" t="str">
        <f t="shared" si="3"/>
        <v>Non-democratic</v>
      </c>
    </row>
    <row r="571">
      <c r="B571" t="str">
        <f t="shared" si="1"/>
        <v>#</v>
      </c>
      <c r="G571" t="str">
        <f>vlookup(B571,'imported-population-for-countri'!$A$4:$E$17930,5,false)</f>
        <v>#N/A</v>
      </c>
      <c r="H571" t="str">
        <f t="shared" si="2"/>
        <v>#N/A</v>
      </c>
      <c r="I571" t="str">
        <f t="shared" si="3"/>
        <v>Non-democratic</v>
      </c>
    </row>
    <row r="572">
      <c r="B572" t="str">
        <f t="shared" si="1"/>
        <v>#</v>
      </c>
      <c r="G572" t="str">
        <f>vlookup(B572,'imported-population-for-countri'!$A$4:$E$17930,5,false)</f>
        <v>#N/A</v>
      </c>
      <c r="H572" t="str">
        <f t="shared" si="2"/>
        <v>#N/A</v>
      </c>
      <c r="I572" t="str">
        <f t="shared" si="3"/>
        <v>Non-democratic</v>
      </c>
    </row>
    <row r="573">
      <c r="B573" t="str">
        <f t="shared" si="1"/>
        <v>#</v>
      </c>
      <c r="G573" t="str">
        <f>vlookup(B573,'imported-population-for-countri'!$A$4:$E$17930,5,false)</f>
        <v>#N/A</v>
      </c>
      <c r="H573" t="str">
        <f t="shared" si="2"/>
        <v>#N/A</v>
      </c>
      <c r="I573" t="str">
        <f t="shared" si="3"/>
        <v>Non-democratic</v>
      </c>
    </row>
    <row r="574">
      <c r="B574" t="str">
        <f t="shared" si="1"/>
        <v>#</v>
      </c>
      <c r="G574" t="str">
        <f>vlookup(B574,'imported-population-for-countri'!$A$4:$E$17930,5,false)</f>
        <v>#N/A</v>
      </c>
      <c r="H574" t="str">
        <f t="shared" si="2"/>
        <v>#N/A</v>
      </c>
      <c r="I574" t="str">
        <f t="shared" si="3"/>
        <v>Non-democratic</v>
      </c>
    </row>
    <row r="575">
      <c r="B575" t="str">
        <f t="shared" si="1"/>
        <v>#</v>
      </c>
      <c r="G575" t="str">
        <f>vlookup(B575,'imported-population-for-countri'!$A$4:$E$17930,5,false)</f>
        <v>#N/A</v>
      </c>
      <c r="H575" t="str">
        <f t="shared" si="2"/>
        <v>#N/A</v>
      </c>
      <c r="I575" t="str">
        <f t="shared" si="3"/>
        <v>Non-democratic</v>
      </c>
    </row>
    <row r="576">
      <c r="B576" t="str">
        <f t="shared" si="1"/>
        <v>#</v>
      </c>
      <c r="G576" t="str">
        <f>vlookup(B576,'imported-population-for-countri'!$A$4:$E$17930,5,false)</f>
        <v>#N/A</v>
      </c>
      <c r="H576" t="str">
        <f t="shared" si="2"/>
        <v>#N/A</v>
      </c>
      <c r="I576" t="str">
        <f t="shared" si="3"/>
        <v>Non-democratic</v>
      </c>
    </row>
    <row r="577">
      <c r="B577" t="str">
        <f t="shared" si="1"/>
        <v>#</v>
      </c>
      <c r="G577" t="str">
        <f>vlookup(B577,'imported-population-for-countri'!$A$4:$E$17930,5,false)</f>
        <v>#N/A</v>
      </c>
      <c r="H577" t="str">
        <f t="shared" si="2"/>
        <v>#N/A</v>
      </c>
      <c r="I577" t="str">
        <f t="shared" si="3"/>
        <v>Non-democratic</v>
      </c>
    </row>
    <row r="578">
      <c r="B578" t="str">
        <f t="shared" si="1"/>
        <v>#</v>
      </c>
      <c r="G578" t="str">
        <f>vlookup(B578,'imported-population-for-countri'!$A$4:$E$17930,5,false)</f>
        <v>#N/A</v>
      </c>
      <c r="H578" t="str">
        <f t="shared" si="2"/>
        <v>#N/A</v>
      </c>
      <c r="I578" t="str">
        <f t="shared" si="3"/>
        <v>Non-democratic</v>
      </c>
    </row>
    <row r="579">
      <c r="B579" t="str">
        <f t="shared" si="1"/>
        <v>#</v>
      </c>
      <c r="G579" t="str">
        <f>vlookup(B579,'imported-population-for-countri'!$A$4:$E$17930,5,false)</f>
        <v>#N/A</v>
      </c>
      <c r="H579" t="str">
        <f t="shared" si="2"/>
        <v>#N/A</v>
      </c>
      <c r="I579" t="str">
        <f t="shared" si="3"/>
        <v>Non-democratic</v>
      </c>
    </row>
    <row r="580">
      <c r="B580" t="str">
        <f t="shared" si="1"/>
        <v>#</v>
      </c>
      <c r="G580" t="str">
        <f>vlookup(B580,'imported-population-for-countri'!$A$4:$E$17930,5,false)</f>
        <v>#N/A</v>
      </c>
      <c r="H580" t="str">
        <f t="shared" si="2"/>
        <v>#N/A</v>
      </c>
      <c r="I580" t="str">
        <f t="shared" si="3"/>
        <v>Non-democratic</v>
      </c>
    </row>
    <row r="581">
      <c r="B581" t="str">
        <f t="shared" si="1"/>
        <v>#</v>
      </c>
      <c r="G581" t="str">
        <f>vlookup(B581,'imported-population-for-countri'!$A$4:$E$17930,5,false)</f>
        <v>#N/A</v>
      </c>
      <c r="H581" t="str">
        <f t="shared" si="2"/>
        <v>#N/A</v>
      </c>
      <c r="I581" t="str">
        <f t="shared" si="3"/>
        <v>Non-democratic</v>
      </c>
    </row>
    <row r="582">
      <c r="B582" t="str">
        <f t="shared" si="1"/>
        <v>#</v>
      </c>
      <c r="G582" t="str">
        <f>vlookup(B582,'imported-population-for-countri'!$A$4:$E$17930,5,false)</f>
        <v>#N/A</v>
      </c>
      <c r="H582" t="str">
        <f t="shared" si="2"/>
        <v>#N/A</v>
      </c>
      <c r="I582" t="str">
        <f t="shared" si="3"/>
        <v>Non-democratic</v>
      </c>
    </row>
    <row r="583">
      <c r="B583" t="str">
        <f t="shared" si="1"/>
        <v>#</v>
      </c>
      <c r="G583" t="str">
        <f>vlookup(B583,'imported-population-for-countri'!$A$4:$E$17930,5,false)</f>
        <v>#N/A</v>
      </c>
      <c r="H583" t="str">
        <f t="shared" si="2"/>
        <v>#N/A</v>
      </c>
      <c r="I583" t="str">
        <f t="shared" si="3"/>
        <v>Non-democratic</v>
      </c>
    </row>
    <row r="584">
      <c r="B584" t="str">
        <f t="shared" si="1"/>
        <v>#</v>
      </c>
      <c r="G584" t="str">
        <f>vlookup(B584,'imported-population-for-countri'!$A$4:$E$17930,5,false)</f>
        <v>#N/A</v>
      </c>
      <c r="H584" t="str">
        <f t="shared" si="2"/>
        <v>#N/A</v>
      </c>
      <c r="I584" t="str">
        <f t="shared" si="3"/>
        <v>Non-democratic</v>
      </c>
    </row>
    <row r="585">
      <c r="B585" t="str">
        <f t="shared" si="1"/>
        <v>#</v>
      </c>
      <c r="G585" t="str">
        <f>vlookup(B585,'imported-population-for-countri'!$A$4:$E$17930,5,false)</f>
        <v>#N/A</v>
      </c>
      <c r="H585" t="str">
        <f t="shared" si="2"/>
        <v>#N/A</v>
      </c>
      <c r="I585" t="str">
        <f t="shared" si="3"/>
        <v>Non-democratic</v>
      </c>
    </row>
    <row r="586">
      <c r="B586" t="str">
        <f t="shared" si="1"/>
        <v>#</v>
      </c>
      <c r="G586" t="str">
        <f>vlookup(B586,'imported-population-for-countri'!$A$4:$E$17930,5,false)</f>
        <v>#N/A</v>
      </c>
      <c r="H586" t="str">
        <f t="shared" si="2"/>
        <v>#N/A</v>
      </c>
      <c r="I586" t="str">
        <f t="shared" si="3"/>
        <v>Non-democratic</v>
      </c>
    </row>
    <row r="587">
      <c r="B587" t="str">
        <f t="shared" si="1"/>
        <v>#</v>
      </c>
      <c r="G587" t="str">
        <f>vlookup(B587,'imported-population-for-countri'!$A$4:$E$17930,5,false)</f>
        <v>#N/A</v>
      </c>
      <c r="H587" t="str">
        <f t="shared" si="2"/>
        <v>#N/A</v>
      </c>
      <c r="I587" t="str">
        <f t="shared" si="3"/>
        <v>Non-democratic</v>
      </c>
    </row>
    <row r="588">
      <c r="B588" t="str">
        <f t="shared" si="1"/>
        <v>#</v>
      </c>
      <c r="G588" t="str">
        <f>vlookup(B588,'imported-population-for-countri'!$A$4:$E$17930,5,false)</f>
        <v>#N/A</v>
      </c>
      <c r="H588" t="str">
        <f t="shared" si="2"/>
        <v>#N/A</v>
      </c>
      <c r="I588" t="str">
        <f t="shared" si="3"/>
        <v>Non-democratic</v>
      </c>
    </row>
    <row r="589">
      <c r="B589" t="str">
        <f t="shared" si="1"/>
        <v>#</v>
      </c>
      <c r="G589" t="str">
        <f>vlookup(B589,'imported-population-for-countri'!$A$4:$E$17930,5,false)</f>
        <v>#N/A</v>
      </c>
      <c r="H589" t="str">
        <f t="shared" si="2"/>
        <v>#N/A</v>
      </c>
      <c r="I589" t="str">
        <f t="shared" si="3"/>
        <v>Non-democratic</v>
      </c>
    </row>
    <row r="590">
      <c r="B590" t="str">
        <f t="shared" si="1"/>
        <v>#</v>
      </c>
      <c r="G590" t="str">
        <f>vlookup(B590,'imported-population-for-countri'!$A$4:$E$17930,5,false)</f>
        <v>#N/A</v>
      </c>
      <c r="H590" t="str">
        <f t="shared" si="2"/>
        <v>#N/A</v>
      </c>
      <c r="I590" t="str">
        <f t="shared" si="3"/>
        <v>Non-democratic</v>
      </c>
    </row>
    <row r="591">
      <c r="B591" t="str">
        <f t="shared" si="1"/>
        <v>#</v>
      </c>
      <c r="G591" t="str">
        <f>vlookup(B591,'imported-population-for-countri'!$A$4:$E$17930,5,false)</f>
        <v>#N/A</v>
      </c>
      <c r="H591" t="str">
        <f t="shared" si="2"/>
        <v>#N/A</v>
      </c>
      <c r="I591" t="str">
        <f t="shared" si="3"/>
        <v>Non-democratic</v>
      </c>
    </row>
    <row r="592">
      <c r="B592" t="str">
        <f t="shared" si="1"/>
        <v>#</v>
      </c>
      <c r="G592" t="str">
        <f>vlookup(B592,'imported-population-for-countri'!$A$4:$E$17930,5,false)</f>
        <v>#N/A</v>
      </c>
      <c r="H592" t="str">
        <f t="shared" si="2"/>
        <v>#N/A</v>
      </c>
      <c r="I592" t="str">
        <f t="shared" si="3"/>
        <v>Non-democratic</v>
      </c>
    </row>
    <row r="593">
      <c r="B593" t="str">
        <f t="shared" si="1"/>
        <v>#</v>
      </c>
      <c r="G593" t="str">
        <f>vlookup(B593,'imported-population-for-countri'!$A$4:$E$17930,5,false)</f>
        <v>#N/A</v>
      </c>
      <c r="H593" t="str">
        <f t="shared" si="2"/>
        <v>#N/A</v>
      </c>
      <c r="I593" t="str">
        <f t="shared" si="3"/>
        <v>Non-democratic</v>
      </c>
    </row>
    <row r="594">
      <c r="B594" t="str">
        <f t="shared" si="1"/>
        <v>#</v>
      </c>
      <c r="G594" t="str">
        <f>vlookup(B594,'imported-population-for-countri'!$A$4:$E$17930,5,false)</f>
        <v>#N/A</v>
      </c>
      <c r="H594" t="str">
        <f t="shared" si="2"/>
        <v>#N/A</v>
      </c>
      <c r="I594" t="str">
        <f t="shared" si="3"/>
        <v>Non-democratic</v>
      </c>
    </row>
    <row r="595">
      <c r="B595" t="str">
        <f t="shared" si="1"/>
        <v>#</v>
      </c>
      <c r="G595" t="str">
        <f>vlookup(B595,'imported-population-for-countri'!$A$4:$E$17930,5,false)</f>
        <v>#N/A</v>
      </c>
      <c r="H595" t="str">
        <f t="shared" si="2"/>
        <v>#N/A</v>
      </c>
      <c r="I595" t="str">
        <f t="shared" si="3"/>
        <v>Non-democratic</v>
      </c>
    </row>
    <row r="596">
      <c r="B596" t="str">
        <f t="shared" si="1"/>
        <v>#</v>
      </c>
      <c r="G596" t="str">
        <f>vlookup(B596,'imported-population-for-countri'!$A$4:$E$17930,5,false)</f>
        <v>#N/A</v>
      </c>
      <c r="H596" t="str">
        <f t="shared" si="2"/>
        <v>#N/A</v>
      </c>
      <c r="I596" t="str">
        <f t="shared" si="3"/>
        <v>Non-democratic</v>
      </c>
    </row>
    <row r="597">
      <c r="B597" t="str">
        <f t="shared" si="1"/>
        <v>#</v>
      </c>
      <c r="G597" t="str">
        <f>vlookup(B597,'imported-population-for-countri'!$A$4:$E$17930,5,false)</f>
        <v>#N/A</v>
      </c>
      <c r="H597" t="str">
        <f t="shared" si="2"/>
        <v>#N/A</v>
      </c>
      <c r="I597" t="str">
        <f t="shared" si="3"/>
        <v>Non-democratic</v>
      </c>
    </row>
    <row r="598">
      <c r="B598" t="str">
        <f t="shared" si="1"/>
        <v>#</v>
      </c>
      <c r="G598" t="str">
        <f>vlookup(B598,'imported-population-for-countri'!$A$4:$E$17930,5,false)</f>
        <v>#N/A</v>
      </c>
      <c r="H598" t="str">
        <f t="shared" si="2"/>
        <v>#N/A</v>
      </c>
      <c r="I598" t="str">
        <f t="shared" si="3"/>
        <v>Non-democratic</v>
      </c>
    </row>
    <row r="599">
      <c r="B599" t="str">
        <f t="shared" si="1"/>
        <v>#</v>
      </c>
      <c r="G599" t="str">
        <f>vlookup(B599,'imported-population-for-countri'!$A$4:$E$17930,5,false)</f>
        <v>#N/A</v>
      </c>
      <c r="H599" t="str">
        <f t="shared" si="2"/>
        <v>#N/A</v>
      </c>
      <c r="I599" t="str">
        <f t="shared" si="3"/>
        <v>Non-democratic</v>
      </c>
    </row>
    <row r="600">
      <c r="B600" t="str">
        <f t="shared" si="1"/>
        <v>#</v>
      </c>
      <c r="G600" t="str">
        <f>vlookup(B600,'imported-population-for-countri'!$A$4:$E$17930,5,false)</f>
        <v>#N/A</v>
      </c>
      <c r="H600" t="str">
        <f t="shared" si="2"/>
        <v>#N/A</v>
      </c>
      <c r="I600" t="str">
        <f t="shared" si="3"/>
        <v>Non-democratic</v>
      </c>
    </row>
    <row r="601">
      <c r="B601" t="str">
        <f t="shared" si="1"/>
        <v>#</v>
      </c>
      <c r="G601" t="str">
        <f>vlookup(B601,'imported-population-for-countri'!$A$4:$E$17930,5,false)</f>
        <v>#N/A</v>
      </c>
      <c r="H601" t="str">
        <f t="shared" si="2"/>
        <v>#N/A</v>
      </c>
      <c r="I601" t="str">
        <f t="shared" si="3"/>
        <v>Non-democratic</v>
      </c>
    </row>
    <row r="602">
      <c r="B602" t="str">
        <f t="shared" si="1"/>
        <v>#</v>
      </c>
      <c r="G602" t="str">
        <f>vlookup(B602,'imported-population-for-countri'!$A$4:$E$17930,5,false)</f>
        <v>#N/A</v>
      </c>
      <c r="H602" t="str">
        <f t="shared" si="2"/>
        <v>#N/A</v>
      </c>
      <c r="I602" t="str">
        <f t="shared" si="3"/>
        <v>Non-democratic</v>
      </c>
    </row>
    <row r="603">
      <c r="B603" t="str">
        <f t="shared" si="1"/>
        <v>#</v>
      </c>
      <c r="G603" t="str">
        <f>vlookup(B603,'imported-population-for-countri'!$A$4:$E$17930,5,false)</f>
        <v>#N/A</v>
      </c>
      <c r="H603" t="str">
        <f t="shared" si="2"/>
        <v>#N/A</v>
      </c>
      <c r="I603" t="str">
        <f t="shared" si="3"/>
        <v>Non-democratic</v>
      </c>
    </row>
    <row r="604">
      <c r="B604" t="str">
        <f t="shared" si="1"/>
        <v>#</v>
      </c>
      <c r="G604" t="str">
        <f>vlookup(B604,'imported-population-for-countri'!$A$4:$E$17930,5,false)</f>
        <v>#N/A</v>
      </c>
      <c r="H604" t="str">
        <f t="shared" si="2"/>
        <v>#N/A</v>
      </c>
      <c r="I604" t="str">
        <f t="shared" si="3"/>
        <v>Non-democratic</v>
      </c>
    </row>
    <row r="605">
      <c r="B605" t="str">
        <f t="shared" si="1"/>
        <v>#</v>
      </c>
      <c r="G605" t="str">
        <f>vlookup(B605,'imported-population-for-countri'!$A$4:$E$17930,5,false)</f>
        <v>#N/A</v>
      </c>
      <c r="H605" t="str">
        <f t="shared" si="2"/>
        <v>#N/A</v>
      </c>
      <c r="I605" t="str">
        <f t="shared" si="3"/>
        <v>Non-democratic</v>
      </c>
    </row>
    <row r="606">
      <c r="B606" t="str">
        <f t="shared" si="1"/>
        <v>#</v>
      </c>
      <c r="G606" t="str">
        <f>vlookup(B606,'imported-population-for-countri'!$A$4:$E$17930,5,false)</f>
        <v>#N/A</v>
      </c>
      <c r="H606" t="str">
        <f t="shared" si="2"/>
        <v>#N/A</v>
      </c>
      <c r="I606" t="str">
        <f t="shared" si="3"/>
        <v>Non-democratic</v>
      </c>
    </row>
    <row r="607">
      <c r="B607" t="str">
        <f t="shared" si="1"/>
        <v>#</v>
      </c>
      <c r="G607" t="str">
        <f>vlookup(B607,'imported-population-for-countri'!$A$4:$E$17930,5,false)</f>
        <v>#N/A</v>
      </c>
      <c r="H607" t="str">
        <f t="shared" si="2"/>
        <v>#N/A</v>
      </c>
      <c r="I607" t="str">
        <f t="shared" si="3"/>
        <v>Non-democratic</v>
      </c>
    </row>
    <row r="608">
      <c r="B608" t="str">
        <f t="shared" si="1"/>
        <v>#</v>
      </c>
      <c r="G608" t="str">
        <f>vlookup(B608,'imported-population-for-countri'!$A$4:$E$17930,5,false)</f>
        <v>#N/A</v>
      </c>
      <c r="H608" t="str">
        <f t="shared" si="2"/>
        <v>#N/A</v>
      </c>
      <c r="I608" t="str">
        <f t="shared" si="3"/>
        <v>Non-democratic</v>
      </c>
    </row>
    <row r="609">
      <c r="B609" t="str">
        <f t="shared" si="1"/>
        <v>#</v>
      </c>
      <c r="G609" t="str">
        <f>vlookup(B609,'imported-population-for-countri'!$A$4:$E$17930,5,false)</f>
        <v>#N/A</v>
      </c>
      <c r="H609" t="str">
        <f t="shared" si="2"/>
        <v>#N/A</v>
      </c>
      <c r="I609" t="str">
        <f t="shared" si="3"/>
        <v>Non-democratic</v>
      </c>
    </row>
    <row r="610">
      <c r="B610" t="str">
        <f t="shared" si="1"/>
        <v>#</v>
      </c>
      <c r="G610" t="str">
        <f>vlookup(B610,'imported-population-for-countri'!$A$4:$E$17930,5,false)</f>
        <v>#N/A</v>
      </c>
      <c r="H610" t="str">
        <f t="shared" si="2"/>
        <v>#N/A</v>
      </c>
      <c r="I610" t="str">
        <f t="shared" si="3"/>
        <v>Non-democratic</v>
      </c>
    </row>
    <row r="611">
      <c r="B611" t="str">
        <f t="shared" si="1"/>
        <v>#</v>
      </c>
      <c r="G611" t="str">
        <f>vlookup(B611,'imported-population-for-countri'!$A$4:$E$17930,5,false)</f>
        <v>#N/A</v>
      </c>
      <c r="H611" t="str">
        <f t="shared" si="2"/>
        <v>#N/A</v>
      </c>
      <c r="I611" t="str">
        <f t="shared" si="3"/>
        <v>Non-democratic</v>
      </c>
    </row>
    <row r="612">
      <c r="B612" t="str">
        <f t="shared" si="1"/>
        <v>#</v>
      </c>
      <c r="G612" t="str">
        <f>vlookup(B612,'imported-population-for-countri'!$A$4:$E$17930,5,false)</f>
        <v>#N/A</v>
      </c>
      <c r="H612" t="str">
        <f t="shared" si="2"/>
        <v>#N/A</v>
      </c>
      <c r="I612" t="str">
        <f t="shared" si="3"/>
        <v>Non-democratic</v>
      </c>
    </row>
    <row r="613">
      <c r="B613" t="str">
        <f t="shared" si="1"/>
        <v>#</v>
      </c>
      <c r="G613" t="str">
        <f>vlookup(B613,'imported-population-for-countri'!$A$4:$E$17930,5,false)</f>
        <v>#N/A</v>
      </c>
      <c r="H613" t="str">
        <f t="shared" si="2"/>
        <v>#N/A</v>
      </c>
      <c r="I613" t="str">
        <f t="shared" si="3"/>
        <v>Non-democratic</v>
      </c>
    </row>
    <row r="614">
      <c r="B614" t="str">
        <f t="shared" si="1"/>
        <v>#</v>
      </c>
      <c r="G614" t="str">
        <f>vlookup(B614,'imported-population-for-countri'!$A$4:$E$17930,5,false)</f>
        <v>#N/A</v>
      </c>
      <c r="H614" t="str">
        <f t="shared" si="2"/>
        <v>#N/A</v>
      </c>
      <c r="I614" t="str">
        <f t="shared" si="3"/>
        <v>Non-democratic</v>
      </c>
    </row>
    <row r="615">
      <c r="B615" t="str">
        <f t="shared" si="1"/>
        <v>#</v>
      </c>
      <c r="G615" t="str">
        <f>vlookup(B615,'imported-population-for-countri'!$A$4:$E$17930,5,false)</f>
        <v>#N/A</v>
      </c>
      <c r="H615" t="str">
        <f t="shared" si="2"/>
        <v>#N/A</v>
      </c>
      <c r="I615" t="str">
        <f t="shared" si="3"/>
        <v>Non-democratic</v>
      </c>
    </row>
    <row r="616">
      <c r="B616" t="str">
        <f t="shared" si="1"/>
        <v>#</v>
      </c>
      <c r="G616" t="str">
        <f>vlookup(B616,'imported-population-for-countri'!$A$4:$E$17930,5,false)</f>
        <v>#N/A</v>
      </c>
      <c r="H616" t="str">
        <f t="shared" si="2"/>
        <v>#N/A</v>
      </c>
      <c r="I616" t="str">
        <f t="shared" si="3"/>
        <v>Non-democratic</v>
      </c>
    </row>
    <row r="617">
      <c r="B617" t="str">
        <f t="shared" si="1"/>
        <v>#</v>
      </c>
      <c r="G617" t="str">
        <f>vlookup(B617,'imported-population-for-countri'!$A$4:$E$17930,5,false)</f>
        <v>#N/A</v>
      </c>
      <c r="H617" t="str">
        <f t="shared" si="2"/>
        <v>#N/A</v>
      </c>
      <c r="I617" t="str">
        <f t="shared" si="3"/>
        <v>Non-democratic</v>
      </c>
    </row>
    <row r="618">
      <c r="B618" t="str">
        <f t="shared" si="1"/>
        <v>#</v>
      </c>
      <c r="G618" t="str">
        <f>vlookup(B618,'imported-population-for-countri'!$A$4:$E$17930,5,false)</f>
        <v>#N/A</v>
      </c>
      <c r="H618" t="str">
        <f t="shared" si="2"/>
        <v>#N/A</v>
      </c>
      <c r="I618" t="str">
        <f t="shared" si="3"/>
        <v>Non-democratic</v>
      </c>
    </row>
    <row r="619">
      <c r="B619" t="str">
        <f t="shared" si="1"/>
        <v>#</v>
      </c>
      <c r="G619" t="str">
        <f>vlookup(B619,'imported-population-for-countri'!$A$4:$E$17930,5,false)</f>
        <v>#N/A</v>
      </c>
      <c r="H619" t="str">
        <f t="shared" si="2"/>
        <v>#N/A</v>
      </c>
      <c r="I619" t="str">
        <f t="shared" si="3"/>
        <v>Non-democratic</v>
      </c>
    </row>
    <row r="620">
      <c r="B620" t="str">
        <f t="shared" si="1"/>
        <v>#</v>
      </c>
      <c r="G620" t="str">
        <f>vlookup(B620,'imported-population-for-countri'!$A$4:$E$17930,5,false)</f>
        <v>#N/A</v>
      </c>
      <c r="H620" t="str">
        <f t="shared" si="2"/>
        <v>#N/A</v>
      </c>
      <c r="I620" t="str">
        <f t="shared" si="3"/>
        <v>Non-democratic</v>
      </c>
    </row>
    <row r="621">
      <c r="B621" t="str">
        <f t="shared" si="1"/>
        <v>#</v>
      </c>
      <c r="G621" t="str">
        <f>vlookup(B621,'imported-population-for-countri'!$A$4:$E$17930,5,false)</f>
        <v>#N/A</v>
      </c>
      <c r="H621" t="str">
        <f t="shared" si="2"/>
        <v>#N/A</v>
      </c>
      <c r="I621" t="str">
        <f t="shared" si="3"/>
        <v>Non-democratic</v>
      </c>
    </row>
    <row r="622">
      <c r="B622" t="str">
        <f t="shared" si="1"/>
        <v>#</v>
      </c>
      <c r="G622" t="str">
        <f>vlookup(B622,'imported-population-for-countri'!$A$4:$E$17930,5,false)</f>
        <v>#N/A</v>
      </c>
      <c r="H622" t="str">
        <f t="shared" si="2"/>
        <v>#N/A</v>
      </c>
      <c r="I622" t="str">
        <f t="shared" si="3"/>
        <v>Non-democratic</v>
      </c>
    </row>
    <row r="623">
      <c r="B623" t="str">
        <f t="shared" si="1"/>
        <v>#</v>
      </c>
      <c r="G623" t="str">
        <f>vlookup(B623,'imported-population-for-countri'!$A$4:$E$17930,5,false)</f>
        <v>#N/A</v>
      </c>
      <c r="H623" t="str">
        <f t="shared" si="2"/>
        <v>#N/A</v>
      </c>
      <c r="I623" t="str">
        <f t="shared" si="3"/>
        <v>Non-democratic</v>
      </c>
    </row>
    <row r="624">
      <c r="B624" t="str">
        <f t="shared" si="1"/>
        <v>#</v>
      </c>
      <c r="G624" t="str">
        <f>vlookup(B624,'imported-population-for-countri'!$A$4:$E$17930,5,false)</f>
        <v>#N/A</v>
      </c>
      <c r="H624" t="str">
        <f t="shared" si="2"/>
        <v>#N/A</v>
      </c>
      <c r="I624" t="str">
        <f t="shared" si="3"/>
        <v>Non-democratic</v>
      </c>
    </row>
    <row r="625">
      <c r="B625" t="str">
        <f t="shared" si="1"/>
        <v>#</v>
      </c>
      <c r="G625" t="str">
        <f>vlookup(B625,'imported-population-for-countri'!$A$4:$E$17930,5,false)</f>
        <v>#N/A</v>
      </c>
      <c r="H625" t="str">
        <f t="shared" si="2"/>
        <v>#N/A</v>
      </c>
      <c r="I625" t="str">
        <f t="shared" si="3"/>
        <v>Non-democratic</v>
      </c>
    </row>
    <row r="626">
      <c r="B626" t="str">
        <f t="shared" si="1"/>
        <v>#</v>
      </c>
      <c r="G626" t="str">
        <f>vlookup(B626,'imported-population-for-countri'!$A$4:$E$17930,5,false)</f>
        <v>#N/A</v>
      </c>
      <c r="H626" t="str">
        <f t="shared" si="2"/>
        <v>#N/A</v>
      </c>
      <c r="I626" t="str">
        <f t="shared" si="3"/>
        <v>Non-democratic</v>
      </c>
    </row>
    <row r="627">
      <c r="B627" t="str">
        <f t="shared" si="1"/>
        <v>#</v>
      </c>
      <c r="G627" t="str">
        <f>vlookup(B627,'imported-population-for-countri'!$A$4:$E$17930,5,false)</f>
        <v>#N/A</v>
      </c>
      <c r="H627" t="str">
        <f t="shared" si="2"/>
        <v>#N/A</v>
      </c>
      <c r="I627" t="str">
        <f t="shared" si="3"/>
        <v>Non-democratic</v>
      </c>
    </row>
    <row r="628">
      <c r="B628" t="str">
        <f t="shared" si="1"/>
        <v>#</v>
      </c>
      <c r="G628" t="str">
        <f>vlookup(B628,'imported-population-for-countri'!$A$4:$E$17930,5,false)</f>
        <v>#N/A</v>
      </c>
      <c r="H628" t="str">
        <f t="shared" si="2"/>
        <v>#N/A</v>
      </c>
      <c r="I628" t="str">
        <f t="shared" si="3"/>
        <v>Non-democratic</v>
      </c>
    </row>
    <row r="629">
      <c r="B629" t="str">
        <f t="shared" si="1"/>
        <v>#</v>
      </c>
      <c r="G629" t="str">
        <f>vlookup(B629,'imported-population-for-countri'!$A$4:$E$17930,5,false)</f>
        <v>#N/A</v>
      </c>
      <c r="H629" t="str">
        <f t="shared" si="2"/>
        <v>#N/A</v>
      </c>
      <c r="I629" t="str">
        <f t="shared" si="3"/>
        <v>Non-democratic</v>
      </c>
    </row>
    <row r="630">
      <c r="B630" t="str">
        <f t="shared" si="1"/>
        <v>#</v>
      </c>
      <c r="G630" t="str">
        <f>vlookup(B630,'imported-population-for-countri'!$A$4:$E$17930,5,false)</f>
        <v>#N/A</v>
      </c>
      <c r="H630" t="str">
        <f t="shared" si="2"/>
        <v>#N/A</v>
      </c>
      <c r="I630" t="str">
        <f t="shared" si="3"/>
        <v>Non-democratic</v>
      </c>
    </row>
    <row r="631">
      <c r="B631" t="str">
        <f t="shared" si="1"/>
        <v>#</v>
      </c>
      <c r="G631" t="str">
        <f>vlookup(B631,'imported-population-for-countri'!$A$4:$E$17930,5,false)</f>
        <v>#N/A</v>
      </c>
      <c r="H631" t="str">
        <f t="shared" si="2"/>
        <v>#N/A</v>
      </c>
      <c r="I631" t="str">
        <f t="shared" si="3"/>
        <v>Non-democratic</v>
      </c>
    </row>
    <row r="632">
      <c r="B632" t="str">
        <f t="shared" si="1"/>
        <v>#</v>
      </c>
      <c r="G632" t="str">
        <f>vlookup(B632,'imported-population-for-countri'!$A$4:$E$17930,5,false)</f>
        <v>#N/A</v>
      </c>
      <c r="H632" t="str">
        <f t="shared" si="2"/>
        <v>#N/A</v>
      </c>
      <c r="I632" t="str">
        <f t="shared" si="3"/>
        <v>Non-democratic</v>
      </c>
    </row>
    <row r="633">
      <c r="B633" t="str">
        <f t="shared" si="1"/>
        <v>#</v>
      </c>
      <c r="G633" t="str">
        <f>vlookup(B633,'imported-population-for-countri'!$A$4:$E$17930,5,false)</f>
        <v>#N/A</v>
      </c>
      <c r="H633" t="str">
        <f t="shared" si="2"/>
        <v>#N/A</v>
      </c>
      <c r="I633" t="str">
        <f t="shared" si="3"/>
        <v>Non-democratic</v>
      </c>
    </row>
    <row r="634">
      <c r="B634" t="str">
        <f t="shared" si="1"/>
        <v>#</v>
      </c>
      <c r="G634" t="str">
        <f>vlookup(B634,'imported-population-for-countri'!$A$4:$E$17930,5,false)</f>
        <v>#N/A</v>
      </c>
      <c r="H634" t="str">
        <f t="shared" si="2"/>
        <v>#N/A</v>
      </c>
      <c r="I634" t="str">
        <f t="shared" si="3"/>
        <v>Non-democratic</v>
      </c>
    </row>
    <row r="635">
      <c r="B635" t="str">
        <f t="shared" si="1"/>
        <v>#</v>
      </c>
      <c r="G635" t="str">
        <f>vlookup(B635,'imported-population-for-countri'!$A$4:$E$17930,5,false)</f>
        <v>#N/A</v>
      </c>
      <c r="H635" t="str">
        <f t="shared" si="2"/>
        <v>#N/A</v>
      </c>
      <c r="I635" t="str">
        <f t="shared" si="3"/>
        <v>Non-democratic</v>
      </c>
    </row>
    <row r="636">
      <c r="B636" t="str">
        <f t="shared" si="1"/>
        <v>#</v>
      </c>
      <c r="G636" t="str">
        <f>vlookup(B636,'imported-population-for-countri'!$A$4:$E$17930,5,false)</f>
        <v>#N/A</v>
      </c>
      <c r="H636" t="str">
        <f t="shared" si="2"/>
        <v>#N/A</v>
      </c>
      <c r="I636" t="str">
        <f t="shared" si="3"/>
        <v>Non-democratic</v>
      </c>
    </row>
    <row r="637">
      <c r="B637" t="str">
        <f t="shared" si="1"/>
        <v>#</v>
      </c>
      <c r="G637" t="str">
        <f>vlookup(B637,'imported-population-for-countri'!$A$4:$E$17930,5,false)</f>
        <v>#N/A</v>
      </c>
      <c r="H637" t="str">
        <f t="shared" si="2"/>
        <v>#N/A</v>
      </c>
      <c r="I637" t="str">
        <f t="shared" si="3"/>
        <v>Non-democratic</v>
      </c>
    </row>
    <row r="638">
      <c r="B638" t="str">
        <f t="shared" si="1"/>
        <v>#</v>
      </c>
      <c r="G638" t="str">
        <f>vlookup(B638,'imported-population-for-countri'!$A$4:$E$17930,5,false)</f>
        <v>#N/A</v>
      </c>
      <c r="H638" t="str">
        <f t="shared" si="2"/>
        <v>#N/A</v>
      </c>
      <c r="I638" t="str">
        <f t="shared" si="3"/>
        <v>Non-democratic</v>
      </c>
    </row>
    <row r="639">
      <c r="B639" t="str">
        <f t="shared" si="1"/>
        <v>#</v>
      </c>
      <c r="G639" t="str">
        <f>vlookup(B639,'imported-population-for-countri'!$A$4:$E$17930,5,false)</f>
        <v>#N/A</v>
      </c>
      <c r="H639" t="str">
        <f t="shared" si="2"/>
        <v>#N/A</v>
      </c>
      <c r="I639" t="str">
        <f t="shared" si="3"/>
        <v>Non-democratic</v>
      </c>
    </row>
    <row r="640">
      <c r="B640" t="str">
        <f t="shared" si="1"/>
        <v>#</v>
      </c>
      <c r="G640" t="str">
        <f>vlookup(B640,'imported-population-for-countri'!$A$4:$E$17930,5,false)</f>
        <v>#N/A</v>
      </c>
      <c r="H640" t="str">
        <f t="shared" si="2"/>
        <v>#N/A</v>
      </c>
      <c r="I640" t="str">
        <f t="shared" si="3"/>
        <v>Non-democratic</v>
      </c>
    </row>
    <row r="641">
      <c r="B641" t="str">
        <f t="shared" si="1"/>
        <v>#</v>
      </c>
      <c r="G641" t="str">
        <f>vlookup(B641,'imported-population-for-countri'!$A$4:$E$17930,5,false)</f>
        <v>#N/A</v>
      </c>
      <c r="H641" t="str">
        <f t="shared" si="2"/>
        <v>#N/A</v>
      </c>
      <c r="I641" t="str">
        <f t="shared" si="3"/>
        <v>Non-democratic</v>
      </c>
    </row>
    <row r="642">
      <c r="B642" t="str">
        <f t="shared" si="1"/>
        <v>#</v>
      </c>
      <c r="G642" t="str">
        <f>vlookup(B642,'imported-population-for-countri'!$A$4:$E$17930,5,false)</f>
        <v>#N/A</v>
      </c>
      <c r="H642" t="str">
        <f t="shared" si="2"/>
        <v>#N/A</v>
      </c>
      <c r="I642" t="str">
        <f t="shared" si="3"/>
        <v>Non-democratic</v>
      </c>
    </row>
    <row r="643">
      <c r="B643" t="str">
        <f t="shared" si="1"/>
        <v>#</v>
      </c>
      <c r="G643" t="str">
        <f>vlookup(B643,'imported-population-for-countri'!$A$4:$E$17930,5,false)</f>
        <v>#N/A</v>
      </c>
      <c r="H643" t="str">
        <f t="shared" si="2"/>
        <v>#N/A</v>
      </c>
      <c r="I643" t="str">
        <f t="shared" si="3"/>
        <v>Non-democratic</v>
      </c>
    </row>
    <row r="644">
      <c r="B644" t="str">
        <f t="shared" si="1"/>
        <v>#</v>
      </c>
      <c r="G644" t="str">
        <f>vlookup(B644,'imported-population-for-countri'!$A$4:$E$17930,5,false)</f>
        <v>#N/A</v>
      </c>
      <c r="H644" t="str">
        <f t="shared" si="2"/>
        <v>#N/A</v>
      </c>
      <c r="I644" t="str">
        <f t="shared" si="3"/>
        <v>Non-democratic</v>
      </c>
    </row>
    <row r="645">
      <c r="B645" t="str">
        <f t="shared" si="1"/>
        <v>#</v>
      </c>
      <c r="G645" t="str">
        <f>vlookup(B645,'imported-population-for-countri'!$A$4:$E$17930,5,false)</f>
        <v>#N/A</v>
      </c>
      <c r="H645" t="str">
        <f t="shared" si="2"/>
        <v>#N/A</v>
      </c>
      <c r="I645" t="str">
        <f t="shared" si="3"/>
        <v>Non-democratic</v>
      </c>
    </row>
    <row r="646">
      <c r="B646" t="str">
        <f t="shared" si="1"/>
        <v>#</v>
      </c>
      <c r="G646" t="str">
        <f>vlookup(B646,'imported-population-for-countri'!$A$4:$E$17930,5,false)</f>
        <v>#N/A</v>
      </c>
      <c r="H646" t="str">
        <f t="shared" si="2"/>
        <v>#N/A</v>
      </c>
      <c r="I646" t="str">
        <f t="shared" si="3"/>
        <v>Non-democratic</v>
      </c>
    </row>
    <row r="647">
      <c r="B647" t="str">
        <f t="shared" si="1"/>
        <v>#</v>
      </c>
      <c r="G647" t="str">
        <f>vlookup(B647,'imported-population-for-countri'!$A$4:$E$17930,5,false)</f>
        <v>#N/A</v>
      </c>
      <c r="H647" t="str">
        <f t="shared" si="2"/>
        <v>#N/A</v>
      </c>
      <c r="I647" t="str">
        <f t="shared" si="3"/>
        <v>Non-democratic</v>
      </c>
    </row>
    <row r="648">
      <c r="B648" t="str">
        <f t="shared" si="1"/>
        <v>#</v>
      </c>
      <c r="G648" t="str">
        <f>vlookup(B648,'imported-population-for-countri'!$A$4:$E$17930,5,false)</f>
        <v>#N/A</v>
      </c>
      <c r="H648" t="str">
        <f t="shared" si="2"/>
        <v>#N/A</v>
      </c>
      <c r="I648" t="str">
        <f t="shared" si="3"/>
        <v>Non-democratic</v>
      </c>
    </row>
    <row r="649">
      <c r="B649" t="str">
        <f t="shared" si="1"/>
        <v>#</v>
      </c>
      <c r="G649" t="str">
        <f>vlookup(B649,'imported-population-for-countri'!$A$4:$E$17930,5,false)</f>
        <v>#N/A</v>
      </c>
      <c r="H649" t="str">
        <f t="shared" si="2"/>
        <v>#N/A</v>
      </c>
      <c r="I649" t="str">
        <f t="shared" si="3"/>
        <v>Non-democratic</v>
      </c>
    </row>
    <row r="650">
      <c r="B650" t="str">
        <f t="shared" si="1"/>
        <v>#</v>
      </c>
      <c r="G650" t="str">
        <f>vlookup(B650,'imported-population-for-countri'!$A$4:$E$17930,5,false)</f>
        <v>#N/A</v>
      </c>
      <c r="H650" t="str">
        <f t="shared" si="2"/>
        <v>#N/A</v>
      </c>
      <c r="I650" t="str">
        <f t="shared" si="3"/>
        <v>Non-democratic</v>
      </c>
    </row>
    <row r="651">
      <c r="B651" t="str">
        <f t="shared" si="1"/>
        <v>#</v>
      </c>
      <c r="G651" t="str">
        <f>vlookup(B651,'imported-population-for-countri'!$A$4:$E$17930,5,false)</f>
        <v>#N/A</v>
      </c>
      <c r="H651" t="str">
        <f t="shared" si="2"/>
        <v>#N/A</v>
      </c>
      <c r="I651" t="str">
        <f t="shared" si="3"/>
        <v>Non-democratic</v>
      </c>
    </row>
    <row r="652">
      <c r="B652" t="str">
        <f t="shared" si="1"/>
        <v>#</v>
      </c>
      <c r="G652" t="str">
        <f>vlookup(B652,'imported-population-for-countri'!$A$4:$E$17930,5,false)</f>
        <v>#N/A</v>
      </c>
      <c r="H652" t="str">
        <f t="shared" si="2"/>
        <v>#N/A</v>
      </c>
      <c r="I652" t="str">
        <f t="shared" si="3"/>
        <v>Non-democratic</v>
      </c>
    </row>
    <row r="653">
      <c r="B653" t="str">
        <f t="shared" si="1"/>
        <v>#</v>
      </c>
      <c r="G653" t="str">
        <f>vlookup(B653,'imported-population-for-countri'!$A$4:$E$17930,5,false)</f>
        <v>#N/A</v>
      </c>
      <c r="H653" t="str">
        <f t="shared" si="2"/>
        <v>#N/A</v>
      </c>
      <c r="I653" t="str">
        <f t="shared" si="3"/>
        <v>Non-democratic</v>
      </c>
    </row>
    <row r="654">
      <c r="B654" t="str">
        <f t="shared" si="1"/>
        <v>#</v>
      </c>
      <c r="G654" t="str">
        <f>vlookup(B654,'imported-population-for-countri'!$A$4:$E$17930,5,false)</f>
        <v>#N/A</v>
      </c>
      <c r="H654" t="str">
        <f t="shared" si="2"/>
        <v>#N/A</v>
      </c>
      <c r="I654" t="str">
        <f t="shared" si="3"/>
        <v>Non-democratic</v>
      </c>
    </row>
    <row r="655">
      <c r="B655" t="str">
        <f t="shared" si="1"/>
        <v>#</v>
      </c>
      <c r="G655" t="str">
        <f>vlookup(B655,'imported-population-for-countri'!$A$4:$E$17930,5,false)</f>
        <v>#N/A</v>
      </c>
      <c r="H655" t="str">
        <f t="shared" si="2"/>
        <v>#N/A</v>
      </c>
      <c r="I655" t="str">
        <f t="shared" si="3"/>
        <v>Non-democratic</v>
      </c>
    </row>
    <row r="656">
      <c r="B656" t="str">
        <f t="shared" si="1"/>
        <v>#</v>
      </c>
      <c r="G656" t="str">
        <f>vlookup(B656,'imported-population-for-countri'!$A$4:$E$17930,5,false)</f>
        <v>#N/A</v>
      </c>
      <c r="H656" t="str">
        <f t="shared" si="2"/>
        <v>#N/A</v>
      </c>
      <c r="I656" t="str">
        <f t="shared" si="3"/>
        <v>Non-democratic</v>
      </c>
    </row>
    <row r="657">
      <c r="B657" t="str">
        <f t="shared" si="1"/>
        <v>#</v>
      </c>
      <c r="G657" t="str">
        <f>vlookup(B657,'imported-population-for-countri'!$A$4:$E$17930,5,false)</f>
        <v>#N/A</v>
      </c>
      <c r="H657" t="str">
        <f t="shared" si="2"/>
        <v>#N/A</v>
      </c>
      <c r="I657" t="str">
        <f t="shared" si="3"/>
        <v>Non-democratic</v>
      </c>
    </row>
    <row r="658">
      <c r="B658" t="str">
        <f t="shared" si="1"/>
        <v>#</v>
      </c>
      <c r="G658" t="str">
        <f>vlookup(B658,'imported-population-for-countri'!$A$4:$E$17930,5,false)</f>
        <v>#N/A</v>
      </c>
      <c r="H658" t="str">
        <f t="shared" si="2"/>
        <v>#N/A</v>
      </c>
      <c r="I658" t="str">
        <f t="shared" si="3"/>
        <v>Non-democratic</v>
      </c>
    </row>
    <row r="659">
      <c r="B659" t="str">
        <f t="shared" si="1"/>
        <v>#</v>
      </c>
      <c r="G659" t="str">
        <f>vlookup(B659,'imported-population-for-countri'!$A$4:$E$17930,5,false)</f>
        <v>#N/A</v>
      </c>
      <c r="H659" t="str">
        <f t="shared" si="2"/>
        <v>#N/A</v>
      </c>
      <c r="I659" t="str">
        <f t="shared" si="3"/>
        <v>Non-democratic</v>
      </c>
    </row>
    <row r="660">
      <c r="B660" t="str">
        <f t="shared" si="1"/>
        <v>#</v>
      </c>
      <c r="G660" t="str">
        <f>vlookup(B660,'imported-population-for-countri'!$A$4:$E$17930,5,false)</f>
        <v>#N/A</v>
      </c>
      <c r="H660" t="str">
        <f t="shared" si="2"/>
        <v>#N/A</v>
      </c>
      <c r="I660" t="str">
        <f t="shared" si="3"/>
        <v>Non-democratic</v>
      </c>
    </row>
    <row r="661">
      <c r="B661" t="str">
        <f t="shared" si="1"/>
        <v>#</v>
      </c>
      <c r="G661" t="str">
        <f>vlookup(B661,'imported-population-for-countri'!$A$4:$E$17930,5,false)</f>
        <v>#N/A</v>
      </c>
      <c r="H661" t="str">
        <f t="shared" si="2"/>
        <v>#N/A</v>
      </c>
      <c r="I661" t="str">
        <f t="shared" si="3"/>
        <v>Non-democratic</v>
      </c>
    </row>
    <row r="662">
      <c r="B662" t="str">
        <f t="shared" si="1"/>
        <v>#</v>
      </c>
      <c r="G662" t="str">
        <f>vlookup(B662,'imported-population-for-countri'!$A$4:$E$17930,5,false)</f>
        <v>#N/A</v>
      </c>
      <c r="H662" t="str">
        <f t="shared" si="2"/>
        <v>#N/A</v>
      </c>
      <c r="I662" t="str">
        <f t="shared" si="3"/>
        <v>Non-democratic</v>
      </c>
    </row>
    <row r="663">
      <c r="B663" t="str">
        <f t="shared" si="1"/>
        <v>#</v>
      </c>
      <c r="G663" t="str">
        <f>vlookup(B663,'imported-population-for-countri'!$A$4:$E$17930,5,false)</f>
        <v>#N/A</v>
      </c>
      <c r="H663" t="str">
        <f t="shared" si="2"/>
        <v>#N/A</v>
      </c>
      <c r="I663" t="str">
        <f t="shared" si="3"/>
        <v>Non-democratic</v>
      </c>
    </row>
    <row r="664">
      <c r="B664" t="str">
        <f t="shared" si="1"/>
        <v>#</v>
      </c>
      <c r="G664" t="str">
        <f>vlookup(B664,'imported-population-for-countri'!$A$4:$E$17930,5,false)</f>
        <v>#N/A</v>
      </c>
      <c r="H664" t="str">
        <f t="shared" si="2"/>
        <v>#N/A</v>
      </c>
      <c r="I664" t="str">
        <f t="shared" si="3"/>
        <v>Non-democratic</v>
      </c>
    </row>
    <row r="665">
      <c r="B665" t="str">
        <f t="shared" si="1"/>
        <v>#</v>
      </c>
      <c r="G665" t="str">
        <f>vlookup(B665,'imported-population-for-countri'!$A$4:$E$17930,5,false)</f>
        <v>#N/A</v>
      </c>
      <c r="H665" t="str">
        <f t="shared" si="2"/>
        <v>#N/A</v>
      </c>
      <c r="I665" t="str">
        <f t="shared" si="3"/>
        <v>Non-democratic</v>
      </c>
    </row>
    <row r="666">
      <c r="B666" t="str">
        <f t="shared" si="1"/>
        <v>#</v>
      </c>
      <c r="G666" t="str">
        <f>vlookup(B666,'imported-population-for-countri'!$A$4:$E$17930,5,false)</f>
        <v>#N/A</v>
      </c>
      <c r="H666" t="str">
        <f t="shared" si="2"/>
        <v>#N/A</v>
      </c>
      <c r="I666" t="str">
        <f t="shared" si="3"/>
        <v>Non-democratic</v>
      </c>
    </row>
    <row r="667">
      <c r="B667" t="str">
        <f t="shared" si="1"/>
        <v>#</v>
      </c>
      <c r="G667" t="str">
        <f>vlookup(B667,'imported-population-for-countri'!$A$4:$E$17930,5,false)</f>
        <v>#N/A</v>
      </c>
      <c r="H667" t="str">
        <f t="shared" si="2"/>
        <v>#N/A</v>
      </c>
      <c r="I667" t="str">
        <f t="shared" si="3"/>
        <v>Non-democratic</v>
      </c>
    </row>
    <row r="668">
      <c r="B668" t="str">
        <f t="shared" si="1"/>
        <v>#</v>
      </c>
      <c r="G668" t="str">
        <f>vlookup(B668,'imported-population-for-countri'!$A$4:$E$17930,5,false)</f>
        <v>#N/A</v>
      </c>
      <c r="H668" t="str">
        <f t="shared" si="2"/>
        <v>#N/A</v>
      </c>
      <c r="I668" t="str">
        <f t="shared" si="3"/>
        <v>Non-democratic</v>
      </c>
    </row>
    <row r="669">
      <c r="B669" t="str">
        <f t="shared" si="1"/>
        <v>#</v>
      </c>
      <c r="G669" t="str">
        <f>vlookup(B669,'imported-population-for-countri'!$A$4:$E$17930,5,false)</f>
        <v>#N/A</v>
      </c>
      <c r="H669" t="str">
        <f t="shared" si="2"/>
        <v>#N/A</v>
      </c>
      <c r="I669" t="str">
        <f t="shared" si="3"/>
        <v>Non-democratic</v>
      </c>
    </row>
    <row r="670">
      <c r="B670" t="str">
        <f t="shared" si="1"/>
        <v>#</v>
      </c>
      <c r="G670" t="str">
        <f>vlookup(B670,'imported-population-for-countri'!$A$4:$E$17930,5,false)</f>
        <v>#N/A</v>
      </c>
      <c r="H670" t="str">
        <f t="shared" si="2"/>
        <v>#N/A</v>
      </c>
      <c r="I670" t="str">
        <f t="shared" si="3"/>
        <v>Non-democratic</v>
      </c>
    </row>
    <row r="671">
      <c r="B671" t="str">
        <f t="shared" si="1"/>
        <v>#</v>
      </c>
      <c r="G671" t="str">
        <f>vlookup(B671,'imported-population-for-countri'!$A$4:$E$17930,5,false)</f>
        <v>#N/A</v>
      </c>
      <c r="H671" t="str">
        <f t="shared" si="2"/>
        <v>#N/A</v>
      </c>
      <c r="I671" t="str">
        <f t="shared" si="3"/>
        <v>Non-democratic</v>
      </c>
    </row>
    <row r="672">
      <c r="B672" t="str">
        <f t="shared" si="1"/>
        <v>#</v>
      </c>
      <c r="G672" t="str">
        <f>vlookup(B672,'imported-population-for-countri'!$A$4:$E$17930,5,false)</f>
        <v>#N/A</v>
      </c>
      <c r="H672" t="str">
        <f t="shared" si="2"/>
        <v>#N/A</v>
      </c>
      <c r="I672" t="str">
        <f t="shared" si="3"/>
        <v>Non-democratic</v>
      </c>
    </row>
    <row r="673">
      <c r="B673" t="str">
        <f t="shared" si="1"/>
        <v>#</v>
      </c>
      <c r="G673" t="str">
        <f>vlookup(B673,'imported-population-for-countri'!$A$4:$E$17930,5,false)</f>
        <v>#N/A</v>
      </c>
      <c r="H673" t="str">
        <f t="shared" si="2"/>
        <v>#N/A</v>
      </c>
      <c r="I673" t="str">
        <f t="shared" si="3"/>
        <v>Non-democratic</v>
      </c>
    </row>
    <row r="674">
      <c r="B674" t="str">
        <f t="shared" si="1"/>
        <v>#</v>
      </c>
      <c r="G674" t="str">
        <f>vlookup(B674,'imported-population-for-countri'!$A$4:$E$17930,5,false)</f>
        <v>#N/A</v>
      </c>
      <c r="H674" t="str">
        <f t="shared" si="2"/>
        <v>#N/A</v>
      </c>
      <c r="I674" t="str">
        <f t="shared" si="3"/>
        <v>Non-democratic</v>
      </c>
    </row>
    <row r="675">
      <c r="B675" t="str">
        <f t="shared" si="1"/>
        <v>#</v>
      </c>
      <c r="G675" t="str">
        <f>vlookup(B675,'imported-population-for-countri'!$A$4:$E$17930,5,false)</f>
        <v>#N/A</v>
      </c>
      <c r="H675" t="str">
        <f t="shared" si="2"/>
        <v>#N/A</v>
      </c>
      <c r="I675" t="str">
        <f t="shared" si="3"/>
        <v>Non-democratic</v>
      </c>
    </row>
    <row r="676">
      <c r="B676" t="str">
        <f t="shared" si="1"/>
        <v>#</v>
      </c>
      <c r="G676" t="str">
        <f>vlookup(B676,'imported-population-for-countri'!$A$4:$E$17930,5,false)</f>
        <v>#N/A</v>
      </c>
      <c r="H676" t="str">
        <f t="shared" si="2"/>
        <v>#N/A</v>
      </c>
      <c r="I676" t="str">
        <f t="shared" si="3"/>
        <v>Non-democratic</v>
      </c>
    </row>
    <row r="677">
      <c r="B677" t="str">
        <f t="shared" si="1"/>
        <v>#</v>
      </c>
      <c r="G677" t="str">
        <f>vlookup(B677,'imported-population-for-countri'!$A$4:$E$17930,5,false)</f>
        <v>#N/A</v>
      </c>
      <c r="H677" t="str">
        <f t="shared" si="2"/>
        <v>#N/A</v>
      </c>
      <c r="I677" t="str">
        <f t="shared" si="3"/>
        <v>Non-democratic</v>
      </c>
    </row>
    <row r="678">
      <c r="B678" t="str">
        <f t="shared" si="1"/>
        <v>#</v>
      </c>
      <c r="G678" t="str">
        <f>vlookup(B678,'imported-population-for-countri'!$A$4:$E$17930,5,false)</f>
        <v>#N/A</v>
      </c>
      <c r="H678" t="str">
        <f t="shared" si="2"/>
        <v>#N/A</v>
      </c>
      <c r="I678" t="str">
        <f t="shared" si="3"/>
        <v>Non-democratic</v>
      </c>
    </row>
    <row r="679">
      <c r="B679" t="str">
        <f t="shared" si="1"/>
        <v>#</v>
      </c>
      <c r="G679" t="str">
        <f>vlookup(B679,'imported-population-for-countri'!$A$4:$E$17930,5,false)</f>
        <v>#N/A</v>
      </c>
      <c r="H679" t="str">
        <f t="shared" si="2"/>
        <v>#N/A</v>
      </c>
      <c r="I679" t="str">
        <f t="shared" si="3"/>
        <v>Non-democratic</v>
      </c>
    </row>
    <row r="680">
      <c r="B680" t="str">
        <f t="shared" si="1"/>
        <v>#</v>
      </c>
      <c r="G680" t="str">
        <f>vlookup(B680,'imported-population-for-countri'!$A$4:$E$17930,5,false)</f>
        <v>#N/A</v>
      </c>
      <c r="H680" t="str">
        <f t="shared" si="2"/>
        <v>#N/A</v>
      </c>
      <c r="I680" t="str">
        <f t="shared" si="3"/>
        <v>Non-democratic</v>
      </c>
    </row>
    <row r="681">
      <c r="B681" t="str">
        <f t="shared" si="1"/>
        <v>#</v>
      </c>
      <c r="G681" t="str">
        <f>vlookup(B681,'imported-population-for-countri'!$A$4:$E$17930,5,false)</f>
        <v>#N/A</v>
      </c>
      <c r="H681" t="str">
        <f t="shared" si="2"/>
        <v>#N/A</v>
      </c>
      <c r="I681" t="str">
        <f t="shared" si="3"/>
        <v>Non-democratic</v>
      </c>
    </row>
    <row r="682">
      <c r="B682" t="str">
        <f t="shared" si="1"/>
        <v>#</v>
      </c>
      <c r="G682" t="str">
        <f>vlookup(B682,'imported-population-for-countri'!$A$4:$E$17930,5,false)</f>
        <v>#N/A</v>
      </c>
      <c r="H682" t="str">
        <f t="shared" si="2"/>
        <v>#N/A</v>
      </c>
      <c r="I682" t="str">
        <f t="shared" si="3"/>
        <v>Non-democratic</v>
      </c>
    </row>
    <row r="683">
      <c r="B683" t="str">
        <f t="shared" si="1"/>
        <v>#</v>
      </c>
      <c r="G683" t="str">
        <f>vlookup(B683,'imported-population-for-countri'!$A$4:$E$17930,5,false)</f>
        <v>#N/A</v>
      </c>
      <c r="H683" t="str">
        <f t="shared" si="2"/>
        <v>#N/A</v>
      </c>
      <c r="I683" t="str">
        <f t="shared" si="3"/>
        <v>Non-democratic</v>
      </c>
    </row>
    <row r="684">
      <c r="B684" t="str">
        <f t="shared" si="1"/>
        <v>#</v>
      </c>
      <c r="G684" t="str">
        <f>vlookup(B684,'imported-population-for-countri'!$A$4:$E$17930,5,false)</f>
        <v>#N/A</v>
      </c>
      <c r="H684" t="str">
        <f t="shared" si="2"/>
        <v>#N/A</v>
      </c>
      <c r="I684" t="str">
        <f t="shared" si="3"/>
        <v>Non-democratic</v>
      </c>
    </row>
    <row r="685">
      <c r="B685" t="str">
        <f t="shared" si="1"/>
        <v>#</v>
      </c>
      <c r="G685" t="str">
        <f>vlookup(B685,'imported-population-for-countri'!$A$4:$E$17930,5,false)</f>
        <v>#N/A</v>
      </c>
      <c r="H685" t="str">
        <f t="shared" si="2"/>
        <v>#N/A</v>
      </c>
      <c r="I685" t="str">
        <f t="shared" si="3"/>
        <v>Non-democratic</v>
      </c>
    </row>
    <row r="686">
      <c r="B686" t="str">
        <f t="shared" si="1"/>
        <v>#</v>
      </c>
      <c r="G686" t="str">
        <f>vlookup(B686,'imported-population-for-countri'!$A$4:$E$17930,5,false)</f>
        <v>#N/A</v>
      </c>
      <c r="H686" t="str">
        <f t="shared" si="2"/>
        <v>#N/A</v>
      </c>
      <c r="I686" t="str">
        <f t="shared" si="3"/>
        <v>Non-democratic</v>
      </c>
    </row>
    <row r="687">
      <c r="B687" t="str">
        <f t="shared" si="1"/>
        <v>#</v>
      </c>
      <c r="G687" t="str">
        <f>vlookup(B687,'imported-population-for-countri'!$A$4:$E$17930,5,false)</f>
        <v>#N/A</v>
      </c>
      <c r="H687" t="str">
        <f t="shared" si="2"/>
        <v>#N/A</v>
      </c>
      <c r="I687" t="str">
        <f t="shared" si="3"/>
        <v>Non-democratic</v>
      </c>
    </row>
    <row r="688">
      <c r="B688" t="str">
        <f t="shared" si="1"/>
        <v>#</v>
      </c>
      <c r="G688" t="str">
        <f>vlookup(B688,'imported-population-for-countri'!$A$4:$E$17930,5,false)</f>
        <v>#N/A</v>
      </c>
      <c r="H688" t="str">
        <f t="shared" si="2"/>
        <v>#N/A</v>
      </c>
      <c r="I688" t="str">
        <f t="shared" si="3"/>
        <v>Non-democratic</v>
      </c>
    </row>
    <row r="689">
      <c r="B689" t="str">
        <f t="shared" si="1"/>
        <v>#</v>
      </c>
      <c r="G689" t="str">
        <f>vlookup(B689,'imported-population-for-countri'!$A$4:$E$17930,5,false)</f>
        <v>#N/A</v>
      </c>
      <c r="H689" t="str">
        <f t="shared" si="2"/>
        <v>#N/A</v>
      </c>
      <c r="I689" t="str">
        <f t="shared" si="3"/>
        <v>Non-democratic</v>
      </c>
    </row>
    <row r="690">
      <c r="B690" t="str">
        <f t="shared" si="1"/>
        <v>#</v>
      </c>
      <c r="G690" t="str">
        <f>vlookup(B690,'imported-population-for-countri'!$A$4:$E$17930,5,false)</f>
        <v>#N/A</v>
      </c>
      <c r="H690" t="str">
        <f t="shared" si="2"/>
        <v>#N/A</v>
      </c>
      <c r="I690" t="str">
        <f t="shared" si="3"/>
        <v>Non-democratic</v>
      </c>
    </row>
    <row r="691">
      <c r="B691" t="str">
        <f t="shared" si="1"/>
        <v>#</v>
      </c>
      <c r="G691" t="str">
        <f>vlookup(B691,'imported-population-for-countri'!$A$4:$E$17930,5,false)</f>
        <v>#N/A</v>
      </c>
      <c r="H691" t="str">
        <f t="shared" si="2"/>
        <v>#N/A</v>
      </c>
      <c r="I691" t="str">
        <f t="shared" si="3"/>
        <v>Non-democratic</v>
      </c>
    </row>
    <row r="692">
      <c r="B692" t="str">
        <f t="shared" si="1"/>
        <v>#</v>
      </c>
      <c r="G692" t="str">
        <f>vlookup(B692,'imported-population-for-countri'!$A$4:$E$17930,5,false)</f>
        <v>#N/A</v>
      </c>
      <c r="H692" t="str">
        <f t="shared" si="2"/>
        <v>#N/A</v>
      </c>
      <c r="I692" t="str">
        <f t="shared" si="3"/>
        <v>Non-democratic</v>
      </c>
    </row>
    <row r="693">
      <c r="B693" t="str">
        <f t="shared" si="1"/>
        <v>#</v>
      </c>
      <c r="G693" t="str">
        <f>vlookup(B693,'imported-population-for-countri'!$A$4:$E$17930,5,false)</f>
        <v>#N/A</v>
      </c>
      <c r="H693" t="str">
        <f t="shared" si="2"/>
        <v>#N/A</v>
      </c>
      <c r="I693" t="str">
        <f t="shared" si="3"/>
        <v>Non-democratic</v>
      </c>
    </row>
    <row r="694">
      <c r="B694" t="str">
        <f t="shared" si="1"/>
        <v>#</v>
      </c>
      <c r="G694" t="str">
        <f>vlookup(B694,'imported-population-for-countri'!$A$4:$E$17930,5,false)</f>
        <v>#N/A</v>
      </c>
      <c r="H694" t="str">
        <f t="shared" si="2"/>
        <v>#N/A</v>
      </c>
      <c r="I694" t="str">
        <f t="shared" si="3"/>
        <v>Non-democratic</v>
      </c>
    </row>
    <row r="695">
      <c r="B695" t="str">
        <f t="shared" si="1"/>
        <v>#</v>
      </c>
      <c r="G695" t="str">
        <f>vlookup(B695,'imported-population-for-countri'!$A$4:$E$17930,5,false)</f>
        <v>#N/A</v>
      </c>
      <c r="H695" t="str">
        <f t="shared" si="2"/>
        <v>#N/A</v>
      </c>
      <c r="I695" t="str">
        <f t="shared" si="3"/>
        <v>Non-democratic</v>
      </c>
    </row>
    <row r="696">
      <c r="B696" t="str">
        <f t="shared" si="1"/>
        <v>#</v>
      </c>
      <c r="G696" t="str">
        <f>vlookup(B696,'imported-population-for-countri'!$A$4:$E$17930,5,false)</f>
        <v>#N/A</v>
      </c>
      <c r="H696" t="str">
        <f t="shared" si="2"/>
        <v>#N/A</v>
      </c>
      <c r="I696" t="str">
        <f t="shared" si="3"/>
        <v>Non-democratic</v>
      </c>
    </row>
    <row r="697">
      <c r="B697" t="str">
        <f t="shared" si="1"/>
        <v>#</v>
      </c>
      <c r="G697" t="str">
        <f>vlookup(B697,'imported-population-for-countri'!$A$4:$E$17930,5,false)</f>
        <v>#N/A</v>
      </c>
      <c r="H697" t="str">
        <f t="shared" si="2"/>
        <v>#N/A</v>
      </c>
      <c r="I697" t="str">
        <f t="shared" si="3"/>
        <v>Non-democratic</v>
      </c>
    </row>
    <row r="698">
      <c r="B698" t="str">
        <f t="shared" si="1"/>
        <v>#</v>
      </c>
      <c r="G698" t="str">
        <f>vlookup(B698,'imported-population-for-countri'!$A$4:$E$17930,5,false)</f>
        <v>#N/A</v>
      </c>
      <c r="H698" t="str">
        <f t="shared" si="2"/>
        <v>#N/A</v>
      </c>
      <c r="I698" t="str">
        <f t="shared" si="3"/>
        <v>Non-democratic</v>
      </c>
    </row>
    <row r="699">
      <c r="B699" t="str">
        <f t="shared" si="1"/>
        <v>#</v>
      </c>
      <c r="G699" t="str">
        <f>vlookup(B699,'imported-population-for-countri'!$A$4:$E$17930,5,false)</f>
        <v>#N/A</v>
      </c>
      <c r="H699" t="str">
        <f t="shared" si="2"/>
        <v>#N/A</v>
      </c>
      <c r="I699" t="str">
        <f t="shared" si="3"/>
        <v>Non-democratic</v>
      </c>
    </row>
    <row r="700">
      <c r="B700" t="str">
        <f t="shared" si="1"/>
        <v>#</v>
      </c>
      <c r="G700" t="str">
        <f>vlookup(B700,'imported-population-for-countri'!$A$4:$E$17930,5,false)</f>
        <v>#N/A</v>
      </c>
      <c r="H700" t="str">
        <f t="shared" si="2"/>
        <v>#N/A</v>
      </c>
      <c r="I700" t="str">
        <f t="shared" si="3"/>
        <v>Non-democratic</v>
      </c>
    </row>
    <row r="701">
      <c r="B701" t="str">
        <f t="shared" si="1"/>
        <v>#</v>
      </c>
      <c r="G701" t="str">
        <f>vlookup(B701,'imported-population-for-countri'!$A$4:$E$17930,5,false)</f>
        <v>#N/A</v>
      </c>
      <c r="H701" t="str">
        <f t="shared" si="2"/>
        <v>#N/A</v>
      </c>
      <c r="I701" t="str">
        <f t="shared" si="3"/>
        <v>Non-democratic</v>
      </c>
    </row>
    <row r="702">
      <c r="B702" t="str">
        <f t="shared" si="1"/>
        <v>#</v>
      </c>
      <c r="G702" t="str">
        <f>vlookup(B702,'imported-population-for-countri'!$A$4:$E$17930,5,false)</f>
        <v>#N/A</v>
      </c>
      <c r="H702" t="str">
        <f t="shared" si="2"/>
        <v>#N/A</v>
      </c>
      <c r="I702" t="str">
        <f t="shared" si="3"/>
        <v>Non-democratic</v>
      </c>
    </row>
    <row r="703">
      <c r="B703" t="str">
        <f t="shared" si="1"/>
        <v>#</v>
      </c>
      <c r="G703" t="str">
        <f>vlookup(B703,'imported-population-for-countri'!$A$4:$E$17930,5,false)</f>
        <v>#N/A</v>
      </c>
      <c r="H703" t="str">
        <f t="shared" si="2"/>
        <v>#N/A</v>
      </c>
      <c r="I703" t="str">
        <f t="shared" si="3"/>
        <v>Non-democratic</v>
      </c>
    </row>
    <row r="704">
      <c r="B704" t="str">
        <f t="shared" si="1"/>
        <v>#</v>
      </c>
      <c r="G704" t="str">
        <f>vlookup(B704,'imported-population-for-countri'!$A$4:$E$17930,5,false)</f>
        <v>#N/A</v>
      </c>
      <c r="H704" t="str">
        <f t="shared" si="2"/>
        <v>#N/A</v>
      </c>
      <c r="I704" t="str">
        <f t="shared" si="3"/>
        <v>Non-democratic</v>
      </c>
    </row>
    <row r="705">
      <c r="B705" t="str">
        <f t="shared" si="1"/>
        <v>#</v>
      </c>
      <c r="G705" t="str">
        <f>vlookup(B705,'imported-population-for-countri'!$A$4:$E$17930,5,false)</f>
        <v>#N/A</v>
      </c>
      <c r="H705" t="str">
        <f t="shared" si="2"/>
        <v>#N/A</v>
      </c>
      <c r="I705" t="str">
        <f t="shared" si="3"/>
        <v>Non-democratic</v>
      </c>
    </row>
    <row r="706">
      <c r="B706" t="str">
        <f t="shared" si="1"/>
        <v>#</v>
      </c>
      <c r="G706" t="str">
        <f>vlookup(B706,'imported-population-for-countri'!$A$4:$E$17930,5,false)</f>
        <v>#N/A</v>
      </c>
      <c r="H706" t="str">
        <f t="shared" si="2"/>
        <v>#N/A</v>
      </c>
      <c r="I706" t="str">
        <f t="shared" si="3"/>
        <v>Non-democratic</v>
      </c>
    </row>
    <row r="707">
      <c r="B707" t="str">
        <f t="shared" si="1"/>
        <v>#</v>
      </c>
      <c r="G707" t="str">
        <f>vlookup(B707,'imported-population-for-countri'!$A$4:$E$17930,5,false)</f>
        <v>#N/A</v>
      </c>
      <c r="H707" t="str">
        <f t="shared" si="2"/>
        <v>#N/A</v>
      </c>
      <c r="I707" t="str">
        <f t="shared" si="3"/>
        <v>Non-democratic</v>
      </c>
    </row>
    <row r="708">
      <c r="B708" t="str">
        <f t="shared" si="1"/>
        <v>#</v>
      </c>
      <c r="G708" t="str">
        <f>vlookup(B708,'imported-population-for-countri'!$A$4:$E$17930,5,false)</f>
        <v>#N/A</v>
      </c>
      <c r="H708" t="str">
        <f t="shared" si="2"/>
        <v>#N/A</v>
      </c>
      <c r="I708" t="str">
        <f t="shared" si="3"/>
        <v>Non-democratic</v>
      </c>
    </row>
    <row r="709">
      <c r="B709" t="str">
        <f t="shared" si="1"/>
        <v>#</v>
      </c>
      <c r="G709" t="str">
        <f>vlookup(B709,'imported-population-for-countri'!$A$4:$E$17930,5,false)</f>
        <v>#N/A</v>
      </c>
      <c r="H709" t="str">
        <f t="shared" si="2"/>
        <v>#N/A</v>
      </c>
      <c r="I709" t="str">
        <f t="shared" si="3"/>
        <v>Non-democratic</v>
      </c>
    </row>
    <row r="710">
      <c r="B710" t="str">
        <f t="shared" si="1"/>
        <v>#</v>
      </c>
      <c r="G710" t="str">
        <f>vlookup(B710,'imported-population-for-countri'!$A$4:$E$17930,5,false)</f>
        <v>#N/A</v>
      </c>
      <c r="H710" t="str">
        <f t="shared" si="2"/>
        <v>#N/A</v>
      </c>
      <c r="I710" t="str">
        <f t="shared" si="3"/>
        <v>Non-democratic</v>
      </c>
    </row>
    <row r="711">
      <c r="B711" t="str">
        <f t="shared" si="1"/>
        <v>#</v>
      </c>
      <c r="G711" t="str">
        <f>vlookup(B711,'imported-population-for-countri'!$A$4:$E$17930,5,false)</f>
        <v>#N/A</v>
      </c>
      <c r="H711" t="str">
        <f t="shared" si="2"/>
        <v>#N/A</v>
      </c>
      <c r="I711" t="str">
        <f t="shared" si="3"/>
        <v>Non-democratic</v>
      </c>
    </row>
    <row r="712">
      <c r="B712" t="str">
        <f t="shared" si="1"/>
        <v>#</v>
      </c>
      <c r="G712" t="str">
        <f>vlookup(B712,'imported-population-for-countri'!$A$4:$E$17930,5,false)</f>
        <v>#N/A</v>
      </c>
      <c r="H712" t="str">
        <f t="shared" si="2"/>
        <v>#N/A</v>
      </c>
      <c r="I712" t="str">
        <f t="shared" si="3"/>
        <v>Non-democratic</v>
      </c>
    </row>
    <row r="713">
      <c r="B713" t="str">
        <f t="shared" si="1"/>
        <v>#</v>
      </c>
      <c r="G713" t="str">
        <f>vlookup(B713,'imported-population-for-countri'!$A$4:$E$17930,5,false)</f>
        <v>#N/A</v>
      </c>
      <c r="H713" t="str">
        <f t="shared" si="2"/>
        <v>#N/A</v>
      </c>
      <c r="I713" t="str">
        <f t="shared" si="3"/>
        <v>Non-democratic</v>
      </c>
    </row>
    <row r="714">
      <c r="B714" t="str">
        <f t="shared" si="1"/>
        <v>#</v>
      </c>
      <c r="G714" t="str">
        <f>vlookup(B714,'imported-population-for-countri'!$A$4:$E$17930,5,false)</f>
        <v>#N/A</v>
      </c>
      <c r="H714" t="str">
        <f t="shared" si="2"/>
        <v>#N/A</v>
      </c>
      <c r="I714" t="str">
        <f t="shared" si="3"/>
        <v>Non-democratic</v>
      </c>
    </row>
    <row r="715">
      <c r="B715" t="str">
        <f t="shared" si="1"/>
        <v>#</v>
      </c>
      <c r="G715" t="str">
        <f>vlookup(B715,'imported-population-for-countri'!$A$4:$E$17930,5,false)</f>
        <v>#N/A</v>
      </c>
      <c r="H715" t="str">
        <f t="shared" si="2"/>
        <v>#N/A</v>
      </c>
      <c r="I715" t="str">
        <f t="shared" si="3"/>
        <v>Non-democratic</v>
      </c>
    </row>
    <row r="716">
      <c r="B716" t="str">
        <f t="shared" si="1"/>
        <v>#</v>
      </c>
      <c r="G716" t="str">
        <f>vlookup(B716,'imported-population-for-countri'!$A$4:$E$17930,5,false)</f>
        <v>#N/A</v>
      </c>
      <c r="H716" t="str">
        <f t="shared" si="2"/>
        <v>#N/A</v>
      </c>
      <c r="I716" t="str">
        <f t="shared" si="3"/>
        <v>Non-democratic</v>
      </c>
    </row>
    <row r="717">
      <c r="B717" t="str">
        <f t="shared" si="1"/>
        <v>#</v>
      </c>
      <c r="G717" t="str">
        <f>vlookup(B717,'imported-population-for-countri'!$A$4:$E$17930,5,false)</f>
        <v>#N/A</v>
      </c>
      <c r="H717" t="str">
        <f t="shared" si="2"/>
        <v>#N/A</v>
      </c>
      <c r="I717" t="str">
        <f t="shared" si="3"/>
        <v>Non-democratic</v>
      </c>
    </row>
    <row r="718">
      <c r="B718" t="str">
        <f t="shared" si="1"/>
        <v>#</v>
      </c>
      <c r="G718" t="str">
        <f>vlookup(B718,'imported-population-for-countri'!$A$4:$E$17930,5,false)</f>
        <v>#N/A</v>
      </c>
      <c r="H718" t="str">
        <f t="shared" si="2"/>
        <v>#N/A</v>
      </c>
      <c r="I718" t="str">
        <f t="shared" si="3"/>
        <v>Non-democratic</v>
      </c>
    </row>
    <row r="719">
      <c r="B719" t="str">
        <f t="shared" si="1"/>
        <v>#</v>
      </c>
      <c r="G719" t="str">
        <f>vlookup(B719,'imported-population-for-countri'!$A$4:$E$17930,5,false)</f>
        <v>#N/A</v>
      </c>
      <c r="H719" t="str">
        <f t="shared" si="2"/>
        <v>#N/A</v>
      </c>
      <c r="I719" t="str">
        <f t="shared" si="3"/>
        <v>Non-democratic</v>
      </c>
    </row>
    <row r="720">
      <c r="B720" t="str">
        <f t="shared" si="1"/>
        <v>#</v>
      </c>
      <c r="G720" t="str">
        <f>vlookup(B720,'imported-population-for-countri'!$A$4:$E$17930,5,false)</f>
        <v>#N/A</v>
      </c>
      <c r="H720" t="str">
        <f t="shared" si="2"/>
        <v>#N/A</v>
      </c>
      <c r="I720" t="str">
        <f t="shared" si="3"/>
        <v>Non-democratic</v>
      </c>
    </row>
    <row r="721">
      <c r="B721" t="str">
        <f t="shared" si="1"/>
        <v>#</v>
      </c>
      <c r="G721" t="str">
        <f>vlookup(B721,'imported-population-for-countri'!$A$4:$E$17930,5,false)</f>
        <v>#N/A</v>
      </c>
      <c r="H721" t="str">
        <f t="shared" si="2"/>
        <v>#N/A</v>
      </c>
      <c r="I721" t="str">
        <f t="shared" si="3"/>
        <v>Non-democratic</v>
      </c>
    </row>
    <row r="722">
      <c r="B722" t="str">
        <f t="shared" si="1"/>
        <v>#</v>
      </c>
      <c r="G722" t="str">
        <f>vlookup(B722,'imported-population-for-countri'!$A$4:$E$17930,5,false)</f>
        <v>#N/A</v>
      </c>
      <c r="H722" t="str">
        <f t="shared" si="2"/>
        <v>#N/A</v>
      </c>
      <c r="I722" t="str">
        <f t="shared" si="3"/>
        <v>Non-democratic</v>
      </c>
    </row>
    <row r="723">
      <c r="B723" t="str">
        <f t="shared" si="1"/>
        <v>#</v>
      </c>
      <c r="G723" t="str">
        <f>vlookup(B723,'imported-population-for-countri'!$A$4:$E$17930,5,false)</f>
        <v>#N/A</v>
      </c>
      <c r="H723" t="str">
        <f t="shared" si="2"/>
        <v>#N/A</v>
      </c>
      <c r="I723" t="str">
        <f t="shared" si="3"/>
        <v>Non-democratic</v>
      </c>
    </row>
    <row r="724">
      <c r="B724" t="str">
        <f t="shared" si="1"/>
        <v>#</v>
      </c>
      <c r="G724" t="str">
        <f>vlookup(B724,'imported-population-for-countri'!$A$4:$E$17930,5,false)</f>
        <v>#N/A</v>
      </c>
      <c r="H724" t="str">
        <f t="shared" si="2"/>
        <v>#N/A</v>
      </c>
      <c r="I724" t="str">
        <f t="shared" si="3"/>
        <v>Non-democratic</v>
      </c>
    </row>
    <row r="725">
      <c r="B725" t="str">
        <f t="shared" si="1"/>
        <v>#</v>
      </c>
      <c r="G725" t="str">
        <f>vlookup(B725,'imported-population-for-countri'!$A$4:$E$17930,5,false)</f>
        <v>#N/A</v>
      </c>
      <c r="H725" t="str">
        <f t="shared" si="2"/>
        <v>#N/A</v>
      </c>
      <c r="I725" t="str">
        <f t="shared" si="3"/>
        <v>Non-democratic</v>
      </c>
    </row>
    <row r="726">
      <c r="B726" t="str">
        <f t="shared" si="1"/>
        <v>#</v>
      </c>
      <c r="G726" t="str">
        <f>vlookup(B726,'imported-population-for-countri'!$A$4:$E$17930,5,false)</f>
        <v>#N/A</v>
      </c>
      <c r="H726" t="str">
        <f t="shared" si="2"/>
        <v>#N/A</v>
      </c>
      <c r="I726" t="str">
        <f t="shared" si="3"/>
        <v>Non-democratic</v>
      </c>
    </row>
    <row r="727">
      <c r="B727" t="str">
        <f t="shared" si="1"/>
        <v>#</v>
      </c>
      <c r="G727" t="str">
        <f>vlookup(B727,'imported-population-for-countri'!$A$4:$E$17930,5,false)</f>
        <v>#N/A</v>
      </c>
      <c r="H727" t="str">
        <f t="shared" si="2"/>
        <v>#N/A</v>
      </c>
      <c r="I727" t="str">
        <f t="shared" si="3"/>
        <v>Non-democratic</v>
      </c>
    </row>
    <row r="728">
      <c r="B728" t="str">
        <f t="shared" si="1"/>
        <v>#</v>
      </c>
      <c r="G728" t="str">
        <f>vlookup(B728,'imported-population-for-countri'!$A$4:$E$17930,5,false)</f>
        <v>#N/A</v>
      </c>
      <c r="H728" t="str">
        <f t="shared" si="2"/>
        <v>#N/A</v>
      </c>
      <c r="I728" t="str">
        <f t="shared" si="3"/>
        <v>Non-democratic</v>
      </c>
    </row>
    <row r="729">
      <c r="B729" t="str">
        <f t="shared" si="1"/>
        <v>#</v>
      </c>
      <c r="G729" t="str">
        <f>vlookup(B729,'imported-population-for-countri'!$A$4:$E$17930,5,false)</f>
        <v>#N/A</v>
      </c>
      <c r="H729" t="str">
        <f t="shared" si="2"/>
        <v>#N/A</v>
      </c>
      <c r="I729" t="str">
        <f t="shared" si="3"/>
        <v>Non-democratic</v>
      </c>
    </row>
    <row r="730">
      <c r="B730" t="str">
        <f t="shared" si="1"/>
        <v>#</v>
      </c>
      <c r="G730" t="str">
        <f>vlookup(B730,'imported-population-for-countri'!$A$4:$E$17930,5,false)</f>
        <v>#N/A</v>
      </c>
      <c r="H730" t="str">
        <f t="shared" si="2"/>
        <v>#N/A</v>
      </c>
      <c r="I730" t="str">
        <f t="shared" si="3"/>
        <v>Non-democratic</v>
      </c>
    </row>
    <row r="731">
      <c r="B731" t="str">
        <f t="shared" si="1"/>
        <v>#</v>
      </c>
      <c r="G731" t="str">
        <f>vlookup(B731,'imported-population-for-countri'!$A$4:$E$17930,5,false)</f>
        <v>#N/A</v>
      </c>
      <c r="H731" t="str">
        <f t="shared" si="2"/>
        <v>#N/A</v>
      </c>
      <c r="I731" t="str">
        <f t="shared" si="3"/>
        <v>Non-democratic</v>
      </c>
    </row>
    <row r="732">
      <c r="B732" t="str">
        <f t="shared" si="1"/>
        <v>#</v>
      </c>
      <c r="G732" t="str">
        <f>vlookup(B732,'imported-population-for-countri'!$A$4:$E$17930,5,false)</f>
        <v>#N/A</v>
      </c>
      <c r="H732" t="str">
        <f t="shared" si="2"/>
        <v>#N/A</v>
      </c>
      <c r="I732" t="str">
        <f t="shared" si="3"/>
        <v>Non-democratic</v>
      </c>
    </row>
    <row r="733">
      <c r="B733" t="str">
        <f t="shared" si="1"/>
        <v>#</v>
      </c>
      <c r="G733" t="str">
        <f>vlookup(B733,'imported-population-for-countri'!$A$4:$E$17930,5,false)</f>
        <v>#N/A</v>
      </c>
      <c r="H733" t="str">
        <f t="shared" si="2"/>
        <v>#N/A</v>
      </c>
      <c r="I733" t="str">
        <f t="shared" si="3"/>
        <v>Non-democratic</v>
      </c>
    </row>
    <row r="734">
      <c r="B734" t="str">
        <f t="shared" si="1"/>
        <v>#</v>
      </c>
      <c r="G734" t="str">
        <f>vlookup(B734,'imported-population-for-countri'!$A$4:$E$17930,5,false)</f>
        <v>#N/A</v>
      </c>
      <c r="H734" t="str">
        <f t="shared" si="2"/>
        <v>#N/A</v>
      </c>
      <c r="I734" t="str">
        <f t="shared" si="3"/>
        <v>Non-democratic</v>
      </c>
    </row>
    <row r="735">
      <c r="B735" t="str">
        <f t="shared" si="1"/>
        <v>#</v>
      </c>
      <c r="G735" t="str">
        <f>vlookup(B735,'imported-population-for-countri'!$A$4:$E$17930,5,false)</f>
        <v>#N/A</v>
      </c>
      <c r="H735" t="str">
        <f t="shared" si="2"/>
        <v>#N/A</v>
      </c>
      <c r="I735" t="str">
        <f t="shared" si="3"/>
        <v>Non-democratic</v>
      </c>
    </row>
    <row r="736">
      <c r="B736" t="str">
        <f t="shared" si="1"/>
        <v>#</v>
      </c>
      <c r="G736" t="str">
        <f>vlookup(B736,'imported-population-for-countri'!$A$4:$E$17930,5,false)</f>
        <v>#N/A</v>
      </c>
      <c r="H736" t="str">
        <f t="shared" si="2"/>
        <v>#N/A</v>
      </c>
      <c r="I736" t="str">
        <f t="shared" si="3"/>
        <v>Non-democratic</v>
      </c>
    </row>
    <row r="737">
      <c r="B737" t="str">
        <f t="shared" si="1"/>
        <v>#</v>
      </c>
      <c r="G737" t="str">
        <f>vlookup(B737,'imported-population-for-countri'!$A$4:$E$17930,5,false)</f>
        <v>#N/A</v>
      </c>
      <c r="H737" t="str">
        <f t="shared" si="2"/>
        <v>#N/A</v>
      </c>
      <c r="I737" t="str">
        <f t="shared" si="3"/>
        <v>Non-democratic</v>
      </c>
    </row>
    <row r="738">
      <c r="B738" t="str">
        <f t="shared" si="1"/>
        <v>#</v>
      </c>
      <c r="G738" t="str">
        <f>vlookup(B738,'imported-population-for-countri'!$A$4:$E$17930,5,false)</f>
        <v>#N/A</v>
      </c>
      <c r="H738" t="str">
        <f t="shared" si="2"/>
        <v>#N/A</v>
      </c>
      <c r="I738" t="str">
        <f t="shared" si="3"/>
        <v>Non-democratic</v>
      </c>
    </row>
    <row r="739">
      <c r="B739" t="str">
        <f t="shared" si="1"/>
        <v>#</v>
      </c>
      <c r="G739" t="str">
        <f>vlookup(B739,'imported-population-for-countri'!$A$4:$E$17930,5,false)</f>
        <v>#N/A</v>
      </c>
      <c r="H739" t="str">
        <f t="shared" si="2"/>
        <v>#N/A</v>
      </c>
      <c r="I739" t="str">
        <f t="shared" si="3"/>
        <v>Non-democratic</v>
      </c>
    </row>
    <row r="740">
      <c r="B740" t="str">
        <f t="shared" si="1"/>
        <v>#</v>
      </c>
      <c r="G740" t="str">
        <f>vlookup(B740,'imported-population-for-countri'!$A$4:$E$17930,5,false)</f>
        <v>#N/A</v>
      </c>
      <c r="H740" t="str">
        <f t="shared" si="2"/>
        <v>#N/A</v>
      </c>
      <c r="I740" t="str">
        <f t="shared" si="3"/>
        <v>Non-democratic</v>
      </c>
    </row>
    <row r="741">
      <c r="B741" t="str">
        <f t="shared" si="1"/>
        <v>#</v>
      </c>
      <c r="G741" t="str">
        <f>vlookup(B741,'imported-population-for-countri'!$A$4:$E$17930,5,false)</f>
        <v>#N/A</v>
      </c>
      <c r="H741" t="str">
        <f t="shared" si="2"/>
        <v>#N/A</v>
      </c>
      <c r="I741" t="str">
        <f t="shared" si="3"/>
        <v>Non-democratic</v>
      </c>
    </row>
    <row r="742">
      <c r="B742" t="str">
        <f t="shared" si="1"/>
        <v>#</v>
      </c>
      <c r="G742" t="str">
        <f>vlookup(B742,'imported-population-for-countri'!$A$4:$E$17930,5,false)</f>
        <v>#N/A</v>
      </c>
      <c r="H742" t="str">
        <f t="shared" si="2"/>
        <v>#N/A</v>
      </c>
      <c r="I742" t="str">
        <f t="shared" si="3"/>
        <v>Non-democratic</v>
      </c>
    </row>
    <row r="743">
      <c r="B743" t="str">
        <f t="shared" si="1"/>
        <v>#</v>
      </c>
      <c r="G743" t="str">
        <f>vlookup(B743,'imported-population-for-countri'!$A$4:$E$17930,5,false)</f>
        <v>#N/A</v>
      </c>
      <c r="H743" t="str">
        <f t="shared" si="2"/>
        <v>#N/A</v>
      </c>
      <c r="I743" t="str">
        <f t="shared" si="3"/>
        <v>Non-democratic</v>
      </c>
    </row>
    <row r="744">
      <c r="B744" t="str">
        <f t="shared" si="1"/>
        <v>#</v>
      </c>
      <c r="G744" t="str">
        <f>vlookup(B744,'imported-population-for-countri'!$A$4:$E$17930,5,false)</f>
        <v>#N/A</v>
      </c>
      <c r="H744" t="str">
        <f t="shared" si="2"/>
        <v>#N/A</v>
      </c>
      <c r="I744" t="str">
        <f t="shared" si="3"/>
        <v>Non-democratic</v>
      </c>
    </row>
    <row r="745">
      <c r="B745" t="str">
        <f t="shared" si="1"/>
        <v>#</v>
      </c>
      <c r="G745" t="str">
        <f>vlookup(B745,'imported-population-for-countri'!$A$4:$E$17930,5,false)</f>
        <v>#N/A</v>
      </c>
      <c r="H745" t="str">
        <f t="shared" si="2"/>
        <v>#N/A</v>
      </c>
      <c r="I745" t="str">
        <f t="shared" si="3"/>
        <v>Non-democratic</v>
      </c>
    </row>
    <row r="746">
      <c r="B746" t="str">
        <f t="shared" si="1"/>
        <v>#</v>
      </c>
      <c r="G746" t="str">
        <f>vlookup(B746,'imported-population-for-countri'!$A$4:$E$17930,5,false)</f>
        <v>#N/A</v>
      </c>
      <c r="H746" t="str">
        <f t="shared" si="2"/>
        <v>#N/A</v>
      </c>
      <c r="I746" t="str">
        <f t="shared" si="3"/>
        <v>Non-democratic</v>
      </c>
    </row>
    <row r="747">
      <c r="B747" t="str">
        <f t="shared" si="1"/>
        <v>#</v>
      </c>
      <c r="G747" t="str">
        <f>vlookup(B747,'imported-population-for-countri'!$A$4:$E$17930,5,false)</f>
        <v>#N/A</v>
      </c>
      <c r="H747" t="str">
        <f t="shared" si="2"/>
        <v>#N/A</v>
      </c>
      <c r="I747" t="str">
        <f t="shared" si="3"/>
        <v>Non-democratic</v>
      </c>
    </row>
    <row r="748">
      <c r="B748" t="str">
        <f t="shared" si="1"/>
        <v>#</v>
      </c>
      <c r="G748" t="str">
        <f>vlookup(B748,'imported-population-for-countri'!$A$4:$E$17930,5,false)</f>
        <v>#N/A</v>
      </c>
      <c r="H748" t="str">
        <f t="shared" si="2"/>
        <v>#N/A</v>
      </c>
      <c r="I748" t="str">
        <f t="shared" si="3"/>
        <v>Non-democratic</v>
      </c>
    </row>
    <row r="749">
      <c r="B749" t="str">
        <f t="shared" si="1"/>
        <v>#</v>
      </c>
      <c r="G749" t="str">
        <f>vlookup(B749,'imported-population-for-countri'!$A$4:$E$17930,5,false)</f>
        <v>#N/A</v>
      </c>
      <c r="H749" t="str">
        <f t="shared" si="2"/>
        <v>#N/A</v>
      </c>
      <c r="I749" t="str">
        <f t="shared" si="3"/>
        <v>Non-democratic</v>
      </c>
    </row>
    <row r="750">
      <c r="B750" t="str">
        <f t="shared" si="1"/>
        <v>#</v>
      </c>
      <c r="G750" t="str">
        <f>vlookup(B750,'imported-population-for-countri'!$A$4:$E$17930,5,false)</f>
        <v>#N/A</v>
      </c>
      <c r="H750" t="str">
        <f t="shared" si="2"/>
        <v>#N/A</v>
      </c>
      <c r="I750" t="str">
        <f t="shared" si="3"/>
        <v>Non-democratic</v>
      </c>
    </row>
    <row r="751">
      <c r="B751" t="str">
        <f t="shared" si="1"/>
        <v>#</v>
      </c>
      <c r="G751" t="str">
        <f>vlookup(B751,'imported-population-for-countri'!$A$4:$E$17930,5,false)</f>
        <v>#N/A</v>
      </c>
      <c r="H751" t="str">
        <f t="shared" si="2"/>
        <v>#N/A</v>
      </c>
      <c r="I751" t="str">
        <f t="shared" si="3"/>
        <v>Non-democratic</v>
      </c>
    </row>
    <row r="752">
      <c r="B752" t="str">
        <f t="shared" si="1"/>
        <v>#</v>
      </c>
      <c r="G752" t="str">
        <f>vlookup(B752,'imported-population-for-countri'!$A$4:$E$17930,5,false)</f>
        <v>#N/A</v>
      </c>
      <c r="H752" t="str">
        <f t="shared" si="2"/>
        <v>#N/A</v>
      </c>
      <c r="I752" t="str">
        <f t="shared" si="3"/>
        <v>Non-democratic</v>
      </c>
    </row>
    <row r="753">
      <c r="B753" t="str">
        <f t="shared" si="1"/>
        <v>#</v>
      </c>
      <c r="G753" t="str">
        <f>vlookup(B753,'imported-population-for-countri'!$A$4:$E$17930,5,false)</f>
        <v>#N/A</v>
      </c>
      <c r="H753" t="str">
        <f t="shared" si="2"/>
        <v>#N/A</v>
      </c>
      <c r="I753" t="str">
        <f t="shared" si="3"/>
        <v>Non-democratic</v>
      </c>
    </row>
    <row r="754">
      <c r="B754" t="str">
        <f t="shared" si="1"/>
        <v>#</v>
      </c>
      <c r="G754" t="str">
        <f>vlookup(B754,'imported-population-for-countri'!$A$4:$E$17930,5,false)</f>
        <v>#N/A</v>
      </c>
      <c r="H754" t="str">
        <f t="shared" si="2"/>
        <v>#N/A</v>
      </c>
      <c r="I754" t="str">
        <f t="shared" si="3"/>
        <v>Non-democratic</v>
      </c>
    </row>
    <row r="755">
      <c r="B755" t="str">
        <f t="shared" si="1"/>
        <v>#</v>
      </c>
      <c r="G755" t="str">
        <f>vlookup(B755,'imported-population-for-countri'!$A$4:$E$17930,5,false)</f>
        <v>#N/A</v>
      </c>
      <c r="H755" t="str">
        <f t="shared" si="2"/>
        <v>#N/A</v>
      </c>
      <c r="I755" t="str">
        <f t="shared" si="3"/>
        <v>Non-democratic</v>
      </c>
    </row>
    <row r="756">
      <c r="B756" t="str">
        <f t="shared" si="1"/>
        <v>#</v>
      </c>
      <c r="G756" t="str">
        <f>vlookup(B756,'imported-population-for-countri'!$A$4:$E$17930,5,false)</f>
        <v>#N/A</v>
      </c>
      <c r="H756" t="str">
        <f t="shared" si="2"/>
        <v>#N/A</v>
      </c>
      <c r="I756" t="str">
        <f t="shared" si="3"/>
        <v>Non-democratic</v>
      </c>
    </row>
    <row r="757">
      <c r="B757" t="str">
        <f t="shared" si="1"/>
        <v>#</v>
      </c>
      <c r="G757" t="str">
        <f>vlookup(B757,'imported-population-for-countri'!$A$4:$E$17930,5,false)</f>
        <v>#N/A</v>
      </c>
      <c r="H757" t="str">
        <f t="shared" si="2"/>
        <v>#N/A</v>
      </c>
      <c r="I757" t="str">
        <f t="shared" si="3"/>
        <v>Non-democratic</v>
      </c>
    </row>
    <row r="758">
      <c r="B758" t="str">
        <f t="shared" si="1"/>
        <v>#</v>
      </c>
      <c r="G758" t="str">
        <f>vlookup(B758,'imported-population-for-countri'!$A$4:$E$17930,5,false)</f>
        <v>#N/A</v>
      </c>
      <c r="H758" t="str">
        <f t="shared" si="2"/>
        <v>#N/A</v>
      </c>
      <c r="I758" t="str">
        <f t="shared" si="3"/>
        <v>Non-democratic</v>
      </c>
    </row>
    <row r="759">
      <c r="B759" t="str">
        <f t="shared" si="1"/>
        <v>#</v>
      </c>
      <c r="G759" t="str">
        <f>vlookup(B759,'imported-population-for-countri'!$A$4:$E$17930,5,false)</f>
        <v>#N/A</v>
      </c>
      <c r="H759" t="str">
        <f t="shared" si="2"/>
        <v>#N/A</v>
      </c>
      <c r="I759" t="str">
        <f t="shared" si="3"/>
        <v>Non-democratic</v>
      </c>
    </row>
    <row r="760">
      <c r="B760" t="str">
        <f t="shared" si="1"/>
        <v>#</v>
      </c>
      <c r="G760" t="str">
        <f>vlookup(B760,'imported-population-for-countri'!$A$4:$E$17930,5,false)</f>
        <v>#N/A</v>
      </c>
      <c r="H760" t="str">
        <f t="shared" si="2"/>
        <v>#N/A</v>
      </c>
      <c r="I760" t="str">
        <f t="shared" si="3"/>
        <v>Non-democratic</v>
      </c>
    </row>
    <row r="761">
      <c r="B761" t="str">
        <f t="shared" si="1"/>
        <v>#</v>
      </c>
      <c r="G761" t="str">
        <f>vlookup(B761,'imported-population-for-countri'!$A$4:$E$17930,5,false)</f>
        <v>#N/A</v>
      </c>
      <c r="H761" t="str">
        <f t="shared" si="2"/>
        <v>#N/A</v>
      </c>
      <c r="I761" t="str">
        <f t="shared" si="3"/>
        <v>Non-democratic</v>
      </c>
    </row>
    <row r="762">
      <c r="B762" t="str">
        <f t="shared" si="1"/>
        <v>#</v>
      </c>
      <c r="G762" t="str">
        <f>vlookup(B762,'imported-population-for-countri'!$A$4:$E$17930,5,false)</f>
        <v>#N/A</v>
      </c>
      <c r="H762" t="str">
        <f t="shared" si="2"/>
        <v>#N/A</v>
      </c>
      <c r="I762" t="str">
        <f t="shared" si="3"/>
        <v>Non-democratic</v>
      </c>
    </row>
    <row r="763">
      <c r="B763" t="str">
        <f t="shared" si="1"/>
        <v>#</v>
      </c>
      <c r="G763" t="str">
        <f>vlookup(B763,'imported-population-for-countri'!$A$4:$E$17930,5,false)</f>
        <v>#N/A</v>
      </c>
      <c r="H763" t="str">
        <f t="shared" si="2"/>
        <v>#N/A</v>
      </c>
      <c r="I763" t="str">
        <f t="shared" si="3"/>
        <v>Non-democratic</v>
      </c>
    </row>
    <row r="764">
      <c r="B764" t="str">
        <f t="shared" si="1"/>
        <v>#</v>
      </c>
      <c r="G764" t="str">
        <f>vlookup(B764,'imported-population-for-countri'!$A$4:$E$17930,5,false)</f>
        <v>#N/A</v>
      </c>
      <c r="H764" t="str">
        <f t="shared" si="2"/>
        <v>#N/A</v>
      </c>
      <c r="I764" t="str">
        <f t="shared" si="3"/>
        <v>Non-democratic</v>
      </c>
    </row>
    <row r="765">
      <c r="B765" t="str">
        <f t="shared" si="1"/>
        <v>#</v>
      </c>
      <c r="G765" t="str">
        <f>vlookup(B765,'imported-population-for-countri'!$A$4:$E$17930,5,false)</f>
        <v>#N/A</v>
      </c>
      <c r="H765" t="str">
        <f t="shared" si="2"/>
        <v>#N/A</v>
      </c>
      <c r="I765" t="str">
        <f t="shared" si="3"/>
        <v>Non-democratic</v>
      </c>
    </row>
    <row r="766">
      <c r="B766" t="str">
        <f t="shared" si="1"/>
        <v>#</v>
      </c>
      <c r="G766" t="str">
        <f>vlookup(B766,'imported-population-for-countri'!$A$4:$E$17930,5,false)</f>
        <v>#N/A</v>
      </c>
      <c r="H766" t="str">
        <f t="shared" si="2"/>
        <v>#N/A</v>
      </c>
      <c r="I766" t="str">
        <f t="shared" si="3"/>
        <v>Non-democratic</v>
      </c>
    </row>
    <row r="767">
      <c r="B767" t="str">
        <f t="shared" si="1"/>
        <v>#</v>
      </c>
      <c r="G767" t="str">
        <f>vlookup(B767,'imported-population-for-countri'!$A$4:$E$17930,5,false)</f>
        <v>#N/A</v>
      </c>
      <c r="H767" t="str">
        <f t="shared" si="2"/>
        <v>#N/A</v>
      </c>
      <c r="I767" t="str">
        <f t="shared" si="3"/>
        <v>Non-democratic</v>
      </c>
    </row>
    <row r="768">
      <c r="B768" t="str">
        <f t="shared" si="1"/>
        <v>#</v>
      </c>
      <c r="G768" t="str">
        <f>vlookup(B768,'imported-population-for-countri'!$A$4:$E$17930,5,false)</f>
        <v>#N/A</v>
      </c>
      <c r="H768" t="str">
        <f t="shared" si="2"/>
        <v>#N/A</v>
      </c>
      <c r="I768" t="str">
        <f t="shared" si="3"/>
        <v>Non-democratic</v>
      </c>
    </row>
    <row r="769">
      <c r="B769" t="str">
        <f t="shared" si="1"/>
        <v>#</v>
      </c>
      <c r="G769" t="str">
        <f>vlookup(B769,'imported-population-for-countri'!$A$4:$E$17930,5,false)</f>
        <v>#N/A</v>
      </c>
      <c r="H769" t="str">
        <f t="shared" si="2"/>
        <v>#N/A</v>
      </c>
      <c r="I769" t="str">
        <f t="shared" si="3"/>
        <v>Non-democratic</v>
      </c>
    </row>
    <row r="770">
      <c r="B770" t="str">
        <f t="shared" si="1"/>
        <v>#</v>
      </c>
      <c r="G770" t="str">
        <f>vlookup(B770,'imported-population-for-countri'!$A$4:$E$17930,5,false)</f>
        <v>#N/A</v>
      </c>
      <c r="H770" t="str">
        <f t="shared" si="2"/>
        <v>#N/A</v>
      </c>
      <c r="I770" t="str">
        <f t="shared" si="3"/>
        <v>Non-democratic</v>
      </c>
    </row>
    <row r="771">
      <c r="B771" t="str">
        <f t="shared" si="1"/>
        <v>#</v>
      </c>
      <c r="G771" t="str">
        <f>vlookup(B771,'imported-population-for-countri'!$A$4:$E$17930,5,false)</f>
        <v>#N/A</v>
      </c>
      <c r="H771" t="str">
        <f t="shared" si="2"/>
        <v>#N/A</v>
      </c>
      <c r="I771" t="str">
        <f t="shared" si="3"/>
        <v>Non-democratic</v>
      </c>
    </row>
    <row r="772">
      <c r="B772" t="str">
        <f t="shared" si="1"/>
        <v>#</v>
      </c>
      <c r="G772" t="str">
        <f>vlookup(B772,'imported-population-for-countri'!$A$4:$E$17930,5,false)</f>
        <v>#N/A</v>
      </c>
      <c r="H772" t="str">
        <f t="shared" si="2"/>
        <v>#N/A</v>
      </c>
      <c r="I772" t="str">
        <f t="shared" si="3"/>
        <v>Non-democratic</v>
      </c>
    </row>
    <row r="773">
      <c r="B773" t="str">
        <f t="shared" si="1"/>
        <v>#</v>
      </c>
      <c r="G773" t="str">
        <f>vlookup(B773,'imported-population-for-countri'!$A$4:$E$17930,5,false)</f>
        <v>#N/A</v>
      </c>
      <c r="H773" t="str">
        <f t="shared" si="2"/>
        <v>#N/A</v>
      </c>
      <c r="I773" t="str">
        <f t="shared" si="3"/>
        <v>Non-democratic</v>
      </c>
    </row>
    <row r="774">
      <c r="B774" t="str">
        <f t="shared" si="1"/>
        <v>#</v>
      </c>
      <c r="G774" t="str">
        <f>vlookup(B774,'imported-population-for-countri'!$A$4:$E$17930,5,false)</f>
        <v>#N/A</v>
      </c>
      <c r="H774" t="str">
        <f t="shared" si="2"/>
        <v>#N/A</v>
      </c>
      <c r="I774" t="str">
        <f t="shared" si="3"/>
        <v>Non-democratic</v>
      </c>
    </row>
    <row r="775">
      <c r="B775" t="str">
        <f t="shared" si="1"/>
        <v>#</v>
      </c>
      <c r="G775" t="str">
        <f>vlookup(B775,'imported-population-for-countri'!$A$4:$E$17930,5,false)</f>
        <v>#N/A</v>
      </c>
      <c r="H775" t="str">
        <f t="shared" si="2"/>
        <v>#N/A</v>
      </c>
      <c r="I775" t="str">
        <f t="shared" si="3"/>
        <v>Non-democratic</v>
      </c>
    </row>
    <row r="776">
      <c r="B776" t="str">
        <f t="shared" si="1"/>
        <v>#</v>
      </c>
      <c r="G776" t="str">
        <f>vlookup(B776,'imported-population-for-countri'!$A$4:$E$17930,5,false)</f>
        <v>#N/A</v>
      </c>
      <c r="H776" t="str">
        <f t="shared" si="2"/>
        <v>#N/A</v>
      </c>
      <c r="I776" t="str">
        <f t="shared" si="3"/>
        <v>Non-democratic</v>
      </c>
    </row>
    <row r="777">
      <c r="B777" t="str">
        <f t="shared" si="1"/>
        <v>#</v>
      </c>
      <c r="G777" t="str">
        <f>vlookup(B777,'imported-population-for-countri'!$A$4:$E$17930,5,false)</f>
        <v>#N/A</v>
      </c>
      <c r="H777" t="str">
        <f t="shared" si="2"/>
        <v>#N/A</v>
      </c>
      <c r="I777" t="str">
        <f t="shared" si="3"/>
        <v>Non-democratic</v>
      </c>
    </row>
    <row r="778">
      <c r="B778" t="str">
        <f t="shared" si="1"/>
        <v>#</v>
      </c>
      <c r="G778" t="str">
        <f>vlookup(B778,'imported-population-for-countri'!$A$4:$E$17930,5,false)</f>
        <v>#N/A</v>
      </c>
      <c r="H778" t="str">
        <f t="shared" si="2"/>
        <v>#N/A</v>
      </c>
      <c r="I778" t="str">
        <f t="shared" si="3"/>
        <v>Non-democratic</v>
      </c>
    </row>
    <row r="779">
      <c r="B779" t="str">
        <f t="shared" si="1"/>
        <v>#</v>
      </c>
      <c r="G779" t="str">
        <f>vlookup(B779,'imported-population-for-countri'!$A$4:$E$17930,5,false)</f>
        <v>#N/A</v>
      </c>
      <c r="H779" t="str">
        <f t="shared" si="2"/>
        <v>#N/A</v>
      </c>
      <c r="I779" t="str">
        <f t="shared" si="3"/>
        <v>Non-democratic</v>
      </c>
    </row>
    <row r="780">
      <c r="B780" t="str">
        <f t="shared" si="1"/>
        <v>#</v>
      </c>
      <c r="G780" t="str">
        <f>vlookup(B780,'imported-population-for-countri'!$A$4:$E$17930,5,false)</f>
        <v>#N/A</v>
      </c>
      <c r="H780" t="str">
        <f t="shared" si="2"/>
        <v>#N/A</v>
      </c>
      <c r="I780" t="str">
        <f t="shared" si="3"/>
        <v>Non-democratic</v>
      </c>
    </row>
    <row r="781">
      <c r="B781" t="str">
        <f t="shared" si="1"/>
        <v>#</v>
      </c>
      <c r="G781" t="str">
        <f>vlookup(B781,'imported-population-for-countri'!$A$4:$E$17930,5,false)</f>
        <v>#N/A</v>
      </c>
      <c r="H781" t="str">
        <f t="shared" si="2"/>
        <v>#N/A</v>
      </c>
      <c r="I781" t="str">
        <f t="shared" si="3"/>
        <v>Non-democratic</v>
      </c>
    </row>
    <row r="782">
      <c r="B782" t="str">
        <f t="shared" si="1"/>
        <v>#</v>
      </c>
      <c r="G782" t="str">
        <f>vlookup(B782,'imported-population-for-countri'!$A$4:$E$17930,5,false)</f>
        <v>#N/A</v>
      </c>
      <c r="H782" t="str">
        <f t="shared" si="2"/>
        <v>#N/A</v>
      </c>
      <c r="I782" t="str">
        <f t="shared" si="3"/>
        <v>Non-democratic</v>
      </c>
    </row>
    <row r="783">
      <c r="B783" t="str">
        <f t="shared" si="1"/>
        <v>#</v>
      </c>
      <c r="G783" t="str">
        <f>vlookup(B783,'imported-population-for-countri'!$A$4:$E$17930,5,false)</f>
        <v>#N/A</v>
      </c>
      <c r="H783" t="str">
        <f t="shared" si="2"/>
        <v>#N/A</v>
      </c>
      <c r="I783" t="str">
        <f t="shared" si="3"/>
        <v>Non-democratic</v>
      </c>
    </row>
    <row r="784">
      <c r="B784" t="str">
        <f t="shared" si="1"/>
        <v>#</v>
      </c>
      <c r="G784" t="str">
        <f>vlookup(B784,'imported-population-for-countri'!$A$4:$E$17930,5,false)</f>
        <v>#N/A</v>
      </c>
      <c r="H784" t="str">
        <f t="shared" si="2"/>
        <v>#N/A</v>
      </c>
      <c r="I784" t="str">
        <f t="shared" si="3"/>
        <v>Non-democratic</v>
      </c>
    </row>
    <row r="785">
      <c r="B785" t="str">
        <f t="shared" si="1"/>
        <v>#</v>
      </c>
      <c r="G785" t="str">
        <f>vlookup(B785,'imported-population-for-countri'!$A$4:$E$17930,5,false)</f>
        <v>#N/A</v>
      </c>
      <c r="H785" t="str">
        <f t="shared" si="2"/>
        <v>#N/A</v>
      </c>
      <c r="I785" t="str">
        <f t="shared" si="3"/>
        <v>Non-democratic</v>
      </c>
    </row>
    <row r="786">
      <c r="B786" t="str">
        <f t="shared" si="1"/>
        <v>#</v>
      </c>
      <c r="G786" t="str">
        <f>vlookup(B786,'imported-population-for-countri'!$A$4:$E$17930,5,false)</f>
        <v>#N/A</v>
      </c>
      <c r="H786" t="str">
        <f t="shared" si="2"/>
        <v>#N/A</v>
      </c>
      <c r="I786" t="str">
        <f t="shared" si="3"/>
        <v>Non-democratic</v>
      </c>
    </row>
    <row r="787">
      <c r="B787" t="str">
        <f t="shared" si="1"/>
        <v>#</v>
      </c>
      <c r="G787" t="str">
        <f>vlookup(B787,'imported-population-for-countri'!$A$4:$E$17930,5,false)</f>
        <v>#N/A</v>
      </c>
      <c r="H787" t="str">
        <f t="shared" si="2"/>
        <v>#N/A</v>
      </c>
      <c r="I787" t="str">
        <f t="shared" si="3"/>
        <v>Non-democratic</v>
      </c>
    </row>
    <row r="788">
      <c r="B788" t="str">
        <f t="shared" si="1"/>
        <v>#</v>
      </c>
      <c r="G788" t="str">
        <f>vlookup(B788,'imported-population-for-countri'!$A$4:$E$17930,5,false)</f>
        <v>#N/A</v>
      </c>
      <c r="H788" t="str">
        <f t="shared" si="2"/>
        <v>#N/A</v>
      </c>
      <c r="I788" t="str">
        <f t="shared" si="3"/>
        <v>Non-democratic</v>
      </c>
    </row>
    <row r="789">
      <c r="B789" t="str">
        <f t="shared" si="1"/>
        <v>#</v>
      </c>
      <c r="G789" t="str">
        <f>vlookup(B789,'imported-population-for-countri'!$A$4:$E$17930,5,false)</f>
        <v>#N/A</v>
      </c>
      <c r="H789" t="str">
        <f t="shared" si="2"/>
        <v>#N/A</v>
      </c>
      <c r="I789" t="str">
        <f t="shared" si="3"/>
        <v>Non-democratic</v>
      </c>
    </row>
    <row r="790">
      <c r="B790" t="str">
        <f t="shared" si="1"/>
        <v>#</v>
      </c>
      <c r="G790" t="str">
        <f>vlookup(B790,'imported-population-for-countri'!$A$4:$E$17930,5,false)</f>
        <v>#N/A</v>
      </c>
      <c r="H790" t="str">
        <f t="shared" si="2"/>
        <v>#N/A</v>
      </c>
      <c r="I790" t="str">
        <f t="shared" si="3"/>
        <v>Non-democratic</v>
      </c>
    </row>
    <row r="791">
      <c r="B791" t="str">
        <f t="shared" si="1"/>
        <v>#</v>
      </c>
      <c r="G791" t="str">
        <f>vlookup(B791,'imported-population-for-countri'!$A$4:$E$17930,5,false)</f>
        <v>#N/A</v>
      </c>
      <c r="H791" t="str">
        <f t="shared" si="2"/>
        <v>#N/A</v>
      </c>
      <c r="I791" t="str">
        <f t="shared" si="3"/>
        <v>Non-democratic</v>
      </c>
    </row>
    <row r="792">
      <c r="B792" t="str">
        <f t="shared" si="1"/>
        <v>#</v>
      </c>
      <c r="G792" t="str">
        <f>vlookup(B792,'imported-population-for-countri'!$A$4:$E$17930,5,false)</f>
        <v>#N/A</v>
      </c>
      <c r="H792" t="str">
        <f t="shared" si="2"/>
        <v>#N/A</v>
      </c>
      <c r="I792" t="str">
        <f t="shared" si="3"/>
        <v>Non-democratic</v>
      </c>
    </row>
    <row r="793">
      <c r="B793" t="str">
        <f t="shared" si="1"/>
        <v>#</v>
      </c>
      <c r="G793" t="str">
        <f>vlookup(B793,'imported-population-for-countri'!$A$4:$E$17930,5,false)</f>
        <v>#N/A</v>
      </c>
      <c r="H793" t="str">
        <f t="shared" si="2"/>
        <v>#N/A</v>
      </c>
      <c r="I793" t="str">
        <f t="shared" si="3"/>
        <v>Non-democratic</v>
      </c>
    </row>
    <row r="794">
      <c r="B794" t="str">
        <f t="shared" si="1"/>
        <v>#</v>
      </c>
      <c r="G794" t="str">
        <f>vlookup(B794,'imported-population-for-countri'!$A$4:$E$17930,5,false)</f>
        <v>#N/A</v>
      </c>
      <c r="H794" t="str">
        <f t="shared" si="2"/>
        <v>#N/A</v>
      </c>
      <c r="I794" t="str">
        <f t="shared" si="3"/>
        <v>Non-democratic</v>
      </c>
    </row>
    <row r="795">
      <c r="B795" t="str">
        <f t="shared" si="1"/>
        <v>#</v>
      </c>
      <c r="G795" t="str">
        <f>vlookup(B795,'imported-population-for-countri'!$A$4:$E$17930,5,false)</f>
        <v>#N/A</v>
      </c>
      <c r="H795" t="str">
        <f t="shared" si="2"/>
        <v>#N/A</v>
      </c>
      <c r="I795" t="str">
        <f t="shared" si="3"/>
        <v>Non-democratic</v>
      </c>
    </row>
    <row r="796">
      <c r="B796" t="str">
        <f t="shared" si="1"/>
        <v>#</v>
      </c>
      <c r="G796" t="str">
        <f>vlookup(B796,'imported-population-for-countri'!$A$4:$E$17930,5,false)</f>
        <v>#N/A</v>
      </c>
      <c r="H796" t="str">
        <f t="shared" si="2"/>
        <v>#N/A</v>
      </c>
      <c r="I796" t="str">
        <f t="shared" si="3"/>
        <v>Non-democratic</v>
      </c>
    </row>
    <row r="797">
      <c r="B797" t="str">
        <f t="shared" si="1"/>
        <v>#</v>
      </c>
      <c r="G797" t="str">
        <f>vlookup(B797,'imported-population-for-countri'!$A$4:$E$17930,5,false)</f>
        <v>#N/A</v>
      </c>
      <c r="H797" t="str">
        <f t="shared" si="2"/>
        <v>#N/A</v>
      </c>
      <c r="I797" t="str">
        <f t="shared" si="3"/>
        <v>Non-democratic</v>
      </c>
    </row>
    <row r="798">
      <c r="B798" t="str">
        <f t="shared" si="1"/>
        <v>#</v>
      </c>
      <c r="G798" t="str">
        <f>vlookup(B798,'imported-population-for-countri'!$A$4:$E$17930,5,false)</f>
        <v>#N/A</v>
      </c>
      <c r="H798" t="str">
        <f t="shared" si="2"/>
        <v>#N/A</v>
      </c>
      <c r="I798" t="str">
        <f t="shared" si="3"/>
        <v>Non-democratic</v>
      </c>
    </row>
    <row r="799">
      <c r="B799" t="str">
        <f t="shared" si="1"/>
        <v>#</v>
      </c>
      <c r="G799" t="str">
        <f>vlookup(B799,'imported-population-for-countri'!$A$4:$E$17930,5,false)</f>
        <v>#N/A</v>
      </c>
      <c r="H799" t="str">
        <f t="shared" si="2"/>
        <v>#N/A</v>
      </c>
      <c r="I799" t="str">
        <f t="shared" si="3"/>
        <v>Non-democratic</v>
      </c>
    </row>
    <row r="800">
      <c r="B800" t="str">
        <f t="shared" si="1"/>
        <v>#</v>
      </c>
      <c r="G800" t="str">
        <f>vlookup(B800,'imported-population-for-countri'!$A$4:$E$17930,5,false)</f>
        <v>#N/A</v>
      </c>
      <c r="H800" t="str">
        <f t="shared" si="2"/>
        <v>#N/A</v>
      </c>
      <c r="I800" t="str">
        <f t="shared" si="3"/>
        <v>Non-democratic</v>
      </c>
    </row>
    <row r="801">
      <c r="B801" t="str">
        <f t="shared" si="1"/>
        <v>#</v>
      </c>
      <c r="G801" t="str">
        <f>vlookup(B801,'imported-population-for-countri'!$A$4:$E$17930,5,false)</f>
        <v>#N/A</v>
      </c>
      <c r="H801" t="str">
        <f t="shared" si="2"/>
        <v>#N/A</v>
      </c>
      <c r="I801" t="str">
        <f t="shared" si="3"/>
        <v>Non-democratic</v>
      </c>
    </row>
    <row r="802">
      <c r="B802" t="str">
        <f t="shared" si="1"/>
        <v>#</v>
      </c>
      <c r="G802" t="str">
        <f>vlookup(B802,'imported-population-for-countri'!$A$4:$E$17930,5,false)</f>
        <v>#N/A</v>
      </c>
      <c r="H802" t="str">
        <f t="shared" si="2"/>
        <v>#N/A</v>
      </c>
      <c r="I802" t="str">
        <f t="shared" si="3"/>
        <v>Non-democratic</v>
      </c>
    </row>
    <row r="803">
      <c r="B803" t="str">
        <f t="shared" si="1"/>
        <v>#</v>
      </c>
      <c r="G803" t="str">
        <f>vlookup(B803,'imported-population-for-countri'!$A$4:$E$17930,5,false)</f>
        <v>#N/A</v>
      </c>
      <c r="H803" t="str">
        <f t="shared" si="2"/>
        <v>#N/A</v>
      </c>
      <c r="I803" t="str">
        <f t="shared" si="3"/>
        <v>Non-democratic</v>
      </c>
    </row>
    <row r="804">
      <c r="B804" t="str">
        <f t="shared" si="1"/>
        <v>#</v>
      </c>
      <c r="G804" t="str">
        <f>vlookup(B804,'imported-population-for-countri'!$A$4:$E$17930,5,false)</f>
        <v>#N/A</v>
      </c>
      <c r="H804" t="str">
        <f t="shared" si="2"/>
        <v>#N/A</v>
      </c>
      <c r="I804" t="str">
        <f t="shared" si="3"/>
        <v>Non-democratic</v>
      </c>
    </row>
    <row r="805">
      <c r="B805" t="str">
        <f t="shared" si="1"/>
        <v>#</v>
      </c>
      <c r="G805" t="str">
        <f>vlookup(B805,'imported-population-for-countri'!$A$4:$E$17930,5,false)</f>
        <v>#N/A</v>
      </c>
      <c r="H805" t="str">
        <f t="shared" si="2"/>
        <v>#N/A</v>
      </c>
      <c r="I805" t="str">
        <f t="shared" si="3"/>
        <v>Non-democratic</v>
      </c>
    </row>
    <row r="806">
      <c r="B806" t="str">
        <f t="shared" si="1"/>
        <v>#</v>
      </c>
      <c r="G806" t="str">
        <f>vlookup(B806,'imported-population-for-countri'!$A$4:$E$17930,5,false)</f>
        <v>#N/A</v>
      </c>
      <c r="H806" t="str">
        <f t="shared" si="2"/>
        <v>#N/A</v>
      </c>
      <c r="I806" t="str">
        <f t="shared" si="3"/>
        <v>Non-democratic</v>
      </c>
    </row>
    <row r="807">
      <c r="B807" t="str">
        <f t="shared" si="1"/>
        <v>#</v>
      </c>
      <c r="G807" t="str">
        <f>vlookup(B807,'imported-population-for-countri'!$A$4:$E$17930,5,false)</f>
        <v>#N/A</v>
      </c>
      <c r="H807" t="str">
        <f t="shared" si="2"/>
        <v>#N/A</v>
      </c>
      <c r="I807" t="str">
        <f t="shared" si="3"/>
        <v>Non-democratic</v>
      </c>
    </row>
    <row r="808">
      <c r="B808" t="str">
        <f t="shared" si="1"/>
        <v>#</v>
      </c>
      <c r="G808" t="str">
        <f>vlookup(B808,'imported-population-for-countri'!$A$4:$E$17930,5,false)</f>
        <v>#N/A</v>
      </c>
      <c r="H808" t="str">
        <f t="shared" si="2"/>
        <v>#N/A</v>
      </c>
      <c r="I808" t="str">
        <f t="shared" si="3"/>
        <v>Non-democratic</v>
      </c>
    </row>
    <row r="809">
      <c r="B809" t="str">
        <f t="shared" si="1"/>
        <v>#</v>
      </c>
      <c r="G809" t="str">
        <f>vlookup(B809,'imported-population-for-countri'!$A$4:$E$17930,5,false)</f>
        <v>#N/A</v>
      </c>
      <c r="H809" t="str">
        <f t="shared" si="2"/>
        <v>#N/A</v>
      </c>
      <c r="I809" t="str">
        <f t="shared" si="3"/>
        <v>Non-democratic</v>
      </c>
    </row>
    <row r="810">
      <c r="B810" t="str">
        <f t="shared" si="1"/>
        <v>#</v>
      </c>
      <c r="G810" t="str">
        <f>vlookup(B810,'imported-population-for-countri'!$A$4:$E$17930,5,false)</f>
        <v>#N/A</v>
      </c>
      <c r="H810" t="str">
        <f t="shared" si="2"/>
        <v>#N/A</v>
      </c>
      <c r="I810" t="str">
        <f t="shared" si="3"/>
        <v>Non-democratic</v>
      </c>
    </row>
    <row r="811">
      <c r="B811" t="str">
        <f t="shared" si="1"/>
        <v>#</v>
      </c>
      <c r="G811" t="str">
        <f>vlookup(B811,'imported-population-for-countri'!$A$4:$E$17930,5,false)</f>
        <v>#N/A</v>
      </c>
      <c r="H811" t="str">
        <f t="shared" si="2"/>
        <v>#N/A</v>
      </c>
      <c r="I811" t="str">
        <f t="shared" si="3"/>
        <v>Non-democratic</v>
      </c>
    </row>
    <row r="812">
      <c r="B812" t="str">
        <f t="shared" si="1"/>
        <v>#</v>
      </c>
      <c r="G812" t="str">
        <f>vlookup(B812,'imported-population-for-countri'!$A$4:$E$17930,5,false)</f>
        <v>#N/A</v>
      </c>
      <c r="H812" t="str">
        <f t="shared" si="2"/>
        <v>#N/A</v>
      </c>
      <c r="I812" t="str">
        <f t="shared" si="3"/>
        <v>Non-democratic</v>
      </c>
    </row>
    <row r="813">
      <c r="B813" t="str">
        <f t="shared" si="1"/>
        <v>#</v>
      </c>
      <c r="G813" t="str">
        <f>vlookup(B813,'imported-population-for-countri'!$A$4:$E$17930,5,false)</f>
        <v>#N/A</v>
      </c>
      <c r="H813" t="str">
        <f t="shared" si="2"/>
        <v>#N/A</v>
      </c>
      <c r="I813" t="str">
        <f t="shared" si="3"/>
        <v>Non-democratic</v>
      </c>
    </row>
    <row r="814">
      <c r="B814" t="str">
        <f t="shared" si="1"/>
        <v>#</v>
      </c>
      <c r="G814" t="str">
        <f>vlookup(B814,'imported-population-for-countri'!$A$4:$E$17930,5,false)</f>
        <v>#N/A</v>
      </c>
      <c r="H814" t="str">
        <f t="shared" si="2"/>
        <v>#N/A</v>
      </c>
      <c r="I814" t="str">
        <f t="shared" si="3"/>
        <v>Non-democratic</v>
      </c>
    </row>
    <row r="815">
      <c r="B815" t="str">
        <f t="shared" si="1"/>
        <v>#</v>
      </c>
      <c r="G815" t="str">
        <f>vlookup(B815,'imported-population-for-countri'!$A$4:$E$17930,5,false)</f>
        <v>#N/A</v>
      </c>
      <c r="H815" t="str">
        <f t="shared" si="2"/>
        <v>#N/A</v>
      </c>
      <c r="I815" t="str">
        <f t="shared" si="3"/>
        <v>Non-democratic</v>
      </c>
    </row>
    <row r="816">
      <c r="B816" t="str">
        <f t="shared" si="1"/>
        <v>#</v>
      </c>
      <c r="G816" t="str">
        <f>vlookup(B816,'imported-population-for-countri'!$A$4:$E$17930,5,false)</f>
        <v>#N/A</v>
      </c>
      <c r="H816" t="str">
        <f t="shared" si="2"/>
        <v>#N/A</v>
      </c>
      <c r="I816" t="str">
        <f t="shared" si="3"/>
        <v>Non-democratic</v>
      </c>
    </row>
    <row r="817">
      <c r="B817" t="str">
        <f t="shared" si="1"/>
        <v>#</v>
      </c>
      <c r="G817" t="str">
        <f>vlookup(B817,'imported-population-for-countri'!$A$4:$E$17930,5,false)</f>
        <v>#N/A</v>
      </c>
      <c r="H817" t="str">
        <f t="shared" si="2"/>
        <v>#N/A</v>
      </c>
      <c r="I817" t="str">
        <f t="shared" si="3"/>
        <v>Non-democratic</v>
      </c>
    </row>
    <row r="818">
      <c r="B818" t="str">
        <f t="shared" si="1"/>
        <v>#</v>
      </c>
      <c r="G818" t="str">
        <f>vlookup(B818,'imported-population-for-countri'!$A$4:$E$17930,5,false)</f>
        <v>#N/A</v>
      </c>
      <c r="H818" t="str">
        <f t="shared" si="2"/>
        <v>#N/A</v>
      </c>
      <c r="I818" t="str">
        <f t="shared" si="3"/>
        <v>Non-democratic</v>
      </c>
    </row>
    <row r="819">
      <c r="B819" t="str">
        <f t="shared" si="1"/>
        <v>#</v>
      </c>
      <c r="G819" t="str">
        <f>vlookup(B819,'imported-population-for-countri'!$A$4:$E$17930,5,false)</f>
        <v>#N/A</v>
      </c>
      <c r="H819" t="str">
        <f t="shared" si="2"/>
        <v>#N/A</v>
      </c>
      <c r="I819" t="str">
        <f t="shared" si="3"/>
        <v>Non-democratic</v>
      </c>
    </row>
    <row r="820">
      <c r="B820" t="str">
        <f t="shared" si="1"/>
        <v>#</v>
      </c>
      <c r="G820" t="str">
        <f>vlookup(B820,'imported-population-for-countri'!$A$4:$E$17930,5,false)</f>
        <v>#N/A</v>
      </c>
      <c r="H820" t="str">
        <f t="shared" si="2"/>
        <v>#N/A</v>
      </c>
      <c r="I820" t="str">
        <f t="shared" si="3"/>
        <v>Non-democratic</v>
      </c>
    </row>
    <row r="821">
      <c r="B821" t="str">
        <f t="shared" si="1"/>
        <v>#</v>
      </c>
      <c r="G821" t="str">
        <f>vlookup(B821,'imported-population-for-countri'!$A$4:$E$17930,5,false)</f>
        <v>#N/A</v>
      </c>
      <c r="H821" t="str">
        <f t="shared" si="2"/>
        <v>#N/A</v>
      </c>
      <c r="I821" t="str">
        <f t="shared" si="3"/>
        <v>Non-democratic</v>
      </c>
    </row>
    <row r="822">
      <c r="B822" t="str">
        <f t="shared" si="1"/>
        <v>#</v>
      </c>
      <c r="G822" t="str">
        <f>vlookup(B822,'imported-population-for-countri'!$A$4:$E$17930,5,false)</f>
        <v>#N/A</v>
      </c>
      <c r="H822" t="str">
        <f t="shared" si="2"/>
        <v>#N/A</v>
      </c>
      <c r="I822" t="str">
        <f t="shared" si="3"/>
        <v>Non-democratic</v>
      </c>
    </row>
    <row r="823">
      <c r="B823" t="str">
        <f t="shared" si="1"/>
        <v>#</v>
      </c>
      <c r="G823" t="str">
        <f>vlookup(B823,'imported-population-for-countri'!$A$4:$E$17930,5,false)</f>
        <v>#N/A</v>
      </c>
      <c r="H823" t="str">
        <f t="shared" si="2"/>
        <v>#N/A</v>
      </c>
      <c r="I823" t="str">
        <f t="shared" si="3"/>
        <v>Non-democratic</v>
      </c>
    </row>
    <row r="824">
      <c r="B824" t="str">
        <f t="shared" si="1"/>
        <v>#</v>
      </c>
      <c r="G824" t="str">
        <f>vlookup(B824,'imported-population-for-countri'!$A$4:$E$17930,5,false)</f>
        <v>#N/A</v>
      </c>
      <c r="H824" t="str">
        <f t="shared" si="2"/>
        <v>#N/A</v>
      </c>
      <c r="I824" t="str">
        <f t="shared" si="3"/>
        <v>Non-democratic</v>
      </c>
    </row>
    <row r="825">
      <c r="B825" t="str">
        <f t="shared" si="1"/>
        <v>#</v>
      </c>
      <c r="G825" t="str">
        <f>vlookup(B825,'imported-population-for-countri'!$A$4:$E$17930,5,false)</f>
        <v>#N/A</v>
      </c>
      <c r="H825" t="str">
        <f t="shared" si="2"/>
        <v>#N/A</v>
      </c>
      <c r="I825" t="str">
        <f t="shared" si="3"/>
        <v>Non-democratic</v>
      </c>
    </row>
    <row r="826">
      <c r="B826" t="str">
        <f t="shared" si="1"/>
        <v>#</v>
      </c>
      <c r="G826" t="str">
        <f>vlookup(B826,'imported-population-for-countri'!$A$4:$E$17930,5,false)</f>
        <v>#N/A</v>
      </c>
      <c r="H826" t="str">
        <f t="shared" si="2"/>
        <v>#N/A</v>
      </c>
      <c r="I826" t="str">
        <f t="shared" si="3"/>
        <v>Non-democratic</v>
      </c>
    </row>
    <row r="827">
      <c r="B827" t="str">
        <f t="shared" si="1"/>
        <v>#</v>
      </c>
      <c r="G827" t="str">
        <f>vlookup(B827,'imported-population-for-countri'!$A$4:$E$17930,5,false)</f>
        <v>#N/A</v>
      </c>
      <c r="H827" t="str">
        <f t="shared" si="2"/>
        <v>#N/A</v>
      </c>
      <c r="I827" t="str">
        <f t="shared" si="3"/>
        <v>Non-democratic</v>
      </c>
    </row>
    <row r="828">
      <c r="B828" t="str">
        <f t="shared" si="1"/>
        <v>#</v>
      </c>
      <c r="G828" t="str">
        <f>vlookup(B828,'imported-population-for-countri'!$A$4:$E$17930,5,false)</f>
        <v>#N/A</v>
      </c>
      <c r="H828" t="str">
        <f t="shared" si="2"/>
        <v>#N/A</v>
      </c>
      <c r="I828" t="str">
        <f t="shared" si="3"/>
        <v>Non-democratic</v>
      </c>
    </row>
    <row r="829">
      <c r="B829" t="str">
        <f t="shared" si="1"/>
        <v>#</v>
      </c>
      <c r="G829" t="str">
        <f>vlookup(B829,'imported-population-for-countri'!$A$4:$E$17930,5,false)</f>
        <v>#N/A</v>
      </c>
      <c r="H829" t="str">
        <f t="shared" si="2"/>
        <v>#N/A</v>
      </c>
      <c r="I829" t="str">
        <f t="shared" si="3"/>
        <v>Non-democratic</v>
      </c>
    </row>
    <row r="830">
      <c r="B830" t="str">
        <f t="shared" si="1"/>
        <v>#</v>
      </c>
      <c r="G830" t="str">
        <f>vlookup(B830,'imported-population-for-countri'!$A$4:$E$17930,5,false)</f>
        <v>#N/A</v>
      </c>
      <c r="H830" t="str">
        <f t="shared" si="2"/>
        <v>#N/A</v>
      </c>
      <c r="I830" t="str">
        <f t="shared" si="3"/>
        <v>Non-democratic</v>
      </c>
    </row>
    <row r="831">
      <c r="B831" t="str">
        <f t="shared" si="1"/>
        <v>#</v>
      </c>
      <c r="G831" t="str">
        <f>vlookup(B831,'imported-population-for-countri'!$A$4:$E$17930,5,false)</f>
        <v>#N/A</v>
      </c>
      <c r="H831" t="str">
        <f t="shared" si="2"/>
        <v>#N/A</v>
      </c>
      <c r="I831" t="str">
        <f t="shared" si="3"/>
        <v>Non-democratic</v>
      </c>
    </row>
    <row r="832">
      <c r="B832" t="str">
        <f t="shared" si="1"/>
        <v>#</v>
      </c>
      <c r="G832" t="str">
        <f>vlookup(B832,'imported-population-for-countri'!$A$4:$E$17930,5,false)</f>
        <v>#N/A</v>
      </c>
      <c r="H832" t="str">
        <f t="shared" si="2"/>
        <v>#N/A</v>
      </c>
      <c r="I832" t="str">
        <f t="shared" si="3"/>
        <v>Non-democratic</v>
      </c>
    </row>
    <row r="833">
      <c r="B833" t="str">
        <f t="shared" si="1"/>
        <v>#</v>
      </c>
      <c r="G833" t="str">
        <f>vlookup(B833,'imported-population-for-countri'!$A$4:$E$17930,5,false)</f>
        <v>#N/A</v>
      </c>
      <c r="H833" t="str">
        <f t="shared" si="2"/>
        <v>#N/A</v>
      </c>
      <c r="I833" t="str">
        <f t="shared" si="3"/>
        <v>Non-democratic</v>
      </c>
    </row>
    <row r="834">
      <c r="B834" t="str">
        <f t="shared" si="1"/>
        <v>#</v>
      </c>
      <c r="G834" t="str">
        <f>vlookup(B834,'imported-population-for-countri'!$A$4:$E$17930,5,false)</f>
        <v>#N/A</v>
      </c>
      <c r="H834" t="str">
        <f t="shared" si="2"/>
        <v>#N/A</v>
      </c>
      <c r="I834" t="str">
        <f t="shared" si="3"/>
        <v>Non-democratic</v>
      </c>
    </row>
    <row r="835">
      <c r="B835" t="str">
        <f t="shared" si="1"/>
        <v>#</v>
      </c>
      <c r="G835" t="str">
        <f>vlookup(B835,'imported-population-for-countri'!$A$4:$E$17930,5,false)</f>
        <v>#N/A</v>
      </c>
      <c r="H835" t="str">
        <f t="shared" si="2"/>
        <v>#N/A</v>
      </c>
      <c r="I835" t="str">
        <f t="shared" si="3"/>
        <v>Non-democratic</v>
      </c>
    </row>
    <row r="836">
      <c r="B836" t="str">
        <f t="shared" si="1"/>
        <v>#</v>
      </c>
      <c r="G836" t="str">
        <f>vlookup(B836,'imported-population-for-countri'!$A$4:$E$17930,5,false)</f>
        <v>#N/A</v>
      </c>
      <c r="H836" t="str">
        <f t="shared" si="2"/>
        <v>#N/A</v>
      </c>
      <c r="I836" t="str">
        <f t="shared" si="3"/>
        <v>Non-democratic</v>
      </c>
    </row>
    <row r="837">
      <c r="B837" t="str">
        <f t="shared" si="1"/>
        <v>#</v>
      </c>
      <c r="G837" t="str">
        <f>vlookup(B837,'imported-population-for-countri'!$A$4:$E$17930,5,false)</f>
        <v>#N/A</v>
      </c>
      <c r="H837" t="str">
        <f t="shared" si="2"/>
        <v>#N/A</v>
      </c>
      <c r="I837" t="str">
        <f t="shared" si="3"/>
        <v>Non-democratic</v>
      </c>
    </row>
    <row r="838">
      <c r="B838" t="str">
        <f t="shared" si="1"/>
        <v>#</v>
      </c>
      <c r="G838" t="str">
        <f>vlookup(B838,'imported-population-for-countri'!$A$4:$E$17930,5,false)</f>
        <v>#N/A</v>
      </c>
      <c r="H838" t="str">
        <f t="shared" si="2"/>
        <v>#N/A</v>
      </c>
      <c r="I838" t="str">
        <f t="shared" si="3"/>
        <v>Non-democratic</v>
      </c>
    </row>
    <row r="839">
      <c r="B839" t="str">
        <f t="shared" si="1"/>
        <v>#</v>
      </c>
      <c r="G839" t="str">
        <f>vlookup(B839,'imported-population-for-countri'!$A$4:$E$17930,5,false)</f>
        <v>#N/A</v>
      </c>
      <c r="H839" t="str">
        <f t="shared" si="2"/>
        <v>#N/A</v>
      </c>
      <c r="I839" t="str">
        <f t="shared" si="3"/>
        <v>Non-democratic</v>
      </c>
    </row>
    <row r="840">
      <c r="B840" t="str">
        <f t="shared" si="1"/>
        <v>#</v>
      </c>
      <c r="G840" t="str">
        <f>vlookup(B840,'imported-population-for-countri'!$A$4:$E$17930,5,false)</f>
        <v>#N/A</v>
      </c>
      <c r="H840" t="str">
        <f t="shared" si="2"/>
        <v>#N/A</v>
      </c>
      <c r="I840" t="str">
        <f t="shared" si="3"/>
        <v>Non-democratic</v>
      </c>
    </row>
    <row r="841">
      <c r="B841" t="str">
        <f t="shared" si="1"/>
        <v>#</v>
      </c>
      <c r="G841" t="str">
        <f>vlookup(B841,'imported-population-for-countri'!$A$4:$E$17930,5,false)</f>
        <v>#N/A</v>
      </c>
      <c r="H841" t="str">
        <f t="shared" si="2"/>
        <v>#N/A</v>
      </c>
      <c r="I841" t="str">
        <f t="shared" si="3"/>
        <v>Non-democratic</v>
      </c>
    </row>
    <row r="842">
      <c r="B842" t="str">
        <f t="shared" si="1"/>
        <v>#</v>
      </c>
      <c r="G842" t="str">
        <f>vlookup(B842,'imported-population-for-countri'!$A$4:$E$17930,5,false)</f>
        <v>#N/A</v>
      </c>
      <c r="H842" t="str">
        <f t="shared" si="2"/>
        <v>#N/A</v>
      </c>
      <c r="I842" t="str">
        <f t="shared" si="3"/>
        <v>Non-democratic</v>
      </c>
    </row>
    <row r="843">
      <c r="B843" t="str">
        <f t="shared" si="1"/>
        <v>#</v>
      </c>
      <c r="G843" t="str">
        <f>vlookup(B843,'imported-population-for-countri'!$A$4:$E$17930,5,false)</f>
        <v>#N/A</v>
      </c>
      <c r="H843" t="str">
        <f t="shared" si="2"/>
        <v>#N/A</v>
      </c>
      <c r="I843" t="str">
        <f t="shared" si="3"/>
        <v>Non-democratic</v>
      </c>
    </row>
    <row r="844">
      <c r="B844" t="str">
        <f t="shared" si="1"/>
        <v>#</v>
      </c>
      <c r="G844" t="str">
        <f>vlookup(B844,'imported-population-for-countri'!$A$4:$E$17930,5,false)</f>
        <v>#N/A</v>
      </c>
      <c r="H844" t="str">
        <f t="shared" si="2"/>
        <v>#N/A</v>
      </c>
      <c r="I844" t="str">
        <f t="shared" si="3"/>
        <v>Non-democratic</v>
      </c>
    </row>
    <row r="845">
      <c r="B845" t="str">
        <f t="shared" si="1"/>
        <v>#</v>
      </c>
      <c r="G845" t="str">
        <f>vlookup(B845,'imported-population-for-countri'!$A$4:$E$17930,5,false)</f>
        <v>#N/A</v>
      </c>
      <c r="H845" t="str">
        <f t="shared" si="2"/>
        <v>#N/A</v>
      </c>
      <c r="I845" t="str">
        <f t="shared" si="3"/>
        <v>Non-democratic</v>
      </c>
    </row>
    <row r="846">
      <c r="B846" t="str">
        <f t="shared" si="1"/>
        <v>#</v>
      </c>
      <c r="G846" t="str">
        <f>vlookup(B846,'imported-population-for-countri'!$A$4:$E$17930,5,false)</f>
        <v>#N/A</v>
      </c>
      <c r="H846" t="str">
        <f t="shared" si="2"/>
        <v>#N/A</v>
      </c>
      <c r="I846" t="str">
        <f t="shared" si="3"/>
        <v>Non-democratic</v>
      </c>
    </row>
    <row r="847">
      <c r="B847" t="str">
        <f t="shared" si="1"/>
        <v>#</v>
      </c>
      <c r="G847" t="str">
        <f>vlookup(B847,'imported-population-for-countri'!$A$4:$E$17930,5,false)</f>
        <v>#N/A</v>
      </c>
      <c r="H847" t="str">
        <f t="shared" si="2"/>
        <v>#N/A</v>
      </c>
      <c r="I847" t="str">
        <f t="shared" si="3"/>
        <v>Non-democratic</v>
      </c>
    </row>
    <row r="848">
      <c r="B848" t="str">
        <f t="shared" si="1"/>
        <v>#</v>
      </c>
      <c r="G848" t="str">
        <f>vlookup(B848,'imported-population-for-countri'!$A$4:$E$17930,5,false)</f>
        <v>#N/A</v>
      </c>
      <c r="H848" t="str">
        <f t="shared" si="2"/>
        <v>#N/A</v>
      </c>
      <c r="I848" t="str">
        <f t="shared" si="3"/>
        <v>Non-democratic</v>
      </c>
    </row>
    <row r="849">
      <c r="B849" t="str">
        <f t="shared" si="1"/>
        <v>#</v>
      </c>
      <c r="G849" t="str">
        <f>vlookup(B849,'imported-population-for-countri'!$A$4:$E$17930,5,false)</f>
        <v>#N/A</v>
      </c>
      <c r="H849" t="str">
        <f t="shared" si="2"/>
        <v>#N/A</v>
      </c>
      <c r="I849" t="str">
        <f t="shared" si="3"/>
        <v>Non-democratic</v>
      </c>
    </row>
    <row r="850">
      <c r="B850" t="str">
        <f t="shared" si="1"/>
        <v>#</v>
      </c>
      <c r="G850" t="str">
        <f>vlookup(B850,'imported-population-for-countri'!$A$4:$E$17930,5,false)</f>
        <v>#N/A</v>
      </c>
      <c r="H850" t="str">
        <f t="shared" si="2"/>
        <v>#N/A</v>
      </c>
      <c r="I850" t="str">
        <f t="shared" si="3"/>
        <v>Non-democratic</v>
      </c>
    </row>
    <row r="851">
      <c r="B851" t="str">
        <f t="shared" si="1"/>
        <v>#</v>
      </c>
      <c r="G851" t="str">
        <f>vlookup(B851,'imported-population-for-countri'!$A$4:$E$17930,5,false)</f>
        <v>#N/A</v>
      </c>
      <c r="H851" t="str">
        <f t="shared" si="2"/>
        <v>#N/A</v>
      </c>
      <c r="I851" t="str">
        <f t="shared" si="3"/>
        <v>Non-democratic</v>
      </c>
    </row>
    <row r="852">
      <c r="B852" t="str">
        <f t="shared" si="1"/>
        <v>#</v>
      </c>
      <c r="G852" t="str">
        <f>vlookup(B852,'imported-population-for-countri'!$A$4:$E$17930,5,false)</f>
        <v>#N/A</v>
      </c>
      <c r="H852" t="str">
        <f t="shared" si="2"/>
        <v>#N/A</v>
      </c>
      <c r="I852" t="str">
        <f t="shared" si="3"/>
        <v>Non-democratic</v>
      </c>
    </row>
    <row r="853">
      <c r="B853" t="str">
        <f t="shared" si="1"/>
        <v>#</v>
      </c>
      <c r="G853" t="str">
        <f>vlookup(B853,'imported-population-for-countri'!$A$4:$E$17930,5,false)</f>
        <v>#N/A</v>
      </c>
      <c r="H853" t="str">
        <f t="shared" si="2"/>
        <v>#N/A</v>
      </c>
      <c r="I853" t="str">
        <f t="shared" si="3"/>
        <v>Non-democratic</v>
      </c>
    </row>
    <row r="854">
      <c r="B854" t="str">
        <f t="shared" si="1"/>
        <v>#</v>
      </c>
      <c r="G854" t="str">
        <f>vlookup(B854,'imported-population-for-countri'!$A$4:$E$17930,5,false)</f>
        <v>#N/A</v>
      </c>
      <c r="H854" t="str">
        <f t="shared" si="2"/>
        <v>#N/A</v>
      </c>
      <c r="I854" t="str">
        <f t="shared" si="3"/>
        <v>Non-democratic</v>
      </c>
    </row>
    <row r="855">
      <c r="B855" t="str">
        <f t="shared" si="1"/>
        <v>#</v>
      </c>
      <c r="G855" t="str">
        <f>vlookup(B855,'imported-population-for-countri'!$A$4:$E$17930,5,false)</f>
        <v>#N/A</v>
      </c>
      <c r="H855" t="str">
        <f t="shared" si="2"/>
        <v>#N/A</v>
      </c>
      <c r="I855" t="str">
        <f t="shared" si="3"/>
        <v>Non-democratic</v>
      </c>
    </row>
    <row r="856">
      <c r="B856" t="str">
        <f t="shared" si="1"/>
        <v>#</v>
      </c>
      <c r="G856" t="str">
        <f>vlookup(B856,'imported-population-for-countri'!$A$4:$E$17930,5,false)</f>
        <v>#N/A</v>
      </c>
      <c r="H856" t="str">
        <f t="shared" si="2"/>
        <v>#N/A</v>
      </c>
      <c r="I856" t="str">
        <f t="shared" si="3"/>
        <v>Non-democratic</v>
      </c>
    </row>
    <row r="857">
      <c r="B857" t="str">
        <f t="shared" si="1"/>
        <v>#</v>
      </c>
      <c r="G857" t="str">
        <f>vlookup(B857,'imported-population-for-countri'!$A$4:$E$17930,5,false)</f>
        <v>#N/A</v>
      </c>
      <c r="H857" t="str">
        <f t="shared" si="2"/>
        <v>#N/A</v>
      </c>
      <c r="I857" t="str">
        <f t="shared" si="3"/>
        <v>Non-democratic</v>
      </c>
    </row>
    <row r="858">
      <c r="B858" t="str">
        <f t="shared" si="1"/>
        <v>#</v>
      </c>
      <c r="G858" t="str">
        <f>vlookup(B858,'imported-population-for-countri'!$A$4:$E$17930,5,false)</f>
        <v>#N/A</v>
      </c>
      <c r="H858" t="str">
        <f t="shared" si="2"/>
        <v>#N/A</v>
      </c>
      <c r="I858" t="str">
        <f t="shared" si="3"/>
        <v>Non-democratic</v>
      </c>
    </row>
    <row r="859">
      <c r="B859" t="str">
        <f t="shared" si="1"/>
        <v>#</v>
      </c>
      <c r="G859" t="str">
        <f>vlookup(B859,'imported-population-for-countri'!$A$4:$E$17930,5,false)</f>
        <v>#N/A</v>
      </c>
      <c r="H859" t="str">
        <f t="shared" si="2"/>
        <v>#N/A</v>
      </c>
      <c r="I859" t="str">
        <f t="shared" si="3"/>
        <v>Non-democratic</v>
      </c>
    </row>
    <row r="860">
      <c r="B860" t="str">
        <f t="shared" si="1"/>
        <v>#</v>
      </c>
      <c r="G860" t="str">
        <f>vlookup(B860,'imported-population-for-countri'!$A$4:$E$17930,5,false)</f>
        <v>#N/A</v>
      </c>
      <c r="H860" t="str">
        <f t="shared" si="2"/>
        <v>#N/A</v>
      </c>
      <c r="I860" t="str">
        <f t="shared" si="3"/>
        <v>Non-democratic</v>
      </c>
    </row>
    <row r="861">
      <c r="B861" t="str">
        <f t="shared" si="1"/>
        <v>#</v>
      </c>
      <c r="G861" t="str">
        <f>vlookup(B861,'imported-population-for-countri'!$A$4:$E$17930,5,false)</f>
        <v>#N/A</v>
      </c>
      <c r="H861" t="str">
        <f t="shared" si="2"/>
        <v>#N/A</v>
      </c>
      <c r="I861" t="str">
        <f t="shared" si="3"/>
        <v>Non-democratic</v>
      </c>
    </row>
    <row r="862">
      <c r="B862" t="str">
        <f t="shared" si="1"/>
        <v>#</v>
      </c>
      <c r="G862" t="str">
        <f>vlookup(B862,'imported-population-for-countri'!$A$4:$E$17930,5,false)</f>
        <v>#N/A</v>
      </c>
      <c r="H862" t="str">
        <f t="shared" si="2"/>
        <v>#N/A</v>
      </c>
      <c r="I862" t="str">
        <f t="shared" si="3"/>
        <v>Non-democratic</v>
      </c>
    </row>
    <row r="863">
      <c r="B863" t="str">
        <f t="shared" si="1"/>
        <v>#</v>
      </c>
      <c r="G863" t="str">
        <f>vlookup(B863,'imported-population-for-countri'!$A$4:$E$17930,5,false)</f>
        <v>#N/A</v>
      </c>
      <c r="H863" t="str">
        <f t="shared" si="2"/>
        <v>#N/A</v>
      </c>
      <c r="I863" t="str">
        <f t="shared" si="3"/>
        <v>Non-democratic</v>
      </c>
    </row>
    <row r="864">
      <c r="B864" t="str">
        <f t="shared" si="1"/>
        <v>#</v>
      </c>
      <c r="G864" t="str">
        <f>vlookup(B864,'imported-population-for-countri'!$A$4:$E$17930,5,false)</f>
        <v>#N/A</v>
      </c>
      <c r="H864" t="str">
        <f t="shared" si="2"/>
        <v>#N/A</v>
      </c>
      <c r="I864" t="str">
        <f t="shared" si="3"/>
        <v>Non-democratic</v>
      </c>
    </row>
    <row r="865">
      <c r="B865" t="str">
        <f t="shared" si="1"/>
        <v>#</v>
      </c>
      <c r="G865" t="str">
        <f>vlookup(B865,'imported-population-for-countri'!$A$4:$E$17930,5,false)</f>
        <v>#N/A</v>
      </c>
      <c r="H865" t="str">
        <f t="shared" si="2"/>
        <v>#N/A</v>
      </c>
      <c r="I865" t="str">
        <f t="shared" si="3"/>
        <v>Non-democratic</v>
      </c>
    </row>
    <row r="866">
      <c r="B866" t="str">
        <f t="shared" si="1"/>
        <v>#</v>
      </c>
      <c r="G866" t="str">
        <f>vlookup(B866,'imported-population-for-countri'!$A$4:$E$17930,5,false)</f>
        <v>#N/A</v>
      </c>
      <c r="H866" t="str">
        <f t="shared" si="2"/>
        <v>#N/A</v>
      </c>
      <c r="I866" t="str">
        <f t="shared" si="3"/>
        <v>Non-democratic</v>
      </c>
    </row>
    <row r="867">
      <c r="B867" t="str">
        <f t="shared" si="1"/>
        <v>#</v>
      </c>
      <c r="G867" t="str">
        <f>vlookup(B867,'imported-population-for-countri'!$A$4:$E$17930,5,false)</f>
        <v>#N/A</v>
      </c>
      <c r="H867" t="str">
        <f t="shared" si="2"/>
        <v>#N/A</v>
      </c>
      <c r="I867" t="str">
        <f t="shared" si="3"/>
        <v>Non-democratic</v>
      </c>
    </row>
    <row r="868">
      <c r="B868" t="str">
        <f t="shared" si="1"/>
        <v>#</v>
      </c>
      <c r="G868" t="str">
        <f>vlookup(B868,'imported-population-for-countri'!$A$4:$E$17930,5,false)</f>
        <v>#N/A</v>
      </c>
      <c r="H868" t="str">
        <f t="shared" si="2"/>
        <v>#N/A</v>
      </c>
      <c r="I868" t="str">
        <f t="shared" si="3"/>
        <v>Non-democratic</v>
      </c>
    </row>
    <row r="869">
      <c r="B869" t="str">
        <f t="shared" si="1"/>
        <v>#</v>
      </c>
      <c r="G869" t="str">
        <f>vlookup(B869,'imported-population-for-countri'!$A$4:$E$17930,5,false)</f>
        <v>#N/A</v>
      </c>
      <c r="H869" t="str">
        <f t="shared" si="2"/>
        <v>#N/A</v>
      </c>
      <c r="I869" t="str">
        <f t="shared" si="3"/>
        <v>Non-democratic</v>
      </c>
    </row>
    <row r="870">
      <c r="B870" t="str">
        <f t="shared" si="1"/>
        <v>#</v>
      </c>
      <c r="G870" t="str">
        <f>vlookup(B870,'imported-population-for-countri'!$A$4:$E$17930,5,false)</f>
        <v>#N/A</v>
      </c>
      <c r="H870" t="str">
        <f t="shared" si="2"/>
        <v>#N/A</v>
      </c>
      <c r="I870" t="str">
        <f t="shared" si="3"/>
        <v>Non-democratic</v>
      </c>
    </row>
    <row r="871">
      <c r="B871" t="str">
        <f t="shared" si="1"/>
        <v>#</v>
      </c>
      <c r="G871" t="str">
        <f>vlookup(B871,'imported-population-for-countri'!$A$4:$E$17930,5,false)</f>
        <v>#N/A</v>
      </c>
      <c r="H871" t="str">
        <f t="shared" si="2"/>
        <v>#N/A</v>
      </c>
      <c r="I871" t="str">
        <f t="shared" si="3"/>
        <v>Non-democratic</v>
      </c>
    </row>
    <row r="872">
      <c r="B872" t="str">
        <f t="shared" si="1"/>
        <v>#</v>
      </c>
      <c r="G872" t="str">
        <f>vlookup(B872,'imported-population-for-countri'!$A$4:$E$17930,5,false)</f>
        <v>#N/A</v>
      </c>
      <c r="H872" t="str">
        <f t="shared" si="2"/>
        <v>#N/A</v>
      </c>
      <c r="I872" t="str">
        <f t="shared" si="3"/>
        <v>Non-democratic</v>
      </c>
    </row>
    <row r="873">
      <c r="B873" t="str">
        <f t="shared" si="1"/>
        <v>#</v>
      </c>
      <c r="G873" t="str">
        <f>vlookup(B873,'imported-population-for-countri'!$A$4:$E$17930,5,false)</f>
        <v>#N/A</v>
      </c>
      <c r="H873" t="str">
        <f t="shared" si="2"/>
        <v>#N/A</v>
      </c>
      <c r="I873" t="str">
        <f t="shared" si="3"/>
        <v>Non-democratic</v>
      </c>
    </row>
    <row r="874">
      <c r="B874" t="str">
        <f t="shared" si="1"/>
        <v>#</v>
      </c>
      <c r="G874" t="str">
        <f>vlookup(B874,'imported-population-for-countri'!$A$4:$E$17930,5,false)</f>
        <v>#N/A</v>
      </c>
      <c r="H874" t="str">
        <f t="shared" si="2"/>
        <v>#N/A</v>
      </c>
      <c r="I874" t="str">
        <f t="shared" si="3"/>
        <v>Non-democratic</v>
      </c>
    </row>
    <row r="875">
      <c r="B875" t="str">
        <f t="shared" si="1"/>
        <v>#</v>
      </c>
      <c r="G875" t="str">
        <f>vlookup(B875,'imported-population-for-countri'!$A$4:$E$17930,5,false)</f>
        <v>#N/A</v>
      </c>
      <c r="H875" t="str">
        <f t="shared" si="2"/>
        <v>#N/A</v>
      </c>
      <c r="I875" t="str">
        <f t="shared" si="3"/>
        <v>Non-democratic</v>
      </c>
    </row>
    <row r="876">
      <c r="B876" t="str">
        <f t="shared" si="1"/>
        <v>#</v>
      </c>
      <c r="G876" t="str">
        <f>vlookup(B876,'imported-population-for-countri'!$A$4:$E$17930,5,false)</f>
        <v>#N/A</v>
      </c>
      <c r="H876" t="str">
        <f t="shared" si="2"/>
        <v>#N/A</v>
      </c>
      <c r="I876" t="str">
        <f t="shared" si="3"/>
        <v>Non-democratic</v>
      </c>
    </row>
    <row r="877">
      <c r="B877" t="str">
        <f t="shared" si="1"/>
        <v>#</v>
      </c>
      <c r="G877" t="str">
        <f>vlookup(B877,'imported-population-for-countri'!$A$4:$E$17930,5,false)</f>
        <v>#N/A</v>
      </c>
      <c r="H877" t="str">
        <f t="shared" si="2"/>
        <v>#N/A</v>
      </c>
      <c r="I877" t="str">
        <f t="shared" si="3"/>
        <v>Non-democratic</v>
      </c>
    </row>
    <row r="878">
      <c r="B878" t="str">
        <f t="shared" si="1"/>
        <v>#</v>
      </c>
      <c r="G878" t="str">
        <f>vlookup(B878,'imported-population-for-countri'!$A$4:$E$17930,5,false)</f>
        <v>#N/A</v>
      </c>
      <c r="H878" t="str">
        <f t="shared" si="2"/>
        <v>#N/A</v>
      </c>
      <c r="I878" t="str">
        <f t="shared" si="3"/>
        <v>Non-democratic</v>
      </c>
    </row>
    <row r="879">
      <c r="B879" t="str">
        <f t="shared" si="1"/>
        <v>#</v>
      </c>
      <c r="G879" t="str">
        <f>vlookup(B879,'imported-population-for-countri'!$A$4:$E$17930,5,false)</f>
        <v>#N/A</v>
      </c>
      <c r="H879" t="str">
        <f t="shared" si="2"/>
        <v>#N/A</v>
      </c>
      <c r="I879" t="str">
        <f t="shared" si="3"/>
        <v>Non-democratic</v>
      </c>
    </row>
    <row r="880">
      <c r="B880" t="str">
        <f t="shared" si="1"/>
        <v>#</v>
      </c>
      <c r="G880" t="str">
        <f>vlookup(B880,'imported-population-for-countri'!$A$4:$E$17930,5,false)</f>
        <v>#N/A</v>
      </c>
      <c r="H880" t="str">
        <f t="shared" si="2"/>
        <v>#N/A</v>
      </c>
      <c r="I880" t="str">
        <f t="shared" si="3"/>
        <v>Non-democratic</v>
      </c>
    </row>
    <row r="881">
      <c r="B881" t="str">
        <f t="shared" si="1"/>
        <v>#</v>
      </c>
      <c r="G881" t="str">
        <f>vlookup(B881,'imported-population-for-countri'!$A$4:$E$17930,5,false)</f>
        <v>#N/A</v>
      </c>
      <c r="H881" t="str">
        <f t="shared" si="2"/>
        <v>#N/A</v>
      </c>
      <c r="I881" t="str">
        <f t="shared" si="3"/>
        <v>Non-democratic</v>
      </c>
    </row>
    <row r="882">
      <c r="B882" t="str">
        <f t="shared" si="1"/>
        <v>#</v>
      </c>
      <c r="G882" t="str">
        <f>vlookup(B882,'imported-population-for-countri'!$A$4:$E$17930,5,false)</f>
        <v>#N/A</v>
      </c>
      <c r="H882" t="str">
        <f t="shared" si="2"/>
        <v>#N/A</v>
      </c>
      <c r="I882" t="str">
        <f t="shared" si="3"/>
        <v>Non-democratic</v>
      </c>
    </row>
    <row r="883">
      <c r="B883" t="str">
        <f t="shared" si="1"/>
        <v>#</v>
      </c>
      <c r="G883" t="str">
        <f>vlookup(B883,'imported-population-for-countri'!$A$4:$E$17930,5,false)</f>
        <v>#N/A</v>
      </c>
      <c r="H883" t="str">
        <f t="shared" si="2"/>
        <v>#N/A</v>
      </c>
      <c r="I883" t="str">
        <f t="shared" si="3"/>
        <v>Non-democratic</v>
      </c>
    </row>
    <row r="884">
      <c r="B884" t="str">
        <f t="shared" si="1"/>
        <v>#</v>
      </c>
      <c r="G884" t="str">
        <f>vlookup(B884,'imported-population-for-countri'!$A$4:$E$17930,5,false)</f>
        <v>#N/A</v>
      </c>
      <c r="H884" t="str">
        <f t="shared" si="2"/>
        <v>#N/A</v>
      </c>
      <c r="I884" t="str">
        <f t="shared" si="3"/>
        <v>Non-democratic</v>
      </c>
    </row>
    <row r="885">
      <c r="B885" t="str">
        <f t="shared" si="1"/>
        <v>#</v>
      </c>
      <c r="G885" t="str">
        <f>vlookup(B885,'imported-population-for-countri'!$A$4:$E$17930,5,false)</f>
        <v>#N/A</v>
      </c>
      <c r="H885" t="str">
        <f t="shared" si="2"/>
        <v>#N/A</v>
      </c>
      <c r="I885" t="str">
        <f t="shared" si="3"/>
        <v>Non-democratic</v>
      </c>
    </row>
    <row r="886">
      <c r="B886" t="str">
        <f t="shared" si="1"/>
        <v>#</v>
      </c>
      <c r="G886" t="str">
        <f>vlookup(B886,'imported-population-for-countri'!$A$4:$E$17930,5,false)</f>
        <v>#N/A</v>
      </c>
      <c r="H886" t="str">
        <f t="shared" si="2"/>
        <v>#N/A</v>
      </c>
      <c r="I886" t="str">
        <f t="shared" si="3"/>
        <v>Non-democratic</v>
      </c>
    </row>
    <row r="887">
      <c r="B887" t="str">
        <f t="shared" si="1"/>
        <v>#</v>
      </c>
      <c r="G887" t="str">
        <f>vlookup(B887,'imported-population-for-countri'!$A$4:$E$17930,5,false)</f>
        <v>#N/A</v>
      </c>
      <c r="H887" t="str">
        <f t="shared" si="2"/>
        <v>#N/A</v>
      </c>
      <c r="I887" t="str">
        <f t="shared" si="3"/>
        <v>Non-democratic</v>
      </c>
    </row>
    <row r="888">
      <c r="B888" t="str">
        <f t="shared" si="1"/>
        <v>#</v>
      </c>
      <c r="G888" t="str">
        <f>vlookup(B888,'imported-population-for-countri'!$A$4:$E$17930,5,false)</f>
        <v>#N/A</v>
      </c>
      <c r="H888" t="str">
        <f t="shared" si="2"/>
        <v>#N/A</v>
      </c>
      <c r="I888" t="str">
        <f t="shared" si="3"/>
        <v>Non-democratic</v>
      </c>
    </row>
    <row r="889">
      <c r="B889" t="str">
        <f t="shared" si="1"/>
        <v>#</v>
      </c>
      <c r="G889" t="str">
        <f>vlookup(B889,'imported-population-for-countri'!$A$4:$E$17930,5,false)</f>
        <v>#N/A</v>
      </c>
      <c r="H889" t="str">
        <f t="shared" si="2"/>
        <v>#N/A</v>
      </c>
      <c r="I889" t="str">
        <f t="shared" si="3"/>
        <v>Non-democratic</v>
      </c>
    </row>
    <row r="890">
      <c r="B890" t="str">
        <f t="shared" si="1"/>
        <v>#</v>
      </c>
      <c r="G890" t="str">
        <f>vlookup(B890,'imported-population-for-countri'!$A$4:$E$17930,5,false)</f>
        <v>#N/A</v>
      </c>
      <c r="H890" t="str">
        <f t="shared" si="2"/>
        <v>#N/A</v>
      </c>
      <c r="I890" t="str">
        <f t="shared" si="3"/>
        <v>Non-democratic</v>
      </c>
    </row>
    <row r="891">
      <c r="B891" t="str">
        <f t="shared" si="1"/>
        <v>#</v>
      </c>
      <c r="G891" t="str">
        <f>vlookup(B891,'imported-population-for-countri'!$A$4:$E$17930,5,false)</f>
        <v>#N/A</v>
      </c>
      <c r="H891" t="str">
        <f t="shared" si="2"/>
        <v>#N/A</v>
      </c>
      <c r="I891" t="str">
        <f t="shared" si="3"/>
        <v>Non-democratic</v>
      </c>
    </row>
    <row r="892">
      <c r="B892" t="str">
        <f t="shared" si="1"/>
        <v>#</v>
      </c>
      <c r="G892" t="str">
        <f>vlookup(B892,'imported-population-for-countri'!$A$4:$E$17930,5,false)</f>
        <v>#N/A</v>
      </c>
      <c r="H892" t="str">
        <f t="shared" si="2"/>
        <v>#N/A</v>
      </c>
      <c r="I892" t="str">
        <f t="shared" si="3"/>
        <v>Non-democratic</v>
      </c>
    </row>
    <row r="893">
      <c r="B893" t="str">
        <f t="shared" si="1"/>
        <v>#</v>
      </c>
      <c r="G893" t="str">
        <f>vlookup(B893,'imported-population-for-countri'!$A$4:$E$17930,5,false)</f>
        <v>#N/A</v>
      </c>
      <c r="H893" t="str">
        <f t="shared" si="2"/>
        <v>#N/A</v>
      </c>
      <c r="I893" t="str">
        <f t="shared" si="3"/>
        <v>Non-democratic</v>
      </c>
    </row>
    <row r="894">
      <c r="B894" t="str">
        <f t="shared" si="1"/>
        <v>#</v>
      </c>
      <c r="G894" t="str">
        <f>vlookup(B894,'imported-population-for-countri'!$A$4:$E$17930,5,false)</f>
        <v>#N/A</v>
      </c>
      <c r="H894" t="str">
        <f t="shared" si="2"/>
        <v>#N/A</v>
      </c>
      <c r="I894" t="str">
        <f t="shared" si="3"/>
        <v>Non-democratic</v>
      </c>
    </row>
    <row r="895">
      <c r="B895" t="str">
        <f t="shared" si="1"/>
        <v>#</v>
      </c>
      <c r="G895" t="str">
        <f>vlookup(B895,'imported-population-for-countri'!$A$4:$E$17930,5,false)</f>
        <v>#N/A</v>
      </c>
      <c r="H895" t="str">
        <f t="shared" si="2"/>
        <v>#N/A</v>
      </c>
      <c r="I895" t="str">
        <f t="shared" si="3"/>
        <v>Non-democratic</v>
      </c>
    </row>
    <row r="896">
      <c r="B896" t="str">
        <f t="shared" si="1"/>
        <v>#</v>
      </c>
      <c r="G896" t="str">
        <f>vlookup(B896,'imported-population-for-countri'!$A$4:$E$17930,5,false)</f>
        <v>#N/A</v>
      </c>
      <c r="H896" t="str">
        <f t="shared" si="2"/>
        <v>#N/A</v>
      </c>
      <c r="I896" t="str">
        <f t="shared" si="3"/>
        <v>Non-democratic</v>
      </c>
    </row>
    <row r="897">
      <c r="B897" t="str">
        <f t="shared" si="1"/>
        <v>#</v>
      </c>
      <c r="G897" t="str">
        <f>vlookup(B897,'imported-population-for-countri'!$A$4:$E$17930,5,false)</f>
        <v>#N/A</v>
      </c>
      <c r="H897" t="str">
        <f t="shared" si="2"/>
        <v>#N/A</v>
      </c>
      <c r="I897" t="str">
        <f t="shared" si="3"/>
        <v>Non-democratic</v>
      </c>
    </row>
    <row r="898">
      <c r="B898" t="str">
        <f t="shared" si="1"/>
        <v>#</v>
      </c>
      <c r="G898" t="str">
        <f>vlookup(B898,'imported-population-for-countri'!$A$4:$E$17930,5,false)</f>
        <v>#N/A</v>
      </c>
      <c r="H898" t="str">
        <f t="shared" si="2"/>
        <v>#N/A</v>
      </c>
      <c r="I898" t="str">
        <f t="shared" si="3"/>
        <v>Non-democratic</v>
      </c>
    </row>
    <row r="899">
      <c r="B899" t="str">
        <f t="shared" si="1"/>
        <v>#</v>
      </c>
      <c r="G899" t="str">
        <f>vlookup(B899,'imported-population-for-countri'!$A$4:$E$17930,5,false)</f>
        <v>#N/A</v>
      </c>
      <c r="H899" t="str">
        <f t="shared" si="2"/>
        <v>#N/A</v>
      </c>
      <c r="I899" t="str">
        <f t="shared" si="3"/>
        <v>Non-democratic</v>
      </c>
    </row>
    <row r="900">
      <c r="B900" t="str">
        <f t="shared" si="1"/>
        <v>#</v>
      </c>
      <c r="G900" t="str">
        <f>vlookup(B900,'imported-population-for-countri'!$A$4:$E$17930,5,false)</f>
        <v>#N/A</v>
      </c>
      <c r="H900" t="str">
        <f t="shared" si="2"/>
        <v>#N/A</v>
      </c>
      <c r="I900" t="str">
        <f t="shared" si="3"/>
        <v>Non-democratic</v>
      </c>
    </row>
    <row r="901">
      <c r="B901" t="str">
        <f t="shared" si="1"/>
        <v>#</v>
      </c>
      <c r="G901" t="str">
        <f>vlookup(B901,'imported-population-for-countri'!$A$4:$E$17930,5,false)</f>
        <v>#N/A</v>
      </c>
      <c r="H901" t="str">
        <f t="shared" si="2"/>
        <v>#N/A</v>
      </c>
      <c r="I901" t="str">
        <f t="shared" si="3"/>
        <v>Non-democratic</v>
      </c>
    </row>
    <row r="902">
      <c r="B902" t="str">
        <f t="shared" si="1"/>
        <v>#</v>
      </c>
      <c r="G902" t="str">
        <f>vlookup(B902,'imported-population-for-countri'!$A$4:$E$17930,5,false)</f>
        <v>#N/A</v>
      </c>
      <c r="H902" t="str">
        <f t="shared" si="2"/>
        <v>#N/A</v>
      </c>
      <c r="I902" t="str">
        <f t="shared" si="3"/>
        <v>Non-democratic</v>
      </c>
    </row>
    <row r="903">
      <c r="B903" t="str">
        <f t="shared" si="1"/>
        <v>#</v>
      </c>
      <c r="G903" t="str">
        <f>vlookup(B903,'imported-population-for-countri'!$A$4:$E$17930,5,false)</f>
        <v>#N/A</v>
      </c>
      <c r="H903" t="str">
        <f t="shared" si="2"/>
        <v>#N/A</v>
      </c>
      <c r="I903" t="str">
        <f t="shared" si="3"/>
        <v>Non-democratic</v>
      </c>
    </row>
    <row r="904">
      <c r="B904" t="str">
        <f t="shared" si="1"/>
        <v>#</v>
      </c>
      <c r="G904" t="str">
        <f>vlookup(B904,'imported-population-for-countri'!$A$4:$E$17930,5,false)</f>
        <v>#N/A</v>
      </c>
      <c r="H904" t="str">
        <f t="shared" si="2"/>
        <v>#N/A</v>
      </c>
      <c r="I904" t="str">
        <f t="shared" si="3"/>
        <v>Non-democratic</v>
      </c>
    </row>
    <row r="905">
      <c r="B905" t="str">
        <f t="shared" si="1"/>
        <v>#</v>
      </c>
      <c r="G905" t="str">
        <f>vlookup(B905,'imported-population-for-countri'!$A$4:$E$17930,5,false)</f>
        <v>#N/A</v>
      </c>
      <c r="H905" t="str">
        <f t="shared" si="2"/>
        <v>#N/A</v>
      </c>
      <c r="I905" t="str">
        <f t="shared" si="3"/>
        <v>Non-democratic</v>
      </c>
    </row>
    <row r="906">
      <c r="B906" t="str">
        <f t="shared" si="1"/>
        <v>#</v>
      </c>
      <c r="G906" t="str">
        <f>vlookup(B906,'imported-population-for-countri'!$A$4:$E$17930,5,false)</f>
        <v>#N/A</v>
      </c>
      <c r="H906" t="str">
        <f t="shared" si="2"/>
        <v>#N/A</v>
      </c>
      <c r="I906" t="str">
        <f t="shared" si="3"/>
        <v>Non-democratic</v>
      </c>
    </row>
    <row r="907">
      <c r="B907" t="str">
        <f t="shared" si="1"/>
        <v>#</v>
      </c>
      <c r="G907" t="str">
        <f>vlookup(B907,'imported-population-for-countri'!$A$4:$E$17930,5,false)</f>
        <v>#N/A</v>
      </c>
      <c r="H907" t="str">
        <f t="shared" si="2"/>
        <v>#N/A</v>
      </c>
      <c r="I907" t="str">
        <f t="shared" si="3"/>
        <v>Non-democratic</v>
      </c>
    </row>
    <row r="908">
      <c r="B908" t="str">
        <f t="shared" si="1"/>
        <v>#</v>
      </c>
      <c r="G908" t="str">
        <f>vlookup(B908,'imported-population-for-countri'!$A$4:$E$17930,5,false)</f>
        <v>#N/A</v>
      </c>
      <c r="H908" t="str">
        <f t="shared" si="2"/>
        <v>#N/A</v>
      </c>
      <c r="I908" t="str">
        <f t="shared" si="3"/>
        <v>Non-democratic</v>
      </c>
    </row>
    <row r="909">
      <c r="B909" t="str">
        <f t="shared" si="1"/>
        <v>#</v>
      </c>
      <c r="G909" t="str">
        <f>vlookup(B909,'imported-population-for-countri'!$A$4:$E$17930,5,false)</f>
        <v>#N/A</v>
      </c>
      <c r="H909" t="str">
        <f t="shared" si="2"/>
        <v>#N/A</v>
      </c>
      <c r="I909" t="str">
        <f t="shared" si="3"/>
        <v>Non-democratic</v>
      </c>
    </row>
    <row r="910">
      <c r="B910" t="str">
        <f t="shared" si="1"/>
        <v>#</v>
      </c>
      <c r="G910" t="str">
        <f>vlookup(B910,'imported-population-for-countri'!$A$4:$E$17930,5,false)</f>
        <v>#N/A</v>
      </c>
      <c r="H910" t="str">
        <f t="shared" si="2"/>
        <v>#N/A</v>
      </c>
      <c r="I910" t="str">
        <f t="shared" si="3"/>
        <v>Non-democratic</v>
      </c>
    </row>
    <row r="911">
      <c r="B911" t="str">
        <f t="shared" si="1"/>
        <v>#</v>
      </c>
      <c r="G911" t="str">
        <f>vlookup(B911,'imported-population-for-countri'!$A$4:$E$17930,5,false)</f>
        <v>#N/A</v>
      </c>
      <c r="H911" t="str">
        <f t="shared" si="2"/>
        <v>#N/A</v>
      </c>
      <c r="I911" t="str">
        <f t="shared" si="3"/>
        <v>Non-democratic</v>
      </c>
    </row>
    <row r="912">
      <c r="B912" t="str">
        <f t="shared" si="1"/>
        <v>#</v>
      </c>
      <c r="G912" t="str">
        <f>vlookup(B912,'imported-population-for-countri'!$A$4:$E$17930,5,false)</f>
        <v>#N/A</v>
      </c>
      <c r="H912" t="str">
        <f t="shared" si="2"/>
        <v>#N/A</v>
      </c>
      <c r="I912" t="str">
        <f t="shared" si="3"/>
        <v>Non-democratic</v>
      </c>
    </row>
    <row r="913">
      <c r="B913" t="str">
        <f t="shared" si="1"/>
        <v>#</v>
      </c>
      <c r="G913" t="str">
        <f>vlookup(B913,'imported-population-for-countri'!$A$4:$E$17930,5,false)</f>
        <v>#N/A</v>
      </c>
      <c r="H913" t="str">
        <f t="shared" si="2"/>
        <v>#N/A</v>
      </c>
      <c r="I913" t="str">
        <f t="shared" si="3"/>
        <v>Non-democratic</v>
      </c>
    </row>
    <row r="914">
      <c r="B914" t="str">
        <f t="shared" si="1"/>
        <v>#</v>
      </c>
      <c r="G914" t="str">
        <f>vlookup(B914,'imported-population-for-countri'!$A$4:$E$17930,5,false)</f>
        <v>#N/A</v>
      </c>
      <c r="H914" t="str">
        <f t="shared" si="2"/>
        <v>#N/A</v>
      </c>
      <c r="I914" t="str">
        <f t="shared" si="3"/>
        <v>Non-democratic</v>
      </c>
    </row>
    <row r="915">
      <c r="B915" t="str">
        <f t="shared" si="1"/>
        <v>#</v>
      </c>
      <c r="G915" t="str">
        <f>vlookup(B915,'imported-population-for-countri'!$A$4:$E$17930,5,false)</f>
        <v>#N/A</v>
      </c>
      <c r="H915" t="str">
        <f t="shared" si="2"/>
        <v>#N/A</v>
      </c>
      <c r="I915" t="str">
        <f t="shared" si="3"/>
        <v>Non-democratic</v>
      </c>
    </row>
    <row r="916">
      <c r="B916" t="str">
        <f t="shared" si="1"/>
        <v>#</v>
      </c>
      <c r="G916" t="str">
        <f>vlookup(B916,'imported-population-for-countri'!$A$4:$E$17930,5,false)</f>
        <v>#N/A</v>
      </c>
      <c r="H916" t="str">
        <f t="shared" si="2"/>
        <v>#N/A</v>
      </c>
      <c r="I916" t="str">
        <f t="shared" si="3"/>
        <v>Non-democratic</v>
      </c>
    </row>
    <row r="917">
      <c r="B917" t="str">
        <f t="shared" si="1"/>
        <v>#</v>
      </c>
      <c r="G917" t="str">
        <f>vlookup(B917,'imported-population-for-countri'!$A$4:$E$17930,5,false)</f>
        <v>#N/A</v>
      </c>
      <c r="H917" t="str">
        <f t="shared" si="2"/>
        <v>#N/A</v>
      </c>
      <c r="I917" t="str">
        <f t="shared" si="3"/>
        <v>Non-democratic</v>
      </c>
    </row>
    <row r="918">
      <c r="B918" t="str">
        <f t="shared" si="1"/>
        <v>#</v>
      </c>
      <c r="G918" t="str">
        <f>vlookup(B918,'imported-population-for-countri'!$A$4:$E$17930,5,false)</f>
        <v>#N/A</v>
      </c>
      <c r="H918" t="str">
        <f t="shared" si="2"/>
        <v>#N/A</v>
      </c>
      <c r="I918" t="str">
        <f t="shared" si="3"/>
        <v>Non-democratic</v>
      </c>
    </row>
    <row r="919">
      <c r="B919" t="str">
        <f t="shared" si="1"/>
        <v>#</v>
      </c>
      <c r="G919" t="str">
        <f>vlookup(B919,'imported-population-for-countri'!$A$4:$E$17930,5,false)</f>
        <v>#N/A</v>
      </c>
      <c r="H919" t="str">
        <f t="shared" si="2"/>
        <v>#N/A</v>
      </c>
      <c r="I919" t="str">
        <f t="shared" si="3"/>
        <v>Non-democratic</v>
      </c>
    </row>
    <row r="920">
      <c r="B920" t="str">
        <f t="shared" si="1"/>
        <v>#</v>
      </c>
      <c r="G920" t="str">
        <f>vlookup(B920,'imported-population-for-countri'!$A$4:$E$17930,5,false)</f>
        <v>#N/A</v>
      </c>
      <c r="H920" t="str">
        <f t="shared" si="2"/>
        <v>#N/A</v>
      </c>
      <c r="I920" t="str">
        <f t="shared" si="3"/>
        <v>Non-democratic</v>
      </c>
    </row>
    <row r="921">
      <c r="B921" t="str">
        <f t="shared" si="1"/>
        <v>#</v>
      </c>
      <c r="G921" t="str">
        <f>vlookup(B921,'imported-population-for-countri'!$A$4:$E$17930,5,false)</f>
        <v>#N/A</v>
      </c>
      <c r="H921" t="str">
        <f t="shared" si="2"/>
        <v>#N/A</v>
      </c>
      <c r="I921" t="str">
        <f t="shared" si="3"/>
        <v>Non-democratic</v>
      </c>
    </row>
    <row r="922">
      <c r="B922" t="str">
        <f t="shared" si="1"/>
        <v>#</v>
      </c>
      <c r="G922" t="str">
        <f>vlookup(B922,'imported-population-for-countri'!$A$4:$E$17930,5,false)</f>
        <v>#N/A</v>
      </c>
      <c r="H922" t="str">
        <f t="shared" si="2"/>
        <v>#N/A</v>
      </c>
      <c r="I922" t="str">
        <f t="shared" si="3"/>
        <v>Non-democratic</v>
      </c>
    </row>
    <row r="923">
      <c r="B923" t="str">
        <f t="shared" si="1"/>
        <v>#</v>
      </c>
      <c r="G923" t="str">
        <f>vlookup(B923,'imported-population-for-countri'!$A$4:$E$17930,5,false)</f>
        <v>#N/A</v>
      </c>
      <c r="H923" t="str">
        <f t="shared" si="2"/>
        <v>#N/A</v>
      </c>
      <c r="I923" t="str">
        <f t="shared" si="3"/>
        <v>Non-democratic</v>
      </c>
    </row>
    <row r="924">
      <c r="B924" t="str">
        <f t="shared" si="1"/>
        <v>#</v>
      </c>
      <c r="G924" t="str">
        <f>vlookup(B924,'imported-population-for-countri'!$A$4:$E$17930,5,false)</f>
        <v>#N/A</v>
      </c>
      <c r="H924" t="str">
        <f t="shared" si="2"/>
        <v>#N/A</v>
      </c>
      <c r="I924" t="str">
        <f t="shared" si="3"/>
        <v>Non-democratic</v>
      </c>
    </row>
    <row r="925">
      <c r="B925" t="str">
        <f t="shared" si="1"/>
        <v>#</v>
      </c>
      <c r="G925" t="str">
        <f>vlookup(B925,'imported-population-for-countri'!$A$4:$E$17930,5,false)</f>
        <v>#N/A</v>
      </c>
      <c r="H925" t="str">
        <f t="shared" si="2"/>
        <v>#N/A</v>
      </c>
      <c r="I925" t="str">
        <f t="shared" si="3"/>
        <v>Non-democratic</v>
      </c>
    </row>
    <row r="926">
      <c r="B926" t="str">
        <f t="shared" si="1"/>
        <v>#</v>
      </c>
      <c r="G926" t="str">
        <f>vlookup(B926,'imported-population-for-countri'!$A$4:$E$17930,5,false)</f>
        <v>#N/A</v>
      </c>
      <c r="H926" t="str">
        <f t="shared" si="2"/>
        <v>#N/A</v>
      </c>
      <c r="I926" t="str">
        <f t="shared" si="3"/>
        <v>Non-democratic</v>
      </c>
    </row>
    <row r="927">
      <c r="B927" t="str">
        <f t="shared" si="1"/>
        <v>#</v>
      </c>
      <c r="G927" t="str">
        <f>vlookup(B927,'imported-population-for-countri'!$A$4:$E$17930,5,false)</f>
        <v>#N/A</v>
      </c>
      <c r="H927" t="str">
        <f t="shared" si="2"/>
        <v>#N/A</v>
      </c>
      <c r="I927" t="str">
        <f t="shared" si="3"/>
        <v>Non-democratic</v>
      </c>
    </row>
    <row r="928">
      <c r="B928" t="str">
        <f t="shared" si="1"/>
        <v>#</v>
      </c>
      <c r="G928" t="str">
        <f>vlookup(B928,'imported-population-for-countri'!$A$4:$E$17930,5,false)</f>
        <v>#N/A</v>
      </c>
      <c r="H928" t="str">
        <f t="shared" si="2"/>
        <v>#N/A</v>
      </c>
      <c r="I928" t="str">
        <f t="shared" si="3"/>
        <v>Non-democratic</v>
      </c>
    </row>
    <row r="929">
      <c r="B929" t="str">
        <f t="shared" si="1"/>
        <v>#</v>
      </c>
      <c r="G929" t="str">
        <f>vlookup(B929,'imported-population-for-countri'!$A$4:$E$17930,5,false)</f>
        <v>#N/A</v>
      </c>
      <c r="H929" t="str">
        <f t="shared" si="2"/>
        <v>#N/A</v>
      </c>
      <c r="I929" t="str">
        <f t="shared" si="3"/>
        <v>Non-democratic</v>
      </c>
    </row>
    <row r="930">
      <c r="B930" t="str">
        <f t="shared" si="1"/>
        <v>#</v>
      </c>
      <c r="G930" t="str">
        <f>vlookup(B930,'imported-population-for-countri'!$A$4:$E$17930,5,false)</f>
        <v>#N/A</v>
      </c>
      <c r="H930" t="str">
        <f t="shared" si="2"/>
        <v>#N/A</v>
      </c>
      <c r="I930" t="str">
        <f t="shared" si="3"/>
        <v>Non-democratic</v>
      </c>
    </row>
    <row r="931">
      <c r="B931" t="str">
        <f t="shared" si="1"/>
        <v>#</v>
      </c>
      <c r="G931" t="str">
        <f>vlookup(B931,'imported-population-for-countri'!$A$4:$E$17930,5,false)</f>
        <v>#N/A</v>
      </c>
      <c r="H931" t="str">
        <f t="shared" si="2"/>
        <v>#N/A</v>
      </c>
      <c r="I931" t="str">
        <f t="shared" si="3"/>
        <v>Non-democratic</v>
      </c>
    </row>
    <row r="932">
      <c r="B932" t="str">
        <f t="shared" si="1"/>
        <v>#</v>
      </c>
      <c r="G932" t="str">
        <f>vlookup(B932,'imported-population-for-countri'!$A$4:$E$17930,5,false)</f>
        <v>#N/A</v>
      </c>
      <c r="H932" t="str">
        <f t="shared" si="2"/>
        <v>#N/A</v>
      </c>
      <c r="I932" t="str">
        <f t="shared" si="3"/>
        <v>Non-democratic</v>
      </c>
    </row>
    <row r="933">
      <c r="B933" t="str">
        <f t="shared" si="1"/>
        <v>#</v>
      </c>
      <c r="G933" t="str">
        <f>vlookup(B933,'imported-population-for-countri'!$A$4:$E$17930,5,false)</f>
        <v>#N/A</v>
      </c>
      <c r="H933" t="str">
        <f t="shared" si="2"/>
        <v>#N/A</v>
      </c>
      <c r="I933" t="str">
        <f t="shared" si="3"/>
        <v>Non-democratic</v>
      </c>
    </row>
    <row r="934">
      <c r="B934" t="str">
        <f t="shared" si="1"/>
        <v>#</v>
      </c>
      <c r="G934" t="str">
        <f>vlookup(B934,'imported-population-for-countri'!$A$4:$E$17930,5,false)</f>
        <v>#N/A</v>
      </c>
      <c r="H934" t="str">
        <f t="shared" si="2"/>
        <v>#N/A</v>
      </c>
      <c r="I934" t="str">
        <f t="shared" si="3"/>
        <v>Non-democratic</v>
      </c>
    </row>
    <row r="935">
      <c r="B935" t="str">
        <f t="shared" si="1"/>
        <v>#</v>
      </c>
      <c r="G935" t="str">
        <f>vlookup(B935,'imported-population-for-countri'!$A$4:$E$17930,5,false)</f>
        <v>#N/A</v>
      </c>
      <c r="H935" t="str">
        <f t="shared" si="2"/>
        <v>#N/A</v>
      </c>
      <c r="I935" t="str">
        <f t="shared" si="3"/>
        <v>Non-democratic</v>
      </c>
    </row>
    <row r="936">
      <c r="B936" t="str">
        <f t="shared" si="1"/>
        <v>#</v>
      </c>
      <c r="G936" t="str">
        <f>vlookup(B936,'imported-population-for-countri'!$A$4:$E$17930,5,false)</f>
        <v>#N/A</v>
      </c>
      <c r="H936" t="str">
        <f t="shared" si="2"/>
        <v>#N/A</v>
      </c>
      <c r="I936" t="str">
        <f t="shared" si="3"/>
        <v>Non-democratic</v>
      </c>
    </row>
    <row r="937">
      <c r="B937" t="str">
        <f t="shared" si="1"/>
        <v>#</v>
      </c>
      <c r="G937" t="str">
        <f>vlookup(B937,'imported-population-for-countri'!$A$4:$E$17930,5,false)</f>
        <v>#N/A</v>
      </c>
      <c r="H937" t="str">
        <f t="shared" si="2"/>
        <v>#N/A</v>
      </c>
      <c r="I937" t="str">
        <f t="shared" si="3"/>
        <v>Non-democratic</v>
      </c>
    </row>
    <row r="938">
      <c r="B938" t="str">
        <f t="shared" si="1"/>
        <v>#</v>
      </c>
      <c r="G938" t="str">
        <f>vlookup(B938,'imported-population-for-countri'!$A$4:$E$17930,5,false)</f>
        <v>#N/A</v>
      </c>
      <c r="H938" t="str">
        <f t="shared" si="2"/>
        <v>#N/A</v>
      </c>
      <c r="I938" t="str">
        <f t="shared" si="3"/>
        <v>Non-democratic</v>
      </c>
    </row>
    <row r="939">
      <c r="B939" t="str">
        <f t="shared" si="1"/>
        <v>#</v>
      </c>
      <c r="G939" t="str">
        <f>vlookup(B939,'imported-population-for-countri'!$A$4:$E$17930,5,false)</f>
        <v>#N/A</v>
      </c>
      <c r="H939" t="str">
        <f t="shared" si="2"/>
        <v>#N/A</v>
      </c>
      <c r="I939" t="str">
        <f t="shared" si="3"/>
        <v>Non-democratic</v>
      </c>
    </row>
    <row r="940">
      <c r="B940" t="str">
        <f t="shared" si="1"/>
        <v>#</v>
      </c>
      <c r="G940" t="str">
        <f>vlookup(B940,'imported-population-for-countri'!$A$4:$E$17930,5,false)</f>
        <v>#N/A</v>
      </c>
      <c r="H940" t="str">
        <f t="shared" si="2"/>
        <v>#N/A</v>
      </c>
      <c r="I940" t="str">
        <f t="shared" si="3"/>
        <v>Non-democratic</v>
      </c>
    </row>
    <row r="941">
      <c r="B941" t="str">
        <f t="shared" si="1"/>
        <v>#</v>
      </c>
      <c r="G941" t="str">
        <f>vlookup(B941,'imported-population-for-countri'!$A$4:$E$17930,5,false)</f>
        <v>#N/A</v>
      </c>
      <c r="H941" t="str">
        <f t="shared" si="2"/>
        <v>#N/A</v>
      </c>
      <c r="I941" t="str">
        <f t="shared" si="3"/>
        <v>Non-democratic</v>
      </c>
    </row>
    <row r="942">
      <c r="B942" t="str">
        <f t="shared" si="1"/>
        <v>#</v>
      </c>
      <c r="G942" t="str">
        <f>vlookup(B942,'imported-population-for-countri'!$A$4:$E$17930,5,false)</f>
        <v>#N/A</v>
      </c>
      <c r="H942" t="str">
        <f t="shared" si="2"/>
        <v>#N/A</v>
      </c>
      <c r="I942" t="str">
        <f t="shared" si="3"/>
        <v>Non-democratic</v>
      </c>
    </row>
    <row r="943">
      <c r="B943" t="str">
        <f t="shared" si="1"/>
        <v>#</v>
      </c>
      <c r="G943" t="str">
        <f>vlookup(B943,'imported-population-for-countri'!$A$4:$E$17930,5,false)</f>
        <v>#N/A</v>
      </c>
      <c r="H943" t="str">
        <f t="shared" si="2"/>
        <v>#N/A</v>
      </c>
      <c r="I943" t="str">
        <f t="shared" si="3"/>
        <v>Non-democratic</v>
      </c>
    </row>
    <row r="944">
      <c r="B944" t="str">
        <f t="shared" si="1"/>
        <v>#</v>
      </c>
      <c r="G944" t="str">
        <f>vlookup(B944,'imported-population-for-countri'!$A$4:$E$17930,5,false)</f>
        <v>#N/A</v>
      </c>
      <c r="H944" t="str">
        <f t="shared" si="2"/>
        <v>#N/A</v>
      </c>
      <c r="I944" t="str">
        <f t="shared" si="3"/>
        <v>Non-democratic</v>
      </c>
    </row>
    <row r="945">
      <c r="B945" t="str">
        <f t="shared" si="1"/>
        <v>#</v>
      </c>
      <c r="G945" t="str">
        <f>vlookup(B945,'imported-population-for-countri'!$A$4:$E$17930,5,false)</f>
        <v>#N/A</v>
      </c>
      <c r="H945" t="str">
        <f t="shared" si="2"/>
        <v>#N/A</v>
      </c>
      <c r="I945" t="str">
        <f t="shared" si="3"/>
        <v>Non-democratic</v>
      </c>
    </row>
    <row r="946">
      <c r="B946" t="str">
        <f t="shared" si="1"/>
        <v>#</v>
      </c>
      <c r="G946" t="str">
        <f>vlookup(B946,'imported-population-for-countri'!$A$4:$E$17930,5,false)</f>
        <v>#N/A</v>
      </c>
      <c r="H946" t="str">
        <f t="shared" si="2"/>
        <v>#N/A</v>
      </c>
      <c r="I946" t="str">
        <f t="shared" si="3"/>
        <v>Non-democratic</v>
      </c>
    </row>
    <row r="947">
      <c r="B947" t="str">
        <f t="shared" si="1"/>
        <v>#</v>
      </c>
      <c r="G947" t="str">
        <f>vlookup(B947,'imported-population-for-countri'!$A$4:$E$17930,5,false)</f>
        <v>#N/A</v>
      </c>
      <c r="H947" t="str">
        <f t="shared" si="2"/>
        <v>#N/A</v>
      </c>
      <c r="I947" t="str">
        <f t="shared" si="3"/>
        <v>Non-democratic</v>
      </c>
    </row>
    <row r="948">
      <c r="B948" t="str">
        <f t="shared" si="1"/>
        <v>#</v>
      </c>
      <c r="G948" t="str">
        <f>vlookup(B948,'imported-population-for-countri'!$A$4:$E$17930,5,false)</f>
        <v>#N/A</v>
      </c>
      <c r="H948" t="str">
        <f t="shared" si="2"/>
        <v>#N/A</v>
      </c>
      <c r="I948" t="str">
        <f t="shared" si="3"/>
        <v>Non-democratic</v>
      </c>
    </row>
    <row r="949">
      <c r="B949" t="str">
        <f t="shared" si="1"/>
        <v>#</v>
      </c>
      <c r="G949" t="str">
        <f>vlookup(B949,'imported-population-for-countri'!$A$4:$E$17930,5,false)</f>
        <v>#N/A</v>
      </c>
      <c r="H949" t="str">
        <f t="shared" si="2"/>
        <v>#N/A</v>
      </c>
      <c r="I949" t="str">
        <f t="shared" si="3"/>
        <v>Non-democratic</v>
      </c>
    </row>
    <row r="950">
      <c r="B950" t="str">
        <f t="shared" si="1"/>
        <v>#</v>
      </c>
      <c r="G950" t="str">
        <f>vlookup(B950,'imported-population-for-countri'!$A$4:$E$17930,5,false)</f>
        <v>#N/A</v>
      </c>
      <c r="H950" t="str">
        <f t="shared" si="2"/>
        <v>#N/A</v>
      </c>
      <c r="I950" t="str">
        <f t="shared" si="3"/>
        <v>Non-democratic</v>
      </c>
    </row>
    <row r="951">
      <c r="B951" t="str">
        <f t="shared" si="1"/>
        <v>#</v>
      </c>
      <c r="G951" t="str">
        <f>vlookup(B951,'imported-population-for-countri'!$A$4:$E$17930,5,false)</f>
        <v>#N/A</v>
      </c>
      <c r="H951" t="str">
        <f t="shared" si="2"/>
        <v>#N/A</v>
      </c>
      <c r="I951" t="str">
        <f t="shared" si="3"/>
        <v>Non-democratic</v>
      </c>
    </row>
    <row r="952">
      <c r="B952" t="str">
        <f t="shared" si="1"/>
        <v>#</v>
      </c>
      <c r="G952" t="str">
        <f>vlookup(B952,'imported-population-for-countri'!$A$4:$E$17930,5,false)</f>
        <v>#N/A</v>
      </c>
      <c r="H952" t="str">
        <f t="shared" si="2"/>
        <v>#N/A</v>
      </c>
      <c r="I952" t="str">
        <f t="shared" si="3"/>
        <v>Non-democratic</v>
      </c>
    </row>
    <row r="953">
      <c r="B953" t="str">
        <f t="shared" si="1"/>
        <v>#</v>
      </c>
      <c r="G953" t="str">
        <f>vlookup(B953,'imported-population-for-countri'!$A$4:$E$17930,5,false)</f>
        <v>#N/A</v>
      </c>
      <c r="H953" t="str">
        <f t="shared" si="2"/>
        <v>#N/A</v>
      </c>
      <c r="I953" t="str">
        <f t="shared" si="3"/>
        <v>Non-democratic</v>
      </c>
    </row>
    <row r="954">
      <c r="B954" t="str">
        <f t="shared" si="1"/>
        <v>#</v>
      </c>
      <c r="G954" t="str">
        <f>vlookup(B954,'imported-population-for-countri'!$A$4:$E$17930,5,false)</f>
        <v>#N/A</v>
      </c>
      <c r="H954" t="str">
        <f t="shared" si="2"/>
        <v>#N/A</v>
      </c>
      <c r="I954" t="str">
        <f t="shared" si="3"/>
        <v>Non-democratic</v>
      </c>
    </row>
    <row r="955">
      <c r="B955" t="str">
        <f t="shared" si="1"/>
        <v>#</v>
      </c>
      <c r="G955" t="str">
        <f>vlookup(B955,'imported-population-for-countri'!$A$4:$E$17930,5,false)</f>
        <v>#N/A</v>
      </c>
      <c r="H955" t="str">
        <f t="shared" si="2"/>
        <v>#N/A</v>
      </c>
      <c r="I955" t="str">
        <f t="shared" si="3"/>
        <v>Non-democratic</v>
      </c>
    </row>
    <row r="956">
      <c r="B956" t="str">
        <f t="shared" si="1"/>
        <v>#</v>
      </c>
      <c r="G956" t="str">
        <f>vlookup(B956,'imported-population-for-countri'!$A$4:$E$17930,5,false)</f>
        <v>#N/A</v>
      </c>
      <c r="H956" t="str">
        <f t="shared" si="2"/>
        <v>#N/A</v>
      </c>
      <c r="I956" t="str">
        <f t="shared" si="3"/>
        <v>Non-democratic</v>
      </c>
    </row>
    <row r="957">
      <c r="B957" t="str">
        <f t="shared" si="1"/>
        <v>#</v>
      </c>
      <c r="G957" t="str">
        <f>vlookup(B957,'imported-population-for-countri'!$A$4:$E$17930,5,false)</f>
        <v>#N/A</v>
      </c>
      <c r="H957" t="str">
        <f t="shared" si="2"/>
        <v>#N/A</v>
      </c>
      <c r="I957" t="str">
        <f t="shared" si="3"/>
        <v>Non-democratic</v>
      </c>
    </row>
    <row r="958">
      <c r="B958" t="str">
        <f t="shared" si="1"/>
        <v>#</v>
      </c>
      <c r="G958" t="str">
        <f>vlookup(B958,'imported-population-for-countri'!$A$4:$E$17930,5,false)</f>
        <v>#N/A</v>
      </c>
      <c r="H958" t="str">
        <f t="shared" si="2"/>
        <v>#N/A</v>
      </c>
      <c r="I958" t="str">
        <f t="shared" si="3"/>
        <v>Non-democratic</v>
      </c>
    </row>
    <row r="959">
      <c r="B959" t="str">
        <f t="shared" si="1"/>
        <v>#</v>
      </c>
      <c r="G959" t="str">
        <f>vlookup(B959,'imported-population-for-countri'!$A$4:$E$17930,5,false)</f>
        <v>#N/A</v>
      </c>
      <c r="H959" t="str">
        <f t="shared" si="2"/>
        <v>#N/A</v>
      </c>
      <c r="I959" t="str">
        <f t="shared" si="3"/>
        <v>Non-democratic</v>
      </c>
    </row>
    <row r="960">
      <c r="B960" t="str">
        <f t="shared" si="1"/>
        <v>#</v>
      </c>
      <c r="G960" t="str">
        <f>vlookup(B960,'imported-population-for-countri'!$A$4:$E$17930,5,false)</f>
        <v>#N/A</v>
      </c>
      <c r="H960" t="str">
        <f t="shared" si="2"/>
        <v>#N/A</v>
      </c>
      <c r="I960" t="str">
        <f t="shared" si="3"/>
        <v>Non-democratic</v>
      </c>
    </row>
    <row r="961">
      <c r="B961" t="str">
        <f t="shared" si="1"/>
        <v>#</v>
      </c>
      <c r="G961" t="str">
        <f>vlookup(B961,'imported-population-for-countri'!$A$4:$E$17930,5,false)</f>
        <v>#N/A</v>
      </c>
      <c r="H961" t="str">
        <f t="shared" si="2"/>
        <v>#N/A</v>
      </c>
      <c r="I961" t="str">
        <f t="shared" si="3"/>
        <v>Non-democratic</v>
      </c>
    </row>
    <row r="962">
      <c r="B962" t="str">
        <f t="shared" si="1"/>
        <v>#</v>
      </c>
      <c r="G962" t="str">
        <f>vlookup(B962,'imported-population-for-countri'!$A$4:$E$17930,5,false)</f>
        <v>#N/A</v>
      </c>
      <c r="H962" t="str">
        <f t="shared" si="2"/>
        <v>#N/A</v>
      </c>
      <c r="I962" t="str">
        <f t="shared" si="3"/>
        <v>Non-democratic</v>
      </c>
    </row>
    <row r="963">
      <c r="B963" t="str">
        <f t="shared" si="1"/>
        <v>#</v>
      </c>
      <c r="G963" t="str">
        <f>vlookup(B963,'imported-population-for-countri'!$A$4:$E$17930,5,false)</f>
        <v>#N/A</v>
      </c>
      <c r="H963" t="str">
        <f t="shared" si="2"/>
        <v>#N/A</v>
      </c>
      <c r="I963" t="str">
        <f t="shared" si="3"/>
        <v>Non-democratic</v>
      </c>
    </row>
    <row r="964">
      <c r="B964" t="str">
        <f t="shared" si="1"/>
        <v>#</v>
      </c>
      <c r="G964" t="str">
        <f>vlookup(B964,'imported-population-for-countri'!$A$4:$E$17930,5,false)</f>
        <v>#N/A</v>
      </c>
      <c r="H964" t="str">
        <f t="shared" si="2"/>
        <v>#N/A</v>
      </c>
      <c r="I964" t="str">
        <f t="shared" si="3"/>
        <v>Non-democratic</v>
      </c>
    </row>
    <row r="965">
      <c r="B965" t="str">
        <f t="shared" si="1"/>
        <v>#</v>
      </c>
      <c r="G965" t="str">
        <f>vlookup(B965,'imported-population-for-countri'!$A$4:$E$17930,5,false)</f>
        <v>#N/A</v>
      </c>
      <c r="H965" t="str">
        <f t="shared" si="2"/>
        <v>#N/A</v>
      </c>
      <c r="I965" t="str">
        <f t="shared" si="3"/>
        <v>Non-democratic</v>
      </c>
    </row>
    <row r="966">
      <c r="B966" t="str">
        <f t="shared" si="1"/>
        <v>#</v>
      </c>
      <c r="G966" t="str">
        <f>vlookup(B966,'imported-population-for-countri'!$A$4:$E$17930,5,false)</f>
        <v>#N/A</v>
      </c>
      <c r="H966" t="str">
        <f t="shared" si="2"/>
        <v>#N/A</v>
      </c>
      <c r="I966" t="str">
        <f t="shared" si="3"/>
        <v>Non-democratic</v>
      </c>
    </row>
    <row r="967">
      <c r="B967" t="str">
        <f t="shared" si="1"/>
        <v>#</v>
      </c>
      <c r="G967" t="str">
        <f>vlookup(B967,'imported-population-for-countri'!$A$4:$E$17930,5,false)</f>
        <v>#N/A</v>
      </c>
      <c r="H967" t="str">
        <f t="shared" si="2"/>
        <v>#N/A</v>
      </c>
      <c r="I967" t="str">
        <f t="shared" si="3"/>
        <v>Non-democratic</v>
      </c>
    </row>
    <row r="968">
      <c r="B968" t="str">
        <f t="shared" si="1"/>
        <v>#</v>
      </c>
      <c r="G968" t="str">
        <f>vlookup(B968,'imported-population-for-countri'!$A$4:$E$17930,5,false)</f>
        <v>#N/A</v>
      </c>
      <c r="H968" t="str">
        <f t="shared" si="2"/>
        <v>#N/A</v>
      </c>
      <c r="I968" t="str">
        <f t="shared" si="3"/>
        <v>Non-democratic</v>
      </c>
    </row>
    <row r="969">
      <c r="B969" t="str">
        <f t="shared" si="1"/>
        <v>#</v>
      </c>
      <c r="G969" t="str">
        <f>vlookup(B969,'imported-population-for-countri'!$A$4:$E$17930,5,false)</f>
        <v>#N/A</v>
      </c>
      <c r="H969" t="str">
        <f t="shared" si="2"/>
        <v>#N/A</v>
      </c>
      <c r="I969" t="str">
        <f t="shared" si="3"/>
        <v>Non-democratic</v>
      </c>
    </row>
    <row r="970">
      <c r="B970" t="str">
        <f t="shared" si="1"/>
        <v>#</v>
      </c>
      <c r="G970" t="str">
        <f>vlookup(B970,'imported-population-for-countri'!$A$4:$E$17930,5,false)</f>
        <v>#N/A</v>
      </c>
      <c r="H970" t="str">
        <f t="shared" si="2"/>
        <v>#N/A</v>
      </c>
      <c r="I970" t="str">
        <f t="shared" si="3"/>
        <v>Non-democratic</v>
      </c>
    </row>
    <row r="971">
      <c r="B971" t="str">
        <f t="shared" si="1"/>
        <v>#</v>
      </c>
      <c r="G971" t="str">
        <f>vlookup(B971,'imported-population-for-countri'!$A$4:$E$17930,5,false)</f>
        <v>#N/A</v>
      </c>
      <c r="H971" t="str">
        <f t="shared" si="2"/>
        <v>#N/A</v>
      </c>
      <c r="I971" t="str">
        <f t="shared" si="3"/>
        <v>Non-democratic</v>
      </c>
    </row>
    <row r="972">
      <c r="B972" t="str">
        <f t="shared" si="1"/>
        <v>#</v>
      </c>
      <c r="G972" t="str">
        <f>vlookup(B972,'imported-population-for-countri'!$A$4:$E$17930,5,false)</f>
        <v>#N/A</v>
      </c>
      <c r="H972" t="str">
        <f t="shared" si="2"/>
        <v>#N/A</v>
      </c>
      <c r="I972" t="str">
        <f t="shared" si="3"/>
        <v>Non-democratic</v>
      </c>
    </row>
    <row r="973">
      <c r="B973" t="str">
        <f t="shared" si="1"/>
        <v>#</v>
      </c>
      <c r="G973" t="str">
        <f>vlookup(B973,'imported-population-for-countri'!$A$4:$E$17930,5,false)</f>
        <v>#N/A</v>
      </c>
      <c r="H973" t="str">
        <f t="shared" si="2"/>
        <v>#N/A</v>
      </c>
      <c r="I973" t="str">
        <f t="shared" si="3"/>
        <v>Non-democratic</v>
      </c>
    </row>
    <row r="974">
      <c r="B974" t="str">
        <f t="shared" si="1"/>
        <v>#</v>
      </c>
      <c r="G974" t="str">
        <f>vlookup(B974,'imported-population-for-countri'!$A$4:$E$17930,5,false)</f>
        <v>#N/A</v>
      </c>
      <c r="H974" t="str">
        <f t="shared" si="2"/>
        <v>#N/A</v>
      </c>
      <c r="I974" t="str">
        <f t="shared" si="3"/>
        <v>Non-democratic</v>
      </c>
    </row>
    <row r="975">
      <c r="B975" t="str">
        <f t="shared" si="1"/>
        <v>#</v>
      </c>
      <c r="G975" t="str">
        <f>vlookup(B975,'imported-population-for-countri'!$A$4:$E$17930,5,false)</f>
        <v>#N/A</v>
      </c>
      <c r="H975" t="str">
        <f t="shared" si="2"/>
        <v>#N/A</v>
      </c>
      <c r="I975" t="str">
        <f t="shared" si="3"/>
        <v>Non-democratic</v>
      </c>
    </row>
    <row r="976">
      <c r="B976" t="str">
        <f t="shared" si="1"/>
        <v>#</v>
      </c>
      <c r="G976" t="str">
        <f>vlookup(B976,'imported-population-for-countri'!$A$4:$E$17930,5,false)</f>
        <v>#N/A</v>
      </c>
      <c r="H976" t="str">
        <f t="shared" si="2"/>
        <v>#N/A</v>
      </c>
      <c r="I976" t="str">
        <f t="shared" si="3"/>
        <v>Non-democratic</v>
      </c>
    </row>
    <row r="977">
      <c r="B977" t="str">
        <f t="shared" si="1"/>
        <v>#</v>
      </c>
      <c r="G977" t="str">
        <f>vlookup(B977,'imported-population-for-countri'!$A$4:$E$17930,5,false)</f>
        <v>#N/A</v>
      </c>
      <c r="H977" t="str">
        <f t="shared" si="2"/>
        <v>#N/A</v>
      </c>
      <c r="I977" t="str">
        <f t="shared" si="3"/>
        <v>Non-democratic</v>
      </c>
    </row>
    <row r="978">
      <c r="B978" t="str">
        <f t="shared" si="1"/>
        <v>#</v>
      </c>
      <c r="G978" t="str">
        <f>vlookup(B978,'imported-population-for-countri'!$A$4:$E$17930,5,false)</f>
        <v>#N/A</v>
      </c>
      <c r="H978" t="str">
        <f t="shared" si="2"/>
        <v>#N/A</v>
      </c>
      <c r="I978" t="str">
        <f t="shared" si="3"/>
        <v>Non-democratic</v>
      </c>
    </row>
    <row r="979">
      <c r="B979" t="str">
        <f t="shared" si="1"/>
        <v>#</v>
      </c>
      <c r="G979" t="str">
        <f>vlookup(B979,'imported-population-for-countri'!$A$4:$E$17930,5,false)</f>
        <v>#N/A</v>
      </c>
      <c r="H979" t="str">
        <f t="shared" si="2"/>
        <v>#N/A</v>
      </c>
      <c r="I979" t="str">
        <f t="shared" si="3"/>
        <v>Non-democratic</v>
      </c>
    </row>
    <row r="980">
      <c r="B980" t="str">
        <f t="shared" si="1"/>
        <v>#</v>
      </c>
      <c r="G980" t="str">
        <f>vlookup(B980,'imported-population-for-countri'!$A$4:$E$17930,5,false)</f>
        <v>#N/A</v>
      </c>
      <c r="H980" t="str">
        <f t="shared" si="2"/>
        <v>#N/A</v>
      </c>
      <c r="I980" t="str">
        <f t="shared" si="3"/>
        <v>Non-democratic</v>
      </c>
    </row>
    <row r="981">
      <c r="B981" t="str">
        <f t="shared" si="1"/>
        <v>#</v>
      </c>
      <c r="G981" t="str">
        <f>vlookup(B981,'imported-population-for-countri'!$A$4:$E$17930,5,false)</f>
        <v>#N/A</v>
      </c>
      <c r="H981" t="str">
        <f t="shared" si="2"/>
        <v>#N/A</v>
      </c>
      <c r="I981" t="str">
        <f t="shared" si="3"/>
        <v>Non-democratic</v>
      </c>
    </row>
    <row r="982">
      <c r="B982" t="str">
        <f t="shared" si="1"/>
        <v>#</v>
      </c>
      <c r="G982" t="str">
        <f>vlookup(B982,'imported-population-for-countri'!$A$4:$E$17930,5,false)</f>
        <v>#N/A</v>
      </c>
      <c r="H982" t="str">
        <f t="shared" si="2"/>
        <v>#N/A</v>
      </c>
      <c r="I982" t="str">
        <f t="shared" si="3"/>
        <v>Non-democratic</v>
      </c>
    </row>
    <row r="983">
      <c r="B983" t="str">
        <f t="shared" si="1"/>
        <v>#</v>
      </c>
      <c r="G983" t="str">
        <f>vlookup(B983,'imported-population-for-countri'!$A$4:$E$17930,5,false)</f>
        <v>#N/A</v>
      </c>
      <c r="H983" t="str">
        <f t="shared" si="2"/>
        <v>#N/A</v>
      </c>
      <c r="I983" t="str">
        <f t="shared" si="3"/>
        <v>Non-democratic</v>
      </c>
    </row>
    <row r="984">
      <c r="B984" t="str">
        <f t="shared" si="1"/>
        <v>#</v>
      </c>
      <c r="G984" t="str">
        <f>vlookup(B984,'imported-population-for-countri'!$A$4:$E$17930,5,false)</f>
        <v>#N/A</v>
      </c>
      <c r="H984" t="str">
        <f t="shared" si="2"/>
        <v>#N/A</v>
      </c>
      <c r="I984" t="str">
        <f t="shared" si="3"/>
        <v>Non-democratic</v>
      </c>
    </row>
    <row r="985">
      <c r="B985" t="str">
        <f t="shared" si="1"/>
        <v>#</v>
      </c>
      <c r="G985" t="str">
        <f>vlookup(B985,'imported-population-for-countri'!$A$4:$E$17930,5,false)</f>
        <v>#N/A</v>
      </c>
      <c r="H985" t="str">
        <f t="shared" si="2"/>
        <v>#N/A</v>
      </c>
      <c r="I985" t="str">
        <f t="shared" si="3"/>
        <v>Non-democratic</v>
      </c>
    </row>
    <row r="986">
      <c r="B986" t="str">
        <f t="shared" si="1"/>
        <v>#</v>
      </c>
      <c r="G986" t="str">
        <f>vlookup(B986,'imported-population-for-countri'!$A$4:$E$17930,5,false)</f>
        <v>#N/A</v>
      </c>
      <c r="H986" t="str">
        <f t="shared" si="2"/>
        <v>#N/A</v>
      </c>
      <c r="I986" t="str">
        <f t="shared" si="3"/>
        <v>Non-democratic</v>
      </c>
    </row>
    <row r="987">
      <c r="B987" t="str">
        <f t="shared" si="1"/>
        <v>#</v>
      </c>
      <c r="G987" t="str">
        <f>vlookup(B987,'imported-population-for-countri'!$A$4:$E$17930,5,false)</f>
        <v>#N/A</v>
      </c>
      <c r="H987" t="str">
        <f t="shared" si="2"/>
        <v>#N/A</v>
      </c>
      <c r="I987" t="str">
        <f t="shared" si="3"/>
        <v>Non-democratic</v>
      </c>
    </row>
    <row r="988">
      <c r="B988" t="str">
        <f t="shared" si="1"/>
        <v>#</v>
      </c>
      <c r="G988" t="str">
        <f>vlookup(B988,'imported-population-for-countri'!$A$4:$E$17930,5,false)</f>
        <v>#N/A</v>
      </c>
      <c r="H988" t="str">
        <f t="shared" si="2"/>
        <v>#N/A</v>
      </c>
      <c r="I988" t="str">
        <f t="shared" si="3"/>
        <v>Non-democratic</v>
      </c>
    </row>
    <row r="989">
      <c r="B989" t="str">
        <f t="shared" si="1"/>
        <v>#</v>
      </c>
      <c r="G989" t="str">
        <f>vlookup(B989,'imported-population-for-countri'!$A$4:$E$17930,5,false)</f>
        <v>#N/A</v>
      </c>
      <c r="H989" t="str">
        <f t="shared" si="2"/>
        <v>#N/A</v>
      </c>
      <c r="I989" t="str">
        <f t="shared" si="3"/>
        <v>Non-democratic</v>
      </c>
    </row>
    <row r="990">
      <c r="B990" t="str">
        <f t="shared" si="1"/>
        <v>#</v>
      </c>
      <c r="G990" t="str">
        <f>vlookup(B990,'imported-population-for-countri'!$A$4:$E$17930,5,false)</f>
        <v>#N/A</v>
      </c>
      <c r="H990" t="str">
        <f t="shared" si="2"/>
        <v>#N/A</v>
      </c>
      <c r="I990" t="str">
        <f t="shared" si="3"/>
        <v>Non-democratic</v>
      </c>
    </row>
    <row r="991">
      <c r="B991" t="str">
        <f t="shared" si="1"/>
        <v>#</v>
      </c>
      <c r="G991" t="str">
        <f>vlookup(B991,'imported-population-for-countri'!$A$4:$E$17930,5,false)</f>
        <v>#N/A</v>
      </c>
      <c r="H991" t="str">
        <f t="shared" si="2"/>
        <v>#N/A</v>
      </c>
      <c r="I991" t="str">
        <f t="shared" si="3"/>
        <v>Non-democratic</v>
      </c>
    </row>
    <row r="992">
      <c r="B992" t="str">
        <f t="shared" si="1"/>
        <v>#</v>
      </c>
      <c r="G992" t="str">
        <f>vlookup(B992,'imported-population-for-countri'!$A$4:$E$17930,5,false)</f>
        <v>#N/A</v>
      </c>
      <c r="H992" t="str">
        <f t="shared" si="2"/>
        <v>#N/A</v>
      </c>
      <c r="I992" t="str">
        <f t="shared" si="3"/>
        <v>Non-democratic</v>
      </c>
    </row>
    <row r="993">
      <c r="B993" t="str">
        <f t="shared" si="1"/>
        <v>#</v>
      </c>
      <c r="G993" t="str">
        <f>vlookup(B993,'imported-population-for-countri'!$A$4:$E$17930,5,false)</f>
        <v>#N/A</v>
      </c>
      <c r="H993" t="str">
        <f t="shared" si="2"/>
        <v>#N/A</v>
      </c>
      <c r="I993" t="str">
        <f t="shared" si="3"/>
        <v>Non-democratic</v>
      </c>
    </row>
    <row r="994">
      <c r="B994" t="str">
        <f t="shared" si="1"/>
        <v>#</v>
      </c>
      <c r="G994" t="str">
        <f>vlookup(B994,'imported-population-for-countri'!$A$4:$E$17930,5,false)</f>
        <v>#N/A</v>
      </c>
      <c r="H994" t="str">
        <f t="shared" si="2"/>
        <v>#N/A</v>
      </c>
      <c r="I994" t="str">
        <f t="shared" si="3"/>
        <v>Non-democratic</v>
      </c>
    </row>
    <row r="995">
      <c r="B995" t="str">
        <f t="shared" si="1"/>
        <v>#</v>
      </c>
      <c r="G995" t="str">
        <f>vlookup(B995,'imported-population-for-countri'!$A$4:$E$17930,5,false)</f>
        <v>#N/A</v>
      </c>
      <c r="H995" t="str">
        <f t="shared" si="2"/>
        <v>#N/A</v>
      </c>
      <c r="I995" t="str">
        <f t="shared" si="3"/>
        <v>Non-democratic</v>
      </c>
    </row>
    <row r="996">
      <c r="B996" t="str">
        <f t="shared" si="1"/>
        <v>#</v>
      </c>
      <c r="G996" t="str">
        <f>vlookup(B996,'imported-population-for-countri'!$A$4:$E$17930,5,false)</f>
        <v>#N/A</v>
      </c>
      <c r="H996" t="str">
        <f t="shared" si="2"/>
        <v>#N/A</v>
      </c>
      <c r="I996" t="str">
        <f t="shared" si="3"/>
        <v>Non-democratic</v>
      </c>
    </row>
    <row r="997">
      <c r="B997" t="str">
        <f t="shared" si="1"/>
        <v>#</v>
      </c>
      <c r="G997" t="str">
        <f>vlookup(B997,'imported-population-for-countri'!$A$4:$E$17930,5,false)</f>
        <v>#N/A</v>
      </c>
      <c r="H997" t="str">
        <f t="shared" si="2"/>
        <v>#N/A</v>
      </c>
      <c r="I997" t="str">
        <f t="shared" si="3"/>
        <v>Non-democratic</v>
      </c>
    </row>
    <row r="998">
      <c r="B998" t="str">
        <f t="shared" si="1"/>
        <v>#</v>
      </c>
      <c r="G998" t="str">
        <f>vlookup(B998,'imported-population-for-countri'!$A$4:$E$17930,5,false)</f>
        <v>#N/A</v>
      </c>
      <c r="H998" t="str">
        <f t="shared" si="2"/>
        <v>#N/A</v>
      </c>
      <c r="I998" t="str">
        <f t="shared" si="3"/>
        <v>Non-democratic</v>
      </c>
    </row>
    <row r="999">
      <c r="B999" t="str">
        <f t="shared" si="1"/>
        <v>#</v>
      </c>
      <c r="G999" t="str">
        <f>vlookup(B999,'imported-population-for-countri'!$A$4:$E$17930,5,false)</f>
        <v>#N/A</v>
      </c>
      <c r="H999" t="str">
        <f t="shared" si="2"/>
        <v>#N/A</v>
      </c>
      <c r="I999" t="str">
        <f t="shared" si="3"/>
        <v>Non-democratic</v>
      </c>
    </row>
    <row r="1000">
      <c r="B1000" t="str">
        <f t="shared" si="1"/>
        <v>#</v>
      </c>
      <c r="G1000" t="str">
        <f>vlookup(B1000,'imported-population-for-countri'!$A$4:$E$17930,5,false)</f>
        <v>#N/A</v>
      </c>
      <c r="H1000" t="str">
        <f t="shared" si="2"/>
        <v>#N/A</v>
      </c>
      <c r="I1000" t="str">
        <f t="shared" si="3"/>
        <v>Non-democratic</v>
      </c>
    </row>
    <row r="1001">
      <c r="B1001" t="str">
        <f t="shared" si="1"/>
        <v>#</v>
      </c>
      <c r="G1001" t="str">
        <f>vlookup(B1001,'imported-population-for-countri'!$A$4:$E$17930,5,false)</f>
        <v>#N/A</v>
      </c>
      <c r="H1001" t="str">
        <f t="shared" si="2"/>
        <v>#N/A</v>
      </c>
      <c r="I1001" t="str">
        <f t="shared" si="3"/>
        <v>Non-democratic</v>
      </c>
    </row>
    <row r="1002">
      <c r="B1002" t="str">
        <f t="shared" si="1"/>
        <v>#</v>
      </c>
      <c r="G1002" t="str">
        <f>vlookup(B1002,'imported-population-for-countri'!$A$4:$E$17930,5,false)</f>
        <v>#N/A</v>
      </c>
      <c r="H1002" t="str">
        <f t="shared" si="2"/>
        <v>#N/A</v>
      </c>
      <c r="I1002" t="str">
        <f t="shared" si="3"/>
        <v>Non-democratic</v>
      </c>
    </row>
    <row r="1003">
      <c r="B1003" t="str">
        <f t="shared" si="1"/>
        <v>#</v>
      </c>
      <c r="G1003" t="str">
        <f>vlookup(B1003,'imported-population-for-countri'!$A$4:$E$17930,5,false)</f>
        <v>#N/A</v>
      </c>
      <c r="H1003" t="str">
        <f t="shared" si="2"/>
        <v>#N/A</v>
      </c>
      <c r="I1003" t="str">
        <f t="shared" si="3"/>
        <v>Non-democratic</v>
      </c>
    </row>
    <row r="1004">
      <c r="B1004" t="str">
        <f t="shared" si="1"/>
        <v>#</v>
      </c>
      <c r="G1004" t="str">
        <f>vlookup(B1004,'imported-population-for-countri'!$A$4:$E$17930,5,false)</f>
        <v>#N/A</v>
      </c>
      <c r="H1004" t="str">
        <f t="shared" si="2"/>
        <v>#N/A</v>
      </c>
      <c r="I1004" t="str">
        <f t="shared" si="3"/>
        <v>Non-democratic</v>
      </c>
    </row>
    <row r="1005">
      <c r="B1005" t="str">
        <f t="shared" si="1"/>
        <v>#</v>
      </c>
      <c r="G1005" t="str">
        <f>vlookup(B1005,'imported-population-for-countri'!$A$4:$E$17930,5,false)</f>
        <v>#N/A</v>
      </c>
      <c r="H1005" t="str">
        <f t="shared" si="2"/>
        <v>#N/A</v>
      </c>
      <c r="I1005" t="str">
        <f t="shared" si="3"/>
        <v>Non-democratic</v>
      </c>
    </row>
    <row r="1006">
      <c r="B1006" t="str">
        <f t="shared" si="1"/>
        <v>#</v>
      </c>
      <c r="G1006" t="str">
        <f>vlookup(B1006,'imported-population-for-countri'!$A$4:$E$17930,5,false)</f>
        <v>#N/A</v>
      </c>
      <c r="H1006" t="str">
        <f t="shared" si="2"/>
        <v>#N/A</v>
      </c>
      <c r="I1006" t="str">
        <f t="shared" si="3"/>
        <v>Non-democratic</v>
      </c>
    </row>
    <row r="1007">
      <c r="B1007" t="str">
        <f t="shared" si="1"/>
        <v>#</v>
      </c>
      <c r="G1007" t="str">
        <f>vlookup(B1007,'imported-population-for-countri'!$A$4:$E$17930,5,false)</f>
        <v>#N/A</v>
      </c>
      <c r="H1007" t="str">
        <f t="shared" si="2"/>
        <v>#N/A</v>
      </c>
      <c r="I1007" t="str">
        <f t="shared" si="3"/>
        <v>Non-democratic</v>
      </c>
    </row>
    <row r="1008">
      <c r="B1008" t="str">
        <f t="shared" si="1"/>
        <v>#</v>
      </c>
      <c r="G1008" t="str">
        <f>vlookup(B1008,'imported-population-for-countri'!$A$4:$E$17930,5,false)</f>
        <v>#N/A</v>
      </c>
      <c r="H1008" t="str">
        <f t="shared" si="2"/>
        <v>#N/A</v>
      </c>
      <c r="I1008" t="str">
        <f t="shared" si="3"/>
        <v>Non-democratic</v>
      </c>
    </row>
    <row r="1009">
      <c r="B1009" t="str">
        <f t="shared" si="1"/>
        <v>#</v>
      </c>
      <c r="G1009" t="str">
        <f>vlookup(B1009,'imported-population-for-countri'!$A$4:$E$17930,5,false)</f>
        <v>#N/A</v>
      </c>
      <c r="H1009" t="str">
        <f t="shared" si="2"/>
        <v>#N/A</v>
      </c>
      <c r="I1009" t="str">
        <f t="shared" si="3"/>
        <v>Non-democratic</v>
      </c>
    </row>
    <row r="1010">
      <c r="B1010" t="str">
        <f t="shared" si="1"/>
        <v>#</v>
      </c>
      <c r="G1010" t="str">
        <f>vlookup(B1010,'imported-population-for-countri'!$A$4:$E$17930,5,false)</f>
        <v>#N/A</v>
      </c>
      <c r="H1010" t="str">
        <f t="shared" si="2"/>
        <v>#N/A</v>
      </c>
      <c r="I1010" t="str">
        <f t="shared" si="3"/>
        <v>Non-democratic</v>
      </c>
    </row>
    <row r="1011">
      <c r="B1011" t="str">
        <f t="shared" si="1"/>
        <v>#</v>
      </c>
      <c r="G1011" t="str">
        <f>vlookup(B1011,'imported-population-for-countri'!$A$4:$E$17930,5,false)</f>
        <v>#N/A</v>
      </c>
      <c r="H1011" t="str">
        <f t="shared" si="2"/>
        <v>#N/A</v>
      </c>
      <c r="I1011" t="str">
        <f t="shared" si="3"/>
        <v>Non-democratic</v>
      </c>
    </row>
    <row r="1012">
      <c r="B1012" t="str">
        <f t="shared" si="1"/>
        <v>#</v>
      </c>
      <c r="G1012" t="str">
        <f>vlookup(B1012,'imported-population-for-countri'!$A$4:$E$17930,5,false)</f>
        <v>#N/A</v>
      </c>
      <c r="H1012" t="str">
        <f t="shared" si="2"/>
        <v>#N/A</v>
      </c>
      <c r="I1012" t="str">
        <f t="shared" si="3"/>
        <v>Non-democratic</v>
      </c>
    </row>
    <row r="1013">
      <c r="B1013" t="str">
        <f t="shared" si="1"/>
        <v>#</v>
      </c>
      <c r="G1013" t="str">
        <f>vlookup(B1013,'imported-population-for-countri'!$A$4:$E$17930,5,false)</f>
        <v>#N/A</v>
      </c>
      <c r="H1013" t="str">
        <f t="shared" si="2"/>
        <v>#N/A</v>
      </c>
      <c r="I1013" t="str">
        <f t="shared" si="3"/>
        <v>Non-democratic</v>
      </c>
    </row>
    <row r="1014">
      <c r="B1014" t="str">
        <f t="shared" si="1"/>
        <v>#</v>
      </c>
      <c r="G1014" t="str">
        <f>vlookup(B1014,'imported-population-for-countri'!$A$4:$E$17930,5,false)</f>
        <v>#N/A</v>
      </c>
      <c r="H1014" t="str">
        <f t="shared" si="2"/>
        <v>#N/A</v>
      </c>
      <c r="I1014" t="str">
        <f t="shared" si="3"/>
        <v>Non-democratic</v>
      </c>
    </row>
    <row r="1015">
      <c r="B1015" t="str">
        <f t="shared" si="1"/>
        <v>#</v>
      </c>
      <c r="G1015" t="str">
        <f>vlookup(B1015,'imported-population-for-countri'!$A$4:$E$17930,5,false)</f>
        <v>#N/A</v>
      </c>
      <c r="H1015" t="str">
        <f t="shared" si="2"/>
        <v>#N/A</v>
      </c>
      <c r="I1015" t="str">
        <f t="shared" si="3"/>
        <v>Non-democratic</v>
      </c>
    </row>
    <row r="1016">
      <c r="B1016" t="str">
        <f t="shared" si="1"/>
        <v>#</v>
      </c>
      <c r="G1016" t="str">
        <f>vlookup(B1016,'imported-population-for-countri'!$A$4:$E$17930,5,false)</f>
        <v>#N/A</v>
      </c>
      <c r="H1016" t="str">
        <f t="shared" si="2"/>
        <v>#N/A</v>
      </c>
      <c r="I1016" t="str">
        <f t="shared" si="3"/>
        <v>Non-democratic</v>
      </c>
    </row>
    <row r="1017">
      <c r="B1017" t="str">
        <f t="shared" si="1"/>
        <v>#</v>
      </c>
      <c r="G1017" t="str">
        <f>vlookup(B1017,'imported-population-for-countri'!$A$4:$E$17930,5,false)</f>
        <v>#N/A</v>
      </c>
      <c r="H1017" t="str">
        <f t="shared" si="2"/>
        <v>#N/A</v>
      </c>
      <c r="I1017" t="str">
        <f t="shared" si="3"/>
        <v>Non-democratic</v>
      </c>
    </row>
    <row r="1018">
      <c r="B1018" t="str">
        <f t="shared" si="1"/>
        <v>#</v>
      </c>
      <c r="G1018" t="str">
        <f>vlookup(B1018,'imported-population-for-countri'!$A$4:$E$17930,5,false)</f>
        <v>#N/A</v>
      </c>
      <c r="H1018" t="str">
        <f t="shared" si="2"/>
        <v>#N/A</v>
      </c>
      <c r="I1018" t="str">
        <f t="shared" si="3"/>
        <v>Non-democratic</v>
      </c>
    </row>
    <row r="1019">
      <c r="B1019" t="str">
        <f t="shared" si="1"/>
        <v>#</v>
      </c>
      <c r="G1019" t="str">
        <f>vlookup(B1019,'imported-population-for-countri'!$A$4:$E$17930,5,false)</f>
        <v>#N/A</v>
      </c>
      <c r="H1019" t="str">
        <f t="shared" si="2"/>
        <v>#N/A</v>
      </c>
      <c r="I1019" t="str">
        <f t="shared" si="3"/>
        <v>Non-democratic</v>
      </c>
    </row>
    <row r="1020">
      <c r="B1020" t="str">
        <f t="shared" si="1"/>
        <v>#</v>
      </c>
      <c r="G1020" t="str">
        <f>vlookup(B1020,'imported-population-for-countri'!$A$4:$E$17930,5,false)</f>
        <v>#N/A</v>
      </c>
      <c r="H1020" t="str">
        <f t="shared" si="2"/>
        <v>#N/A</v>
      </c>
      <c r="I1020" t="str">
        <f t="shared" si="3"/>
        <v>Non-democratic</v>
      </c>
    </row>
    <row r="1021">
      <c r="B1021" t="str">
        <f t="shared" si="1"/>
        <v>#</v>
      </c>
      <c r="G1021" t="str">
        <f>vlookup(B1021,'imported-population-for-countri'!$A$4:$E$17930,5,false)</f>
        <v>#N/A</v>
      </c>
      <c r="H1021" t="str">
        <f t="shared" si="2"/>
        <v>#N/A</v>
      </c>
      <c r="I1021" t="str">
        <f t="shared" si="3"/>
        <v>Non-democratic</v>
      </c>
    </row>
    <row r="1022">
      <c r="B1022" t="str">
        <f t="shared" si="1"/>
        <v>#</v>
      </c>
      <c r="G1022" t="str">
        <f>vlookup(B1022,'imported-population-for-countri'!$A$4:$E$17930,5,false)</f>
        <v>#N/A</v>
      </c>
      <c r="H1022" t="str">
        <f t="shared" si="2"/>
        <v>#N/A</v>
      </c>
      <c r="I1022" t="str">
        <f t="shared" si="3"/>
        <v>Non-democratic</v>
      </c>
    </row>
    <row r="1023">
      <c r="B1023" t="str">
        <f t="shared" si="1"/>
        <v>#</v>
      </c>
      <c r="G1023" t="str">
        <f>vlookup(B1023,'imported-population-for-countri'!$A$4:$E$17930,5,false)</f>
        <v>#N/A</v>
      </c>
      <c r="H1023" t="str">
        <f t="shared" si="2"/>
        <v>#N/A</v>
      </c>
      <c r="I1023" t="str">
        <f t="shared" si="3"/>
        <v>Non-democratic</v>
      </c>
    </row>
    <row r="1024">
      <c r="B1024" t="str">
        <f t="shared" si="1"/>
        <v>#</v>
      </c>
      <c r="G1024" t="str">
        <f>vlookup(B1024,'imported-population-for-countri'!$A$4:$E$17930,5,false)</f>
        <v>#N/A</v>
      </c>
      <c r="H1024" t="str">
        <f t="shared" si="2"/>
        <v>#N/A</v>
      </c>
      <c r="I1024" t="str">
        <f t="shared" si="3"/>
        <v>Non-democratic</v>
      </c>
    </row>
    <row r="1025">
      <c r="B1025" t="str">
        <f t="shared" si="1"/>
        <v>#</v>
      </c>
      <c r="G1025" t="str">
        <f>vlookup(B1025,'imported-population-for-countri'!$A$4:$E$17930,5,false)</f>
        <v>#N/A</v>
      </c>
      <c r="H1025" t="str">
        <f t="shared" si="2"/>
        <v>#N/A</v>
      </c>
      <c r="I1025" t="str">
        <f t="shared" si="3"/>
        <v>Non-democratic</v>
      </c>
    </row>
    <row r="1026">
      <c r="B1026" t="str">
        <f t="shared" si="1"/>
        <v>#</v>
      </c>
      <c r="G1026" t="str">
        <f>vlookup(B1026,'imported-population-for-countri'!$A$4:$E$17930,5,false)</f>
        <v>#N/A</v>
      </c>
      <c r="H1026" t="str">
        <f t="shared" si="2"/>
        <v>#N/A</v>
      </c>
      <c r="I1026" t="str">
        <f t="shared" si="3"/>
        <v>Non-democratic</v>
      </c>
    </row>
    <row r="1027">
      <c r="B1027" t="str">
        <f t="shared" si="1"/>
        <v>#</v>
      </c>
      <c r="G1027" t="str">
        <f>vlookup(B1027,'imported-population-for-countri'!$A$4:$E$17930,5,false)</f>
        <v>#N/A</v>
      </c>
      <c r="H1027" t="str">
        <f t="shared" si="2"/>
        <v>#N/A</v>
      </c>
      <c r="I1027" t="str">
        <f t="shared" si="3"/>
        <v>Non-democratic</v>
      </c>
    </row>
    <row r="1028">
      <c r="B1028" t="str">
        <f t="shared" si="1"/>
        <v>#</v>
      </c>
      <c r="G1028" t="str">
        <f>vlookup(B1028,'imported-population-for-countri'!$A$4:$E$17930,5,false)</f>
        <v>#N/A</v>
      </c>
      <c r="H1028" t="str">
        <f t="shared" si="2"/>
        <v>#N/A</v>
      </c>
      <c r="I1028" t="str">
        <f t="shared" si="3"/>
        <v>Non-democratic</v>
      </c>
    </row>
    <row r="1029">
      <c r="B1029" t="str">
        <f t="shared" si="1"/>
        <v>#</v>
      </c>
      <c r="G1029" t="str">
        <f>vlookup(B1029,'imported-population-for-countri'!$A$4:$E$17930,5,false)</f>
        <v>#N/A</v>
      </c>
      <c r="H1029" t="str">
        <f t="shared" si="2"/>
        <v>#N/A</v>
      </c>
      <c r="I1029" t="str">
        <f t="shared" si="3"/>
        <v>Non-democratic</v>
      </c>
    </row>
    <row r="1030">
      <c r="B1030" t="str">
        <f t="shared" si="1"/>
        <v>#</v>
      </c>
      <c r="G1030" t="str">
        <f>vlookup(B1030,'imported-population-for-countri'!$A$4:$E$17930,5,false)</f>
        <v>#N/A</v>
      </c>
      <c r="H1030" t="str">
        <f t="shared" si="2"/>
        <v>#N/A</v>
      </c>
      <c r="I1030" t="str">
        <f t="shared" si="3"/>
        <v>Non-democratic</v>
      </c>
    </row>
    <row r="1031">
      <c r="B1031" t="str">
        <f t="shared" si="1"/>
        <v>#</v>
      </c>
      <c r="G1031" t="str">
        <f>vlookup(B1031,'imported-population-for-countri'!$A$4:$E$17930,5,false)</f>
        <v>#N/A</v>
      </c>
      <c r="H1031" t="str">
        <f t="shared" si="2"/>
        <v>#N/A</v>
      </c>
      <c r="I1031" t="str">
        <f t="shared" si="3"/>
        <v>Non-democratic</v>
      </c>
    </row>
    <row r="1032">
      <c r="B1032" t="str">
        <f t="shared" si="1"/>
        <v>#</v>
      </c>
      <c r="G1032" t="str">
        <f>vlookup(B1032,'imported-population-for-countri'!$A$4:$E$17930,5,false)</f>
        <v>#N/A</v>
      </c>
      <c r="H1032" t="str">
        <f t="shared" si="2"/>
        <v>#N/A</v>
      </c>
      <c r="I1032" t="str">
        <f t="shared" si="3"/>
        <v>Non-democratic</v>
      </c>
    </row>
    <row r="1033">
      <c r="B1033" t="str">
        <f t="shared" si="1"/>
        <v>#</v>
      </c>
      <c r="G1033" t="str">
        <f>vlookup(B1033,'imported-population-for-countri'!$A$4:$E$17930,5,false)</f>
        <v>#N/A</v>
      </c>
      <c r="H1033" t="str">
        <f t="shared" si="2"/>
        <v>#N/A</v>
      </c>
      <c r="I1033" t="str">
        <f t="shared" si="3"/>
        <v>Non-democratic</v>
      </c>
    </row>
    <row r="1034">
      <c r="B1034" t="str">
        <f t="shared" si="1"/>
        <v>#</v>
      </c>
      <c r="G1034" t="str">
        <f>vlookup(B1034,'imported-population-for-countri'!$A$4:$E$17930,5,false)</f>
        <v>#N/A</v>
      </c>
      <c r="H1034" t="str">
        <f t="shared" si="2"/>
        <v>#N/A</v>
      </c>
      <c r="I1034" t="str">
        <f t="shared" si="3"/>
        <v>Non-democratic</v>
      </c>
    </row>
    <row r="1035">
      <c r="B1035" t="str">
        <f t="shared" si="1"/>
        <v>#</v>
      </c>
      <c r="G1035" t="str">
        <f>vlookup(B1035,'imported-population-for-countri'!$A$4:$E$17930,5,false)</f>
        <v>#N/A</v>
      </c>
      <c r="H1035" t="str">
        <f t="shared" si="2"/>
        <v>#N/A</v>
      </c>
      <c r="I1035" t="str">
        <f t="shared" si="3"/>
        <v>Non-democratic</v>
      </c>
    </row>
    <row r="1036">
      <c r="B1036" t="str">
        <f t="shared" si="1"/>
        <v>#</v>
      </c>
      <c r="G1036" t="str">
        <f>vlookup(B1036,'imported-population-for-countri'!$A$4:$E$17930,5,false)</f>
        <v>#N/A</v>
      </c>
      <c r="H1036" t="str">
        <f t="shared" si="2"/>
        <v>#N/A</v>
      </c>
      <c r="I1036" t="str">
        <f t="shared" si="3"/>
        <v>Non-democratic</v>
      </c>
    </row>
    <row r="1037">
      <c r="B1037" t="str">
        <f t="shared" si="1"/>
        <v>#</v>
      </c>
      <c r="G1037" t="str">
        <f>vlookup(B1037,'imported-population-for-countri'!$A$4:$E$17930,5,false)</f>
        <v>#N/A</v>
      </c>
      <c r="H1037" t="str">
        <f t="shared" si="2"/>
        <v>#N/A</v>
      </c>
      <c r="I1037" t="str">
        <f t="shared" si="3"/>
        <v>Non-democratic</v>
      </c>
    </row>
    <row r="1038">
      <c r="B1038" t="str">
        <f t="shared" si="1"/>
        <v>#</v>
      </c>
      <c r="G1038" t="str">
        <f>vlookup(B1038,'imported-population-for-countri'!$A$4:$E$17930,5,false)</f>
        <v>#N/A</v>
      </c>
      <c r="H1038" t="str">
        <f t="shared" si="2"/>
        <v>#N/A</v>
      </c>
      <c r="I1038" t="str">
        <f t="shared" si="3"/>
        <v>Non-democratic</v>
      </c>
    </row>
    <row r="1039">
      <c r="B1039" t="str">
        <f t="shared" si="1"/>
        <v>#</v>
      </c>
      <c r="G1039" t="str">
        <f>vlookup(B1039,'imported-population-for-countri'!$A$4:$E$17930,5,false)</f>
        <v>#N/A</v>
      </c>
      <c r="H1039" t="str">
        <f t="shared" si="2"/>
        <v>#N/A</v>
      </c>
      <c r="I1039" t="str">
        <f t="shared" si="3"/>
        <v>Non-democratic</v>
      </c>
    </row>
    <row r="1040">
      <c r="B1040" t="str">
        <f t="shared" si="1"/>
        <v>#</v>
      </c>
      <c r="G1040" t="str">
        <f>vlookup(B1040,'imported-population-for-countri'!$A$4:$E$17930,5,false)</f>
        <v>#N/A</v>
      </c>
      <c r="H1040" t="str">
        <f t="shared" si="2"/>
        <v>#N/A</v>
      </c>
      <c r="I1040" t="str">
        <f t="shared" si="3"/>
        <v>Non-democratic</v>
      </c>
    </row>
    <row r="1041">
      <c r="B1041" t="str">
        <f t="shared" si="1"/>
        <v>#</v>
      </c>
      <c r="G1041" t="str">
        <f>vlookup(B1041,'imported-population-for-countri'!$A$4:$E$17930,5,false)</f>
        <v>#N/A</v>
      </c>
      <c r="H1041" t="str">
        <f t="shared" si="2"/>
        <v>#N/A</v>
      </c>
      <c r="I1041" t="str">
        <f t="shared" si="3"/>
        <v>Non-democratic</v>
      </c>
    </row>
    <row r="1042">
      <c r="B1042" t="str">
        <f t="shared" si="1"/>
        <v>#</v>
      </c>
      <c r="G1042" t="str">
        <f>vlookup(B1042,'imported-population-for-countri'!$A$4:$E$17930,5,false)</f>
        <v>#N/A</v>
      </c>
      <c r="H1042" t="str">
        <f t="shared" si="2"/>
        <v>#N/A</v>
      </c>
      <c r="I1042" t="str">
        <f t="shared" si="3"/>
        <v>Non-democratic</v>
      </c>
    </row>
    <row r="1043">
      <c r="B1043" t="str">
        <f t="shared" si="1"/>
        <v>#</v>
      </c>
      <c r="G1043" t="str">
        <f>vlookup(B1043,'imported-population-for-countri'!$A$4:$E$17930,5,false)</f>
        <v>#N/A</v>
      </c>
      <c r="H1043" t="str">
        <f t="shared" si="2"/>
        <v>#N/A</v>
      </c>
      <c r="I1043" t="str">
        <f t="shared" si="3"/>
        <v>Non-democratic</v>
      </c>
    </row>
    <row r="1044">
      <c r="B1044" t="str">
        <f t="shared" si="1"/>
        <v>#</v>
      </c>
      <c r="G1044" t="str">
        <f>vlookup(B1044,'imported-population-for-countri'!$A$4:$E$17930,5,false)</f>
        <v>#N/A</v>
      </c>
      <c r="H1044" t="str">
        <f t="shared" si="2"/>
        <v>#N/A</v>
      </c>
      <c r="I1044" t="str">
        <f t="shared" si="3"/>
        <v>Non-democratic</v>
      </c>
    </row>
    <row r="1045">
      <c r="B1045" t="str">
        <f t="shared" si="1"/>
        <v>#</v>
      </c>
      <c r="G1045" t="str">
        <f>vlookup(B1045,'imported-population-for-countri'!$A$4:$E$17930,5,false)</f>
        <v>#N/A</v>
      </c>
      <c r="H1045" t="str">
        <f t="shared" si="2"/>
        <v>#N/A</v>
      </c>
      <c r="I1045" t="str">
        <f t="shared" si="3"/>
        <v>Non-democratic</v>
      </c>
    </row>
    <row r="1046">
      <c r="B1046" t="str">
        <f t="shared" si="1"/>
        <v>#</v>
      </c>
      <c r="G1046" t="str">
        <f>vlookup(B1046,'imported-population-for-countri'!$A$4:$E$17930,5,false)</f>
        <v>#N/A</v>
      </c>
      <c r="H1046" t="str">
        <f t="shared" si="2"/>
        <v>#N/A</v>
      </c>
      <c r="I1046" t="str">
        <f t="shared" si="3"/>
        <v>Non-democratic</v>
      </c>
    </row>
    <row r="1047">
      <c r="B1047" t="str">
        <f t="shared" si="1"/>
        <v>#</v>
      </c>
      <c r="G1047" t="str">
        <f>vlookup(B1047,'imported-population-for-countri'!$A$4:$E$17930,5,false)</f>
        <v>#N/A</v>
      </c>
      <c r="H1047" t="str">
        <f t="shared" si="2"/>
        <v>#N/A</v>
      </c>
      <c r="I1047" t="str">
        <f t="shared" si="3"/>
        <v>Non-democratic</v>
      </c>
    </row>
    <row r="1048">
      <c r="B1048" t="str">
        <f t="shared" si="1"/>
        <v>#</v>
      </c>
      <c r="G1048" t="str">
        <f>vlookup(B1048,'imported-population-for-countri'!$A$4:$E$17930,5,false)</f>
        <v>#N/A</v>
      </c>
      <c r="H1048" t="str">
        <f t="shared" si="2"/>
        <v>#N/A</v>
      </c>
      <c r="I1048" t="str">
        <f t="shared" si="3"/>
        <v>Non-democratic</v>
      </c>
    </row>
    <row r="1049">
      <c r="B1049" t="str">
        <f t="shared" si="1"/>
        <v>#</v>
      </c>
      <c r="G1049" t="str">
        <f>vlookup(B1049,'imported-population-for-countri'!$A$4:$E$17930,5,false)</f>
        <v>#N/A</v>
      </c>
      <c r="H1049" t="str">
        <f t="shared" si="2"/>
        <v>#N/A</v>
      </c>
      <c r="I1049" t="str">
        <f t="shared" si="3"/>
        <v>Non-democratic</v>
      </c>
    </row>
    <row r="1050">
      <c r="B1050" t="str">
        <f t="shared" si="1"/>
        <v>#</v>
      </c>
      <c r="G1050" t="str">
        <f>vlookup(B1050,'imported-population-for-countri'!$A$4:$E$17930,5,false)</f>
        <v>#N/A</v>
      </c>
      <c r="H1050" t="str">
        <f t="shared" si="2"/>
        <v>#N/A</v>
      </c>
      <c r="I1050" t="str">
        <f t="shared" si="3"/>
        <v>Non-democratic</v>
      </c>
    </row>
    <row r="1051">
      <c r="B1051" t="str">
        <f t="shared" si="1"/>
        <v>#</v>
      </c>
      <c r="G1051" t="str">
        <f>vlookup(B1051,'imported-population-for-countri'!$A$4:$E$17930,5,false)</f>
        <v>#N/A</v>
      </c>
      <c r="H1051" t="str">
        <f t="shared" si="2"/>
        <v>#N/A</v>
      </c>
      <c r="I1051" t="str">
        <f t="shared" si="3"/>
        <v>Non-democratic</v>
      </c>
    </row>
    <row r="1052">
      <c r="B1052" t="str">
        <f t="shared" si="1"/>
        <v>#</v>
      </c>
      <c r="G1052" t="str">
        <f>vlookup(B1052,'imported-population-for-countri'!$A$4:$E$17930,5,false)</f>
        <v>#N/A</v>
      </c>
      <c r="H1052" t="str">
        <f t="shared" si="2"/>
        <v>#N/A</v>
      </c>
      <c r="I1052" t="str">
        <f t="shared" si="3"/>
        <v>Non-democratic</v>
      </c>
    </row>
    <row r="1053">
      <c r="B1053" t="str">
        <f t="shared" si="1"/>
        <v>#</v>
      </c>
      <c r="G1053" t="str">
        <f>vlookup(B1053,'imported-population-for-countri'!$A$4:$E$17930,5,false)</f>
        <v>#N/A</v>
      </c>
      <c r="H1053" t="str">
        <f t="shared" si="2"/>
        <v>#N/A</v>
      </c>
      <c r="I1053" t="str">
        <f t="shared" si="3"/>
        <v>Non-democratic</v>
      </c>
    </row>
    <row r="1054">
      <c r="B1054" t="str">
        <f t="shared" si="1"/>
        <v>#</v>
      </c>
      <c r="G1054" t="str">
        <f>vlookup(B1054,'imported-population-for-countri'!$A$4:$E$17930,5,false)</f>
        <v>#N/A</v>
      </c>
      <c r="H1054" t="str">
        <f t="shared" si="2"/>
        <v>#N/A</v>
      </c>
      <c r="I1054" t="str">
        <f t="shared" si="3"/>
        <v>Non-democratic</v>
      </c>
    </row>
    <row r="1055">
      <c r="B1055" t="str">
        <f t="shared" si="1"/>
        <v>#</v>
      </c>
      <c r="G1055" t="str">
        <f>vlookup(B1055,'imported-population-for-countri'!$A$4:$E$17930,5,false)</f>
        <v>#N/A</v>
      </c>
      <c r="H1055" t="str">
        <f t="shared" si="2"/>
        <v>#N/A</v>
      </c>
      <c r="I1055" t="str">
        <f t="shared" si="3"/>
        <v>Non-democratic</v>
      </c>
    </row>
    <row r="1056">
      <c r="B1056" t="str">
        <f t="shared" si="1"/>
        <v>#</v>
      </c>
      <c r="G1056" t="str">
        <f>vlookup(B1056,'imported-population-for-countri'!$A$4:$E$17930,5,false)</f>
        <v>#N/A</v>
      </c>
      <c r="H1056" t="str">
        <f t="shared" si="2"/>
        <v>#N/A</v>
      </c>
      <c r="I1056" t="str">
        <f t="shared" si="3"/>
        <v>Non-democratic</v>
      </c>
    </row>
    <row r="1057">
      <c r="B1057" t="str">
        <f t="shared" si="1"/>
        <v>#</v>
      </c>
      <c r="G1057" t="str">
        <f>vlookup(B1057,'imported-population-for-countri'!$A$4:$E$17930,5,false)</f>
        <v>#N/A</v>
      </c>
      <c r="H1057" t="str">
        <f t="shared" si="2"/>
        <v>#N/A</v>
      </c>
      <c r="I1057" t="str">
        <f t="shared" si="3"/>
        <v>Non-democratic</v>
      </c>
    </row>
    <row r="1058">
      <c r="B1058" t="str">
        <f t="shared" si="1"/>
        <v>#</v>
      </c>
      <c r="G1058" t="str">
        <f>vlookup(B1058,'imported-population-for-countri'!$A$4:$E$17930,5,false)</f>
        <v>#N/A</v>
      </c>
      <c r="H1058" t="str">
        <f t="shared" si="2"/>
        <v>#N/A</v>
      </c>
      <c r="I1058" t="str">
        <f t="shared" si="3"/>
        <v>Non-democratic</v>
      </c>
    </row>
    <row r="1059">
      <c r="B1059" t="str">
        <f t="shared" si="1"/>
        <v>#</v>
      </c>
      <c r="G1059" t="str">
        <f>vlookup(B1059,'imported-population-for-countri'!$A$4:$E$17930,5,false)</f>
        <v>#N/A</v>
      </c>
      <c r="H1059" t="str">
        <f t="shared" si="2"/>
        <v>#N/A</v>
      </c>
      <c r="I1059" t="str">
        <f t="shared" si="3"/>
        <v>Non-democratic</v>
      </c>
    </row>
    <row r="1060">
      <c r="B1060" t="str">
        <f t="shared" si="1"/>
        <v>#</v>
      </c>
      <c r="G1060" t="str">
        <f>vlookup(B1060,'imported-population-for-countri'!$A$4:$E$17930,5,false)</f>
        <v>#N/A</v>
      </c>
      <c r="H1060" t="str">
        <f t="shared" si="2"/>
        <v>#N/A</v>
      </c>
      <c r="I1060" t="str">
        <f t="shared" si="3"/>
        <v>Non-democratic</v>
      </c>
    </row>
    <row r="1061">
      <c r="B1061" t="str">
        <f t="shared" si="1"/>
        <v>#</v>
      </c>
      <c r="G1061" t="str">
        <f>vlookup(B1061,'imported-population-for-countri'!$A$4:$E$17930,5,false)</f>
        <v>#N/A</v>
      </c>
      <c r="H1061" t="str">
        <f t="shared" si="2"/>
        <v>#N/A</v>
      </c>
      <c r="I1061" t="str">
        <f t="shared" si="3"/>
        <v>Non-democratic</v>
      </c>
    </row>
    <row r="1062">
      <c r="B1062" t="str">
        <f t="shared" si="1"/>
        <v>#</v>
      </c>
      <c r="G1062" t="str">
        <f>vlookup(B1062,'imported-population-for-countri'!$A$4:$E$17930,5,false)</f>
        <v>#N/A</v>
      </c>
      <c r="H1062" t="str">
        <f t="shared" si="2"/>
        <v>#N/A</v>
      </c>
      <c r="I1062" t="str">
        <f t="shared" si="3"/>
        <v>Non-democratic</v>
      </c>
    </row>
    <row r="1063">
      <c r="B1063" t="str">
        <f t="shared" si="1"/>
        <v>#</v>
      </c>
      <c r="G1063" t="str">
        <f>vlookup(B1063,'imported-population-for-countri'!$A$4:$E$17930,5,false)</f>
        <v>#N/A</v>
      </c>
      <c r="H1063" t="str">
        <f t="shared" si="2"/>
        <v>#N/A</v>
      </c>
      <c r="I1063" t="str">
        <f t="shared" si="3"/>
        <v>Non-democratic</v>
      </c>
    </row>
    <row r="1064">
      <c r="B1064" t="str">
        <f t="shared" si="1"/>
        <v>#</v>
      </c>
      <c r="G1064" t="str">
        <f>vlookup(B1064,'imported-population-for-countri'!$A$4:$E$17930,5,false)</f>
        <v>#N/A</v>
      </c>
      <c r="H1064" t="str">
        <f t="shared" si="2"/>
        <v>#N/A</v>
      </c>
      <c r="I1064" t="str">
        <f t="shared" si="3"/>
        <v>Non-democratic</v>
      </c>
    </row>
    <row r="1065">
      <c r="B1065" t="str">
        <f t="shared" si="1"/>
        <v>#</v>
      </c>
      <c r="G1065" t="str">
        <f>vlookup(B1065,'imported-population-for-countri'!$A$4:$E$17930,5,false)</f>
        <v>#N/A</v>
      </c>
      <c r="H1065" t="str">
        <f t="shared" si="2"/>
        <v>#N/A</v>
      </c>
      <c r="I1065" t="str">
        <f t="shared" si="3"/>
        <v>Non-democratic</v>
      </c>
    </row>
    <row r="1066">
      <c r="B1066" t="str">
        <f t="shared" si="1"/>
        <v>#</v>
      </c>
      <c r="G1066" t="str">
        <f>vlookup(B1066,'imported-population-for-countri'!$A$4:$E$17930,5,false)</f>
        <v>#N/A</v>
      </c>
      <c r="H1066" t="str">
        <f t="shared" si="2"/>
        <v>#N/A</v>
      </c>
      <c r="I1066" t="str">
        <f t="shared" si="3"/>
        <v>Non-democratic</v>
      </c>
    </row>
    <row r="1067">
      <c r="B1067" t="str">
        <f t="shared" si="1"/>
        <v>#</v>
      </c>
      <c r="G1067" t="str">
        <f>vlookup(B1067,'imported-population-for-countri'!$A$4:$E$17930,5,false)</f>
        <v>#N/A</v>
      </c>
      <c r="H1067" t="str">
        <f t="shared" si="2"/>
        <v>#N/A</v>
      </c>
      <c r="I1067" t="str">
        <f t="shared" si="3"/>
        <v>Non-democratic</v>
      </c>
    </row>
    <row r="1068">
      <c r="B1068" t="str">
        <f t="shared" si="1"/>
        <v>#</v>
      </c>
      <c r="G1068" t="str">
        <f>vlookup(B1068,'imported-population-for-countri'!$A$4:$E$17930,5,false)</f>
        <v>#N/A</v>
      </c>
      <c r="H1068" t="str">
        <f t="shared" si="2"/>
        <v>#N/A</v>
      </c>
      <c r="I1068" t="str">
        <f t="shared" si="3"/>
        <v>Non-democratic</v>
      </c>
    </row>
    <row r="1069">
      <c r="B1069" t="str">
        <f t="shared" si="1"/>
        <v>#</v>
      </c>
      <c r="G1069" t="str">
        <f>vlookup(B1069,'imported-population-for-countri'!$A$4:$E$17930,5,false)</f>
        <v>#N/A</v>
      </c>
      <c r="H1069" t="str">
        <f t="shared" si="2"/>
        <v>#N/A</v>
      </c>
      <c r="I1069" t="str">
        <f t="shared" si="3"/>
        <v>Non-democratic</v>
      </c>
    </row>
    <row r="1070">
      <c r="B1070" t="str">
        <f t="shared" si="1"/>
        <v>#</v>
      </c>
      <c r="G1070" t="str">
        <f>vlookup(B1070,'imported-population-for-countri'!$A$4:$E$17930,5,false)</f>
        <v>#N/A</v>
      </c>
      <c r="H1070" t="str">
        <f t="shared" si="2"/>
        <v>#N/A</v>
      </c>
      <c r="I1070" t="str">
        <f t="shared" si="3"/>
        <v>Non-democratic</v>
      </c>
    </row>
    <row r="1071">
      <c r="B1071" t="str">
        <f t="shared" si="1"/>
        <v>#</v>
      </c>
      <c r="G1071" t="str">
        <f>vlookup(B1071,'imported-population-for-countri'!$A$4:$E$17930,5,false)</f>
        <v>#N/A</v>
      </c>
      <c r="H1071" t="str">
        <f t="shared" si="2"/>
        <v>#N/A</v>
      </c>
      <c r="I1071" t="str">
        <f t="shared" si="3"/>
        <v>Non-democratic</v>
      </c>
    </row>
    <row r="1072">
      <c r="B1072" t="str">
        <f t="shared" si="1"/>
        <v>#</v>
      </c>
      <c r="G1072" t="str">
        <f>vlookup(B1072,'imported-population-for-countri'!$A$4:$E$17930,5,false)</f>
        <v>#N/A</v>
      </c>
      <c r="H1072" t="str">
        <f t="shared" si="2"/>
        <v>#N/A</v>
      </c>
      <c r="I1072" t="str">
        <f t="shared" si="3"/>
        <v>Non-democratic</v>
      </c>
    </row>
    <row r="1073">
      <c r="B1073" t="str">
        <f t="shared" si="1"/>
        <v>#</v>
      </c>
      <c r="G1073" t="str">
        <f>vlookup(B1073,'imported-population-for-countri'!$A$4:$E$17930,5,false)</f>
        <v>#N/A</v>
      </c>
      <c r="H1073" t="str">
        <f t="shared" si="2"/>
        <v>#N/A</v>
      </c>
      <c r="I1073" t="str">
        <f t="shared" si="3"/>
        <v>Non-democratic</v>
      </c>
    </row>
    <row r="1074">
      <c r="B1074" t="str">
        <f t="shared" si="1"/>
        <v>#</v>
      </c>
      <c r="G1074" t="str">
        <f>vlookup(B1074,'imported-population-for-countri'!$A$4:$E$17930,5,false)</f>
        <v>#N/A</v>
      </c>
      <c r="H1074" t="str">
        <f t="shared" si="2"/>
        <v>#N/A</v>
      </c>
      <c r="I1074" t="str">
        <f t="shared" si="3"/>
        <v>Non-democratic</v>
      </c>
    </row>
    <row r="1075">
      <c r="B1075" t="str">
        <f t="shared" si="1"/>
        <v>#</v>
      </c>
      <c r="G1075" t="str">
        <f>vlookup(B1075,'imported-population-for-countri'!$A$4:$E$17930,5,false)</f>
        <v>#N/A</v>
      </c>
      <c r="H1075" t="str">
        <f t="shared" si="2"/>
        <v>#N/A</v>
      </c>
      <c r="I1075" t="str">
        <f t="shared" si="3"/>
        <v>Non-democratic</v>
      </c>
    </row>
    <row r="1076">
      <c r="B1076" t="str">
        <f t="shared" si="1"/>
        <v>#</v>
      </c>
      <c r="G1076" t="str">
        <f>vlookup(B1076,'imported-population-for-countri'!$A$4:$E$17930,5,false)</f>
        <v>#N/A</v>
      </c>
      <c r="H1076" t="str">
        <f t="shared" si="2"/>
        <v>#N/A</v>
      </c>
      <c r="I1076" t="str">
        <f t="shared" si="3"/>
        <v>Non-democratic</v>
      </c>
    </row>
    <row r="1077">
      <c r="B1077" t="str">
        <f t="shared" si="1"/>
        <v>#</v>
      </c>
      <c r="G1077" t="str">
        <f>vlookup(B1077,'imported-population-for-countri'!$A$4:$E$17930,5,false)</f>
        <v>#N/A</v>
      </c>
      <c r="H1077" t="str">
        <f t="shared" si="2"/>
        <v>#N/A</v>
      </c>
      <c r="I1077" t="str">
        <f t="shared" si="3"/>
        <v>Non-democratic</v>
      </c>
    </row>
    <row r="1078">
      <c r="B1078" t="str">
        <f t="shared" si="1"/>
        <v>#</v>
      </c>
      <c r="G1078" t="str">
        <f>vlookup(B1078,'imported-population-for-countri'!$A$4:$E$17930,5,false)</f>
        <v>#N/A</v>
      </c>
      <c r="H1078" t="str">
        <f t="shared" si="2"/>
        <v>#N/A</v>
      </c>
      <c r="I1078" t="str">
        <f t="shared" si="3"/>
        <v>Non-democratic</v>
      </c>
    </row>
    <row r="1079">
      <c r="B1079" t="str">
        <f t="shared" si="1"/>
        <v>#</v>
      </c>
      <c r="G1079" t="str">
        <f>vlookup(B1079,'imported-population-for-countri'!$A$4:$E$17930,5,false)</f>
        <v>#N/A</v>
      </c>
      <c r="H1079" t="str">
        <f t="shared" si="2"/>
        <v>#N/A</v>
      </c>
      <c r="I1079" t="str">
        <f t="shared" si="3"/>
        <v>Non-democratic</v>
      </c>
    </row>
    <row r="1080">
      <c r="B1080" t="str">
        <f t="shared" si="1"/>
        <v>#</v>
      </c>
      <c r="G1080" t="str">
        <f>vlookup(B1080,'imported-population-for-countri'!$A$4:$E$17930,5,false)</f>
        <v>#N/A</v>
      </c>
      <c r="H1080" t="str">
        <f t="shared" si="2"/>
        <v>#N/A</v>
      </c>
      <c r="I1080" t="str">
        <f t="shared" si="3"/>
        <v>Non-democratic</v>
      </c>
    </row>
    <row r="1081">
      <c r="B1081" t="str">
        <f t="shared" si="1"/>
        <v>#</v>
      </c>
      <c r="G1081" t="str">
        <f>vlookup(B1081,'imported-population-for-countri'!$A$4:$E$17930,5,false)</f>
        <v>#N/A</v>
      </c>
      <c r="H1081" t="str">
        <f t="shared" si="2"/>
        <v>#N/A</v>
      </c>
      <c r="I1081" t="str">
        <f t="shared" si="3"/>
        <v>Non-democratic</v>
      </c>
    </row>
    <row r="1082">
      <c r="B1082" t="str">
        <f t="shared" si="1"/>
        <v>#</v>
      </c>
      <c r="G1082" t="str">
        <f>vlookup(B1082,'imported-population-for-countri'!$A$4:$E$17930,5,false)</f>
        <v>#N/A</v>
      </c>
      <c r="H1082" t="str">
        <f t="shared" si="2"/>
        <v>#N/A</v>
      </c>
      <c r="I1082" t="str">
        <f t="shared" si="3"/>
        <v>Non-democratic</v>
      </c>
    </row>
    <row r="1083">
      <c r="B1083" t="str">
        <f t="shared" si="1"/>
        <v>#</v>
      </c>
      <c r="G1083" t="str">
        <f>vlookup(B1083,'imported-population-for-countri'!$A$4:$E$17930,5,false)</f>
        <v>#N/A</v>
      </c>
      <c r="H1083" t="str">
        <f t="shared" si="2"/>
        <v>#N/A</v>
      </c>
      <c r="I1083" t="str">
        <f t="shared" si="3"/>
        <v>Non-democratic</v>
      </c>
    </row>
    <row r="1084">
      <c r="B1084" t="str">
        <f t="shared" si="1"/>
        <v>#</v>
      </c>
      <c r="G1084" t="str">
        <f>vlookup(B1084,'imported-population-for-countri'!$A$4:$E$17930,5,false)</f>
        <v>#N/A</v>
      </c>
      <c r="H1084" t="str">
        <f t="shared" si="2"/>
        <v>#N/A</v>
      </c>
      <c r="I1084" t="str">
        <f t="shared" si="3"/>
        <v>Non-democratic</v>
      </c>
    </row>
    <row r="1085">
      <c r="B1085" t="str">
        <f t="shared" si="1"/>
        <v>#</v>
      </c>
      <c r="G1085" t="str">
        <f>vlookup(B1085,'imported-population-for-countri'!$A$4:$E$17930,5,false)</f>
        <v>#N/A</v>
      </c>
      <c r="H1085" t="str">
        <f t="shared" si="2"/>
        <v>#N/A</v>
      </c>
      <c r="I1085" t="str">
        <f t="shared" si="3"/>
        <v>Non-democratic</v>
      </c>
    </row>
    <row r="1086">
      <c r="B1086" t="str">
        <f t="shared" si="1"/>
        <v>#</v>
      </c>
      <c r="G1086" t="str">
        <f>vlookup(B1086,'imported-population-for-countri'!$A$4:$E$17930,5,false)</f>
        <v>#N/A</v>
      </c>
      <c r="H1086" t="str">
        <f t="shared" si="2"/>
        <v>#N/A</v>
      </c>
      <c r="I1086" t="str">
        <f t="shared" si="3"/>
        <v>Non-democratic</v>
      </c>
    </row>
    <row r="1087">
      <c r="B1087" t="str">
        <f t="shared" si="1"/>
        <v>#</v>
      </c>
      <c r="G1087" t="str">
        <f>vlookup(B1087,'imported-population-for-countri'!$A$4:$E$17930,5,false)</f>
        <v>#N/A</v>
      </c>
      <c r="H1087" t="str">
        <f t="shared" si="2"/>
        <v>#N/A</v>
      </c>
      <c r="I1087" t="str">
        <f t="shared" si="3"/>
        <v>Non-democratic</v>
      </c>
    </row>
    <row r="1088">
      <c r="B1088" t="str">
        <f t="shared" si="1"/>
        <v>#</v>
      </c>
      <c r="G1088" t="str">
        <f>vlookup(B1088,'imported-population-for-countri'!$A$4:$E$17930,5,false)</f>
        <v>#N/A</v>
      </c>
      <c r="H1088" t="str">
        <f t="shared" si="2"/>
        <v>#N/A</v>
      </c>
      <c r="I1088" t="str">
        <f t="shared" si="3"/>
        <v>Non-democratic</v>
      </c>
    </row>
    <row r="1089">
      <c r="B1089" t="str">
        <f t="shared" si="1"/>
        <v>#</v>
      </c>
      <c r="G1089" t="str">
        <f>vlookup(B1089,'imported-population-for-countri'!$A$4:$E$17930,5,false)</f>
        <v>#N/A</v>
      </c>
      <c r="H1089" t="str">
        <f t="shared" si="2"/>
        <v>#N/A</v>
      </c>
      <c r="I1089" t="str">
        <f t="shared" si="3"/>
        <v>Non-democratic</v>
      </c>
    </row>
    <row r="1090">
      <c r="B1090" t="str">
        <f t="shared" si="1"/>
        <v>#</v>
      </c>
      <c r="G1090" t="str">
        <f>vlookup(B1090,'imported-population-for-countri'!$A$4:$E$17930,5,false)</f>
        <v>#N/A</v>
      </c>
      <c r="H1090" t="str">
        <f t="shared" si="2"/>
        <v>#N/A</v>
      </c>
      <c r="I1090" t="str">
        <f t="shared" si="3"/>
        <v>Non-democratic</v>
      </c>
    </row>
    <row r="1091">
      <c r="B1091" t="str">
        <f t="shared" si="1"/>
        <v>#</v>
      </c>
      <c r="G1091" t="str">
        <f>vlookup(B1091,'imported-population-for-countri'!$A$4:$E$17930,5,false)</f>
        <v>#N/A</v>
      </c>
      <c r="H1091" t="str">
        <f t="shared" si="2"/>
        <v>#N/A</v>
      </c>
      <c r="I1091" t="str">
        <f t="shared" si="3"/>
        <v>Non-democratic</v>
      </c>
    </row>
    <row r="1092">
      <c r="B1092" t="str">
        <f t="shared" si="1"/>
        <v>#</v>
      </c>
      <c r="G1092" t="str">
        <f>vlookup(B1092,'imported-population-for-countri'!$A$4:$E$17930,5,false)</f>
        <v>#N/A</v>
      </c>
      <c r="H1092" t="str">
        <f t="shared" si="2"/>
        <v>#N/A</v>
      </c>
      <c r="I1092" t="str">
        <f t="shared" si="3"/>
        <v>Non-democratic</v>
      </c>
    </row>
    <row r="1093">
      <c r="B1093" t="str">
        <f t="shared" si="1"/>
        <v>#</v>
      </c>
      <c r="G1093" t="str">
        <f>vlookup(B1093,'imported-population-for-countri'!$A$4:$E$17930,5,false)</f>
        <v>#N/A</v>
      </c>
      <c r="H1093" t="str">
        <f t="shared" si="2"/>
        <v>#N/A</v>
      </c>
      <c r="I1093" t="str">
        <f t="shared" si="3"/>
        <v>Non-democratic</v>
      </c>
    </row>
    <row r="1094">
      <c r="B1094" t="str">
        <f t="shared" si="1"/>
        <v>#</v>
      </c>
      <c r="G1094" t="str">
        <f>vlookup(B1094,'imported-population-for-countri'!$A$4:$E$17930,5,false)</f>
        <v>#N/A</v>
      </c>
      <c r="H1094" t="str">
        <f t="shared" si="2"/>
        <v>#N/A</v>
      </c>
      <c r="I1094" t="str">
        <f t="shared" si="3"/>
        <v>Non-democratic</v>
      </c>
    </row>
    <row r="1095">
      <c r="B1095" t="str">
        <f t="shared" si="1"/>
        <v>#</v>
      </c>
      <c r="G1095" t="str">
        <f>vlookup(B1095,'imported-population-for-countri'!$A$4:$E$17930,5,false)</f>
        <v>#N/A</v>
      </c>
      <c r="H1095" t="str">
        <f t="shared" si="2"/>
        <v>#N/A</v>
      </c>
      <c r="I1095" t="str">
        <f t="shared" si="3"/>
        <v>Non-democratic</v>
      </c>
    </row>
    <row r="1096">
      <c r="B1096" t="str">
        <f t="shared" si="1"/>
        <v>#</v>
      </c>
      <c r="G1096" t="str">
        <f>vlookup(B1096,'imported-population-for-countri'!$A$4:$E$17930,5,false)</f>
        <v>#N/A</v>
      </c>
      <c r="H1096" t="str">
        <f t="shared" si="2"/>
        <v>#N/A</v>
      </c>
      <c r="I1096" t="str">
        <f t="shared" si="3"/>
        <v>Non-democratic</v>
      </c>
    </row>
    <row r="1097">
      <c r="B1097" t="str">
        <f t="shared" si="1"/>
        <v>#</v>
      </c>
      <c r="G1097" t="str">
        <f>vlookup(B1097,'imported-population-for-countri'!$A$4:$E$17930,5,false)</f>
        <v>#N/A</v>
      </c>
      <c r="H1097" t="str">
        <f t="shared" si="2"/>
        <v>#N/A</v>
      </c>
      <c r="I1097" t="str">
        <f t="shared" si="3"/>
        <v>Non-democratic</v>
      </c>
    </row>
    <row r="1098">
      <c r="B1098" t="str">
        <f t="shared" si="1"/>
        <v>#</v>
      </c>
      <c r="G1098" t="str">
        <f>vlookup(B1098,'imported-population-for-countri'!$A$4:$E$17930,5,false)</f>
        <v>#N/A</v>
      </c>
      <c r="H1098" t="str">
        <f t="shared" si="2"/>
        <v>#N/A</v>
      </c>
      <c r="I1098" t="str">
        <f t="shared" si="3"/>
        <v>Non-democratic</v>
      </c>
    </row>
    <row r="1099">
      <c r="B1099" t="str">
        <f t="shared" si="1"/>
        <v>#</v>
      </c>
      <c r="G1099" t="str">
        <f>vlookup(B1099,'imported-population-for-countri'!$A$4:$E$17930,5,false)</f>
        <v>#N/A</v>
      </c>
      <c r="H1099" t="str">
        <f t="shared" si="2"/>
        <v>#N/A</v>
      </c>
      <c r="I1099" t="str">
        <f t="shared" si="3"/>
        <v>Non-democratic</v>
      </c>
    </row>
    <row r="1100">
      <c r="B1100" t="str">
        <f t="shared" si="1"/>
        <v>#</v>
      </c>
      <c r="G1100" t="str">
        <f>vlookup(B1100,'imported-population-for-countri'!$A$4:$E$17930,5,false)</f>
        <v>#N/A</v>
      </c>
      <c r="H1100" t="str">
        <f t="shared" si="2"/>
        <v>#N/A</v>
      </c>
      <c r="I1100" t="str">
        <f t="shared" si="3"/>
        <v>Non-democratic</v>
      </c>
    </row>
    <row r="1101">
      <c r="B1101" t="str">
        <f t="shared" si="1"/>
        <v>#</v>
      </c>
      <c r="G1101" t="str">
        <f>vlookup(B1101,'imported-population-for-countri'!$A$4:$E$17930,5,false)</f>
        <v>#N/A</v>
      </c>
      <c r="H1101" t="str">
        <f t="shared" si="2"/>
        <v>#N/A</v>
      </c>
      <c r="I1101" t="str">
        <f t="shared" si="3"/>
        <v>Non-democratic</v>
      </c>
    </row>
    <row r="1102">
      <c r="B1102" t="str">
        <f t="shared" si="1"/>
        <v>#</v>
      </c>
      <c r="G1102" t="str">
        <f>vlookup(B1102,'imported-population-for-countri'!$A$4:$E$17930,5,false)</f>
        <v>#N/A</v>
      </c>
      <c r="H1102" t="str">
        <f t="shared" si="2"/>
        <v>#N/A</v>
      </c>
      <c r="I1102" t="str">
        <f t="shared" si="3"/>
        <v>Non-democratic</v>
      </c>
    </row>
    <row r="1103">
      <c r="B1103" t="str">
        <f t="shared" si="1"/>
        <v>#</v>
      </c>
      <c r="G1103" t="str">
        <f>vlookup(B1103,'imported-population-for-countri'!$A$4:$E$17930,5,false)</f>
        <v>#N/A</v>
      </c>
      <c r="H1103" t="str">
        <f t="shared" si="2"/>
        <v>#N/A</v>
      </c>
      <c r="I1103" t="str">
        <f t="shared" si="3"/>
        <v>Non-democratic</v>
      </c>
    </row>
    <row r="1104">
      <c r="B1104" t="str">
        <f t="shared" si="1"/>
        <v>#</v>
      </c>
      <c r="G1104" t="str">
        <f>vlookup(B1104,'imported-population-for-countri'!$A$4:$E$17930,5,false)</f>
        <v>#N/A</v>
      </c>
      <c r="H1104" t="str">
        <f t="shared" si="2"/>
        <v>#N/A</v>
      </c>
      <c r="I1104" t="str">
        <f t="shared" si="3"/>
        <v>Non-democratic</v>
      </c>
    </row>
    <row r="1105">
      <c r="B1105" t="str">
        <f t="shared" si="1"/>
        <v>#</v>
      </c>
      <c r="G1105" t="str">
        <f>vlookup(B1105,'imported-population-for-countri'!$A$4:$E$17930,5,false)</f>
        <v>#N/A</v>
      </c>
      <c r="H1105" t="str">
        <f t="shared" si="2"/>
        <v>#N/A</v>
      </c>
      <c r="I1105" t="str">
        <f t="shared" si="3"/>
        <v>Non-democratic</v>
      </c>
    </row>
    <row r="1106">
      <c r="B1106" t="str">
        <f t="shared" si="1"/>
        <v>#</v>
      </c>
      <c r="G1106" t="str">
        <f>vlookup(B1106,'imported-population-for-countri'!$A$4:$E$17930,5,false)</f>
        <v>#N/A</v>
      </c>
      <c r="H1106" t="str">
        <f t="shared" si="2"/>
        <v>#N/A</v>
      </c>
      <c r="I1106" t="str">
        <f t="shared" si="3"/>
        <v>Non-democratic</v>
      </c>
    </row>
    <row r="1107">
      <c r="B1107" t="str">
        <f t="shared" si="1"/>
        <v>#</v>
      </c>
      <c r="G1107" t="str">
        <f>vlookup(B1107,'imported-population-for-countri'!$A$4:$E$17930,5,false)</f>
        <v>#N/A</v>
      </c>
      <c r="H1107" t="str">
        <f t="shared" si="2"/>
        <v>#N/A</v>
      </c>
      <c r="I1107" t="str">
        <f t="shared" si="3"/>
        <v>Non-democratic</v>
      </c>
    </row>
    <row r="1108">
      <c r="B1108" t="str">
        <f t="shared" si="1"/>
        <v>#</v>
      </c>
      <c r="G1108" t="str">
        <f>vlookup(B1108,'imported-population-for-countri'!$A$4:$E$17930,5,false)</f>
        <v>#N/A</v>
      </c>
      <c r="H1108" t="str">
        <f t="shared" si="2"/>
        <v>#N/A</v>
      </c>
      <c r="I1108" t="str">
        <f t="shared" si="3"/>
        <v>Non-democratic</v>
      </c>
    </row>
    <row r="1109">
      <c r="B1109" t="str">
        <f t="shared" si="1"/>
        <v>#</v>
      </c>
      <c r="G1109" t="str">
        <f>vlookup(B1109,'imported-population-for-countri'!$A$4:$E$17930,5,false)</f>
        <v>#N/A</v>
      </c>
      <c r="H1109" t="str">
        <f t="shared" si="2"/>
        <v>#N/A</v>
      </c>
      <c r="I1109" t="str">
        <f t="shared" si="3"/>
        <v>Non-democratic</v>
      </c>
    </row>
    <row r="1110">
      <c r="B1110" t="str">
        <f t="shared" si="1"/>
        <v>#</v>
      </c>
      <c r="G1110" t="str">
        <f>vlookup(B1110,'imported-population-for-countri'!$A$4:$E$17930,5,false)</f>
        <v>#N/A</v>
      </c>
      <c r="H1110" t="str">
        <f t="shared" si="2"/>
        <v>#N/A</v>
      </c>
      <c r="I1110" t="str">
        <f t="shared" si="3"/>
        <v>Non-democratic</v>
      </c>
    </row>
    <row r="1111">
      <c r="B1111" t="str">
        <f t="shared" si="1"/>
        <v>#</v>
      </c>
      <c r="G1111" t="str">
        <f>vlookup(B1111,'imported-population-for-countri'!$A$4:$E$17930,5,false)</f>
        <v>#N/A</v>
      </c>
      <c r="H1111" t="str">
        <f t="shared" si="2"/>
        <v>#N/A</v>
      </c>
      <c r="I1111" t="str">
        <f t="shared" si="3"/>
        <v>Non-democratic</v>
      </c>
    </row>
    <row r="1112">
      <c r="B1112" t="str">
        <f t="shared" si="1"/>
        <v>#</v>
      </c>
      <c r="G1112" t="str">
        <f>vlookup(B1112,'imported-population-for-countri'!$A$4:$E$17930,5,false)</f>
        <v>#N/A</v>
      </c>
      <c r="H1112" t="str">
        <f t="shared" si="2"/>
        <v>#N/A</v>
      </c>
      <c r="I1112" t="str">
        <f t="shared" si="3"/>
        <v>Non-democratic</v>
      </c>
    </row>
    <row r="1113">
      <c r="B1113" t="str">
        <f t="shared" si="1"/>
        <v>#</v>
      </c>
      <c r="G1113" t="str">
        <f>vlookup(B1113,'imported-population-for-countri'!$A$4:$E$17930,5,false)</f>
        <v>#N/A</v>
      </c>
      <c r="H1113" t="str">
        <f t="shared" si="2"/>
        <v>#N/A</v>
      </c>
      <c r="I1113" t="str">
        <f t="shared" si="3"/>
        <v>Non-democratic</v>
      </c>
    </row>
    <row r="1114">
      <c r="B1114" t="str">
        <f t="shared" si="1"/>
        <v>#</v>
      </c>
      <c r="G1114" t="str">
        <f>vlookup(B1114,'imported-population-for-countri'!$A$4:$E$17930,5,false)</f>
        <v>#N/A</v>
      </c>
      <c r="H1114" t="str">
        <f t="shared" si="2"/>
        <v>#N/A</v>
      </c>
      <c r="I1114" t="str">
        <f t="shared" si="3"/>
        <v>Non-democratic</v>
      </c>
    </row>
    <row r="1115">
      <c r="B1115" t="str">
        <f t="shared" si="1"/>
        <v>#</v>
      </c>
      <c r="G1115" t="str">
        <f>vlookup(B1115,'imported-population-for-countri'!$A$4:$E$17930,5,false)</f>
        <v>#N/A</v>
      </c>
      <c r="H1115" t="str">
        <f t="shared" si="2"/>
        <v>#N/A</v>
      </c>
      <c r="I1115" t="str">
        <f t="shared" si="3"/>
        <v>Non-democratic</v>
      </c>
    </row>
    <row r="1116">
      <c r="B1116" t="str">
        <f t="shared" si="1"/>
        <v>#</v>
      </c>
      <c r="G1116" t="str">
        <f>vlookup(B1116,'imported-population-for-countri'!$A$4:$E$17930,5,false)</f>
        <v>#N/A</v>
      </c>
      <c r="H1116" t="str">
        <f t="shared" si="2"/>
        <v>#N/A</v>
      </c>
      <c r="I1116" t="str">
        <f t="shared" si="3"/>
        <v>Non-democratic</v>
      </c>
    </row>
    <row r="1117">
      <c r="B1117" t="str">
        <f t="shared" si="1"/>
        <v>#</v>
      </c>
      <c r="G1117" t="str">
        <f>vlookup(B1117,'imported-population-for-countri'!$A$4:$E$17930,5,false)</f>
        <v>#N/A</v>
      </c>
      <c r="H1117" t="str">
        <f t="shared" si="2"/>
        <v>#N/A</v>
      </c>
      <c r="I1117" t="str">
        <f t="shared" si="3"/>
        <v>Non-democratic</v>
      </c>
    </row>
    <row r="1118">
      <c r="B1118" t="str">
        <f t="shared" si="1"/>
        <v>#</v>
      </c>
      <c r="G1118" t="str">
        <f>vlookup(B1118,'imported-population-for-countri'!$A$4:$E$17930,5,false)</f>
        <v>#N/A</v>
      </c>
      <c r="H1118" t="str">
        <f t="shared" si="2"/>
        <v>#N/A</v>
      </c>
      <c r="I1118" t="str">
        <f t="shared" si="3"/>
        <v>Non-democratic</v>
      </c>
    </row>
    <row r="1119">
      <c r="B1119" t="str">
        <f t="shared" si="1"/>
        <v>#</v>
      </c>
      <c r="G1119" t="str">
        <f>vlookup(B1119,'imported-population-for-countri'!$A$4:$E$17930,5,false)</f>
        <v>#N/A</v>
      </c>
      <c r="H1119" t="str">
        <f t="shared" si="2"/>
        <v>#N/A</v>
      </c>
      <c r="I1119" t="str">
        <f t="shared" si="3"/>
        <v>Non-democratic</v>
      </c>
    </row>
    <row r="1120">
      <c r="B1120" t="str">
        <f t="shared" si="1"/>
        <v>#</v>
      </c>
      <c r="G1120" t="str">
        <f>vlookup(B1120,'imported-population-for-countri'!$A$4:$E$17930,5,false)</f>
        <v>#N/A</v>
      </c>
      <c r="H1120" t="str">
        <f t="shared" si="2"/>
        <v>#N/A</v>
      </c>
      <c r="I1120" t="str">
        <f t="shared" si="3"/>
        <v>Non-democratic</v>
      </c>
    </row>
    <row r="1121">
      <c r="B1121" t="str">
        <f t="shared" si="1"/>
        <v>#</v>
      </c>
      <c r="G1121" t="str">
        <f>vlookup(B1121,'imported-population-for-countri'!$A$4:$E$17930,5,false)</f>
        <v>#N/A</v>
      </c>
      <c r="H1121" t="str">
        <f t="shared" si="2"/>
        <v>#N/A</v>
      </c>
      <c r="I1121" t="str">
        <f t="shared" si="3"/>
        <v>Non-democratic</v>
      </c>
    </row>
    <row r="1122">
      <c r="B1122" t="str">
        <f t="shared" si="1"/>
        <v>#</v>
      </c>
      <c r="G1122" t="str">
        <f>vlookup(B1122,'imported-population-for-countri'!$A$4:$E$17930,5,false)</f>
        <v>#N/A</v>
      </c>
      <c r="H1122" t="str">
        <f t="shared" si="2"/>
        <v>#N/A</v>
      </c>
      <c r="I1122" t="str">
        <f t="shared" si="3"/>
        <v>Non-democratic</v>
      </c>
    </row>
    <row r="1123">
      <c r="B1123" t="str">
        <f t="shared" si="1"/>
        <v>#</v>
      </c>
      <c r="G1123" t="str">
        <f>vlookup(B1123,'imported-population-for-countri'!$A$4:$E$17930,5,false)</f>
        <v>#N/A</v>
      </c>
      <c r="H1123" t="str">
        <f t="shared" si="2"/>
        <v>#N/A</v>
      </c>
      <c r="I1123" t="str">
        <f t="shared" si="3"/>
        <v>Non-democratic</v>
      </c>
    </row>
    <row r="1124">
      <c r="B1124" t="str">
        <f t="shared" si="1"/>
        <v>#</v>
      </c>
      <c r="G1124" t="str">
        <f>vlookup(B1124,'imported-population-for-countri'!$A$4:$E$17930,5,false)</f>
        <v>#N/A</v>
      </c>
      <c r="H1124" t="str">
        <f t="shared" si="2"/>
        <v>#N/A</v>
      </c>
      <c r="I1124" t="str">
        <f t="shared" si="3"/>
        <v>Non-democratic</v>
      </c>
    </row>
    <row r="1125">
      <c r="B1125" t="str">
        <f t="shared" si="1"/>
        <v>#</v>
      </c>
      <c r="G1125" t="str">
        <f>vlookup(B1125,'imported-population-for-countri'!$A$4:$E$17930,5,false)</f>
        <v>#N/A</v>
      </c>
      <c r="H1125" t="str">
        <f t="shared" si="2"/>
        <v>#N/A</v>
      </c>
      <c r="I1125" t="str">
        <f t="shared" si="3"/>
        <v>Non-democratic</v>
      </c>
    </row>
    <row r="1126">
      <c r="B1126" t="str">
        <f t="shared" si="1"/>
        <v>#</v>
      </c>
      <c r="G1126" t="str">
        <f>vlookup(B1126,'imported-population-for-countri'!$A$4:$E$17930,5,false)</f>
        <v>#N/A</v>
      </c>
      <c r="H1126" t="str">
        <f t="shared" si="2"/>
        <v>#N/A</v>
      </c>
      <c r="I1126" t="str">
        <f t="shared" si="3"/>
        <v>Non-democratic</v>
      </c>
    </row>
    <row r="1127">
      <c r="B1127" t="str">
        <f t="shared" si="1"/>
        <v>#</v>
      </c>
      <c r="G1127" t="str">
        <f>vlookup(B1127,'imported-population-for-countri'!$A$4:$E$17930,5,false)</f>
        <v>#N/A</v>
      </c>
      <c r="H1127" t="str">
        <f t="shared" si="2"/>
        <v>#N/A</v>
      </c>
      <c r="I1127" t="str">
        <f t="shared" si="3"/>
        <v>Non-democratic</v>
      </c>
    </row>
    <row r="1128">
      <c r="B1128" t="str">
        <f t="shared" si="1"/>
        <v>#</v>
      </c>
      <c r="G1128" t="str">
        <f>vlookup(B1128,'imported-population-for-countri'!$A$4:$E$17930,5,false)</f>
        <v>#N/A</v>
      </c>
      <c r="H1128" t="str">
        <f t="shared" si="2"/>
        <v>#N/A</v>
      </c>
      <c r="I1128" t="str">
        <f t="shared" si="3"/>
        <v>Non-democratic</v>
      </c>
    </row>
    <row r="1129">
      <c r="B1129" t="str">
        <f t="shared" si="1"/>
        <v>#</v>
      </c>
      <c r="G1129" t="str">
        <f>vlookup(B1129,'imported-population-for-countri'!$A$4:$E$17930,5,false)</f>
        <v>#N/A</v>
      </c>
      <c r="H1129" t="str">
        <f t="shared" si="2"/>
        <v>#N/A</v>
      </c>
      <c r="I1129" t="str">
        <f t="shared" si="3"/>
        <v>Non-democratic</v>
      </c>
    </row>
    <row r="1130">
      <c r="B1130" t="str">
        <f t="shared" si="1"/>
        <v>#</v>
      </c>
      <c r="G1130" t="str">
        <f>vlookup(B1130,'imported-population-for-countri'!$A$4:$E$17930,5,false)</f>
        <v>#N/A</v>
      </c>
      <c r="H1130" t="str">
        <f t="shared" si="2"/>
        <v>#N/A</v>
      </c>
      <c r="I1130" t="str">
        <f t="shared" si="3"/>
        <v>Non-democratic</v>
      </c>
    </row>
    <row r="1131">
      <c r="B1131" t="str">
        <f t="shared" si="1"/>
        <v>#</v>
      </c>
      <c r="G1131" t="str">
        <f>vlookup(B1131,'imported-population-for-countri'!$A$4:$E$17930,5,false)</f>
        <v>#N/A</v>
      </c>
      <c r="H1131" t="str">
        <f t="shared" si="2"/>
        <v>#N/A</v>
      </c>
      <c r="I1131" t="str">
        <f t="shared" si="3"/>
        <v>Non-democratic</v>
      </c>
    </row>
    <row r="1132">
      <c r="B1132" t="str">
        <f t="shared" si="1"/>
        <v>#</v>
      </c>
      <c r="G1132" t="str">
        <f>vlookup(B1132,'imported-population-for-countri'!$A$4:$E$17930,5,false)</f>
        <v>#N/A</v>
      </c>
      <c r="H1132" t="str">
        <f t="shared" si="2"/>
        <v>#N/A</v>
      </c>
      <c r="I1132" t="str">
        <f t="shared" si="3"/>
        <v>Non-democratic</v>
      </c>
    </row>
    <row r="1133">
      <c r="B1133" t="str">
        <f t="shared" si="1"/>
        <v>#</v>
      </c>
      <c r="G1133" t="str">
        <f>vlookup(B1133,'imported-population-for-countri'!$A$4:$E$17930,5,false)</f>
        <v>#N/A</v>
      </c>
      <c r="H1133" t="str">
        <f t="shared" si="2"/>
        <v>#N/A</v>
      </c>
      <c r="I1133" t="str">
        <f t="shared" si="3"/>
        <v>Non-democratic</v>
      </c>
    </row>
    <row r="1134">
      <c r="B1134" t="str">
        <f t="shared" si="1"/>
        <v>#</v>
      </c>
      <c r="G1134" t="str">
        <f>vlookup(B1134,'imported-population-for-countri'!$A$4:$E$17930,5,false)</f>
        <v>#N/A</v>
      </c>
      <c r="H1134" t="str">
        <f t="shared" si="2"/>
        <v>#N/A</v>
      </c>
      <c r="I1134" t="str">
        <f t="shared" si="3"/>
        <v>Non-democratic</v>
      </c>
    </row>
    <row r="1135">
      <c r="B1135" t="str">
        <f t="shared" si="1"/>
        <v>#</v>
      </c>
      <c r="G1135" t="str">
        <f>vlookup(B1135,'imported-population-for-countri'!$A$4:$E$17930,5,false)</f>
        <v>#N/A</v>
      </c>
      <c r="H1135" t="str">
        <f t="shared" si="2"/>
        <v>#N/A</v>
      </c>
      <c r="I1135" t="str">
        <f t="shared" si="3"/>
        <v>Non-democratic</v>
      </c>
    </row>
    <row r="1136">
      <c r="B1136" t="str">
        <f t="shared" si="1"/>
        <v>#</v>
      </c>
      <c r="G1136" t="str">
        <f>vlookup(B1136,'imported-population-for-countri'!$A$4:$E$17930,5,false)</f>
        <v>#N/A</v>
      </c>
      <c r="H1136" t="str">
        <f t="shared" si="2"/>
        <v>#N/A</v>
      </c>
      <c r="I1136" t="str">
        <f t="shared" si="3"/>
        <v>Non-democratic</v>
      </c>
    </row>
    <row r="1137">
      <c r="B1137" t="str">
        <f t="shared" si="1"/>
        <v>#</v>
      </c>
      <c r="G1137" t="str">
        <f>vlookup(B1137,'imported-population-for-countri'!$A$4:$E$17930,5,false)</f>
        <v>#N/A</v>
      </c>
      <c r="H1137" t="str">
        <f t="shared" si="2"/>
        <v>#N/A</v>
      </c>
      <c r="I1137" t="str">
        <f t="shared" si="3"/>
        <v>Non-democratic</v>
      </c>
    </row>
    <row r="1138">
      <c r="B1138" t="str">
        <f t="shared" si="1"/>
        <v>#</v>
      </c>
      <c r="G1138" t="str">
        <f>vlookup(B1138,'imported-population-for-countri'!$A$4:$E$17930,5,false)</f>
        <v>#N/A</v>
      </c>
      <c r="H1138" t="str">
        <f t="shared" si="2"/>
        <v>#N/A</v>
      </c>
      <c r="I1138" t="str">
        <f t="shared" si="3"/>
        <v>Non-democratic</v>
      </c>
    </row>
    <row r="1139">
      <c r="B1139" t="str">
        <f t="shared" si="1"/>
        <v>#</v>
      </c>
      <c r="G1139" t="str">
        <f>vlookup(B1139,'imported-population-for-countri'!$A$4:$E$17930,5,false)</f>
        <v>#N/A</v>
      </c>
      <c r="H1139" t="str">
        <f t="shared" si="2"/>
        <v>#N/A</v>
      </c>
      <c r="I1139" t="str">
        <f t="shared" si="3"/>
        <v>Non-democratic</v>
      </c>
    </row>
    <row r="1140">
      <c r="B1140" t="str">
        <f t="shared" si="1"/>
        <v>#</v>
      </c>
      <c r="G1140" t="str">
        <f>vlookup(B1140,'imported-population-for-countri'!$A$4:$E$17930,5,false)</f>
        <v>#N/A</v>
      </c>
      <c r="H1140" t="str">
        <f t="shared" si="2"/>
        <v>#N/A</v>
      </c>
      <c r="I1140" t="str">
        <f t="shared" si="3"/>
        <v>Non-democratic</v>
      </c>
    </row>
    <row r="1141">
      <c r="B1141" t="str">
        <f t="shared" si="1"/>
        <v>#</v>
      </c>
      <c r="G1141" t="str">
        <f>vlookup(B1141,'imported-population-for-countri'!$A$4:$E$17930,5,false)</f>
        <v>#N/A</v>
      </c>
      <c r="H1141" t="str">
        <f t="shared" si="2"/>
        <v>#N/A</v>
      </c>
      <c r="I1141" t="str">
        <f t="shared" si="3"/>
        <v>Non-democratic</v>
      </c>
    </row>
    <row r="1142">
      <c r="B1142" t="str">
        <f t="shared" si="1"/>
        <v>#</v>
      </c>
      <c r="G1142" t="str">
        <f>vlookup(B1142,'imported-population-for-countri'!$A$4:$E$17930,5,false)</f>
        <v>#N/A</v>
      </c>
      <c r="H1142" t="str">
        <f t="shared" si="2"/>
        <v>#N/A</v>
      </c>
      <c r="I1142" t="str">
        <f t="shared" si="3"/>
        <v>Non-democratic</v>
      </c>
    </row>
    <row r="1143">
      <c r="B1143" t="str">
        <f t="shared" si="1"/>
        <v>#</v>
      </c>
      <c r="G1143" t="str">
        <f>vlookup(B1143,'imported-population-for-countri'!$A$4:$E$17930,5,false)</f>
        <v>#N/A</v>
      </c>
      <c r="H1143" t="str">
        <f t="shared" si="2"/>
        <v>#N/A</v>
      </c>
      <c r="I1143" t="str">
        <f t="shared" si="3"/>
        <v>Non-democratic</v>
      </c>
    </row>
    <row r="1144">
      <c r="B1144" t="str">
        <f t="shared" si="1"/>
        <v>#</v>
      </c>
      <c r="G1144" t="str">
        <f>vlookup(B1144,'imported-population-for-countri'!$A$4:$E$17930,5,false)</f>
        <v>#N/A</v>
      </c>
      <c r="H1144" t="str">
        <f t="shared" si="2"/>
        <v>#N/A</v>
      </c>
      <c r="I1144" t="str">
        <f t="shared" si="3"/>
        <v>Non-democratic</v>
      </c>
    </row>
    <row r="1145">
      <c r="B1145" t="str">
        <f t="shared" si="1"/>
        <v>#</v>
      </c>
      <c r="G1145" t="str">
        <f>vlookup(B1145,'imported-population-for-countri'!$A$4:$E$17930,5,false)</f>
        <v>#N/A</v>
      </c>
      <c r="H1145" t="str">
        <f t="shared" si="2"/>
        <v>#N/A</v>
      </c>
      <c r="I1145" t="str">
        <f t="shared" si="3"/>
        <v>Non-democratic</v>
      </c>
    </row>
    <row r="1146">
      <c r="B1146" t="str">
        <f t="shared" si="1"/>
        <v>#</v>
      </c>
      <c r="G1146" t="str">
        <f>vlookup(B1146,'imported-population-for-countri'!$A$4:$E$17930,5,false)</f>
        <v>#N/A</v>
      </c>
      <c r="H1146" t="str">
        <f t="shared" si="2"/>
        <v>#N/A</v>
      </c>
      <c r="I1146" t="str">
        <f t="shared" si="3"/>
        <v>Non-democratic</v>
      </c>
    </row>
    <row r="1147">
      <c r="B1147" t="str">
        <f t="shared" si="1"/>
        <v>#</v>
      </c>
      <c r="G1147" t="str">
        <f>vlookup(B1147,'imported-population-for-countri'!$A$4:$E$17930,5,false)</f>
        <v>#N/A</v>
      </c>
      <c r="H1147" t="str">
        <f t="shared" si="2"/>
        <v>#N/A</v>
      </c>
      <c r="I1147" t="str">
        <f t="shared" si="3"/>
        <v>Non-democratic</v>
      </c>
    </row>
    <row r="1148">
      <c r="B1148" t="str">
        <f t="shared" si="1"/>
        <v>#</v>
      </c>
      <c r="G1148" t="str">
        <f>vlookup(B1148,'imported-population-for-countri'!$A$4:$E$17930,5,false)</f>
        <v>#N/A</v>
      </c>
      <c r="H1148" t="str">
        <f t="shared" si="2"/>
        <v>#N/A</v>
      </c>
      <c r="I1148" t="str">
        <f t="shared" si="3"/>
        <v>Non-democratic</v>
      </c>
    </row>
    <row r="1149">
      <c r="B1149" t="str">
        <f t="shared" si="1"/>
        <v>#</v>
      </c>
      <c r="G1149" t="str">
        <f>vlookup(B1149,'imported-population-for-countri'!$A$4:$E$17930,5,false)</f>
        <v>#N/A</v>
      </c>
      <c r="H1149" t="str">
        <f t="shared" si="2"/>
        <v>#N/A</v>
      </c>
      <c r="I1149" t="str">
        <f t="shared" si="3"/>
        <v>Non-democratic</v>
      </c>
    </row>
    <row r="1150">
      <c r="B1150" t="str">
        <f t="shared" si="1"/>
        <v>#</v>
      </c>
      <c r="G1150" t="str">
        <f>vlookup(B1150,'imported-population-for-countri'!$A$4:$E$17930,5,false)</f>
        <v>#N/A</v>
      </c>
      <c r="H1150" t="str">
        <f t="shared" si="2"/>
        <v>#N/A</v>
      </c>
      <c r="I1150" t="str">
        <f t="shared" si="3"/>
        <v>Non-democratic</v>
      </c>
    </row>
    <row r="1151">
      <c r="B1151" t="str">
        <f t="shared" si="1"/>
        <v>#</v>
      </c>
      <c r="G1151" t="str">
        <f>vlookup(B1151,'imported-population-for-countri'!$A$4:$E$17930,5,false)</f>
        <v>#N/A</v>
      </c>
      <c r="H1151" t="str">
        <f t="shared" si="2"/>
        <v>#N/A</v>
      </c>
      <c r="I1151" t="str">
        <f t="shared" si="3"/>
        <v>Non-democratic</v>
      </c>
    </row>
    <row r="1152">
      <c r="B1152" t="str">
        <f t="shared" si="1"/>
        <v>#</v>
      </c>
      <c r="G1152" t="str">
        <f>vlookup(B1152,'imported-population-for-countri'!$A$4:$E$17930,5,false)</f>
        <v>#N/A</v>
      </c>
      <c r="H1152" t="str">
        <f t="shared" si="2"/>
        <v>#N/A</v>
      </c>
      <c r="I1152" t="str">
        <f t="shared" si="3"/>
        <v>Non-democratic</v>
      </c>
    </row>
    <row r="1153">
      <c r="B1153" t="str">
        <f t="shared" si="1"/>
        <v>#</v>
      </c>
      <c r="G1153" t="str">
        <f>vlookup(B1153,'imported-population-for-countri'!$A$4:$E$17930,5,false)</f>
        <v>#N/A</v>
      </c>
      <c r="H1153" t="str">
        <f t="shared" si="2"/>
        <v>#N/A</v>
      </c>
      <c r="I1153" t="str">
        <f t="shared" si="3"/>
        <v>Non-democratic</v>
      </c>
    </row>
    <row r="1154">
      <c r="B1154" t="str">
        <f t="shared" si="1"/>
        <v>#</v>
      </c>
      <c r="G1154" t="str">
        <f>vlookup(B1154,'imported-population-for-countri'!$A$4:$E$17930,5,false)</f>
        <v>#N/A</v>
      </c>
      <c r="H1154" t="str">
        <f t="shared" si="2"/>
        <v>#N/A</v>
      </c>
      <c r="I1154" t="str">
        <f t="shared" si="3"/>
        <v>Non-democratic</v>
      </c>
    </row>
    <row r="1155">
      <c r="B1155" t="str">
        <f t="shared" si="1"/>
        <v>#</v>
      </c>
      <c r="G1155" t="str">
        <f>vlookup(B1155,'imported-population-for-countri'!$A$4:$E$17930,5,false)</f>
        <v>#N/A</v>
      </c>
      <c r="H1155" t="str">
        <f t="shared" si="2"/>
        <v>#N/A</v>
      </c>
      <c r="I1155" t="str">
        <f t="shared" si="3"/>
        <v>Non-democratic</v>
      </c>
    </row>
    <row r="1156">
      <c r="B1156" t="str">
        <f t="shared" si="1"/>
        <v>#</v>
      </c>
      <c r="G1156" t="str">
        <f>vlookup(B1156,'imported-population-for-countri'!$A$4:$E$17930,5,false)</f>
        <v>#N/A</v>
      </c>
      <c r="H1156" t="str">
        <f t="shared" si="2"/>
        <v>#N/A</v>
      </c>
      <c r="I1156" t="str">
        <f t="shared" si="3"/>
        <v>Non-democratic</v>
      </c>
    </row>
    <row r="1157">
      <c r="B1157" t="str">
        <f t="shared" si="1"/>
        <v>#</v>
      </c>
      <c r="G1157" t="str">
        <f>vlookup(B1157,'imported-population-for-countri'!$A$4:$E$17930,5,false)</f>
        <v>#N/A</v>
      </c>
      <c r="H1157" t="str">
        <f t="shared" si="2"/>
        <v>#N/A</v>
      </c>
      <c r="I1157" t="str">
        <f t="shared" si="3"/>
        <v>Non-democratic</v>
      </c>
    </row>
    <row r="1158">
      <c r="B1158" t="str">
        <f t="shared" si="1"/>
        <v>#</v>
      </c>
      <c r="G1158" t="str">
        <f>vlookup(B1158,'imported-population-for-countri'!$A$4:$E$17930,5,false)</f>
        <v>#N/A</v>
      </c>
      <c r="H1158" t="str">
        <f t="shared" si="2"/>
        <v>#N/A</v>
      </c>
      <c r="I1158" t="str">
        <f t="shared" si="3"/>
        <v>Non-democratic</v>
      </c>
    </row>
    <row r="1159">
      <c r="B1159" t="str">
        <f t="shared" si="1"/>
        <v>#</v>
      </c>
      <c r="G1159" t="str">
        <f>vlookup(B1159,'imported-population-for-countri'!$A$4:$E$17930,5,false)</f>
        <v>#N/A</v>
      </c>
      <c r="H1159" t="str">
        <f t="shared" si="2"/>
        <v>#N/A</v>
      </c>
      <c r="I1159" t="str">
        <f t="shared" si="3"/>
        <v>Non-democratic</v>
      </c>
    </row>
    <row r="1160">
      <c r="B1160" t="str">
        <f t="shared" si="1"/>
        <v>#</v>
      </c>
      <c r="G1160" t="str">
        <f>vlookup(B1160,'imported-population-for-countri'!$A$4:$E$17930,5,false)</f>
        <v>#N/A</v>
      </c>
      <c r="H1160" t="str">
        <f t="shared" si="2"/>
        <v>#N/A</v>
      </c>
      <c r="I1160" t="str">
        <f t="shared" si="3"/>
        <v>Non-democratic</v>
      </c>
    </row>
    <row r="1161">
      <c r="B1161" t="str">
        <f t="shared" si="1"/>
        <v>#</v>
      </c>
      <c r="G1161" t="str">
        <f>vlookup(B1161,'imported-population-for-countri'!$A$4:$E$17930,5,false)</f>
        <v>#N/A</v>
      </c>
      <c r="H1161" t="str">
        <f t="shared" si="2"/>
        <v>#N/A</v>
      </c>
      <c r="I1161" t="str">
        <f t="shared" si="3"/>
        <v>Non-democratic</v>
      </c>
    </row>
    <row r="1162">
      <c r="B1162" t="str">
        <f t="shared" si="1"/>
        <v>#</v>
      </c>
      <c r="G1162" t="str">
        <f>vlookup(B1162,'imported-population-for-countri'!$A$4:$E$17930,5,false)</f>
        <v>#N/A</v>
      </c>
      <c r="H1162" t="str">
        <f t="shared" si="2"/>
        <v>#N/A</v>
      </c>
      <c r="I1162" t="str">
        <f t="shared" si="3"/>
        <v>Non-democratic</v>
      </c>
    </row>
    <row r="1163">
      <c r="B1163" t="str">
        <f t="shared" si="1"/>
        <v>#</v>
      </c>
      <c r="G1163" t="str">
        <f>vlookup(B1163,'imported-population-for-countri'!$A$4:$E$17930,5,false)</f>
        <v>#N/A</v>
      </c>
      <c r="H1163" t="str">
        <f t="shared" si="2"/>
        <v>#N/A</v>
      </c>
      <c r="I1163" t="str">
        <f t="shared" si="3"/>
        <v>Non-democratic</v>
      </c>
    </row>
    <row r="1164">
      <c r="B1164" t="str">
        <f t="shared" si="1"/>
        <v>#</v>
      </c>
      <c r="G1164" t="str">
        <f>vlookup(B1164,'imported-population-for-countri'!$A$4:$E$17930,5,false)</f>
        <v>#N/A</v>
      </c>
      <c r="H1164" t="str">
        <f t="shared" si="2"/>
        <v>#N/A</v>
      </c>
      <c r="I1164" t="str">
        <f t="shared" si="3"/>
        <v>Non-democratic</v>
      </c>
    </row>
    <row r="1165">
      <c r="B1165" t="str">
        <f t="shared" si="1"/>
        <v>#</v>
      </c>
      <c r="G1165" t="str">
        <f>vlookup(B1165,'imported-population-for-countri'!$A$4:$E$17930,5,false)</f>
        <v>#N/A</v>
      </c>
      <c r="H1165" t="str">
        <f t="shared" si="2"/>
        <v>#N/A</v>
      </c>
      <c r="I1165" t="str">
        <f t="shared" si="3"/>
        <v>Non-democratic</v>
      </c>
    </row>
    <row r="1166">
      <c r="B1166" t="str">
        <f t="shared" si="1"/>
        <v>#</v>
      </c>
      <c r="G1166" t="str">
        <f>vlookup(B1166,'imported-population-for-countri'!$A$4:$E$17930,5,false)</f>
        <v>#N/A</v>
      </c>
      <c r="H1166" t="str">
        <f t="shared" si="2"/>
        <v>#N/A</v>
      </c>
      <c r="I1166" t="str">
        <f t="shared" si="3"/>
        <v>Non-democratic</v>
      </c>
    </row>
    <row r="1167">
      <c r="B1167" t="str">
        <f t="shared" si="1"/>
        <v>#</v>
      </c>
      <c r="G1167" t="str">
        <f>vlookup(B1167,'imported-population-for-countri'!$A$4:$E$17930,5,false)</f>
        <v>#N/A</v>
      </c>
      <c r="H1167" t="str">
        <f t="shared" si="2"/>
        <v>#N/A</v>
      </c>
      <c r="I1167" t="str">
        <f t="shared" si="3"/>
        <v>Non-democratic</v>
      </c>
    </row>
    <row r="1168">
      <c r="B1168" t="str">
        <f t="shared" si="1"/>
        <v>#</v>
      </c>
      <c r="G1168" t="str">
        <f>vlookup(B1168,'imported-population-for-countri'!$A$4:$E$17930,5,false)</f>
        <v>#N/A</v>
      </c>
      <c r="H1168" t="str">
        <f t="shared" si="2"/>
        <v>#N/A</v>
      </c>
      <c r="I1168" t="str">
        <f t="shared" si="3"/>
        <v>Non-democratic</v>
      </c>
    </row>
    <row r="1169">
      <c r="B1169" t="str">
        <f t="shared" si="1"/>
        <v>#</v>
      </c>
      <c r="G1169" t="str">
        <f>vlookup(B1169,'imported-population-for-countri'!$A$4:$E$17930,5,false)</f>
        <v>#N/A</v>
      </c>
      <c r="H1169" t="str">
        <f t="shared" si="2"/>
        <v>#N/A</v>
      </c>
      <c r="I1169" t="str">
        <f t="shared" si="3"/>
        <v>Non-democratic</v>
      </c>
    </row>
    <row r="1170">
      <c r="B1170" t="str">
        <f t="shared" si="1"/>
        <v>#</v>
      </c>
      <c r="G1170" t="str">
        <f>vlookup(B1170,'imported-population-for-countri'!$A$4:$E$17930,5,false)</f>
        <v>#N/A</v>
      </c>
      <c r="H1170" t="str">
        <f t="shared" si="2"/>
        <v>#N/A</v>
      </c>
      <c r="I1170" t="str">
        <f t="shared" si="3"/>
        <v>Non-democratic</v>
      </c>
    </row>
    <row r="1171">
      <c r="B1171" t="str">
        <f t="shared" si="1"/>
        <v>#</v>
      </c>
      <c r="G1171" t="str">
        <f>vlookup(B1171,'imported-population-for-countri'!$A$4:$E$17930,5,false)</f>
        <v>#N/A</v>
      </c>
      <c r="H1171" t="str">
        <f t="shared" si="2"/>
        <v>#N/A</v>
      </c>
      <c r="I1171" t="str">
        <f t="shared" si="3"/>
        <v>Non-democratic</v>
      </c>
    </row>
    <row r="1172">
      <c r="B1172" t="str">
        <f t="shared" si="1"/>
        <v>#</v>
      </c>
      <c r="G1172" t="str">
        <f>vlookup(B1172,'imported-population-for-countri'!$A$4:$E$17930,5,false)</f>
        <v>#N/A</v>
      </c>
      <c r="H1172" t="str">
        <f t="shared" si="2"/>
        <v>#N/A</v>
      </c>
      <c r="I1172" t="str">
        <f t="shared" si="3"/>
        <v>Non-democratic</v>
      </c>
    </row>
    <row r="1173">
      <c r="B1173" t="str">
        <f t="shared" si="1"/>
        <v>#</v>
      </c>
      <c r="G1173" t="str">
        <f>vlookup(B1173,'imported-population-for-countri'!$A$4:$E$17930,5,false)</f>
        <v>#N/A</v>
      </c>
      <c r="H1173" t="str">
        <f t="shared" si="2"/>
        <v>#N/A</v>
      </c>
      <c r="I1173" t="str">
        <f t="shared" si="3"/>
        <v>Non-democratic</v>
      </c>
    </row>
    <row r="1174">
      <c r="B1174" t="str">
        <f t="shared" si="1"/>
        <v>#</v>
      </c>
      <c r="G1174" t="str">
        <f>vlookup(B1174,'imported-population-for-countri'!$A$4:$E$17930,5,false)</f>
        <v>#N/A</v>
      </c>
      <c r="H1174" t="str">
        <f t="shared" si="2"/>
        <v>#N/A</v>
      </c>
      <c r="I1174" t="str">
        <f t="shared" si="3"/>
        <v>Non-democratic</v>
      </c>
    </row>
    <row r="1175">
      <c r="B1175" t="str">
        <f t="shared" si="1"/>
        <v>#</v>
      </c>
      <c r="G1175" t="str">
        <f>vlookup(B1175,'imported-population-for-countri'!$A$4:$E$17930,5,false)</f>
        <v>#N/A</v>
      </c>
      <c r="H1175" t="str">
        <f t="shared" si="2"/>
        <v>#N/A</v>
      </c>
      <c r="I1175" t="str">
        <f t="shared" si="3"/>
        <v>Non-democratic</v>
      </c>
    </row>
    <row r="1176">
      <c r="B1176" t="str">
        <f t="shared" si="1"/>
        <v>#</v>
      </c>
      <c r="G1176" t="str">
        <f>vlookup(B1176,'imported-population-for-countri'!$A$4:$E$17930,5,false)</f>
        <v>#N/A</v>
      </c>
      <c r="H1176" t="str">
        <f t="shared" si="2"/>
        <v>#N/A</v>
      </c>
      <c r="I1176" t="str">
        <f t="shared" si="3"/>
        <v>Non-democratic</v>
      </c>
    </row>
    <row r="1177">
      <c r="B1177" t="str">
        <f t="shared" si="1"/>
        <v>#</v>
      </c>
      <c r="G1177" t="str">
        <f>vlookup(B1177,'imported-population-for-countri'!$A$4:$E$17930,5,false)</f>
        <v>#N/A</v>
      </c>
      <c r="H1177" t="str">
        <f t="shared" si="2"/>
        <v>#N/A</v>
      </c>
      <c r="I1177" t="str">
        <f t="shared" si="3"/>
        <v>Non-democratic</v>
      </c>
    </row>
    <row r="1178">
      <c r="B1178" t="str">
        <f t="shared" si="1"/>
        <v>#</v>
      </c>
      <c r="G1178" t="str">
        <f>vlookup(B1178,'imported-population-for-countri'!$A$4:$E$17930,5,false)</f>
        <v>#N/A</v>
      </c>
      <c r="H1178" t="str">
        <f t="shared" si="2"/>
        <v>#N/A</v>
      </c>
      <c r="I1178" t="str">
        <f t="shared" si="3"/>
        <v>Non-democratic</v>
      </c>
    </row>
    <row r="1179">
      <c r="B1179" t="str">
        <f t="shared" si="1"/>
        <v>#</v>
      </c>
      <c r="G1179" t="str">
        <f>vlookup(B1179,'imported-population-for-countri'!$A$4:$E$17930,5,false)</f>
        <v>#N/A</v>
      </c>
      <c r="H1179" t="str">
        <f t="shared" si="2"/>
        <v>#N/A</v>
      </c>
      <c r="I1179" t="str">
        <f t="shared" si="3"/>
        <v>Non-democratic</v>
      </c>
    </row>
    <row r="1180">
      <c r="B1180" t="str">
        <f t="shared" si="1"/>
        <v>#</v>
      </c>
      <c r="G1180" t="str">
        <f>vlookup(B1180,'imported-population-for-countri'!$A$4:$E$17930,5,false)</f>
        <v>#N/A</v>
      </c>
      <c r="H1180" t="str">
        <f t="shared" si="2"/>
        <v>#N/A</v>
      </c>
      <c r="I1180" t="str">
        <f t="shared" si="3"/>
        <v>Non-democratic</v>
      </c>
    </row>
    <row r="1181">
      <c r="B1181" t="str">
        <f t="shared" si="1"/>
        <v>#</v>
      </c>
      <c r="G1181" t="str">
        <f>vlookup(B1181,'imported-population-for-countri'!$A$4:$E$17930,5,false)</f>
        <v>#N/A</v>
      </c>
      <c r="H1181" t="str">
        <f t="shared" si="2"/>
        <v>#N/A</v>
      </c>
      <c r="I1181" t="str">
        <f t="shared" si="3"/>
        <v>Non-democratic</v>
      </c>
    </row>
    <row r="1182">
      <c r="B1182" t="str">
        <f t="shared" si="1"/>
        <v>#</v>
      </c>
      <c r="G1182" t="str">
        <f>vlookup(B1182,'imported-population-for-countri'!$A$4:$E$17930,5,false)</f>
        <v>#N/A</v>
      </c>
      <c r="H1182" t="str">
        <f t="shared" si="2"/>
        <v>#N/A</v>
      </c>
      <c r="I1182" t="str">
        <f t="shared" si="3"/>
        <v>Non-democratic</v>
      </c>
    </row>
    <row r="1183">
      <c r="B1183" t="str">
        <f t="shared" si="1"/>
        <v>#</v>
      </c>
      <c r="G1183" t="str">
        <f>vlookup(B1183,'imported-population-for-countri'!$A$4:$E$17930,5,false)</f>
        <v>#N/A</v>
      </c>
      <c r="H1183" t="str">
        <f t="shared" si="2"/>
        <v>#N/A</v>
      </c>
      <c r="I1183" t="str">
        <f t="shared" si="3"/>
        <v>Non-democratic</v>
      </c>
    </row>
    <row r="1184">
      <c r="B1184" t="str">
        <f t="shared" si="1"/>
        <v>#</v>
      </c>
      <c r="G1184" t="str">
        <f>vlookup(B1184,'imported-population-for-countri'!$A$4:$E$17930,5,false)</f>
        <v>#N/A</v>
      </c>
      <c r="H1184" t="str">
        <f t="shared" si="2"/>
        <v>#N/A</v>
      </c>
      <c r="I1184" t="str">
        <f t="shared" si="3"/>
        <v>Non-democratic</v>
      </c>
    </row>
    <row r="1185">
      <c r="B1185" t="str">
        <f t="shared" si="1"/>
        <v>#</v>
      </c>
      <c r="G1185" t="str">
        <f>vlookup(B1185,'imported-population-for-countri'!$A$4:$E$17930,5,false)</f>
        <v>#N/A</v>
      </c>
      <c r="H1185" t="str">
        <f t="shared" si="2"/>
        <v>#N/A</v>
      </c>
      <c r="I1185" t="str">
        <f t="shared" si="3"/>
        <v>Non-democratic</v>
      </c>
    </row>
    <row r="1186">
      <c r="B1186" t="str">
        <f t="shared" si="1"/>
        <v>#</v>
      </c>
      <c r="G1186" t="str">
        <f>vlookup(B1186,'imported-population-for-countri'!$A$4:$E$17930,5,false)</f>
        <v>#N/A</v>
      </c>
      <c r="H1186" t="str">
        <f t="shared" si="2"/>
        <v>#N/A</v>
      </c>
      <c r="I1186" t="str">
        <f t="shared" si="3"/>
        <v>Non-democratic</v>
      </c>
    </row>
    <row r="1187">
      <c r="B1187" t="str">
        <f t="shared" si="1"/>
        <v>#</v>
      </c>
      <c r="G1187" t="str">
        <f>vlookup(B1187,'imported-population-for-countri'!$A$4:$E$17930,5,false)</f>
        <v>#N/A</v>
      </c>
      <c r="H1187" t="str">
        <f t="shared" si="2"/>
        <v>#N/A</v>
      </c>
      <c r="I1187" t="str">
        <f t="shared" si="3"/>
        <v>Non-democratic</v>
      </c>
    </row>
    <row r="1188">
      <c r="B1188" t="str">
        <f t="shared" si="1"/>
        <v>#</v>
      </c>
      <c r="G1188" t="str">
        <f>vlookup(B1188,'imported-population-for-countri'!$A$4:$E$17930,5,false)</f>
        <v>#N/A</v>
      </c>
      <c r="H1188" t="str">
        <f t="shared" si="2"/>
        <v>#N/A</v>
      </c>
      <c r="I1188" t="str">
        <f t="shared" si="3"/>
        <v>Non-democratic</v>
      </c>
    </row>
    <row r="1189">
      <c r="B1189" t="str">
        <f t="shared" si="1"/>
        <v>#</v>
      </c>
      <c r="G1189" t="str">
        <f>vlookup(B1189,'imported-population-for-countri'!$A$4:$E$17930,5,false)</f>
        <v>#N/A</v>
      </c>
      <c r="H1189" t="str">
        <f t="shared" si="2"/>
        <v>#N/A</v>
      </c>
      <c r="I1189" t="str">
        <f t="shared" si="3"/>
        <v>Non-democratic</v>
      </c>
    </row>
    <row r="1190">
      <c r="B1190" t="str">
        <f t="shared" si="1"/>
        <v>#</v>
      </c>
      <c r="G1190" t="str">
        <f>vlookup(B1190,'imported-population-for-countri'!$A$4:$E$17930,5,false)</f>
        <v>#N/A</v>
      </c>
      <c r="H1190" t="str">
        <f t="shared" si="2"/>
        <v>#N/A</v>
      </c>
      <c r="I1190" t="str">
        <f t="shared" si="3"/>
        <v>Non-democratic</v>
      </c>
    </row>
    <row r="1191">
      <c r="B1191" t="str">
        <f t="shared" si="1"/>
        <v>#</v>
      </c>
      <c r="G1191" t="str">
        <f>vlookup(B1191,'imported-population-for-countri'!$A$4:$E$17930,5,false)</f>
        <v>#N/A</v>
      </c>
      <c r="H1191" t="str">
        <f t="shared" si="2"/>
        <v>#N/A</v>
      </c>
      <c r="I1191" t="str">
        <f t="shared" si="3"/>
        <v>Non-democratic</v>
      </c>
    </row>
    <row r="1192">
      <c r="B1192" t="str">
        <f t="shared" si="1"/>
        <v>#</v>
      </c>
      <c r="G1192" t="str">
        <f>vlookup(B1192,'imported-population-for-countri'!$A$4:$E$17930,5,false)</f>
        <v>#N/A</v>
      </c>
      <c r="H1192" t="str">
        <f t="shared" si="2"/>
        <v>#N/A</v>
      </c>
      <c r="I1192" t="str">
        <f t="shared" si="3"/>
        <v>Non-democratic</v>
      </c>
    </row>
    <row r="1193">
      <c r="B1193" t="str">
        <f t="shared" si="1"/>
        <v>#</v>
      </c>
      <c r="G1193" t="str">
        <f>vlookup(B1193,'imported-population-for-countri'!$A$4:$E$17930,5,false)</f>
        <v>#N/A</v>
      </c>
      <c r="H1193" t="str">
        <f t="shared" si="2"/>
        <v>#N/A</v>
      </c>
      <c r="I1193" t="str">
        <f t="shared" si="3"/>
        <v>Non-democratic</v>
      </c>
    </row>
    <row r="1194">
      <c r="B1194" t="str">
        <f t="shared" si="1"/>
        <v>#</v>
      </c>
      <c r="G1194" t="str">
        <f>vlookup(B1194,'imported-population-for-countri'!$A$4:$E$17930,5,false)</f>
        <v>#N/A</v>
      </c>
      <c r="H1194" t="str">
        <f t="shared" si="2"/>
        <v>#N/A</v>
      </c>
      <c r="I1194" t="str">
        <f t="shared" si="3"/>
        <v>Non-democratic</v>
      </c>
    </row>
    <row r="1195">
      <c r="B1195" t="str">
        <f t="shared" si="1"/>
        <v>#</v>
      </c>
      <c r="G1195" t="str">
        <f>vlookup(B1195,'imported-population-for-countri'!$A$4:$E$17930,5,false)</f>
        <v>#N/A</v>
      </c>
      <c r="H1195" t="str">
        <f t="shared" si="2"/>
        <v>#N/A</v>
      </c>
      <c r="I1195" t="str">
        <f t="shared" si="3"/>
        <v>Non-democratic</v>
      </c>
    </row>
    <row r="1196">
      <c r="B1196" t="str">
        <f t="shared" si="1"/>
        <v>#</v>
      </c>
      <c r="G1196" t="str">
        <f>vlookup(B1196,'imported-population-for-countri'!$A$4:$E$17930,5,false)</f>
        <v>#N/A</v>
      </c>
      <c r="H1196" t="str">
        <f t="shared" si="2"/>
        <v>#N/A</v>
      </c>
      <c r="I1196" t="str">
        <f t="shared" si="3"/>
        <v>Non-democratic</v>
      </c>
    </row>
    <row r="1197">
      <c r="B1197" t="str">
        <f t="shared" si="1"/>
        <v>#</v>
      </c>
      <c r="G1197" t="str">
        <f>vlookup(B1197,'imported-population-for-countri'!$A$4:$E$17930,5,false)</f>
        <v>#N/A</v>
      </c>
      <c r="H1197" t="str">
        <f t="shared" si="2"/>
        <v>#N/A</v>
      </c>
      <c r="I1197" t="str">
        <f t="shared" si="3"/>
        <v>Non-democratic</v>
      </c>
    </row>
    <row r="1198">
      <c r="B1198" t="str">
        <f t="shared" si="1"/>
        <v>#</v>
      </c>
      <c r="G1198" t="str">
        <f>vlookup(B1198,'imported-population-for-countri'!$A$4:$E$17930,5,false)</f>
        <v>#N/A</v>
      </c>
      <c r="H1198" t="str">
        <f t="shared" si="2"/>
        <v>#N/A</v>
      </c>
      <c r="I1198" t="str">
        <f t="shared" si="3"/>
        <v>Non-democratic</v>
      </c>
    </row>
    <row r="1199">
      <c r="B1199" t="str">
        <f t="shared" si="1"/>
        <v>#</v>
      </c>
      <c r="G1199" t="str">
        <f>vlookup(B1199,'imported-population-for-countri'!$A$4:$E$17930,5,false)</f>
        <v>#N/A</v>
      </c>
      <c r="H1199" t="str">
        <f t="shared" si="2"/>
        <v>#N/A</v>
      </c>
      <c r="I1199" t="str">
        <f t="shared" si="3"/>
        <v>Non-democratic</v>
      </c>
    </row>
    <row r="1200">
      <c r="B1200" t="str">
        <f t="shared" si="1"/>
        <v>#</v>
      </c>
      <c r="G1200" t="str">
        <f>vlookup(B1200,'imported-population-for-countri'!$A$4:$E$17930,5,false)</f>
        <v>#N/A</v>
      </c>
      <c r="H1200" t="str">
        <f t="shared" si="2"/>
        <v>#N/A</v>
      </c>
      <c r="I1200" t="str">
        <f t="shared" si="3"/>
        <v>Non-democratic</v>
      </c>
    </row>
    <row r="1201">
      <c r="B1201" t="str">
        <f t="shared" si="1"/>
        <v>#</v>
      </c>
      <c r="G1201" t="str">
        <f>vlookup(B1201,'imported-population-for-countri'!$A$4:$E$17930,5,false)</f>
        <v>#N/A</v>
      </c>
      <c r="H1201" t="str">
        <f t="shared" si="2"/>
        <v>#N/A</v>
      </c>
      <c r="I1201" t="str">
        <f t="shared" si="3"/>
        <v>Non-democratic</v>
      </c>
    </row>
    <row r="1202">
      <c r="B1202" t="str">
        <f t="shared" si="1"/>
        <v>#</v>
      </c>
      <c r="G1202" t="str">
        <f>vlookup(B1202,'imported-population-for-countri'!$A$4:$E$17930,5,false)</f>
        <v>#N/A</v>
      </c>
      <c r="H1202" t="str">
        <f t="shared" si="2"/>
        <v>#N/A</v>
      </c>
      <c r="I1202" t="str">
        <f t="shared" si="3"/>
        <v>Non-democratic</v>
      </c>
    </row>
    <row r="1203">
      <c r="B1203" t="str">
        <f t="shared" si="1"/>
        <v>#</v>
      </c>
      <c r="G1203" t="str">
        <f>vlookup(B1203,'imported-population-for-countri'!$A$4:$E$17930,5,false)</f>
        <v>#N/A</v>
      </c>
      <c r="H1203" t="str">
        <f t="shared" si="2"/>
        <v>#N/A</v>
      </c>
      <c r="I1203" t="str">
        <f t="shared" si="3"/>
        <v>Non-democratic</v>
      </c>
    </row>
    <row r="1204">
      <c r="B1204" t="str">
        <f t="shared" si="1"/>
        <v>#</v>
      </c>
      <c r="G1204" t="str">
        <f>vlookup(B1204,'imported-population-for-countri'!$A$4:$E$17930,5,false)</f>
        <v>#N/A</v>
      </c>
      <c r="H1204" t="str">
        <f t="shared" si="2"/>
        <v>#N/A</v>
      </c>
      <c r="I1204" t="str">
        <f t="shared" si="3"/>
        <v>Non-democratic</v>
      </c>
    </row>
    <row r="1205">
      <c r="B1205" t="str">
        <f t="shared" si="1"/>
        <v>#</v>
      </c>
      <c r="G1205" t="str">
        <f>vlookup(B1205,'imported-population-for-countri'!$A$4:$E$17930,5,false)</f>
        <v>#N/A</v>
      </c>
      <c r="H1205" t="str">
        <f t="shared" si="2"/>
        <v>#N/A</v>
      </c>
      <c r="I1205" t="str">
        <f t="shared" si="3"/>
        <v>Non-democratic</v>
      </c>
    </row>
    <row r="1206">
      <c r="B1206" t="str">
        <f t="shared" si="1"/>
        <v>#</v>
      </c>
      <c r="G1206" t="str">
        <f>vlookup(B1206,'imported-population-for-countri'!$A$4:$E$17930,5,false)</f>
        <v>#N/A</v>
      </c>
      <c r="H1206" t="str">
        <f t="shared" si="2"/>
        <v>#N/A</v>
      </c>
      <c r="I1206" t="str">
        <f t="shared" si="3"/>
        <v>Non-democratic</v>
      </c>
    </row>
    <row r="1207">
      <c r="B1207" t="str">
        <f t="shared" si="1"/>
        <v>#</v>
      </c>
      <c r="G1207" t="str">
        <f>vlookup(B1207,'imported-population-for-countri'!$A$4:$E$17930,5,false)</f>
        <v>#N/A</v>
      </c>
      <c r="H1207" t="str">
        <f t="shared" si="2"/>
        <v>#N/A</v>
      </c>
      <c r="I1207" t="str">
        <f t="shared" si="3"/>
        <v>Non-democratic</v>
      </c>
    </row>
    <row r="1208">
      <c r="B1208" t="str">
        <f t="shared" si="1"/>
        <v>#</v>
      </c>
      <c r="G1208" t="str">
        <f>vlookup(B1208,'imported-population-for-countri'!$A$4:$E$17930,5,false)</f>
        <v>#N/A</v>
      </c>
      <c r="H1208" t="str">
        <f t="shared" si="2"/>
        <v>#N/A</v>
      </c>
      <c r="I1208" t="str">
        <f t="shared" si="3"/>
        <v>Non-democratic</v>
      </c>
    </row>
    <row r="1209">
      <c r="B1209" t="str">
        <f t="shared" si="1"/>
        <v>#</v>
      </c>
      <c r="G1209" t="str">
        <f>vlookup(B1209,'imported-population-for-countri'!$A$4:$E$17930,5,false)</f>
        <v>#N/A</v>
      </c>
      <c r="H1209" t="str">
        <f t="shared" si="2"/>
        <v>#N/A</v>
      </c>
      <c r="I1209" t="str">
        <f t="shared" si="3"/>
        <v>Non-democratic</v>
      </c>
    </row>
    <row r="1210">
      <c r="B1210" t="str">
        <f t="shared" si="1"/>
        <v>#</v>
      </c>
      <c r="G1210" t="str">
        <f>vlookup(B1210,'imported-population-for-countri'!$A$4:$E$17930,5,false)</f>
        <v>#N/A</v>
      </c>
      <c r="H1210" t="str">
        <f t="shared" si="2"/>
        <v>#N/A</v>
      </c>
      <c r="I1210" t="str">
        <f t="shared" si="3"/>
        <v>Non-democratic</v>
      </c>
    </row>
    <row r="1211">
      <c r="B1211" t="str">
        <f t="shared" si="1"/>
        <v>#</v>
      </c>
      <c r="G1211" t="str">
        <f>vlookup(B1211,'imported-population-for-countri'!$A$4:$E$17930,5,false)</f>
        <v>#N/A</v>
      </c>
      <c r="H1211" t="str">
        <f t="shared" si="2"/>
        <v>#N/A</v>
      </c>
      <c r="I1211" t="str">
        <f t="shared" si="3"/>
        <v>Non-democratic</v>
      </c>
    </row>
    <row r="1212">
      <c r="B1212" t="str">
        <f t="shared" si="1"/>
        <v>#</v>
      </c>
      <c r="G1212" t="str">
        <f>vlookup(B1212,'imported-population-for-countri'!$A$4:$E$17930,5,false)</f>
        <v>#N/A</v>
      </c>
      <c r="H1212" t="str">
        <f t="shared" si="2"/>
        <v>#N/A</v>
      </c>
      <c r="I1212" t="str">
        <f t="shared" si="3"/>
        <v>Non-democratic</v>
      </c>
    </row>
    <row r="1213">
      <c r="B1213" t="str">
        <f t="shared" si="1"/>
        <v>#</v>
      </c>
      <c r="G1213" t="str">
        <f>vlookup(B1213,'imported-population-for-countri'!$A$4:$E$17930,5,false)</f>
        <v>#N/A</v>
      </c>
      <c r="H1213" t="str">
        <f t="shared" si="2"/>
        <v>#N/A</v>
      </c>
      <c r="I1213" t="str">
        <f t="shared" si="3"/>
        <v>Non-democratic</v>
      </c>
    </row>
    <row r="1214">
      <c r="B1214" t="str">
        <f t="shared" si="1"/>
        <v>#</v>
      </c>
      <c r="G1214" t="str">
        <f>vlookup(B1214,'imported-population-for-countri'!$A$4:$E$17930,5,false)</f>
        <v>#N/A</v>
      </c>
      <c r="H1214" t="str">
        <f t="shared" si="2"/>
        <v>#N/A</v>
      </c>
      <c r="I1214" t="str">
        <f t="shared" si="3"/>
        <v>Non-democratic</v>
      </c>
    </row>
    <row r="1215">
      <c r="B1215" t="str">
        <f t="shared" si="1"/>
        <v>#</v>
      </c>
      <c r="G1215" t="str">
        <f>vlookup(B1215,'imported-population-for-countri'!$A$4:$E$17930,5,false)</f>
        <v>#N/A</v>
      </c>
      <c r="H1215" t="str">
        <f t="shared" si="2"/>
        <v>#N/A</v>
      </c>
      <c r="I1215" t="str">
        <f t="shared" si="3"/>
        <v>Non-democratic</v>
      </c>
    </row>
    <row r="1216">
      <c r="B1216" t="str">
        <f t="shared" si="1"/>
        <v>#</v>
      </c>
      <c r="G1216" t="str">
        <f>vlookup(B1216,'imported-population-for-countri'!$A$4:$E$17930,5,false)</f>
        <v>#N/A</v>
      </c>
      <c r="H1216" t="str">
        <f t="shared" si="2"/>
        <v>#N/A</v>
      </c>
      <c r="I1216" t="str">
        <f t="shared" si="3"/>
        <v>Non-democratic</v>
      </c>
    </row>
    <row r="1217">
      <c r="B1217" t="str">
        <f t="shared" si="1"/>
        <v>#</v>
      </c>
      <c r="G1217" t="str">
        <f>vlookup(B1217,'imported-population-for-countri'!$A$4:$E$17930,5,false)</f>
        <v>#N/A</v>
      </c>
      <c r="H1217" t="str">
        <f t="shared" si="2"/>
        <v>#N/A</v>
      </c>
      <c r="I1217" t="str">
        <f t="shared" si="3"/>
        <v>Non-democratic</v>
      </c>
    </row>
    <row r="1218">
      <c r="B1218" t="str">
        <f t="shared" si="1"/>
        <v>#</v>
      </c>
      <c r="G1218" t="str">
        <f>vlookup(B1218,'imported-population-for-countri'!$A$4:$E$17930,5,false)</f>
        <v>#N/A</v>
      </c>
      <c r="H1218" t="str">
        <f t="shared" si="2"/>
        <v>#N/A</v>
      </c>
      <c r="I1218" t="str">
        <f t="shared" si="3"/>
        <v>Non-democratic</v>
      </c>
    </row>
    <row r="1219">
      <c r="B1219" t="str">
        <f t="shared" si="1"/>
        <v>#</v>
      </c>
      <c r="G1219" t="str">
        <f>vlookup(B1219,'imported-population-for-countri'!$A$4:$E$17930,5,false)</f>
        <v>#N/A</v>
      </c>
      <c r="H1219" t="str">
        <f t="shared" si="2"/>
        <v>#N/A</v>
      </c>
      <c r="I1219" t="str">
        <f t="shared" si="3"/>
        <v>Non-democratic</v>
      </c>
    </row>
    <row r="1220">
      <c r="B1220" t="str">
        <f t="shared" si="1"/>
        <v>#</v>
      </c>
      <c r="G1220" t="str">
        <f>vlookup(B1220,'imported-population-for-countri'!$A$4:$E$17930,5,false)</f>
        <v>#N/A</v>
      </c>
      <c r="H1220" t="str">
        <f t="shared" si="2"/>
        <v>#N/A</v>
      </c>
      <c r="I1220" t="str">
        <f t="shared" si="3"/>
        <v>Non-democratic</v>
      </c>
    </row>
    <row r="1221">
      <c r="B1221" t="str">
        <f t="shared" si="1"/>
        <v>#</v>
      </c>
      <c r="G1221" t="str">
        <f>vlookup(B1221,'imported-population-for-countri'!$A$4:$E$17930,5,false)</f>
        <v>#N/A</v>
      </c>
      <c r="H1221" t="str">
        <f t="shared" si="2"/>
        <v>#N/A</v>
      </c>
      <c r="I1221" t="str">
        <f t="shared" si="3"/>
        <v>Non-democratic</v>
      </c>
    </row>
    <row r="1222">
      <c r="B1222" t="str">
        <f t="shared" si="1"/>
        <v>#</v>
      </c>
      <c r="G1222" t="str">
        <f>vlookup(B1222,'imported-population-for-countri'!$A$4:$E$17930,5,false)</f>
        <v>#N/A</v>
      </c>
      <c r="H1222" t="str">
        <f t="shared" si="2"/>
        <v>#N/A</v>
      </c>
      <c r="I1222" t="str">
        <f t="shared" si="3"/>
        <v>Non-democratic</v>
      </c>
    </row>
    <row r="1223">
      <c r="B1223" t="str">
        <f t="shared" si="1"/>
        <v>#</v>
      </c>
      <c r="G1223" t="str">
        <f>vlookup(B1223,'imported-population-for-countri'!$A$4:$E$17930,5,false)</f>
        <v>#N/A</v>
      </c>
      <c r="H1223" t="str">
        <f t="shared" si="2"/>
        <v>#N/A</v>
      </c>
      <c r="I1223" t="str">
        <f t="shared" si="3"/>
        <v>Non-democratic</v>
      </c>
    </row>
    <row r="1224">
      <c r="B1224" t="str">
        <f t="shared" si="1"/>
        <v>#</v>
      </c>
      <c r="G1224" t="str">
        <f>vlookup(B1224,'imported-population-for-countri'!$A$4:$E$17930,5,false)</f>
        <v>#N/A</v>
      </c>
      <c r="H1224" t="str">
        <f t="shared" si="2"/>
        <v>#N/A</v>
      </c>
      <c r="I1224" t="str">
        <f t="shared" si="3"/>
        <v>Non-democratic</v>
      </c>
    </row>
    <row r="1225">
      <c r="B1225" t="str">
        <f t="shared" si="1"/>
        <v>#</v>
      </c>
      <c r="G1225" t="str">
        <f>vlookup(B1225,'imported-population-for-countri'!$A$4:$E$17930,5,false)</f>
        <v>#N/A</v>
      </c>
      <c r="H1225" t="str">
        <f t="shared" si="2"/>
        <v>#N/A</v>
      </c>
      <c r="I1225" t="str">
        <f t="shared" si="3"/>
        <v>Non-democratic</v>
      </c>
    </row>
    <row r="1226">
      <c r="B1226" t="str">
        <f t="shared" si="1"/>
        <v>#</v>
      </c>
      <c r="G1226" t="str">
        <f>vlookup(B1226,'imported-population-for-countri'!$A$4:$E$17930,5,false)</f>
        <v>#N/A</v>
      </c>
      <c r="H1226" t="str">
        <f t="shared" si="2"/>
        <v>#N/A</v>
      </c>
      <c r="I1226" t="str">
        <f t="shared" si="3"/>
        <v>Non-democratic</v>
      </c>
    </row>
    <row r="1227">
      <c r="B1227" t="str">
        <f t="shared" si="1"/>
        <v>#</v>
      </c>
      <c r="G1227" t="str">
        <f>vlookup(B1227,'imported-population-for-countri'!$A$4:$E$17930,5,false)</f>
        <v>#N/A</v>
      </c>
      <c r="H1227" t="str">
        <f t="shared" si="2"/>
        <v>#N/A</v>
      </c>
      <c r="I1227" t="str">
        <f t="shared" si="3"/>
        <v>Non-democratic</v>
      </c>
    </row>
    <row r="1228">
      <c r="B1228" t="str">
        <f t="shared" si="1"/>
        <v>#</v>
      </c>
      <c r="G1228" t="str">
        <f>vlookup(B1228,'imported-population-for-countri'!$A$4:$E$17930,5,false)</f>
        <v>#N/A</v>
      </c>
      <c r="H1228" t="str">
        <f t="shared" si="2"/>
        <v>#N/A</v>
      </c>
      <c r="I1228" t="str">
        <f t="shared" si="3"/>
        <v>Non-democratic</v>
      </c>
    </row>
    <row r="1229">
      <c r="B1229" t="str">
        <f t="shared" si="1"/>
        <v>#</v>
      </c>
      <c r="G1229" t="str">
        <f>vlookup(B1229,'imported-population-for-countri'!$A$4:$E$17930,5,false)</f>
        <v>#N/A</v>
      </c>
      <c r="H1229" t="str">
        <f t="shared" si="2"/>
        <v>#N/A</v>
      </c>
      <c r="I1229" t="str">
        <f t="shared" si="3"/>
        <v>Non-democratic</v>
      </c>
    </row>
    <row r="1230">
      <c r="B1230" t="str">
        <f t="shared" si="1"/>
        <v>#</v>
      </c>
      <c r="G1230" t="str">
        <f>vlookup(B1230,'imported-population-for-countri'!$A$4:$E$17930,5,false)</f>
        <v>#N/A</v>
      </c>
      <c r="H1230" t="str">
        <f t="shared" si="2"/>
        <v>#N/A</v>
      </c>
      <c r="I1230" t="str">
        <f t="shared" si="3"/>
        <v>Non-democratic</v>
      </c>
    </row>
    <row r="1231">
      <c r="B1231" t="str">
        <f t="shared" si="1"/>
        <v>#</v>
      </c>
      <c r="G1231" t="str">
        <f>vlookup(B1231,'imported-population-for-countri'!$A$4:$E$17930,5,false)</f>
        <v>#N/A</v>
      </c>
      <c r="H1231" t="str">
        <f t="shared" si="2"/>
        <v>#N/A</v>
      </c>
      <c r="I1231" t="str">
        <f t="shared" si="3"/>
        <v>Non-democratic</v>
      </c>
    </row>
    <row r="1232">
      <c r="B1232" t="str">
        <f t="shared" si="1"/>
        <v>#</v>
      </c>
      <c r="G1232" t="str">
        <f>vlookup(B1232,'imported-population-for-countri'!$A$4:$E$17930,5,false)</f>
        <v>#N/A</v>
      </c>
      <c r="H1232" t="str">
        <f t="shared" si="2"/>
        <v>#N/A</v>
      </c>
      <c r="I1232" t="str">
        <f t="shared" si="3"/>
        <v>Non-democratic</v>
      </c>
    </row>
    <row r="1233">
      <c r="B1233" t="str">
        <f t="shared" si="1"/>
        <v>#</v>
      </c>
      <c r="G1233" t="str">
        <f>vlookup(B1233,'imported-population-for-countri'!$A$4:$E$17930,5,false)</f>
        <v>#N/A</v>
      </c>
      <c r="H1233" t="str">
        <f t="shared" si="2"/>
        <v>#N/A</v>
      </c>
      <c r="I1233" t="str">
        <f t="shared" si="3"/>
        <v>Non-democratic</v>
      </c>
    </row>
    <row r="1234">
      <c r="B1234" t="str">
        <f t="shared" si="1"/>
        <v>#</v>
      </c>
      <c r="G1234" t="str">
        <f>vlookup(B1234,'imported-population-for-countri'!$A$4:$E$17930,5,false)</f>
        <v>#N/A</v>
      </c>
      <c r="H1234" t="str">
        <f t="shared" si="2"/>
        <v>#N/A</v>
      </c>
      <c r="I1234" t="str">
        <f t="shared" si="3"/>
        <v>Non-democratic</v>
      </c>
    </row>
    <row r="1235">
      <c r="B1235" t="str">
        <f t="shared" si="1"/>
        <v>#</v>
      </c>
      <c r="G1235" t="str">
        <f>vlookup(B1235,'imported-population-for-countri'!$A$4:$E$17930,5,false)</f>
        <v>#N/A</v>
      </c>
      <c r="H1235" t="str">
        <f t="shared" si="2"/>
        <v>#N/A</v>
      </c>
      <c r="I1235" t="str">
        <f t="shared" si="3"/>
        <v>Non-democratic</v>
      </c>
    </row>
    <row r="1236">
      <c r="B1236" t="str">
        <f t="shared" si="1"/>
        <v>#</v>
      </c>
      <c r="G1236" t="str">
        <f>vlookup(B1236,'imported-population-for-countri'!$A$4:$E$17930,5,false)</f>
        <v>#N/A</v>
      </c>
      <c r="H1236" t="str">
        <f t="shared" si="2"/>
        <v>#N/A</v>
      </c>
      <c r="I1236" t="str">
        <f t="shared" si="3"/>
        <v>Non-democratic</v>
      </c>
    </row>
    <row r="1237">
      <c r="B1237" t="str">
        <f t="shared" si="1"/>
        <v>#</v>
      </c>
      <c r="G1237" t="str">
        <f>vlookup(B1237,'imported-population-for-countri'!$A$4:$E$17930,5,false)</f>
        <v>#N/A</v>
      </c>
      <c r="H1237" t="str">
        <f t="shared" si="2"/>
        <v>#N/A</v>
      </c>
      <c r="I1237" t="str">
        <f t="shared" si="3"/>
        <v>Non-democratic</v>
      </c>
    </row>
    <row r="1238">
      <c r="B1238" t="str">
        <f t="shared" si="1"/>
        <v>#</v>
      </c>
      <c r="G1238" t="str">
        <f>vlookup(B1238,'imported-population-for-countri'!$A$4:$E$17930,5,false)</f>
        <v>#N/A</v>
      </c>
      <c r="H1238" t="str">
        <f t="shared" si="2"/>
        <v>#N/A</v>
      </c>
      <c r="I1238" t="str">
        <f t="shared" si="3"/>
        <v>Non-democratic</v>
      </c>
    </row>
    <row r="1239">
      <c r="B1239" t="str">
        <f t="shared" si="1"/>
        <v>#</v>
      </c>
      <c r="G1239" t="str">
        <f>vlookup(B1239,'imported-population-for-countri'!$A$4:$E$17930,5,false)</f>
        <v>#N/A</v>
      </c>
      <c r="H1239" t="str">
        <f t="shared" si="2"/>
        <v>#N/A</v>
      </c>
      <c r="I1239" t="str">
        <f t="shared" si="3"/>
        <v>Non-democratic</v>
      </c>
    </row>
    <row r="1240">
      <c r="B1240" t="str">
        <f t="shared" si="1"/>
        <v>#</v>
      </c>
      <c r="G1240" t="str">
        <f>vlookup(B1240,'imported-population-for-countri'!$A$4:$E$17930,5,false)</f>
        <v>#N/A</v>
      </c>
      <c r="H1240" t="str">
        <f t="shared" si="2"/>
        <v>#N/A</v>
      </c>
      <c r="I1240" t="str">
        <f t="shared" si="3"/>
        <v>Non-democratic</v>
      </c>
    </row>
    <row r="1241">
      <c r="B1241" t="str">
        <f t="shared" si="1"/>
        <v>#</v>
      </c>
      <c r="G1241" t="str">
        <f>vlookup(B1241,'imported-population-for-countri'!$A$4:$E$17930,5,false)</f>
        <v>#N/A</v>
      </c>
      <c r="H1241" t="str">
        <f t="shared" si="2"/>
        <v>#N/A</v>
      </c>
      <c r="I1241" t="str">
        <f t="shared" si="3"/>
        <v>Non-democratic</v>
      </c>
    </row>
    <row r="1242">
      <c r="B1242" t="str">
        <f t="shared" si="1"/>
        <v>#</v>
      </c>
      <c r="G1242" t="str">
        <f>vlookup(B1242,'imported-population-for-countri'!$A$4:$E$17930,5,false)</f>
        <v>#N/A</v>
      </c>
      <c r="H1242" t="str">
        <f t="shared" si="2"/>
        <v>#N/A</v>
      </c>
      <c r="I1242" t="str">
        <f t="shared" si="3"/>
        <v>Non-democratic</v>
      </c>
    </row>
    <row r="1243">
      <c r="B1243" t="str">
        <f t="shared" si="1"/>
        <v>#</v>
      </c>
      <c r="G1243" t="str">
        <f>vlookup(B1243,'imported-population-for-countri'!$A$4:$E$17930,5,false)</f>
        <v>#N/A</v>
      </c>
      <c r="H1243" t="str">
        <f t="shared" si="2"/>
        <v>#N/A</v>
      </c>
      <c r="I1243" t="str">
        <f t="shared" si="3"/>
        <v>Non-democratic</v>
      </c>
    </row>
    <row r="1244">
      <c r="B1244" t="str">
        <f t="shared" si="1"/>
        <v>#</v>
      </c>
      <c r="G1244" t="str">
        <f>vlookup(B1244,'imported-population-for-countri'!$A$4:$E$17930,5,false)</f>
        <v>#N/A</v>
      </c>
      <c r="H1244" t="str">
        <f t="shared" si="2"/>
        <v>#N/A</v>
      </c>
      <c r="I1244" t="str">
        <f t="shared" si="3"/>
        <v>Non-democratic</v>
      </c>
    </row>
    <row r="1245">
      <c r="B1245" t="str">
        <f t="shared" si="1"/>
        <v>#</v>
      </c>
      <c r="G1245" t="str">
        <f>vlookup(B1245,'imported-population-for-countri'!$A$4:$E$17930,5,false)</f>
        <v>#N/A</v>
      </c>
      <c r="H1245" t="str">
        <f t="shared" si="2"/>
        <v>#N/A</v>
      </c>
      <c r="I1245" t="str">
        <f t="shared" si="3"/>
        <v>Non-democratic</v>
      </c>
    </row>
    <row r="1246">
      <c r="B1246" t="str">
        <f t="shared" si="1"/>
        <v>#</v>
      </c>
      <c r="G1246" t="str">
        <f>vlookup(B1246,'imported-population-for-countri'!$A$4:$E$17930,5,false)</f>
        <v>#N/A</v>
      </c>
      <c r="H1246" t="str">
        <f t="shared" si="2"/>
        <v>#N/A</v>
      </c>
      <c r="I1246" t="str">
        <f t="shared" si="3"/>
        <v>Non-democratic</v>
      </c>
    </row>
    <row r="1247">
      <c r="B1247" t="str">
        <f t="shared" si="1"/>
        <v>#</v>
      </c>
      <c r="G1247" t="str">
        <f>vlookup(B1247,'imported-population-for-countri'!$A$4:$E$17930,5,false)</f>
        <v>#N/A</v>
      </c>
      <c r="H1247" t="str">
        <f t="shared" si="2"/>
        <v>#N/A</v>
      </c>
      <c r="I1247" t="str">
        <f t="shared" si="3"/>
        <v>Non-democratic</v>
      </c>
    </row>
    <row r="1248">
      <c r="B1248" t="str">
        <f t="shared" si="1"/>
        <v>#</v>
      </c>
      <c r="G1248" t="str">
        <f>vlookup(B1248,'imported-population-for-countri'!$A$4:$E$17930,5,false)</f>
        <v>#N/A</v>
      </c>
      <c r="H1248" t="str">
        <f t="shared" si="2"/>
        <v>#N/A</v>
      </c>
      <c r="I1248" t="str">
        <f t="shared" si="3"/>
        <v>Non-democratic</v>
      </c>
    </row>
    <row r="1249">
      <c r="B1249" t="str">
        <f t="shared" si="1"/>
        <v>#</v>
      </c>
      <c r="G1249" t="str">
        <f>vlookup(B1249,'imported-population-for-countri'!$A$4:$E$17930,5,false)</f>
        <v>#N/A</v>
      </c>
      <c r="H1249" t="str">
        <f t="shared" si="2"/>
        <v>#N/A</v>
      </c>
      <c r="I1249" t="str">
        <f t="shared" si="3"/>
        <v>Non-democratic</v>
      </c>
    </row>
    <row r="1250">
      <c r="B1250" t="str">
        <f t="shared" si="1"/>
        <v>#</v>
      </c>
      <c r="G1250" t="str">
        <f>vlookup(B1250,'imported-population-for-countri'!$A$4:$E$17930,5,false)</f>
        <v>#N/A</v>
      </c>
      <c r="H1250" t="str">
        <f t="shared" si="2"/>
        <v>#N/A</v>
      </c>
      <c r="I1250" t="str">
        <f t="shared" si="3"/>
        <v>Non-democratic</v>
      </c>
    </row>
    <row r="1251">
      <c r="B1251" t="str">
        <f t="shared" si="1"/>
        <v>#</v>
      </c>
      <c r="G1251" t="str">
        <f>vlookup(B1251,'imported-population-for-countri'!$A$4:$E$17930,5,false)</f>
        <v>#N/A</v>
      </c>
      <c r="H1251" t="str">
        <f t="shared" si="2"/>
        <v>#N/A</v>
      </c>
      <c r="I1251" t="str">
        <f t="shared" si="3"/>
        <v>Non-democratic</v>
      </c>
    </row>
    <row r="1252">
      <c r="B1252" t="str">
        <f t="shared" si="1"/>
        <v>#</v>
      </c>
      <c r="G1252" t="str">
        <f>vlookup(B1252,'imported-population-for-countri'!$A$4:$E$17930,5,false)</f>
        <v>#N/A</v>
      </c>
      <c r="H1252" t="str">
        <f t="shared" si="2"/>
        <v>#N/A</v>
      </c>
      <c r="I1252" t="str">
        <f t="shared" si="3"/>
        <v>Non-democratic</v>
      </c>
    </row>
    <row r="1253">
      <c r="B1253" t="str">
        <f t="shared" si="1"/>
        <v>#</v>
      </c>
      <c r="G1253" t="str">
        <f>vlookup(B1253,'imported-population-for-countri'!$A$4:$E$17930,5,false)</f>
        <v>#N/A</v>
      </c>
      <c r="H1253" t="str">
        <f t="shared" si="2"/>
        <v>#N/A</v>
      </c>
      <c r="I1253" t="str">
        <f t="shared" si="3"/>
        <v>Non-democratic</v>
      </c>
    </row>
    <row r="1254">
      <c r="B1254" t="str">
        <f t="shared" si="1"/>
        <v>#</v>
      </c>
      <c r="G1254" t="str">
        <f>vlookup(B1254,'imported-population-for-countri'!$A$4:$E$17930,5,false)</f>
        <v>#N/A</v>
      </c>
      <c r="H1254" t="str">
        <f t="shared" si="2"/>
        <v>#N/A</v>
      </c>
      <c r="I1254" t="str">
        <f t="shared" si="3"/>
        <v>Non-democratic</v>
      </c>
    </row>
    <row r="1255">
      <c r="B1255" t="str">
        <f t="shared" si="1"/>
        <v>#</v>
      </c>
      <c r="G1255" t="str">
        <f>vlookup(B1255,'imported-population-for-countri'!$A$4:$E$17930,5,false)</f>
        <v>#N/A</v>
      </c>
      <c r="H1255" t="str">
        <f t="shared" si="2"/>
        <v>#N/A</v>
      </c>
      <c r="I1255" t="str">
        <f t="shared" si="3"/>
        <v>Non-democratic</v>
      </c>
    </row>
    <row r="1256">
      <c r="B1256" t="str">
        <f t="shared" si="1"/>
        <v>#</v>
      </c>
      <c r="G1256" t="str">
        <f>vlookup(B1256,'imported-population-for-countri'!$A$4:$E$17930,5,false)</f>
        <v>#N/A</v>
      </c>
      <c r="H1256" t="str">
        <f t="shared" si="2"/>
        <v>#N/A</v>
      </c>
      <c r="I1256" t="str">
        <f t="shared" si="3"/>
        <v>Non-democratic</v>
      </c>
    </row>
    <row r="1257">
      <c r="B1257" t="str">
        <f t="shared" si="1"/>
        <v>#</v>
      </c>
      <c r="G1257" t="str">
        <f>vlookup(B1257,'imported-population-for-countri'!$A$4:$E$17930,5,false)</f>
        <v>#N/A</v>
      </c>
      <c r="H1257" t="str">
        <f t="shared" si="2"/>
        <v>#N/A</v>
      </c>
      <c r="I1257" t="str">
        <f t="shared" si="3"/>
        <v>Non-democratic</v>
      </c>
    </row>
    <row r="1258">
      <c r="B1258" t="str">
        <f t="shared" si="1"/>
        <v>#</v>
      </c>
      <c r="G1258" t="str">
        <f>vlookup(B1258,'imported-population-for-countri'!$A$4:$E$17930,5,false)</f>
        <v>#N/A</v>
      </c>
      <c r="H1258" t="str">
        <f t="shared" si="2"/>
        <v>#N/A</v>
      </c>
      <c r="I1258" t="str">
        <f t="shared" si="3"/>
        <v>Non-democratic</v>
      </c>
    </row>
    <row r="1259">
      <c r="B1259" t="str">
        <f t="shared" si="1"/>
        <v>#</v>
      </c>
      <c r="G1259" t="str">
        <f>vlookup(B1259,'imported-population-for-countri'!$A$4:$E$17930,5,false)</f>
        <v>#N/A</v>
      </c>
      <c r="H1259" t="str">
        <f t="shared" si="2"/>
        <v>#N/A</v>
      </c>
      <c r="I1259" t="str">
        <f t="shared" si="3"/>
        <v>Non-democratic</v>
      </c>
    </row>
    <row r="1260">
      <c r="B1260" t="str">
        <f t="shared" si="1"/>
        <v>#</v>
      </c>
      <c r="G1260" t="str">
        <f>vlookup(B1260,'imported-population-for-countri'!$A$4:$E$17930,5,false)</f>
        <v>#N/A</v>
      </c>
      <c r="H1260" t="str">
        <f t="shared" si="2"/>
        <v>#N/A</v>
      </c>
      <c r="I1260" t="str">
        <f t="shared" si="3"/>
        <v>Non-democratic</v>
      </c>
    </row>
    <row r="1261">
      <c r="B1261" t="str">
        <f t="shared" si="1"/>
        <v>#</v>
      </c>
      <c r="G1261" t="str">
        <f>vlookup(B1261,'imported-population-for-countri'!$A$4:$E$17930,5,false)</f>
        <v>#N/A</v>
      </c>
      <c r="H1261" t="str">
        <f t="shared" si="2"/>
        <v>#N/A</v>
      </c>
      <c r="I1261" t="str">
        <f t="shared" si="3"/>
        <v>Non-democratic</v>
      </c>
    </row>
    <row r="1262">
      <c r="B1262" t="str">
        <f t="shared" si="1"/>
        <v>#</v>
      </c>
      <c r="G1262" t="str">
        <f>vlookup(B1262,'imported-population-for-countri'!$A$4:$E$17930,5,false)</f>
        <v>#N/A</v>
      </c>
      <c r="H1262" t="str">
        <f t="shared" si="2"/>
        <v>#N/A</v>
      </c>
      <c r="I1262" t="str">
        <f t="shared" si="3"/>
        <v>Non-democratic</v>
      </c>
    </row>
    <row r="1263">
      <c r="B1263" t="str">
        <f t="shared" si="1"/>
        <v>#</v>
      </c>
      <c r="G1263" t="str">
        <f>vlookup(B1263,'imported-population-for-countri'!$A$4:$E$17930,5,false)</f>
        <v>#N/A</v>
      </c>
      <c r="H1263" t="str">
        <f t="shared" si="2"/>
        <v>#N/A</v>
      </c>
      <c r="I1263" t="str">
        <f t="shared" si="3"/>
        <v>Non-democratic</v>
      </c>
    </row>
    <row r="1264">
      <c r="B1264" t="str">
        <f t="shared" si="1"/>
        <v>#</v>
      </c>
      <c r="G1264" t="str">
        <f>vlookup(B1264,'imported-population-for-countri'!$A$4:$E$17930,5,false)</f>
        <v>#N/A</v>
      </c>
      <c r="H1264" t="str">
        <f t="shared" si="2"/>
        <v>#N/A</v>
      </c>
      <c r="I1264" t="str">
        <f t="shared" si="3"/>
        <v>Non-democratic</v>
      </c>
    </row>
    <row r="1265">
      <c r="B1265" t="str">
        <f t="shared" si="1"/>
        <v>#</v>
      </c>
      <c r="G1265" t="str">
        <f>vlookup(B1265,'imported-population-for-countri'!$A$4:$E$17930,5,false)</f>
        <v>#N/A</v>
      </c>
      <c r="H1265" t="str">
        <f t="shared" si="2"/>
        <v>#N/A</v>
      </c>
      <c r="I1265" t="str">
        <f t="shared" si="3"/>
        <v>Non-democratic</v>
      </c>
    </row>
    <row r="1266">
      <c r="B1266" t="str">
        <f t="shared" si="1"/>
        <v>#</v>
      </c>
      <c r="G1266" t="str">
        <f>vlookup(B1266,'imported-population-for-countri'!$A$4:$E$17930,5,false)</f>
        <v>#N/A</v>
      </c>
      <c r="H1266" t="str">
        <f t="shared" si="2"/>
        <v>#N/A</v>
      </c>
      <c r="I1266" t="str">
        <f t="shared" si="3"/>
        <v>Non-democratic</v>
      </c>
    </row>
    <row r="1267">
      <c r="B1267" t="str">
        <f t="shared" si="1"/>
        <v>#</v>
      </c>
      <c r="G1267" t="str">
        <f>vlookup(B1267,'imported-population-for-countri'!$A$4:$E$17930,5,false)</f>
        <v>#N/A</v>
      </c>
      <c r="H1267" t="str">
        <f t="shared" si="2"/>
        <v>#N/A</v>
      </c>
      <c r="I1267" t="str">
        <f t="shared" si="3"/>
        <v>Non-democratic</v>
      </c>
    </row>
    <row r="1268">
      <c r="B1268" t="str">
        <f t="shared" si="1"/>
        <v>#</v>
      </c>
      <c r="G1268" t="str">
        <f>vlookup(B1268,'imported-population-for-countri'!$A$4:$E$17930,5,false)</f>
        <v>#N/A</v>
      </c>
      <c r="H1268" t="str">
        <f t="shared" si="2"/>
        <v>#N/A</v>
      </c>
      <c r="I1268" t="str">
        <f t="shared" si="3"/>
        <v>Non-democratic</v>
      </c>
    </row>
    <row r="1269">
      <c r="B1269" t="str">
        <f t="shared" si="1"/>
        <v>#</v>
      </c>
      <c r="G1269" t="str">
        <f>vlookup(B1269,'imported-population-for-countri'!$A$4:$E$17930,5,false)</f>
        <v>#N/A</v>
      </c>
      <c r="H1269" t="str">
        <f t="shared" si="2"/>
        <v>#N/A</v>
      </c>
      <c r="I1269" t="str">
        <f t="shared" si="3"/>
        <v>Non-democratic</v>
      </c>
    </row>
    <row r="1270">
      <c r="B1270" t="str">
        <f t="shared" si="1"/>
        <v>#</v>
      </c>
      <c r="G1270" t="str">
        <f>vlookup(B1270,'imported-population-for-countri'!$A$4:$E$17930,5,false)</f>
        <v>#N/A</v>
      </c>
      <c r="H1270" t="str">
        <f t="shared" si="2"/>
        <v>#N/A</v>
      </c>
      <c r="I1270" t="str">
        <f t="shared" si="3"/>
        <v>Non-democratic</v>
      </c>
    </row>
    <row r="1271">
      <c r="B1271" t="str">
        <f t="shared" si="1"/>
        <v>#</v>
      </c>
      <c r="G1271" t="str">
        <f>vlookup(B1271,'imported-population-for-countri'!$A$4:$E$17930,5,false)</f>
        <v>#N/A</v>
      </c>
      <c r="H1271" t="str">
        <f t="shared" si="2"/>
        <v>#N/A</v>
      </c>
      <c r="I1271" t="str">
        <f t="shared" si="3"/>
        <v>Non-democratic</v>
      </c>
    </row>
    <row r="1272">
      <c r="B1272" t="str">
        <f t="shared" si="1"/>
        <v>#</v>
      </c>
      <c r="G1272" t="str">
        <f>vlookup(B1272,'imported-population-for-countri'!$A$4:$E$17930,5,false)</f>
        <v>#N/A</v>
      </c>
      <c r="H1272" t="str">
        <f t="shared" si="2"/>
        <v>#N/A</v>
      </c>
      <c r="I1272" t="str">
        <f t="shared" si="3"/>
        <v>Non-democratic</v>
      </c>
    </row>
    <row r="1273">
      <c r="B1273" t="str">
        <f t="shared" si="1"/>
        <v>#</v>
      </c>
      <c r="G1273" t="str">
        <f>vlookup(B1273,'imported-population-for-countri'!$A$4:$E$17930,5,false)</f>
        <v>#N/A</v>
      </c>
      <c r="H1273" t="str">
        <f t="shared" si="2"/>
        <v>#N/A</v>
      </c>
      <c r="I1273" t="str">
        <f t="shared" si="3"/>
        <v>Non-democratic</v>
      </c>
    </row>
    <row r="1274">
      <c r="B1274" t="str">
        <f t="shared" si="1"/>
        <v>#</v>
      </c>
      <c r="G1274" t="str">
        <f>vlookup(B1274,'imported-population-for-countri'!$A$4:$E$17930,5,false)</f>
        <v>#N/A</v>
      </c>
      <c r="H1274" t="str">
        <f t="shared" si="2"/>
        <v>#N/A</v>
      </c>
      <c r="I1274" t="str">
        <f t="shared" si="3"/>
        <v>Non-democratic</v>
      </c>
    </row>
    <row r="1275">
      <c r="B1275" t="str">
        <f t="shared" si="1"/>
        <v>#</v>
      </c>
      <c r="G1275" t="str">
        <f>vlookup(B1275,'imported-population-for-countri'!$A$4:$E$17930,5,false)</f>
        <v>#N/A</v>
      </c>
      <c r="H1275" t="str">
        <f t="shared" si="2"/>
        <v>#N/A</v>
      </c>
      <c r="I1275" t="str">
        <f t="shared" si="3"/>
        <v>Non-democratic</v>
      </c>
    </row>
    <row r="1276">
      <c r="B1276" t="str">
        <f t="shared" si="1"/>
        <v>#</v>
      </c>
      <c r="G1276" t="str">
        <f>vlookup(B1276,'imported-population-for-countri'!$A$4:$E$17930,5,false)</f>
        <v>#N/A</v>
      </c>
      <c r="H1276" t="str">
        <f t="shared" si="2"/>
        <v>#N/A</v>
      </c>
      <c r="I1276" t="str">
        <f t="shared" si="3"/>
        <v>Non-democratic</v>
      </c>
    </row>
    <row r="1277">
      <c r="B1277" t="str">
        <f t="shared" si="1"/>
        <v>#</v>
      </c>
      <c r="G1277" t="str">
        <f>vlookup(B1277,'imported-population-for-countri'!$A$4:$E$17930,5,false)</f>
        <v>#N/A</v>
      </c>
      <c r="H1277" t="str">
        <f t="shared" si="2"/>
        <v>#N/A</v>
      </c>
      <c r="I1277" t="str">
        <f t="shared" si="3"/>
        <v>Non-democratic</v>
      </c>
    </row>
    <row r="1278">
      <c r="B1278" t="str">
        <f t="shared" si="1"/>
        <v>#</v>
      </c>
      <c r="G1278" t="str">
        <f>vlookup(B1278,'imported-population-for-countri'!$A$4:$E$17930,5,false)</f>
        <v>#N/A</v>
      </c>
      <c r="H1278" t="str">
        <f t="shared" si="2"/>
        <v>#N/A</v>
      </c>
      <c r="I1278" t="str">
        <f t="shared" si="3"/>
        <v>Non-democratic</v>
      </c>
    </row>
    <row r="1279">
      <c r="B1279" t="str">
        <f t="shared" si="1"/>
        <v>#</v>
      </c>
      <c r="G1279" t="str">
        <f>vlookup(B1279,'imported-population-for-countri'!$A$4:$E$17930,5,false)</f>
        <v>#N/A</v>
      </c>
      <c r="H1279" t="str">
        <f t="shared" si="2"/>
        <v>#N/A</v>
      </c>
      <c r="I1279" t="str">
        <f t="shared" si="3"/>
        <v>Non-democratic</v>
      </c>
    </row>
    <row r="1280">
      <c r="B1280" t="str">
        <f t="shared" si="1"/>
        <v>#</v>
      </c>
      <c r="G1280" t="str">
        <f>vlookup(B1280,'imported-population-for-countri'!$A$4:$E$17930,5,false)</f>
        <v>#N/A</v>
      </c>
      <c r="H1280" t="str">
        <f t="shared" si="2"/>
        <v>#N/A</v>
      </c>
      <c r="I1280" t="str">
        <f t="shared" si="3"/>
        <v>Non-democratic</v>
      </c>
    </row>
    <row r="1281">
      <c r="B1281" t="str">
        <f t="shared" si="1"/>
        <v>#</v>
      </c>
      <c r="G1281" t="str">
        <f>vlookup(B1281,'imported-population-for-countri'!$A$4:$E$17930,5,false)</f>
        <v>#N/A</v>
      </c>
      <c r="H1281" t="str">
        <f t="shared" si="2"/>
        <v>#N/A</v>
      </c>
      <c r="I1281" t="str">
        <f t="shared" si="3"/>
        <v>Non-democratic</v>
      </c>
    </row>
    <row r="1282">
      <c r="B1282" t="str">
        <f t="shared" si="1"/>
        <v>#</v>
      </c>
      <c r="G1282" t="str">
        <f>vlookup(B1282,'imported-population-for-countri'!$A$4:$E$17930,5,false)</f>
        <v>#N/A</v>
      </c>
      <c r="H1282" t="str">
        <f t="shared" si="2"/>
        <v>#N/A</v>
      </c>
      <c r="I1282" t="str">
        <f t="shared" si="3"/>
        <v>Non-democratic</v>
      </c>
    </row>
    <row r="1283">
      <c r="B1283" t="str">
        <f t="shared" si="1"/>
        <v>#</v>
      </c>
      <c r="G1283" t="str">
        <f>vlookup(B1283,'imported-population-for-countri'!$A$4:$E$17930,5,false)</f>
        <v>#N/A</v>
      </c>
      <c r="H1283" t="str">
        <f t="shared" si="2"/>
        <v>#N/A</v>
      </c>
      <c r="I1283" t="str">
        <f t="shared" si="3"/>
        <v>Non-democratic</v>
      </c>
    </row>
    <row r="1284">
      <c r="B1284" t="str">
        <f t="shared" si="1"/>
        <v>#</v>
      </c>
      <c r="G1284" t="str">
        <f>vlookup(B1284,'imported-population-for-countri'!$A$4:$E$17930,5,false)</f>
        <v>#N/A</v>
      </c>
      <c r="H1284" t="str">
        <f t="shared" si="2"/>
        <v>#N/A</v>
      </c>
      <c r="I1284" t="str">
        <f t="shared" si="3"/>
        <v>Non-democratic</v>
      </c>
    </row>
    <row r="1285">
      <c r="B1285" t="str">
        <f t="shared" si="1"/>
        <v>#</v>
      </c>
      <c r="G1285" t="str">
        <f>vlookup(B1285,'imported-population-for-countri'!$A$4:$E$17930,5,false)</f>
        <v>#N/A</v>
      </c>
      <c r="H1285" t="str">
        <f t="shared" si="2"/>
        <v>#N/A</v>
      </c>
      <c r="I1285" t="str">
        <f t="shared" si="3"/>
        <v>Non-democratic</v>
      </c>
    </row>
    <row r="1286">
      <c r="B1286" t="str">
        <f t="shared" si="1"/>
        <v>#</v>
      </c>
      <c r="G1286" t="str">
        <f>vlookup(B1286,'imported-population-for-countri'!$A$4:$E$17930,5,false)</f>
        <v>#N/A</v>
      </c>
      <c r="H1286" t="str">
        <f t="shared" si="2"/>
        <v>#N/A</v>
      </c>
      <c r="I1286" t="str">
        <f t="shared" si="3"/>
        <v>Non-democratic</v>
      </c>
    </row>
    <row r="1287">
      <c r="B1287" t="str">
        <f t="shared" si="1"/>
        <v>#</v>
      </c>
      <c r="G1287" t="str">
        <f>vlookup(B1287,'imported-population-for-countri'!$A$4:$E$17930,5,false)</f>
        <v>#N/A</v>
      </c>
      <c r="H1287" t="str">
        <f t="shared" si="2"/>
        <v>#N/A</v>
      </c>
      <c r="I1287" t="str">
        <f t="shared" si="3"/>
        <v>Non-democratic</v>
      </c>
    </row>
    <row r="1288">
      <c r="B1288" t="str">
        <f t="shared" si="1"/>
        <v>#</v>
      </c>
      <c r="G1288" t="str">
        <f>vlookup(B1288,'imported-population-for-countri'!$A$4:$E$17930,5,false)</f>
        <v>#N/A</v>
      </c>
      <c r="H1288" t="str">
        <f t="shared" si="2"/>
        <v>#N/A</v>
      </c>
      <c r="I1288" t="str">
        <f t="shared" si="3"/>
        <v>Non-democratic</v>
      </c>
    </row>
    <row r="1289">
      <c r="B1289" t="str">
        <f t="shared" si="1"/>
        <v>#</v>
      </c>
      <c r="G1289" t="str">
        <f>vlookup(B1289,'imported-population-for-countri'!$A$4:$E$17930,5,false)</f>
        <v>#N/A</v>
      </c>
      <c r="H1289" t="str">
        <f t="shared" si="2"/>
        <v>#N/A</v>
      </c>
      <c r="I1289" t="str">
        <f t="shared" si="3"/>
        <v>Non-democratic</v>
      </c>
    </row>
    <row r="1290">
      <c r="B1290" t="str">
        <f t="shared" si="1"/>
        <v>#</v>
      </c>
      <c r="G1290" t="str">
        <f>vlookup(B1290,'imported-population-for-countri'!$A$4:$E$17930,5,false)</f>
        <v>#N/A</v>
      </c>
      <c r="H1290" t="str">
        <f t="shared" si="2"/>
        <v>#N/A</v>
      </c>
      <c r="I1290" t="str">
        <f t="shared" si="3"/>
        <v>Non-democratic</v>
      </c>
    </row>
    <row r="1291">
      <c r="B1291" t="str">
        <f t="shared" si="1"/>
        <v>#</v>
      </c>
      <c r="G1291" t="str">
        <f>vlookup(B1291,'imported-population-for-countri'!$A$4:$E$17930,5,false)</f>
        <v>#N/A</v>
      </c>
      <c r="H1291" t="str">
        <f t="shared" si="2"/>
        <v>#N/A</v>
      </c>
      <c r="I1291" t="str">
        <f t="shared" si="3"/>
        <v>Non-democratic</v>
      </c>
    </row>
    <row r="1292">
      <c r="B1292" t="str">
        <f t="shared" si="1"/>
        <v>#</v>
      </c>
      <c r="G1292" t="str">
        <f>vlookup(B1292,'imported-population-for-countri'!$A$4:$E$17930,5,false)</f>
        <v>#N/A</v>
      </c>
      <c r="H1292" t="str">
        <f t="shared" si="2"/>
        <v>#N/A</v>
      </c>
      <c r="I1292" t="str">
        <f t="shared" si="3"/>
        <v>Non-democratic</v>
      </c>
    </row>
    <row r="1293">
      <c r="B1293" t="str">
        <f t="shared" si="1"/>
        <v>#</v>
      </c>
      <c r="G1293" t="str">
        <f>vlookup(B1293,'imported-population-for-countri'!$A$4:$E$17930,5,false)</f>
        <v>#N/A</v>
      </c>
      <c r="H1293" t="str">
        <f t="shared" si="2"/>
        <v>#N/A</v>
      </c>
      <c r="I1293" t="str">
        <f t="shared" si="3"/>
        <v>Non-democratic</v>
      </c>
    </row>
    <row r="1294">
      <c r="B1294" t="str">
        <f t="shared" si="1"/>
        <v>#</v>
      </c>
      <c r="G1294" t="str">
        <f>vlookup(B1294,'imported-population-for-countri'!$A$4:$E$17930,5,false)</f>
        <v>#N/A</v>
      </c>
      <c r="H1294" t="str">
        <f t="shared" si="2"/>
        <v>#N/A</v>
      </c>
      <c r="I1294" t="str">
        <f t="shared" si="3"/>
        <v>Non-democratic</v>
      </c>
    </row>
    <row r="1295">
      <c r="B1295" t="str">
        <f t="shared" si="1"/>
        <v>#</v>
      </c>
      <c r="G1295" t="str">
        <f>vlookup(B1295,'imported-population-for-countri'!$A$4:$E$17930,5,false)</f>
        <v>#N/A</v>
      </c>
      <c r="H1295" t="str">
        <f t="shared" si="2"/>
        <v>#N/A</v>
      </c>
      <c r="I1295" t="str">
        <f t="shared" si="3"/>
        <v>Non-democratic</v>
      </c>
    </row>
    <row r="1296">
      <c r="B1296" t="str">
        <f t="shared" si="1"/>
        <v>#</v>
      </c>
      <c r="G1296" t="str">
        <f>vlookup(B1296,'imported-population-for-countri'!$A$4:$E$17930,5,false)</f>
        <v>#N/A</v>
      </c>
      <c r="H1296" t="str">
        <f t="shared" si="2"/>
        <v>#N/A</v>
      </c>
      <c r="I1296" t="str">
        <f t="shared" si="3"/>
        <v>Non-democratic</v>
      </c>
    </row>
    <row r="1297">
      <c r="B1297" t="str">
        <f t="shared" si="1"/>
        <v>#</v>
      </c>
      <c r="G1297" t="str">
        <f>vlookup(B1297,'imported-population-for-countri'!$A$4:$E$17930,5,false)</f>
        <v>#N/A</v>
      </c>
      <c r="H1297" t="str">
        <f t="shared" si="2"/>
        <v>#N/A</v>
      </c>
      <c r="I1297" t="str">
        <f t="shared" si="3"/>
        <v>Non-democratic</v>
      </c>
    </row>
    <row r="1298">
      <c r="B1298" t="str">
        <f t="shared" si="1"/>
        <v>#</v>
      </c>
      <c r="G1298" t="str">
        <f>vlookup(B1298,'imported-population-for-countri'!$A$4:$E$17930,5,false)</f>
        <v>#N/A</v>
      </c>
      <c r="H1298" t="str">
        <f t="shared" si="2"/>
        <v>#N/A</v>
      </c>
      <c r="I1298" t="str">
        <f t="shared" si="3"/>
        <v>Non-democratic</v>
      </c>
    </row>
    <row r="1299">
      <c r="B1299" t="str">
        <f t="shared" si="1"/>
        <v>#</v>
      </c>
      <c r="G1299" t="str">
        <f>vlookup(B1299,'imported-population-for-countri'!$A$4:$E$17930,5,false)</f>
        <v>#N/A</v>
      </c>
      <c r="H1299" t="str">
        <f t="shared" si="2"/>
        <v>#N/A</v>
      </c>
      <c r="I1299" t="str">
        <f t="shared" si="3"/>
        <v>Non-democratic</v>
      </c>
    </row>
    <row r="1300">
      <c r="B1300" t="str">
        <f t="shared" si="1"/>
        <v>#</v>
      </c>
      <c r="G1300" t="str">
        <f>vlookup(B1300,'imported-population-for-countri'!$A$4:$E$17930,5,false)</f>
        <v>#N/A</v>
      </c>
      <c r="H1300" t="str">
        <f t="shared" si="2"/>
        <v>#N/A</v>
      </c>
      <c r="I1300" t="str">
        <f t="shared" si="3"/>
        <v>Non-democratic</v>
      </c>
    </row>
    <row r="1301">
      <c r="B1301" t="str">
        <f t="shared" si="1"/>
        <v>#</v>
      </c>
      <c r="G1301" t="str">
        <f>vlookup(B1301,'imported-population-for-countri'!$A$4:$E$17930,5,false)</f>
        <v>#N/A</v>
      </c>
      <c r="H1301" t="str">
        <f t="shared" si="2"/>
        <v>#N/A</v>
      </c>
      <c r="I1301" t="str">
        <f t="shared" si="3"/>
        <v>Non-democratic</v>
      </c>
    </row>
    <row r="1302">
      <c r="B1302" t="str">
        <f t="shared" si="1"/>
        <v>#</v>
      </c>
      <c r="G1302" t="str">
        <f>vlookup(B1302,'imported-population-for-countri'!$A$4:$E$17930,5,false)</f>
        <v>#N/A</v>
      </c>
      <c r="H1302" t="str">
        <f t="shared" si="2"/>
        <v>#N/A</v>
      </c>
      <c r="I1302" t="str">
        <f t="shared" si="3"/>
        <v>Non-democratic</v>
      </c>
    </row>
    <row r="1303">
      <c r="B1303" t="str">
        <f t="shared" si="1"/>
        <v>#</v>
      </c>
      <c r="G1303" t="str">
        <f>vlookup(B1303,'imported-population-for-countri'!$A$4:$E$17930,5,false)</f>
        <v>#N/A</v>
      </c>
      <c r="H1303" t="str">
        <f t="shared" si="2"/>
        <v>#N/A</v>
      </c>
      <c r="I1303" t="str">
        <f t="shared" si="3"/>
        <v>Non-democratic</v>
      </c>
    </row>
    <row r="1304">
      <c r="B1304" t="str">
        <f t="shared" si="1"/>
        <v>#</v>
      </c>
      <c r="G1304" t="str">
        <f>vlookup(B1304,'imported-population-for-countri'!$A$4:$E$17930,5,false)</f>
        <v>#N/A</v>
      </c>
      <c r="H1304" t="str">
        <f t="shared" si="2"/>
        <v>#N/A</v>
      </c>
      <c r="I1304" t="str">
        <f t="shared" si="3"/>
        <v>Non-democratic</v>
      </c>
    </row>
    <row r="1305">
      <c r="B1305" t="str">
        <f t="shared" si="1"/>
        <v>#</v>
      </c>
      <c r="G1305" t="str">
        <f>vlookup(B1305,'imported-population-for-countri'!$A$4:$E$17930,5,false)</f>
        <v>#N/A</v>
      </c>
      <c r="H1305" t="str">
        <f t="shared" si="2"/>
        <v>#N/A</v>
      </c>
      <c r="I1305" t="str">
        <f t="shared" si="3"/>
        <v>Non-democratic</v>
      </c>
    </row>
    <row r="1306">
      <c r="B1306" t="str">
        <f t="shared" si="1"/>
        <v>#</v>
      </c>
      <c r="G1306" t="str">
        <f>vlookup(B1306,'imported-population-for-countri'!$A$4:$E$17930,5,false)</f>
        <v>#N/A</v>
      </c>
      <c r="H1306" t="str">
        <f t="shared" si="2"/>
        <v>#N/A</v>
      </c>
      <c r="I1306" t="str">
        <f t="shared" si="3"/>
        <v>Non-democratic</v>
      </c>
    </row>
    <row r="1307">
      <c r="B1307" t="str">
        <f t="shared" si="1"/>
        <v>#</v>
      </c>
      <c r="G1307" t="str">
        <f>vlookup(B1307,'imported-population-for-countri'!$A$4:$E$17930,5,false)</f>
        <v>#N/A</v>
      </c>
      <c r="H1307" t="str">
        <f t="shared" si="2"/>
        <v>#N/A</v>
      </c>
      <c r="I1307" t="str">
        <f t="shared" si="3"/>
        <v>Non-democratic</v>
      </c>
    </row>
    <row r="1308">
      <c r="B1308" t="str">
        <f t="shared" si="1"/>
        <v>#</v>
      </c>
      <c r="G1308" t="str">
        <f>vlookup(B1308,'imported-population-for-countri'!$A$4:$E$17930,5,false)</f>
        <v>#N/A</v>
      </c>
      <c r="H1308" t="str">
        <f t="shared" si="2"/>
        <v>#N/A</v>
      </c>
      <c r="I1308" t="str">
        <f t="shared" si="3"/>
        <v>Non-democratic</v>
      </c>
    </row>
    <row r="1309">
      <c r="B1309" t="str">
        <f t="shared" si="1"/>
        <v>#</v>
      </c>
      <c r="G1309" t="str">
        <f>vlookup(B1309,'imported-population-for-countri'!$A$4:$E$17930,5,false)</f>
        <v>#N/A</v>
      </c>
      <c r="H1309" t="str">
        <f t="shared" si="2"/>
        <v>#N/A</v>
      </c>
      <c r="I1309" t="str">
        <f t="shared" si="3"/>
        <v>Non-democratic</v>
      </c>
    </row>
    <row r="1310">
      <c r="B1310" t="str">
        <f t="shared" si="1"/>
        <v>#</v>
      </c>
      <c r="G1310" t="str">
        <f>vlookup(B1310,'imported-population-for-countri'!$A$4:$E$17930,5,false)</f>
        <v>#N/A</v>
      </c>
      <c r="H1310" t="str">
        <f t="shared" si="2"/>
        <v>#N/A</v>
      </c>
      <c r="I1310" t="str">
        <f t="shared" si="3"/>
        <v>Non-democratic</v>
      </c>
    </row>
    <row r="1311">
      <c r="B1311" t="str">
        <f t="shared" si="1"/>
        <v>#</v>
      </c>
      <c r="G1311" t="str">
        <f>vlookup(B1311,'imported-population-for-countri'!$A$4:$E$17930,5,false)</f>
        <v>#N/A</v>
      </c>
      <c r="H1311" t="str">
        <f t="shared" si="2"/>
        <v>#N/A</v>
      </c>
      <c r="I1311" t="str">
        <f t="shared" si="3"/>
        <v>Non-democratic</v>
      </c>
    </row>
    <row r="1312">
      <c r="B1312" t="str">
        <f t="shared" si="1"/>
        <v>#</v>
      </c>
      <c r="G1312" t="str">
        <f>vlookup(B1312,'imported-population-for-countri'!$A$4:$E$17930,5,false)</f>
        <v>#N/A</v>
      </c>
      <c r="H1312" t="str">
        <f t="shared" si="2"/>
        <v>#N/A</v>
      </c>
      <c r="I1312" t="str">
        <f t="shared" si="3"/>
        <v>Non-democratic</v>
      </c>
    </row>
    <row r="1313">
      <c r="B1313" t="str">
        <f t="shared" si="1"/>
        <v>#</v>
      </c>
      <c r="G1313" t="str">
        <f>vlookup(B1313,'imported-population-for-countri'!$A$4:$E$17930,5,false)</f>
        <v>#N/A</v>
      </c>
      <c r="H1313" t="str">
        <f t="shared" si="2"/>
        <v>#N/A</v>
      </c>
      <c r="I1313" t="str">
        <f t="shared" si="3"/>
        <v>Non-democratic</v>
      </c>
    </row>
    <row r="1314">
      <c r="B1314" t="str">
        <f t="shared" si="1"/>
        <v>#</v>
      </c>
      <c r="G1314" t="str">
        <f>vlookup(B1314,'imported-population-for-countri'!$A$4:$E$17930,5,false)</f>
        <v>#N/A</v>
      </c>
      <c r="H1314" t="str">
        <f t="shared" si="2"/>
        <v>#N/A</v>
      </c>
      <c r="I1314" t="str">
        <f t="shared" si="3"/>
        <v>Non-democratic</v>
      </c>
    </row>
    <row r="1315">
      <c r="B1315" t="str">
        <f t="shared" si="1"/>
        <v>#</v>
      </c>
      <c r="G1315" t="str">
        <f>vlookup(B1315,'imported-population-for-countri'!$A$4:$E$17930,5,false)</f>
        <v>#N/A</v>
      </c>
      <c r="H1315" t="str">
        <f t="shared" si="2"/>
        <v>#N/A</v>
      </c>
      <c r="I1315" t="str">
        <f t="shared" si="3"/>
        <v>Non-democratic</v>
      </c>
    </row>
    <row r="1316">
      <c r="B1316" t="str">
        <f t="shared" si="1"/>
        <v>#</v>
      </c>
      <c r="G1316" t="str">
        <f>vlookup(B1316,'imported-population-for-countri'!$A$4:$E$17930,5,false)</f>
        <v>#N/A</v>
      </c>
      <c r="H1316" t="str">
        <f t="shared" si="2"/>
        <v>#N/A</v>
      </c>
      <c r="I1316" t="str">
        <f t="shared" si="3"/>
        <v>Non-democratic</v>
      </c>
    </row>
    <row r="1317">
      <c r="B1317" t="str">
        <f t="shared" si="1"/>
        <v>#</v>
      </c>
      <c r="G1317" t="str">
        <f>vlookup(B1317,'imported-population-for-countri'!$A$4:$E$17930,5,false)</f>
        <v>#N/A</v>
      </c>
      <c r="H1317" t="str">
        <f t="shared" si="2"/>
        <v>#N/A</v>
      </c>
      <c r="I1317" t="str">
        <f t="shared" si="3"/>
        <v>Non-democratic</v>
      </c>
    </row>
    <row r="1318">
      <c r="B1318" t="str">
        <f t="shared" si="1"/>
        <v>#</v>
      </c>
      <c r="G1318" t="str">
        <f>vlookup(B1318,'imported-population-for-countri'!$A$4:$E$17930,5,false)</f>
        <v>#N/A</v>
      </c>
      <c r="H1318" t="str">
        <f t="shared" si="2"/>
        <v>#N/A</v>
      </c>
      <c r="I1318" t="str">
        <f t="shared" si="3"/>
        <v>Non-democratic</v>
      </c>
    </row>
    <row r="1319">
      <c r="B1319" t="str">
        <f t="shared" si="1"/>
        <v>#</v>
      </c>
      <c r="G1319" t="str">
        <f>vlookup(B1319,'imported-population-for-countri'!$A$4:$E$17930,5,false)</f>
        <v>#N/A</v>
      </c>
      <c r="H1319" t="str">
        <f t="shared" si="2"/>
        <v>#N/A</v>
      </c>
      <c r="I1319" t="str">
        <f t="shared" si="3"/>
        <v>Non-democratic</v>
      </c>
    </row>
    <row r="1320">
      <c r="B1320" t="str">
        <f t="shared" si="1"/>
        <v>#</v>
      </c>
      <c r="G1320" t="str">
        <f>vlookup(B1320,'imported-population-for-countri'!$A$4:$E$17930,5,false)</f>
        <v>#N/A</v>
      </c>
      <c r="H1320" t="str">
        <f t="shared" si="2"/>
        <v>#N/A</v>
      </c>
      <c r="I1320" t="str">
        <f t="shared" si="3"/>
        <v>Non-democratic</v>
      </c>
    </row>
    <row r="1321">
      <c r="B1321" t="str">
        <f t="shared" si="1"/>
        <v>#</v>
      </c>
      <c r="G1321" t="str">
        <f>vlookup(B1321,'imported-population-for-countri'!$A$4:$E$17930,5,false)</f>
        <v>#N/A</v>
      </c>
      <c r="H1321" t="str">
        <f t="shared" si="2"/>
        <v>#N/A</v>
      </c>
      <c r="I1321" t="str">
        <f t="shared" si="3"/>
        <v>Non-democratic</v>
      </c>
    </row>
    <row r="1322">
      <c r="B1322" t="str">
        <f t="shared" si="1"/>
        <v>#</v>
      </c>
      <c r="G1322" t="str">
        <f>vlookup(B1322,'imported-population-for-countri'!$A$4:$E$17930,5,false)</f>
        <v>#N/A</v>
      </c>
      <c r="H1322" t="str">
        <f t="shared" si="2"/>
        <v>#N/A</v>
      </c>
      <c r="I1322" t="str">
        <f t="shared" si="3"/>
        <v>Non-democratic</v>
      </c>
    </row>
    <row r="1323">
      <c r="B1323" t="str">
        <f t="shared" si="1"/>
        <v>#</v>
      </c>
      <c r="G1323" t="str">
        <f>vlookup(B1323,'imported-population-for-countri'!$A$4:$E$17930,5,false)</f>
        <v>#N/A</v>
      </c>
      <c r="H1323" t="str">
        <f t="shared" si="2"/>
        <v>#N/A</v>
      </c>
      <c r="I1323" t="str">
        <f t="shared" si="3"/>
        <v>Non-democratic</v>
      </c>
    </row>
    <row r="1324">
      <c r="B1324" t="str">
        <f t="shared" si="1"/>
        <v>#</v>
      </c>
      <c r="G1324" t="str">
        <f>vlookup(B1324,'imported-population-for-countri'!$A$4:$E$17930,5,false)</f>
        <v>#N/A</v>
      </c>
      <c r="H1324" t="str">
        <f t="shared" si="2"/>
        <v>#N/A</v>
      </c>
      <c r="I1324" t="str">
        <f t="shared" si="3"/>
        <v>Non-democratic</v>
      </c>
    </row>
    <row r="1325">
      <c r="B1325" t="str">
        <f t="shared" si="1"/>
        <v>#</v>
      </c>
      <c r="G1325" t="str">
        <f>vlookup(B1325,'imported-population-for-countri'!$A$4:$E$17930,5,false)</f>
        <v>#N/A</v>
      </c>
      <c r="H1325" t="str">
        <f t="shared" si="2"/>
        <v>#N/A</v>
      </c>
      <c r="I1325" t="str">
        <f t="shared" si="3"/>
        <v>Non-democratic</v>
      </c>
    </row>
    <row r="1326">
      <c r="B1326" t="str">
        <f t="shared" si="1"/>
        <v>#</v>
      </c>
      <c r="G1326" t="str">
        <f>vlookup(B1326,'imported-population-for-countri'!$A$4:$E$17930,5,false)</f>
        <v>#N/A</v>
      </c>
      <c r="H1326" t="str">
        <f t="shared" si="2"/>
        <v>#N/A</v>
      </c>
      <c r="I1326" t="str">
        <f t="shared" si="3"/>
        <v>Non-democratic</v>
      </c>
    </row>
    <row r="1327">
      <c r="B1327" t="str">
        <f t="shared" si="1"/>
        <v>#</v>
      </c>
      <c r="G1327" t="str">
        <f>vlookup(B1327,'imported-population-for-countri'!$A$4:$E$17930,5,false)</f>
        <v>#N/A</v>
      </c>
      <c r="H1327" t="str">
        <f t="shared" si="2"/>
        <v>#N/A</v>
      </c>
      <c r="I1327" t="str">
        <f t="shared" si="3"/>
        <v>Non-democratic</v>
      </c>
    </row>
    <row r="1328">
      <c r="B1328" t="str">
        <f t="shared" si="1"/>
        <v>#</v>
      </c>
      <c r="G1328" t="str">
        <f>vlookup(B1328,'imported-population-for-countri'!$A$4:$E$17930,5,false)</f>
        <v>#N/A</v>
      </c>
      <c r="H1328" t="str">
        <f t="shared" si="2"/>
        <v>#N/A</v>
      </c>
      <c r="I1328" t="str">
        <f t="shared" si="3"/>
        <v>Non-democratic</v>
      </c>
    </row>
    <row r="1329">
      <c r="B1329" t="str">
        <f t="shared" si="1"/>
        <v>#</v>
      </c>
      <c r="G1329" t="str">
        <f>vlookup(B1329,'imported-population-for-countri'!$A$4:$E$17930,5,false)</f>
        <v>#N/A</v>
      </c>
      <c r="H1329" t="str">
        <f t="shared" si="2"/>
        <v>#N/A</v>
      </c>
      <c r="I1329" t="str">
        <f t="shared" si="3"/>
        <v>Non-democratic</v>
      </c>
    </row>
    <row r="1330">
      <c r="B1330" t="str">
        <f t="shared" si="1"/>
        <v>#</v>
      </c>
      <c r="G1330" t="str">
        <f>vlookup(B1330,'imported-population-for-countri'!$A$4:$E$17930,5,false)</f>
        <v>#N/A</v>
      </c>
      <c r="H1330" t="str">
        <f t="shared" si="2"/>
        <v>#N/A</v>
      </c>
      <c r="I1330" t="str">
        <f t="shared" si="3"/>
        <v>Non-democratic</v>
      </c>
    </row>
    <row r="1331">
      <c r="B1331" t="str">
        <f t="shared" si="1"/>
        <v>#</v>
      </c>
      <c r="G1331" t="str">
        <f>vlookup(B1331,'imported-population-for-countri'!$A$4:$E$17930,5,false)</f>
        <v>#N/A</v>
      </c>
      <c r="H1331" t="str">
        <f t="shared" si="2"/>
        <v>#N/A</v>
      </c>
      <c r="I1331" t="str">
        <f t="shared" si="3"/>
        <v>Non-democratic</v>
      </c>
    </row>
    <row r="1332">
      <c r="B1332" t="str">
        <f t="shared" si="1"/>
        <v>#</v>
      </c>
      <c r="G1332" t="str">
        <f>vlookup(B1332,'imported-population-for-countri'!$A$4:$E$17930,5,false)</f>
        <v>#N/A</v>
      </c>
      <c r="H1332" t="str">
        <f t="shared" si="2"/>
        <v>#N/A</v>
      </c>
      <c r="I1332" t="str">
        <f t="shared" si="3"/>
        <v>Non-democratic</v>
      </c>
    </row>
    <row r="1333">
      <c r="B1333" t="str">
        <f t="shared" si="1"/>
        <v>#</v>
      </c>
      <c r="G1333" t="str">
        <f>vlookup(B1333,'imported-population-for-countri'!$A$4:$E$17930,5,false)</f>
        <v>#N/A</v>
      </c>
      <c r="H1333" t="str">
        <f t="shared" si="2"/>
        <v>#N/A</v>
      </c>
      <c r="I1333" t="str">
        <f t="shared" si="3"/>
        <v>Non-democratic</v>
      </c>
    </row>
    <row r="1334">
      <c r="B1334" t="str">
        <f t="shared" si="1"/>
        <v>#</v>
      </c>
      <c r="G1334" t="str">
        <f>vlookup(B1334,'imported-population-for-countri'!$A$4:$E$17930,5,false)</f>
        <v>#N/A</v>
      </c>
      <c r="H1334" t="str">
        <f t="shared" si="2"/>
        <v>#N/A</v>
      </c>
      <c r="I1334" t="str">
        <f t="shared" si="3"/>
        <v>Non-democratic</v>
      </c>
    </row>
    <row r="1335">
      <c r="B1335" t="str">
        <f t="shared" si="1"/>
        <v>#</v>
      </c>
      <c r="G1335" t="str">
        <f>vlookup(B1335,'imported-population-for-countri'!$A$4:$E$17930,5,false)</f>
        <v>#N/A</v>
      </c>
      <c r="H1335" t="str">
        <f t="shared" si="2"/>
        <v>#N/A</v>
      </c>
      <c r="I1335" t="str">
        <f t="shared" si="3"/>
        <v>Non-democratic</v>
      </c>
    </row>
    <row r="1336">
      <c r="B1336" t="str">
        <f t="shared" si="1"/>
        <v>#</v>
      </c>
      <c r="G1336" t="str">
        <f>vlookup(B1336,'imported-population-for-countri'!$A$4:$E$17930,5,false)</f>
        <v>#N/A</v>
      </c>
      <c r="H1336" t="str">
        <f t="shared" si="2"/>
        <v>#N/A</v>
      </c>
      <c r="I1336" t="str">
        <f t="shared" si="3"/>
        <v>Non-democratic</v>
      </c>
    </row>
    <row r="1337">
      <c r="B1337" t="str">
        <f t="shared" si="1"/>
        <v>#</v>
      </c>
      <c r="G1337" t="str">
        <f>vlookup(B1337,'imported-population-for-countri'!$A$4:$E$17930,5,false)</f>
        <v>#N/A</v>
      </c>
      <c r="H1337" t="str">
        <f t="shared" si="2"/>
        <v>#N/A</v>
      </c>
      <c r="I1337" t="str">
        <f t="shared" si="3"/>
        <v>Non-democratic</v>
      </c>
    </row>
    <row r="1338">
      <c r="B1338" t="str">
        <f t="shared" si="1"/>
        <v>#</v>
      </c>
      <c r="G1338" t="str">
        <f>vlookup(B1338,'imported-population-for-countri'!$A$4:$E$17930,5,false)</f>
        <v>#N/A</v>
      </c>
      <c r="H1338" t="str">
        <f t="shared" si="2"/>
        <v>#N/A</v>
      </c>
      <c r="I1338" t="str">
        <f t="shared" si="3"/>
        <v>Non-democratic</v>
      </c>
    </row>
    <row r="1339">
      <c r="B1339" t="str">
        <f t="shared" si="1"/>
        <v>#</v>
      </c>
      <c r="G1339" t="str">
        <f>vlookup(B1339,'imported-population-for-countri'!$A$4:$E$17930,5,false)</f>
        <v>#N/A</v>
      </c>
      <c r="H1339" t="str">
        <f t="shared" si="2"/>
        <v>#N/A</v>
      </c>
      <c r="I1339" t="str">
        <f t="shared" si="3"/>
        <v>Non-democratic</v>
      </c>
    </row>
    <row r="1340">
      <c r="B1340" t="str">
        <f t="shared" si="1"/>
        <v>#</v>
      </c>
      <c r="G1340" t="str">
        <f>vlookup(B1340,'imported-population-for-countri'!$A$4:$E$17930,5,false)</f>
        <v>#N/A</v>
      </c>
      <c r="H1340" t="str">
        <f t="shared" si="2"/>
        <v>#N/A</v>
      </c>
      <c r="I1340" t="str">
        <f t="shared" si="3"/>
        <v>Non-democratic</v>
      </c>
    </row>
    <row r="1341">
      <c r="B1341" t="str">
        <f t="shared" si="1"/>
        <v>#</v>
      </c>
      <c r="G1341" t="str">
        <f>vlookup(B1341,'imported-population-for-countri'!$A$4:$E$17930,5,false)</f>
        <v>#N/A</v>
      </c>
      <c r="H1341" t="str">
        <f t="shared" si="2"/>
        <v>#N/A</v>
      </c>
      <c r="I1341" t="str">
        <f t="shared" si="3"/>
        <v>Non-democratic</v>
      </c>
    </row>
    <row r="1342">
      <c r="B1342" t="str">
        <f t="shared" si="1"/>
        <v>#</v>
      </c>
      <c r="G1342" t="str">
        <f>vlookup(B1342,'imported-population-for-countri'!$A$4:$E$17930,5,false)</f>
        <v>#N/A</v>
      </c>
      <c r="H1342" t="str">
        <f t="shared" si="2"/>
        <v>#N/A</v>
      </c>
      <c r="I1342" t="str">
        <f t="shared" si="3"/>
        <v>Non-democratic</v>
      </c>
    </row>
    <row r="1343">
      <c r="B1343" t="str">
        <f t="shared" si="1"/>
        <v>#</v>
      </c>
      <c r="G1343" t="str">
        <f>vlookup(B1343,'imported-population-for-countri'!$A$4:$E$17930,5,false)</f>
        <v>#N/A</v>
      </c>
      <c r="H1343" t="str">
        <f t="shared" si="2"/>
        <v>#N/A</v>
      </c>
      <c r="I1343" t="str">
        <f t="shared" si="3"/>
        <v>Non-democratic</v>
      </c>
    </row>
    <row r="1344">
      <c r="B1344" t="str">
        <f t="shared" si="1"/>
        <v>#</v>
      </c>
      <c r="G1344" t="str">
        <f>vlookup(B1344,'imported-population-for-countri'!$A$4:$E$17930,5,false)</f>
        <v>#N/A</v>
      </c>
      <c r="H1344" t="str">
        <f t="shared" si="2"/>
        <v>#N/A</v>
      </c>
      <c r="I1344" t="str">
        <f t="shared" si="3"/>
        <v>Non-democratic</v>
      </c>
    </row>
    <row r="1345">
      <c r="B1345" t="str">
        <f t="shared" si="1"/>
        <v>#</v>
      </c>
      <c r="G1345" t="str">
        <f>vlookup(B1345,'imported-population-for-countri'!$A$4:$E$17930,5,false)</f>
        <v>#N/A</v>
      </c>
      <c r="H1345" t="str">
        <f t="shared" si="2"/>
        <v>#N/A</v>
      </c>
      <c r="I1345" t="str">
        <f t="shared" si="3"/>
        <v>Non-democratic</v>
      </c>
    </row>
    <row r="1346">
      <c r="B1346" t="str">
        <f t="shared" si="1"/>
        <v>#</v>
      </c>
      <c r="G1346" t="str">
        <f>vlookup(B1346,'imported-population-for-countri'!$A$4:$E$17930,5,false)</f>
        <v>#N/A</v>
      </c>
      <c r="H1346" t="str">
        <f t="shared" si="2"/>
        <v>#N/A</v>
      </c>
      <c r="I1346" t="str">
        <f t="shared" si="3"/>
        <v>Non-democratic</v>
      </c>
    </row>
    <row r="1347">
      <c r="B1347" t="str">
        <f t="shared" si="1"/>
        <v>#</v>
      </c>
      <c r="G1347" t="str">
        <f>vlookup(B1347,'imported-population-for-countri'!$A$4:$E$17930,5,false)</f>
        <v>#N/A</v>
      </c>
      <c r="H1347" t="str">
        <f t="shared" si="2"/>
        <v>#N/A</v>
      </c>
      <c r="I1347" t="str">
        <f t="shared" si="3"/>
        <v>Non-democratic</v>
      </c>
    </row>
    <row r="1348">
      <c r="B1348" t="str">
        <f t="shared" si="1"/>
        <v>#</v>
      </c>
      <c r="G1348" t="str">
        <f>vlookup(B1348,'imported-population-for-countri'!$A$4:$E$17930,5,false)</f>
        <v>#N/A</v>
      </c>
      <c r="H1348" t="str">
        <f t="shared" si="2"/>
        <v>#N/A</v>
      </c>
      <c r="I1348" t="str">
        <f t="shared" si="3"/>
        <v>Non-democratic</v>
      </c>
    </row>
    <row r="1349">
      <c r="B1349" t="str">
        <f t="shared" si="1"/>
        <v>#</v>
      </c>
      <c r="G1349" t="str">
        <f>vlookup(B1349,'imported-population-for-countri'!$A$4:$E$17930,5,false)</f>
        <v>#N/A</v>
      </c>
      <c r="H1349" t="str">
        <f t="shared" si="2"/>
        <v>#N/A</v>
      </c>
      <c r="I1349" t="str">
        <f t="shared" si="3"/>
        <v>Non-democratic</v>
      </c>
    </row>
    <row r="1350">
      <c r="B1350" t="str">
        <f t="shared" si="1"/>
        <v>#</v>
      </c>
      <c r="G1350" t="str">
        <f>vlookup(B1350,'imported-population-for-countri'!$A$4:$E$17930,5,false)</f>
        <v>#N/A</v>
      </c>
      <c r="H1350" t="str">
        <f t="shared" si="2"/>
        <v>#N/A</v>
      </c>
      <c r="I1350" t="str">
        <f t="shared" si="3"/>
        <v>Non-democratic</v>
      </c>
    </row>
    <row r="1351">
      <c r="B1351" t="str">
        <f t="shared" si="1"/>
        <v>#</v>
      </c>
      <c r="G1351" t="str">
        <f>vlookup(B1351,'imported-population-for-countri'!$A$4:$E$17930,5,false)</f>
        <v>#N/A</v>
      </c>
      <c r="H1351" t="str">
        <f t="shared" si="2"/>
        <v>#N/A</v>
      </c>
      <c r="I1351" t="str">
        <f t="shared" si="3"/>
        <v>Non-democratic</v>
      </c>
    </row>
    <row r="1352">
      <c r="B1352" t="str">
        <f t="shared" si="1"/>
        <v>#</v>
      </c>
      <c r="G1352" t="str">
        <f>vlookup(B1352,'imported-population-for-countri'!$A$4:$E$17930,5,false)</f>
        <v>#N/A</v>
      </c>
      <c r="H1352" t="str">
        <f t="shared" si="2"/>
        <v>#N/A</v>
      </c>
      <c r="I1352" t="str">
        <f t="shared" si="3"/>
        <v>Non-democratic</v>
      </c>
    </row>
    <row r="1353">
      <c r="B1353" t="str">
        <f t="shared" si="1"/>
        <v>#</v>
      </c>
      <c r="G1353" t="str">
        <f>vlookup(B1353,'imported-population-for-countri'!$A$4:$E$17930,5,false)</f>
        <v>#N/A</v>
      </c>
      <c r="H1353" t="str">
        <f t="shared" si="2"/>
        <v>#N/A</v>
      </c>
      <c r="I1353" t="str">
        <f t="shared" si="3"/>
        <v>Non-democratic</v>
      </c>
    </row>
    <row r="1354">
      <c r="B1354" t="str">
        <f t="shared" si="1"/>
        <v>#</v>
      </c>
      <c r="G1354" t="str">
        <f>vlookup(B1354,'imported-population-for-countri'!$A$4:$E$17930,5,false)</f>
        <v>#N/A</v>
      </c>
      <c r="H1354" t="str">
        <f t="shared" si="2"/>
        <v>#N/A</v>
      </c>
      <c r="I1354" t="str">
        <f t="shared" si="3"/>
        <v>Non-democratic</v>
      </c>
    </row>
    <row r="1355">
      <c r="B1355" t="str">
        <f t="shared" si="1"/>
        <v>#</v>
      </c>
      <c r="G1355" t="str">
        <f>vlookup(B1355,'imported-population-for-countri'!$A$4:$E$17930,5,false)</f>
        <v>#N/A</v>
      </c>
      <c r="H1355" t="str">
        <f t="shared" si="2"/>
        <v>#N/A</v>
      </c>
      <c r="I1355" t="str">
        <f t="shared" si="3"/>
        <v>Non-democratic</v>
      </c>
    </row>
    <row r="1356">
      <c r="B1356" t="str">
        <f t="shared" si="1"/>
        <v>#</v>
      </c>
      <c r="G1356" t="str">
        <f>vlookup(B1356,'imported-population-for-countri'!$A$4:$E$17930,5,false)</f>
        <v>#N/A</v>
      </c>
      <c r="H1356" t="str">
        <f t="shared" si="2"/>
        <v>#N/A</v>
      </c>
      <c r="I1356" t="str">
        <f t="shared" si="3"/>
        <v>Non-democratic</v>
      </c>
    </row>
    <row r="1357">
      <c r="B1357" t="str">
        <f t="shared" si="1"/>
        <v>#</v>
      </c>
      <c r="G1357" t="str">
        <f>vlookup(B1357,'imported-population-for-countri'!$A$4:$E$17930,5,false)</f>
        <v>#N/A</v>
      </c>
      <c r="H1357" t="str">
        <f t="shared" si="2"/>
        <v>#N/A</v>
      </c>
      <c r="I1357" t="str">
        <f t="shared" si="3"/>
        <v>Non-democratic</v>
      </c>
    </row>
    <row r="1358">
      <c r="B1358" t="str">
        <f t="shared" si="1"/>
        <v>#</v>
      </c>
      <c r="G1358" t="str">
        <f>vlookup(B1358,'imported-population-for-countri'!$A$4:$E$17930,5,false)</f>
        <v>#N/A</v>
      </c>
      <c r="H1358" t="str">
        <f t="shared" si="2"/>
        <v>#N/A</v>
      </c>
      <c r="I1358" t="str">
        <f t="shared" si="3"/>
        <v>Non-democratic</v>
      </c>
    </row>
    <row r="1359">
      <c r="B1359" t="str">
        <f t="shared" si="1"/>
        <v>#</v>
      </c>
      <c r="G1359" t="str">
        <f>vlookup(B1359,'imported-population-for-countri'!$A$4:$E$17930,5,false)</f>
        <v>#N/A</v>
      </c>
      <c r="H1359" t="str">
        <f t="shared" si="2"/>
        <v>#N/A</v>
      </c>
      <c r="I1359" t="str">
        <f t="shared" si="3"/>
        <v>Non-democratic</v>
      </c>
    </row>
    <row r="1360">
      <c r="B1360" t="str">
        <f t="shared" si="1"/>
        <v>#</v>
      </c>
      <c r="G1360" t="str">
        <f>vlookup(B1360,'imported-population-for-countri'!$A$4:$E$17930,5,false)</f>
        <v>#N/A</v>
      </c>
      <c r="H1360" t="str">
        <f t="shared" si="2"/>
        <v>#N/A</v>
      </c>
      <c r="I1360" t="str">
        <f t="shared" si="3"/>
        <v>Non-democratic</v>
      </c>
    </row>
    <row r="1361">
      <c r="B1361" t="str">
        <f t="shared" si="1"/>
        <v>#</v>
      </c>
      <c r="G1361" t="str">
        <f>vlookup(B1361,'imported-population-for-countri'!$A$4:$E$17930,5,false)</f>
        <v>#N/A</v>
      </c>
      <c r="H1361" t="str">
        <f t="shared" si="2"/>
        <v>#N/A</v>
      </c>
      <c r="I1361" t="str">
        <f t="shared" si="3"/>
        <v>Non-democratic</v>
      </c>
    </row>
    <row r="1362">
      <c r="B1362" t="str">
        <f t="shared" si="1"/>
        <v>#</v>
      </c>
      <c r="G1362" t="str">
        <f>vlookup(B1362,'imported-population-for-countri'!$A$4:$E$17930,5,false)</f>
        <v>#N/A</v>
      </c>
      <c r="H1362" t="str">
        <f t="shared" si="2"/>
        <v>#N/A</v>
      </c>
      <c r="I1362" t="str">
        <f t="shared" si="3"/>
        <v>Non-democratic</v>
      </c>
    </row>
    <row r="1363">
      <c r="B1363" t="str">
        <f t="shared" si="1"/>
        <v>#</v>
      </c>
      <c r="G1363" t="str">
        <f>vlookup(B1363,'imported-population-for-countri'!$A$4:$E$17930,5,false)</f>
        <v>#N/A</v>
      </c>
      <c r="H1363" t="str">
        <f t="shared" si="2"/>
        <v>#N/A</v>
      </c>
      <c r="I1363" t="str">
        <f t="shared" si="3"/>
        <v>Non-democratic</v>
      </c>
    </row>
    <row r="1364">
      <c r="B1364" t="str">
        <f t="shared" si="1"/>
        <v>#</v>
      </c>
      <c r="G1364" t="str">
        <f>vlookup(B1364,'imported-population-for-countri'!$A$4:$E$17930,5,false)</f>
        <v>#N/A</v>
      </c>
      <c r="H1364" t="str">
        <f t="shared" si="2"/>
        <v>#N/A</v>
      </c>
      <c r="I1364" t="str">
        <f t="shared" si="3"/>
        <v>Non-democratic</v>
      </c>
    </row>
    <row r="1365">
      <c r="B1365" t="str">
        <f t="shared" si="1"/>
        <v>#</v>
      </c>
      <c r="G1365" t="str">
        <f>vlookup(B1365,'imported-population-for-countri'!$A$4:$E$17930,5,false)</f>
        <v>#N/A</v>
      </c>
      <c r="H1365" t="str">
        <f t="shared" si="2"/>
        <v>#N/A</v>
      </c>
      <c r="I1365" t="str">
        <f t="shared" si="3"/>
        <v>Non-democratic</v>
      </c>
    </row>
    <row r="1366">
      <c r="B1366" t="str">
        <f t="shared" si="1"/>
        <v>#</v>
      </c>
      <c r="G1366" t="str">
        <f>vlookup(B1366,'imported-population-for-countri'!$A$4:$E$17930,5,false)</f>
        <v>#N/A</v>
      </c>
      <c r="H1366" t="str">
        <f t="shared" si="2"/>
        <v>#N/A</v>
      </c>
      <c r="I1366" t="str">
        <f t="shared" si="3"/>
        <v>Non-democratic</v>
      </c>
    </row>
    <row r="1367">
      <c r="B1367" t="str">
        <f t="shared" si="1"/>
        <v>#</v>
      </c>
      <c r="G1367" t="str">
        <f>vlookup(B1367,'imported-population-for-countri'!$A$4:$E$17930,5,false)</f>
        <v>#N/A</v>
      </c>
      <c r="H1367" t="str">
        <f t="shared" si="2"/>
        <v>#N/A</v>
      </c>
      <c r="I1367" t="str">
        <f t="shared" si="3"/>
        <v>Non-democratic</v>
      </c>
    </row>
    <row r="1368">
      <c r="B1368" t="str">
        <f t="shared" si="1"/>
        <v>#</v>
      </c>
      <c r="G1368" t="str">
        <f>vlookup(B1368,'imported-population-for-countri'!$A$4:$E$17930,5,false)</f>
        <v>#N/A</v>
      </c>
      <c r="H1368" t="str">
        <f t="shared" si="2"/>
        <v>#N/A</v>
      </c>
      <c r="I1368" t="str">
        <f t="shared" si="3"/>
        <v>Non-democratic</v>
      </c>
    </row>
    <row r="1369">
      <c r="B1369" t="str">
        <f t="shared" si="1"/>
        <v>#</v>
      </c>
      <c r="G1369" t="str">
        <f>vlookup(B1369,'imported-population-for-countri'!$A$4:$E$17930,5,false)</f>
        <v>#N/A</v>
      </c>
      <c r="H1369" t="str">
        <f t="shared" si="2"/>
        <v>#N/A</v>
      </c>
      <c r="I1369" t="str">
        <f t="shared" si="3"/>
        <v>Non-democratic</v>
      </c>
    </row>
    <row r="1370">
      <c r="B1370" t="str">
        <f t="shared" si="1"/>
        <v>#</v>
      </c>
      <c r="G1370" t="str">
        <f>vlookup(B1370,'imported-population-for-countri'!$A$4:$E$17930,5,false)</f>
        <v>#N/A</v>
      </c>
      <c r="H1370" t="str">
        <f t="shared" si="2"/>
        <v>#N/A</v>
      </c>
      <c r="I1370" t="str">
        <f t="shared" si="3"/>
        <v>Non-democratic</v>
      </c>
    </row>
    <row r="1371">
      <c r="B1371" t="str">
        <f t="shared" si="1"/>
        <v>#</v>
      </c>
      <c r="G1371" t="str">
        <f>vlookup(B1371,'imported-population-for-countri'!$A$4:$E$17930,5,false)</f>
        <v>#N/A</v>
      </c>
      <c r="H1371" t="str">
        <f t="shared" si="2"/>
        <v>#N/A</v>
      </c>
      <c r="I1371" t="str">
        <f t="shared" si="3"/>
        <v>Non-democratic</v>
      </c>
    </row>
    <row r="1372">
      <c r="B1372" t="str">
        <f t="shared" si="1"/>
        <v>#</v>
      </c>
      <c r="G1372" t="str">
        <f>vlookup(B1372,'imported-population-for-countri'!$A$4:$E$17930,5,false)</f>
        <v>#N/A</v>
      </c>
      <c r="H1372" t="str">
        <f t="shared" si="2"/>
        <v>#N/A</v>
      </c>
      <c r="I1372" t="str">
        <f t="shared" si="3"/>
        <v>Non-democratic</v>
      </c>
    </row>
    <row r="1373">
      <c r="B1373" t="str">
        <f t="shared" si="1"/>
        <v>#</v>
      </c>
      <c r="G1373" t="str">
        <f>vlookup(B1373,'imported-population-for-countri'!$A$4:$E$17930,5,false)</f>
        <v>#N/A</v>
      </c>
      <c r="H1373" t="str">
        <f t="shared" si="2"/>
        <v>#N/A</v>
      </c>
      <c r="I1373" t="str">
        <f t="shared" si="3"/>
        <v>Non-democratic</v>
      </c>
    </row>
    <row r="1374">
      <c r="B1374" t="str">
        <f t="shared" si="1"/>
        <v>#</v>
      </c>
      <c r="G1374" t="str">
        <f>vlookup(B1374,'imported-population-for-countri'!$A$4:$E$17930,5,false)</f>
        <v>#N/A</v>
      </c>
      <c r="H1374" t="str">
        <f t="shared" si="2"/>
        <v>#N/A</v>
      </c>
      <c r="I1374" t="str">
        <f t="shared" si="3"/>
        <v>Non-democratic</v>
      </c>
    </row>
    <row r="1375">
      <c r="B1375" t="str">
        <f t="shared" si="1"/>
        <v>#</v>
      </c>
      <c r="G1375" t="str">
        <f>vlookup(B1375,'imported-population-for-countri'!$A$4:$E$17930,5,false)</f>
        <v>#N/A</v>
      </c>
      <c r="H1375" t="str">
        <f t="shared" si="2"/>
        <v>#N/A</v>
      </c>
      <c r="I1375" t="str">
        <f t="shared" si="3"/>
        <v>Non-democratic</v>
      </c>
    </row>
    <row r="1376">
      <c r="B1376" t="str">
        <f t="shared" si="1"/>
        <v>#</v>
      </c>
      <c r="G1376" t="str">
        <f>vlookup(B1376,'imported-population-for-countri'!$A$4:$E$17930,5,false)</f>
        <v>#N/A</v>
      </c>
      <c r="H1376" t="str">
        <f t="shared" si="2"/>
        <v>#N/A</v>
      </c>
      <c r="I1376" t="str">
        <f t="shared" si="3"/>
        <v>Non-democratic</v>
      </c>
    </row>
    <row r="1377">
      <c r="B1377" t="str">
        <f t="shared" si="1"/>
        <v>#</v>
      </c>
      <c r="G1377" t="str">
        <f>vlookup(B1377,'imported-population-for-countri'!$A$4:$E$17930,5,false)</f>
        <v>#N/A</v>
      </c>
      <c r="H1377" t="str">
        <f t="shared" si="2"/>
        <v>#N/A</v>
      </c>
      <c r="I1377" t="str">
        <f t="shared" si="3"/>
        <v>Non-democratic</v>
      </c>
    </row>
    <row r="1378">
      <c r="B1378" t="str">
        <f t="shared" si="1"/>
        <v>#</v>
      </c>
      <c r="G1378" t="str">
        <f>vlookup(B1378,'imported-population-for-countri'!$A$4:$E$17930,5,false)</f>
        <v>#N/A</v>
      </c>
      <c r="H1378" t="str">
        <f t="shared" si="2"/>
        <v>#N/A</v>
      </c>
      <c r="I1378" t="str">
        <f t="shared" si="3"/>
        <v>Non-democratic</v>
      </c>
    </row>
    <row r="1379">
      <c r="B1379" t="str">
        <f t="shared" si="1"/>
        <v>#</v>
      </c>
      <c r="G1379" t="str">
        <f>vlookup(B1379,'imported-population-for-countri'!$A$4:$E$17930,5,false)</f>
        <v>#N/A</v>
      </c>
      <c r="H1379" t="str">
        <f t="shared" si="2"/>
        <v>#N/A</v>
      </c>
      <c r="I1379" t="str">
        <f t="shared" si="3"/>
        <v>Non-democratic</v>
      </c>
    </row>
    <row r="1380">
      <c r="B1380" t="str">
        <f t="shared" si="1"/>
        <v>#</v>
      </c>
      <c r="G1380" t="str">
        <f>vlookup(B1380,'imported-population-for-countri'!$A$4:$E$17930,5,false)</f>
        <v>#N/A</v>
      </c>
      <c r="H1380" t="str">
        <f t="shared" si="2"/>
        <v>#N/A</v>
      </c>
      <c r="I1380" t="str">
        <f t="shared" si="3"/>
        <v>Non-democratic</v>
      </c>
    </row>
    <row r="1381">
      <c r="B1381" t="str">
        <f t="shared" si="1"/>
        <v>#</v>
      </c>
      <c r="G1381" t="str">
        <f>vlookup(B1381,'imported-population-for-countri'!$A$4:$E$17930,5,false)</f>
        <v>#N/A</v>
      </c>
      <c r="H1381" t="str">
        <f t="shared" si="2"/>
        <v>#N/A</v>
      </c>
      <c r="I1381" t="str">
        <f t="shared" si="3"/>
        <v>Non-democratic</v>
      </c>
    </row>
    <row r="1382">
      <c r="B1382" t="str">
        <f t="shared" si="1"/>
        <v>#</v>
      </c>
      <c r="G1382" t="str">
        <f>vlookup(B1382,'imported-population-for-countri'!$A$4:$E$17930,5,false)</f>
        <v>#N/A</v>
      </c>
      <c r="H1382" t="str">
        <f t="shared" si="2"/>
        <v>#N/A</v>
      </c>
      <c r="I1382" t="str">
        <f t="shared" si="3"/>
        <v>Non-democratic</v>
      </c>
    </row>
    <row r="1383">
      <c r="B1383" t="str">
        <f t="shared" si="1"/>
        <v>#</v>
      </c>
      <c r="G1383" t="str">
        <f>vlookup(B1383,'imported-population-for-countri'!$A$4:$E$17930,5,false)</f>
        <v>#N/A</v>
      </c>
      <c r="H1383" t="str">
        <f t="shared" si="2"/>
        <v>#N/A</v>
      </c>
      <c r="I1383" t="str">
        <f t="shared" si="3"/>
        <v>Non-democratic</v>
      </c>
    </row>
    <row r="1384">
      <c r="B1384" t="str">
        <f t="shared" si="1"/>
        <v>#</v>
      </c>
      <c r="G1384" t="str">
        <f>vlookup(B1384,'imported-population-for-countri'!$A$4:$E$17930,5,false)</f>
        <v>#N/A</v>
      </c>
      <c r="H1384" t="str">
        <f t="shared" si="2"/>
        <v>#N/A</v>
      </c>
      <c r="I1384" t="str">
        <f t="shared" si="3"/>
        <v>Non-democratic</v>
      </c>
    </row>
    <row r="1385">
      <c r="B1385" t="str">
        <f t="shared" si="1"/>
        <v>#</v>
      </c>
      <c r="G1385" t="str">
        <f>vlookup(B1385,'imported-population-for-countri'!$A$4:$E$17930,5,false)</f>
        <v>#N/A</v>
      </c>
      <c r="H1385" t="str">
        <f t="shared" si="2"/>
        <v>#N/A</v>
      </c>
      <c r="I1385" t="str">
        <f t="shared" si="3"/>
        <v>Non-democratic</v>
      </c>
    </row>
    <row r="1386">
      <c r="B1386" t="str">
        <f t="shared" si="1"/>
        <v>#</v>
      </c>
      <c r="G1386" t="str">
        <f>vlookup(B1386,'imported-population-for-countri'!$A$4:$E$17930,5,false)</f>
        <v>#N/A</v>
      </c>
      <c r="H1386" t="str">
        <f t="shared" si="2"/>
        <v>#N/A</v>
      </c>
      <c r="I1386" t="str">
        <f t="shared" si="3"/>
        <v>Non-democratic</v>
      </c>
    </row>
    <row r="1387">
      <c r="B1387" t="str">
        <f t="shared" si="1"/>
        <v>#</v>
      </c>
      <c r="G1387" t="str">
        <f>vlookup(B1387,'imported-population-for-countri'!$A$4:$E$17930,5,false)</f>
        <v>#N/A</v>
      </c>
      <c r="H1387" t="str">
        <f t="shared" si="2"/>
        <v>#N/A</v>
      </c>
      <c r="I1387" t="str">
        <f t="shared" si="3"/>
        <v>Non-democratic</v>
      </c>
    </row>
    <row r="1388">
      <c r="B1388" t="str">
        <f t="shared" si="1"/>
        <v>#</v>
      </c>
      <c r="G1388" t="str">
        <f>vlookup(B1388,'imported-population-for-countri'!$A$4:$E$17930,5,false)</f>
        <v>#N/A</v>
      </c>
      <c r="H1388" t="str">
        <f t="shared" si="2"/>
        <v>#N/A</v>
      </c>
      <c r="I1388" t="str">
        <f t="shared" si="3"/>
        <v>Non-democratic</v>
      </c>
    </row>
    <row r="1389">
      <c r="B1389" t="str">
        <f t="shared" si="1"/>
        <v>#</v>
      </c>
      <c r="G1389" t="str">
        <f>vlookup(B1389,'imported-population-for-countri'!$A$4:$E$17930,5,false)</f>
        <v>#N/A</v>
      </c>
      <c r="H1389" t="str">
        <f t="shared" si="2"/>
        <v>#N/A</v>
      </c>
      <c r="I1389" t="str">
        <f t="shared" si="3"/>
        <v>Non-democratic</v>
      </c>
    </row>
    <row r="1390">
      <c r="B1390" t="str">
        <f t="shared" si="1"/>
        <v>#</v>
      </c>
      <c r="G1390" t="str">
        <f>vlookup(B1390,'imported-population-for-countri'!$A$4:$E$17930,5,false)</f>
        <v>#N/A</v>
      </c>
      <c r="H1390" t="str">
        <f t="shared" si="2"/>
        <v>#N/A</v>
      </c>
      <c r="I1390" t="str">
        <f t="shared" si="3"/>
        <v>Non-democratic</v>
      </c>
    </row>
    <row r="1391">
      <c r="B1391" t="str">
        <f t="shared" si="1"/>
        <v>#</v>
      </c>
      <c r="G1391" t="str">
        <f>vlookup(B1391,'imported-population-for-countri'!$A$4:$E$17930,5,false)</f>
        <v>#N/A</v>
      </c>
      <c r="H1391" t="str">
        <f t="shared" si="2"/>
        <v>#N/A</v>
      </c>
      <c r="I1391" t="str">
        <f t="shared" si="3"/>
        <v>Non-democratic</v>
      </c>
    </row>
    <row r="1392">
      <c r="B1392" t="str">
        <f t="shared" si="1"/>
        <v>#</v>
      </c>
      <c r="G1392" t="str">
        <f>vlookup(B1392,'imported-population-for-countri'!$A$4:$E$17930,5,false)</f>
        <v>#N/A</v>
      </c>
      <c r="H1392" t="str">
        <f t="shared" si="2"/>
        <v>#N/A</v>
      </c>
      <c r="I1392" t="str">
        <f t="shared" si="3"/>
        <v>Non-democratic</v>
      </c>
    </row>
    <row r="1393">
      <c r="B1393" t="str">
        <f t="shared" si="1"/>
        <v>#</v>
      </c>
      <c r="G1393" t="str">
        <f>vlookup(B1393,'imported-population-for-countri'!$A$4:$E$17930,5,false)</f>
        <v>#N/A</v>
      </c>
      <c r="H1393" t="str">
        <f t="shared" si="2"/>
        <v>#N/A</v>
      </c>
      <c r="I1393" t="str">
        <f t="shared" si="3"/>
        <v>Non-democratic</v>
      </c>
    </row>
    <row r="1394">
      <c r="B1394" t="str">
        <f t="shared" si="1"/>
        <v>#</v>
      </c>
      <c r="G1394" t="str">
        <f>vlookup(B1394,'imported-population-for-countri'!$A$4:$E$17930,5,false)</f>
        <v>#N/A</v>
      </c>
      <c r="H1394" t="str">
        <f t="shared" si="2"/>
        <v>#N/A</v>
      </c>
      <c r="I1394" t="str">
        <f t="shared" si="3"/>
        <v>Non-democratic</v>
      </c>
    </row>
    <row r="1395">
      <c r="B1395" t="str">
        <f t="shared" si="1"/>
        <v>#</v>
      </c>
      <c r="G1395" t="str">
        <f>vlookup(B1395,'imported-population-for-countri'!$A$4:$E$17930,5,false)</f>
        <v>#N/A</v>
      </c>
      <c r="H1395" t="str">
        <f t="shared" si="2"/>
        <v>#N/A</v>
      </c>
      <c r="I1395" t="str">
        <f t="shared" si="3"/>
        <v>Non-democratic</v>
      </c>
    </row>
    <row r="1396">
      <c r="B1396" t="str">
        <f t="shared" si="1"/>
        <v>#</v>
      </c>
      <c r="G1396" t="str">
        <f>vlookup(B1396,'imported-population-for-countri'!$A$4:$E$17930,5,false)</f>
        <v>#N/A</v>
      </c>
      <c r="H1396" t="str">
        <f t="shared" si="2"/>
        <v>#N/A</v>
      </c>
      <c r="I1396" t="str">
        <f t="shared" si="3"/>
        <v>Non-democratic</v>
      </c>
    </row>
    <row r="1397">
      <c r="B1397" t="str">
        <f t="shared" si="1"/>
        <v>#</v>
      </c>
      <c r="G1397" t="str">
        <f>vlookup(B1397,'imported-population-for-countri'!$A$4:$E$17930,5,false)</f>
        <v>#N/A</v>
      </c>
      <c r="H1397" t="str">
        <f t="shared" si="2"/>
        <v>#N/A</v>
      </c>
      <c r="I1397" t="str">
        <f t="shared" si="3"/>
        <v>Non-democratic</v>
      </c>
    </row>
    <row r="1398">
      <c r="B1398" t="str">
        <f t="shared" si="1"/>
        <v>#</v>
      </c>
      <c r="G1398" t="str">
        <f>vlookup(B1398,'imported-population-for-countri'!$A$4:$E$17930,5,false)</f>
        <v>#N/A</v>
      </c>
      <c r="H1398" t="str">
        <f t="shared" si="2"/>
        <v>#N/A</v>
      </c>
      <c r="I1398" t="str">
        <f t="shared" si="3"/>
        <v>Non-democratic</v>
      </c>
    </row>
    <row r="1399">
      <c r="B1399" t="str">
        <f t="shared" si="1"/>
        <v>#</v>
      </c>
      <c r="G1399" t="str">
        <f>vlookup(B1399,'imported-population-for-countri'!$A$4:$E$17930,5,false)</f>
        <v>#N/A</v>
      </c>
      <c r="H1399" t="str">
        <f t="shared" si="2"/>
        <v>#N/A</v>
      </c>
      <c r="I1399" t="str">
        <f t="shared" si="3"/>
        <v>Non-democratic</v>
      </c>
    </row>
    <row r="1400">
      <c r="B1400" t="str">
        <f t="shared" si="1"/>
        <v>#</v>
      </c>
      <c r="G1400" t="str">
        <f>vlookup(B1400,'imported-population-for-countri'!$A$4:$E$17930,5,false)</f>
        <v>#N/A</v>
      </c>
      <c r="H1400" t="str">
        <f t="shared" si="2"/>
        <v>#N/A</v>
      </c>
      <c r="I1400" t="str">
        <f t="shared" si="3"/>
        <v>Non-democratic</v>
      </c>
    </row>
    <row r="1401">
      <c r="B1401" t="str">
        <f t="shared" si="1"/>
        <v>#</v>
      </c>
      <c r="G1401" t="str">
        <f>vlookup(B1401,'imported-population-for-countri'!$A$4:$E$17930,5,false)</f>
        <v>#N/A</v>
      </c>
      <c r="H1401" t="str">
        <f t="shared" si="2"/>
        <v>#N/A</v>
      </c>
      <c r="I1401" t="str">
        <f t="shared" si="3"/>
        <v>Non-democratic</v>
      </c>
    </row>
    <row r="1402">
      <c r="B1402" t="str">
        <f t="shared" si="1"/>
        <v>#</v>
      </c>
      <c r="G1402" t="str">
        <f>vlookup(B1402,'imported-population-for-countri'!$A$4:$E$17930,5,false)</f>
        <v>#N/A</v>
      </c>
      <c r="H1402" t="str">
        <f t="shared" si="2"/>
        <v>#N/A</v>
      </c>
      <c r="I1402" t="str">
        <f t="shared" si="3"/>
        <v>Non-democratic</v>
      </c>
    </row>
    <row r="1403">
      <c r="B1403" t="str">
        <f t="shared" si="1"/>
        <v>#</v>
      </c>
      <c r="G1403" t="str">
        <f>vlookup(B1403,'imported-population-for-countri'!$A$4:$E$17930,5,false)</f>
        <v>#N/A</v>
      </c>
      <c r="H1403" t="str">
        <f t="shared" si="2"/>
        <v>#N/A</v>
      </c>
      <c r="I1403" t="str">
        <f t="shared" si="3"/>
        <v>Non-democratic</v>
      </c>
    </row>
    <row r="1404">
      <c r="B1404" t="str">
        <f t="shared" si="1"/>
        <v>#</v>
      </c>
      <c r="G1404" t="str">
        <f>vlookup(B1404,'imported-population-for-countri'!$A$4:$E$17930,5,false)</f>
        <v>#N/A</v>
      </c>
      <c r="H1404" t="str">
        <f t="shared" si="2"/>
        <v>#N/A</v>
      </c>
      <c r="I1404" t="str">
        <f t="shared" si="3"/>
        <v>Non-democratic</v>
      </c>
    </row>
    <row r="1405">
      <c r="B1405" t="str">
        <f t="shared" si="1"/>
        <v>#</v>
      </c>
      <c r="G1405" t="str">
        <f>vlookup(B1405,'imported-population-for-countri'!$A$4:$E$17930,5,false)</f>
        <v>#N/A</v>
      </c>
      <c r="H1405" t="str">
        <f t="shared" si="2"/>
        <v>#N/A</v>
      </c>
      <c r="I1405" t="str">
        <f t="shared" si="3"/>
        <v>Non-democratic</v>
      </c>
    </row>
    <row r="1406">
      <c r="B1406" t="str">
        <f t="shared" si="1"/>
        <v>#</v>
      </c>
      <c r="G1406" t="str">
        <f>vlookup(B1406,'imported-population-for-countri'!$A$4:$E$17930,5,false)</f>
        <v>#N/A</v>
      </c>
      <c r="H1406" t="str">
        <f t="shared" si="2"/>
        <v>#N/A</v>
      </c>
      <c r="I1406" t="str">
        <f t="shared" si="3"/>
        <v>Non-democratic</v>
      </c>
    </row>
    <row r="1407">
      <c r="B1407" t="str">
        <f t="shared" si="1"/>
        <v>#</v>
      </c>
      <c r="G1407" t="str">
        <f>vlookup(B1407,'imported-population-for-countri'!$A$4:$E$17930,5,false)</f>
        <v>#N/A</v>
      </c>
      <c r="H1407" t="str">
        <f t="shared" si="2"/>
        <v>#N/A</v>
      </c>
      <c r="I1407" t="str">
        <f t="shared" si="3"/>
        <v>Non-democratic</v>
      </c>
    </row>
    <row r="1408">
      <c r="B1408" t="str">
        <f t="shared" si="1"/>
        <v>#</v>
      </c>
      <c r="G1408" t="str">
        <f>vlookup(B1408,'imported-population-for-countri'!$A$4:$E$17930,5,false)</f>
        <v>#N/A</v>
      </c>
      <c r="H1408" t="str">
        <f t="shared" si="2"/>
        <v>#N/A</v>
      </c>
      <c r="I1408" t="str">
        <f t="shared" si="3"/>
        <v>Non-democratic</v>
      </c>
    </row>
    <row r="1409">
      <c r="B1409" t="str">
        <f t="shared" si="1"/>
        <v>#</v>
      </c>
      <c r="G1409" t="str">
        <f>vlookup(B1409,'imported-population-for-countri'!$A$4:$E$17930,5,false)</f>
        <v>#N/A</v>
      </c>
      <c r="H1409" t="str">
        <f t="shared" si="2"/>
        <v>#N/A</v>
      </c>
      <c r="I1409" t="str">
        <f t="shared" si="3"/>
        <v>Non-democratic</v>
      </c>
    </row>
    <row r="1410">
      <c r="B1410" t="str">
        <f t="shared" si="1"/>
        <v>#</v>
      </c>
      <c r="G1410" t="str">
        <f>vlookup(B1410,'imported-population-for-countri'!$A$4:$E$17930,5,false)</f>
        <v>#N/A</v>
      </c>
      <c r="H1410" t="str">
        <f t="shared" si="2"/>
        <v>#N/A</v>
      </c>
      <c r="I1410" t="str">
        <f t="shared" si="3"/>
        <v>Non-democratic</v>
      </c>
    </row>
    <row r="1411">
      <c r="B1411" t="str">
        <f t="shared" si="1"/>
        <v>#</v>
      </c>
      <c r="G1411" t="str">
        <f>vlookup(B1411,'imported-population-for-countri'!$A$4:$E$17930,5,false)</f>
        <v>#N/A</v>
      </c>
      <c r="H1411" t="str">
        <f t="shared" si="2"/>
        <v>#N/A</v>
      </c>
      <c r="I1411" t="str">
        <f t="shared" si="3"/>
        <v>Non-democratic</v>
      </c>
    </row>
    <row r="1412">
      <c r="B1412" t="str">
        <f t="shared" si="1"/>
        <v>#</v>
      </c>
      <c r="G1412" t="str">
        <f>vlookup(B1412,'imported-population-for-countri'!$A$4:$E$17930,5,false)</f>
        <v>#N/A</v>
      </c>
      <c r="H1412" t="str">
        <f t="shared" si="2"/>
        <v>#N/A</v>
      </c>
      <c r="I1412" t="str">
        <f t="shared" si="3"/>
        <v>Non-democratic</v>
      </c>
    </row>
    <row r="1413">
      <c r="B1413" t="str">
        <f t="shared" si="1"/>
        <v>#</v>
      </c>
      <c r="G1413" t="str">
        <f>vlookup(B1413,'imported-population-for-countri'!$A$4:$E$17930,5,false)</f>
        <v>#N/A</v>
      </c>
      <c r="H1413" t="str">
        <f t="shared" si="2"/>
        <v>#N/A</v>
      </c>
      <c r="I1413" t="str">
        <f t="shared" si="3"/>
        <v>Non-democratic</v>
      </c>
    </row>
    <row r="1414">
      <c r="B1414" t="str">
        <f t="shared" si="1"/>
        <v>#</v>
      </c>
      <c r="G1414" t="str">
        <f>vlookup(B1414,'imported-population-for-countri'!$A$4:$E$17930,5,false)</f>
        <v>#N/A</v>
      </c>
      <c r="H1414" t="str">
        <f t="shared" si="2"/>
        <v>#N/A</v>
      </c>
      <c r="I1414" t="str">
        <f t="shared" si="3"/>
        <v>Non-democratic</v>
      </c>
    </row>
    <row r="1415">
      <c r="B1415" t="str">
        <f t="shared" si="1"/>
        <v>#</v>
      </c>
      <c r="G1415" t="str">
        <f>vlookup(B1415,'imported-population-for-countri'!$A$4:$E$17930,5,false)</f>
        <v>#N/A</v>
      </c>
      <c r="H1415" t="str">
        <f t="shared" si="2"/>
        <v>#N/A</v>
      </c>
      <c r="I1415" t="str">
        <f t="shared" si="3"/>
        <v>Non-democratic</v>
      </c>
    </row>
    <row r="1416">
      <c r="B1416" t="str">
        <f t="shared" si="1"/>
        <v>#</v>
      </c>
      <c r="G1416" t="str">
        <f>vlookup(B1416,'imported-population-for-countri'!$A$4:$E$17930,5,false)</f>
        <v>#N/A</v>
      </c>
      <c r="H1416" t="str">
        <f t="shared" si="2"/>
        <v>#N/A</v>
      </c>
      <c r="I1416" t="str">
        <f t="shared" si="3"/>
        <v>Non-democratic</v>
      </c>
    </row>
    <row r="1417">
      <c r="B1417" t="str">
        <f t="shared" si="1"/>
        <v>#</v>
      </c>
      <c r="G1417" t="str">
        <f>vlookup(B1417,'imported-population-for-countri'!$A$4:$E$17930,5,false)</f>
        <v>#N/A</v>
      </c>
      <c r="H1417" t="str">
        <f t="shared" si="2"/>
        <v>#N/A</v>
      </c>
      <c r="I1417" t="str">
        <f t="shared" si="3"/>
        <v>Non-democratic</v>
      </c>
    </row>
    <row r="1418">
      <c r="B1418" t="str">
        <f t="shared" si="1"/>
        <v>#</v>
      </c>
      <c r="G1418" t="str">
        <f>vlookup(B1418,'imported-population-for-countri'!$A$4:$E$17930,5,false)</f>
        <v>#N/A</v>
      </c>
      <c r="H1418" t="str">
        <f t="shared" si="2"/>
        <v>#N/A</v>
      </c>
      <c r="I1418" t="str">
        <f t="shared" si="3"/>
        <v>Non-democratic</v>
      </c>
    </row>
    <row r="1419">
      <c r="B1419" t="str">
        <f t="shared" si="1"/>
        <v>#</v>
      </c>
      <c r="G1419" t="str">
        <f>vlookup(B1419,'imported-population-for-countri'!$A$4:$E$17930,5,false)</f>
        <v>#N/A</v>
      </c>
      <c r="H1419" t="str">
        <f t="shared" si="2"/>
        <v>#N/A</v>
      </c>
      <c r="I1419" t="str">
        <f t="shared" si="3"/>
        <v>Non-democratic</v>
      </c>
    </row>
    <row r="1420">
      <c r="B1420" t="str">
        <f t="shared" si="1"/>
        <v>#</v>
      </c>
      <c r="G1420" t="str">
        <f>vlookup(B1420,'imported-population-for-countri'!$A$4:$E$17930,5,false)</f>
        <v>#N/A</v>
      </c>
      <c r="H1420" t="str">
        <f t="shared" si="2"/>
        <v>#N/A</v>
      </c>
      <c r="I1420" t="str">
        <f t="shared" si="3"/>
        <v>Non-democratic</v>
      </c>
    </row>
    <row r="1421">
      <c r="B1421" t="str">
        <f t="shared" si="1"/>
        <v>#</v>
      </c>
      <c r="G1421" t="str">
        <f>vlookup(B1421,'imported-population-for-countri'!$A$4:$E$17930,5,false)</f>
        <v>#N/A</v>
      </c>
      <c r="H1421" t="str">
        <f t="shared" si="2"/>
        <v>#N/A</v>
      </c>
      <c r="I1421" t="str">
        <f t="shared" si="3"/>
        <v>Non-democratic</v>
      </c>
    </row>
    <row r="1422">
      <c r="B1422" t="str">
        <f t="shared" si="1"/>
        <v>#</v>
      </c>
      <c r="G1422" t="str">
        <f>vlookup(B1422,'imported-population-for-countri'!$A$4:$E$17930,5,false)</f>
        <v>#N/A</v>
      </c>
      <c r="H1422" t="str">
        <f t="shared" si="2"/>
        <v>#N/A</v>
      </c>
      <c r="I1422" t="str">
        <f t="shared" si="3"/>
        <v>Non-democratic</v>
      </c>
    </row>
    <row r="1423">
      <c r="B1423" t="str">
        <f t="shared" si="1"/>
        <v>#</v>
      </c>
      <c r="G1423" t="str">
        <f>vlookup(B1423,'imported-population-for-countri'!$A$4:$E$17930,5,false)</f>
        <v>#N/A</v>
      </c>
      <c r="H1423" t="str">
        <f t="shared" si="2"/>
        <v>#N/A</v>
      </c>
      <c r="I1423" t="str">
        <f t="shared" si="3"/>
        <v>Non-democratic</v>
      </c>
    </row>
    <row r="1424">
      <c r="B1424" t="str">
        <f t="shared" si="1"/>
        <v>#</v>
      </c>
      <c r="G1424" t="str">
        <f>vlookup(B1424,'imported-population-for-countri'!$A$4:$E$17930,5,false)</f>
        <v>#N/A</v>
      </c>
      <c r="H1424" t="str">
        <f t="shared" si="2"/>
        <v>#N/A</v>
      </c>
      <c r="I1424" t="str">
        <f t="shared" si="3"/>
        <v>Non-democratic</v>
      </c>
    </row>
    <row r="1425">
      <c r="B1425" t="str">
        <f t="shared" si="1"/>
        <v>#</v>
      </c>
      <c r="G1425" t="str">
        <f>vlookup(B1425,'imported-population-for-countri'!$A$4:$E$17930,5,false)</f>
        <v>#N/A</v>
      </c>
      <c r="H1425" t="str">
        <f t="shared" si="2"/>
        <v>#N/A</v>
      </c>
      <c r="I1425" t="str">
        <f t="shared" si="3"/>
        <v>Non-democratic</v>
      </c>
    </row>
    <row r="1426">
      <c r="B1426" t="str">
        <f t="shared" si="1"/>
        <v>#</v>
      </c>
      <c r="G1426" t="str">
        <f>vlookup(B1426,'imported-population-for-countri'!$A$4:$E$17930,5,false)</f>
        <v>#N/A</v>
      </c>
      <c r="H1426" t="str">
        <f t="shared" si="2"/>
        <v>#N/A</v>
      </c>
      <c r="I1426" t="str">
        <f t="shared" si="3"/>
        <v>Non-democratic</v>
      </c>
    </row>
    <row r="1427">
      <c r="B1427" t="str">
        <f t="shared" si="1"/>
        <v>#</v>
      </c>
      <c r="G1427" t="str">
        <f>vlookup(B1427,'imported-population-for-countri'!$A$4:$E$17930,5,false)</f>
        <v>#N/A</v>
      </c>
      <c r="H1427" t="str">
        <f t="shared" si="2"/>
        <v>#N/A</v>
      </c>
      <c r="I1427" t="str">
        <f t="shared" si="3"/>
        <v>Non-democratic</v>
      </c>
    </row>
    <row r="1428">
      <c r="B1428" t="str">
        <f t="shared" si="1"/>
        <v>#</v>
      </c>
      <c r="G1428" t="str">
        <f>vlookup(B1428,'imported-population-for-countri'!$A$4:$E$17930,5,false)</f>
        <v>#N/A</v>
      </c>
      <c r="H1428" t="str">
        <f t="shared" si="2"/>
        <v>#N/A</v>
      </c>
      <c r="I1428" t="str">
        <f t="shared" si="3"/>
        <v>Non-democratic</v>
      </c>
    </row>
    <row r="1429">
      <c r="B1429" t="str">
        <f t="shared" si="1"/>
        <v>#</v>
      </c>
      <c r="G1429" t="str">
        <f>vlookup(B1429,'imported-population-for-countri'!$A$4:$E$17930,5,false)</f>
        <v>#N/A</v>
      </c>
      <c r="H1429" t="str">
        <f t="shared" si="2"/>
        <v>#N/A</v>
      </c>
      <c r="I1429" t="str">
        <f t="shared" si="3"/>
        <v>Non-democratic</v>
      </c>
    </row>
    <row r="1430">
      <c r="B1430" t="str">
        <f t="shared" si="1"/>
        <v>#</v>
      </c>
      <c r="G1430" t="str">
        <f>vlookup(B1430,'imported-population-for-countri'!$A$4:$E$17930,5,false)</f>
        <v>#N/A</v>
      </c>
      <c r="H1430" t="str">
        <f t="shared" si="2"/>
        <v>#N/A</v>
      </c>
      <c r="I1430" t="str">
        <f t="shared" si="3"/>
        <v>Non-democratic</v>
      </c>
    </row>
    <row r="1431">
      <c r="B1431" t="str">
        <f t="shared" si="1"/>
        <v>#</v>
      </c>
      <c r="G1431" t="str">
        <f>vlookup(B1431,'imported-population-for-countri'!$A$4:$E$17930,5,false)</f>
        <v>#N/A</v>
      </c>
      <c r="H1431" t="str">
        <f t="shared" si="2"/>
        <v>#N/A</v>
      </c>
      <c r="I1431" t="str">
        <f t="shared" si="3"/>
        <v>Non-democratic</v>
      </c>
    </row>
    <row r="1432">
      <c r="B1432" t="str">
        <f t="shared" si="1"/>
        <v>#</v>
      </c>
      <c r="G1432" t="str">
        <f>vlookup(B1432,'imported-population-for-countri'!$A$4:$E$17930,5,false)</f>
        <v>#N/A</v>
      </c>
      <c r="H1432" t="str">
        <f t="shared" si="2"/>
        <v>#N/A</v>
      </c>
      <c r="I1432" t="str">
        <f t="shared" si="3"/>
        <v>Non-democratic</v>
      </c>
    </row>
    <row r="1433">
      <c r="B1433" t="str">
        <f t="shared" si="1"/>
        <v>#</v>
      </c>
      <c r="G1433" t="str">
        <f>vlookup(B1433,'imported-population-for-countri'!$A$4:$E$17930,5,false)</f>
        <v>#N/A</v>
      </c>
      <c r="H1433" t="str">
        <f t="shared" si="2"/>
        <v>#N/A</v>
      </c>
      <c r="I1433" t="str">
        <f t="shared" si="3"/>
        <v>Non-democratic</v>
      </c>
    </row>
    <row r="1434">
      <c r="B1434" t="str">
        <f t="shared" si="1"/>
        <v>#</v>
      </c>
      <c r="G1434" t="str">
        <f>vlookup(B1434,'imported-population-for-countri'!$A$4:$E$17930,5,false)</f>
        <v>#N/A</v>
      </c>
      <c r="H1434" t="str">
        <f t="shared" si="2"/>
        <v>#N/A</v>
      </c>
      <c r="I1434" t="str">
        <f t="shared" si="3"/>
        <v>Non-democratic</v>
      </c>
    </row>
    <row r="1435">
      <c r="B1435" t="str">
        <f t="shared" si="1"/>
        <v>#</v>
      </c>
      <c r="G1435" t="str">
        <f>vlookup(B1435,'imported-population-for-countri'!$A$4:$E$17930,5,false)</f>
        <v>#N/A</v>
      </c>
      <c r="H1435" t="str">
        <f t="shared" si="2"/>
        <v>#N/A</v>
      </c>
      <c r="I1435" t="str">
        <f t="shared" si="3"/>
        <v>Non-democratic</v>
      </c>
    </row>
    <row r="1436">
      <c r="B1436" t="str">
        <f t="shared" si="1"/>
        <v>#</v>
      </c>
      <c r="G1436" t="str">
        <f>vlookup(B1436,'imported-population-for-countri'!$A$4:$E$17930,5,false)</f>
        <v>#N/A</v>
      </c>
      <c r="H1436" t="str">
        <f t="shared" si="2"/>
        <v>#N/A</v>
      </c>
      <c r="I1436" t="str">
        <f t="shared" si="3"/>
        <v>Non-democratic</v>
      </c>
    </row>
    <row r="1437">
      <c r="B1437" t="str">
        <f t="shared" si="1"/>
        <v>#</v>
      </c>
      <c r="G1437" t="str">
        <f>vlookup(B1437,'imported-population-for-countri'!$A$4:$E$17930,5,false)</f>
        <v>#N/A</v>
      </c>
      <c r="H1437" t="str">
        <f t="shared" si="2"/>
        <v>#N/A</v>
      </c>
      <c r="I1437" t="str">
        <f t="shared" si="3"/>
        <v>Non-democratic</v>
      </c>
    </row>
    <row r="1438">
      <c r="B1438" t="str">
        <f t="shared" si="1"/>
        <v>#</v>
      </c>
      <c r="G1438" t="str">
        <f>vlookup(B1438,'imported-population-for-countri'!$A$4:$E$17930,5,false)</f>
        <v>#N/A</v>
      </c>
      <c r="H1438" t="str">
        <f t="shared" si="2"/>
        <v>#N/A</v>
      </c>
      <c r="I1438" t="str">
        <f t="shared" si="3"/>
        <v>Non-democratic</v>
      </c>
    </row>
    <row r="1439">
      <c r="B1439" t="str">
        <f t="shared" si="1"/>
        <v>#</v>
      </c>
      <c r="G1439" t="str">
        <f>vlookup(B1439,'imported-population-for-countri'!$A$4:$E$17930,5,false)</f>
        <v>#N/A</v>
      </c>
      <c r="H1439" t="str">
        <f t="shared" si="2"/>
        <v>#N/A</v>
      </c>
      <c r="I1439" t="str">
        <f t="shared" si="3"/>
        <v>Non-democratic</v>
      </c>
    </row>
    <row r="1440">
      <c r="B1440" t="str">
        <f t="shared" si="1"/>
        <v>#</v>
      </c>
      <c r="G1440" t="str">
        <f>vlookup(B1440,'imported-population-for-countri'!$A$4:$E$17930,5,false)</f>
        <v>#N/A</v>
      </c>
      <c r="H1440" t="str">
        <f t="shared" si="2"/>
        <v>#N/A</v>
      </c>
      <c r="I1440" t="str">
        <f t="shared" si="3"/>
        <v>Non-democratic</v>
      </c>
    </row>
    <row r="1441">
      <c r="B1441" t="str">
        <f t="shared" si="1"/>
        <v>#</v>
      </c>
      <c r="G1441" t="str">
        <f>vlookup(B1441,'imported-population-for-countri'!$A$4:$E$17930,5,false)</f>
        <v>#N/A</v>
      </c>
      <c r="H1441" t="str">
        <f t="shared" si="2"/>
        <v>#N/A</v>
      </c>
      <c r="I1441" t="str">
        <f t="shared" si="3"/>
        <v>Non-democratic</v>
      </c>
    </row>
    <row r="1442">
      <c r="B1442" t="str">
        <f t="shared" si="1"/>
        <v>#</v>
      </c>
      <c r="G1442" t="str">
        <f>vlookup(B1442,'imported-population-for-countri'!$A$4:$E$17930,5,false)</f>
        <v>#N/A</v>
      </c>
      <c r="H1442" t="str">
        <f t="shared" si="2"/>
        <v>#N/A</v>
      </c>
      <c r="I1442" t="str">
        <f t="shared" si="3"/>
        <v>Non-democratic</v>
      </c>
    </row>
    <row r="1443">
      <c r="B1443" t="str">
        <f t="shared" si="1"/>
        <v>#</v>
      </c>
      <c r="G1443" t="str">
        <f>vlookup(B1443,'imported-population-for-countri'!$A$4:$E$17930,5,false)</f>
        <v>#N/A</v>
      </c>
      <c r="H1443" t="str">
        <f t="shared" si="2"/>
        <v>#N/A</v>
      </c>
      <c r="I1443" t="str">
        <f t="shared" si="3"/>
        <v>Non-democratic</v>
      </c>
    </row>
    <row r="1444">
      <c r="B1444" t="str">
        <f t="shared" si="1"/>
        <v>#</v>
      </c>
      <c r="G1444" t="str">
        <f>vlookup(B1444,'imported-population-for-countri'!$A$4:$E$17930,5,false)</f>
        <v>#N/A</v>
      </c>
      <c r="H1444" t="str">
        <f t="shared" si="2"/>
        <v>#N/A</v>
      </c>
      <c r="I1444" t="str">
        <f t="shared" si="3"/>
        <v>Non-democratic</v>
      </c>
    </row>
    <row r="1445">
      <c r="B1445" t="str">
        <f t="shared" si="1"/>
        <v>#</v>
      </c>
      <c r="G1445" t="str">
        <f>vlookup(B1445,'imported-population-for-countri'!$A$4:$E$17930,5,false)</f>
        <v>#N/A</v>
      </c>
      <c r="H1445" t="str">
        <f t="shared" si="2"/>
        <v>#N/A</v>
      </c>
      <c r="I1445" t="str">
        <f t="shared" si="3"/>
        <v>Non-democratic</v>
      </c>
    </row>
    <row r="1446">
      <c r="B1446" t="str">
        <f t="shared" si="1"/>
        <v>#</v>
      </c>
      <c r="G1446" t="str">
        <f>vlookup(B1446,'imported-population-for-countri'!$A$4:$E$17930,5,false)</f>
        <v>#N/A</v>
      </c>
      <c r="H1446" t="str">
        <f t="shared" si="2"/>
        <v>#N/A</v>
      </c>
      <c r="I1446" t="str">
        <f t="shared" si="3"/>
        <v>Non-democratic</v>
      </c>
    </row>
    <row r="1447">
      <c r="B1447" t="str">
        <f t="shared" si="1"/>
        <v>#</v>
      </c>
      <c r="G1447" t="str">
        <f>vlookup(B1447,'imported-population-for-countri'!$A$4:$E$17930,5,false)</f>
        <v>#N/A</v>
      </c>
      <c r="H1447" t="str">
        <f t="shared" si="2"/>
        <v>#N/A</v>
      </c>
      <c r="I1447" t="str">
        <f t="shared" si="3"/>
        <v>Non-democratic</v>
      </c>
    </row>
    <row r="1448">
      <c r="B1448" t="str">
        <f t="shared" si="1"/>
        <v>#</v>
      </c>
      <c r="G1448" t="str">
        <f>vlookup(B1448,'imported-population-for-countri'!$A$4:$E$17930,5,false)</f>
        <v>#N/A</v>
      </c>
      <c r="H1448" t="str">
        <f t="shared" si="2"/>
        <v>#N/A</v>
      </c>
      <c r="I1448" t="str">
        <f t="shared" si="3"/>
        <v>Non-democratic</v>
      </c>
    </row>
    <row r="1449">
      <c r="B1449" t="str">
        <f t="shared" si="1"/>
        <v>#</v>
      </c>
      <c r="G1449" t="str">
        <f>vlookup(B1449,'imported-population-for-countri'!$A$4:$E$17930,5,false)</f>
        <v>#N/A</v>
      </c>
      <c r="H1449" t="str">
        <f t="shared" si="2"/>
        <v>#N/A</v>
      </c>
      <c r="I1449" t="str">
        <f t="shared" si="3"/>
        <v>Non-democratic</v>
      </c>
    </row>
    <row r="1450">
      <c r="B1450" t="str">
        <f t="shared" si="1"/>
        <v>#</v>
      </c>
      <c r="G1450" t="str">
        <f>vlookup(B1450,'imported-population-for-countri'!$A$4:$E$17930,5,false)</f>
        <v>#N/A</v>
      </c>
      <c r="H1450" t="str">
        <f t="shared" si="2"/>
        <v>#N/A</v>
      </c>
      <c r="I1450" t="str">
        <f t="shared" si="3"/>
        <v>Non-democratic</v>
      </c>
    </row>
    <row r="1451">
      <c r="B1451" t="str">
        <f t="shared" si="1"/>
        <v>#</v>
      </c>
      <c r="G1451" t="str">
        <f>vlookup(B1451,'imported-population-for-countri'!$A$4:$E$17930,5,false)</f>
        <v>#N/A</v>
      </c>
      <c r="H1451" t="str">
        <f t="shared" si="2"/>
        <v>#N/A</v>
      </c>
      <c r="I1451" t="str">
        <f t="shared" si="3"/>
        <v>Non-democratic</v>
      </c>
    </row>
    <row r="1452">
      <c r="B1452" t="str">
        <f t="shared" si="1"/>
        <v>#</v>
      </c>
      <c r="G1452" t="str">
        <f>vlookup(B1452,'imported-population-for-countri'!$A$4:$E$17930,5,false)</f>
        <v>#N/A</v>
      </c>
      <c r="H1452" t="str">
        <f t="shared" si="2"/>
        <v>#N/A</v>
      </c>
      <c r="I1452" t="str">
        <f t="shared" si="3"/>
        <v>Non-democratic</v>
      </c>
    </row>
    <row r="1453">
      <c r="B1453" t="str">
        <f t="shared" si="1"/>
        <v>#</v>
      </c>
      <c r="G1453" t="str">
        <f>vlookup(B1453,'imported-population-for-countri'!$A$4:$E$17930,5,false)</f>
        <v>#N/A</v>
      </c>
      <c r="H1453" t="str">
        <f t="shared" si="2"/>
        <v>#N/A</v>
      </c>
      <c r="I1453" t="str">
        <f t="shared" si="3"/>
        <v>Non-democratic</v>
      </c>
    </row>
    <row r="1454">
      <c r="B1454" t="str">
        <f t="shared" si="1"/>
        <v>#</v>
      </c>
      <c r="G1454" t="str">
        <f>vlookup(B1454,'imported-population-for-countri'!$A$4:$E$17930,5,false)</f>
        <v>#N/A</v>
      </c>
      <c r="H1454" t="str">
        <f t="shared" si="2"/>
        <v>#N/A</v>
      </c>
      <c r="I1454" t="str">
        <f t="shared" si="3"/>
        <v>Non-democratic</v>
      </c>
    </row>
    <row r="1455">
      <c r="B1455" t="str">
        <f t="shared" si="1"/>
        <v>#</v>
      </c>
      <c r="G1455" t="str">
        <f>vlookup(B1455,'imported-population-for-countri'!$A$4:$E$17930,5,false)</f>
        <v>#N/A</v>
      </c>
      <c r="H1455" t="str">
        <f t="shared" si="2"/>
        <v>#N/A</v>
      </c>
      <c r="I1455" t="str">
        <f t="shared" si="3"/>
        <v>Non-democratic</v>
      </c>
    </row>
    <row r="1456">
      <c r="B1456" t="str">
        <f t="shared" si="1"/>
        <v>#</v>
      </c>
      <c r="G1456" t="str">
        <f>vlookup(B1456,'imported-population-for-countri'!$A$4:$E$17930,5,false)</f>
        <v>#N/A</v>
      </c>
      <c r="H1456" t="str">
        <f t="shared" si="2"/>
        <v>#N/A</v>
      </c>
      <c r="I1456" t="str">
        <f t="shared" si="3"/>
        <v>Non-democratic</v>
      </c>
    </row>
    <row r="1457">
      <c r="B1457" t="str">
        <f t="shared" si="1"/>
        <v>#</v>
      </c>
      <c r="G1457" t="str">
        <f>vlookup(B1457,'imported-population-for-countri'!$A$4:$E$17930,5,false)</f>
        <v>#N/A</v>
      </c>
      <c r="H1457" t="str">
        <f t="shared" si="2"/>
        <v>#N/A</v>
      </c>
      <c r="I1457" t="str">
        <f t="shared" si="3"/>
        <v>Non-democratic</v>
      </c>
    </row>
    <row r="1458">
      <c r="B1458" t="str">
        <f t="shared" si="1"/>
        <v>#</v>
      </c>
      <c r="G1458" t="str">
        <f>vlookup(B1458,'imported-population-for-countri'!$A$4:$E$17930,5,false)</f>
        <v>#N/A</v>
      </c>
      <c r="H1458" t="str">
        <f t="shared" si="2"/>
        <v>#N/A</v>
      </c>
      <c r="I1458" t="str">
        <f t="shared" si="3"/>
        <v>Non-democratic</v>
      </c>
    </row>
    <row r="1459">
      <c r="B1459" t="str">
        <f t="shared" si="1"/>
        <v>#</v>
      </c>
      <c r="G1459" t="str">
        <f>vlookup(B1459,'imported-population-for-countri'!$A$4:$E$17930,5,false)</f>
        <v>#N/A</v>
      </c>
      <c r="H1459" t="str">
        <f t="shared" si="2"/>
        <v>#N/A</v>
      </c>
      <c r="I1459" t="str">
        <f t="shared" si="3"/>
        <v>Non-democratic</v>
      </c>
    </row>
    <row r="1460">
      <c r="B1460" t="str">
        <f t="shared" si="1"/>
        <v>#</v>
      </c>
      <c r="G1460" t="str">
        <f>vlookup(B1460,'imported-population-for-countri'!$A$4:$E$17930,5,false)</f>
        <v>#N/A</v>
      </c>
      <c r="H1460" t="str">
        <f t="shared" si="2"/>
        <v>#N/A</v>
      </c>
      <c r="I1460" t="str">
        <f t="shared" si="3"/>
        <v>Non-democratic</v>
      </c>
    </row>
    <row r="1461">
      <c r="B1461" t="str">
        <f t="shared" si="1"/>
        <v>#</v>
      </c>
      <c r="G1461" t="str">
        <f>vlookup(B1461,'imported-population-for-countri'!$A$4:$E$17930,5,false)</f>
        <v>#N/A</v>
      </c>
      <c r="H1461" t="str">
        <f t="shared" si="2"/>
        <v>#N/A</v>
      </c>
      <c r="I1461" t="str">
        <f t="shared" si="3"/>
        <v>Non-democratic</v>
      </c>
    </row>
    <row r="1462">
      <c r="B1462" t="str">
        <f t="shared" si="1"/>
        <v>#</v>
      </c>
      <c r="G1462" t="str">
        <f>vlookup(B1462,'imported-population-for-countri'!$A$4:$E$17930,5,false)</f>
        <v>#N/A</v>
      </c>
      <c r="H1462" t="str">
        <f t="shared" si="2"/>
        <v>#N/A</v>
      </c>
      <c r="I1462" t="str">
        <f t="shared" si="3"/>
        <v>Non-democratic</v>
      </c>
    </row>
    <row r="1463">
      <c r="B1463" t="str">
        <f t="shared" si="1"/>
        <v>#</v>
      </c>
      <c r="G1463" t="str">
        <f>vlookup(B1463,'imported-population-for-countri'!$A$4:$E$17930,5,false)</f>
        <v>#N/A</v>
      </c>
      <c r="H1463" t="str">
        <f t="shared" si="2"/>
        <v>#N/A</v>
      </c>
      <c r="I1463" t="str">
        <f t="shared" si="3"/>
        <v>Non-democratic</v>
      </c>
    </row>
    <row r="1464">
      <c r="B1464" t="str">
        <f t="shared" si="1"/>
        <v>#</v>
      </c>
      <c r="G1464" t="str">
        <f>vlookup(B1464,'imported-population-for-countri'!$A$4:$E$17930,5,false)</f>
        <v>#N/A</v>
      </c>
      <c r="H1464" t="str">
        <f t="shared" si="2"/>
        <v>#N/A</v>
      </c>
      <c r="I1464" t="str">
        <f t="shared" si="3"/>
        <v>Non-democratic</v>
      </c>
    </row>
    <row r="1465">
      <c r="B1465" t="str">
        <f t="shared" si="1"/>
        <v>#</v>
      </c>
      <c r="G1465" t="str">
        <f>vlookup(B1465,'imported-population-for-countri'!$A$4:$E$17930,5,false)</f>
        <v>#N/A</v>
      </c>
      <c r="H1465" t="str">
        <f t="shared" si="2"/>
        <v>#N/A</v>
      </c>
      <c r="I1465" t="str">
        <f t="shared" si="3"/>
        <v>Non-democratic</v>
      </c>
    </row>
    <row r="1466">
      <c r="B1466" t="str">
        <f t="shared" si="1"/>
        <v>#</v>
      </c>
      <c r="G1466" t="str">
        <f>vlookup(B1466,'imported-population-for-countri'!$A$4:$E$17930,5,false)</f>
        <v>#N/A</v>
      </c>
      <c r="H1466" t="str">
        <f t="shared" si="2"/>
        <v>#N/A</v>
      </c>
      <c r="I1466" t="str">
        <f t="shared" si="3"/>
        <v>Non-democratic</v>
      </c>
    </row>
    <row r="1467">
      <c r="B1467" t="str">
        <f t="shared" si="1"/>
        <v>#</v>
      </c>
      <c r="G1467" t="str">
        <f>vlookup(B1467,'imported-population-for-countri'!$A$4:$E$17930,5,false)</f>
        <v>#N/A</v>
      </c>
      <c r="H1467" t="str">
        <f t="shared" si="2"/>
        <v>#N/A</v>
      </c>
      <c r="I1467" t="str">
        <f t="shared" si="3"/>
        <v>Non-democratic</v>
      </c>
    </row>
    <row r="1468">
      <c r="B1468" t="str">
        <f t="shared" si="1"/>
        <v>#</v>
      </c>
      <c r="G1468" t="str">
        <f>vlookup(B1468,'imported-population-for-countri'!$A$4:$E$17930,5,false)</f>
        <v>#N/A</v>
      </c>
      <c r="H1468" t="str">
        <f t="shared" si="2"/>
        <v>#N/A</v>
      </c>
      <c r="I1468" t="str">
        <f t="shared" si="3"/>
        <v>Non-democratic</v>
      </c>
    </row>
    <row r="1469">
      <c r="B1469" t="str">
        <f t="shared" si="1"/>
        <v>#</v>
      </c>
      <c r="G1469" t="str">
        <f>vlookup(B1469,'imported-population-for-countri'!$A$4:$E$17930,5,false)</f>
        <v>#N/A</v>
      </c>
      <c r="H1469" t="str">
        <f t="shared" si="2"/>
        <v>#N/A</v>
      </c>
      <c r="I1469" t="str">
        <f t="shared" si="3"/>
        <v>Non-democratic</v>
      </c>
    </row>
    <row r="1470">
      <c r="B1470" t="str">
        <f t="shared" si="1"/>
        <v>#</v>
      </c>
      <c r="G1470" t="str">
        <f>vlookup(B1470,'imported-population-for-countri'!$A$4:$E$17930,5,false)</f>
        <v>#N/A</v>
      </c>
      <c r="H1470" t="str">
        <f t="shared" si="2"/>
        <v>#N/A</v>
      </c>
      <c r="I1470" t="str">
        <f t="shared" si="3"/>
        <v>Non-democratic</v>
      </c>
    </row>
    <row r="1471">
      <c r="B1471" t="str">
        <f t="shared" si="1"/>
        <v>#</v>
      </c>
      <c r="G1471" t="str">
        <f>vlookup(B1471,'imported-population-for-countri'!$A$4:$E$17930,5,false)</f>
        <v>#N/A</v>
      </c>
      <c r="H1471" t="str">
        <f t="shared" si="2"/>
        <v>#N/A</v>
      </c>
      <c r="I1471" t="str">
        <f t="shared" si="3"/>
        <v>Non-democratic</v>
      </c>
    </row>
    <row r="1472">
      <c r="B1472" t="str">
        <f t="shared" si="1"/>
        <v>#</v>
      </c>
      <c r="G1472" t="str">
        <f>vlookup(B1472,'imported-population-for-countri'!$A$4:$E$17930,5,false)</f>
        <v>#N/A</v>
      </c>
      <c r="H1472" t="str">
        <f t="shared" si="2"/>
        <v>#N/A</v>
      </c>
      <c r="I1472" t="str">
        <f t="shared" si="3"/>
        <v>Non-democratic</v>
      </c>
    </row>
    <row r="1473">
      <c r="B1473" t="str">
        <f t="shared" si="1"/>
        <v>#</v>
      </c>
      <c r="G1473" t="str">
        <f>vlookup(B1473,'imported-population-for-countri'!$A$4:$E$17930,5,false)</f>
        <v>#N/A</v>
      </c>
      <c r="H1473" t="str">
        <f t="shared" si="2"/>
        <v>#N/A</v>
      </c>
      <c r="I1473" t="str">
        <f t="shared" si="3"/>
        <v>Non-democratic</v>
      </c>
    </row>
    <row r="1474">
      <c r="B1474" t="str">
        <f t="shared" si="1"/>
        <v>#</v>
      </c>
      <c r="G1474" t="str">
        <f>vlookup(B1474,'imported-population-for-countri'!$A$4:$E$17930,5,false)</f>
        <v>#N/A</v>
      </c>
      <c r="H1474" t="str">
        <f t="shared" si="2"/>
        <v>#N/A</v>
      </c>
      <c r="I1474" t="str">
        <f t="shared" si="3"/>
        <v>Non-democratic</v>
      </c>
    </row>
    <row r="1475">
      <c r="B1475" t="str">
        <f t="shared" si="1"/>
        <v>#</v>
      </c>
      <c r="G1475" t="str">
        <f>vlookup(B1475,'imported-population-for-countri'!$A$4:$E$17930,5,false)</f>
        <v>#N/A</v>
      </c>
      <c r="H1475" t="str">
        <f t="shared" si="2"/>
        <v>#N/A</v>
      </c>
      <c r="I1475" t="str">
        <f t="shared" si="3"/>
        <v>Non-democratic</v>
      </c>
    </row>
    <row r="1476">
      <c r="B1476" t="str">
        <f t="shared" si="1"/>
        <v>#</v>
      </c>
      <c r="G1476" t="str">
        <f>vlookup(B1476,'imported-population-for-countri'!$A$4:$E$17930,5,false)</f>
        <v>#N/A</v>
      </c>
      <c r="H1476" t="str">
        <f t="shared" si="2"/>
        <v>#N/A</v>
      </c>
      <c r="I1476" t="str">
        <f t="shared" si="3"/>
        <v>Non-democratic</v>
      </c>
    </row>
    <row r="1477">
      <c r="B1477" t="str">
        <f t="shared" si="1"/>
        <v>#</v>
      </c>
      <c r="G1477" t="str">
        <f>vlookup(B1477,'imported-population-for-countri'!$A$4:$E$17930,5,false)</f>
        <v>#N/A</v>
      </c>
      <c r="H1477" t="str">
        <f t="shared" si="2"/>
        <v>#N/A</v>
      </c>
      <c r="I1477" t="str">
        <f t="shared" si="3"/>
        <v>Non-democratic</v>
      </c>
    </row>
    <row r="1478">
      <c r="B1478" t="str">
        <f t="shared" si="1"/>
        <v>#</v>
      </c>
      <c r="G1478" t="str">
        <f>vlookup(B1478,'imported-population-for-countri'!$A$4:$E$17930,5,false)</f>
        <v>#N/A</v>
      </c>
      <c r="H1478" t="str">
        <f t="shared" si="2"/>
        <v>#N/A</v>
      </c>
      <c r="I1478" t="str">
        <f t="shared" si="3"/>
        <v>Non-democratic</v>
      </c>
    </row>
    <row r="1479">
      <c r="B1479" t="str">
        <f t="shared" si="1"/>
        <v>#</v>
      </c>
      <c r="G1479" t="str">
        <f>vlookup(B1479,'imported-population-for-countri'!$A$4:$E$17930,5,false)</f>
        <v>#N/A</v>
      </c>
      <c r="H1479" t="str">
        <f t="shared" si="2"/>
        <v>#N/A</v>
      </c>
      <c r="I1479" t="str">
        <f t="shared" si="3"/>
        <v>Non-democratic</v>
      </c>
    </row>
    <row r="1480">
      <c r="B1480" t="str">
        <f t="shared" si="1"/>
        <v>#</v>
      </c>
      <c r="G1480" t="str">
        <f>vlookup(B1480,'imported-population-for-countri'!$A$4:$E$17930,5,false)</f>
        <v>#N/A</v>
      </c>
      <c r="H1480" t="str">
        <f t="shared" si="2"/>
        <v>#N/A</v>
      </c>
      <c r="I1480" t="str">
        <f t="shared" si="3"/>
        <v>Non-democratic</v>
      </c>
    </row>
    <row r="1481">
      <c r="B1481" t="str">
        <f t="shared" si="1"/>
        <v>#</v>
      </c>
      <c r="G1481" t="str">
        <f>vlookup(B1481,'imported-population-for-countri'!$A$4:$E$17930,5,false)</f>
        <v>#N/A</v>
      </c>
      <c r="H1481" t="str">
        <f t="shared" si="2"/>
        <v>#N/A</v>
      </c>
      <c r="I1481" t="str">
        <f t="shared" si="3"/>
        <v>Non-democratic</v>
      </c>
    </row>
    <row r="1482">
      <c r="B1482" t="str">
        <f t="shared" si="1"/>
        <v>#</v>
      </c>
      <c r="G1482" t="str">
        <f>vlookup(B1482,'imported-population-for-countri'!$A$4:$E$17930,5,false)</f>
        <v>#N/A</v>
      </c>
      <c r="H1482" t="str">
        <f t="shared" si="2"/>
        <v>#N/A</v>
      </c>
      <c r="I1482" t="str">
        <f t="shared" si="3"/>
        <v>Non-democratic</v>
      </c>
    </row>
    <row r="1483">
      <c r="B1483" t="str">
        <f t="shared" si="1"/>
        <v>#</v>
      </c>
      <c r="G1483" t="str">
        <f>vlookup(B1483,'imported-population-for-countri'!$A$4:$E$17930,5,false)</f>
        <v>#N/A</v>
      </c>
      <c r="H1483" t="str">
        <f t="shared" si="2"/>
        <v>#N/A</v>
      </c>
      <c r="I1483" t="str">
        <f t="shared" si="3"/>
        <v>Non-democratic</v>
      </c>
    </row>
    <row r="1484">
      <c r="B1484" t="str">
        <f t="shared" si="1"/>
        <v>#</v>
      </c>
      <c r="G1484" t="str">
        <f>vlookup(B1484,'imported-population-for-countri'!$A$4:$E$17930,5,false)</f>
        <v>#N/A</v>
      </c>
      <c r="H1484" t="str">
        <f t="shared" si="2"/>
        <v>#N/A</v>
      </c>
      <c r="I1484" t="str">
        <f t="shared" si="3"/>
        <v>Non-democratic</v>
      </c>
    </row>
    <row r="1485">
      <c r="B1485" t="str">
        <f t="shared" si="1"/>
        <v>#</v>
      </c>
      <c r="G1485" t="str">
        <f>vlookup(B1485,'imported-population-for-countri'!$A$4:$E$17930,5,false)</f>
        <v>#N/A</v>
      </c>
      <c r="H1485" t="str">
        <f t="shared" si="2"/>
        <v>#N/A</v>
      </c>
      <c r="I1485" t="str">
        <f t="shared" si="3"/>
        <v>Non-democratic</v>
      </c>
    </row>
    <row r="1486">
      <c r="B1486" t="str">
        <f t="shared" si="1"/>
        <v>#</v>
      </c>
      <c r="G1486" t="str">
        <f>vlookup(B1486,'imported-population-for-countri'!$A$4:$E$17930,5,false)</f>
        <v>#N/A</v>
      </c>
      <c r="H1486" t="str">
        <f t="shared" si="2"/>
        <v>#N/A</v>
      </c>
      <c r="I1486" t="str">
        <f t="shared" si="3"/>
        <v>Non-democratic</v>
      </c>
    </row>
    <row r="1487">
      <c r="B1487" t="str">
        <f t="shared" si="1"/>
        <v>#</v>
      </c>
      <c r="G1487" t="str">
        <f>vlookup(B1487,'imported-population-for-countri'!$A$4:$E$17930,5,false)</f>
        <v>#N/A</v>
      </c>
      <c r="H1487" t="str">
        <f t="shared" si="2"/>
        <v>#N/A</v>
      </c>
      <c r="I1487" t="str">
        <f t="shared" si="3"/>
        <v>Non-democratic</v>
      </c>
    </row>
    <row r="1488">
      <c r="B1488" t="str">
        <f t="shared" si="1"/>
        <v>#</v>
      </c>
      <c r="G1488" t="str">
        <f>vlookup(B1488,'imported-population-for-countri'!$A$4:$E$17930,5,false)</f>
        <v>#N/A</v>
      </c>
      <c r="H1488" t="str">
        <f t="shared" si="2"/>
        <v>#N/A</v>
      </c>
      <c r="I1488" t="str">
        <f t="shared" si="3"/>
        <v>Non-democratic</v>
      </c>
    </row>
    <row r="1489">
      <c r="B1489" t="str">
        <f t="shared" si="1"/>
        <v>#</v>
      </c>
      <c r="G1489" t="str">
        <f>vlookup(B1489,'imported-population-for-countri'!$A$4:$E$17930,5,false)</f>
        <v>#N/A</v>
      </c>
      <c r="H1489" t="str">
        <f t="shared" si="2"/>
        <v>#N/A</v>
      </c>
      <c r="I1489" t="str">
        <f t="shared" si="3"/>
        <v>Non-democratic</v>
      </c>
    </row>
    <row r="1490">
      <c r="B1490" t="str">
        <f t="shared" si="1"/>
        <v>#</v>
      </c>
      <c r="G1490" t="str">
        <f>vlookup(B1490,'imported-population-for-countri'!$A$4:$E$17930,5,false)</f>
        <v>#N/A</v>
      </c>
      <c r="H1490" t="str">
        <f t="shared" si="2"/>
        <v>#N/A</v>
      </c>
      <c r="I1490" t="str">
        <f t="shared" si="3"/>
        <v>Non-democratic</v>
      </c>
    </row>
    <row r="1491">
      <c r="B1491" t="str">
        <f t="shared" si="1"/>
        <v>#</v>
      </c>
      <c r="G1491" t="str">
        <f>vlookup(B1491,'imported-population-for-countri'!$A$4:$E$17930,5,false)</f>
        <v>#N/A</v>
      </c>
      <c r="H1491" t="str">
        <f t="shared" si="2"/>
        <v>#N/A</v>
      </c>
      <c r="I1491" t="str">
        <f t="shared" si="3"/>
        <v>Non-democratic</v>
      </c>
    </row>
    <row r="1492">
      <c r="B1492" t="str">
        <f t="shared" si="1"/>
        <v>#</v>
      </c>
      <c r="G1492" t="str">
        <f>vlookup(B1492,'imported-population-for-countri'!$A$4:$E$17930,5,false)</f>
        <v>#N/A</v>
      </c>
      <c r="H1492" t="str">
        <f t="shared" si="2"/>
        <v>#N/A</v>
      </c>
      <c r="I1492" t="str">
        <f t="shared" si="3"/>
        <v>Non-democratic</v>
      </c>
    </row>
    <row r="1493">
      <c r="B1493" t="str">
        <f t="shared" si="1"/>
        <v>#</v>
      </c>
      <c r="G1493" t="str">
        <f>vlookup(B1493,'imported-population-for-countri'!$A$4:$E$17930,5,false)</f>
        <v>#N/A</v>
      </c>
      <c r="H1493" t="str">
        <f t="shared" si="2"/>
        <v>#N/A</v>
      </c>
      <c r="I1493" t="str">
        <f t="shared" si="3"/>
        <v>Non-democratic</v>
      </c>
    </row>
    <row r="1494">
      <c r="B1494" t="str">
        <f t="shared" si="1"/>
        <v>#</v>
      </c>
      <c r="G1494" t="str">
        <f>vlookup(B1494,'imported-population-for-countri'!$A$4:$E$17930,5,false)</f>
        <v>#N/A</v>
      </c>
      <c r="H1494" t="str">
        <f t="shared" si="2"/>
        <v>#N/A</v>
      </c>
      <c r="I1494" t="str">
        <f t="shared" si="3"/>
        <v>Non-democratic</v>
      </c>
    </row>
    <row r="1495">
      <c r="B1495" t="str">
        <f t="shared" si="1"/>
        <v>#</v>
      </c>
      <c r="G1495" t="str">
        <f>vlookup(B1495,'imported-population-for-countri'!$A$4:$E$17930,5,false)</f>
        <v>#N/A</v>
      </c>
      <c r="H1495" t="str">
        <f t="shared" si="2"/>
        <v>#N/A</v>
      </c>
      <c r="I1495" t="str">
        <f t="shared" si="3"/>
        <v>Non-democratic</v>
      </c>
    </row>
    <row r="1496">
      <c r="B1496" t="str">
        <f t="shared" si="1"/>
        <v>#</v>
      </c>
      <c r="G1496" t="str">
        <f>vlookup(B1496,'imported-population-for-countri'!$A$4:$E$17930,5,false)</f>
        <v>#N/A</v>
      </c>
      <c r="H1496" t="str">
        <f t="shared" si="2"/>
        <v>#N/A</v>
      </c>
      <c r="I1496" t="str">
        <f t="shared" si="3"/>
        <v>Non-democratic</v>
      </c>
    </row>
    <row r="1497">
      <c r="B1497" t="str">
        <f t="shared" si="1"/>
        <v>#</v>
      </c>
      <c r="G1497" t="str">
        <f>vlookup(B1497,'imported-population-for-countri'!$A$4:$E$17930,5,false)</f>
        <v>#N/A</v>
      </c>
      <c r="H1497" t="str">
        <f t="shared" si="2"/>
        <v>#N/A</v>
      </c>
      <c r="I1497" t="str">
        <f t="shared" si="3"/>
        <v>Non-democratic</v>
      </c>
    </row>
    <row r="1498">
      <c r="B1498" t="str">
        <f t="shared" si="1"/>
        <v>#</v>
      </c>
      <c r="G1498" t="str">
        <f>vlookup(B1498,'imported-population-for-countri'!$A$4:$E$17930,5,false)</f>
        <v>#N/A</v>
      </c>
      <c r="H1498" t="str">
        <f t="shared" si="2"/>
        <v>#N/A</v>
      </c>
      <c r="I1498" t="str">
        <f t="shared" si="3"/>
        <v>Non-democratic</v>
      </c>
    </row>
    <row r="1499">
      <c r="B1499" t="str">
        <f t="shared" si="1"/>
        <v>#</v>
      </c>
      <c r="G1499" t="str">
        <f>vlookup(B1499,'imported-population-for-countri'!$A$4:$E$17930,5,false)</f>
        <v>#N/A</v>
      </c>
      <c r="H1499" t="str">
        <f t="shared" si="2"/>
        <v>#N/A</v>
      </c>
      <c r="I1499" t="str">
        <f t="shared" si="3"/>
        <v>Non-democratic</v>
      </c>
    </row>
    <row r="1500">
      <c r="B1500" t="str">
        <f t="shared" si="1"/>
        <v>#</v>
      </c>
      <c r="G1500" t="str">
        <f>vlookup(B1500,'imported-population-for-countri'!$A$4:$E$17930,5,false)</f>
        <v>#N/A</v>
      </c>
      <c r="H1500" t="str">
        <f t="shared" si="2"/>
        <v>#N/A</v>
      </c>
      <c r="I1500" t="str">
        <f t="shared" si="3"/>
        <v>Non-democratic</v>
      </c>
    </row>
    <row r="1501">
      <c r="B1501" t="str">
        <f t="shared" si="1"/>
        <v>#</v>
      </c>
      <c r="G1501" t="str">
        <f>vlookup(B1501,'imported-population-for-countri'!$A$4:$E$17930,5,false)</f>
        <v>#N/A</v>
      </c>
      <c r="H1501" t="str">
        <f t="shared" si="2"/>
        <v>#N/A</v>
      </c>
      <c r="I1501" t="str">
        <f t="shared" si="3"/>
        <v>Non-democratic</v>
      </c>
    </row>
    <row r="1502">
      <c r="B1502" t="str">
        <f t="shared" si="1"/>
        <v>#</v>
      </c>
      <c r="G1502" t="str">
        <f>vlookup(B1502,'imported-population-for-countri'!$A$4:$E$17930,5,false)</f>
        <v>#N/A</v>
      </c>
      <c r="H1502" t="str">
        <f t="shared" si="2"/>
        <v>#N/A</v>
      </c>
      <c r="I1502" t="str">
        <f t="shared" si="3"/>
        <v>Non-democratic</v>
      </c>
    </row>
    <row r="1503">
      <c r="B1503" t="str">
        <f t="shared" si="1"/>
        <v>#</v>
      </c>
      <c r="G1503" t="str">
        <f>vlookup(B1503,'imported-population-for-countri'!$A$4:$E$17930,5,false)</f>
        <v>#N/A</v>
      </c>
      <c r="H1503" t="str">
        <f t="shared" si="2"/>
        <v>#N/A</v>
      </c>
      <c r="I1503" t="str">
        <f t="shared" si="3"/>
        <v>Non-democratic</v>
      </c>
    </row>
    <row r="1504">
      <c r="B1504" t="str">
        <f t="shared" si="1"/>
        <v>#</v>
      </c>
      <c r="G1504" t="str">
        <f>vlookup(B1504,'imported-population-for-countri'!$A$4:$E$17930,5,false)</f>
        <v>#N/A</v>
      </c>
      <c r="H1504" t="str">
        <f t="shared" si="2"/>
        <v>#N/A</v>
      </c>
      <c r="I1504" t="str">
        <f t="shared" si="3"/>
        <v>Non-democratic</v>
      </c>
    </row>
    <row r="1505">
      <c r="B1505" t="str">
        <f t="shared" si="1"/>
        <v>#</v>
      </c>
      <c r="G1505" t="str">
        <f>vlookup(B1505,'imported-population-for-countri'!$A$4:$E$17930,5,false)</f>
        <v>#N/A</v>
      </c>
      <c r="H1505" t="str">
        <f t="shared" si="2"/>
        <v>#N/A</v>
      </c>
      <c r="I1505" t="str">
        <f t="shared" si="3"/>
        <v>Non-democratic</v>
      </c>
    </row>
    <row r="1506">
      <c r="B1506" t="str">
        <f t="shared" si="1"/>
        <v>#</v>
      </c>
      <c r="G1506" t="str">
        <f>vlookup(B1506,'imported-population-for-countri'!$A$4:$E$17930,5,false)</f>
        <v>#N/A</v>
      </c>
      <c r="H1506" t="str">
        <f t="shared" si="2"/>
        <v>#N/A</v>
      </c>
      <c r="I1506" t="str">
        <f t="shared" si="3"/>
        <v>Non-democratic</v>
      </c>
    </row>
    <row r="1507">
      <c r="B1507" t="str">
        <f t="shared" si="1"/>
        <v>#</v>
      </c>
      <c r="G1507" t="str">
        <f>vlookup(B1507,'imported-population-for-countri'!$A$4:$E$17930,5,false)</f>
        <v>#N/A</v>
      </c>
      <c r="H1507" t="str">
        <f t="shared" si="2"/>
        <v>#N/A</v>
      </c>
      <c r="I1507" t="str">
        <f t="shared" si="3"/>
        <v>Non-democratic</v>
      </c>
    </row>
    <row r="1508">
      <c r="B1508" t="str">
        <f t="shared" si="1"/>
        <v>#</v>
      </c>
      <c r="G1508" t="str">
        <f>vlookup(B1508,'imported-population-for-countri'!$A$4:$E$17930,5,false)</f>
        <v>#N/A</v>
      </c>
      <c r="H1508" t="str">
        <f t="shared" si="2"/>
        <v>#N/A</v>
      </c>
      <c r="I1508" t="str">
        <f t="shared" si="3"/>
        <v>Non-democratic</v>
      </c>
    </row>
    <row r="1509">
      <c r="B1509" t="str">
        <f t="shared" si="1"/>
        <v>#</v>
      </c>
      <c r="G1509" t="str">
        <f>vlookup(B1509,'imported-population-for-countri'!$A$4:$E$17930,5,false)</f>
        <v>#N/A</v>
      </c>
      <c r="H1509" t="str">
        <f t="shared" si="2"/>
        <v>#N/A</v>
      </c>
      <c r="I1509" t="str">
        <f t="shared" si="3"/>
        <v>Non-democratic</v>
      </c>
    </row>
    <row r="1510">
      <c r="B1510" t="str">
        <f t="shared" si="1"/>
        <v>#</v>
      </c>
      <c r="G1510" t="str">
        <f>vlookup(B1510,'imported-population-for-countri'!$A$4:$E$17930,5,false)</f>
        <v>#N/A</v>
      </c>
      <c r="H1510" t="str">
        <f t="shared" si="2"/>
        <v>#N/A</v>
      </c>
      <c r="I1510" t="str">
        <f t="shared" si="3"/>
        <v>Non-democratic</v>
      </c>
    </row>
    <row r="1511">
      <c r="B1511" t="str">
        <f t="shared" si="1"/>
        <v>#</v>
      </c>
      <c r="G1511" t="str">
        <f>vlookup(B1511,'imported-population-for-countri'!$A$4:$E$17930,5,false)</f>
        <v>#N/A</v>
      </c>
      <c r="H1511" t="str">
        <f t="shared" si="2"/>
        <v>#N/A</v>
      </c>
      <c r="I1511" t="str">
        <f t="shared" si="3"/>
        <v>Non-democratic</v>
      </c>
    </row>
    <row r="1512">
      <c r="B1512" t="str">
        <f t="shared" si="1"/>
        <v>#</v>
      </c>
      <c r="G1512" t="str">
        <f>vlookup(B1512,'imported-population-for-countri'!$A$4:$E$17930,5,false)</f>
        <v>#N/A</v>
      </c>
      <c r="H1512" t="str">
        <f t="shared" si="2"/>
        <v>#N/A</v>
      </c>
      <c r="I1512" t="str">
        <f t="shared" si="3"/>
        <v>Non-democratic</v>
      </c>
    </row>
    <row r="1513">
      <c r="B1513" t="str">
        <f t="shared" si="1"/>
        <v>#</v>
      </c>
      <c r="G1513" t="str">
        <f>vlookup(B1513,'imported-population-for-countri'!$A$4:$E$17930,5,false)</f>
        <v>#N/A</v>
      </c>
      <c r="H1513" t="str">
        <f t="shared" si="2"/>
        <v>#N/A</v>
      </c>
      <c r="I1513" t="str">
        <f t="shared" si="3"/>
        <v>Non-democratic</v>
      </c>
    </row>
    <row r="1514">
      <c r="B1514" t="str">
        <f t="shared" si="1"/>
        <v>#</v>
      </c>
      <c r="G1514" t="str">
        <f>vlookup(B1514,'imported-population-for-countri'!$A$4:$E$17930,5,false)</f>
        <v>#N/A</v>
      </c>
      <c r="H1514" t="str">
        <f t="shared" si="2"/>
        <v>#N/A</v>
      </c>
      <c r="I1514" t="str">
        <f t="shared" si="3"/>
        <v>Non-democratic</v>
      </c>
    </row>
    <row r="1515">
      <c r="B1515" t="str">
        <f t="shared" si="1"/>
        <v>#</v>
      </c>
      <c r="G1515" t="str">
        <f>vlookup(B1515,'imported-population-for-countri'!$A$4:$E$17930,5,false)</f>
        <v>#N/A</v>
      </c>
      <c r="H1515" t="str">
        <f t="shared" si="2"/>
        <v>#N/A</v>
      </c>
      <c r="I1515" t="str">
        <f t="shared" si="3"/>
        <v>Non-democratic</v>
      </c>
    </row>
    <row r="1516">
      <c r="B1516" t="str">
        <f t="shared" si="1"/>
        <v>#</v>
      </c>
      <c r="G1516" t="str">
        <f>vlookup(B1516,'imported-population-for-countri'!$A$4:$E$17930,5,false)</f>
        <v>#N/A</v>
      </c>
      <c r="H1516" t="str">
        <f t="shared" si="2"/>
        <v>#N/A</v>
      </c>
      <c r="I1516" t="str">
        <f t="shared" si="3"/>
        <v>Non-democratic</v>
      </c>
    </row>
    <row r="1517">
      <c r="B1517" t="str">
        <f t="shared" si="1"/>
        <v>#</v>
      </c>
      <c r="G1517" t="str">
        <f>vlookup(B1517,'imported-population-for-countri'!$A$4:$E$17930,5,false)</f>
        <v>#N/A</v>
      </c>
      <c r="H1517" t="str">
        <f t="shared" si="2"/>
        <v>#N/A</v>
      </c>
      <c r="I1517" t="str">
        <f t="shared" si="3"/>
        <v>Non-democratic</v>
      </c>
    </row>
    <row r="1518">
      <c r="B1518" t="str">
        <f t="shared" si="1"/>
        <v>#</v>
      </c>
      <c r="G1518" t="str">
        <f>vlookup(B1518,'imported-population-for-countri'!$A$4:$E$17930,5,false)</f>
        <v>#N/A</v>
      </c>
      <c r="H1518" t="str">
        <f t="shared" si="2"/>
        <v>#N/A</v>
      </c>
      <c r="I1518" t="str">
        <f t="shared" si="3"/>
        <v>Non-democratic</v>
      </c>
    </row>
    <row r="1519">
      <c r="B1519" t="str">
        <f t="shared" si="1"/>
        <v>#</v>
      </c>
      <c r="G1519" t="str">
        <f>vlookup(B1519,'imported-population-for-countri'!$A$4:$E$17930,5,false)</f>
        <v>#N/A</v>
      </c>
      <c r="H1519" t="str">
        <f t="shared" si="2"/>
        <v>#N/A</v>
      </c>
      <c r="I1519" t="str">
        <f t="shared" si="3"/>
        <v>Non-democratic</v>
      </c>
    </row>
    <row r="1520">
      <c r="B1520" t="str">
        <f t="shared" si="1"/>
        <v>#</v>
      </c>
      <c r="G1520" t="str">
        <f>vlookup(B1520,'imported-population-for-countri'!$A$4:$E$17930,5,false)</f>
        <v>#N/A</v>
      </c>
      <c r="H1520" t="str">
        <f t="shared" si="2"/>
        <v>#N/A</v>
      </c>
      <c r="I1520" t="str">
        <f t="shared" si="3"/>
        <v>Non-democratic</v>
      </c>
    </row>
    <row r="1521">
      <c r="B1521" t="str">
        <f t="shared" si="1"/>
        <v>#</v>
      </c>
      <c r="G1521" t="str">
        <f>vlookup(B1521,'imported-population-for-countri'!$A$4:$E$17930,5,false)</f>
        <v>#N/A</v>
      </c>
      <c r="H1521" t="str">
        <f t="shared" si="2"/>
        <v>#N/A</v>
      </c>
      <c r="I1521" t="str">
        <f t="shared" si="3"/>
        <v>Non-democratic</v>
      </c>
    </row>
    <row r="1522">
      <c r="B1522" t="str">
        <f t="shared" si="1"/>
        <v>#</v>
      </c>
      <c r="G1522" t="str">
        <f>vlookup(B1522,'imported-population-for-countri'!$A$4:$E$17930,5,false)</f>
        <v>#N/A</v>
      </c>
      <c r="H1522" t="str">
        <f t="shared" si="2"/>
        <v>#N/A</v>
      </c>
      <c r="I1522" t="str">
        <f t="shared" si="3"/>
        <v>Non-democratic</v>
      </c>
    </row>
    <row r="1523">
      <c r="B1523" t="str">
        <f t="shared" si="1"/>
        <v>#</v>
      </c>
      <c r="G1523" t="str">
        <f>vlookup(B1523,'imported-population-for-countri'!$A$4:$E$17930,5,false)</f>
        <v>#N/A</v>
      </c>
      <c r="H1523" t="str">
        <f t="shared" si="2"/>
        <v>#N/A</v>
      </c>
      <c r="I1523" t="str">
        <f t="shared" si="3"/>
        <v>Non-democratic</v>
      </c>
    </row>
    <row r="1524">
      <c r="B1524" t="str">
        <f t="shared" si="1"/>
        <v>#</v>
      </c>
      <c r="G1524" t="str">
        <f>vlookup(B1524,'imported-population-for-countri'!$A$4:$E$17930,5,false)</f>
        <v>#N/A</v>
      </c>
      <c r="H1524" t="str">
        <f t="shared" si="2"/>
        <v>#N/A</v>
      </c>
      <c r="I1524" t="str">
        <f t="shared" si="3"/>
        <v>Non-democratic</v>
      </c>
    </row>
    <row r="1525">
      <c r="B1525" t="str">
        <f t="shared" si="1"/>
        <v>#</v>
      </c>
      <c r="G1525" t="str">
        <f>vlookup(B1525,'imported-population-for-countri'!$A$4:$E$17930,5,false)</f>
        <v>#N/A</v>
      </c>
      <c r="H1525" t="str">
        <f t="shared" si="2"/>
        <v>#N/A</v>
      </c>
      <c r="I1525" t="str">
        <f t="shared" si="3"/>
        <v>Non-democratic</v>
      </c>
    </row>
    <row r="1526">
      <c r="B1526" t="str">
        <f t="shared" si="1"/>
        <v>#</v>
      </c>
      <c r="G1526" t="str">
        <f>vlookup(B1526,'imported-population-for-countri'!$A$4:$E$17930,5,false)</f>
        <v>#N/A</v>
      </c>
      <c r="H1526" t="str">
        <f t="shared" si="2"/>
        <v>#N/A</v>
      </c>
      <c r="I1526" t="str">
        <f t="shared" si="3"/>
        <v>Non-democratic</v>
      </c>
    </row>
    <row r="1527">
      <c r="B1527" t="str">
        <f t="shared" si="1"/>
        <v>#</v>
      </c>
      <c r="G1527" t="str">
        <f>vlookup(B1527,'imported-population-for-countri'!$A$4:$E$17930,5,false)</f>
        <v>#N/A</v>
      </c>
      <c r="H1527" t="str">
        <f t="shared" si="2"/>
        <v>#N/A</v>
      </c>
      <c r="I1527" t="str">
        <f t="shared" si="3"/>
        <v>Non-democratic</v>
      </c>
    </row>
    <row r="1528">
      <c r="B1528" t="str">
        <f t="shared" si="1"/>
        <v>#</v>
      </c>
      <c r="G1528" t="str">
        <f>vlookup(B1528,'imported-population-for-countri'!$A$4:$E$17930,5,false)</f>
        <v>#N/A</v>
      </c>
      <c r="H1528" t="str">
        <f t="shared" si="2"/>
        <v>#N/A</v>
      </c>
      <c r="I1528" t="str">
        <f t="shared" si="3"/>
        <v>Non-democratic</v>
      </c>
    </row>
    <row r="1529">
      <c r="B1529" t="str">
        <f t="shared" si="1"/>
        <v>#</v>
      </c>
      <c r="G1529" t="str">
        <f>vlookup(B1529,'imported-population-for-countri'!$A$4:$E$17930,5,false)</f>
        <v>#N/A</v>
      </c>
      <c r="H1529" t="str">
        <f t="shared" si="2"/>
        <v>#N/A</v>
      </c>
      <c r="I1529" t="str">
        <f t="shared" si="3"/>
        <v>Non-democratic</v>
      </c>
    </row>
    <row r="1530">
      <c r="B1530" t="str">
        <f t="shared" si="1"/>
        <v>#</v>
      </c>
      <c r="G1530" t="str">
        <f>vlookup(B1530,'imported-population-for-countri'!$A$4:$E$17930,5,false)</f>
        <v>#N/A</v>
      </c>
      <c r="H1530" t="str">
        <f t="shared" si="2"/>
        <v>#N/A</v>
      </c>
      <c r="I1530" t="str">
        <f t="shared" si="3"/>
        <v>Non-democratic</v>
      </c>
    </row>
    <row r="1531">
      <c r="B1531" t="str">
        <f t="shared" si="1"/>
        <v>#</v>
      </c>
      <c r="G1531" t="str">
        <f>vlookup(B1531,'imported-population-for-countri'!$A$4:$E$17930,5,false)</f>
        <v>#N/A</v>
      </c>
      <c r="H1531" t="str">
        <f t="shared" si="2"/>
        <v>#N/A</v>
      </c>
      <c r="I1531" t="str">
        <f t="shared" si="3"/>
        <v>Non-democratic</v>
      </c>
    </row>
    <row r="1532">
      <c r="B1532" t="str">
        <f t="shared" si="1"/>
        <v>#</v>
      </c>
      <c r="G1532" t="str">
        <f>vlookup(B1532,'imported-population-for-countri'!$A$4:$E$17930,5,false)</f>
        <v>#N/A</v>
      </c>
      <c r="H1532" t="str">
        <f t="shared" si="2"/>
        <v>#N/A</v>
      </c>
      <c r="I1532" t="str">
        <f t="shared" si="3"/>
        <v>Non-democratic</v>
      </c>
    </row>
    <row r="1533">
      <c r="B1533" t="str">
        <f t="shared" si="1"/>
        <v>#</v>
      </c>
      <c r="G1533" t="str">
        <f>vlookup(B1533,'imported-population-for-countri'!$A$4:$E$17930,5,false)</f>
        <v>#N/A</v>
      </c>
      <c r="H1533" t="str">
        <f t="shared" si="2"/>
        <v>#N/A</v>
      </c>
      <c r="I1533" t="str">
        <f t="shared" si="3"/>
        <v>Non-democratic</v>
      </c>
    </row>
    <row r="1534">
      <c r="B1534" t="str">
        <f t="shared" si="1"/>
        <v>#</v>
      </c>
      <c r="G1534" t="str">
        <f>vlookup(B1534,'imported-population-for-countri'!$A$4:$E$17930,5,false)</f>
        <v>#N/A</v>
      </c>
      <c r="H1534" t="str">
        <f t="shared" si="2"/>
        <v>#N/A</v>
      </c>
      <c r="I1534" t="str">
        <f t="shared" si="3"/>
        <v>Non-democratic</v>
      </c>
    </row>
    <row r="1535">
      <c r="B1535" t="str">
        <f t="shared" si="1"/>
        <v>#</v>
      </c>
      <c r="G1535" t="str">
        <f>vlookup(B1535,'imported-population-for-countri'!$A$4:$E$17930,5,false)</f>
        <v>#N/A</v>
      </c>
      <c r="H1535" t="str">
        <f t="shared" si="2"/>
        <v>#N/A</v>
      </c>
      <c r="I1535" t="str">
        <f t="shared" si="3"/>
        <v>Non-democratic</v>
      </c>
    </row>
    <row r="1536">
      <c r="B1536" t="str">
        <f t="shared" si="1"/>
        <v>#</v>
      </c>
      <c r="G1536" t="str">
        <f>vlookup(B1536,'imported-population-for-countri'!$A$4:$E$17930,5,false)</f>
        <v>#N/A</v>
      </c>
      <c r="H1536" t="str">
        <f t="shared" si="2"/>
        <v>#N/A</v>
      </c>
      <c r="I1536" t="str">
        <f t="shared" si="3"/>
        <v>Non-democratic</v>
      </c>
    </row>
    <row r="1537">
      <c r="B1537" t="str">
        <f t="shared" si="1"/>
        <v>#</v>
      </c>
      <c r="G1537" t="str">
        <f>vlookup(B1537,'imported-population-for-countri'!$A$4:$E$17930,5,false)</f>
        <v>#N/A</v>
      </c>
      <c r="H1537" t="str">
        <f t="shared" si="2"/>
        <v>#N/A</v>
      </c>
      <c r="I1537" t="str">
        <f t="shared" si="3"/>
        <v>Non-democratic</v>
      </c>
    </row>
    <row r="1538">
      <c r="B1538" t="str">
        <f t="shared" si="1"/>
        <v>#</v>
      </c>
      <c r="G1538" t="str">
        <f>vlookup(B1538,'imported-population-for-countri'!$A$4:$E$17930,5,false)</f>
        <v>#N/A</v>
      </c>
      <c r="H1538" t="str">
        <f t="shared" si="2"/>
        <v>#N/A</v>
      </c>
      <c r="I1538" t="str">
        <f t="shared" si="3"/>
        <v>Non-democratic</v>
      </c>
    </row>
    <row r="1539">
      <c r="B1539" t="str">
        <f t="shared" si="1"/>
        <v>#</v>
      </c>
      <c r="G1539" t="str">
        <f>vlookup(B1539,'imported-population-for-countri'!$A$4:$E$17930,5,false)</f>
        <v>#N/A</v>
      </c>
      <c r="H1539" t="str">
        <f t="shared" si="2"/>
        <v>#N/A</v>
      </c>
      <c r="I1539" t="str">
        <f t="shared" si="3"/>
        <v>Non-democratic</v>
      </c>
    </row>
    <row r="1540">
      <c r="B1540" t="str">
        <f t="shared" si="1"/>
        <v>#</v>
      </c>
      <c r="G1540" t="str">
        <f>vlookup(B1540,'imported-population-for-countri'!$A$4:$E$17930,5,false)</f>
        <v>#N/A</v>
      </c>
      <c r="H1540" t="str">
        <f t="shared" si="2"/>
        <v>#N/A</v>
      </c>
      <c r="I1540" t="str">
        <f t="shared" si="3"/>
        <v>Non-democratic</v>
      </c>
    </row>
    <row r="1541">
      <c r="B1541" t="str">
        <f t="shared" si="1"/>
        <v>#</v>
      </c>
      <c r="G1541" t="str">
        <f>vlookup(B1541,'imported-population-for-countri'!$A$4:$E$17930,5,false)</f>
        <v>#N/A</v>
      </c>
      <c r="H1541" t="str">
        <f t="shared" si="2"/>
        <v>#N/A</v>
      </c>
      <c r="I1541" t="str">
        <f t="shared" si="3"/>
        <v>Non-democratic</v>
      </c>
    </row>
    <row r="1542">
      <c r="B1542" t="str">
        <f t="shared" si="1"/>
        <v>#</v>
      </c>
      <c r="G1542" t="str">
        <f>vlookup(B1542,'imported-population-for-countri'!$A$4:$E$17930,5,false)</f>
        <v>#N/A</v>
      </c>
      <c r="H1542" t="str">
        <f t="shared" si="2"/>
        <v>#N/A</v>
      </c>
      <c r="I1542" t="str">
        <f t="shared" si="3"/>
        <v>Non-democratic</v>
      </c>
    </row>
    <row r="1543">
      <c r="B1543" t="str">
        <f t="shared" si="1"/>
        <v>#</v>
      </c>
      <c r="G1543" t="str">
        <f>vlookup(B1543,'imported-population-for-countri'!$A$4:$E$17930,5,false)</f>
        <v>#N/A</v>
      </c>
      <c r="H1543" t="str">
        <f t="shared" si="2"/>
        <v>#N/A</v>
      </c>
      <c r="I1543" t="str">
        <f t="shared" si="3"/>
        <v>Non-democratic</v>
      </c>
    </row>
    <row r="1544">
      <c r="B1544" t="str">
        <f t="shared" si="1"/>
        <v>#</v>
      </c>
      <c r="G1544" t="str">
        <f>vlookup(B1544,'imported-population-for-countri'!$A$4:$E$17930,5,false)</f>
        <v>#N/A</v>
      </c>
      <c r="H1544" t="str">
        <f t="shared" si="2"/>
        <v>#N/A</v>
      </c>
      <c r="I1544" t="str">
        <f t="shared" si="3"/>
        <v>Non-democratic</v>
      </c>
    </row>
    <row r="1545">
      <c r="B1545" t="str">
        <f t="shared" si="1"/>
        <v>#</v>
      </c>
      <c r="G1545" t="str">
        <f>vlookup(B1545,'imported-population-for-countri'!$A$4:$E$17930,5,false)</f>
        <v>#N/A</v>
      </c>
      <c r="H1545" t="str">
        <f t="shared" si="2"/>
        <v>#N/A</v>
      </c>
      <c r="I1545" t="str">
        <f t="shared" si="3"/>
        <v>Non-democratic</v>
      </c>
    </row>
    <row r="1546">
      <c r="B1546" t="str">
        <f t="shared" si="1"/>
        <v>#</v>
      </c>
      <c r="G1546" t="str">
        <f>vlookup(B1546,'imported-population-for-countri'!$A$4:$E$17930,5,false)</f>
        <v>#N/A</v>
      </c>
      <c r="H1546" t="str">
        <f t="shared" si="2"/>
        <v>#N/A</v>
      </c>
      <c r="I1546" t="str">
        <f t="shared" si="3"/>
        <v>Non-democratic</v>
      </c>
    </row>
    <row r="1547">
      <c r="B1547" t="str">
        <f t="shared" si="1"/>
        <v>#</v>
      </c>
      <c r="G1547" t="str">
        <f>vlookup(B1547,'imported-population-for-countri'!$A$4:$E$17930,5,false)</f>
        <v>#N/A</v>
      </c>
      <c r="H1547" t="str">
        <f t="shared" si="2"/>
        <v>#N/A</v>
      </c>
      <c r="I1547" t="str">
        <f t="shared" si="3"/>
        <v>Non-democratic</v>
      </c>
    </row>
    <row r="1548">
      <c r="B1548" t="str">
        <f t="shared" si="1"/>
        <v>#</v>
      </c>
      <c r="G1548" t="str">
        <f>vlookup(B1548,'imported-population-for-countri'!$A$4:$E$17930,5,false)</f>
        <v>#N/A</v>
      </c>
      <c r="H1548" t="str">
        <f t="shared" si="2"/>
        <v>#N/A</v>
      </c>
      <c r="I1548" t="str">
        <f t="shared" si="3"/>
        <v>Non-democratic</v>
      </c>
    </row>
    <row r="1549">
      <c r="B1549" t="str">
        <f t="shared" si="1"/>
        <v>#</v>
      </c>
      <c r="G1549" t="str">
        <f>vlookup(B1549,'imported-population-for-countri'!$A$4:$E$17930,5,false)</f>
        <v>#N/A</v>
      </c>
      <c r="H1549" t="str">
        <f t="shared" si="2"/>
        <v>#N/A</v>
      </c>
      <c r="I1549" t="str">
        <f t="shared" si="3"/>
        <v>Non-democratic</v>
      </c>
    </row>
    <row r="1550">
      <c r="B1550" t="str">
        <f t="shared" si="1"/>
        <v>#</v>
      </c>
      <c r="G1550" t="str">
        <f>vlookup(B1550,'imported-population-for-countri'!$A$4:$E$17930,5,false)</f>
        <v>#N/A</v>
      </c>
      <c r="H1550" t="str">
        <f t="shared" si="2"/>
        <v>#N/A</v>
      </c>
      <c r="I1550" t="str">
        <f t="shared" si="3"/>
        <v>Non-democratic</v>
      </c>
    </row>
    <row r="1551">
      <c r="B1551" t="str">
        <f t="shared" si="1"/>
        <v>#</v>
      </c>
      <c r="G1551" t="str">
        <f>vlookup(B1551,'imported-population-for-countri'!$A$4:$E$17930,5,false)</f>
        <v>#N/A</v>
      </c>
      <c r="H1551" t="str">
        <f t="shared" si="2"/>
        <v>#N/A</v>
      </c>
      <c r="I1551" t="str">
        <f t="shared" si="3"/>
        <v>Non-democratic</v>
      </c>
    </row>
    <row r="1552">
      <c r="B1552" t="str">
        <f t="shared" si="1"/>
        <v>#</v>
      </c>
      <c r="G1552" t="str">
        <f>vlookup(B1552,'imported-population-for-countri'!$A$4:$E$17930,5,false)</f>
        <v>#N/A</v>
      </c>
      <c r="H1552" t="str">
        <f t="shared" si="2"/>
        <v>#N/A</v>
      </c>
      <c r="I1552" t="str">
        <f t="shared" si="3"/>
        <v>Non-democratic</v>
      </c>
    </row>
    <row r="1553">
      <c r="B1553" t="str">
        <f t="shared" si="1"/>
        <v>#</v>
      </c>
      <c r="G1553" t="str">
        <f>vlookup(B1553,'imported-population-for-countri'!$A$4:$E$17930,5,false)</f>
        <v>#N/A</v>
      </c>
      <c r="H1553" t="str">
        <f t="shared" si="2"/>
        <v>#N/A</v>
      </c>
      <c r="I1553" t="str">
        <f t="shared" si="3"/>
        <v>Non-democratic</v>
      </c>
    </row>
    <row r="1554">
      <c r="B1554" t="str">
        <f t="shared" si="1"/>
        <v>#</v>
      </c>
      <c r="G1554" t="str">
        <f>vlookup(B1554,'imported-population-for-countri'!$A$4:$E$17930,5,false)</f>
        <v>#N/A</v>
      </c>
      <c r="H1554" t="str">
        <f t="shared" si="2"/>
        <v>#N/A</v>
      </c>
      <c r="I1554" t="str">
        <f t="shared" si="3"/>
        <v>Non-democratic</v>
      </c>
    </row>
    <row r="1555">
      <c r="B1555" t="str">
        <f t="shared" si="1"/>
        <v>#</v>
      </c>
      <c r="G1555" t="str">
        <f>vlookup(B1555,'imported-population-for-countri'!$A$4:$E$17930,5,false)</f>
        <v>#N/A</v>
      </c>
      <c r="H1555" t="str">
        <f t="shared" si="2"/>
        <v>#N/A</v>
      </c>
      <c r="I1555" t="str">
        <f t="shared" si="3"/>
        <v>Non-democratic</v>
      </c>
    </row>
    <row r="1556">
      <c r="B1556" t="str">
        <f t="shared" si="1"/>
        <v>#</v>
      </c>
      <c r="G1556" t="str">
        <f>vlookup(B1556,'imported-population-for-countri'!$A$4:$E$17930,5,false)</f>
        <v>#N/A</v>
      </c>
      <c r="H1556" t="str">
        <f t="shared" si="2"/>
        <v>#N/A</v>
      </c>
      <c r="I1556" t="str">
        <f t="shared" si="3"/>
        <v>Non-democratic</v>
      </c>
    </row>
    <row r="1557">
      <c r="B1557" t="str">
        <f t="shared" si="1"/>
        <v>#</v>
      </c>
      <c r="G1557" t="str">
        <f>vlookup(B1557,'imported-population-for-countri'!$A$4:$E$17930,5,false)</f>
        <v>#N/A</v>
      </c>
      <c r="H1557" t="str">
        <f t="shared" si="2"/>
        <v>#N/A</v>
      </c>
      <c r="I1557" t="str">
        <f t="shared" si="3"/>
        <v>Non-democratic</v>
      </c>
    </row>
    <row r="1558">
      <c r="B1558" t="str">
        <f t="shared" si="1"/>
        <v>#</v>
      </c>
      <c r="G1558" t="str">
        <f>vlookup(B1558,'imported-population-for-countri'!$A$4:$E$17930,5,false)</f>
        <v>#N/A</v>
      </c>
      <c r="H1558" t="str">
        <f t="shared" si="2"/>
        <v>#N/A</v>
      </c>
      <c r="I1558" t="str">
        <f t="shared" si="3"/>
        <v>Non-democratic</v>
      </c>
    </row>
    <row r="1559">
      <c r="B1559" t="str">
        <f t="shared" si="1"/>
        <v>#</v>
      </c>
      <c r="G1559" t="str">
        <f>vlookup(B1559,'imported-population-for-countri'!$A$4:$E$17930,5,false)</f>
        <v>#N/A</v>
      </c>
      <c r="H1559" t="str">
        <f t="shared" si="2"/>
        <v>#N/A</v>
      </c>
      <c r="I1559" t="str">
        <f t="shared" si="3"/>
        <v>Non-democratic</v>
      </c>
    </row>
    <row r="1560">
      <c r="B1560" t="str">
        <f t="shared" si="1"/>
        <v>#</v>
      </c>
      <c r="G1560" t="str">
        <f>vlookup(B1560,'imported-population-for-countri'!$A$4:$E$17930,5,false)</f>
        <v>#N/A</v>
      </c>
      <c r="H1560" t="str">
        <f t="shared" si="2"/>
        <v>#N/A</v>
      </c>
      <c r="I1560" t="str">
        <f t="shared" si="3"/>
        <v>Non-democratic</v>
      </c>
    </row>
    <row r="1561">
      <c r="B1561" t="str">
        <f t="shared" si="1"/>
        <v>#</v>
      </c>
      <c r="G1561" t="str">
        <f>vlookup(B1561,'imported-population-for-countri'!$A$4:$E$17930,5,false)</f>
        <v>#N/A</v>
      </c>
      <c r="H1561" t="str">
        <f t="shared" si="2"/>
        <v>#N/A</v>
      </c>
      <c r="I1561" t="str">
        <f t="shared" si="3"/>
        <v>Non-democratic</v>
      </c>
    </row>
    <row r="1562">
      <c r="B1562" t="str">
        <f t="shared" si="1"/>
        <v>#</v>
      </c>
      <c r="G1562" t="str">
        <f>vlookup(B1562,'imported-population-for-countri'!$A$4:$E$17930,5,false)</f>
        <v>#N/A</v>
      </c>
      <c r="H1562" t="str">
        <f t="shared" si="2"/>
        <v>#N/A</v>
      </c>
      <c r="I1562" t="str">
        <f t="shared" si="3"/>
        <v>Non-democratic</v>
      </c>
    </row>
    <row r="1563">
      <c r="B1563" t="str">
        <f t="shared" si="1"/>
        <v>#</v>
      </c>
      <c r="G1563" t="str">
        <f>vlookup(B1563,'imported-population-for-countri'!$A$4:$E$17930,5,false)</f>
        <v>#N/A</v>
      </c>
      <c r="H1563" t="str">
        <f t="shared" si="2"/>
        <v>#N/A</v>
      </c>
      <c r="I1563" t="str">
        <f t="shared" si="3"/>
        <v>Non-democratic</v>
      </c>
    </row>
    <row r="1564">
      <c r="B1564" t="str">
        <f t="shared" si="1"/>
        <v>#</v>
      </c>
      <c r="G1564" t="str">
        <f>vlookup(B1564,'imported-population-for-countri'!$A$4:$E$17930,5,false)</f>
        <v>#N/A</v>
      </c>
      <c r="H1564" t="str">
        <f t="shared" si="2"/>
        <v>#N/A</v>
      </c>
      <c r="I1564" t="str">
        <f t="shared" si="3"/>
        <v>Non-democratic</v>
      </c>
    </row>
    <row r="1565">
      <c r="B1565" t="str">
        <f t="shared" si="1"/>
        <v>#</v>
      </c>
      <c r="G1565" t="str">
        <f>vlookup(B1565,'imported-population-for-countri'!$A$4:$E$17930,5,false)</f>
        <v>#N/A</v>
      </c>
      <c r="H1565" t="str">
        <f t="shared" si="2"/>
        <v>#N/A</v>
      </c>
      <c r="I1565" t="str">
        <f t="shared" si="3"/>
        <v>Non-democratic</v>
      </c>
    </row>
    <row r="1566">
      <c r="B1566" t="str">
        <f t="shared" si="1"/>
        <v>#</v>
      </c>
      <c r="G1566" t="str">
        <f>vlookup(B1566,'imported-population-for-countri'!$A$4:$E$17930,5,false)</f>
        <v>#N/A</v>
      </c>
      <c r="H1566" t="str">
        <f t="shared" si="2"/>
        <v>#N/A</v>
      </c>
      <c r="I1566" t="str">
        <f t="shared" si="3"/>
        <v>Non-democratic</v>
      </c>
    </row>
    <row r="1567">
      <c r="B1567" t="str">
        <f t="shared" si="1"/>
        <v>#</v>
      </c>
      <c r="G1567" t="str">
        <f>vlookup(B1567,'imported-population-for-countri'!$A$4:$E$17930,5,false)</f>
        <v>#N/A</v>
      </c>
      <c r="H1567" t="str">
        <f t="shared" si="2"/>
        <v>#N/A</v>
      </c>
      <c r="I1567" t="str">
        <f t="shared" si="3"/>
        <v>Non-democratic</v>
      </c>
    </row>
    <row r="1568">
      <c r="B1568" t="str">
        <f t="shared" si="1"/>
        <v>#</v>
      </c>
      <c r="G1568" t="str">
        <f>vlookup(B1568,'imported-population-for-countri'!$A$4:$E$17930,5,false)</f>
        <v>#N/A</v>
      </c>
      <c r="H1568" t="str">
        <f t="shared" si="2"/>
        <v>#N/A</v>
      </c>
      <c r="I1568" t="str">
        <f t="shared" si="3"/>
        <v>Non-democratic</v>
      </c>
    </row>
    <row r="1569">
      <c r="B1569" t="str">
        <f t="shared" si="1"/>
        <v>#</v>
      </c>
      <c r="G1569" t="str">
        <f>vlookup(B1569,'imported-population-for-countri'!$A$4:$E$17930,5,false)</f>
        <v>#N/A</v>
      </c>
      <c r="H1569" t="str">
        <f t="shared" si="2"/>
        <v>#N/A</v>
      </c>
      <c r="I1569" t="str">
        <f t="shared" si="3"/>
        <v>Non-democratic</v>
      </c>
    </row>
    <row r="1570">
      <c r="B1570" t="str">
        <f t="shared" si="1"/>
        <v>#</v>
      </c>
      <c r="G1570" t="str">
        <f>vlookup(B1570,'imported-population-for-countri'!$A$4:$E$17930,5,false)</f>
        <v>#N/A</v>
      </c>
      <c r="H1570" t="str">
        <f t="shared" si="2"/>
        <v>#N/A</v>
      </c>
      <c r="I1570" t="str">
        <f t="shared" si="3"/>
        <v>Non-democratic</v>
      </c>
    </row>
    <row r="1571">
      <c r="B1571" t="str">
        <f t="shared" si="1"/>
        <v>#</v>
      </c>
      <c r="G1571" t="str">
        <f>vlookup(B1571,'imported-population-for-countri'!$A$4:$E$17930,5,false)</f>
        <v>#N/A</v>
      </c>
      <c r="H1571" t="str">
        <f t="shared" si="2"/>
        <v>#N/A</v>
      </c>
      <c r="I1571" t="str">
        <f t="shared" si="3"/>
        <v>Non-democratic</v>
      </c>
    </row>
    <row r="1572">
      <c r="B1572" t="str">
        <f t="shared" si="1"/>
        <v>#</v>
      </c>
      <c r="G1572" t="str">
        <f>vlookup(B1572,'imported-population-for-countri'!$A$4:$E$17930,5,false)</f>
        <v>#N/A</v>
      </c>
      <c r="H1572" t="str">
        <f t="shared" si="2"/>
        <v>#N/A</v>
      </c>
      <c r="I1572" t="str">
        <f t="shared" si="3"/>
        <v>Non-democratic</v>
      </c>
    </row>
    <row r="1573">
      <c r="B1573" t="str">
        <f t="shared" si="1"/>
        <v>#</v>
      </c>
      <c r="G1573" t="str">
        <f>vlookup(B1573,'imported-population-for-countri'!$A$4:$E$17930,5,false)</f>
        <v>#N/A</v>
      </c>
      <c r="H1573" t="str">
        <f t="shared" si="2"/>
        <v>#N/A</v>
      </c>
      <c r="I1573" t="str">
        <f t="shared" si="3"/>
        <v>Non-democratic</v>
      </c>
    </row>
    <row r="1574">
      <c r="B1574" t="str">
        <f t="shared" si="1"/>
        <v>#</v>
      </c>
      <c r="G1574" t="str">
        <f>vlookup(B1574,'imported-population-for-countri'!$A$4:$E$17930,5,false)</f>
        <v>#N/A</v>
      </c>
      <c r="H1574" t="str">
        <f t="shared" si="2"/>
        <v>#N/A</v>
      </c>
      <c r="I1574" t="str">
        <f t="shared" si="3"/>
        <v>Non-democratic</v>
      </c>
    </row>
    <row r="1575">
      <c r="B1575" t="str">
        <f t="shared" si="1"/>
        <v>#</v>
      </c>
      <c r="G1575" t="str">
        <f>vlookup(B1575,'imported-population-for-countri'!$A$4:$E$17930,5,false)</f>
        <v>#N/A</v>
      </c>
      <c r="H1575" t="str">
        <f t="shared" si="2"/>
        <v>#N/A</v>
      </c>
      <c r="I1575" t="str">
        <f t="shared" si="3"/>
        <v>Non-democratic</v>
      </c>
    </row>
    <row r="1576">
      <c r="B1576" t="str">
        <f t="shared" si="1"/>
        <v>#</v>
      </c>
      <c r="G1576" t="str">
        <f>vlookup(B1576,'imported-population-for-countri'!$A$4:$E$17930,5,false)</f>
        <v>#N/A</v>
      </c>
      <c r="H1576" t="str">
        <f t="shared" si="2"/>
        <v>#N/A</v>
      </c>
      <c r="I1576" t="str">
        <f t="shared" si="3"/>
        <v>Non-democratic</v>
      </c>
    </row>
    <row r="1577">
      <c r="B1577" t="str">
        <f t="shared" si="1"/>
        <v>#</v>
      </c>
      <c r="G1577" t="str">
        <f>vlookup(B1577,'imported-population-for-countri'!$A$4:$E$17930,5,false)</f>
        <v>#N/A</v>
      </c>
      <c r="H1577" t="str">
        <f t="shared" si="2"/>
        <v>#N/A</v>
      </c>
      <c r="I1577" t="str">
        <f t="shared" si="3"/>
        <v>Non-democratic</v>
      </c>
    </row>
    <row r="1578">
      <c r="B1578" t="str">
        <f t="shared" si="1"/>
        <v>#</v>
      </c>
      <c r="G1578" t="str">
        <f>vlookup(B1578,'imported-population-for-countri'!$A$4:$E$17930,5,false)</f>
        <v>#N/A</v>
      </c>
      <c r="H1578" t="str">
        <f t="shared" si="2"/>
        <v>#N/A</v>
      </c>
      <c r="I1578" t="str">
        <f t="shared" si="3"/>
        <v>Non-democratic</v>
      </c>
    </row>
    <row r="1579">
      <c r="B1579" t="str">
        <f t="shared" si="1"/>
        <v>#</v>
      </c>
      <c r="G1579" t="str">
        <f>vlookup(B1579,'imported-population-for-countri'!$A$4:$E$17930,5,false)</f>
        <v>#N/A</v>
      </c>
      <c r="H1579" t="str">
        <f t="shared" si="2"/>
        <v>#N/A</v>
      </c>
      <c r="I1579" t="str">
        <f t="shared" si="3"/>
        <v>Non-democratic</v>
      </c>
    </row>
    <row r="1580">
      <c r="B1580" t="str">
        <f t="shared" si="1"/>
        <v>#</v>
      </c>
      <c r="G1580" t="str">
        <f>vlookup(B1580,'imported-population-for-countri'!$A$4:$E$17930,5,false)</f>
        <v>#N/A</v>
      </c>
      <c r="H1580" t="str">
        <f t="shared" si="2"/>
        <v>#N/A</v>
      </c>
      <c r="I1580" t="str">
        <f t="shared" si="3"/>
        <v>Non-democratic</v>
      </c>
    </row>
    <row r="1581">
      <c r="B1581" t="str">
        <f t="shared" si="1"/>
        <v>#</v>
      </c>
      <c r="G1581" t="str">
        <f>vlookup(B1581,'imported-population-for-countri'!$A$4:$E$17930,5,false)</f>
        <v>#N/A</v>
      </c>
      <c r="H1581" t="str">
        <f t="shared" si="2"/>
        <v>#N/A</v>
      </c>
      <c r="I1581" t="str">
        <f t="shared" si="3"/>
        <v>Non-democratic</v>
      </c>
    </row>
    <row r="1582">
      <c r="B1582" t="str">
        <f t="shared" si="1"/>
        <v>#</v>
      </c>
      <c r="G1582" t="str">
        <f>vlookup(B1582,'imported-population-for-countri'!$A$4:$E$17930,5,false)</f>
        <v>#N/A</v>
      </c>
      <c r="H1582" t="str">
        <f t="shared" si="2"/>
        <v>#N/A</v>
      </c>
      <c r="I1582" t="str">
        <f t="shared" si="3"/>
        <v>Non-democratic</v>
      </c>
    </row>
    <row r="1583">
      <c r="B1583" t="str">
        <f t="shared" si="1"/>
        <v>#</v>
      </c>
      <c r="G1583" t="str">
        <f>vlookup(B1583,'imported-population-for-countri'!$A$4:$E$17930,5,false)</f>
        <v>#N/A</v>
      </c>
      <c r="H1583" t="str">
        <f t="shared" si="2"/>
        <v>#N/A</v>
      </c>
      <c r="I1583" t="str">
        <f t="shared" si="3"/>
        <v>Non-democratic</v>
      </c>
    </row>
    <row r="1584">
      <c r="B1584" t="str">
        <f t="shared" si="1"/>
        <v>#</v>
      </c>
      <c r="G1584" t="str">
        <f>vlookup(B1584,'imported-population-for-countri'!$A$4:$E$17930,5,false)</f>
        <v>#N/A</v>
      </c>
      <c r="H1584" t="str">
        <f t="shared" si="2"/>
        <v>#N/A</v>
      </c>
      <c r="I1584" t="str">
        <f t="shared" si="3"/>
        <v>Non-democratic</v>
      </c>
    </row>
    <row r="1585">
      <c r="B1585" t="str">
        <f t="shared" si="1"/>
        <v>#</v>
      </c>
      <c r="G1585" t="str">
        <f>vlookup(B1585,'imported-population-for-countri'!$A$4:$E$17930,5,false)</f>
        <v>#N/A</v>
      </c>
      <c r="H1585" t="str">
        <f t="shared" si="2"/>
        <v>#N/A</v>
      </c>
      <c r="I1585" t="str">
        <f t="shared" si="3"/>
        <v>Non-democratic</v>
      </c>
    </row>
    <row r="1586">
      <c r="B1586" t="str">
        <f t="shared" si="1"/>
        <v>#</v>
      </c>
      <c r="G1586" t="str">
        <f>vlookup(B1586,'imported-population-for-countri'!$A$4:$E$17930,5,false)</f>
        <v>#N/A</v>
      </c>
      <c r="H1586" t="str">
        <f t="shared" si="2"/>
        <v>#N/A</v>
      </c>
      <c r="I1586" t="str">
        <f t="shared" si="3"/>
        <v>Non-democratic</v>
      </c>
    </row>
    <row r="1587">
      <c r="B1587" t="str">
        <f t="shared" si="1"/>
        <v>#</v>
      </c>
      <c r="G1587" t="str">
        <f>vlookup(B1587,'imported-population-for-countri'!$A$4:$E$17930,5,false)</f>
        <v>#N/A</v>
      </c>
      <c r="H1587" t="str">
        <f t="shared" si="2"/>
        <v>#N/A</v>
      </c>
      <c r="I1587" t="str">
        <f t="shared" si="3"/>
        <v>Non-democratic</v>
      </c>
    </row>
    <row r="1588">
      <c r="B1588" t="str">
        <f t="shared" si="1"/>
        <v>#</v>
      </c>
      <c r="G1588" t="str">
        <f>vlookup(B1588,'imported-population-for-countri'!$A$4:$E$17930,5,false)</f>
        <v>#N/A</v>
      </c>
      <c r="H1588" t="str">
        <f t="shared" si="2"/>
        <v>#N/A</v>
      </c>
      <c r="I1588" t="str">
        <f t="shared" si="3"/>
        <v>Non-democratic</v>
      </c>
    </row>
    <row r="1589">
      <c r="B1589" t="str">
        <f t="shared" si="1"/>
        <v>#</v>
      </c>
      <c r="G1589" t="str">
        <f>vlookup(B1589,'imported-population-for-countri'!$A$4:$E$17930,5,false)</f>
        <v>#N/A</v>
      </c>
      <c r="H1589" t="str">
        <f t="shared" si="2"/>
        <v>#N/A</v>
      </c>
      <c r="I1589" t="str">
        <f t="shared" si="3"/>
        <v>Non-democratic</v>
      </c>
    </row>
    <row r="1590">
      <c r="B1590" t="str">
        <f t="shared" si="1"/>
        <v>#</v>
      </c>
      <c r="G1590" t="str">
        <f>vlookup(B1590,'imported-population-for-countri'!$A$4:$E$17930,5,false)</f>
        <v>#N/A</v>
      </c>
      <c r="H1590" t="str">
        <f t="shared" si="2"/>
        <v>#N/A</v>
      </c>
      <c r="I1590" t="str">
        <f t="shared" si="3"/>
        <v>Non-democratic</v>
      </c>
    </row>
    <row r="1591">
      <c r="B1591" t="str">
        <f t="shared" si="1"/>
        <v>#</v>
      </c>
      <c r="G1591" t="str">
        <f>vlookup(B1591,'imported-population-for-countri'!$A$4:$E$17930,5,false)</f>
        <v>#N/A</v>
      </c>
      <c r="H1591" t="str">
        <f t="shared" si="2"/>
        <v>#N/A</v>
      </c>
      <c r="I1591" t="str">
        <f t="shared" si="3"/>
        <v>Non-democratic</v>
      </c>
    </row>
    <row r="1592">
      <c r="B1592" t="str">
        <f t="shared" si="1"/>
        <v>#</v>
      </c>
      <c r="G1592" t="str">
        <f>vlookup(B1592,'imported-population-for-countri'!$A$4:$E$17930,5,false)</f>
        <v>#N/A</v>
      </c>
      <c r="H1592" t="str">
        <f t="shared" si="2"/>
        <v>#N/A</v>
      </c>
      <c r="I1592" t="str">
        <f t="shared" si="3"/>
        <v>Non-democratic</v>
      </c>
    </row>
    <row r="1593">
      <c r="B1593" t="str">
        <f t="shared" si="1"/>
        <v>#</v>
      </c>
      <c r="G1593" t="str">
        <f>vlookup(B1593,'imported-population-for-countri'!$A$4:$E$17930,5,false)</f>
        <v>#N/A</v>
      </c>
      <c r="H1593" t="str">
        <f t="shared" si="2"/>
        <v>#N/A</v>
      </c>
      <c r="I1593" t="str">
        <f t="shared" si="3"/>
        <v>Non-democratic</v>
      </c>
    </row>
    <row r="1594">
      <c r="B1594" t="str">
        <f t="shared" si="1"/>
        <v>#</v>
      </c>
      <c r="G1594" t="str">
        <f>vlookup(B1594,'imported-population-for-countri'!$A$4:$E$17930,5,false)</f>
        <v>#N/A</v>
      </c>
      <c r="H1594" t="str">
        <f t="shared" si="2"/>
        <v>#N/A</v>
      </c>
      <c r="I1594" t="str">
        <f t="shared" si="3"/>
        <v>Non-democratic</v>
      </c>
    </row>
    <row r="1595">
      <c r="B1595" t="str">
        <f t="shared" si="1"/>
        <v>#</v>
      </c>
      <c r="G1595" t="str">
        <f>vlookup(B1595,'imported-population-for-countri'!$A$4:$E$17930,5,false)</f>
        <v>#N/A</v>
      </c>
      <c r="H1595" t="str">
        <f t="shared" si="2"/>
        <v>#N/A</v>
      </c>
      <c r="I1595" t="str">
        <f t="shared" si="3"/>
        <v>Non-democratic</v>
      </c>
    </row>
    <row r="1596">
      <c r="B1596" t="str">
        <f t="shared" si="1"/>
        <v>#</v>
      </c>
      <c r="G1596" t="str">
        <f>vlookup(B1596,'imported-population-for-countri'!$A$4:$E$17930,5,false)</f>
        <v>#N/A</v>
      </c>
      <c r="H1596" t="str">
        <f t="shared" si="2"/>
        <v>#N/A</v>
      </c>
      <c r="I1596" t="str">
        <f t="shared" si="3"/>
        <v>Non-democratic</v>
      </c>
    </row>
    <row r="1597">
      <c r="B1597" t="str">
        <f t="shared" si="1"/>
        <v>#</v>
      </c>
      <c r="G1597" t="str">
        <f>vlookup(B1597,'imported-population-for-countri'!$A$4:$E$17930,5,false)</f>
        <v>#N/A</v>
      </c>
      <c r="H1597" t="str">
        <f t="shared" si="2"/>
        <v>#N/A</v>
      </c>
      <c r="I1597" t="str">
        <f t="shared" si="3"/>
        <v>Non-democratic</v>
      </c>
    </row>
    <row r="1598">
      <c r="B1598" t="str">
        <f t="shared" si="1"/>
        <v>#</v>
      </c>
      <c r="G1598" t="str">
        <f>vlookup(B1598,'imported-population-for-countri'!$A$4:$E$17930,5,false)</f>
        <v>#N/A</v>
      </c>
      <c r="H1598" t="str">
        <f t="shared" si="2"/>
        <v>#N/A</v>
      </c>
      <c r="I1598" t="str">
        <f t="shared" si="3"/>
        <v>Non-democratic</v>
      </c>
    </row>
    <row r="1599">
      <c r="B1599" t="str">
        <f t="shared" si="1"/>
        <v>#</v>
      </c>
      <c r="G1599" t="str">
        <f>vlookup(B1599,'imported-population-for-countri'!$A$4:$E$17930,5,false)</f>
        <v>#N/A</v>
      </c>
      <c r="H1599" t="str">
        <f t="shared" si="2"/>
        <v>#N/A</v>
      </c>
      <c r="I1599" t="str">
        <f t="shared" si="3"/>
        <v>Non-democratic</v>
      </c>
    </row>
    <row r="1600">
      <c r="B1600" t="str">
        <f t="shared" si="1"/>
        <v>#</v>
      </c>
      <c r="G1600" t="str">
        <f>vlookup(B1600,'imported-population-for-countri'!$A$4:$E$17930,5,false)</f>
        <v>#N/A</v>
      </c>
      <c r="H1600" t="str">
        <f t="shared" si="2"/>
        <v>#N/A</v>
      </c>
      <c r="I1600" t="str">
        <f t="shared" si="3"/>
        <v>Non-democratic</v>
      </c>
    </row>
    <row r="1601">
      <c r="B1601" t="str">
        <f t="shared" si="1"/>
        <v>#</v>
      </c>
      <c r="G1601" t="str">
        <f>vlookup(B1601,'imported-population-for-countri'!$A$4:$E$17930,5,false)</f>
        <v>#N/A</v>
      </c>
      <c r="H1601" t="str">
        <f t="shared" si="2"/>
        <v>#N/A</v>
      </c>
      <c r="I1601" t="str">
        <f t="shared" si="3"/>
        <v>Non-democratic</v>
      </c>
    </row>
    <row r="1602">
      <c r="B1602" t="str">
        <f t="shared" si="1"/>
        <v>#</v>
      </c>
      <c r="G1602" t="str">
        <f>vlookup(B1602,'imported-population-for-countri'!$A$4:$E$17930,5,false)</f>
        <v>#N/A</v>
      </c>
      <c r="H1602" t="str">
        <f t="shared" si="2"/>
        <v>#N/A</v>
      </c>
      <c r="I1602" t="str">
        <f t="shared" si="3"/>
        <v>Non-democratic</v>
      </c>
    </row>
    <row r="1603">
      <c r="B1603" t="str">
        <f t="shared" si="1"/>
        <v>#</v>
      </c>
      <c r="G1603" t="str">
        <f>vlookup(B1603,'imported-population-for-countri'!$A$4:$E$17930,5,false)</f>
        <v>#N/A</v>
      </c>
      <c r="H1603" t="str">
        <f t="shared" si="2"/>
        <v>#N/A</v>
      </c>
      <c r="I1603" t="str">
        <f t="shared" si="3"/>
        <v>Non-democratic</v>
      </c>
    </row>
    <row r="1604">
      <c r="B1604" t="str">
        <f t="shared" si="1"/>
        <v>#</v>
      </c>
      <c r="G1604" t="str">
        <f>vlookup(B1604,'imported-population-for-countri'!$A$4:$E$17930,5,false)</f>
        <v>#N/A</v>
      </c>
      <c r="H1604" t="str">
        <f t="shared" si="2"/>
        <v>#N/A</v>
      </c>
      <c r="I1604" t="str">
        <f t="shared" si="3"/>
        <v>Non-democratic</v>
      </c>
    </row>
    <row r="1605">
      <c r="B1605" t="str">
        <f t="shared" si="1"/>
        <v>#</v>
      </c>
      <c r="G1605" t="str">
        <f>vlookup(B1605,'imported-population-for-countri'!$A$4:$E$17930,5,false)</f>
        <v>#N/A</v>
      </c>
      <c r="H1605" t="str">
        <f t="shared" si="2"/>
        <v>#N/A</v>
      </c>
      <c r="I1605" t="str">
        <f t="shared" si="3"/>
        <v>Non-democratic</v>
      </c>
    </row>
    <row r="1606">
      <c r="B1606" t="str">
        <f t="shared" si="1"/>
        <v>#</v>
      </c>
      <c r="G1606" t="str">
        <f>vlookup(B1606,'imported-population-for-countri'!$A$4:$E$17930,5,false)</f>
        <v>#N/A</v>
      </c>
      <c r="H1606" t="str">
        <f t="shared" si="2"/>
        <v>#N/A</v>
      </c>
      <c r="I1606" t="str">
        <f t="shared" si="3"/>
        <v>Non-democratic</v>
      </c>
    </row>
    <row r="1607">
      <c r="B1607" t="str">
        <f t="shared" si="1"/>
        <v>#</v>
      </c>
      <c r="G1607" t="str">
        <f>vlookup(B1607,'imported-population-for-countri'!$A$4:$E$17930,5,false)</f>
        <v>#N/A</v>
      </c>
      <c r="H1607" t="str">
        <f t="shared" si="2"/>
        <v>#N/A</v>
      </c>
      <c r="I1607" t="str">
        <f t="shared" si="3"/>
        <v>Non-democratic</v>
      </c>
    </row>
    <row r="1608">
      <c r="B1608" t="str">
        <f t="shared" si="1"/>
        <v>#</v>
      </c>
      <c r="G1608" t="str">
        <f>vlookup(B1608,'imported-population-for-countri'!$A$4:$E$17930,5,false)</f>
        <v>#N/A</v>
      </c>
      <c r="H1608" t="str">
        <f t="shared" si="2"/>
        <v>#N/A</v>
      </c>
      <c r="I1608" t="str">
        <f t="shared" si="3"/>
        <v>Non-democratic</v>
      </c>
    </row>
    <row r="1609">
      <c r="B1609" t="str">
        <f t="shared" si="1"/>
        <v>#</v>
      </c>
      <c r="G1609" t="str">
        <f>vlookup(B1609,'imported-population-for-countri'!$A$4:$E$17930,5,false)</f>
        <v>#N/A</v>
      </c>
      <c r="H1609" t="str">
        <f t="shared" si="2"/>
        <v>#N/A</v>
      </c>
      <c r="I1609" t="str">
        <f t="shared" si="3"/>
        <v>Non-democratic</v>
      </c>
    </row>
    <row r="1610">
      <c r="B1610" t="str">
        <f t="shared" si="1"/>
        <v>#</v>
      </c>
      <c r="G1610" t="str">
        <f>vlookup(B1610,'imported-population-for-countri'!$A$4:$E$17930,5,false)</f>
        <v>#N/A</v>
      </c>
      <c r="H1610" t="str">
        <f t="shared" si="2"/>
        <v>#N/A</v>
      </c>
      <c r="I1610" t="str">
        <f t="shared" si="3"/>
        <v>Non-democratic</v>
      </c>
    </row>
    <row r="1611">
      <c r="B1611" t="str">
        <f t="shared" si="1"/>
        <v>#</v>
      </c>
      <c r="G1611" t="str">
        <f>vlookup(B1611,'imported-population-for-countri'!$A$4:$E$17930,5,false)</f>
        <v>#N/A</v>
      </c>
      <c r="H1611" t="str">
        <f t="shared" si="2"/>
        <v>#N/A</v>
      </c>
      <c r="I1611" t="str">
        <f t="shared" si="3"/>
        <v>Non-democratic</v>
      </c>
    </row>
    <row r="1612">
      <c r="B1612" t="str">
        <f t="shared" si="1"/>
        <v>#</v>
      </c>
      <c r="G1612" t="str">
        <f>vlookup(B1612,'imported-population-for-countri'!$A$4:$E$17930,5,false)</f>
        <v>#N/A</v>
      </c>
      <c r="H1612" t="str">
        <f t="shared" si="2"/>
        <v>#N/A</v>
      </c>
      <c r="I1612" t="str">
        <f t="shared" si="3"/>
        <v>Non-democratic</v>
      </c>
    </row>
    <row r="1613">
      <c r="B1613" t="str">
        <f t="shared" si="1"/>
        <v>#</v>
      </c>
      <c r="G1613" t="str">
        <f>vlookup(B1613,'imported-population-for-countri'!$A$4:$E$17930,5,false)</f>
        <v>#N/A</v>
      </c>
      <c r="H1613" t="str">
        <f t="shared" si="2"/>
        <v>#N/A</v>
      </c>
      <c r="I1613" t="str">
        <f t="shared" si="3"/>
        <v>Non-democratic</v>
      </c>
    </row>
    <row r="1614">
      <c r="B1614" t="str">
        <f t="shared" si="1"/>
        <v>#</v>
      </c>
      <c r="G1614" t="str">
        <f>vlookup(B1614,'imported-population-for-countri'!$A$4:$E$17930,5,false)</f>
        <v>#N/A</v>
      </c>
      <c r="H1614" t="str">
        <f t="shared" si="2"/>
        <v>#N/A</v>
      </c>
      <c r="I1614" t="str">
        <f t="shared" si="3"/>
        <v>Non-democratic</v>
      </c>
    </row>
    <row r="1615">
      <c r="B1615" t="str">
        <f t="shared" si="1"/>
        <v>#</v>
      </c>
      <c r="G1615" t="str">
        <f>vlookup(B1615,'imported-population-for-countri'!$A$4:$E$17930,5,false)</f>
        <v>#N/A</v>
      </c>
      <c r="H1615" t="str">
        <f t="shared" si="2"/>
        <v>#N/A</v>
      </c>
      <c r="I1615" t="str">
        <f t="shared" si="3"/>
        <v>Non-democratic</v>
      </c>
    </row>
    <row r="1616">
      <c r="B1616" t="str">
        <f t="shared" si="1"/>
        <v>#</v>
      </c>
      <c r="G1616" t="str">
        <f>vlookup(B1616,'imported-population-for-countri'!$A$4:$E$17930,5,false)</f>
        <v>#N/A</v>
      </c>
      <c r="H1616" t="str">
        <f t="shared" si="2"/>
        <v>#N/A</v>
      </c>
      <c r="I1616" t="str">
        <f t="shared" si="3"/>
        <v>Non-democratic</v>
      </c>
    </row>
    <row r="1617">
      <c r="B1617" t="str">
        <f t="shared" si="1"/>
        <v>#</v>
      </c>
      <c r="G1617" t="str">
        <f>vlookup(B1617,'imported-population-for-countri'!$A$4:$E$17930,5,false)</f>
        <v>#N/A</v>
      </c>
      <c r="H1617" t="str">
        <f t="shared" si="2"/>
        <v>#N/A</v>
      </c>
      <c r="I1617" t="str">
        <f t="shared" si="3"/>
        <v>Non-democratic</v>
      </c>
    </row>
    <row r="1618">
      <c r="B1618" t="str">
        <f t="shared" si="1"/>
        <v>#</v>
      </c>
      <c r="G1618" t="str">
        <f>vlookup(B1618,'imported-population-for-countri'!$A$4:$E$17930,5,false)</f>
        <v>#N/A</v>
      </c>
      <c r="H1618" t="str">
        <f t="shared" si="2"/>
        <v>#N/A</v>
      </c>
      <c r="I1618" t="str">
        <f t="shared" si="3"/>
        <v>Non-democratic</v>
      </c>
    </row>
    <row r="1619">
      <c r="B1619" t="str">
        <f t="shared" si="1"/>
        <v>#</v>
      </c>
      <c r="G1619" t="str">
        <f>vlookup(B1619,'imported-population-for-countri'!$A$4:$E$17930,5,false)</f>
        <v>#N/A</v>
      </c>
      <c r="H1619" t="str">
        <f t="shared" si="2"/>
        <v>#N/A</v>
      </c>
      <c r="I1619" t="str">
        <f t="shared" si="3"/>
        <v>Non-democratic</v>
      </c>
    </row>
    <row r="1620">
      <c r="B1620" t="str">
        <f t="shared" si="1"/>
        <v>#</v>
      </c>
      <c r="G1620" t="str">
        <f>vlookup(B1620,'imported-population-for-countri'!$A$4:$E$17930,5,false)</f>
        <v>#N/A</v>
      </c>
      <c r="H1620" t="str">
        <f t="shared" si="2"/>
        <v>#N/A</v>
      </c>
      <c r="I1620" t="str">
        <f t="shared" si="3"/>
        <v>Non-democratic</v>
      </c>
    </row>
    <row r="1621">
      <c r="B1621" t="str">
        <f t="shared" si="1"/>
        <v>#</v>
      </c>
      <c r="G1621" t="str">
        <f>vlookup(B1621,'imported-population-for-countri'!$A$4:$E$17930,5,false)</f>
        <v>#N/A</v>
      </c>
      <c r="H1621" t="str">
        <f t="shared" si="2"/>
        <v>#N/A</v>
      </c>
      <c r="I1621" t="str">
        <f t="shared" si="3"/>
        <v>Non-democratic</v>
      </c>
    </row>
    <row r="1622">
      <c r="B1622" t="str">
        <f t="shared" si="1"/>
        <v>#</v>
      </c>
      <c r="G1622" t="str">
        <f>vlookup(B1622,'imported-population-for-countri'!$A$4:$E$17930,5,false)</f>
        <v>#N/A</v>
      </c>
      <c r="H1622" t="str">
        <f t="shared" si="2"/>
        <v>#N/A</v>
      </c>
      <c r="I1622" t="str">
        <f t="shared" si="3"/>
        <v>Non-democratic</v>
      </c>
    </row>
    <row r="1623">
      <c r="B1623" t="str">
        <f t="shared" si="1"/>
        <v>#</v>
      </c>
      <c r="G1623" t="str">
        <f>vlookup(B1623,'imported-population-for-countri'!$A$4:$E$17930,5,false)</f>
        <v>#N/A</v>
      </c>
      <c r="H1623" t="str">
        <f t="shared" si="2"/>
        <v>#N/A</v>
      </c>
      <c r="I1623" t="str">
        <f t="shared" si="3"/>
        <v>Non-democratic</v>
      </c>
    </row>
    <row r="1624">
      <c r="B1624" t="str">
        <f t="shared" si="1"/>
        <v>#</v>
      </c>
      <c r="G1624" t="str">
        <f>vlookup(B1624,'imported-population-for-countri'!$A$4:$E$17930,5,false)</f>
        <v>#N/A</v>
      </c>
      <c r="H1624" t="str">
        <f t="shared" si="2"/>
        <v>#N/A</v>
      </c>
      <c r="I1624" t="str">
        <f t="shared" si="3"/>
        <v>Non-democratic</v>
      </c>
    </row>
    <row r="1625">
      <c r="B1625" t="str">
        <f t="shared" si="1"/>
        <v>#</v>
      </c>
      <c r="G1625" t="str">
        <f>vlookup(B1625,'imported-population-for-countri'!$A$4:$E$17930,5,false)</f>
        <v>#N/A</v>
      </c>
      <c r="H1625" t="str">
        <f t="shared" si="2"/>
        <v>#N/A</v>
      </c>
      <c r="I1625" t="str">
        <f t="shared" si="3"/>
        <v>Non-democratic</v>
      </c>
    </row>
    <row r="1626">
      <c r="B1626" t="str">
        <f t="shared" si="1"/>
        <v>#</v>
      </c>
      <c r="G1626" t="str">
        <f>vlookup(B1626,'imported-population-for-countri'!$A$4:$E$17930,5,false)</f>
        <v>#N/A</v>
      </c>
      <c r="H1626" t="str">
        <f t="shared" si="2"/>
        <v>#N/A</v>
      </c>
      <c r="I1626" t="str">
        <f t="shared" si="3"/>
        <v>Non-democratic</v>
      </c>
    </row>
    <row r="1627">
      <c r="B1627" t="str">
        <f t="shared" si="1"/>
        <v>#</v>
      </c>
      <c r="G1627" t="str">
        <f>vlookup(B1627,'imported-population-for-countri'!$A$4:$E$17930,5,false)</f>
        <v>#N/A</v>
      </c>
      <c r="H1627" t="str">
        <f t="shared" si="2"/>
        <v>#N/A</v>
      </c>
      <c r="I1627" t="str">
        <f t="shared" si="3"/>
        <v>Non-democratic</v>
      </c>
    </row>
    <row r="1628">
      <c r="B1628" t="str">
        <f t="shared" si="1"/>
        <v>#</v>
      </c>
      <c r="G1628" t="str">
        <f>vlookup(B1628,'imported-population-for-countri'!$A$4:$E$17930,5,false)</f>
        <v>#N/A</v>
      </c>
      <c r="H1628" t="str">
        <f t="shared" si="2"/>
        <v>#N/A</v>
      </c>
      <c r="I1628" t="str">
        <f t="shared" si="3"/>
        <v>Non-democratic</v>
      </c>
    </row>
    <row r="1629">
      <c r="B1629" t="str">
        <f t="shared" si="1"/>
        <v>#</v>
      </c>
      <c r="G1629" t="str">
        <f>vlookup(B1629,'imported-population-for-countri'!$A$4:$E$17930,5,false)</f>
        <v>#N/A</v>
      </c>
      <c r="H1629" t="str">
        <f t="shared" si="2"/>
        <v>#N/A</v>
      </c>
      <c r="I1629" t="str">
        <f t="shared" si="3"/>
        <v>Non-democratic</v>
      </c>
    </row>
    <row r="1630">
      <c r="B1630" t="str">
        <f t="shared" si="1"/>
        <v>#</v>
      </c>
      <c r="G1630" t="str">
        <f>vlookup(B1630,'imported-population-for-countri'!$A$4:$E$17930,5,false)</f>
        <v>#N/A</v>
      </c>
      <c r="H1630" t="str">
        <f t="shared" si="2"/>
        <v>#N/A</v>
      </c>
      <c r="I1630" t="str">
        <f t="shared" si="3"/>
        <v>Non-democratic</v>
      </c>
    </row>
    <row r="1631">
      <c r="B1631" t="str">
        <f t="shared" si="1"/>
        <v>#</v>
      </c>
      <c r="G1631" t="str">
        <f>vlookup(B1631,'imported-population-for-countri'!$A$4:$E$17930,5,false)</f>
        <v>#N/A</v>
      </c>
      <c r="H1631" t="str">
        <f t="shared" si="2"/>
        <v>#N/A</v>
      </c>
      <c r="I1631" t="str">
        <f t="shared" si="3"/>
        <v>Non-democratic</v>
      </c>
    </row>
    <row r="1632">
      <c r="B1632" t="str">
        <f t="shared" si="1"/>
        <v>#</v>
      </c>
      <c r="G1632" t="str">
        <f>vlookup(B1632,'imported-population-for-countri'!$A$4:$E$17930,5,false)</f>
        <v>#N/A</v>
      </c>
      <c r="H1632" t="str">
        <f t="shared" si="2"/>
        <v>#N/A</v>
      </c>
      <c r="I1632" t="str">
        <f t="shared" si="3"/>
        <v>Non-democratic</v>
      </c>
    </row>
    <row r="1633">
      <c r="B1633" t="str">
        <f t="shared" si="1"/>
        <v>#</v>
      </c>
      <c r="G1633" t="str">
        <f>vlookup(B1633,'imported-population-for-countri'!$A$4:$E$17930,5,false)</f>
        <v>#N/A</v>
      </c>
      <c r="H1633" t="str">
        <f t="shared" si="2"/>
        <v>#N/A</v>
      </c>
      <c r="I1633" t="str">
        <f t="shared" si="3"/>
        <v>Non-democratic</v>
      </c>
    </row>
    <row r="1634">
      <c r="B1634" t="str">
        <f t="shared" si="1"/>
        <v>#</v>
      </c>
      <c r="G1634" t="str">
        <f>vlookup(B1634,'imported-population-for-countri'!$A$4:$E$17930,5,false)</f>
        <v>#N/A</v>
      </c>
      <c r="H1634" t="str">
        <f t="shared" si="2"/>
        <v>#N/A</v>
      </c>
      <c r="I1634" t="str">
        <f t="shared" si="3"/>
        <v>Non-democratic</v>
      </c>
    </row>
    <row r="1635">
      <c r="B1635" t="str">
        <f t="shared" si="1"/>
        <v>#</v>
      </c>
      <c r="G1635" t="str">
        <f>vlookup(B1635,'imported-population-for-countri'!$A$4:$E$17930,5,false)</f>
        <v>#N/A</v>
      </c>
      <c r="H1635" t="str">
        <f t="shared" si="2"/>
        <v>#N/A</v>
      </c>
      <c r="I1635" t="str">
        <f t="shared" si="3"/>
        <v>Non-democratic</v>
      </c>
    </row>
    <row r="1636">
      <c r="B1636" t="str">
        <f t="shared" si="1"/>
        <v>#</v>
      </c>
      <c r="G1636" t="str">
        <f>vlookup(B1636,'imported-population-for-countri'!$A$4:$E$17930,5,false)</f>
        <v>#N/A</v>
      </c>
      <c r="H1636" t="str">
        <f t="shared" si="2"/>
        <v>#N/A</v>
      </c>
      <c r="I1636" t="str">
        <f t="shared" si="3"/>
        <v>Non-democratic</v>
      </c>
    </row>
    <row r="1637">
      <c r="B1637" t="str">
        <f t="shared" si="1"/>
        <v>#</v>
      </c>
      <c r="G1637" t="str">
        <f>vlookup(B1637,'imported-population-for-countri'!$A$4:$E$17930,5,false)</f>
        <v>#N/A</v>
      </c>
      <c r="H1637" t="str">
        <f t="shared" si="2"/>
        <v>#N/A</v>
      </c>
      <c r="I1637" t="str">
        <f t="shared" si="3"/>
        <v>Non-democratic</v>
      </c>
    </row>
    <row r="1638">
      <c r="B1638" t="str">
        <f t="shared" si="1"/>
        <v>#</v>
      </c>
      <c r="G1638" t="str">
        <f>vlookup(B1638,'imported-population-for-countri'!$A$4:$E$17930,5,false)</f>
        <v>#N/A</v>
      </c>
      <c r="H1638" t="str">
        <f t="shared" si="2"/>
        <v>#N/A</v>
      </c>
      <c r="I1638" t="str">
        <f t="shared" si="3"/>
        <v>Non-democratic</v>
      </c>
    </row>
    <row r="1639">
      <c r="B1639" t="str">
        <f t="shared" si="1"/>
        <v>#</v>
      </c>
      <c r="G1639" t="str">
        <f>vlookup(B1639,'imported-population-for-countri'!$A$4:$E$17930,5,false)</f>
        <v>#N/A</v>
      </c>
      <c r="H1639" t="str">
        <f t="shared" si="2"/>
        <v>#N/A</v>
      </c>
      <c r="I1639" t="str">
        <f t="shared" si="3"/>
        <v>Non-democratic</v>
      </c>
    </row>
    <row r="1640">
      <c r="B1640" t="str">
        <f t="shared" si="1"/>
        <v>#</v>
      </c>
      <c r="G1640" t="str">
        <f>vlookup(B1640,'imported-population-for-countri'!$A$4:$E$17930,5,false)</f>
        <v>#N/A</v>
      </c>
      <c r="H1640" t="str">
        <f t="shared" si="2"/>
        <v>#N/A</v>
      </c>
      <c r="I1640" t="str">
        <f t="shared" si="3"/>
        <v>Non-democratic</v>
      </c>
    </row>
    <row r="1641">
      <c r="B1641" t="str">
        <f t="shared" si="1"/>
        <v>#</v>
      </c>
      <c r="G1641" t="str">
        <f>vlookup(B1641,'imported-population-for-countri'!$A$4:$E$17930,5,false)</f>
        <v>#N/A</v>
      </c>
      <c r="H1641" t="str">
        <f t="shared" si="2"/>
        <v>#N/A</v>
      </c>
      <c r="I1641" t="str">
        <f t="shared" si="3"/>
        <v>Non-democratic</v>
      </c>
    </row>
    <row r="1642">
      <c r="B1642" t="str">
        <f t="shared" si="1"/>
        <v>#</v>
      </c>
      <c r="G1642" t="str">
        <f>vlookup(B1642,'imported-population-for-countri'!$A$4:$E$17930,5,false)</f>
        <v>#N/A</v>
      </c>
      <c r="H1642" t="str">
        <f t="shared" si="2"/>
        <v>#N/A</v>
      </c>
      <c r="I1642" t="str">
        <f t="shared" si="3"/>
        <v>Non-democratic</v>
      </c>
    </row>
    <row r="1643">
      <c r="B1643" t="str">
        <f t="shared" si="1"/>
        <v>#</v>
      </c>
      <c r="G1643" t="str">
        <f>vlookup(B1643,'imported-population-for-countri'!$A$4:$E$17930,5,false)</f>
        <v>#N/A</v>
      </c>
      <c r="H1643" t="str">
        <f t="shared" si="2"/>
        <v>#N/A</v>
      </c>
      <c r="I1643" t="str">
        <f t="shared" si="3"/>
        <v>Non-democratic</v>
      </c>
    </row>
    <row r="1644">
      <c r="B1644" t="str">
        <f t="shared" si="1"/>
        <v>#</v>
      </c>
      <c r="G1644" t="str">
        <f>vlookup(B1644,'imported-population-for-countri'!$A$4:$E$17930,5,false)</f>
        <v>#N/A</v>
      </c>
      <c r="H1644" t="str">
        <f t="shared" si="2"/>
        <v>#N/A</v>
      </c>
      <c r="I1644" t="str">
        <f t="shared" si="3"/>
        <v>Non-democratic</v>
      </c>
    </row>
    <row r="1645">
      <c r="B1645" t="str">
        <f t="shared" si="1"/>
        <v>#</v>
      </c>
      <c r="G1645" t="str">
        <f>vlookup(B1645,'imported-population-for-countri'!$A$4:$E$17930,5,false)</f>
        <v>#N/A</v>
      </c>
      <c r="H1645" t="str">
        <f t="shared" si="2"/>
        <v>#N/A</v>
      </c>
      <c r="I1645" t="str">
        <f t="shared" si="3"/>
        <v>Non-democratic</v>
      </c>
    </row>
    <row r="1646">
      <c r="B1646" t="str">
        <f t="shared" si="1"/>
        <v>#</v>
      </c>
      <c r="G1646" t="str">
        <f>vlookup(B1646,'imported-population-for-countri'!$A$4:$E$17930,5,false)</f>
        <v>#N/A</v>
      </c>
      <c r="H1646" t="str">
        <f t="shared" si="2"/>
        <v>#N/A</v>
      </c>
      <c r="I1646" t="str">
        <f t="shared" si="3"/>
        <v>Non-democratic</v>
      </c>
    </row>
    <row r="1647">
      <c r="B1647" t="str">
        <f t="shared" si="1"/>
        <v>#</v>
      </c>
      <c r="G1647" t="str">
        <f>vlookup(B1647,'imported-population-for-countri'!$A$4:$E$17930,5,false)</f>
        <v>#N/A</v>
      </c>
      <c r="H1647" t="str">
        <f t="shared" si="2"/>
        <v>#N/A</v>
      </c>
      <c r="I1647" t="str">
        <f t="shared" si="3"/>
        <v>Non-democratic</v>
      </c>
    </row>
    <row r="1648">
      <c r="B1648" t="str">
        <f t="shared" si="1"/>
        <v>#</v>
      </c>
      <c r="G1648" t="str">
        <f>vlookup(B1648,'imported-population-for-countri'!$A$4:$E$17930,5,false)</f>
        <v>#N/A</v>
      </c>
      <c r="H1648" t="str">
        <f t="shared" si="2"/>
        <v>#N/A</v>
      </c>
      <c r="I1648" t="str">
        <f t="shared" si="3"/>
        <v>Non-democratic</v>
      </c>
    </row>
    <row r="1649">
      <c r="B1649" t="str">
        <f t="shared" si="1"/>
        <v>#</v>
      </c>
      <c r="G1649" t="str">
        <f>vlookup(B1649,'imported-population-for-countri'!$A$4:$E$17930,5,false)</f>
        <v>#N/A</v>
      </c>
      <c r="H1649" t="str">
        <f t="shared" si="2"/>
        <v>#N/A</v>
      </c>
      <c r="I1649" t="str">
        <f t="shared" si="3"/>
        <v>Non-democratic</v>
      </c>
    </row>
    <row r="1650">
      <c r="B1650" t="str">
        <f t="shared" si="1"/>
        <v>#</v>
      </c>
      <c r="G1650" t="str">
        <f>vlookup(B1650,'imported-population-for-countri'!$A$4:$E$17930,5,false)</f>
        <v>#N/A</v>
      </c>
      <c r="H1650" t="str">
        <f t="shared" si="2"/>
        <v>#N/A</v>
      </c>
      <c r="I1650" t="str">
        <f t="shared" si="3"/>
        <v>Non-democratic</v>
      </c>
    </row>
    <row r="1651">
      <c r="B1651" t="str">
        <f t="shared" si="1"/>
        <v>#</v>
      </c>
      <c r="G1651" t="str">
        <f>vlookup(B1651,'imported-population-for-countri'!$A$4:$E$17930,5,false)</f>
        <v>#N/A</v>
      </c>
      <c r="H1651" t="str">
        <f t="shared" si="2"/>
        <v>#N/A</v>
      </c>
      <c r="I1651" t="str">
        <f t="shared" si="3"/>
        <v>Non-democratic</v>
      </c>
    </row>
    <row r="1652">
      <c r="B1652" t="str">
        <f t="shared" si="1"/>
        <v>#</v>
      </c>
      <c r="G1652" t="str">
        <f>vlookup(B1652,'imported-population-for-countri'!$A$4:$E$17930,5,false)</f>
        <v>#N/A</v>
      </c>
      <c r="H1652" t="str">
        <f t="shared" si="2"/>
        <v>#N/A</v>
      </c>
      <c r="I1652" t="str">
        <f t="shared" si="3"/>
        <v>Non-democratic</v>
      </c>
    </row>
    <row r="1653">
      <c r="B1653" t="str">
        <f t="shared" si="1"/>
        <v>#</v>
      </c>
      <c r="G1653" t="str">
        <f>vlookup(B1653,'imported-population-for-countri'!$A$4:$E$17930,5,false)</f>
        <v>#N/A</v>
      </c>
      <c r="H1653" t="str">
        <f t="shared" si="2"/>
        <v>#N/A</v>
      </c>
      <c r="I1653" t="str">
        <f t="shared" si="3"/>
        <v>Non-democratic</v>
      </c>
    </row>
    <row r="1654">
      <c r="B1654" t="str">
        <f t="shared" si="1"/>
        <v>#</v>
      </c>
      <c r="G1654" t="str">
        <f>vlookup(B1654,'imported-population-for-countri'!$A$4:$E$17930,5,false)</f>
        <v>#N/A</v>
      </c>
      <c r="H1654" t="str">
        <f t="shared" si="2"/>
        <v>#N/A</v>
      </c>
      <c r="I1654" t="str">
        <f t="shared" si="3"/>
        <v>Non-democratic</v>
      </c>
    </row>
    <row r="1655">
      <c r="B1655" t="str">
        <f t="shared" si="1"/>
        <v>#</v>
      </c>
      <c r="G1655" t="str">
        <f>vlookup(B1655,'imported-population-for-countri'!$A$4:$E$17930,5,false)</f>
        <v>#N/A</v>
      </c>
      <c r="H1655" t="str">
        <f t="shared" si="2"/>
        <v>#N/A</v>
      </c>
      <c r="I1655" t="str">
        <f t="shared" si="3"/>
        <v>Non-democratic</v>
      </c>
    </row>
    <row r="1656">
      <c r="B1656" t="str">
        <f t="shared" si="1"/>
        <v>#</v>
      </c>
      <c r="G1656" t="str">
        <f>vlookup(B1656,'imported-population-for-countri'!$A$4:$E$17930,5,false)</f>
        <v>#N/A</v>
      </c>
      <c r="H1656" t="str">
        <f t="shared" si="2"/>
        <v>#N/A</v>
      </c>
      <c r="I1656" t="str">
        <f t="shared" si="3"/>
        <v>Non-democratic</v>
      </c>
    </row>
    <row r="1657">
      <c r="B1657" t="str">
        <f t="shared" si="1"/>
        <v>#</v>
      </c>
      <c r="G1657" t="str">
        <f>vlookup(B1657,'imported-population-for-countri'!$A$4:$E$17930,5,false)</f>
        <v>#N/A</v>
      </c>
      <c r="H1657" t="str">
        <f t="shared" si="2"/>
        <v>#N/A</v>
      </c>
      <c r="I1657" t="str">
        <f t="shared" si="3"/>
        <v>Non-democratic</v>
      </c>
    </row>
    <row r="1658">
      <c r="B1658" t="str">
        <f t="shared" si="1"/>
        <v>#</v>
      </c>
      <c r="G1658" t="str">
        <f>vlookup(B1658,'imported-population-for-countri'!$A$4:$E$17930,5,false)</f>
        <v>#N/A</v>
      </c>
      <c r="H1658" t="str">
        <f t="shared" si="2"/>
        <v>#N/A</v>
      </c>
      <c r="I1658" t="str">
        <f t="shared" si="3"/>
        <v>Non-democratic</v>
      </c>
    </row>
    <row r="1659">
      <c r="B1659" t="str">
        <f t="shared" si="1"/>
        <v>#</v>
      </c>
      <c r="G1659" t="str">
        <f>vlookup(B1659,'imported-population-for-countri'!$A$4:$E$17930,5,false)</f>
        <v>#N/A</v>
      </c>
      <c r="H1659" t="str">
        <f t="shared" si="2"/>
        <v>#N/A</v>
      </c>
      <c r="I1659" t="str">
        <f t="shared" si="3"/>
        <v>Non-democratic</v>
      </c>
    </row>
    <row r="1660">
      <c r="B1660" t="str">
        <f t="shared" si="1"/>
        <v>#</v>
      </c>
      <c r="G1660" t="str">
        <f>vlookup(B1660,'imported-population-for-countri'!$A$4:$E$17930,5,false)</f>
        <v>#N/A</v>
      </c>
      <c r="H1660" t="str">
        <f t="shared" si="2"/>
        <v>#N/A</v>
      </c>
      <c r="I1660" t="str">
        <f t="shared" si="3"/>
        <v>Non-democratic</v>
      </c>
    </row>
    <row r="1661">
      <c r="B1661" t="str">
        <f t="shared" si="1"/>
        <v>#</v>
      </c>
      <c r="G1661" t="str">
        <f>vlookup(B1661,'imported-population-for-countri'!$A$4:$E$17930,5,false)</f>
        <v>#N/A</v>
      </c>
      <c r="H1661" t="str">
        <f t="shared" si="2"/>
        <v>#N/A</v>
      </c>
      <c r="I1661" t="str">
        <f t="shared" si="3"/>
        <v>Non-democratic</v>
      </c>
    </row>
    <row r="1662">
      <c r="B1662" t="str">
        <f t="shared" si="1"/>
        <v>#</v>
      </c>
      <c r="G1662" t="str">
        <f>vlookup(B1662,'imported-population-for-countri'!$A$4:$E$17930,5,false)</f>
        <v>#N/A</v>
      </c>
      <c r="H1662" t="str">
        <f t="shared" si="2"/>
        <v>#N/A</v>
      </c>
      <c r="I1662" t="str">
        <f t="shared" si="3"/>
        <v>Non-democratic</v>
      </c>
    </row>
    <row r="1663">
      <c r="B1663" t="str">
        <f t="shared" si="1"/>
        <v>#</v>
      </c>
      <c r="G1663" t="str">
        <f>vlookup(B1663,'imported-population-for-countri'!$A$4:$E$17930,5,false)</f>
        <v>#N/A</v>
      </c>
      <c r="H1663" t="str">
        <f t="shared" si="2"/>
        <v>#N/A</v>
      </c>
      <c r="I1663" t="str">
        <f t="shared" si="3"/>
        <v>Non-democratic</v>
      </c>
    </row>
    <row r="1664">
      <c r="B1664" t="str">
        <f t="shared" si="1"/>
        <v>#</v>
      </c>
      <c r="G1664" t="str">
        <f>vlookup(B1664,'imported-population-for-countri'!$A$4:$E$17930,5,false)</f>
        <v>#N/A</v>
      </c>
      <c r="H1664" t="str">
        <f t="shared" si="2"/>
        <v>#N/A</v>
      </c>
      <c r="I1664" t="str">
        <f t="shared" si="3"/>
        <v>Non-democratic</v>
      </c>
    </row>
    <row r="1665">
      <c r="B1665" t="str">
        <f t="shared" si="1"/>
        <v>#</v>
      </c>
      <c r="G1665" t="str">
        <f>vlookup(B1665,'imported-population-for-countri'!$A$4:$E$17930,5,false)</f>
        <v>#N/A</v>
      </c>
      <c r="H1665" t="str">
        <f t="shared" si="2"/>
        <v>#N/A</v>
      </c>
      <c r="I1665" t="str">
        <f t="shared" si="3"/>
        <v>Non-democratic</v>
      </c>
    </row>
    <row r="1666">
      <c r="B1666" t="str">
        <f t="shared" si="1"/>
        <v>#</v>
      </c>
      <c r="G1666" t="str">
        <f>vlookup(B1666,'imported-population-for-countri'!$A$4:$E$17930,5,false)</f>
        <v>#N/A</v>
      </c>
      <c r="H1666" t="str">
        <f t="shared" si="2"/>
        <v>#N/A</v>
      </c>
      <c r="I1666" t="str">
        <f t="shared" si="3"/>
        <v>Non-democratic</v>
      </c>
    </row>
    <row r="1667">
      <c r="B1667" t="str">
        <f t="shared" si="1"/>
        <v>#</v>
      </c>
      <c r="G1667" t="str">
        <f>vlookup(B1667,'imported-population-for-countri'!$A$4:$E$17930,5,false)</f>
        <v>#N/A</v>
      </c>
      <c r="H1667" t="str">
        <f t="shared" si="2"/>
        <v>#N/A</v>
      </c>
      <c r="I1667" t="str">
        <f t="shared" si="3"/>
        <v>Non-democratic</v>
      </c>
    </row>
    <row r="1668">
      <c r="B1668" t="str">
        <f t="shared" si="1"/>
        <v>#</v>
      </c>
      <c r="G1668" t="str">
        <f>vlookup(B1668,'imported-population-for-countri'!$A$4:$E$17930,5,false)</f>
        <v>#N/A</v>
      </c>
      <c r="H1668" t="str">
        <f t="shared" si="2"/>
        <v>#N/A</v>
      </c>
      <c r="I1668" t="str">
        <f t="shared" si="3"/>
        <v>Non-democratic</v>
      </c>
    </row>
    <row r="1669">
      <c r="B1669" t="str">
        <f t="shared" si="1"/>
        <v>#</v>
      </c>
      <c r="G1669" t="str">
        <f>vlookup(B1669,'imported-population-for-countri'!$A$4:$E$17930,5,false)</f>
        <v>#N/A</v>
      </c>
      <c r="H1669" t="str">
        <f t="shared" si="2"/>
        <v>#N/A</v>
      </c>
      <c r="I1669" t="str">
        <f t="shared" si="3"/>
        <v>Non-democratic</v>
      </c>
    </row>
    <row r="1670">
      <c r="B1670" t="str">
        <f t="shared" si="1"/>
        <v>#</v>
      </c>
      <c r="G1670" t="str">
        <f>vlookup(B1670,'imported-population-for-countri'!$A$4:$E$17930,5,false)</f>
        <v>#N/A</v>
      </c>
      <c r="H1670" t="str">
        <f t="shared" si="2"/>
        <v>#N/A</v>
      </c>
      <c r="I1670" t="str">
        <f t="shared" si="3"/>
        <v>Non-democratic</v>
      </c>
    </row>
    <row r="1671">
      <c r="B1671" t="str">
        <f t="shared" si="1"/>
        <v>#</v>
      </c>
      <c r="G1671" t="str">
        <f>vlookup(B1671,'imported-population-for-countri'!$A$4:$E$17930,5,false)</f>
        <v>#N/A</v>
      </c>
      <c r="H1671" t="str">
        <f t="shared" si="2"/>
        <v>#N/A</v>
      </c>
      <c r="I1671" t="str">
        <f t="shared" si="3"/>
        <v>Non-democratic</v>
      </c>
    </row>
    <row r="1672">
      <c r="B1672" t="str">
        <f t="shared" si="1"/>
        <v>#</v>
      </c>
      <c r="G1672" t="str">
        <f>vlookup(B1672,'imported-population-for-countri'!$A$4:$E$17930,5,false)</f>
        <v>#N/A</v>
      </c>
      <c r="H1672" t="str">
        <f t="shared" si="2"/>
        <v>#N/A</v>
      </c>
      <c r="I1672" t="str">
        <f t="shared" si="3"/>
        <v>Non-democratic</v>
      </c>
    </row>
    <row r="1673">
      <c r="B1673" t="str">
        <f t="shared" si="1"/>
        <v>#</v>
      </c>
      <c r="G1673" t="str">
        <f>vlookup(B1673,'imported-population-for-countri'!$A$4:$E$17930,5,false)</f>
        <v>#N/A</v>
      </c>
      <c r="H1673" t="str">
        <f t="shared" si="2"/>
        <v>#N/A</v>
      </c>
      <c r="I1673" t="str">
        <f t="shared" si="3"/>
        <v>Non-democratic</v>
      </c>
    </row>
    <row r="1674">
      <c r="B1674" t="str">
        <f t="shared" si="1"/>
        <v>#</v>
      </c>
      <c r="G1674" t="str">
        <f>vlookup(B1674,'imported-population-for-countri'!$A$4:$E$17930,5,false)</f>
        <v>#N/A</v>
      </c>
      <c r="H1674" t="str">
        <f t="shared" si="2"/>
        <v>#N/A</v>
      </c>
      <c r="I1674" t="str">
        <f t="shared" si="3"/>
        <v>Non-democratic</v>
      </c>
    </row>
    <row r="1675">
      <c r="B1675" t="str">
        <f t="shared" si="1"/>
        <v>#</v>
      </c>
      <c r="G1675" t="str">
        <f>vlookup(B1675,'imported-population-for-countri'!$A$4:$E$17930,5,false)</f>
        <v>#N/A</v>
      </c>
      <c r="H1675" t="str">
        <f t="shared" si="2"/>
        <v>#N/A</v>
      </c>
      <c r="I1675" t="str">
        <f t="shared" si="3"/>
        <v>Non-democratic</v>
      </c>
    </row>
    <row r="1676">
      <c r="B1676" t="str">
        <f t="shared" si="1"/>
        <v>#</v>
      </c>
      <c r="G1676" t="str">
        <f>vlookup(B1676,'imported-population-for-countri'!$A$4:$E$17930,5,false)</f>
        <v>#N/A</v>
      </c>
      <c r="H1676" t="str">
        <f t="shared" si="2"/>
        <v>#N/A</v>
      </c>
      <c r="I1676" t="str">
        <f t="shared" si="3"/>
        <v>Non-democratic</v>
      </c>
    </row>
    <row r="1677">
      <c r="B1677" t="str">
        <f t="shared" si="1"/>
        <v>#</v>
      </c>
      <c r="G1677" t="str">
        <f>vlookup(B1677,'imported-population-for-countri'!$A$4:$E$17930,5,false)</f>
        <v>#N/A</v>
      </c>
      <c r="H1677" t="str">
        <f t="shared" si="2"/>
        <v>#N/A</v>
      </c>
      <c r="I1677" t="str">
        <f t="shared" si="3"/>
        <v>Non-democratic</v>
      </c>
    </row>
    <row r="1678">
      <c r="B1678" t="str">
        <f t="shared" si="1"/>
        <v>#</v>
      </c>
      <c r="G1678" t="str">
        <f>vlookup(B1678,'imported-population-for-countri'!$A$4:$E$17930,5,false)</f>
        <v>#N/A</v>
      </c>
      <c r="H1678" t="str">
        <f t="shared" si="2"/>
        <v>#N/A</v>
      </c>
      <c r="I1678" t="str">
        <f t="shared" si="3"/>
        <v>Non-democratic</v>
      </c>
    </row>
    <row r="1679">
      <c r="B1679" t="str">
        <f t="shared" si="1"/>
        <v>#</v>
      </c>
      <c r="G1679" t="str">
        <f>vlookup(B1679,'imported-population-for-countri'!$A$4:$E$17930,5,false)</f>
        <v>#N/A</v>
      </c>
      <c r="H1679" t="str">
        <f t="shared" si="2"/>
        <v>#N/A</v>
      </c>
      <c r="I1679" t="str">
        <f t="shared" si="3"/>
        <v>Non-democratic</v>
      </c>
    </row>
    <row r="1680">
      <c r="B1680" t="str">
        <f t="shared" si="1"/>
        <v>#</v>
      </c>
      <c r="G1680" t="str">
        <f>vlookup(B1680,'imported-population-for-countri'!$A$4:$E$17930,5,false)</f>
        <v>#N/A</v>
      </c>
      <c r="H1680" t="str">
        <f t="shared" si="2"/>
        <v>#N/A</v>
      </c>
      <c r="I1680" t="str">
        <f t="shared" si="3"/>
        <v>Non-democratic</v>
      </c>
    </row>
    <row r="1681">
      <c r="B1681" t="str">
        <f t="shared" si="1"/>
        <v>#</v>
      </c>
      <c r="G1681" t="str">
        <f>vlookup(B1681,'imported-population-for-countri'!$A$4:$E$17930,5,false)</f>
        <v>#N/A</v>
      </c>
      <c r="H1681" t="str">
        <f t="shared" si="2"/>
        <v>#N/A</v>
      </c>
      <c r="I1681" t="str">
        <f t="shared" si="3"/>
        <v>Non-democratic</v>
      </c>
    </row>
    <row r="1682">
      <c r="B1682" t="str">
        <f t="shared" si="1"/>
        <v>#</v>
      </c>
      <c r="G1682" t="str">
        <f>vlookup(B1682,'imported-population-for-countri'!$A$4:$E$17930,5,false)</f>
        <v>#N/A</v>
      </c>
      <c r="H1682" t="str">
        <f t="shared" si="2"/>
        <v>#N/A</v>
      </c>
      <c r="I1682" t="str">
        <f t="shared" si="3"/>
        <v>Non-democratic</v>
      </c>
    </row>
    <row r="1683">
      <c r="B1683" t="str">
        <f t="shared" si="1"/>
        <v>#</v>
      </c>
      <c r="G1683" t="str">
        <f>vlookup(B1683,'imported-population-for-countri'!$A$4:$E$17930,5,false)</f>
        <v>#N/A</v>
      </c>
      <c r="H1683" t="str">
        <f t="shared" si="2"/>
        <v>#N/A</v>
      </c>
      <c r="I1683" t="str">
        <f t="shared" si="3"/>
        <v>Non-democratic</v>
      </c>
    </row>
    <row r="1684">
      <c r="B1684" t="str">
        <f t="shared" si="1"/>
        <v>#</v>
      </c>
      <c r="G1684" t="str">
        <f>vlookup(B1684,'imported-population-for-countri'!$A$4:$E$17930,5,false)</f>
        <v>#N/A</v>
      </c>
      <c r="H1684" t="str">
        <f t="shared" si="2"/>
        <v>#N/A</v>
      </c>
      <c r="I1684" t="str">
        <f t="shared" si="3"/>
        <v>Non-democratic</v>
      </c>
    </row>
    <row r="1685">
      <c r="B1685" t="str">
        <f t="shared" si="1"/>
        <v>#</v>
      </c>
      <c r="G1685" t="str">
        <f>vlookup(B1685,'imported-population-for-countri'!$A$4:$E$17930,5,false)</f>
        <v>#N/A</v>
      </c>
      <c r="H1685" t="str">
        <f t="shared" si="2"/>
        <v>#N/A</v>
      </c>
      <c r="I1685" t="str">
        <f t="shared" si="3"/>
        <v>Non-democratic</v>
      </c>
    </row>
    <row r="1686">
      <c r="B1686" t="str">
        <f t="shared" si="1"/>
        <v>#</v>
      </c>
      <c r="G1686" t="str">
        <f>vlookup(B1686,'imported-population-for-countri'!$A$4:$E$17930,5,false)</f>
        <v>#N/A</v>
      </c>
      <c r="H1686" t="str">
        <f t="shared" si="2"/>
        <v>#N/A</v>
      </c>
      <c r="I1686" t="str">
        <f t="shared" si="3"/>
        <v>Non-democratic</v>
      </c>
    </row>
    <row r="1687">
      <c r="B1687" t="str">
        <f t="shared" si="1"/>
        <v>#</v>
      </c>
      <c r="G1687" t="str">
        <f>vlookup(B1687,'imported-population-for-countri'!$A$4:$E$17930,5,false)</f>
        <v>#N/A</v>
      </c>
      <c r="H1687" t="str">
        <f t="shared" si="2"/>
        <v>#N/A</v>
      </c>
      <c r="I1687" t="str">
        <f t="shared" si="3"/>
        <v>Non-democratic</v>
      </c>
    </row>
    <row r="1688">
      <c r="B1688" t="str">
        <f t="shared" si="1"/>
        <v>#</v>
      </c>
      <c r="G1688" t="str">
        <f>vlookup(B1688,'imported-population-for-countri'!$A$4:$E$17930,5,false)</f>
        <v>#N/A</v>
      </c>
      <c r="H1688" t="str">
        <f t="shared" si="2"/>
        <v>#N/A</v>
      </c>
      <c r="I1688" t="str">
        <f t="shared" si="3"/>
        <v>Non-democratic</v>
      </c>
    </row>
    <row r="1689">
      <c r="B1689" t="str">
        <f t="shared" si="1"/>
        <v>#</v>
      </c>
      <c r="G1689" t="str">
        <f>vlookup(B1689,'imported-population-for-countri'!$A$4:$E$17930,5,false)</f>
        <v>#N/A</v>
      </c>
      <c r="H1689" t="str">
        <f t="shared" si="2"/>
        <v>#N/A</v>
      </c>
      <c r="I1689" t="str">
        <f t="shared" si="3"/>
        <v>Non-democratic</v>
      </c>
    </row>
    <row r="1690">
      <c r="B1690" t="str">
        <f t="shared" si="1"/>
        <v>#</v>
      </c>
      <c r="G1690" t="str">
        <f>vlookup(B1690,'imported-population-for-countri'!$A$4:$E$17930,5,false)</f>
        <v>#N/A</v>
      </c>
      <c r="H1690" t="str">
        <f t="shared" si="2"/>
        <v>#N/A</v>
      </c>
      <c r="I1690" t="str">
        <f t="shared" si="3"/>
        <v>Non-democratic</v>
      </c>
    </row>
    <row r="1691">
      <c r="B1691" t="str">
        <f t="shared" si="1"/>
        <v>#</v>
      </c>
      <c r="G1691" t="str">
        <f>vlookup(B1691,'imported-population-for-countri'!$A$4:$E$17930,5,false)</f>
        <v>#N/A</v>
      </c>
      <c r="H1691" t="str">
        <f t="shared" si="2"/>
        <v>#N/A</v>
      </c>
      <c r="I1691" t="str">
        <f t="shared" si="3"/>
        <v>Non-democratic</v>
      </c>
    </row>
    <row r="1692">
      <c r="B1692" t="str">
        <f t="shared" si="1"/>
        <v>#</v>
      </c>
      <c r="G1692" t="str">
        <f>vlookup(B1692,'imported-population-for-countri'!$A$4:$E$17930,5,false)</f>
        <v>#N/A</v>
      </c>
      <c r="H1692" t="str">
        <f t="shared" si="2"/>
        <v>#N/A</v>
      </c>
      <c r="I1692" t="str">
        <f t="shared" si="3"/>
        <v>Non-democratic</v>
      </c>
    </row>
    <row r="1693">
      <c r="B1693" t="str">
        <f t="shared" si="1"/>
        <v>#</v>
      </c>
      <c r="G1693" t="str">
        <f>vlookup(B1693,'imported-population-for-countri'!$A$4:$E$17930,5,false)</f>
        <v>#N/A</v>
      </c>
      <c r="H1693" t="str">
        <f t="shared" si="2"/>
        <v>#N/A</v>
      </c>
      <c r="I1693" t="str">
        <f t="shared" si="3"/>
        <v>Non-democratic</v>
      </c>
    </row>
    <row r="1694">
      <c r="B1694" t="str">
        <f t="shared" si="1"/>
        <v>#</v>
      </c>
      <c r="G1694" t="str">
        <f>vlookup(B1694,'imported-population-for-countri'!$A$4:$E$17930,5,false)</f>
        <v>#N/A</v>
      </c>
      <c r="H1694" t="str">
        <f t="shared" si="2"/>
        <v>#N/A</v>
      </c>
      <c r="I1694" t="str">
        <f t="shared" si="3"/>
        <v>Non-democratic</v>
      </c>
    </row>
    <row r="1695">
      <c r="B1695" t="str">
        <f t="shared" si="1"/>
        <v>#</v>
      </c>
      <c r="G1695" t="str">
        <f>vlookup(B1695,'imported-population-for-countri'!$A$4:$E$17930,5,false)</f>
        <v>#N/A</v>
      </c>
      <c r="H1695" t="str">
        <f t="shared" si="2"/>
        <v>#N/A</v>
      </c>
      <c r="I1695" t="str">
        <f t="shared" si="3"/>
        <v>Non-democratic</v>
      </c>
    </row>
    <row r="1696">
      <c r="B1696" t="str">
        <f t="shared" si="1"/>
        <v>#</v>
      </c>
      <c r="G1696" t="str">
        <f>vlookup(B1696,'imported-population-for-countri'!$A$4:$E$17930,5,false)</f>
        <v>#N/A</v>
      </c>
      <c r="H1696" t="str">
        <f t="shared" si="2"/>
        <v>#N/A</v>
      </c>
      <c r="I1696" t="str">
        <f t="shared" si="3"/>
        <v>Non-democratic</v>
      </c>
    </row>
    <row r="1697">
      <c r="B1697" t="str">
        <f t="shared" si="1"/>
        <v>#</v>
      </c>
      <c r="G1697" t="str">
        <f>vlookup(B1697,'imported-population-for-countri'!$A$4:$E$17930,5,false)</f>
        <v>#N/A</v>
      </c>
      <c r="H1697" t="str">
        <f t="shared" si="2"/>
        <v>#N/A</v>
      </c>
      <c r="I1697" t="str">
        <f t="shared" si="3"/>
        <v>Non-democratic</v>
      </c>
    </row>
    <row r="1698">
      <c r="B1698" t="str">
        <f t="shared" si="1"/>
        <v>#</v>
      </c>
      <c r="G1698" t="str">
        <f>vlookup(B1698,'imported-population-for-countri'!$A$4:$E$17930,5,false)</f>
        <v>#N/A</v>
      </c>
      <c r="H1698" t="str">
        <f t="shared" si="2"/>
        <v>#N/A</v>
      </c>
      <c r="I1698" t="str">
        <f t="shared" si="3"/>
        <v>Non-democratic</v>
      </c>
    </row>
    <row r="1699">
      <c r="B1699" t="str">
        <f t="shared" si="1"/>
        <v>#</v>
      </c>
      <c r="G1699" t="str">
        <f>vlookup(B1699,'imported-population-for-countri'!$A$4:$E$17930,5,false)</f>
        <v>#N/A</v>
      </c>
      <c r="H1699" t="str">
        <f t="shared" si="2"/>
        <v>#N/A</v>
      </c>
      <c r="I1699" t="str">
        <f t="shared" si="3"/>
        <v>Non-democratic</v>
      </c>
    </row>
    <row r="1700">
      <c r="B1700" t="str">
        <f t="shared" si="1"/>
        <v>#</v>
      </c>
      <c r="G1700" t="str">
        <f>vlookup(B1700,'imported-population-for-countri'!$A$4:$E$17930,5,false)</f>
        <v>#N/A</v>
      </c>
      <c r="H1700" t="str">
        <f t="shared" si="2"/>
        <v>#N/A</v>
      </c>
      <c r="I1700" t="str">
        <f t="shared" si="3"/>
        <v>Non-democratic</v>
      </c>
    </row>
    <row r="1701">
      <c r="B1701" t="str">
        <f t="shared" si="1"/>
        <v>#</v>
      </c>
      <c r="G1701" t="str">
        <f>vlookup(B1701,'imported-population-for-countri'!$A$4:$E$17930,5,false)</f>
        <v>#N/A</v>
      </c>
      <c r="H1701" t="str">
        <f t="shared" si="2"/>
        <v>#N/A</v>
      </c>
      <c r="I1701" t="str">
        <f t="shared" si="3"/>
        <v>Non-democratic</v>
      </c>
    </row>
    <row r="1702">
      <c r="B1702" t="str">
        <f t="shared" si="1"/>
        <v>#</v>
      </c>
      <c r="G1702" t="str">
        <f>vlookup(B1702,'imported-population-for-countri'!$A$4:$E$17930,5,false)</f>
        <v>#N/A</v>
      </c>
      <c r="H1702" t="str">
        <f t="shared" si="2"/>
        <v>#N/A</v>
      </c>
      <c r="I1702" t="str">
        <f t="shared" si="3"/>
        <v>Non-democratic</v>
      </c>
    </row>
    <row r="1703">
      <c r="B1703" t="str">
        <f t="shared" si="1"/>
        <v>#</v>
      </c>
      <c r="G1703" t="str">
        <f>vlookup(B1703,'imported-population-for-countri'!$A$4:$E$17930,5,false)</f>
        <v>#N/A</v>
      </c>
      <c r="H1703" t="str">
        <f t="shared" si="2"/>
        <v>#N/A</v>
      </c>
      <c r="I1703" t="str">
        <f t="shared" si="3"/>
        <v>Non-democratic</v>
      </c>
    </row>
    <row r="1704">
      <c r="B1704" t="str">
        <f t="shared" si="1"/>
        <v>#</v>
      </c>
      <c r="G1704" t="str">
        <f>vlookup(B1704,'imported-population-for-countri'!$A$4:$E$17930,5,false)</f>
        <v>#N/A</v>
      </c>
      <c r="H1704" t="str">
        <f t="shared" si="2"/>
        <v>#N/A</v>
      </c>
      <c r="I1704" t="str">
        <f t="shared" si="3"/>
        <v>Non-democratic</v>
      </c>
    </row>
    <row r="1705">
      <c r="B1705" t="str">
        <f t="shared" si="1"/>
        <v>#</v>
      </c>
      <c r="G1705" t="str">
        <f>vlookup(B1705,'imported-population-for-countri'!$A$4:$E$17930,5,false)</f>
        <v>#N/A</v>
      </c>
      <c r="H1705" t="str">
        <f t="shared" si="2"/>
        <v>#N/A</v>
      </c>
      <c r="I1705" t="str">
        <f t="shared" si="3"/>
        <v>Non-democratic</v>
      </c>
    </row>
    <row r="1706">
      <c r="B1706" t="str">
        <f t="shared" si="1"/>
        <v>#</v>
      </c>
      <c r="G1706" t="str">
        <f>vlookup(B1706,'imported-population-for-countri'!$A$4:$E$17930,5,false)</f>
        <v>#N/A</v>
      </c>
      <c r="H1706" t="str">
        <f t="shared" si="2"/>
        <v>#N/A</v>
      </c>
      <c r="I1706" t="str">
        <f t="shared" si="3"/>
        <v>Non-democratic</v>
      </c>
    </row>
    <row r="1707">
      <c r="B1707" t="str">
        <f t="shared" si="1"/>
        <v>#</v>
      </c>
      <c r="G1707" t="str">
        <f>vlookup(B1707,'imported-population-for-countri'!$A$4:$E$17930,5,false)</f>
        <v>#N/A</v>
      </c>
      <c r="H1707" t="str">
        <f t="shared" si="2"/>
        <v>#N/A</v>
      </c>
      <c r="I1707" t="str">
        <f t="shared" si="3"/>
        <v>Non-democratic</v>
      </c>
    </row>
    <row r="1708">
      <c r="B1708" t="str">
        <f t="shared" si="1"/>
        <v>#</v>
      </c>
      <c r="G1708" t="str">
        <f>vlookup(B1708,'imported-population-for-countri'!$A$4:$E$17930,5,false)</f>
        <v>#N/A</v>
      </c>
      <c r="H1708" t="str">
        <f t="shared" si="2"/>
        <v>#N/A</v>
      </c>
      <c r="I1708" t="str">
        <f t="shared" si="3"/>
        <v>Non-democratic</v>
      </c>
    </row>
    <row r="1709">
      <c r="B1709" t="str">
        <f t="shared" si="1"/>
        <v>#</v>
      </c>
      <c r="G1709" t="str">
        <f>vlookup(B1709,'imported-population-for-countri'!$A$4:$E$17930,5,false)</f>
        <v>#N/A</v>
      </c>
      <c r="H1709" t="str">
        <f t="shared" si="2"/>
        <v>#N/A</v>
      </c>
      <c r="I1709" t="str">
        <f t="shared" si="3"/>
        <v>Non-democratic</v>
      </c>
    </row>
    <row r="1710">
      <c r="B1710" t="str">
        <f t="shared" si="1"/>
        <v>#</v>
      </c>
      <c r="G1710" t="str">
        <f>vlookup(B1710,'imported-population-for-countri'!$A$4:$E$17930,5,false)</f>
        <v>#N/A</v>
      </c>
      <c r="H1710" t="str">
        <f t="shared" si="2"/>
        <v>#N/A</v>
      </c>
      <c r="I1710" t="str">
        <f t="shared" si="3"/>
        <v>Non-democratic</v>
      </c>
    </row>
    <row r="1711">
      <c r="B1711" t="str">
        <f t="shared" si="1"/>
        <v>#</v>
      </c>
      <c r="G1711" t="str">
        <f>vlookup(B1711,'imported-population-for-countri'!$A$4:$E$17930,5,false)</f>
        <v>#N/A</v>
      </c>
      <c r="H1711" t="str">
        <f t="shared" si="2"/>
        <v>#N/A</v>
      </c>
      <c r="I1711" t="str">
        <f t="shared" si="3"/>
        <v>Non-democratic</v>
      </c>
    </row>
    <row r="1712">
      <c r="B1712" t="str">
        <f t="shared" si="1"/>
        <v>#</v>
      </c>
      <c r="G1712" t="str">
        <f>vlookup(B1712,'imported-population-for-countri'!$A$4:$E$17930,5,false)</f>
        <v>#N/A</v>
      </c>
      <c r="H1712" t="str">
        <f t="shared" si="2"/>
        <v>#N/A</v>
      </c>
      <c r="I1712" t="str">
        <f t="shared" si="3"/>
        <v>Non-democratic</v>
      </c>
    </row>
    <row r="1713">
      <c r="B1713" t="str">
        <f t="shared" si="1"/>
        <v>#</v>
      </c>
      <c r="G1713" t="str">
        <f>vlookup(B1713,'imported-population-for-countri'!$A$4:$E$17930,5,false)</f>
        <v>#N/A</v>
      </c>
      <c r="H1713" t="str">
        <f t="shared" si="2"/>
        <v>#N/A</v>
      </c>
      <c r="I1713" t="str">
        <f t="shared" si="3"/>
        <v>Non-democratic</v>
      </c>
    </row>
    <row r="1714">
      <c r="B1714" t="str">
        <f t="shared" si="1"/>
        <v>#</v>
      </c>
      <c r="G1714" t="str">
        <f>vlookup(B1714,'imported-population-for-countri'!$A$4:$E$17930,5,false)</f>
        <v>#N/A</v>
      </c>
      <c r="H1714" t="str">
        <f t="shared" si="2"/>
        <v>#N/A</v>
      </c>
      <c r="I1714" t="str">
        <f t="shared" si="3"/>
        <v>Non-democratic</v>
      </c>
    </row>
    <row r="1715">
      <c r="B1715" t="str">
        <f t="shared" si="1"/>
        <v>#</v>
      </c>
      <c r="G1715" t="str">
        <f>vlookup(B1715,'imported-population-for-countri'!$A$4:$E$17930,5,false)</f>
        <v>#N/A</v>
      </c>
      <c r="H1715" t="str">
        <f t="shared" si="2"/>
        <v>#N/A</v>
      </c>
      <c r="I1715" t="str">
        <f t="shared" si="3"/>
        <v>Non-democratic</v>
      </c>
    </row>
    <row r="1716">
      <c r="B1716" t="str">
        <f t="shared" si="1"/>
        <v>#</v>
      </c>
      <c r="G1716" t="str">
        <f>vlookup(B1716,'imported-population-for-countri'!$A$4:$E$17930,5,false)</f>
        <v>#N/A</v>
      </c>
      <c r="H1716" t="str">
        <f t="shared" si="2"/>
        <v>#N/A</v>
      </c>
      <c r="I1716" t="str">
        <f t="shared" si="3"/>
        <v>Non-democratic</v>
      </c>
    </row>
    <row r="1717">
      <c r="B1717" t="str">
        <f t="shared" si="1"/>
        <v>#</v>
      </c>
      <c r="G1717" t="str">
        <f>vlookup(B1717,'imported-population-for-countri'!$A$4:$E$17930,5,false)</f>
        <v>#N/A</v>
      </c>
      <c r="H1717" t="str">
        <f t="shared" si="2"/>
        <v>#N/A</v>
      </c>
      <c r="I1717" t="str">
        <f t="shared" si="3"/>
        <v>Non-democratic</v>
      </c>
    </row>
    <row r="1718">
      <c r="B1718" t="str">
        <f t="shared" si="1"/>
        <v>#</v>
      </c>
      <c r="G1718" t="str">
        <f>vlookup(B1718,'imported-population-for-countri'!$A$4:$E$17930,5,false)</f>
        <v>#N/A</v>
      </c>
      <c r="H1718" t="str">
        <f t="shared" si="2"/>
        <v>#N/A</v>
      </c>
      <c r="I1718" t="str">
        <f t="shared" si="3"/>
        <v>Non-democratic</v>
      </c>
    </row>
    <row r="1719">
      <c r="B1719" t="str">
        <f t="shared" si="1"/>
        <v>#</v>
      </c>
      <c r="G1719" t="str">
        <f>vlookup(B1719,'imported-population-for-countri'!$A$4:$E$17930,5,false)</f>
        <v>#N/A</v>
      </c>
      <c r="H1719" t="str">
        <f t="shared" si="2"/>
        <v>#N/A</v>
      </c>
      <c r="I1719" t="str">
        <f t="shared" si="3"/>
        <v>Non-democratic</v>
      </c>
    </row>
    <row r="1720">
      <c r="B1720" t="str">
        <f t="shared" si="1"/>
        <v>#</v>
      </c>
      <c r="G1720" t="str">
        <f>vlookup(B1720,'imported-population-for-countri'!$A$4:$E$17930,5,false)</f>
        <v>#N/A</v>
      </c>
      <c r="H1720" t="str">
        <f t="shared" si="2"/>
        <v>#N/A</v>
      </c>
      <c r="I1720" t="str">
        <f t="shared" si="3"/>
        <v>Non-democratic</v>
      </c>
    </row>
    <row r="1721">
      <c r="B1721" t="str">
        <f t="shared" si="1"/>
        <v>#</v>
      </c>
      <c r="G1721" t="str">
        <f>vlookup(B1721,'imported-population-for-countri'!$A$4:$E$17930,5,false)</f>
        <v>#N/A</v>
      </c>
      <c r="H1721" t="str">
        <f t="shared" si="2"/>
        <v>#N/A</v>
      </c>
      <c r="I1721" t="str">
        <f t="shared" si="3"/>
        <v>Non-democratic</v>
      </c>
    </row>
    <row r="1722">
      <c r="B1722" t="str">
        <f t="shared" si="1"/>
        <v>#</v>
      </c>
      <c r="G1722" t="str">
        <f>vlookup(B1722,'imported-population-for-countri'!$A$4:$E$17930,5,false)</f>
        <v>#N/A</v>
      </c>
      <c r="H1722" t="str">
        <f t="shared" si="2"/>
        <v>#N/A</v>
      </c>
      <c r="I1722" t="str">
        <f t="shared" si="3"/>
        <v>Non-democratic</v>
      </c>
    </row>
    <row r="1723">
      <c r="B1723" t="str">
        <f t="shared" si="1"/>
        <v>#</v>
      </c>
      <c r="G1723" t="str">
        <f>vlookup(B1723,'imported-population-for-countri'!$A$4:$E$17930,5,false)</f>
        <v>#N/A</v>
      </c>
      <c r="H1723" t="str">
        <f t="shared" si="2"/>
        <v>#N/A</v>
      </c>
      <c r="I1723" t="str">
        <f t="shared" si="3"/>
        <v>Non-democratic</v>
      </c>
    </row>
    <row r="1724">
      <c r="B1724" t="str">
        <f t="shared" si="1"/>
        <v>#</v>
      </c>
      <c r="G1724" t="str">
        <f>vlookup(B1724,'imported-population-for-countri'!$A$4:$E$17930,5,false)</f>
        <v>#N/A</v>
      </c>
      <c r="H1724" t="str">
        <f t="shared" si="2"/>
        <v>#N/A</v>
      </c>
      <c r="I1724" t="str">
        <f t="shared" si="3"/>
        <v>Non-democratic</v>
      </c>
    </row>
    <row r="1725">
      <c r="B1725" t="str">
        <f t="shared" si="1"/>
        <v>#</v>
      </c>
      <c r="G1725" t="str">
        <f>vlookup(B1725,'imported-population-for-countri'!$A$4:$E$17930,5,false)</f>
        <v>#N/A</v>
      </c>
      <c r="H1725" t="str">
        <f t="shared" si="2"/>
        <v>#N/A</v>
      </c>
      <c r="I1725" t="str">
        <f t="shared" si="3"/>
        <v>Non-democratic</v>
      </c>
    </row>
    <row r="1726">
      <c r="B1726" t="str">
        <f t="shared" si="1"/>
        <v>#</v>
      </c>
      <c r="G1726" t="str">
        <f>vlookup(B1726,'imported-population-for-countri'!$A$4:$E$17930,5,false)</f>
        <v>#N/A</v>
      </c>
      <c r="H1726" t="str">
        <f t="shared" si="2"/>
        <v>#N/A</v>
      </c>
      <c r="I1726" t="str">
        <f t="shared" si="3"/>
        <v>Non-democratic</v>
      </c>
    </row>
    <row r="1727">
      <c r="B1727" t="str">
        <f t="shared" si="1"/>
        <v>#</v>
      </c>
      <c r="G1727" t="str">
        <f>vlookup(B1727,'imported-population-for-countri'!$A$4:$E$17930,5,false)</f>
        <v>#N/A</v>
      </c>
      <c r="H1727" t="str">
        <f t="shared" si="2"/>
        <v>#N/A</v>
      </c>
      <c r="I1727" t="str">
        <f t="shared" si="3"/>
        <v>Non-democratic</v>
      </c>
    </row>
    <row r="1728">
      <c r="B1728" t="str">
        <f t="shared" si="1"/>
        <v>#</v>
      </c>
      <c r="G1728" t="str">
        <f>vlookup(B1728,'imported-population-for-countri'!$A$4:$E$17930,5,false)</f>
        <v>#N/A</v>
      </c>
      <c r="H1728" t="str">
        <f t="shared" si="2"/>
        <v>#N/A</v>
      </c>
      <c r="I1728" t="str">
        <f t="shared" si="3"/>
        <v>Non-democratic</v>
      </c>
    </row>
    <row r="1729">
      <c r="B1729" t="str">
        <f t="shared" si="1"/>
        <v>#</v>
      </c>
      <c r="G1729" t="str">
        <f>vlookup(B1729,'imported-population-for-countri'!$A$4:$E$17930,5,false)</f>
        <v>#N/A</v>
      </c>
      <c r="H1729" t="str">
        <f t="shared" si="2"/>
        <v>#N/A</v>
      </c>
      <c r="I1729" t="str">
        <f t="shared" si="3"/>
        <v>Non-democratic</v>
      </c>
    </row>
    <row r="1730">
      <c r="B1730" t="str">
        <f t="shared" si="1"/>
        <v>#</v>
      </c>
      <c r="G1730" t="str">
        <f>vlookup(B1730,'imported-population-for-countri'!$A$4:$E$17930,5,false)</f>
        <v>#N/A</v>
      </c>
      <c r="H1730" t="str">
        <f t="shared" si="2"/>
        <v>#N/A</v>
      </c>
      <c r="I1730" t="str">
        <f t="shared" si="3"/>
        <v>Non-democratic</v>
      </c>
    </row>
    <row r="1731">
      <c r="B1731" t="str">
        <f t="shared" si="1"/>
        <v>#</v>
      </c>
      <c r="G1731" t="str">
        <f>vlookup(B1731,'imported-population-for-countri'!$A$4:$E$17930,5,false)</f>
        <v>#N/A</v>
      </c>
      <c r="H1731" t="str">
        <f t="shared" si="2"/>
        <v>#N/A</v>
      </c>
      <c r="I1731" t="str">
        <f t="shared" si="3"/>
        <v>Non-democratic</v>
      </c>
    </row>
    <row r="1732">
      <c r="B1732" t="str">
        <f t="shared" si="1"/>
        <v>#</v>
      </c>
      <c r="G1732" t="str">
        <f>vlookup(B1732,'imported-population-for-countri'!$A$4:$E$17930,5,false)</f>
        <v>#N/A</v>
      </c>
      <c r="H1732" t="str">
        <f t="shared" si="2"/>
        <v>#N/A</v>
      </c>
      <c r="I1732" t="str">
        <f t="shared" si="3"/>
        <v>Non-democratic</v>
      </c>
    </row>
    <row r="1733">
      <c r="B1733" t="str">
        <f t="shared" si="1"/>
        <v>#</v>
      </c>
      <c r="G1733" t="str">
        <f>vlookup(B1733,'imported-population-for-countri'!$A$4:$E$17930,5,false)</f>
        <v>#N/A</v>
      </c>
      <c r="H1733" t="str">
        <f t="shared" si="2"/>
        <v>#N/A</v>
      </c>
      <c r="I1733" t="str">
        <f t="shared" si="3"/>
        <v>Non-democratic</v>
      </c>
    </row>
    <row r="1734">
      <c r="B1734" t="str">
        <f t="shared" si="1"/>
        <v>#</v>
      </c>
      <c r="G1734" t="str">
        <f>vlookup(B1734,'imported-population-for-countri'!$A$4:$E$17930,5,false)</f>
        <v>#N/A</v>
      </c>
      <c r="H1734" t="str">
        <f t="shared" si="2"/>
        <v>#N/A</v>
      </c>
      <c r="I1734" t="str">
        <f t="shared" si="3"/>
        <v>Non-democratic</v>
      </c>
    </row>
    <row r="1735">
      <c r="B1735" t="str">
        <f t="shared" si="1"/>
        <v>#</v>
      </c>
      <c r="G1735" t="str">
        <f>vlookup(B1735,'imported-population-for-countri'!$A$4:$E$17930,5,false)</f>
        <v>#N/A</v>
      </c>
      <c r="H1735" t="str">
        <f t="shared" si="2"/>
        <v>#N/A</v>
      </c>
      <c r="I1735" t="str">
        <f t="shared" si="3"/>
        <v>Non-democratic</v>
      </c>
    </row>
    <row r="1736">
      <c r="B1736" t="str">
        <f t="shared" si="1"/>
        <v>#</v>
      </c>
      <c r="G1736" t="str">
        <f>vlookup(B1736,'imported-population-for-countri'!$A$4:$E$17930,5,false)</f>
        <v>#N/A</v>
      </c>
      <c r="H1736" t="str">
        <f t="shared" si="2"/>
        <v>#N/A</v>
      </c>
      <c r="I1736" t="str">
        <f t="shared" si="3"/>
        <v>Non-democratic</v>
      </c>
    </row>
    <row r="1737">
      <c r="B1737" t="str">
        <f t="shared" si="1"/>
        <v>#</v>
      </c>
      <c r="G1737" t="str">
        <f>vlookup(B1737,'imported-population-for-countri'!$A$4:$E$17930,5,false)</f>
        <v>#N/A</v>
      </c>
      <c r="H1737" t="str">
        <f t="shared" si="2"/>
        <v>#N/A</v>
      </c>
      <c r="I1737" t="str">
        <f t="shared" si="3"/>
        <v>Non-democratic</v>
      </c>
    </row>
    <row r="1738">
      <c r="B1738" t="str">
        <f t="shared" si="1"/>
        <v>#</v>
      </c>
      <c r="G1738" t="str">
        <f>vlookup(B1738,'imported-population-for-countri'!$A$4:$E$17930,5,false)</f>
        <v>#N/A</v>
      </c>
      <c r="H1738" t="str">
        <f t="shared" si="2"/>
        <v>#N/A</v>
      </c>
      <c r="I1738" t="str">
        <f t="shared" si="3"/>
        <v>Non-democratic</v>
      </c>
    </row>
    <row r="1739">
      <c r="B1739" t="str">
        <f t="shared" si="1"/>
        <v>#</v>
      </c>
      <c r="G1739" t="str">
        <f>vlookup(B1739,'imported-population-for-countri'!$A$4:$E$17930,5,false)</f>
        <v>#N/A</v>
      </c>
      <c r="H1739" t="str">
        <f t="shared" si="2"/>
        <v>#N/A</v>
      </c>
      <c r="I1739" t="str">
        <f t="shared" si="3"/>
        <v>Non-democratic</v>
      </c>
    </row>
    <row r="1740">
      <c r="B1740" t="str">
        <f t="shared" si="1"/>
        <v>#</v>
      </c>
      <c r="G1740" t="str">
        <f>vlookup(B1740,'imported-population-for-countri'!$A$4:$E$17930,5,false)</f>
        <v>#N/A</v>
      </c>
      <c r="H1740" t="str">
        <f t="shared" si="2"/>
        <v>#N/A</v>
      </c>
      <c r="I1740" t="str">
        <f t="shared" si="3"/>
        <v>Non-democratic</v>
      </c>
    </row>
    <row r="1741">
      <c r="B1741" t="str">
        <f t="shared" si="1"/>
        <v>#</v>
      </c>
      <c r="G1741" t="str">
        <f>vlookup(B1741,'imported-population-for-countri'!$A$4:$E$17930,5,false)</f>
        <v>#N/A</v>
      </c>
      <c r="H1741" t="str">
        <f t="shared" si="2"/>
        <v>#N/A</v>
      </c>
      <c r="I1741" t="str">
        <f t="shared" si="3"/>
        <v>Non-democratic</v>
      </c>
    </row>
    <row r="1742">
      <c r="B1742" t="str">
        <f t="shared" si="1"/>
        <v>#</v>
      </c>
      <c r="G1742" t="str">
        <f>vlookup(B1742,'imported-population-for-countri'!$A$4:$E$17930,5,false)</f>
        <v>#N/A</v>
      </c>
      <c r="H1742" t="str">
        <f t="shared" si="2"/>
        <v>#N/A</v>
      </c>
      <c r="I1742" t="str">
        <f t="shared" si="3"/>
        <v>Non-democratic</v>
      </c>
    </row>
    <row r="1743">
      <c r="B1743" t="str">
        <f t="shared" si="1"/>
        <v>#</v>
      </c>
      <c r="G1743" t="str">
        <f>vlookup(B1743,'imported-population-for-countri'!$A$4:$E$17930,5,false)</f>
        <v>#N/A</v>
      </c>
      <c r="H1743" t="str">
        <f t="shared" si="2"/>
        <v>#N/A</v>
      </c>
      <c r="I1743" t="str">
        <f t="shared" si="3"/>
        <v>Non-democratic</v>
      </c>
    </row>
    <row r="1744">
      <c r="B1744" t="str">
        <f t="shared" si="1"/>
        <v>#</v>
      </c>
      <c r="G1744" t="str">
        <f>vlookup(B1744,'imported-population-for-countri'!$A$4:$E$17930,5,false)</f>
        <v>#N/A</v>
      </c>
      <c r="H1744" t="str">
        <f t="shared" si="2"/>
        <v>#N/A</v>
      </c>
      <c r="I1744" t="str">
        <f t="shared" si="3"/>
        <v>Non-democratic</v>
      </c>
    </row>
    <row r="1745">
      <c r="B1745" t="str">
        <f t="shared" si="1"/>
        <v>#</v>
      </c>
      <c r="G1745" t="str">
        <f>vlookup(B1745,'imported-population-for-countri'!$A$4:$E$17930,5,false)</f>
        <v>#N/A</v>
      </c>
      <c r="H1745" t="str">
        <f t="shared" si="2"/>
        <v>#N/A</v>
      </c>
      <c r="I1745" t="str">
        <f t="shared" si="3"/>
        <v>Non-democratic</v>
      </c>
    </row>
    <row r="1746">
      <c r="B1746" t="str">
        <f t="shared" si="1"/>
        <v>#</v>
      </c>
      <c r="G1746" t="str">
        <f>vlookup(B1746,'imported-population-for-countri'!$A$4:$E$17930,5,false)</f>
        <v>#N/A</v>
      </c>
      <c r="H1746" t="str">
        <f t="shared" si="2"/>
        <v>#N/A</v>
      </c>
      <c r="I1746" t="str">
        <f t="shared" si="3"/>
        <v>Non-democratic</v>
      </c>
    </row>
    <row r="1747">
      <c r="B1747" t="str">
        <f t="shared" si="1"/>
        <v>#</v>
      </c>
      <c r="G1747" t="str">
        <f>vlookup(B1747,'imported-population-for-countri'!$A$4:$E$17930,5,false)</f>
        <v>#N/A</v>
      </c>
      <c r="H1747" t="str">
        <f t="shared" si="2"/>
        <v>#N/A</v>
      </c>
      <c r="I1747" t="str">
        <f t="shared" si="3"/>
        <v>Non-democratic</v>
      </c>
    </row>
    <row r="1748">
      <c r="B1748" t="str">
        <f t="shared" si="1"/>
        <v>#</v>
      </c>
      <c r="G1748" t="str">
        <f>vlookup(B1748,'imported-population-for-countri'!$A$4:$E$17930,5,false)</f>
        <v>#N/A</v>
      </c>
      <c r="H1748" t="str">
        <f t="shared" si="2"/>
        <v>#N/A</v>
      </c>
      <c r="I1748" t="str">
        <f t="shared" si="3"/>
        <v>Non-democratic</v>
      </c>
    </row>
    <row r="1749">
      <c r="B1749" t="str">
        <f t="shared" si="1"/>
        <v>#</v>
      </c>
      <c r="G1749" t="str">
        <f>vlookup(B1749,'imported-population-for-countri'!$A$4:$E$17930,5,false)</f>
        <v>#N/A</v>
      </c>
      <c r="H1749" t="str">
        <f t="shared" si="2"/>
        <v>#N/A</v>
      </c>
      <c r="I1749" t="str">
        <f t="shared" si="3"/>
        <v>Non-democratic</v>
      </c>
    </row>
    <row r="1750">
      <c r="B1750" t="str">
        <f t="shared" si="1"/>
        <v>#</v>
      </c>
      <c r="G1750" t="str">
        <f>vlookup(B1750,'imported-population-for-countri'!$A$4:$E$17930,5,false)</f>
        <v>#N/A</v>
      </c>
      <c r="H1750" t="str">
        <f t="shared" si="2"/>
        <v>#N/A</v>
      </c>
      <c r="I1750" t="str">
        <f t="shared" si="3"/>
        <v>Non-democratic</v>
      </c>
    </row>
    <row r="1751">
      <c r="B1751" t="str">
        <f t="shared" si="1"/>
        <v>#</v>
      </c>
      <c r="G1751" t="str">
        <f>vlookup(B1751,'imported-population-for-countri'!$A$4:$E$17930,5,false)</f>
        <v>#N/A</v>
      </c>
      <c r="H1751" t="str">
        <f t="shared" si="2"/>
        <v>#N/A</v>
      </c>
      <c r="I1751" t="str">
        <f t="shared" si="3"/>
        <v>Non-democratic</v>
      </c>
    </row>
    <row r="1752">
      <c r="B1752" t="str">
        <f t="shared" si="1"/>
        <v>#</v>
      </c>
      <c r="G1752" t="str">
        <f>vlookup(B1752,'imported-population-for-countri'!$A$4:$E$17930,5,false)</f>
        <v>#N/A</v>
      </c>
      <c r="H1752" t="str">
        <f t="shared" si="2"/>
        <v>#N/A</v>
      </c>
      <c r="I1752" t="str">
        <f t="shared" si="3"/>
        <v>Non-democratic</v>
      </c>
    </row>
    <row r="1753">
      <c r="B1753" t="str">
        <f t="shared" si="1"/>
        <v>#</v>
      </c>
      <c r="G1753" t="str">
        <f>vlookup(B1753,'imported-population-for-countri'!$A$4:$E$17930,5,false)</f>
        <v>#N/A</v>
      </c>
      <c r="H1753" t="str">
        <f t="shared" si="2"/>
        <v>#N/A</v>
      </c>
      <c r="I1753" t="str">
        <f t="shared" si="3"/>
        <v>Non-democratic</v>
      </c>
    </row>
    <row r="1754">
      <c r="B1754" t="str">
        <f t="shared" si="1"/>
        <v>#</v>
      </c>
      <c r="G1754" t="str">
        <f>vlookup(B1754,'imported-population-for-countri'!$A$4:$E$17930,5,false)</f>
        <v>#N/A</v>
      </c>
      <c r="H1754" t="str">
        <f t="shared" si="2"/>
        <v>#N/A</v>
      </c>
      <c r="I1754" t="str">
        <f t="shared" si="3"/>
        <v>Non-democratic</v>
      </c>
    </row>
    <row r="1755">
      <c r="B1755" t="str">
        <f t="shared" si="1"/>
        <v>#</v>
      </c>
      <c r="G1755" t="str">
        <f>vlookup(B1755,'imported-population-for-countri'!$A$4:$E$17930,5,false)</f>
        <v>#N/A</v>
      </c>
      <c r="H1755" t="str">
        <f t="shared" si="2"/>
        <v>#N/A</v>
      </c>
      <c r="I1755" t="str">
        <f t="shared" si="3"/>
        <v>Non-democratic</v>
      </c>
    </row>
    <row r="1756">
      <c r="B1756" t="str">
        <f t="shared" si="1"/>
        <v>#</v>
      </c>
      <c r="G1756" t="str">
        <f>vlookup(B1756,'imported-population-for-countri'!$A$4:$E$17930,5,false)</f>
        <v>#N/A</v>
      </c>
      <c r="H1756" t="str">
        <f t="shared" si="2"/>
        <v>#N/A</v>
      </c>
      <c r="I1756" t="str">
        <f t="shared" si="3"/>
        <v>Non-democratic</v>
      </c>
    </row>
    <row r="1757">
      <c r="B1757" t="str">
        <f t="shared" si="1"/>
        <v>#</v>
      </c>
      <c r="G1757" t="str">
        <f>vlookup(B1757,'imported-population-for-countri'!$A$4:$E$17930,5,false)</f>
        <v>#N/A</v>
      </c>
      <c r="H1757" t="str">
        <f t="shared" si="2"/>
        <v>#N/A</v>
      </c>
      <c r="I1757" t="str">
        <f t="shared" si="3"/>
        <v>Non-democratic</v>
      </c>
    </row>
    <row r="1758">
      <c r="B1758" t="str">
        <f t="shared" si="1"/>
        <v>#</v>
      </c>
      <c r="G1758" t="str">
        <f>vlookup(B1758,'imported-population-for-countri'!$A$4:$E$17930,5,false)</f>
        <v>#N/A</v>
      </c>
      <c r="H1758" t="str">
        <f t="shared" si="2"/>
        <v>#N/A</v>
      </c>
      <c r="I1758" t="str">
        <f t="shared" si="3"/>
        <v>Non-democratic</v>
      </c>
    </row>
    <row r="1759">
      <c r="B1759" t="str">
        <f t="shared" si="1"/>
        <v>#</v>
      </c>
      <c r="G1759" t="str">
        <f>vlookup(B1759,'imported-population-for-countri'!$A$4:$E$17930,5,false)</f>
        <v>#N/A</v>
      </c>
      <c r="H1759" t="str">
        <f t="shared" si="2"/>
        <v>#N/A</v>
      </c>
      <c r="I1759" t="str">
        <f t="shared" si="3"/>
        <v>Non-democratic</v>
      </c>
    </row>
    <row r="1760">
      <c r="B1760" t="str">
        <f t="shared" si="1"/>
        <v>#</v>
      </c>
      <c r="G1760" t="str">
        <f>vlookup(B1760,'imported-population-for-countri'!$A$4:$E$17930,5,false)</f>
        <v>#N/A</v>
      </c>
      <c r="H1760" t="str">
        <f t="shared" si="2"/>
        <v>#N/A</v>
      </c>
      <c r="I1760" t="str">
        <f t="shared" si="3"/>
        <v>Non-democratic</v>
      </c>
    </row>
    <row r="1761">
      <c r="B1761" t="str">
        <f t="shared" si="1"/>
        <v>#</v>
      </c>
      <c r="G1761" t="str">
        <f>vlookup(B1761,'imported-population-for-countri'!$A$4:$E$17930,5,false)</f>
        <v>#N/A</v>
      </c>
      <c r="H1761" t="str">
        <f t="shared" si="2"/>
        <v>#N/A</v>
      </c>
      <c r="I1761" t="str">
        <f t="shared" si="3"/>
        <v>Non-democratic</v>
      </c>
    </row>
    <row r="1762">
      <c r="B1762" t="str">
        <f t="shared" si="1"/>
        <v>#</v>
      </c>
      <c r="G1762" t="str">
        <f>vlookup(B1762,'imported-population-for-countri'!$A$4:$E$17930,5,false)</f>
        <v>#N/A</v>
      </c>
      <c r="H1762" t="str">
        <f t="shared" si="2"/>
        <v>#N/A</v>
      </c>
      <c r="I1762" t="str">
        <f t="shared" si="3"/>
        <v>Non-democratic</v>
      </c>
    </row>
    <row r="1763">
      <c r="B1763" t="str">
        <f t="shared" si="1"/>
        <v>#</v>
      </c>
      <c r="G1763" t="str">
        <f>vlookup(B1763,'imported-population-for-countri'!$A$4:$E$17930,5,false)</f>
        <v>#N/A</v>
      </c>
      <c r="H1763" t="str">
        <f t="shared" si="2"/>
        <v>#N/A</v>
      </c>
      <c r="I1763" t="str">
        <f t="shared" si="3"/>
        <v>Non-democratic</v>
      </c>
    </row>
    <row r="1764">
      <c r="B1764" t="str">
        <f t="shared" si="1"/>
        <v>#</v>
      </c>
      <c r="G1764" t="str">
        <f>vlookup(B1764,'imported-population-for-countri'!$A$4:$E$17930,5,false)</f>
        <v>#N/A</v>
      </c>
      <c r="H1764" t="str">
        <f t="shared" si="2"/>
        <v>#N/A</v>
      </c>
      <c r="I1764" t="str">
        <f t="shared" si="3"/>
        <v>Non-democratic</v>
      </c>
    </row>
    <row r="1765">
      <c r="B1765" t="str">
        <f t="shared" si="1"/>
        <v>#</v>
      </c>
      <c r="G1765" t="str">
        <f>vlookup(B1765,'imported-population-for-countri'!$A$4:$E$17930,5,false)</f>
        <v>#N/A</v>
      </c>
      <c r="H1765" t="str">
        <f t="shared" si="2"/>
        <v>#N/A</v>
      </c>
      <c r="I1765" t="str">
        <f t="shared" si="3"/>
        <v>Non-democratic</v>
      </c>
    </row>
    <row r="1766">
      <c r="B1766" t="str">
        <f t="shared" si="1"/>
        <v>#</v>
      </c>
      <c r="G1766" t="str">
        <f>vlookup(B1766,'imported-population-for-countri'!$A$4:$E$17930,5,false)</f>
        <v>#N/A</v>
      </c>
      <c r="H1766" t="str">
        <f t="shared" si="2"/>
        <v>#N/A</v>
      </c>
      <c r="I1766" t="str">
        <f t="shared" si="3"/>
        <v>Non-democratic</v>
      </c>
    </row>
    <row r="1767">
      <c r="B1767" t="str">
        <f t="shared" si="1"/>
        <v>#</v>
      </c>
      <c r="G1767" t="str">
        <f>vlookup(B1767,'imported-population-for-countri'!$A$4:$E$17930,5,false)</f>
        <v>#N/A</v>
      </c>
      <c r="H1767" t="str">
        <f t="shared" si="2"/>
        <v>#N/A</v>
      </c>
      <c r="I1767" t="str">
        <f t="shared" si="3"/>
        <v>Non-democratic</v>
      </c>
    </row>
    <row r="1768">
      <c r="B1768" t="str">
        <f t="shared" si="1"/>
        <v>#</v>
      </c>
      <c r="G1768" t="str">
        <f>vlookup(B1768,'imported-population-for-countri'!$A$4:$E$17930,5,false)</f>
        <v>#N/A</v>
      </c>
      <c r="H1768" t="str">
        <f t="shared" si="2"/>
        <v>#N/A</v>
      </c>
      <c r="I1768" t="str">
        <f t="shared" si="3"/>
        <v>Non-democratic</v>
      </c>
    </row>
    <row r="1769">
      <c r="B1769" t="str">
        <f t="shared" si="1"/>
        <v>#</v>
      </c>
      <c r="G1769" t="str">
        <f>vlookup(B1769,'imported-population-for-countri'!$A$4:$E$17930,5,false)</f>
        <v>#N/A</v>
      </c>
      <c r="H1769" t="str">
        <f t="shared" si="2"/>
        <v>#N/A</v>
      </c>
      <c r="I1769" t="str">
        <f t="shared" si="3"/>
        <v>Non-democratic</v>
      </c>
    </row>
    <row r="1770">
      <c r="B1770" t="str">
        <f t="shared" si="1"/>
        <v>#</v>
      </c>
      <c r="G1770" t="str">
        <f>vlookup(B1770,'imported-population-for-countri'!$A$4:$E$17930,5,false)</f>
        <v>#N/A</v>
      </c>
      <c r="H1770" t="str">
        <f t="shared" si="2"/>
        <v>#N/A</v>
      </c>
      <c r="I1770" t="str">
        <f t="shared" si="3"/>
        <v>Non-democratic</v>
      </c>
    </row>
    <row r="1771">
      <c r="B1771" t="str">
        <f t="shared" si="1"/>
        <v>#</v>
      </c>
      <c r="G1771" t="str">
        <f>vlookup(B1771,'imported-population-for-countri'!$A$4:$E$17930,5,false)</f>
        <v>#N/A</v>
      </c>
      <c r="H1771" t="str">
        <f t="shared" si="2"/>
        <v>#N/A</v>
      </c>
      <c r="I1771" t="str">
        <f t="shared" si="3"/>
        <v>Non-democratic</v>
      </c>
    </row>
    <row r="1772">
      <c r="B1772" t="str">
        <f t="shared" si="1"/>
        <v>#</v>
      </c>
      <c r="G1772" t="str">
        <f>vlookup(B1772,'imported-population-for-countri'!$A$4:$E$17930,5,false)</f>
        <v>#N/A</v>
      </c>
      <c r="H1772" t="str">
        <f t="shared" si="2"/>
        <v>#N/A</v>
      </c>
      <c r="I1772" t="str">
        <f t="shared" si="3"/>
        <v>Non-democratic</v>
      </c>
    </row>
    <row r="1773">
      <c r="B1773" t="str">
        <f t="shared" si="1"/>
        <v>#</v>
      </c>
      <c r="G1773" t="str">
        <f>vlookup(B1773,'imported-population-for-countri'!$A$4:$E$17930,5,false)</f>
        <v>#N/A</v>
      </c>
      <c r="H1773" t="str">
        <f t="shared" si="2"/>
        <v>#N/A</v>
      </c>
      <c r="I1773" t="str">
        <f t="shared" si="3"/>
        <v>Non-democratic</v>
      </c>
    </row>
    <row r="1774">
      <c r="B1774" t="str">
        <f t="shared" si="1"/>
        <v>#</v>
      </c>
      <c r="G1774" t="str">
        <f>vlookup(B1774,'imported-population-for-countri'!$A$4:$E$17930,5,false)</f>
        <v>#N/A</v>
      </c>
      <c r="H1774" t="str">
        <f t="shared" si="2"/>
        <v>#N/A</v>
      </c>
      <c r="I1774" t="str">
        <f t="shared" si="3"/>
        <v>Non-democratic</v>
      </c>
    </row>
    <row r="1775">
      <c r="B1775" t="str">
        <f t="shared" si="1"/>
        <v>#</v>
      </c>
      <c r="G1775" t="str">
        <f>vlookup(B1775,'imported-population-for-countri'!$A$4:$E$17930,5,false)</f>
        <v>#N/A</v>
      </c>
      <c r="H1775" t="str">
        <f t="shared" si="2"/>
        <v>#N/A</v>
      </c>
      <c r="I1775" t="str">
        <f t="shared" si="3"/>
        <v>Non-democratic</v>
      </c>
    </row>
    <row r="1776">
      <c r="B1776" t="str">
        <f t="shared" si="1"/>
        <v>#</v>
      </c>
      <c r="G1776" t="str">
        <f>vlookup(B1776,'imported-population-for-countri'!$A$4:$E$17930,5,false)</f>
        <v>#N/A</v>
      </c>
      <c r="H1776" t="str">
        <f t="shared" si="2"/>
        <v>#N/A</v>
      </c>
      <c r="I1776" t="str">
        <f t="shared" si="3"/>
        <v>Non-democratic</v>
      </c>
    </row>
    <row r="1777">
      <c r="B1777" t="str">
        <f t="shared" si="1"/>
        <v>#</v>
      </c>
      <c r="G1777" t="str">
        <f>vlookup(B1777,'imported-population-for-countri'!$A$4:$E$17930,5,false)</f>
        <v>#N/A</v>
      </c>
      <c r="H1777" t="str">
        <f t="shared" si="2"/>
        <v>#N/A</v>
      </c>
      <c r="I1777" t="str">
        <f t="shared" si="3"/>
        <v>Non-democratic</v>
      </c>
    </row>
    <row r="1778">
      <c r="B1778" t="str">
        <f t="shared" si="1"/>
        <v>#</v>
      </c>
      <c r="G1778" t="str">
        <f>vlookup(B1778,'imported-population-for-countri'!$A$4:$E$17930,5,false)</f>
        <v>#N/A</v>
      </c>
      <c r="H1778" t="str">
        <f t="shared" si="2"/>
        <v>#N/A</v>
      </c>
      <c r="I1778" t="str">
        <f t="shared" si="3"/>
        <v>Non-democratic</v>
      </c>
    </row>
    <row r="1779">
      <c r="B1779" t="str">
        <f t="shared" si="1"/>
        <v>#</v>
      </c>
      <c r="G1779" t="str">
        <f>vlookup(B1779,'imported-population-for-countri'!$A$4:$E$17930,5,false)</f>
        <v>#N/A</v>
      </c>
      <c r="H1779" t="str">
        <f t="shared" si="2"/>
        <v>#N/A</v>
      </c>
      <c r="I1779" t="str">
        <f t="shared" si="3"/>
        <v>Non-democratic</v>
      </c>
    </row>
    <row r="1780">
      <c r="B1780" t="str">
        <f t="shared" si="1"/>
        <v>#</v>
      </c>
      <c r="G1780" t="str">
        <f>vlookup(B1780,'imported-population-for-countri'!$A$4:$E$17930,5,false)</f>
        <v>#N/A</v>
      </c>
      <c r="H1780" t="str">
        <f t="shared" si="2"/>
        <v>#N/A</v>
      </c>
      <c r="I1780" t="str">
        <f t="shared" si="3"/>
        <v>Non-democratic</v>
      </c>
    </row>
    <row r="1781">
      <c r="B1781" t="str">
        <f t="shared" si="1"/>
        <v>#</v>
      </c>
      <c r="G1781" t="str">
        <f>vlookup(B1781,'imported-population-for-countri'!$A$4:$E$17930,5,false)</f>
        <v>#N/A</v>
      </c>
      <c r="H1781" t="str">
        <f t="shared" si="2"/>
        <v>#N/A</v>
      </c>
      <c r="I1781" t="str">
        <f t="shared" si="3"/>
        <v>Non-democratic</v>
      </c>
    </row>
    <row r="1782">
      <c r="B1782" t="str">
        <f t="shared" si="1"/>
        <v>#</v>
      </c>
      <c r="G1782" t="str">
        <f>vlookup(B1782,'imported-population-for-countri'!$A$4:$E$17930,5,false)</f>
        <v>#N/A</v>
      </c>
      <c r="H1782" t="str">
        <f t="shared" si="2"/>
        <v>#N/A</v>
      </c>
      <c r="I1782" t="str">
        <f t="shared" si="3"/>
        <v>Non-democratic</v>
      </c>
    </row>
    <row r="1783">
      <c r="B1783" t="str">
        <f t="shared" si="1"/>
        <v>#</v>
      </c>
      <c r="G1783" t="str">
        <f>vlookup(B1783,'imported-population-for-countri'!$A$4:$E$17930,5,false)</f>
        <v>#N/A</v>
      </c>
      <c r="H1783" t="str">
        <f t="shared" si="2"/>
        <v>#N/A</v>
      </c>
      <c r="I1783" t="str">
        <f t="shared" si="3"/>
        <v>Non-democratic</v>
      </c>
    </row>
    <row r="1784">
      <c r="B1784" t="str">
        <f t="shared" si="1"/>
        <v>#</v>
      </c>
      <c r="G1784" t="str">
        <f>vlookup(B1784,'imported-population-for-countri'!$A$4:$E$17930,5,false)</f>
        <v>#N/A</v>
      </c>
      <c r="H1784" t="str">
        <f t="shared" si="2"/>
        <v>#N/A</v>
      </c>
      <c r="I1784" t="str">
        <f t="shared" si="3"/>
        <v>Non-democratic</v>
      </c>
    </row>
    <row r="1785">
      <c r="B1785" t="str">
        <f t="shared" si="1"/>
        <v>#</v>
      </c>
      <c r="G1785" t="str">
        <f>vlookup(B1785,'imported-population-for-countri'!$A$4:$E$17930,5,false)</f>
        <v>#N/A</v>
      </c>
      <c r="H1785" t="str">
        <f t="shared" si="2"/>
        <v>#N/A</v>
      </c>
      <c r="I1785" t="str">
        <f t="shared" si="3"/>
        <v>Non-democratic</v>
      </c>
    </row>
    <row r="1786">
      <c r="B1786" t="str">
        <f t="shared" si="1"/>
        <v>#</v>
      </c>
      <c r="G1786" t="str">
        <f>vlookup(B1786,'imported-population-for-countri'!$A$4:$E$17930,5,false)</f>
        <v>#N/A</v>
      </c>
      <c r="H1786" t="str">
        <f t="shared" si="2"/>
        <v>#N/A</v>
      </c>
      <c r="I1786" t="str">
        <f t="shared" si="3"/>
        <v>Non-democratic</v>
      </c>
    </row>
    <row r="1787">
      <c r="B1787" t="str">
        <f t="shared" si="1"/>
        <v>#</v>
      </c>
      <c r="G1787" t="str">
        <f>vlookup(B1787,'imported-population-for-countri'!$A$4:$E$17930,5,false)</f>
        <v>#N/A</v>
      </c>
      <c r="H1787" t="str">
        <f t="shared" si="2"/>
        <v>#N/A</v>
      </c>
      <c r="I1787" t="str">
        <f t="shared" si="3"/>
        <v>Non-democratic</v>
      </c>
    </row>
    <row r="1788">
      <c r="B1788" t="str">
        <f t="shared" si="1"/>
        <v>#</v>
      </c>
      <c r="G1788" t="str">
        <f>vlookup(B1788,'imported-population-for-countri'!$A$4:$E$17930,5,false)</f>
        <v>#N/A</v>
      </c>
      <c r="H1788" t="str">
        <f t="shared" si="2"/>
        <v>#N/A</v>
      </c>
      <c r="I1788" t="str">
        <f t="shared" si="3"/>
        <v>Non-democratic</v>
      </c>
    </row>
    <row r="1789">
      <c r="B1789" t="str">
        <f t="shared" si="1"/>
        <v>#</v>
      </c>
      <c r="G1789" t="str">
        <f>vlookup(B1789,'imported-population-for-countri'!$A$4:$E$17930,5,false)</f>
        <v>#N/A</v>
      </c>
      <c r="H1789" t="str">
        <f t="shared" si="2"/>
        <v>#N/A</v>
      </c>
      <c r="I1789" t="str">
        <f t="shared" si="3"/>
        <v>Non-democratic</v>
      </c>
    </row>
    <row r="1790">
      <c r="B1790" t="str">
        <f t="shared" si="1"/>
        <v>#</v>
      </c>
      <c r="G1790" t="str">
        <f>vlookup(B1790,'imported-population-for-countri'!$A$4:$E$17930,5,false)</f>
        <v>#N/A</v>
      </c>
      <c r="H1790" t="str">
        <f t="shared" si="2"/>
        <v>#N/A</v>
      </c>
      <c r="I1790" t="str">
        <f t="shared" si="3"/>
        <v>Non-democratic</v>
      </c>
    </row>
    <row r="1791">
      <c r="B1791" t="str">
        <f t="shared" si="1"/>
        <v>#</v>
      </c>
      <c r="G1791" t="str">
        <f>vlookup(B1791,'imported-population-for-countri'!$A$4:$E$17930,5,false)</f>
        <v>#N/A</v>
      </c>
      <c r="H1791" t="str">
        <f t="shared" si="2"/>
        <v>#N/A</v>
      </c>
      <c r="I1791" t="str">
        <f t="shared" si="3"/>
        <v>Non-democratic</v>
      </c>
    </row>
    <row r="1792">
      <c r="B1792" t="str">
        <f t="shared" si="1"/>
        <v>#</v>
      </c>
      <c r="G1792" t="str">
        <f>vlookup(B1792,'imported-population-for-countri'!$A$4:$E$17930,5,false)</f>
        <v>#N/A</v>
      </c>
      <c r="H1792" t="str">
        <f t="shared" si="2"/>
        <v>#N/A</v>
      </c>
      <c r="I1792" t="str">
        <f t="shared" si="3"/>
        <v>Non-democratic</v>
      </c>
    </row>
    <row r="1793">
      <c r="B1793" t="str">
        <f t="shared" si="1"/>
        <v>#</v>
      </c>
      <c r="G1793" t="str">
        <f>vlookup(B1793,'imported-population-for-countri'!$A$4:$E$17930,5,false)</f>
        <v>#N/A</v>
      </c>
      <c r="H1793" t="str">
        <f t="shared" si="2"/>
        <v>#N/A</v>
      </c>
      <c r="I1793" t="str">
        <f t="shared" si="3"/>
        <v>Non-democratic</v>
      </c>
    </row>
    <row r="1794">
      <c r="B1794" t="str">
        <f t="shared" si="1"/>
        <v>#</v>
      </c>
      <c r="G1794" t="str">
        <f>vlookup(B1794,'imported-population-for-countri'!$A$4:$E$17930,5,false)</f>
        <v>#N/A</v>
      </c>
      <c r="H1794" t="str">
        <f t="shared" si="2"/>
        <v>#N/A</v>
      </c>
      <c r="I1794" t="str">
        <f t="shared" si="3"/>
        <v>Non-democratic</v>
      </c>
    </row>
    <row r="1795">
      <c r="B1795" t="str">
        <f t="shared" si="1"/>
        <v>#</v>
      </c>
      <c r="G1795" t="str">
        <f>vlookup(B1795,'imported-population-for-countri'!$A$4:$E$17930,5,false)</f>
        <v>#N/A</v>
      </c>
      <c r="H1795" t="str">
        <f t="shared" si="2"/>
        <v>#N/A</v>
      </c>
      <c r="I1795" t="str">
        <f t="shared" si="3"/>
        <v>Non-democratic</v>
      </c>
    </row>
    <row r="1796">
      <c r="B1796" t="str">
        <f t="shared" si="1"/>
        <v>#</v>
      </c>
      <c r="G1796" t="str">
        <f>vlookup(B1796,'imported-population-for-countri'!$A$4:$E$17930,5,false)</f>
        <v>#N/A</v>
      </c>
      <c r="H1796" t="str">
        <f t="shared" si="2"/>
        <v>#N/A</v>
      </c>
      <c r="I1796" t="str">
        <f t="shared" si="3"/>
        <v>Non-democratic</v>
      </c>
    </row>
    <row r="1797">
      <c r="B1797" t="str">
        <f t="shared" si="1"/>
        <v>#</v>
      </c>
      <c r="G1797" t="str">
        <f>vlookup(B1797,'imported-population-for-countri'!$A$4:$E$17930,5,false)</f>
        <v>#N/A</v>
      </c>
      <c r="H1797" t="str">
        <f t="shared" si="2"/>
        <v>#N/A</v>
      </c>
      <c r="I1797" t="str">
        <f t="shared" si="3"/>
        <v>Non-democratic</v>
      </c>
    </row>
    <row r="1798">
      <c r="B1798" t="str">
        <f t="shared" si="1"/>
        <v>#</v>
      </c>
      <c r="G1798" t="str">
        <f>vlookup(B1798,'imported-population-for-countri'!$A$4:$E$17930,5,false)</f>
        <v>#N/A</v>
      </c>
      <c r="H1798" t="str">
        <f t="shared" si="2"/>
        <v>#N/A</v>
      </c>
      <c r="I1798" t="str">
        <f t="shared" si="3"/>
        <v>Non-democratic</v>
      </c>
    </row>
    <row r="1799">
      <c r="B1799" t="str">
        <f t="shared" si="1"/>
        <v>#</v>
      </c>
      <c r="G1799" t="str">
        <f>vlookup(B1799,'imported-population-for-countri'!$A$4:$E$17930,5,false)</f>
        <v>#N/A</v>
      </c>
      <c r="H1799" t="str">
        <f t="shared" si="2"/>
        <v>#N/A</v>
      </c>
      <c r="I1799" t="str">
        <f t="shared" si="3"/>
        <v>Non-democratic</v>
      </c>
    </row>
    <row r="1800">
      <c r="B1800" t="str">
        <f t="shared" si="1"/>
        <v>#</v>
      </c>
      <c r="G1800" t="str">
        <f>vlookup(B1800,'imported-population-for-countri'!$A$4:$E$17930,5,false)</f>
        <v>#N/A</v>
      </c>
      <c r="H1800" t="str">
        <f t="shared" si="2"/>
        <v>#N/A</v>
      </c>
      <c r="I1800" t="str">
        <f t="shared" si="3"/>
        <v>Non-democratic</v>
      </c>
    </row>
    <row r="1801">
      <c r="B1801" t="str">
        <f t="shared" si="1"/>
        <v>#</v>
      </c>
      <c r="G1801" t="str">
        <f>vlookup(B1801,'imported-population-for-countri'!$A$4:$E$17930,5,false)</f>
        <v>#N/A</v>
      </c>
      <c r="H1801" t="str">
        <f t="shared" si="2"/>
        <v>#N/A</v>
      </c>
      <c r="I1801" t="str">
        <f t="shared" si="3"/>
        <v>Non-democratic</v>
      </c>
    </row>
    <row r="1802">
      <c r="B1802" t="str">
        <f t="shared" si="1"/>
        <v>#</v>
      </c>
      <c r="G1802" t="str">
        <f>vlookup(B1802,'imported-population-for-countri'!$A$4:$E$17930,5,false)</f>
        <v>#N/A</v>
      </c>
      <c r="H1802" t="str">
        <f t="shared" si="2"/>
        <v>#N/A</v>
      </c>
      <c r="I1802" t="str">
        <f t="shared" si="3"/>
        <v>Non-democratic</v>
      </c>
    </row>
    <row r="1803">
      <c r="B1803" t="str">
        <f t="shared" si="1"/>
        <v>#</v>
      </c>
      <c r="G1803" t="str">
        <f>vlookup(B1803,'imported-population-for-countri'!$A$4:$E$17930,5,false)</f>
        <v>#N/A</v>
      </c>
      <c r="H1803" t="str">
        <f t="shared" si="2"/>
        <v>#N/A</v>
      </c>
      <c r="I1803" t="str">
        <f t="shared" si="3"/>
        <v>Non-democratic</v>
      </c>
    </row>
    <row r="1804">
      <c r="B1804" t="str">
        <f t="shared" si="1"/>
        <v>#</v>
      </c>
      <c r="G1804" t="str">
        <f>vlookup(B1804,'imported-population-for-countri'!$A$4:$E$17930,5,false)</f>
        <v>#N/A</v>
      </c>
      <c r="H1804" t="str">
        <f t="shared" si="2"/>
        <v>#N/A</v>
      </c>
      <c r="I1804" t="str">
        <f t="shared" si="3"/>
        <v>Non-democratic</v>
      </c>
    </row>
    <row r="1805">
      <c r="B1805" t="str">
        <f t="shared" si="1"/>
        <v>#</v>
      </c>
      <c r="G1805" t="str">
        <f>vlookup(B1805,'imported-population-for-countri'!$A$4:$E$17930,5,false)</f>
        <v>#N/A</v>
      </c>
      <c r="H1805" t="str">
        <f t="shared" si="2"/>
        <v>#N/A</v>
      </c>
      <c r="I1805" t="str">
        <f t="shared" si="3"/>
        <v>Non-democratic</v>
      </c>
    </row>
    <row r="1806">
      <c r="B1806" t="str">
        <f t="shared" si="1"/>
        <v>#</v>
      </c>
      <c r="G1806" t="str">
        <f>vlookup(B1806,'imported-population-for-countri'!$A$4:$E$17930,5,false)</f>
        <v>#N/A</v>
      </c>
      <c r="H1806" t="str">
        <f t="shared" si="2"/>
        <v>#N/A</v>
      </c>
      <c r="I1806" t="str">
        <f t="shared" si="3"/>
        <v>Non-democratic</v>
      </c>
    </row>
    <row r="1807">
      <c r="B1807" t="str">
        <f t="shared" si="1"/>
        <v>#</v>
      </c>
      <c r="G1807" t="str">
        <f>vlookup(B1807,'imported-population-for-countri'!$A$4:$E$17930,5,false)</f>
        <v>#N/A</v>
      </c>
      <c r="H1807" t="str">
        <f t="shared" si="2"/>
        <v>#N/A</v>
      </c>
      <c r="I1807" t="str">
        <f t="shared" si="3"/>
        <v>Non-democratic</v>
      </c>
    </row>
    <row r="1808">
      <c r="B1808" t="str">
        <f t="shared" si="1"/>
        <v>#</v>
      </c>
      <c r="G1808" t="str">
        <f>vlookup(B1808,'imported-population-for-countri'!$A$4:$E$17930,5,false)</f>
        <v>#N/A</v>
      </c>
      <c r="H1808" t="str">
        <f t="shared" si="2"/>
        <v>#N/A</v>
      </c>
      <c r="I1808" t="str">
        <f t="shared" si="3"/>
        <v>Non-democratic</v>
      </c>
    </row>
    <row r="1809">
      <c r="B1809" t="str">
        <f t="shared" si="1"/>
        <v>#</v>
      </c>
      <c r="G1809" t="str">
        <f>vlookup(B1809,'imported-population-for-countri'!$A$4:$E$17930,5,false)</f>
        <v>#N/A</v>
      </c>
      <c r="H1809" t="str">
        <f t="shared" si="2"/>
        <v>#N/A</v>
      </c>
      <c r="I1809" t="str">
        <f t="shared" si="3"/>
        <v>Non-democratic</v>
      </c>
    </row>
    <row r="1810">
      <c r="B1810" t="str">
        <f t="shared" si="1"/>
        <v>#</v>
      </c>
      <c r="G1810" t="str">
        <f>vlookup(B1810,'imported-population-for-countri'!$A$4:$E$17930,5,false)</f>
        <v>#N/A</v>
      </c>
      <c r="H1810" t="str">
        <f t="shared" si="2"/>
        <v>#N/A</v>
      </c>
      <c r="I1810" t="str">
        <f t="shared" si="3"/>
        <v>Non-democratic</v>
      </c>
    </row>
    <row r="1811">
      <c r="B1811" t="str">
        <f t="shared" si="1"/>
        <v>#</v>
      </c>
      <c r="G1811" t="str">
        <f>vlookup(B1811,'imported-population-for-countri'!$A$4:$E$17930,5,false)</f>
        <v>#N/A</v>
      </c>
      <c r="H1811" t="str">
        <f t="shared" si="2"/>
        <v>#N/A</v>
      </c>
      <c r="I1811" t="str">
        <f t="shared" si="3"/>
        <v>Non-democratic</v>
      </c>
    </row>
    <row r="1812">
      <c r="B1812" t="str">
        <f t="shared" si="1"/>
        <v>#</v>
      </c>
      <c r="G1812" t="str">
        <f>vlookup(B1812,'imported-population-for-countri'!$A$4:$E$17930,5,false)</f>
        <v>#N/A</v>
      </c>
      <c r="H1812" t="str">
        <f t="shared" si="2"/>
        <v>#N/A</v>
      </c>
      <c r="I1812" t="str">
        <f t="shared" si="3"/>
        <v>Non-democratic</v>
      </c>
    </row>
    <row r="1813">
      <c r="B1813" t="str">
        <f t="shared" si="1"/>
        <v>#</v>
      </c>
      <c r="G1813" t="str">
        <f>vlookup(B1813,'imported-population-for-countri'!$A$4:$E$17930,5,false)</f>
        <v>#N/A</v>
      </c>
      <c r="H1813" t="str">
        <f t="shared" si="2"/>
        <v>#N/A</v>
      </c>
      <c r="I1813" t="str">
        <f t="shared" si="3"/>
        <v>Non-democratic</v>
      </c>
    </row>
    <row r="1814">
      <c r="B1814" t="str">
        <f t="shared" si="1"/>
        <v>#</v>
      </c>
      <c r="G1814" t="str">
        <f>vlookup(B1814,'imported-population-for-countri'!$A$4:$E$17930,5,false)</f>
        <v>#N/A</v>
      </c>
      <c r="H1814" t="str">
        <f t="shared" si="2"/>
        <v>#N/A</v>
      </c>
      <c r="I1814" t="str">
        <f t="shared" si="3"/>
        <v>Non-democratic</v>
      </c>
    </row>
    <row r="1815">
      <c r="B1815" t="str">
        <f t="shared" si="1"/>
        <v>#</v>
      </c>
      <c r="G1815" t="str">
        <f>vlookup(B1815,'imported-population-for-countri'!$A$4:$E$17930,5,false)</f>
        <v>#N/A</v>
      </c>
      <c r="H1815" t="str">
        <f t="shared" si="2"/>
        <v>#N/A</v>
      </c>
      <c r="I1815" t="str">
        <f t="shared" si="3"/>
        <v>Non-democratic</v>
      </c>
    </row>
    <row r="1816">
      <c r="B1816" t="str">
        <f t="shared" si="1"/>
        <v>#</v>
      </c>
      <c r="G1816" t="str">
        <f>vlookup(B1816,'imported-population-for-countri'!$A$4:$E$17930,5,false)</f>
        <v>#N/A</v>
      </c>
      <c r="H1816" t="str">
        <f t="shared" si="2"/>
        <v>#N/A</v>
      </c>
      <c r="I1816" t="str">
        <f t="shared" si="3"/>
        <v>Non-democratic</v>
      </c>
    </row>
    <row r="1817">
      <c r="B1817" t="str">
        <f t="shared" si="1"/>
        <v>#</v>
      </c>
      <c r="G1817" t="str">
        <f>vlookup(B1817,'imported-population-for-countri'!$A$4:$E$17930,5,false)</f>
        <v>#N/A</v>
      </c>
      <c r="H1817" t="str">
        <f t="shared" si="2"/>
        <v>#N/A</v>
      </c>
      <c r="I1817" t="str">
        <f t="shared" si="3"/>
        <v>Non-democratic</v>
      </c>
    </row>
    <row r="1818">
      <c r="B1818" t="str">
        <f t="shared" si="1"/>
        <v>#</v>
      </c>
      <c r="G1818" t="str">
        <f>vlookup(B1818,'imported-population-for-countri'!$A$4:$E$17930,5,false)</f>
        <v>#N/A</v>
      </c>
      <c r="H1818" t="str">
        <f t="shared" si="2"/>
        <v>#N/A</v>
      </c>
      <c r="I1818" t="str">
        <f t="shared" si="3"/>
        <v>Non-democratic</v>
      </c>
    </row>
    <row r="1819">
      <c r="B1819" t="str">
        <f t="shared" si="1"/>
        <v>#</v>
      </c>
      <c r="G1819" t="str">
        <f>vlookup(B1819,'imported-population-for-countri'!$A$4:$E$17930,5,false)</f>
        <v>#N/A</v>
      </c>
      <c r="H1819" t="str">
        <f t="shared" si="2"/>
        <v>#N/A</v>
      </c>
      <c r="I1819" t="str">
        <f t="shared" si="3"/>
        <v>Non-democratic</v>
      </c>
    </row>
    <row r="1820">
      <c r="B1820" t="str">
        <f t="shared" si="1"/>
        <v>#</v>
      </c>
      <c r="G1820" t="str">
        <f>vlookup(B1820,'imported-population-for-countri'!$A$4:$E$17930,5,false)</f>
        <v>#N/A</v>
      </c>
      <c r="H1820" t="str">
        <f t="shared" si="2"/>
        <v>#N/A</v>
      </c>
      <c r="I1820" t="str">
        <f t="shared" si="3"/>
        <v>Non-democratic</v>
      </c>
    </row>
    <row r="1821">
      <c r="B1821" t="str">
        <f t="shared" si="1"/>
        <v>#</v>
      </c>
      <c r="G1821" t="str">
        <f>vlookup(B1821,'imported-population-for-countri'!$A$4:$E$17930,5,false)</f>
        <v>#N/A</v>
      </c>
      <c r="H1821" t="str">
        <f t="shared" si="2"/>
        <v>#N/A</v>
      </c>
      <c r="I1821" t="str">
        <f t="shared" si="3"/>
        <v>Non-democratic</v>
      </c>
    </row>
    <row r="1822">
      <c r="B1822" t="str">
        <f t="shared" si="1"/>
        <v>#</v>
      </c>
      <c r="G1822" t="str">
        <f>vlookup(B1822,'imported-population-for-countri'!$A$4:$E$17930,5,false)</f>
        <v>#N/A</v>
      </c>
      <c r="H1822" t="str">
        <f t="shared" si="2"/>
        <v>#N/A</v>
      </c>
      <c r="I1822" t="str">
        <f t="shared" si="3"/>
        <v>Non-democratic</v>
      </c>
    </row>
    <row r="1823">
      <c r="B1823" t="str">
        <f t="shared" si="1"/>
        <v>#</v>
      </c>
      <c r="G1823" t="str">
        <f>vlookup(B1823,'imported-population-for-countri'!$A$4:$E$17930,5,false)</f>
        <v>#N/A</v>
      </c>
      <c r="H1823" t="str">
        <f t="shared" si="2"/>
        <v>#N/A</v>
      </c>
      <c r="I1823" t="str">
        <f t="shared" si="3"/>
        <v>Non-democratic</v>
      </c>
    </row>
    <row r="1824">
      <c r="B1824" t="str">
        <f t="shared" si="1"/>
        <v>#</v>
      </c>
      <c r="G1824" t="str">
        <f>vlookup(B1824,'imported-population-for-countri'!$A$4:$E$17930,5,false)</f>
        <v>#N/A</v>
      </c>
      <c r="H1824" t="str">
        <f t="shared" si="2"/>
        <v>#N/A</v>
      </c>
      <c r="I1824" t="str">
        <f t="shared" si="3"/>
        <v>Non-democratic</v>
      </c>
    </row>
    <row r="1825">
      <c r="B1825" t="str">
        <f t="shared" si="1"/>
        <v>#</v>
      </c>
      <c r="G1825" t="str">
        <f>vlookup(B1825,'imported-population-for-countri'!$A$4:$E$17930,5,false)</f>
        <v>#N/A</v>
      </c>
      <c r="H1825" t="str">
        <f t="shared" si="2"/>
        <v>#N/A</v>
      </c>
      <c r="I1825" t="str">
        <f t="shared" si="3"/>
        <v>Non-democratic</v>
      </c>
    </row>
    <row r="1826">
      <c r="B1826" t="str">
        <f t="shared" si="1"/>
        <v>#</v>
      </c>
      <c r="G1826" t="str">
        <f>vlookup(B1826,'imported-population-for-countri'!$A$4:$E$17930,5,false)</f>
        <v>#N/A</v>
      </c>
      <c r="H1826" t="str">
        <f t="shared" si="2"/>
        <v>#N/A</v>
      </c>
      <c r="I1826" t="str">
        <f t="shared" si="3"/>
        <v>Non-democratic</v>
      </c>
    </row>
    <row r="1827">
      <c r="B1827" t="str">
        <f t="shared" si="1"/>
        <v>#</v>
      </c>
      <c r="G1827" t="str">
        <f>vlookup(B1827,'imported-population-for-countri'!$A$4:$E$17930,5,false)</f>
        <v>#N/A</v>
      </c>
      <c r="H1827" t="str">
        <f t="shared" si="2"/>
        <v>#N/A</v>
      </c>
      <c r="I1827" t="str">
        <f t="shared" si="3"/>
        <v>Non-democratic</v>
      </c>
    </row>
    <row r="1828">
      <c r="B1828" t="str">
        <f t="shared" si="1"/>
        <v>#</v>
      </c>
      <c r="G1828" t="str">
        <f>vlookup(B1828,'imported-population-for-countri'!$A$4:$E$17930,5,false)</f>
        <v>#N/A</v>
      </c>
      <c r="H1828" t="str">
        <f t="shared" si="2"/>
        <v>#N/A</v>
      </c>
      <c r="I1828" t="str">
        <f t="shared" si="3"/>
        <v>Non-democratic</v>
      </c>
    </row>
    <row r="1829">
      <c r="B1829" t="str">
        <f t="shared" si="1"/>
        <v>#</v>
      </c>
      <c r="G1829" t="str">
        <f>vlookup(B1829,'imported-population-for-countri'!$A$4:$E$17930,5,false)</f>
        <v>#N/A</v>
      </c>
      <c r="H1829" t="str">
        <f t="shared" si="2"/>
        <v>#N/A</v>
      </c>
      <c r="I1829" t="str">
        <f t="shared" si="3"/>
        <v>Non-democratic</v>
      </c>
    </row>
    <row r="1830">
      <c r="B1830" t="str">
        <f t="shared" si="1"/>
        <v>#</v>
      </c>
      <c r="G1830" t="str">
        <f>vlookup(B1830,'imported-population-for-countri'!$A$4:$E$17930,5,false)</f>
        <v>#N/A</v>
      </c>
      <c r="H1830" t="str">
        <f t="shared" si="2"/>
        <v>#N/A</v>
      </c>
      <c r="I1830" t="str">
        <f t="shared" si="3"/>
        <v>Non-democratic</v>
      </c>
    </row>
    <row r="1831">
      <c r="B1831" t="str">
        <f t="shared" si="1"/>
        <v>#</v>
      </c>
      <c r="G1831" t="str">
        <f>vlookup(B1831,'imported-population-for-countri'!$A$4:$E$17930,5,false)</f>
        <v>#N/A</v>
      </c>
      <c r="H1831" t="str">
        <f t="shared" si="2"/>
        <v>#N/A</v>
      </c>
      <c r="I1831" t="str">
        <f t="shared" si="3"/>
        <v>Non-democratic</v>
      </c>
    </row>
    <row r="1832">
      <c r="B1832" t="str">
        <f t="shared" si="1"/>
        <v>#</v>
      </c>
      <c r="G1832" t="str">
        <f>vlookup(B1832,'imported-population-for-countri'!$A$4:$E$17930,5,false)</f>
        <v>#N/A</v>
      </c>
      <c r="H1832" t="str">
        <f t="shared" si="2"/>
        <v>#N/A</v>
      </c>
      <c r="I1832" t="str">
        <f t="shared" si="3"/>
        <v>Non-democratic</v>
      </c>
    </row>
    <row r="1833">
      <c r="B1833" t="str">
        <f t="shared" si="1"/>
        <v>#</v>
      </c>
      <c r="G1833" t="str">
        <f>vlookup(B1833,'imported-population-for-countri'!$A$4:$E$17930,5,false)</f>
        <v>#N/A</v>
      </c>
      <c r="H1833" t="str">
        <f t="shared" si="2"/>
        <v>#N/A</v>
      </c>
      <c r="I1833" t="str">
        <f t="shared" si="3"/>
        <v>Non-democratic</v>
      </c>
    </row>
    <row r="1834">
      <c r="B1834" t="str">
        <f t="shared" si="1"/>
        <v>#</v>
      </c>
      <c r="G1834" t="str">
        <f>vlookup(B1834,'imported-population-for-countri'!$A$4:$E$17930,5,false)</f>
        <v>#N/A</v>
      </c>
      <c r="H1834" t="str">
        <f t="shared" si="2"/>
        <v>#N/A</v>
      </c>
      <c r="I1834" t="str">
        <f t="shared" si="3"/>
        <v>Non-democratic</v>
      </c>
    </row>
    <row r="1835">
      <c r="B1835" t="str">
        <f t="shared" si="1"/>
        <v>#</v>
      </c>
      <c r="G1835" t="str">
        <f>vlookup(B1835,'imported-population-for-countri'!$A$4:$E$17930,5,false)</f>
        <v>#N/A</v>
      </c>
      <c r="H1835" t="str">
        <f t="shared" si="2"/>
        <v>#N/A</v>
      </c>
      <c r="I1835" t="str">
        <f t="shared" si="3"/>
        <v>Non-democratic</v>
      </c>
    </row>
    <row r="1836">
      <c r="B1836" t="str">
        <f t="shared" si="1"/>
        <v>#</v>
      </c>
      <c r="G1836" t="str">
        <f>vlookup(B1836,'imported-population-for-countri'!$A$4:$E$17930,5,false)</f>
        <v>#N/A</v>
      </c>
      <c r="H1836" t="str">
        <f t="shared" si="2"/>
        <v>#N/A</v>
      </c>
      <c r="I1836" t="str">
        <f t="shared" si="3"/>
        <v>Non-democratic</v>
      </c>
    </row>
    <row r="1837">
      <c r="B1837" t="str">
        <f t="shared" si="1"/>
        <v>#</v>
      </c>
      <c r="G1837" t="str">
        <f>vlookup(B1837,'imported-population-for-countri'!$A$4:$E$17930,5,false)</f>
        <v>#N/A</v>
      </c>
      <c r="H1837" t="str">
        <f t="shared" si="2"/>
        <v>#N/A</v>
      </c>
      <c r="I1837" t="str">
        <f t="shared" si="3"/>
        <v>Non-democratic</v>
      </c>
    </row>
    <row r="1838">
      <c r="B1838" t="str">
        <f t="shared" si="1"/>
        <v>#</v>
      </c>
      <c r="G1838" t="str">
        <f>vlookup(B1838,'imported-population-for-countri'!$A$4:$E$17930,5,false)</f>
        <v>#N/A</v>
      </c>
      <c r="H1838" t="str">
        <f t="shared" si="2"/>
        <v>#N/A</v>
      </c>
      <c r="I1838" t="str">
        <f t="shared" si="3"/>
        <v>Non-democratic</v>
      </c>
    </row>
    <row r="1839">
      <c r="B1839" t="str">
        <f t="shared" si="1"/>
        <v>#</v>
      </c>
      <c r="G1839" t="str">
        <f>vlookup(B1839,'imported-population-for-countri'!$A$4:$E$17930,5,false)</f>
        <v>#N/A</v>
      </c>
      <c r="H1839" t="str">
        <f t="shared" si="2"/>
        <v>#N/A</v>
      </c>
      <c r="I1839" t="str">
        <f t="shared" si="3"/>
        <v>Non-democratic</v>
      </c>
    </row>
    <row r="1840">
      <c r="B1840" t="str">
        <f t="shared" si="1"/>
        <v>#</v>
      </c>
      <c r="G1840" t="str">
        <f>vlookup(B1840,'imported-population-for-countri'!$A$4:$E$17930,5,false)</f>
        <v>#N/A</v>
      </c>
      <c r="H1840" t="str">
        <f t="shared" si="2"/>
        <v>#N/A</v>
      </c>
      <c r="I1840" t="str">
        <f t="shared" si="3"/>
        <v>Non-democratic</v>
      </c>
    </row>
    <row r="1841">
      <c r="B1841" t="str">
        <f t="shared" si="1"/>
        <v>#</v>
      </c>
      <c r="G1841" t="str">
        <f>vlookup(B1841,'imported-population-for-countri'!$A$4:$E$17930,5,false)</f>
        <v>#N/A</v>
      </c>
      <c r="H1841" t="str">
        <f t="shared" si="2"/>
        <v>#N/A</v>
      </c>
      <c r="I1841" t="str">
        <f t="shared" si="3"/>
        <v>Non-democratic</v>
      </c>
    </row>
    <row r="1842">
      <c r="B1842" t="str">
        <f t="shared" si="1"/>
        <v>#</v>
      </c>
      <c r="G1842" t="str">
        <f>vlookup(B1842,'imported-population-for-countri'!$A$4:$E$17930,5,false)</f>
        <v>#N/A</v>
      </c>
      <c r="H1842" t="str">
        <f t="shared" si="2"/>
        <v>#N/A</v>
      </c>
      <c r="I1842" t="str">
        <f t="shared" si="3"/>
        <v>Non-democratic</v>
      </c>
    </row>
    <row r="1843">
      <c r="B1843" t="str">
        <f t="shared" si="1"/>
        <v>#</v>
      </c>
      <c r="G1843" t="str">
        <f>vlookup(B1843,'imported-population-for-countri'!$A$4:$E$17930,5,false)</f>
        <v>#N/A</v>
      </c>
      <c r="H1843" t="str">
        <f t="shared" si="2"/>
        <v>#N/A</v>
      </c>
      <c r="I1843" t="str">
        <f t="shared" si="3"/>
        <v>Non-democratic</v>
      </c>
    </row>
    <row r="1844">
      <c r="B1844" t="str">
        <f t="shared" si="1"/>
        <v>#</v>
      </c>
      <c r="G1844" t="str">
        <f>vlookup(B1844,'imported-population-for-countri'!$A$4:$E$17930,5,false)</f>
        <v>#N/A</v>
      </c>
      <c r="H1844" t="str">
        <f t="shared" si="2"/>
        <v>#N/A</v>
      </c>
      <c r="I1844" t="str">
        <f t="shared" si="3"/>
        <v>Non-democratic</v>
      </c>
    </row>
    <row r="1845">
      <c r="B1845" t="str">
        <f t="shared" si="1"/>
        <v>#</v>
      </c>
      <c r="G1845" t="str">
        <f>vlookup(B1845,'imported-population-for-countri'!$A$4:$E$17930,5,false)</f>
        <v>#N/A</v>
      </c>
      <c r="H1845" t="str">
        <f t="shared" si="2"/>
        <v>#N/A</v>
      </c>
      <c r="I1845" t="str">
        <f t="shared" si="3"/>
        <v>Non-democratic</v>
      </c>
    </row>
    <row r="1846">
      <c r="B1846" t="str">
        <f t="shared" si="1"/>
        <v>#</v>
      </c>
      <c r="G1846" t="str">
        <f>vlookup(B1846,'imported-population-for-countri'!$A$4:$E$17930,5,false)</f>
        <v>#N/A</v>
      </c>
      <c r="H1846" t="str">
        <f t="shared" si="2"/>
        <v>#N/A</v>
      </c>
      <c r="I1846" t="str">
        <f t="shared" si="3"/>
        <v>Non-democratic</v>
      </c>
    </row>
    <row r="1847">
      <c r="B1847" t="str">
        <f t="shared" si="1"/>
        <v>#</v>
      </c>
      <c r="G1847" t="str">
        <f>vlookup(B1847,'imported-population-for-countri'!$A$4:$E$17930,5,false)</f>
        <v>#N/A</v>
      </c>
      <c r="H1847" t="str">
        <f t="shared" si="2"/>
        <v>#N/A</v>
      </c>
      <c r="I1847" t="str">
        <f t="shared" si="3"/>
        <v>Non-democratic</v>
      </c>
    </row>
    <row r="1848">
      <c r="B1848" t="str">
        <f t="shared" si="1"/>
        <v>#</v>
      </c>
      <c r="G1848" t="str">
        <f>vlookup(B1848,'imported-population-for-countri'!$A$4:$E$17930,5,false)</f>
        <v>#N/A</v>
      </c>
      <c r="H1848" t="str">
        <f t="shared" si="2"/>
        <v>#N/A</v>
      </c>
      <c r="I1848" t="str">
        <f t="shared" si="3"/>
        <v>Non-democratic</v>
      </c>
    </row>
    <row r="1849">
      <c r="B1849" t="str">
        <f t="shared" si="1"/>
        <v>#</v>
      </c>
      <c r="G1849" t="str">
        <f>vlookup(B1849,'imported-population-for-countri'!$A$4:$E$17930,5,false)</f>
        <v>#N/A</v>
      </c>
      <c r="H1849" t="str">
        <f t="shared" si="2"/>
        <v>#N/A</v>
      </c>
      <c r="I1849" t="str">
        <f t="shared" si="3"/>
        <v>Non-democratic</v>
      </c>
    </row>
    <row r="1850">
      <c r="B1850" t="str">
        <f t="shared" si="1"/>
        <v>#</v>
      </c>
      <c r="G1850" t="str">
        <f>vlookup(B1850,'imported-population-for-countri'!$A$4:$E$17930,5,false)</f>
        <v>#N/A</v>
      </c>
      <c r="H1850" t="str">
        <f t="shared" si="2"/>
        <v>#N/A</v>
      </c>
      <c r="I1850" t="str">
        <f t="shared" si="3"/>
        <v>Non-democratic</v>
      </c>
    </row>
    <row r="1851">
      <c r="B1851" t="str">
        <f t="shared" si="1"/>
        <v>#</v>
      </c>
      <c r="G1851" t="str">
        <f>vlookup(B1851,'imported-population-for-countri'!$A$4:$E$17930,5,false)</f>
        <v>#N/A</v>
      </c>
      <c r="H1851" t="str">
        <f t="shared" si="2"/>
        <v>#N/A</v>
      </c>
      <c r="I1851" t="str">
        <f t="shared" si="3"/>
        <v>Non-democratic</v>
      </c>
    </row>
    <row r="1852">
      <c r="B1852" t="str">
        <f t="shared" si="1"/>
        <v>#</v>
      </c>
      <c r="G1852" t="str">
        <f>vlookup(B1852,'imported-population-for-countri'!$A$4:$E$17930,5,false)</f>
        <v>#N/A</v>
      </c>
      <c r="H1852" t="str">
        <f t="shared" si="2"/>
        <v>#N/A</v>
      </c>
      <c r="I1852" t="str">
        <f t="shared" si="3"/>
        <v>Non-democratic</v>
      </c>
    </row>
    <row r="1853">
      <c r="B1853" t="str">
        <f t="shared" si="1"/>
        <v>#</v>
      </c>
      <c r="G1853" t="str">
        <f>vlookup(B1853,'imported-population-for-countri'!$A$4:$E$17930,5,false)</f>
        <v>#N/A</v>
      </c>
      <c r="H1853" t="str">
        <f t="shared" si="2"/>
        <v>#N/A</v>
      </c>
      <c r="I1853" t="str">
        <f t="shared" si="3"/>
        <v>Non-democratic</v>
      </c>
    </row>
    <row r="1854">
      <c r="B1854" t="str">
        <f t="shared" si="1"/>
        <v>#</v>
      </c>
      <c r="G1854" t="str">
        <f>vlookup(B1854,'imported-population-for-countri'!$A$4:$E$17930,5,false)</f>
        <v>#N/A</v>
      </c>
      <c r="H1854" t="str">
        <f t="shared" si="2"/>
        <v>#N/A</v>
      </c>
      <c r="I1854" t="str">
        <f t="shared" si="3"/>
        <v>Non-democratic</v>
      </c>
    </row>
    <row r="1855">
      <c r="B1855" t="str">
        <f t="shared" si="1"/>
        <v>#</v>
      </c>
      <c r="G1855" t="str">
        <f>vlookup(B1855,'imported-population-for-countri'!$A$4:$E$17930,5,false)</f>
        <v>#N/A</v>
      </c>
      <c r="H1855" t="str">
        <f t="shared" si="2"/>
        <v>#N/A</v>
      </c>
      <c r="I1855" t="str">
        <f t="shared" si="3"/>
        <v>Non-democratic</v>
      </c>
    </row>
    <row r="1856">
      <c r="B1856" t="str">
        <f t="shared" si="1"/>
        <v>#</v>
      </c>
      <c r="G1856" t="str">
        <f>vlookup(B1856,'imported-population-for-countri'!$A$4:$E$17930,5,false)</f>
        <v>#N/A</v>
      </c>
      <c r="H1856" t="str">
        <f t="shared" si="2"/>
        <v>#N/A</v>
      </c>
      <c r="I1856" t="str">
        <f t="shared" si="3"/>
        <v>Non-democratic</v>
      </c>
    </row>
    <row r="1857">
      <c r="B1857" t="str">
        <f t="shared" si="1"/>
        <v>#</v>
      </c>
      <c r="G1857" t="str">
        <f>vlookup(B1857,'imported-population-for-countri'!$A$4:$E$17930,5,false)</f>
        <v>#N/A</v>
      </c>
      <c r="H1857" t="str">
        <f t="shared" si="2"/>
        <v>#N/A</v>
      </c>
      <c r="I1857" t="str">
        <f t="shared" si="3"/>
        <v>Non-democratic</v>
      </c>
    </row>
    <row r="1858">
      <c r="B1858" t="str">
        <f t="shared" si="1"/>
        <v>#</v>
      </c>
      <c r="G1858" t="str">
        <f>vlookup(B1858,'imported-population-for-countri'!$A$4:$E$17930,5,false)</f>
        <v>#N/A</v>
      </c>
      <c r="H1858" t="str">
        <f t="shared" si="2"/>
        <v>#N/A</v>
      </c>
      <c r="I1858" t="str">
        <f t="shared" si="3"/>
        <v>Non-democratic</v>
      </c>
    </row>
    <row r="1859">
      <c r="B1859" t="str">
        <f t="shared" si="1"/>
        <v>#</v>
      </c>
      <c r="G1859" t="str">
        <f>vlookup(B1859,'imported-population-for-countri'!$A$4:$E$17930,5,false)</f>
        <v>#N/A</v>
      </c>
      <c r="H1859" t="str">
        <f t="shared" si="2"/>
        <v>#N/A</v>
      </c>
      <c r="I1859" t="str">
        <f t="shared" si="3"/>
        <v>Non-democratic</v>
      </c>
    </row>
    <row r="1860">
      <c r="B1860" t="str">
        <f t="shared" si="1"/>
        <v>#</v>
      </c>
      <c r="G1860" t="str">
        <f>vlookup(B1860,'imported-population-for-countri'!$A$4:$E$17930,5,false)</f>
        <v>#N/A</v>
      </c>
      <c r="H1860" t="str">
        <f t="shared" si="2"/>
        <v>#N/A</v>
      </c>
      <c r="I1860" t="str">
        <f t="shared" si="3"/>
        <v>Non-democratic</v>
      </c>
    </row>
    <row r="1861">
      <c r="B1861" t="str">
        <f t="shared" si="1"/>
        <v>#</v>
      </c>
      <c r="G1861" t="str">
        <f>vlookup(B1861,'imported-population-for-countri'!$A$4:$E$17930,5,false)</f>
        <v>#N/A</v>
      </c>
      <c r="H1861" t="str">
        <f t="shared" si="2"/>
        <v>#N/A</v>
      </c>
      <c r="I1861" t="str">
        <f t="shared" si="3"/>
        <v>Non-democratic</v>
      </c>
    </row>
    <row r="1862">
      <c r="B1862" t="str">
        <f t="shared" si="1"/>
        <v>#</v>
      </c>
      <c r="G1862" t="str">
        <f>vlookup(B1862,'imported-population-for-countri'!$A$4:$E$17930,5,false)</f>
        <v>#N/A</v>
      </c>
      <c r="H1862" t="str">
        <f t="shared" si="2"/>
        <v>#N/A</v>
      </c>
      <c r="I1862" t="str">
        <f t="shared" si="3"/>
        <v>Non-democratic</v>
      </c>
    </row>
    <row r="1863">
      <c r="B1863" t="str">
        <f t="shared" si="1"/>
        <v>#</v>
      </c>
      <c r="G1863" t="str">
        <f>vlookup(B1863,'imported-population-for-countri'!$A$4:$E$17930,5,false)</f>
        <v>#N/A</v>
      </c>
      <c r="H1863" t="str">
        <f t="shared" si="2"/>
        <v>#N/A</v>
      </c>
      <c r="I1863" t="str">
        <f t="shared" si="3"/>
        <v>Non-democratic</v>
      </c>
    </row>
    <row r="1864">
      <c r="B1864" t="str">
        <f t="shared" si="1"/>
        <v>#</v>
      </c>
      <c r="G1864" t="str">
        <f>vlookup(B1864,'imported-population-for-countri'!$A$4:$E$17930,5,false)</f>
        <v>#N/A</v>
      </c>
      <c r="H1864" t="str">
        <f t="shared" si="2"/>
        <v>#N/A</v>
      </c>
      <c r="I1864" t="str">
        <f t="shared" si="3"/>
        <v>Non-democratic</v>
      </c>
    </row>
    <row r="1865">
      <c r="B1865" t="str">
        <f t="shared" si="1"/>
        <v>#</v>
      </c>
      <c r="G1865" t="str">
        <f>vlookup(B1865,'imported-population-for-countri'!$A$4:$E$17930,5,false)</f>
        <v>#N/A</v>
      </c>
      <c r="H1865" t="str">
        <f t="shared" si="2"/>
        <v>#N/A</v>
      </c>
      <c r="I1865" t="str">
        <f t="shared" si="3"/>
        <v>Non-democratic</v>
      </c>
    </row>
    <row r="1866">
      <c r="B1866" t="str">
        <f t="shared" si="1"/>
        <v>#</v>
      </c>
      <c r="G1866" t="str">
        <f>vlookup(B1866,'imported-population-for-countri'!$A$4:$E$17930,5,false)</f>
        <v>#N/A</v>
      </c>
      <c r="H1866" t="str">
        <f t="shared" si="2"/>
        <v>#N/A</v>
      </c>
      <c r="I1866" t="str">
        <f t="shared" si="3"/>
        <v>Non-democratic</v>
      </c>
    </row>
    <row r="1867">
      <c r="B1867" t="str">
        <f t="shared" si="1"/>
        <v>#</v>
      </c>
      <c r="G1867" t="str">
        <f>vlookup(B1867,'imported-population-for-countri'!$A$4:$E$17930,5,false)</f>
        <v>#N/A</v>
      </c>
      <c r="H1867" t="str">
        <f t="shared" si="2"/>
        <v>#N/A</v>
      </c>
      <c r="I1867" t="str">
        <f t="shared" si="3"/>
        <v>Non-democratic</v>
      </c>
    </row>
    <row r="1868">
      <c r="B1868" t="str">
        <f t="shared" si="1"/>
        <v>#</v>
      </c>
      <c r="G1868" t="str">
        <f>vlookup(B1868,'imported-population-for-countri'!$A$4:$E$17930,5,false)</f>
        <v>#N/A</v>
      </c>
      <c r="H1868" t="str">
        <f t="shared" si="2"/>
        <v>#N/A</v>
      </c>
      <c r="I1868" t="str">
        <f t="shared" si="3"/>
        <v>Non-democratic</v>
      </c>
    </row>
    <row r="1869">
      <c r="B1869" t="str">
        <f t="shared" si="1"/>
        <v>#</v>
      </c>
      <c r="G1869" t="str">
        <f>vlookup(B1869,'imported-population-for-countri'!$A$4:$E$17930,5,false)</f>
        <v>#N/A</v>
      </c>
      <c r="H1869" t="str">
        <f t="shared" si="2"/>
        <v>#N/A</v>
      </c>
      <c r="I1869" t="str">
        <f t="shared" si="3"/>
        <v>Non-democratic</v>
      </c>
    </row>
    <row r="1870">
      <c r="B1870" t="str">
        <f t="shared" si="1"/>
        <v>#</v>
      </c>
      <c r="G1870" t="str">
        <f>vlookup(B1870,'imported-population-for-countri'!$A$4:$E$17930,5,false)</f>
        <v>#N/A</v>
      </c>
      <c r="H1870" t="str">
        <f t="shared" si="2"/>
        <v>#N/A</v>
      </c>
      <c r="I1870" t="str">
        <f t="shared" si="3"/>
        <v>Non-democratic</v>
      </c>
    </row>
    <row r="1871">
      <c r="B1871" t="str">
        <f t="shared" si="1"/>
        <v>#</v>
      </c>
      <c r="G1871" t="str">
        <f>vlookup(B1871,'imported-population-for-countri'!$A$4:$E$17930,5,false)</f>
        <v>#N/A</v>
      </c>
      <c r="H1871" t="str">
        <f t="shared" si="2"/>
        <v>#N/A</v>
      </c>
      <c r="I1871" t="str">
        <f t="shared" si="3"/>
        <v>Non-democratic</v>
      </c>
    </row>
    <row r="1872">
      <c r="B1872" t="str">
        <f t="shared" si="1"/>
        <v>#</v>
      </c>
      <c r="G1872" t="str">
        <f>vlookup(B1872,'imported-population-for-countri'!$A$4:$E$17930,5,false)</f>
        <v>#N/A</v>
      </c>
      <c r="H1872" t="str">
        <f t="shared" si="2"/>
        <v>#N/A</v>
      </c>
      <c r="I1872" t="str">
        <f t="shared" si="3"/>
        <v>Non-democratic</v>
      </c>
    </row>
    <row r="1873">
      <c r="B1873" t="str">
        <f t="shared" si="1"/>
        <v>#</v>
      </c>
      <c r="G1873" t="str">
        <f>vlookup(B1873,'imported-population-for-countri'!$A$4:$E$17930,5,false)</f>
        <v>#N/A</v>
      </c>
      <c r="H1873" t="str">
        <f t="shared" si="2"/>
        <v>#N/A</v>
      </c>
      <c r="I1873" t="str">
        <f t="shared" si="3"/>
        <v>Non-democratic</v>
      </c>
    </row>
    <row r="1874">
      <c r="B1874" t="str">
        <f t="shared" si="1"/>
        <v>#</v>
      </c>
      <c r="G1874" t="str">
        <f>vlookup(B1874,'imported-population-for-countri'!$A$4:$E$17930,5,false)</f>
        <v>#N/A</v>
      </c>
      <c r="H1874" t="str">
        <f t="shared" si="2"/>
        <v>#N/A</v>
      </c>
      <c r="I1874" t="str">
        <f t="shared" si="3"/>
        <v>Non-democratic</v>
      </c>
    </row>
    <row r="1875">
      <c r="B1875" t="str">
        <f t="shared" si="1"/>
        <v>#</v>
      </c>
      <c r="G1875" t="str">
        <f>vlookup(B1875,'imported-population-for-countri'!$A$4:$E$17930,5,false)</f>
        <v>#N/A</v>
      </c>
      <c r="H1875" t="str">
        <f t="shared" si="2"/>
        <v>#N/A</v>
      </c>
      <c r="I1875" t="str">
        <f t="shared" si="3"/>
        <v>Non-democratic</v>
      </c>
    </row>
    <row r="1876">
      <c r="B1876" t="str">
        <f t="shared" si="1"/>
        <v>#</v>
      </c>
      <c r="G1876" t="str">
        <f>vlookup(B1876,'imported-population-for-countri'!$A$4:$E$17930,5,false)</f>
        <v>#N/A</v>
      </c>
      <c r="H1876" t="str">
        <f t="shared" si="2"/>
        <v>#N/A</v>
      </c>
      <c r="I1876" t="str">
        <f t="shared" si="3"/>
        <v>Non-democratic</v>
      </c>
    </row>
    <row r="1877">
      <c r="B1877" t="str">
        <f t="shared" si="1"/>
        <v>#</v>
      </c>
      <c r="G1877" t="str">
        <f>vlookup(B1877,'imported-population-for-countri'!$A$4:$E$17930,5,false)</f>
        <v>#N/A</v>
      </c>
      <c r="H1877" t="str">
        <f t="shared" si="2"/>
        <v>#N/A</v>
      </c>
      <c r="I1877" t="str">
        <f t="shared" si="3"/>
        <v>Non-democratic</v>
      </c>
    </row>
    <row r="1878">
      <c r="B1878" t="str">
        <f t="shared" si="1"/>
        <v>#</v>
      </c>
      <c r="G1878" t="str">
        <f>vlookup(B1878,'imported-population-for-countri'!$A$4:$E$17930,5,false)</f>
        <v>#N/A</v>
      </c>
      <c r="H1878" t="str">
        <f t="shared" si="2"/>
        <v>#N/A</v>
      </c>
      <c r="I1878" t="str">
        <f t="shared" si="3"/>
        <v>Non-democratic</v>
      </c>
    </row>
    <row r="1879">
      <c r="B1879" t="str">
        <f t="shared" si="1"/>
        <v>#</v>
      </c>
      <c r="G1879" t="str">
        <f>vlookup(B1879,'imported-population-for-countri'!$A$4:$E$17930,5,false)</f>
        <v>#N/A</v>
      </c>
      <c r="H1879" t="str">
        <f t="shared" si="2"/>
        <v>#N/A</v>
      </c>
      <c r="I1879" t="str">
        <f t="shared" si="3"/>
        <v>Non-democratic</v>
      </c>
    </row>
    <row r="1880">
      <c r="B1880" t="str">
        <f t="shared" si="1"/>
        <v>#</v>
      </c>
      <c r="G1880" t="str">
        <f>vlookup(B1880,'imported-population-for-countri'!$A$4:$E$17930,5,false)</f>
        <v>#N/A</v>
      </c>
      <c r="H1880" t="str">
        <f t="shared" si="2"/>
        <v>#N/A</v>
      </c>
      <c r="I1880" t="str">
        <f t="shared" si="3"/>
        <v>Non-democratic</v>
      </c>
    </row>
    <row r="1881">
      <c r="B1881" t="str">
        <f t="shared" si="1"/>
        <v>#</v>
      </c>
      <c r="G1881" t="str">
        <f>vlookup(B1881,'imported-population-for-countri'!$A$4:$E$17930,5,false)</f>
        <v>#N/A</v>
      </c>
      <c r="H1881" t="str">
        <f t="shared" si="2"/>
        <v>#N/A</v>
      </c>
      <c r="I1881" t="str">
        <f t="shared" si="3"/>
        <v>Non-democratic</v>
      </c>
    </row>
    <row r="1882">
      <c r="B1882" t="str">
        <f t="shared" si="1"/>
        <v>#</v>
      </c>
      <c r="G1882" t="str">
        <f>vlookup(B1882,'imported-population-for-countri'!$A$4:$E$17930,5,false)</f>
        <v>#N/A</v>
      </c>
      <c r="H1882" t="str">
        <f t="shared" si="2"/>
        <v>#N/A</v>
      </c>
      <c r="I1882" t="str">
        <f t="shared" si="3"/>
        <v>Non-democratic</v>
      </c>
    </row>
    <row r="1883">
      <c r="B1883" t="str">
        <f t="shared" si="1"/>
        <v>#</v>
      </c>
      <c r="G1883" t="str">
        <f>vlookup(B1883,'imported-population-for-countri'!$A$4:$E$17930,5,false)</f>
        <v>#N/A</v>
      </c>
      <c r="H1883" t="str">
        <f t="shared" si="2"/>
        <v>#N/A</v>
      </c>
      <c r="I1883" t="str">
        <f t="shared" si="3"/>
        <v>Non-democratic</v>
      </c>
    </row>
    <row r="1884">
      <c r="B1884" t="str">
        <f t="shared" si="1"/>
        <v>#</v>
      </c>
      <c r="G1884" t="str">
        <f>vlookup(B1884,'imported-population-for-countri'!$A$4:$E$17930,5,false)</f>
        <v>#N/A</v>
      </c>
      <c r="H1884" t="str">
        <f t="shared" si="2"/>
        <v>#N/A</v>
      </c>
      <c r="I1884" t="str">
        <f t="shared" si="3"/>
        <v>Non-democratic</v>
      </c>
    </row>
    <row r="1885">
      <c r="B1885" t="str">
        <f t="shared" si="1"/>
        <v>#</v>
      </c>
      <c r="G1885" t="str">
        <f>vlookup(B1885,'imported-population-for-countri'!$A$4:$E$17930,5,false)</f>
        <v>#N/A</v>
      </c>
      <c r="H1885" t="str">
        <f t="shared" si="2"/>
        <v>#N/A</v>
      </c>
      <c r="I1885" t="str">
        <f t="shared" si="3"/>
        <v>Non-democratic</v>
      </c>
    </row>
    <row r="1886">
      <c r="B1886" t="str">
        <f t="shared" si="1"/>
        <v>#</v>
      </c>
      <c r="G1886" t="str">
        <f>vlookup(B1886,'imported-population-for-countri'!$A$4:$E$17930,5,false)</f>
        <v>#N/A</v>
      </c>
      <c r="H1886" t="str">
        <f t="shared" si="2"/>
        <v>#N/A</v>
      </c>
      <c r="I1886" t="str">
        <f t="shared" si="3"/>
        <v>Non-democratic</v>
      </c>
    </row>
    <row r="1887">
      <c r="B1887" t="str">
        <f t="shared" si="1"/>
        <v>#</v>
      </c>
      <c r="G1887" t="str">
        <f>vlookup(B1887,'imported-population-for-countri'!$A$4:$E$17930,5,false)</f>
        <v>#N/A</v>
      </c>
      <c r="H1887" t="str">
        <f t="shared" si="2"/>
        <v>#N/A</v>
      </c>
      <c r="I1887" t="str">
        <f t="shared" si="3"/>
        <v>Non-democratic</v>
      </c>
    </row>
    <row r="1888">
      <c r="B1888" t="str">
        <f t="shared" si="1"/>
        <v>#</v>
      </c>
      <c r="G1888" t="str">
        <f>vlookup(B1888,'imported-population-for-countri'!$A$4:$E$17930,5,false)</f>
        <v>#N/A</v>
      </c>
      <c r="H1888" t="str">
        <f t="shared" si="2"/>
        <v>#N/A</v>
      </c>
      <c r="I1888" t="str">
        <f t="shared" si="3"/>
        <v>Non-democratic</v>
      </c>
    </row>
    <row r="1889">
      <c r="B1889" t="str">
        <f t="shared" si="1"/>
        <v>#</v>
      </c>
      <c r="G1889" t="str">
        <f>vlookup(B1889,'imported-population-for-countri'!$A$4:$E$17930,5,false)</f>
        <v>#N/A</v>
      </c>
      <c r="H1889" t="str">
        <f t="shared" si="2"/>
        <v>#N/A</v>
      </c>
      <c r="I1889" t="str">
        <f t="shared" si="3"/>
        <v>Non-democratic</v>
      </c>
    </row>
    <row r="1890">
      <c r="B1890" t="str">
        <f t="shared" si="1"/>
        <v>#</v>
      </c>
      <c r="G1890" t="str">
        <f>vlookup(B1890,'imported-population-for-countri'!$A$4:$E$17930,5,false)</f>
        <v>#N/A</v>
      </c>
      <c r="H1890" t="str">
        <f t="shared" si="2"/>
        <v>#N/A</v>
      </c>
      <c r="I1890" t="str">
        <f t="shared" si="3"/>
        <v>Non-democratic</v>
      </c>
    </row>
    <row r="1891">
      <c r="B1891" t="str">
        <f t="shared" si="1"/>
        <v>#</v>
      </c>
      <c r="G1891" t="str">
        <f>vlookup(B1891,'imported-population-for-countri'!$A$4:$E$17930,5,false)</f>
        <v>#N/A</v>
      </c>
      <c r="H1891" t="str">
        <f t="shared" si="2"/>
        <v>#N/A</v>
      </c>
      <c r="I1891" t="str">
        <f t="shared" si="3"/>
        <v>Non-democratic</v>
      </c>
    </row>
    <row r="1892">
      <c r="B1892" t="str">
        <f t="shared" si="1"/>
        <v>#</v>
      </c>
      <c r="G1892" t="str">
        <f>vlookup(B1892,'imported-population-for-countri'!$A$4:$E$17930,5,false)</f>
        <v>#N/A</v>
      </c>
      <c r="H1892" t="str">
        <f t="shared" si="2"/>
        <v>#N/A</v>
      </c>
      <c r="I1892" t="str">
        <f t="shared" si="3"/>
        <v>Non-democratic</v>
      </c>
    </row>
    <row r="1893">
      <c r="B1893" t="str">
        <f t="shared" si="1"/>
        <v>#</v>
      </c>
      <c r="G1893" t="str">
        <f>vlookup(B1893,'imported-population-for-countri'!$A$4:$E$17930,5,false)</f>
        <v>#N/A</v>
      </c>
      <c r="H1893" t="str">
        <f t="shared" si="2"/>
        <v>#N/A</v>
      </c>
      <c r="I1893" t="str">
        <f t="shared" si="3"/>
        <v>Non-democratic</v>
      </c>
    </row>
    <row r="1894">
      <c r="B1894" t="str">
        <f t="shared" si="1"/>
        <v>#</v>
      </c>
      <c r="G1894" t="str">
        <f>vlookup(B1894,'imported-population-for-countri'!$A$4:$E$17930,5,false)</f>
        <v>#N/A</v>
      </c>
      <c r="H1894" t="str">
        <f t="shared" si="2"/>
        <v>#N/A</v>
      </c>
      <c r="I1894" t="str">
        <f t="shared" si="3"/>
        <v>Non-democratic</v>
      </c>
    </row>
    <row r="1895">
      <c r="B1895" t="str">
        <f t="shared" si="1"/>
        <v>#</v>
      </c>
      <c r="G1895" t="str">
        <f>vlookup(B1895,'imported-population-for-countri'!$A$4:$E$17930,5,false)</f>
        <v>#N/A</v>
      </c>
      <c r="H1895" t="str">
        <f t="shared" si="2"/>
        <v>#N/A</v>
      </c>
      <c r="I1895" t="str">
        <f t="shared" si="3"/>
        <v>Non-democratic</v>
      </c>
    </row>
    <row r="1896">
      <c r="B1896" t="str">
        <f t="shared" si="1"/>
        <v>#</v>
      </c>
      <c r="G1896" t="str">
        <f>vlookup(B1896,'imported-population-for-countri'!$A$4:$E$17930,5,false)</f>
        <v>#N/A</v>
      </c>
      <c r="H1896" t="str">
        <f t="shared" si="2"/>
        <v>#N/A</v>
      </c>
      <c r="I1896" t="str">
        <f t="shared" si="3"/>
        <v>Non-democratic</v>
      </c>
    </row>
    <row r="1897">
      <c r="B1897" t="str">
        <f t="shared" si="1"/>
        <v>#</v>
      </c>
      <c r="G1897" t="str">
        <f>vlookup(B1897,'imported-population-for-countri'!$A$4:$E$17930,5,false)</f>
        <v>#N/A</v>
      </c>
      <c r="H1897" t="str">
        <f t="shared" si="2"/>
        <v>#N/A</v>
      </c>
      <c r="I1897" t="str">
        <f t="shared" si="3"/>
        <v>Non-democratic</v>
      </c>
    </row>
    <row r="1898">
      <c r="B1898" t="str">
        <f t="shared" si="1"/>
        <v>#</v>
      </c>
      <c r="G1898" t="str">
        <f>vlookup(B1898,'imported-population-for-countri'!$A$4:$E$17930,5,false)</f>
        <v>#N/A</v>
      </c>
      <c r="H1898" t="str">
        <f t="shared" si="2"/>
        <v>#N/A</v>
      </c>
      <c r="I1898" t="str">
        <f t="shared" si="3"/>
        <v>Non-democratic</v>
      </c>
    </row>
    <row r="1899">
      <c r="B1899" t="str">
        <f t="shared" si="1"/>
        <v>#</v>
      </c>
      <c r="G1899" t="str">
        <f>vlookup(B1899,'imported-population-for-countri'!$A$4:$E$17930,5,false)</f>
        <v>#N/A</v>
      </c>
      <c r="H1899" t="str">
        <f t="shared" si="2"/>
        <v>#N/A</v>
      </c>
      <c r="I1899" t="str">
        <f t="shared" si="3"/>
        <v>Non-democratic</v>
      </c>
    </row>
    <row r="1900">
      <c r="B1900" t="str">
        <f t="shared" si="1"/>
        <v>#</v>
      </c>
      <c r="G1900" t="str">
        <f>vlookup(B1900,'imported-population-for-countri'!$A$4:$E$17930,5,false)</f>
        <v>#N/A</v>
      </c>
      <c r="H1900" t="str">
        <f t="shared" si="2"/>
        <v>#N/A</v>
      </c>
      <c r="I1900" t="str">
        <f t="shared" si="3"/>
        <v>Non-democratic</v>
      </c>
    </row>
    <row r="1901">
      <c r="B1901" t="str">
        <f t="shared" si="1"/>
        <v>#</v>
      </c>
      <c r="G1901" t="str">
        <f>vlookup(B1901,'imported-population-for-countri'!$A$4:$E$17930,5,false)</f>
        <v>#N/A</v>
      </c>
      <c r="H1901" t="str">
        <f t="shared" si="2"/>
        <v>#N/A</v>
      </c>
      <c r="I1901" t="str">
        <f t="shared" si="3"/>
        <v>Non-democratic</v>
      </c>
    </row>
    <row r="1902">
      <c r="B1902" t="str">
        <f t="shared" si="1"/>
        <v>#</v>
      </c>
      <c r="G1902" t="str">
        <f>vlookup(B1902,'imported-population-for-countri'!$A$4:$E$17930,5,false)</f>
        <v>#N/A</v>
      </c>
      <c r="H1902" t="str">
        <f t="shared" si="2"/>
        <v>#N/A</v>
      </c>
      <c r="I1902" t="str">
        <f t="shared" si="3"/>
        <v>Non-democratic</v>
      </c>
    </row>
    <row r="1903">
      <c r="B1903" t="str">
        <f t="shared" si="1"/>
        <v>#</v>
      </c>
      <c r="G1903" t="str">
        <f>vlookup(B1903,'imported-population-for-countri'!$A$4:$E$17930,5,false)</f>
        <v>#N/A</v>
      </c>
      <c r="H1903" t="str">
        <f t="shared" si="2"/>
        <v>#N/A</v>
      </c>
      <c r="I1903" t="str">
        <f t="shared" si="3"/>
        <v>Non-democratic</v>
      </c>
    </row>
    <row r="1904">
      <c r="B1904" t="str">
        <f t="shared" si="1"/>
        <v>#</v>
      </c>
      <c r="G1904" t="str">
        <f>vlookup(B1904,'imported-population-for-countri'!$A$4:$E$17930,5,false)</f>
        <v>#N/A</v>
      </c>
      <c r="H1904" t="str">
        <f t="shared" si="2"/>
        <v>#N/A</v>
      </c>
      <c r="I1904" t="str">
        <f t="shared" si="3"/>
        <v>Non-democratic</v>
      </c>
    </row>
    <row r="1905">
      <c r="B1905" t="str">
        <f t="shared" si="1"/>
        <v>#</v>
      </c>
      <c r="G1905" t="str">
        <f>vlookup(B1905,'imported-population-for-countri'!$A$4:$E$17930,5,false)</f>
        <v>#N/A</v>
      </c>
      <c r="H1905" t="str">
        <f t="shared" si="2"/>
        <v>#N/A</v>
      </c>
      <c r="I1905" t="str">
        <f t="shared" si="3"/>
        <v>Non-democratic</v>
      </c>
    </row>
    <row r="1906">
      <c r="B1906" t="str">
        <f t="shared" si="1"/>
        <v>#</v>
      </c>
      <c r="G1906" t="str">
        <f>vlookup(B1906,'imported-population-for-countri'!$A$4:$E$17930,5,false)</f>
        <v>#N/A</v>
      </c>
      <c r="H1906" t="str">
        <f t="shared" si="2"/>
        <v>#N/A</v>
      </c>
      <c r="I1906" t="str">
        <f t="shared" si="3"/>
        <v>Non-democratic</v>
      </c>
    </row>
    <row r="1907">
      <c r="B1907" t="str">
        <f t="shared" si="1"/>
        <v>#</v>
      </c>
      <c r="G1907" t="str">
        <f>vlookup(B1907,'imported-population-for-countri'!$A$4:$E$17930,5,false)</f>
        <v>#N/A</v>
      </c>
      <c r="H1907" t="str">
        <f t="shared" si="2"/>
        <v>#N/A</v>
      </c>
      <c r="I1907" t="str">
        <f t="shared" si="3"/>
        <v>Non-democratic</v>
      </c>
    </row>
    <row r="1908">
      <c r="B1908" t="str">
        <f t="shared" si="1"/>
        <v>#</v>
      </c>
      <c r="G1908" t="str">
        <f>vlookup(B1908,'imported-population-for-countri'!$A$4:$E$17930,5,false)</f>
        <v>#N/A</v>
      </c>
      <c r="H1908" t="str">
        <f t="shared" si="2"/>
        <v>#N/A</v>
      </c>
      <c r="I1908" t="str">
        <f t="shared" si="3"/>
        <v>Non-democratic</v>
      </c>
    </row>
    <row r="1909">
      <c r="B1909" t="str">
        <f t="shared" si="1"/>
        <v>#</v>
      </c>
      <c r="G1909" t="str">
        <f>vlookup(B1909,'imported-population-for-countri'!$A$4:$E$17930,5,false)</f>
        <v>#N/A</v>
      </c>
      <c r="H1909" t="str">
        <f t="shared" si="2"/>
        <v>#N/A</v>
      </c>
      <c r="I1909" t="str">
        <f t="shared" si="3"/>
        <v>Non-democratic</v>
      </c>
    </row>
    <row r="1910">
      <c r="B1910" t="str">
        <f t="shared" si="1"/>
        <v>#</v>
      </c>
      <c r="G1910" t="str">
        <f>vlookup(B1910,'imported-population-for-countri'!$A$4:$E$17930,5,false)</f>
        <v>#N/A</v>
      </c>
      <c r="H1910" t="str">
        <f t="shared" si="2"/>
        <v>#N/A</v>
      </c>
      <c r="I1910" t="str">
        <f t="shared" si="3"/>
        <v>Non-democratic</v>
      </c>
    </row>
    <row r="1911">
      <c r="B1911" t="str">
        <f t="shared" si="1"/>
        <v>#</v>
      </c>
      <c r="G1911" t="str">
        <f>vlookup(B1911,'imported-population-for-countri'!$A$4:$E$17930,5,false)</f>
        <v>#N/A</v>
      </c>
      <c r="H1911" t="str">
        <f t="shared" si="2"/>
        <v>#N/A</v>
      </c>
      <c r="I1911" t="str">
        <f t="shared" si="3"/>
        <v>Non-democratic</v>
      </c>
    </row>
    <row r="1912">
      <c r="B1912" t="str">
        <f t="shared" si="1"/>
        <v>#</v>
      </c>
      <c r="G1912" t="str">
        <f>vlookup(B1912,'imported-population-for-countri'!$A$4:$E$17930,5,false)</f>
        <v>#N/A</v>
      </c>
      <c r="H1912" t="str">
        <f t="shared" si="2"/>
        <v>#N/A</v>
      </c>
      <c r="I1912" t="str">
        <f t="shared" si="3"/>
        <v>Non-democratic</v>
      </c>
    </row>
    <row r="1913">
      <c r="B1913" t="str">
        <f t="shared" si="1"/>
        <v>#</v>
      </c>
      <c r="G1913" t="str">
        <f>vlookup(B1913,'imported-population-for-countri'!$A$4:$E$17930,5,false)</f>
        <v>#N/A</v>
      </c>
      <c r="H1913" t="str">
        <f t="shared" si="2"/>
        <v>#N/A</v>
      </c>
      <c r="I1913" t="str">
        <f t="shared" si="3"/>
        <v>Non-democratic</v>
      </c>
    </row>
    <row r="1914">
      <c r="B1914" t="str">
        <f t="shared" si="1"/>
        <v>#</v>
      </c>
      <c r="G1914" t="str">
        <f>vlookup(B1914,'imported-population-for-countri'!$A$4:$E$17930,5,false)</f>
        <v>#N/A</v>
      </c>
      <c r="H1914" t="str">
        <f t="shared" si="2"/>
        <v>#N/A</v>
      </c>
      <c r="I1914" t="str">
        <f t="shared" si="3"/>
        <v>Non-democratic</v>
      </c>
    </row>
    <row r="1915">
      <c r="B1915" t="str">
        <f t="shared" si="1"/>
        <v>#</v>
      </c>
      <c r="G1915" t="str">
        <f>vlookup(B1915,'imported-population-for-countri'!$A$4:$E$17930,5,false)</f>
        <v>#N/A</v>
      </c>
      <c r="H1915" t="str">
        <f t="shared" si="2"/>
        <v>#N/A</v>
      </c>
      <c r="I1915" t="str">
        <f t="shared" si="3"/>
        <v>Non-democratic</v>
      </c>
    </row>
    <row r="1916">
      <c r="B1916" t="str">
        <f t="shared" si="1"/>
        <v>#</v>
      </c>
      <c r="G1916" t="str">
        <f>vlookup(B1916,'imported-population-for-countri'!$A$4:$E$17930,5,false)</f>
        <v>#N/A</v>
      </c>
      <c r="H1916" t="str">
        <f t="shared" si="2"/>
        <v>#N/A</v>
      </c>
      <c r="I1916" t="str">
        <f t="shared" si="3"/>
        <v>Non-democratic</v>
      </c>
    </row>
    <row r="1917">
      <c r="B1917" t="str">
        <f t="shared" si="1"/>
        <v>#</v>
      </c>
      <c r="G1917" t="str">
        <f>vlookup(B1917,'imported-population-for-countri'!$A$4:$E$17930,5,false)</f>
        <v>#N/A</v>
      </c>
      <c r="H1917" t="str">
        <f t="shared" si="2"/>
        <v>#N/A</v>
      </c>
      <c r="I1917" t="str">
        <f t="shared" si="3"/>
        <v>Non-democratic</v>
      </c>
    </row>
    <row r="1918">
      <c r="B1918" t="str">
        <f t="shared" si="1"/>
        <v>#</v>
      </c>
      <c r="G1918" t="str">
        <f>vlookup(B1918,'imported-population-for-countri'!$A$4:$E$17930,5,false)</f>
        <v>#N/A</v>
      </c>
      <c r="H1918" t="str">
        <f t="shared" si="2"/>
        <v>#N/A</v>
      </c>
      <c r="I1918" t="str">
        <f t="shared" si="3"/>
        <v>Non-democratic</v>
      </c>
    </row>
    <row r="1919">
      <c r="B1919" t="str">
        <f t="shared" si="1"/>
        <v>#</v>
      </c>
      <c r="G1919" t="str">
        <f>vlookup(B1919,'imported-population-for-countri'!$A$4:$E$17930,5,false)</f>
        <v>#N/A</v>
      </c>
      <c r="H1919" t="str">
        <f t="shared" si="2"/>
        <v>#N/A</v>
      </c>
      <c r="I1919" t="str">
        <f t="shared" si="3"/>
        <v>Non-democratic</v>
      </c>
    </row>
    <row r="1920">
      <c r="B1920" t="str">
        <f t="shared" si="1"/>
        <v>#</v>
      </c>
      <c r="G1920" t="str">
        <f>vlookup(B1920,'imported-population-for-countri'!$A$4:$E$17930,5,false)</f>
        <v>#N/A</v>
      </c>
      <c r="H1920" t="str">
        <f t="shared" si="2"/>
        <v>#N/A</v>
      </c>
      <c r="I1920" t="str">
        <f t="shared" si="3"/>
        <v>Non-democratic</v>
      </c>
    </row>
    <row r="1921">
      <c r="B1921" t="str">
        <f t="shared" si="1"/>
        <v>#</v>
      </c>
      <c r="G1921" t="str">
        <f>vlookup(B1921,'imported-population-for-countri'!$A$4:$E$17930,5,false)</f>
        <v>#N/A</v>
      </c>
      <c r="H1921" t="str">
        <f t="shared" si="2"/>
        <v>#N/A</v>
      </c>
      <c r="I1921" t="str">
        <f t="shared" si="3"/>
        <v>Non-democratic</v>
      </c>
    </row>
    <row r="1922">
      <c r="B1922" t="str">
        <f t="shared" si="1"/>
        <v>#</v>
      </c>
      <c r="G1922" t="str">
        <f>vlookup(B1922,'imported-population-for-countri'!$A$4:$E$17930,5,false)</f>
        <v>#N/A</v>
      </c>
      <c r="H1922" t="str">
        <f t="shared" si="2"/>
        <v>#N/A</v>
      </c>
      <c r="I1922" t="str">
        <f t="shared" si="3"/>
        <v>Non-democratic</v>
      </c>
    </row>
    <row r="1923">
      <c r="B1923" t="str">
        <f t="shared" si="1"/>
        <v>#</v>
      </c>
      <c r="G1923" t="str">
        <f>vlookup(B1923,'imported-population-for-countri'!$A$4:$E$17930,5,false)</f>
        <v>#N/A</v>
      </c>
      <c r="H1923" t="str">
        <f t="shared" si="2"/>
        <v>#N/A</v>
      </c>
      <c r="I1923" t="str">
        <f t="shared" si="3"/>
        <v>Non-democratic</v>
      </c>
    </row>
    <row r="1924">
      <c r="B1924" t="str">
        <f t="shared" si="1"/>
        <v>#</v>
      </c>
      <c r="G1924" t="str">
        <f>vlookup(B1924,'imported-population-for-countri'!$A$4:$E$17930,5,false)</f>
        <v>#N/A</v>
      </c>
      <c r="H1924" t="str">
        <f t="shared" si="2"/>
        <v>#N/A</v>
      </c>
      <c r="I1924" t="str">
        <f t="shared" si="3"/>
        <v>Non-democratic</v>
      </c>
    </row>
    <row r="1925">
      <c r="B1925" t="str">
        <f t="shared" si="1"/>
        <v>#</v>
      </c>
      <c r="G1925" t="str">
        <f>vlookup(B1925,'imported-population-for-countri'!$A$4:$E$17930,5,false)</f>
        <v>#N/A</v>
      </c>
      <c r="H1925" t="str">
        <f t="shared" si="2"/>
        <v>#N/A</v>
      </c>
      <c r="I1925" t="str">
        <f t="shared" si="3"/>
        <v>Non-democratic</v>
      </c>
    </row>
    <row r="1926">
      <c r="B1926" t="str">
        <f t="shared" si="1"/>
        <v>#</v>
      </c>
      <c r="G1926" t="str">
        <f>vlookup(B1926,'imported-population-for-countri'!$A$4:$E$17930,5,false)</f>
        <v>#N/A</v>
      </c>
      <c r="H1926" t="str">
        <f t="shared" si="2"/>
        <v>#N/A</v>
      </c>
      <c r="I1926" t="str">
        <f t="shared" si="3"/>
        <v>Non-democratic</v>
      </c>
    </row>
    <row r="1927">
      <c r="B1927" t="str">
        <f t="shared" si="1"/>
        <v>#</v>
      </c>
      <c r="G1927" t="str">
        <f>vlookup(B1927,'imported-population-for-countri'!$A$4:$E$17930,5,false)</f>
        <v>#N/A</v>
      </c>
      <c r="H1927" t="str">
        <f t="shared" si="2"/>
        <v>#N/A</v>
      </c>
      <c r="I1927" t="str">
        <f t="shared" si="3"/>
        <v>Non-democratic</v>
      </c>
    </row>
    <row r="1928">
      <c r="B1928" t="str">
        <f t="shared" si="1"/>
        <v>#</v>
      </c>
      <c r="G1928" t="str">
        <f>vlookup(B1928,'imported-population-for-countri'!$A$4:$E$17930,5,false)</f>
        <v>#N/A</v>
      </c>
      <c r="H1928" t="str">
        <f t="shared" si="2"/>
        <v>#N/A</v>
      </c>
      <c r="I1928" t="str">
        <f t="shared" si="3"/>
        <v>Non-democratic</v>
      </c>
    </row>
    <row r="1929">
      <c r="B1929" t="str">
        <f t="shared" si="1"/>
        <v>#</v>
      </c>
      <c r="G1929" t="str">
        <f>vlookup(B1929,'imported-population-for-countri'!$A$4:$E$17930,5,false)</f>
        <v>#N/A</v>
      </c>
      <c r="H1929" t="str">
        <f t="shared" si="2"/>
        <v>#N/A</v>
      </c>
      <c r="I1929" t="str">
        <f t="shared" si="3"/>
        <v>Non-democratic</v>
      </c>
    </row>
    <row r="1930">
      <c r="B1930" t="str">
        <f t="shared" si="1"/>
        <v>#</v>
      </c>
      <c r="G1930" t="str">
        <f>vlookup(B1930,'imported-population-for-countri'!$A$4:$E$17930,5,false)</f>
        <v>#N/A</v>
      </c>
      <c r="H1930" t="str">
        <f t="shared" si="2"/>
        <v>#N/A</v>
      </c>
      <c r="I1930" t="str">
        <f t="shared" si="3"/>
        <v>Non-democratic</v>
      </c>
    </row>
    <row r="1931">
      <c r="B1931" t="str">
        <f t="shared" si="1"/>
        <v>#</v>
      </c>
      <c r="G1931" t="str">
        <f>vlookup(B1931,'imported-population-for-countri'!$A$4:$E$17930,5,false)</f>
        <v>#N/A</v>
      </c>
      <c r="H1931" t="str">
        <f t="shared" si="2"/>
        <v>#N/A</v>
      </c>
      <c r="I1931" t="str">
        <f t="shared" si="3"/>
        <v>Non-democratic</v>
      </c>
    </row>
    <row r="1932">
      <c r="B1932" t="str">
        <f t="shared" si="1"/>
        <v>#</v>
      </c>
      <c r="G1932" t="str">
        <f>vlookup(B1932,'imported-population-for-countri'!$A$4:$E$17930,5,false)</f>
        <v>#N/A</v>
      </c>
      <c r="H1932" t="str">
        <f t="shared" si="2"/>
        <v>#N/A</v>
      </c>
      <c r="I1932" t="str">
        <f t="shared" si="3"/>
        <v>Non-democratic</v>
      </c>
    </row>
    <row r="1933">
      <c r="B1933" t="str">
        <f t="shared" si="1"/>
        <v>#</v>
      </c>
      <c r="G1933" t="str">
        <f>vlookup(B1933,'imported-population-for-countri'!$A$4:$E$17930,5,false)</f>
        <v>#N/A</v>
      </c>
      <c r="H1933" t="str">
        <f t="shared" si="2"/>
        <v>#N/A</v>
      </c>
      <c r="I1933" t="str">
        <f t="shared" si="3"/>
        <v>Non-democratic</v>
      </c>
    </row>
    <row r="1934">
      <c r="B1934" t="str">
        <f t="shared" si="1"/>
        <v>#</v>
      </c>
      <c r="G1934" t="str">
        <f>vlookup(B1934,'imported-population-for-countri'!$A$4:$E$17930,5,false)</f>
        <v>#N/A</v>
      </c>
      <c r="H1934" t="str">
        <f t="shared" si="2"/>
        <v>#N/A</v>
      </c>
      <c r="I1934" t="str">
        <f t="shared" si="3"/>
        <v>Non-democratic</v>
      </c>
    </row>
    <row r="1935">
      <c r="B1935" t="str">
        <f t="shared" si="1"/>
        <v>#</v>
      </c>
      <c r="G1935" t="str">
        <f>vlookup(B1935,'imported-population-for-countri'!$A$4:$E$17930,5,false)</f>
        <v>#N/A</v>
      </c>
      <c r="H1935" t="str">
        <f t="shared" si="2"/>
        <v>#N/A</v>
      </c>
      <c r="I1935" t="str">
        <f t="shared" si="3"/>
        <v>Non-democratic</v>
      </c>
    </row>
    <row r="1936">
      <c r="B1936" t="str">
        <f t="shared" si="1"/>
        <v>#</v>
      </c>
      <c r="G1936" t="str">
        <f>vlookup(B1936,'imported-population-for-countri'!$A$4:$E$17930,5,false)</f>
        <v>#N/A</v>
      </c>
      <c r="H1936" t="str">
        <f t="shared" si="2"/>
        <v>#N/A</v>
      </c>
      <c r="I1936" t="str">
        <f t="shared" si="3"/>
        <v>Non-democratic</v>
      </c>
    </row>
    <row r="1937">
      <c r="B1937" t="str">
        <f t="shared" si="1"/>
        <v>#</v>
      </c>
      <c r="G1937" t="str">
        <f>vlookup(B1937,'imported-population-for-countri'!$A$4:$E$17930,5,false)</f>
        <v>#N/A</v>
      </c>
      <c r="H1937" t="str">
        <f t="shared" si="2"/>
        <v>#N/A</v>
      </c>
      <c r="I1937" t="str">
        <f t="shared" si="3"/>
        <v>Non-democratic</v>
      </c>
    </row>
    <row r="1938">
      <c r="B1938" t="str">
        <f t="shared" si="1"/>
        <v>#</v>
      </c>
      <c r="G1938" t="str">
        <f>vlookup(B1938,'imported-population-for-countri'!$A$4:$E$17930,5,false)</f>
        <v>#N/A</v>
      </c>
      <c r="H1938" t="str">
        <f t="shared" si="2"/>
        <v>#N/A</v>
      </c>
      <c r="I1938" t="str">
        <f t="shared" si="3"/>
        <v>Non-democratic</v>
      </c>
    </row>
    <row r="1939">
      <c r="B1939" t="str">
        <f t="shared" si="1"/>
        <v>#</v>
      </c>
      <c r="G1939" t="str">
        <f>vlookup(B1939,'imported-population-for-countri'!$A$4:$E$17930,5,false)</f>
        <v>#N/A</v>
      </c>
      <c r="H1939" t="str">
        <f t="shared" si="2"/>
        <v>#N/A</v>
      </c>
      <c r="I1939" t="str">
        <f t="shared" si="3"/>
        <v>Non-democratic</v>
      </c>
    </row>
    <row r="1940">
      <c r="B1940" t="str">
        <f t="shared" si="1"/>
        <v>#</v>
      </c>
      <c r="G1940" t="str">
        <f>vlookup(B1940,'imported-population-for-countri'!$A$4:$E$17930,5,false)</f>
        <v>#N/A</v>
      </c>
      <c r="H1940" t="str">
        <f t="shared" si="2"/>
        <v>#N/A</v>
      </c>
      <c r="I1940" t="str">
        <f t="shared" si="3"/>
        <v>Non-democratic</v>
      </c>
    </row>
    <row r="1941">
      <c r="B1941" t="str">
        <f t="shared" si="1"/>
        <v>#</v>
      </c>
      <c r="G1941" t="str">
        <f>vlookup(B1941,'imported-population-for-countri'!$A$4:$E$17930,5,false)</f>
        <v>#N/A</v>
      </c>
      <c r="H1941" t="str">
        <f t="shared" si="2"/>
        <v>#N/A</v>
      </c>
      <c r="I1941" t="str">
        <f t="shared" si="3"/>
        <v>Non-democratic</v>
      </c>
    </row>
    <row r="1942">
      <c r="B1942" t="str">
        <f t="shared" si="1"/>
        <v>#</v>
      </c>
      <c r="G1942" t="str">
        <f>vlookup(B1942,'imported-population-for-countri'!$A$4:$E$17930,5,false)</f>
        <v>#N/A</v>
      </c>
      <c r="H1942" t="str">
        <f t="shared" si="2"/>
        <v>#N/A</v>
      </c>
      <c r="I1942" t="str">
        <f t="shared" si="3"/>
        <v>Non-democratic</v>
      </c>
    </row>
    <row r="1943">
      <c r="B1943" t="str">
        <f t="shared" si="1"/>
        <v>#</v>
      </c>
      <c r="G1943" t="str">
        <f>vlookup(B1943,'imported-population-for-countri'!$A$4:$E$17930,5,false)</f>
        <v>#N/A</v>
      </c>
      <c r="H1943" t="str">
        <f t="shared" si="2"/>
        <v>#N/A</v>
      </c>
      <c r="I1943" t="str">
        <f t="shared" si="3"/>
        <v>Non-democratic</v>
      </c>
    </row>
    <row r="1944">
      <c r="B1944" t="str">
        <f t="shared" si="1"/>
        <v>#</v>
      </c>
      <c r="G1944" t="str">
        <f>vlookup(B1944,'imported-population-for-countri'!$A$4:$E$17930,5,false)</f>
        <v>#N/A</v>
      </c>
      <c r="H1944" t="str">
        <f t="shared" si="2"/>
        <v>#N/A</v>
      </c>
      <c r="I1944" t="str">
        <f t="shared" si="3"/>
        <v>Non-democratic</v>
      </c>
    </row>
    <row r="1945">
      <c r="B1945" t="str">
        <f t="shared" si="1"/>
        <v>#</v>
      </c>
      <c r="G1945" t="str">
        <f>vlookup(B1945,'imported-population-for-countri'!$A$4:$E$17930,5,false)</f>
        <v>#N/A</v>
      </c>
      <c r="H1945" t="str">
        <f t="shared" si="2"/>
        <v>#N/A</v>
      </c>
      <c r="I1945" t="str">
        <f t="shared" si="3"/>
        <v>Non-democratic</v>
      </c>
    </row>
    <row r="1946">
      <c r="B1946" t="str">
        <f t="shared" si="1"/>
        <v>#</v>
      </c>
      <c r="G1946" t="str">
        <f>vlookup(B1946,'imported-population-for-countri'!$A$4:$E$17930,5,false)</f>
        <v>#N/A</v>
      </c>
      <c r="H1946" t="str">
        <f t="shared" si="2"/>
        <v>#N/A</v>
      </c>
      <c r="I1946" t="str">
        <f t="shared" si="3"/>
        <v>Non-democratic</v>
      </c>
    </row>
    <row r="1947">
      <c r="B1947" t="str">
        <f t="shared" si="1"/>
        <v>#</v>
      </c>
      <c r="G1947" t="str">
        <f>vlookup(B1947,'imported-population-for-countri'!$A$4:$E$17930,5,false)</f>
        <v>#N/A</v>
      </c>
      <c r="H1947" t="str">
        <f t="shared" si="2"/>
        <v>#N/A</v>
      </c>
      <c r="I1947" t="str">
        <f t="shared" si="3"/>
        <v>Non-democratic</v>
      </c>
    </row>
    <row r="1948">
      <c r="B1948" t="str">
        <f t="shared" si="1"/>
        <v>#</v>
      </c>
      <c r="G1948" t="str">
        <f>vlookup(B1948,'imported-population-for-countri'!$A$4:$E$17930,5,false)</f>
        <v>#N/A</v>
      </c>
      <c r="H1948" t="str">
        <f t="shared" si="2"/>
        <v>#N/A</v>
      </c>
      <c r="I1948" t="str">
        <f t="shared" si="3"/>
        <v>Non-democratic</v>
      </c>
    </row>
    <row r="1949">
      <c r="B1949" t="str">
        <f t="shared" si="1"/>
        <v>#</v>
      </c>
      <c r="G1949" t="str">
        <f>vlookup(B1949,'imported-population-for-countri'!$A$4:$E$17930,5,false)</f>
        <v>#N/A</v>
      </c>
      <c r="H1949" t="str">
        <f t="shared" si="2"/>
        <v>#N/A</v>
      </c>
      <c r="I1949" t="str">
        <f t="shared" si="3"/>
        <v>Non-democratic</v>
      </c>
    </row>
    <row r="1950">
      <c r="B1950" t="str">
        <f t="shared" si="1"/>
        <v>#</v>
      </c>
      <c r="G1950" t="str">
        <f>vlookup(B1950,'imported-population-for-countri'!$A$4:$E$17930,5,false)</f>
        <v>#N/A</v>
      </c>
      <c r="H1950" t="str">
        <f t="shared" si="2"/>
        <v>#N/A</v>
      </c>
      <c r="I1950" t="str">
        <f t="shared" si="3"/>
        <v>Non-democratic</v>
      </c>
    </row>
    <row r="1951">
      <c r="B1951" t="str">
        <f t="shared" si="1"/>
        <v>#</v>
      </c>
      <c r="G1951" t="str">
        <f>vlookup(B1951,'imported-population-for-countri'!$A$4:$E$17930,5,false)</f>
        <v>#N/A</v>
      </c>
      <c r="H1951" t="str">
        <f t="shared" si="2"/>
        <v>#N/A</v>
      </c>
      <c r="I1951" t="str">
        <f t="shared" si="3"/>
        <v>Non-democratic</v>
      </c>
    </row>
    <row r="1952">
      <c r="B1952" t="str">
        <f t="shared" si="1"/>
        <v>#</v>
      </c>
      <c r="G1952" t="str">
        <f>vlookup(B1952,'imported-population-for-countri'!$A$4:$E$17930,5,false)</f>
        <v>#N/A</v>
      </c>
      <c r="H1952" t="str">
        <f t="shared" si="2"/>
        <v>#N/A</v>
      </c>
      <c r="I1952" t="str">
        <f t="shared" si="3"/>
        <v>Non-democratic</v>
      </c>
    </row>
    <row r="1953">
      <c r="B1953" t="str">
        <f t="shared" si="1"/>
        <v>#</v>
      </c>
      <c r="G1953" t="str">
        <f>vlookup(B1953,'imported-population-for-countri'!$A$4:$E$17930,5,false)</f>
        <v>#N/A</v>
      </c>
      <c r="H1953" t="str">
        <f t="shared" si="2"/>
        <v>#N/A</v>
      </c>
      <c r="I1953" t="str">
        <f t="shared" si="3"/>
        <v>Non-democratic</v>
      </c>
    </row>
    <row r="1954">
      <c r="B1954" t="str">
        <f t="shared" si="1"/>
        <v>#</v>
      </c>
      <c r="G1954" t="str">
        <f>vlookup(B1954,'imported-population-for-countri'!$A$4:$E$17930,5,false)</f>
        <v>#N/A</v>
      </c>
      <c r="H1954" t="str">
        <f t="shared" si="2"/>
        <v>#N/A</v>
      </c>
      <c r="I1954" t="str">
        <f t="shared" si="3"/>
        <v>Non-democratic</v>
      </c>
    </row>
    <row r="1955">
      <c r="B1955" t="str">
        <f t="shared" si="1"/>
        <v>#</v>
      </c>
      <c r="G1955" t="str">
        <f>vlookup(B1955,'imported-population-for-countri'!$A$4:$E$17930,5,false)</f>
        <v>#N/A</v>
      </c>
      <c r="H1955" t="str">
        <f t="shared" si="2"/>
        <v>#N/A</v>
      </c>
      <c r="I1955" t="str">
        <f t="shared" si="3"/>
        <v>Non-democratic</v>
      </c>
    </row>
    <row r="1956">
      <c r="B1956" t="str">
        <f t="shared" si="1"/>
        <v>#</v>
      </c>
      <c r="G1956" t="str">
        <f>vlookup(B1956,'imported-population-for-countri'!$A$4:$E$17930,5,false)</f>
        <v>#N/A</v>
      </c>
      <c r="H1956" t="str">
        <f t="shared" si="2"/>
        <v>#N/A</v>
      </c>
      <c r="I1956" t="str">
        <f t="shared" si="3"/>
        <v>Non-democratic</v>
      </c>
    </row>
    <row r="1957">
      <c r="B1957" t="str">
        <f t="shared" si="1"/>
        <v>#</v>
      </c>
      <c r="G1957" t="str">
        <f>vlookup(B1957,'imported-population-for-countri'!$A$4:$E$17930,5,false)</f>
        <v>#N/A</v>
      </c>
      <c r="H1957" t="str">
        <f t="shared" si="2"/>
        <v>#N/A</v>
      </c>
      <c r="I1957" t="str">
        <f t="shared" si="3"/>
        <v>Non-democratic</v>
      </c>
    </row>
    <row r="1958">
      <c r="B1958" t="str">
        <f t="shared" si="1"/>
        <v>#</v>
      </c>
      <c r="G1958" t="str">
        <f>vlookup(B1958,'imported-population-for-countri'!$A$4:$E$17930,5,false)</f>
        <v>#N/A</v>
      </c>
      <c r="H1958" t="str">
        <f t="shared" si="2"/>
        <v>#N/A</v>
      </c>
      <c r="I1958" t="str">
        <f t="shared" si="3"/>
        <v>Non-democratic</v>
      </c>
    </row>
    <row r="1959">
      <c r="B1959" t="str">
        <f t="shared" si="1"/>
        <v>#</v>
      </c>
      <c r="G1959" t="str">
        <f>vlookup(B1959,'imported-population-for-countri'!$A$4:$E$17930,5,false)</f>
        <v>#N/A</v>
      </c>
      <c r="H1959" t="str">
        <f t="shared" si="2"/>
        <v>#N/A</v>
      </c>
      <c r="I1959" t="str">
        <f t="shared" si="3"/>
        <v>Non-democratic</v>
      </c>
    </row>
    <row r="1960">
      <c r="B1960" t="str">
        <f t="shared" si="1"/>
        <v>#</v>
      </c>
      <c r="G1960" t="str">
        <f>vlookup(B1960,'imported-population-for-countri'!$A$4:$E$17930,5,false)</f>
        <v>#N/A</v>
      </c>
      <c r="H1960" t="str">
        <f t="shared" si="2"/>
        <v>#N/A</v>
      </c>
      <c r="I1960" t="str">
        <f t="shared" si="3"/>
        <v>Non-democratic</v>
      </c>
    </row>
    <row r="1961">
      <c r="B1961" t="str">
        <f t="shared" si="1"/>
        <v>#</v>
      </c>
      <c r="G1961" t="str">
        <f>vlookup(B1961,'imported-population-for-countri'!$A$4:$E$17930,5,false)</f>
        <v>#N/A</v>
      </c>
      <c r="H1961" t="str">
        <f t="shared" si="2"/>
        <v>#N/A</v>
      </c>
      <c r="I1961" t="str">
        <f t="shared" si="3"/>
        <v>Non-democratic</v>
      </c>
    </row>
    <row r="1962">
      <c r="B1962" t="str">
        <f t="shared" si="1"/>
        <v>#</v>
      </c>
      <c r="G1962" t="str">
        <f>vlookup(B1962,'imported-population-for-countri'!$A$4:$E$17930,5,false)</f>
        <v>#N/A</v>
      </c>
      <c r="H1962" t="str">
        <f t="shared" si="2"/>
        <v>#N/A</v>
      </c>
      <c r="I1962" t="str">
        <f t="shared" si="3"/>
        <v>Non-democratic</v>
      </c>
    </row>
    <row r="1963">
      <c r="B1963" t="str">
        <f t="shared" si="1"/>
        <v>#</v>
      </c>
      <c r="G1963" t="str">
        <f>vlookup(B1963,'imported-population-for-countri'!$A$4:$E$17930,5,false)</f>
        <v>#N/A</v>
      </c>
      <c r="H1963" t="str">
        <f t="shared" si="2"/>
        <v>#N/A</v>
      </c>
      <c r="I1963" t="str">
        <f t="shared" si="3"/>
        <v>Non-democratic</v>
      </c>
    </row>
    <row r="1964">
      <c r="B1964" t="str">
        <f t="shared" si="1"/>
        <v>#</v>
      </c>
      <c r="G1964" t="str">
        <f>vlookup(B1964,'imported-population-for-countri'!$A$4:$E$17930,5,false)</f>
        <v>#N/A</v>
      </c>
      <c r="H1964" t="str">
        <f t="shared" si="2"/>
        <v>#N/A</v>
      </c>
      <c r="I1964" t="str">
        <f t="shared" si="3"/>
        <v>Non-democratic</v>
      </c>
    </row>
    <row r="1965">
      <c r="B1965" t="str">
        <f t="shared" si="1"/>
        <v>#</v>
      </c>
      <c r="G1965" t="str">
        <f>vlookup(B1965,'imported-population-for-countri'!$A$4:$E$17930,5,false)</f>
        <v>#N/A</v>
      </c>
      <c r="H1965" t="str">
        <f t="shared" si="2"/>
        <v>#N/A</v>
      </c>
      <c r="I1965" t="str">
        <f t="shared" si="3"/>
        <v>Non-democratic</v>
      </c>
    </row>
    <row r="1966">
      <c r="B1966" t="str">
        <f t="shared" si="1"/>
        <v>#</v>
      </c>
      <c r="G1966" t="str">
        <f>vlookup(B1966,'imported-population-for-countri'!$A$4:$E$17930,5,false)</f>
        <v>#N/A</v>
      </c>
      <c r="H1966" t="str">
        <f t="shared" si="2"/>
        <v>#N/A</v>
      </c>
      <c r="I1966" t="str">
        <f t="shared" si="3"/>
        <v>Non-democratic</v>
      </c>
    </row>
    <row r="1967">
      <c r="B1967" t="str">
        <f t="shared" si="1"/>
        <v>#</v>
      </c>
      <c r="G1967" t="str">
        <f>vlookup(B1967,'imported-population-for-countri'!$A$4:$E$17930,5,false)</f>
        <v>#N/A</v>
      </c>
      <c r="H1967" t="str">
        <f t="shared" si="2"/>
        <v>#N/A</v>
      </c>
      <c r="I1967" t="str">
        <f t="shared" si="3"/>
        <v>Non-democratic</v>
      </c>
    </row>
    <row r="1968">
      <c r="B1968" t="str">
        <f t="shared" si="1"/>
        <v>#</v>
      </c>
      <c r="G1968" t="str">
        <f>vlookup(B1968,'imported-population-for-countri'!$A$4:$E$17930,5,false)</f>
        <v>#N/A</v>
      </c>
      <c r="H1968" t="str">
        <f t="shared" si="2"/>
        <v>#N/A</v>
      </c>
      <c r="I1968" t="str">
        <f t="shared" si="3"/>
        <v>Non-democratic</v>
      </c>
    </row>
    <row r="1969">
      <c r="B1969" t="str">
        <f t="shared" si="1"/>
        <v>#</v>
      </c>
      <c r="G1969" t="str">
        <f>vlookup(B1969,'imported-population-for-countri'!$A$4:$E$17930,5,false)</f>
        <v>#N/A</v>
      </c>
      <c r="H1969" t="str">
        <f t="shared" si="2"/>
        <v>#N/A</v>
      </c>
      <c r="I1969" t="str">
        <f t="shared" si="3"/>
        <v>Non-democratic</v>
      </c>
    </row>
    <row r="1970">
      <c r="B1970" t="str">
        <f t="shared" si="1"/>
        <v>#</v>
      </c>
      <c r="G1970" t="str">
        <f>vlookup(B1970,'imported-population-for-countri'!$A$4:$E$17930,5,false)</f>
        <v>#N/A</v>
      </c>
      <c r="H1970" t="str">
        <f t="shared" si="2"/>
        <v>#N/A</v>
      </c>
      <c r="I1970" t="str">
        <f t="shared" si="3"/>
        <v>Non-democratic</v>
      </c>
    </row>
    <row r="1971">
      <c r="B1971" t="str">
        <f t="shared" si="1"/>
        <v>#</v>
      </c>
      <c r="G1971" t="str">
        <f>vlookup(B1971,'imported-population-for-countri'!$A$4:$E$17930,5,false)</f>
        <v>#N/A</v>
      </c>
      <c r="H1971" t="str">
        <f t="shared" si="2"/>
        <v>#N/A</v>
      </c>
      <c r="I1971" t="str">
        <f t="shared" si="3"/>
        <v>Non-democratic</v>
      </c>
    </row>
    <row r="1972">
      <c r="B1972" t="str">
        <f t="shared" si="1"/>
        <v>#</v>
      </c>
      <c r="G1972" t="str">
        <f>vlookup(B1972,'imported-population-for-countri'!$A$4:$E$17930,5,false)</f>
        <v>#N/A</v>
      </c>
      <c r="H1972" t="str">
        <f t="shared" si="2"/>
        <v>#N/A</v>
      </c>
      <c r="I1972" t="str">
        <f t="shared" si="3"/>
        <v>Non-democratic</v>
      </c>
    </row>
    <row r="1973">
      <c r="B1973" t="str">
        <f t="shared" si="1"/>
        <v>#</v>
      </c>
      <c r="G1973" t="str">
        <f>vlookup(B1973,'imported-population-for-countri'!$A$4:$E$17930,5,false)</f>
        <v>#N/A</v>
      </c>
      <c r="H1973" t="str">
        <f t="shared" si="2"/>
        <v>#N/A</v>
      </c>
      <c r="I1973" t="str">
        <f t="shared" si="3"/>
        <v>Non-democratic</v>
      </c>
    </row>
    <row r="1974">
      <c r="B1974" t="str">
        <f t="shared" si="1"/>
        <v>#</v>
      </c>
      <c r="G1974" t="str">
        <f>vlookup(B1974,'imported-population-for-countri'!$A$4:$E$17930,5,false)</f>
        <v>#N/A</v>
      </c>
      <c r="H1974" t="str">
        <f t="shared" si="2"/>
        <v>#N/A</v>
      </c>
      <c r="I1974" t="str">
        <f t="shared" si="3"/>
        <v>Non-democratic</v>
      </c>
    </row>
    <row r="1975">
      <c r="B1975" t="str">
        <f t="shared" si="1"/>
        <v>#</v>
      </c>
      <c r="G1975" t="str">
        <f>vlookup(B1975,'imported-population-for-countri'!$A$4:$E$17930,5,false)</f>
        <v>#N/A</v>
      </c>
      <c r="H1975" t="str">
        <f t="shared" si="2"/>
        <v>#N/A</v>
      </c>
      <c r="I1975" t="str">
        <f t="shared" si="3"/>
        <v>Non-democratic</v>
      </c>
    </row>
    <row r="1976">
      <c r="B1976" t="str">
        <f t="shared" si="1"/>
        <v>#</v>
      </c>
      <c r="G1976" t="str">
        <f>vlookup(B1976,'imported-population-for-countri'!$A$4:$E$17930,5,false)</f>
        <v>#N/A</v>
      </c>
      <c r="H1976" t="str">
        <f t="shared" si="2"/>
        <v>#N/A</v>
      </c>
      <c r="I1976" t="str">
        <f t="shared" si="3"/>
        <v>Non-democratic</v>
      </c>
    </row>
    <row r="1977">
      <c r="B1977" t="str">
        <f t="shared" si="1"/>
        <v>#</v>
      </c>
      <c r="G1977" t="str">
        <f>vlookup(B1977,'imported-population-for-countri'!$A$4:$E$17930,5,false)</f>
        <v>#N/A</v>
      </c>
      <c r="H1977" t="str">
        <f t="shared" si="2"/>
        <v>#N/A</v>
      </c>
      <c r="I1977" t="str">
        <f t="shared" si="3"/>
        <v>Non-democratic</v>
      </c>
    </row>
    <row r="1978">
      <c r="B1978" t="str">
        <f t="shared" si="1"/>
        <v>#</v>
      </c>
      <c r="G1978" t="str">
        <f>vlookup(B1978,'imported-population-for-countri'!$A$4:$E$17930,5,false)</f>
        <v>#N/A</v>
      </c>
      <c r="H1978" t="str">
        <f t="shared" si="2"/>
        <v>#N/A</v>
      </c>
      <c r="I1978" t="str">
        <f t="shared" si="3"/>
        <v>Non-democratic</v>
      </c>
    </row>
    <row r="1979">
      <c r="B1979" t="str">
        <f t="shared" si="1"/>
        <v>#</v>
      </c>
      <c r="G1979" t="str">
        <f>vlookup(B1979,'imported-population-for-countri'!$A$4:$E$17930,5,false)</f>
        <v>#N/A</v>
      </c>
      <c r="H1979" t="str">
        <f t="shared" si="2"/>
        <v>#N/A</v>
      </c>
      <c r="I1979" t="str">
        <f t="shared" si="3"/>
        <v>Non-democratic</v>
      </c>
    </row>
    <row r="1980">
      <c r="B1980" t="str">
        <f t="shared" si="1"/>
        <v>#</v>
      </c>
      <c r="G1980" t="str">
        <f>vlookup(B1980,'imported-population-for-countri'!$A$4:$E$17930,5,false)</f>
        <v>#N/A</v>
      </c>
      <c r="H1980" t="str">
        <f t="shared" si="2"/>
        <v>#N/A</v>
      </c>
      <c r="I1980" t="str">
        <f t="shared" si="3"/>
        <v>Non-democratic</v>
      </c>
    </row>
    <row r="1981">
      <c r="B1981" t="str">
        <f t="shared" si="1"/>
        <v>#</v>
      </c>
      <c r="G1981" t="str">
        <f>vlookup(B1981,'imported-population-for-countri'!$A$4:$E$17930,5,false)</f>
        <v>#N/A</v>
      </c>
      <c r="H1981" t="str">
        <f t="shared" si="2"/>
        <v>#N/A</v>
      </c>
      <c r="I1981" t="str">
        <f t="shared" si="3"/>
        <v>Non-democratic</v>
      </c>
    </row>
    <row r="1982">
      <c r="B1982" t="str">
        <f t="shared" si="1"/>
        <v>#</v>
      </c>
      <c r="G1982" t="str">
        <f>vlookup(B1982,'imported-population-for-countri'!$A$4:$E$17930,5,false)</f>
        <v>#N/A</v>
      </c>
      <c r="H1982" t="str">
        <f t="shared" si="2"/>
        <v>#N/A</v>
      </c>
      <c r="I1982" t="str">
        <f t="shared" si="3"/>
        <v>Non-democratic</v>
      </c>
    </row>
    <row r="1983">
      <c r="B1983" t="str">
        <f t="shared" si="1"/>
        <v>#</v>
      </c>
      <c r="G1983" t="str">
        <f>vlookup(B1983,'imported-population-for-countri'!$A$4:$E$17930,5,false)</f>
        <v>#N/A</v>
      </c>
      <c r="H1983" t="str">
        <f t="shared" si="2"/>
        <v>#N/A</v>
      </c>
      <c r="I1983" t="str">
        <f t="shared" si="3"/>
        <v>Non-democratic</v>
      </c>
    </row>
    <row r="1984">
      <c r="B1984" t="str">
        <f t="shared" si="1"/>
        <v>#</v>
      </c>
      <c r="G1984" t="str">
        <f>vlookup(B1984,'imported-population-for-countri'!$A$4:$E$17930,5,false)</f>
        <v>#N/A</v>
      </c>
      <c r="H1984" t="str">
        <f t="shared" si="2"/>
        <v>#N/A</v>
      </c>
      <c r="I1984" t="str">
        <f t="shared" si="3"/>
        <v>Non-democratic</v>
      </c>
    </row>
    <row r="1985">
      <c r="B1985" t="str">
        <f t="shared" si="1"/>
        <v>#</v>
      </c>
      <c r="G1985" t="str">
        <f>vlookup(B1985,'imported-population-for-countri'!$A$4:$E$17930,5,false)</f>
        <v>#N/A</v>
      </c>
      <c r="H1985" t="str">
        <f t="shared" si="2"/>
        <v>#N/A</v>
      </c>
      <c r="I1985" t="str">
        <f t="shared" si="3"/>
        <v>Non-democratic</v>
      </c>
    </row>
    <row r="1986">
      <c r="B1986" t="str">
        <f t="shared" si="1"/>
        <v>#</v>
      </c>
      <c r="G1986" t="str">
        <f>vlookup(B1986,'imported-population-for-countri'!$A$4:$E$17930,5,false)</f>
        <v>#N/A</v>
      </c>
      <c r="H1986" t="str">
        <f t="shared" si="2"/>
        <v>#N/A</v>
      </c>
      <c r="I1986" t="str">
        <f t="shared" si="3"/>
        <v>Non-democratic</v>
      </c>
    </row>
    <row r="1987">
      <c r="B1987" t="str">
        <f t="shared" si="1"/>
        <v>#</v>
      </c>
      <c r="G1987" t="str">
        <f>vlookup(B1987,'imported-population-for-countri'!$A$4:$E$17930,5,false)</f>
        <v>#N/A</v>
      </c>
      <c r="H1987" t="str">
        <f t="shared" si="2"/>
        <v>#N/A</v>
      </c>
      <c r="I1987" t="str">
        <f t="shared" si="3"/>
        <v>Non-democratic</v>
      </c>
    </row>
    <row r="1988">
      <c r="B1988" t="str">
        <f t="shared" si="1"/>
        <v>#</v>
      </c>
      <c r="G1988" t="str">
        <f>vlookup(B1988,'imported-population-for-countri'!$A$4:$E$17930,5,false)</f>
        <v>#N/A</v>
      </c>
      <c r="H1988" t="str">
        <f t="shared" si="2"/>
        <v>#N/A</v>
      </c>
      <c r="I1988" t="str">
        <f t="shared" si="3"/>
        <v>Non-democratic</v>
      </c>
    </row>
    <row r="1989">
      <c r="B1989" t="str">
        <f t="shared" si="1"/>
        <v>#</v>
      </c>
      <c r="G1989" t="str">
        <f>vlookup(B1989,'imported-population-for-countri'!$A$4:$E$17930,5,false)</f>
        <v>#N/A</v>
      </c>
      <c r="H1989" t="str">
        <f t="shared" si="2"/>
        <v>#N/A</v>
      </c>
      <c r="I1989" t="str">
        <f t="shared" si="3"/>
        <v>Non-democratic</v>
      </c>
    </row>
    <row r="1990">
      <c r="B1990" t="str">
        <f t="shared" si="1"/>
        <v>#</v>
      </c>
      <c r="G1990" t="str">
        <f>vlookup(B1990,'imported-population-for-countri'!$A$4:$E$17930,5,false)</f>
        <v>#N/A</v>
      </c>
      <c r="H1990" t="str">
        <f t="shared" si="2"/>
        <v>#N/A</v>
      </c>
      <c r="I1990" t="str">
        <f t="shared" si="3"/>
        <v>Non-democratic</v>
      </c>
    </row>
    <row r="1991">
      <c r="B1991" t="str">
        <f t="shared" si="1"/>
        <v>#</v>
      </c>
      <c r="G1991" t="str">
        <f>vlookup(B1991,'imported-population-for-countri'!$A$4:$E$17930,5,false)</f>
        <v>#N/A</v>
      </c>
      <c r="H1991" t="str">
        <f t="shared" si="2"/>
        <v>#N/A</v>
      </c>
      <c r="I1991" t="str">
        <f t="shared" si="3"/>
        <v>Non-democratic</v>
      </c>
    </row>
    <row r="1992">
      <c r="B1992" t="str">
        <f t="shared" si="1"/>
        <v>#</v>
      </c>
      <c r="G1992" t="str">
        <f>vlookup(B1992,'imported-population-for-countri'!$A$4:$E$17930,5,false)</f>
        <v>#N/A</v>
      </c>
      <c r="H1992" t="str">
        <f t="shared" si="2"/>
        <v>#N/A</v>
      </c>
      <c r="I1992" t="str">
        <f t="shared" si="3"/>
        <v>Non-democratic</v>
      </c>
    </row>
    <row r="1993">
      <c r="B1993" t="str">
        <f t="shared" si="1"/>
        <v>#</v>
      </c>
      <c r="G1993" t="str">
        <f>vlookup(B1993,'imported-population-for-countri'!$A$4:$E$17930,5,false)</f>
        <v>#N/A</v>
      </c>
      <c r="H1993" t="str">
        <f t="shared" si="2"/>
        <v>#N/A</v>
      </c>
      <c r="I1993" t="str">
        <f t="shared" si="3"/>
        <v>Non-democratic</v>
      </c>
    </row>
    <row r="1994">
      <c r="B1994" t="str">
        <f t="shared" si="1"/>
        <v>#</v>
      </c>
      <c r="G1994" t="str">
        <f>vlookup(B1994,'imported-population-for-countri'!$A$4:$E$17930,5,false)</f>
        <v>#N/A</v>
      </c>
      <c r="H1994" t="str">
        <f t="shared" si="2"/>
        <v>#N/A</v>
      </c>
      <c r="I1994" t="str">
        <f t="shared" si="3"/>
        <v>Non-democratic</v>
      </c>
    </row>
    <row r="1995">
      <c r="B1995" t="str">
        <f t="shared" si="1"/>
        <v>#</v>
      </c>
      <c r="G1995" t="str">
        <f>vlookup(B1995,'imported-population-for-countri'!$A$4:$E$17930,5,false)</f>
        <v>#N/A</v>
      </c>
      <c r="H1995" t="str">
        <f t="shared" si="2"/>
        <v>#N/A</v>
      </c>
      <c r="I1995" t="str">
        <f t="shared" si="3"/>
        <v>Non-democratic</v>
      </c>
    </row>
    <row r="1996">
      <c r="B1996" t="str">
        <f t="shared" si="1"/>
        <v>#</v>
      </c>
      <c r="G1996" t="str">
        <f>vlookup(B1996,'imported-population-for-countri'!$A$4:$E$17930,5,false)</f>
        <v>#N/A</v>
      </c>
      <c r="H1996" t="str">
        <f t="shared" si="2"/>
        <v>#N/A</v>
      </c>
      <c r="I1996" t="str">
        <f t="shared" si="3"/>
        <v>Non-democratic</v>
      </c>
    </row>
    <row r="1997">
      <c r="B1997" t="str">
        <f t="shared" si="1"/>
        <v>#</v>
      </c>
      <c r="G1997" t="str">
        <f>vlookup(B1997,'imported-population-for-countri'!$A$4:$E$17930,5,false)</f>
        <v>#N/A</v>
      </c>
      <c r="H1997" t="str">
        <f t="shared" si="2"/>
        <v>#N/A</v>
      </c>
      <c r="I1997" t="str">
        <f t="shared" si="3"/>
        <v>Non-democratic</v>
      </c>
    </row>
    <row r="1998">
      <c r="B1998" t="str">
        <f t="shared" si="1"/>
        <v>#</v>
      </c>
      <c r="G1998" t="str">
        <f>vlookup(B1998,'imported-population-for-countri'!$A$4:$E$17930,5,false)</f>
        <v>#N/A</v>
      </c>
      <c r="H1998" t="str">
        <f t="shared" si="2"/>
        <v>#N/A</v>
      </c>
      <c r="I1998" t="str">
        <f t="shared" si="3"/>
        <v>Non-democratic</v>
      </c>
    </row>
    <row r="1999">
      <c r="B1999" t="str">
        <f t="shared" si="1"/>
        <v>#</v>
      </c>
      <c r="G1999" t="str">
        <f>vlookup(B1999,'imported-population-for-countri'!$A$4:$E$17930,5,false)</f>
        <v>#N/A</v>
      </c>
      <c r="H1999" t="str">
        <f t="shared" si="2"/>
        <v>#N/A</v>
      </c>
      <c r="I1999" t="str">
        <f t="shared" si="3"/>
        <v>Non-democratic</v>
      </c>
    </row>
    <row r="2000">
      <c r="B2000" t="str">
        <f t="shared" si="1"/>
        <v>#</v>
      </c>
      <c r="G2000" t="str">
        <f>vlookup(B2000,'imported-population-for-countri'!$A$4:$E$17930,5,false)</f>
        <v>#N/A</v>
      </c>
      <c r="H2000" t="str">
        <f t="shared" si="2"/>
        <v>#N/A</v>
      </c>
      <c r="I2000" t="str">
        <f t="shared" si="3"/>
        <v>Non-democratic</v>
      </c>
    </row>
    <row r="2001">
      <c r="B2001" t="str">
        <f t="shared" si="1"/>
        <v>#</v>
      </c>
      <c r="G2001" t="str">
        <f>vlookup(B2001,'imported-population-for-countri'!$A$4:$E$17930,5,false)</f>
        <v>#N/A</v>
      </c>
      <c r="H2001" t="str">
        <f t="shared" si="2"/>
        <v>#N/A</v>
      </c>
      <c r="I2001" t="str">
        <f t="shared" si="3"/>
        <v>Non-democratic</v>
      </c>
    </row>
    <row r="2002">
      <c r="B2002" t="str">
        <f t="shared" si="1"/>
        <v>#</v>
      </c>
      <c r="G2002" t="str">
        <f>vlookup(B2002,'imported-population-for-countri'!$A$4:$E$17930,5,false)</f>
        <v>#N/A</v>
      </c>
      <c r="H2002" t="str">
        <f t="shared" si="2"/>
        <v>#N/A</v>
      </c>
      <c r="I2002" t="str">
        <f t="shared" si="3"/>
        <v>Non-democratic</v>
      </c>
    </row>
    <row r="2003">
      <c r="B2003" t="str">
        <f t="shared" si="1"/>
        <v>#</v>
      </c>
      <c r="G2003" t="str">
        <f>vlookup(B2003,'imported-population-for-countri'!$A$4:$E$17930,5,false)</f>
        <v>#N/A</v>
      </c>
      <c r="H2003" t="str">
        <f t="shared" si="2"/>
        <v>#N/A</v>
      </c>
      <c r="I2003" t="str">
        <f t="shared" si="3"/>
        <v>Non-democratic</v>
      </c>
    </row>
    <row r="2004">
      <c r="B2004" t="str">
        <f t="shared" si="1"/>
        <v>#</v>
      </c>
      <c r="G2004" t="str">
        <f>vlookup(B2004,'imported-population-for-countri'!$A$4:$E$17930,5,false)</f>
        <v>#N/A</v>
      </c>
      <c r="H2004" t="str">
        <f t="shared" si="2"/>
        <v>#N/A</v>
      </c>
      <c r="I2004" t="str">
        <f t="shared" si="3"/>
        <v>Non-democratic</v>
      </c>
    </row>
    <row r="2005">
      <c r="B2005" t="str">
        <f t="shared" si="1"/>
        <v>#</v>
      </c>
      <c r="G2005" t="str">
        <f>vlookup(B2005,'imported-population-for-countri'!$A$4:$E$17930,5,false)</f>
        <v>#N/A</v>
      </c>
      <c r="H2005" t="str">
        <f t="shared" si="2"/>
        <v>#N/A</v>
      </c>
      <c r="I2005" t="str">
        <f t="shared" si="3"/>
        <v>Non-democratic</v>
      </c>
    </row>
    <row r="2006">
      <c r="B2006" t="str">
        <f t="shared" si="1"/>
        <v>#</v>
      </c>
      <c r="G2006" t="str">
        <f>vlookup(B2006,'imported-population-for-countri'!$A$4:$E$17930,5,false)</f>
        <v>#N/A</v>
      </c>
      <c r="H2006" t="str">
        <f t="shared" si="2"/>
        <v>#N/A</v>
      </c>
      <c r="I2006" t="str">
        <f t="shared" si="3"/>
        <v>Non-democratic</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1.22" defaultRowHeight="15.0"/>
  <sheetData>
    <row r="1">
      <c r="A1" t="str">
        <f>IFERROR(__xludf.DUMMYFUNCTION("IMPORTRANGE(""https://docs.google.com/spreadsheets/d/18Ep3s1S0cvlT1ovQG9KdipLEoQ1Ktz5LtTTQpDcWbX0"", ""data-world-by-year!A:D"")"),"geo")</f>
        <v>geo</v>
      </c>
      <c r="B1" t="str">
        <f>IFERROR(__xludf.DUMMYFUNCTION("""COMPUTED_VALUE"""),"name")</f>
        <v>name</v>
      </c>
      <c r="C1" t="str">
        <f>IFERROR(__xludf.DUMMYFUNCTION("""COMPUTED_VALUE"""),"year")</f>
        <v>year</v>
      </c>
      <c r="D1" s="164" t="str">
        <f>IFERROR(__xludf.DUMMYFUNCTION("""COMPUTED_VALUE"""),"Population")</f>
        <v>Population</v>
      </c>
    </row>
    <row r="2">
      <c r="A2" t="str">
        <f>IFERROR(__xludf.DUMMYFUNCTION("""COMPUTED_VALUE"""),"world")</f>
        <v>world</v>
      </c>
      <c r="B2" t="str">
        <f>IFERROR(__xludf.DUMMYFUNCTION("""COMPUTED_VALUE"""),"World")</f>
        <v>World</v>
      </c>
      <c r="C2">
        <f>IFERROR(__xludf.DUMMYFUNCTION("""COMPUTED_VALUE"""),1800.0)</f>
        <v>1800</v>
      </c>
      <c r="D2" s="164">
        <f>IFERROR(__xludf.DUMMYFUNCTION("""COMPUTED_VALUE"""),9.46764816E8)</f>
        <v>946764816</v>
      </c>
    </row>
    <row r="3">
      <c r="A3" t="str">
        <f>IFERROR(__xludf.DUMMYFUNCTION("""COMPUTED_VALUE"""),"world")</f>
        <v>world</v>
      </c>
      <c r="B3" t="str">
        <f>IFERROR(__xludf.DUMMYFUNCTION("""COMPUTED_VALUE"""),"World")</f>
        <v>World</v>
      </c>
      <c r="C3">
        <f>IFERROR(__xludf.DUMMYFUNCTION("""COMPUTED_VALUE"""),1801.0)</f>
        <v>1801</v>
      </c>
      <c r="D3" s="164">
        <f>IFERROR(__xludf.DUMMYFUNCTION("""COMPUTED_VALUE"""),9.50949353E8)</f>
        <v>950949353</v>
      </c>
    </row>
    <row r="4">
      <c r="A4" t="str">
        <f>IFERROR(__xludf.DUMMYFUNCTION("""COMPUTED_VALUE"""),"world")</f>
        <v>world</v>
      </c>
      <c r="B4" t="str">
        <f>IFERROR(__xludf.DUMMYFUNCTION("""COMPUTED_VALUE"""),"World")</f>
        <v>World</v>
      </c>
      <c r="C4">
        <f>IFERROR(__xludf.DUMMYFUNCTION("""COMPUTED_VALUE"""),1802.0)</f>
        <v>1802</v>
      </c>
      <c r="D4" s="164">
        <f>IFERROR(__xludf.DUMMYFUNCTION("""COMPUTED_VALUE"""),9.55168653E8)</f>
        <v>955168653</v>
      </c>
    </row>
    <row r="5">
      <c r="A5" t="str">
        <f>IFERROR(__xludf.DUMMYFUNCTION("""COMPUTED_VALUE"""),"world")</f>
        <v>world</v>
      </c>
      <c r="B5" t="str">
        <f>IFERROR(__xludf.DUMMYFUNCTION("""COMPUTED_VALUE"""),"World")</f>
        <v>World</v>
      </c>
      <c r="C5">
        <f>IFERROR(__xludf.DUMMYFUNCTION("""COMPUTED_VALUE"""),1803.0)</f>
        <v>1803</v>
      </c>
      <c r="D5" s="164">
        <f>IFERROR(__xludf.DUMMYFUNCTION("""COMPUTED_VALUE"""),9.59430074E8)</f>
        <v>959430074</v>
      </c>
    </row>
    <row r="6">
      <c r="A6" t="str">
        <f>IFERROR(__xludf.DUMMYFUNCTION("""COMPUTED_VALUE"""),"world")</f>
        <v>world</v>
      </c>
      <c r="B6" t="str">
        <f>IFERROR(__xludf.DUMMYFUNCTION("""COMPUTED_VALUE"""),"World")</f>
        <v>World</v>
      </c>
      <c r="C6">
        <f>IFERROR(__xludf.DUMMYFUNCTION("""COMPUTED_VALUE"""),1804.0)</f>
        <v>1804</v>
      </c>
      <c r="D6" s="164">
        <f>IFERROR(__xludf.DUMMYFUNCTION("""COMPUTED_VALUE"""),9.63726376E8)</f>
        <v>963726376</v>
      </c>
    </row>
    <row r="7">
      <c r="A7" t="str">
        <f>IFERROR(__xludf.DUMMYFUNCTION("""COMPUTED_VALUE"""),"world")</f>
        <v>world</v>
      </c>
      <c r="B7" t="str">
        <f>IFERROR(__xludf.DUMMYFUNCTION("""COMPUTED_VALUE"""),"World")</f>
        <v>World</v>
      </c>
      <c r="C7">
        <f>IFERROR(__xludf.DUMMYFUNCTION("""COMPUTED_VALUE"""),1805.0)</f>
        <v>1805</v>
      </c>
      <c r="D7" s="164">
        <f>IFERROR(__xludf.DUMMYFUNCTION("""COMPUTED_VALUE"""),9.68055764E8)</f>
        <v>968055764</v>
      </c>
    </row>
    <row r="8">
      <c r="A8" t="str">
        <f>IFERROR(__xludf.DUMMYFUNCTION("""COMPUTED_VALUE"""),"world")</f>
        <v>world</v>
      </c>
      <c r="B8" t="str">
        <f>IFERROR(__xludf.DUMMYFUNCTION("""COMPUTED_VALUE"""),"World")</f>
        <v>World</v>
      </c>
      <c r="C8">
        <f>IFERROR(__xludf.DUMMYFUNCTION("""COMPUTED_VALUE"""),1806.0)</f>
        <v>1806</v>
      </c>
      <c r="D8" s="164">
        <f>IFERROR(__xludf.DUMMYFUNCTION("""COMPUTED_VALUE"""),9.72415943E8)</f>
        <v>972415943</v>
      </c>
    </row>
    <row r="9">
      <c r="A9" t="str">
        <f>IFERROR(__xludf.DUMMYFUNCTION("""COMPUTED_VALUE"""),"world")</f>
        <v>world</v>
      </c>
      <c r="B9" t="str">
        <f>IFERROR(__xludf.DUMMYFUNCTION("""COMPUTED_VALUE"""),"World")</f>
        <v>World</v>
      </c>
      <c r="C9">
        <f>IFERROR(__xludf.DUMMYFUNCTION("""COMPUTED_VALUE"""),1807.0)</f>
        <v>1807</v>
      </c>
      <c r="D9" s="164">
        <f>IFERROR(__xludf.DUMMYFUNCTION("""COMPUTED_VALUE"""),9.76803345E8)</f>
        <v>976803345</v>
      </c>
    </row>
    <row r="10">
      <c r="A10" t="str">
        <f>IFERROR(__xludf.DUMMYFUNCTION("""COMPUTED_VALUE"""),"world")</f>
        <v>world</v>
      </c>
      <c r="B10" t="str">
        <f>IFERROR(__xludf.DUMMYFUNCTION("""COMPUTED_VALUE"""),"World")</f>
        <v>World</v>
      </c>
      <c r="C10">
        <f>IFERROR(__xludf.DUMMYFUNCTION("""COMPUTED_VALUE"""),1808.0)</f>
        <v>1808</v>
      </c>
      <c r="D10" s="164">
        <f>IFERROR(__xludf.DUMMYFUNCTION("""COMPUTED_VALUE"""),9.8121762E8)</f>
        <v>981217620</v>
      </c>
    </row>
    <row r="11">
      <c r="A11" t="str">
        <f>IFERROR(__xludf.DUMMYFUNCTION("""COMPUTED_VALUE"""),"world")</f>
        <v>world</v>
      </c>
      <c r="B11" t="str">
        <f>IFERROR(__xludf.DUMMYFUNCTION("""COMPUTED_VALUE"""),"World")</f>
        <v>World</v>
      </c>
      <c r="C11">
        <f>IFERROR(__xludf.DUMMYFUNCTION("""COMPUTED_VALUE"""),1809.0)</f>
        <v>1809</v>
      </c>
      <c r="D11" s="164">
        <f>IFERROR(__xludf.DUMMYFUNCTION("""COMPUTED_VALUE"""),9.85651329E8)</f>
        <v>985651329</v>
      </c>
    </row>
    <row r="12">
      <c r="A12" t="str">
        <f>IFERROR(__xludf.DUMMYFUNCTION("""COMPUTED_VALUE"""),"world")</f>
        <v>world</v>
      </c>
      <c r="B12" t="str">
        <f>IFERROR(__xludf.DUMMYFUNCTION("""COMPUTED_VALUE"""),"World")</f>
        <v>World</v>
      </c>
      <c r="C12">
        <f>IFERROR(__xludf.DUMMYFUNCTION("""COMPUTED_VALUE"""),1810.0)</f>
        <v>1810</v>
      </c>
      <c r="D12" s="164">
        <f>IFERROR(__xludf.DUMMYFUNCTION("""COMPUTED_VALUE"""),9.90878744E8)</f>
        <v>990878744</v>
      </c>
    </row>
    <row r="13">
      <c r="A13" t="str">
        <f>IFERROR(__xludf.DUMMYFUNCTION("""COMPUTED_VALUE"""),"world")</f>
        <v>world</v>
      </c>
      <c r="B13" t="str">
        <f>IFERROR(__xludf.DUMMYFUNCTION("""COMPUTED_VALUE"""),"World")</f>
        <v>World</v>
      </c>
      <c r="C13">
        <f>IFERROR(__xludf.DUMMYFUNCTION("""COMPUTED_VALUE"""),1811.0)</f>
        <v>1811</v>
      </c>
      <c r="D13" s="164">
        <f>IFERROR(__xludf.DUMMYFUNCTION("""COMPUTED_VALUE"""),9.95532713E8)</f>
        <v>995532713</v>
      </c>
    </row>
    <row r="14">
      <c r="A14" t="str">
        <f>IFERROR(__xludf.DUMMYFUNCTION("""COMPUTED_VALUE"""),"world")</f>
        <v>world</v>
      </c>
      <c r="B14" t="str">
        <f>IFERROR(__xludf.DUMMYFUNCTION("""COMPUTED_VALUE"""),"World")</f>
        <v>World</v>
      </c>
      <c r="C14">
        <f>IFERROR(__xludf.DUMMYFUNCTION("""COMPUTED_VALUE"""),1812.0)</f>
        <v>1812</v>
      </c>
      <c r="D14" s="164">
        <f>IFERROR(__xludf.DUMMYFUNCTION("""COMPUTED_VALUE"""),1.000325622E9)</f>
        <v>1000325622</v>
      </c>
    </row>
    <row r="15">
      <c r="A15" t="str">
        <f>IFERROR(__xludf.DUMMYFUNCTION("""COMPUTED_VALUE"""),"world")</f>
        <v>world</v>
      </c>
      <c r="B15" t="str">
        <f>IFERROR(__xludf.DUMMYFUNCTION("""COMPUTED_VALUE"""),"World")</f>
        <v>World</v>
      </c>
      <c r="C15">
        <f>IFERROR(__xludf.DUMMYFUNCTION("""COMPUTED_VALUE"""),1813.0)</f>
        <v>1813</v>
      </c>
      <c r="D15" s="164">
        <f>IFERROR(__xludf.DUMMYFUNCTION("""COMPUTED_VALUE"""),1.005258097E9)</f>
        <v>1005258097</v>
      </c>
    </row>
    <row r="16">
      <c r="A16" t="str">
        <f>IFERROR(__xludf.DUMMYFUNCTION("""COMPUTED_VALUE"""),"world")</f>
        <v>world</v>
      </c>
      <c r="B16" t="str">
        <f>IFERROR(__xludf.DUMMYFUNCTION("""COMPUTED_VALUE"""),"World")</f>
        <v>World</v>
      </c>
      <c r="C16">
        <f>IFERROR(__xludf.DUMMYFUNCTION("""COMPUTED_VALUE"""),1814.0)</f>
        <v>1814</v>
      </c>
      <c r="D16" s="164">
        <f>IFERROR(__xludf.DUMMYFUNCTION("""COMPUTED_VALUE"""),1.010330552E9)</f>
        <v>1010330552</v>
      </c>
    </row>
    <row r="17">
      <c r="A17" t="str">
        <f>IFERROR(__xludf.DUMMYFUNCTION("""COMPUTED_VALUE"""),"world")</f>
        <v>world</v>
      </c>
      <c r="B17" t="str">
        <f>IFERROR(__xludf.DUMMYFUNCTION("""COMPUTED_VALUE"""),"World")</f>
        <v>World</v>
      </c>
      <c r="C17">
        <f>IFERROR(__xludf.DUMMYFUNCTION("""COMPUTED_VALUE"""),1815.0)</f>
        <v>1815</v>
      </c>
      <c r="D17" s="164">
        <f>IFERROR(__xludf.DUMMYFUNCTION("""COMPUTED_VALUE"""),1.015543754E9)</f>
        <v>1015543754</v>
      </c>
    </row>
    <row r="18">
      <c r="A18" t="str">
        <f>IFERROR(__xludf.DUMMYFUNCTION("""COMPUTED_VALUE"""),"world")</f>
        <v>world</v>
      </c>
      <c r="B18" t="str">
        <f>IFERROR(__xludf.DUMMYFUNCTION("""COMPUTED_VALUE"""),"World")</f>
        <v>World</v>
      </c>
      <c r="C18">
        <f>IFERROR(__xludf.DUMMYFUNCTION("""COMPUTED_VALUE"""),1816.0)</f>
        <v>1816</v>
      </c>
      <c r="D18" s="164">
        <f>IFERROR(__xludf.DUMMYFUNCTION("""COMPUTED_VALUE"""),1.020894894E9)</f>
        <v>1020894894</v>
      </c>
    </row>
    <row r="19">
      <c r="A19" t="str">
        <f>IFERROR(__xludf.DUMMYFUNCTION("""COMPUTED_VALUE"""),"world")</f>
        <v>world</v>
      </c>
      <c r="B19" t="str">
        <f>IFERROR(__xludf.DUMMYFUNCTION("""COMPUTED_VALUE"""),"World")</f>
        <v>World</v>
      </c>
      <c r="C19">
        <f>IFERROR(__xludf.DUMMYFUNCTION("""COMPUTED_VALUE"""),1817.0)</f>
        <v>1817</v>
      </c>
      <c r="D19" s="164">
        <f>IFERROR(__xludf.DUMMYFUNCTION("""COMPUTED_VALUE"""),1.026382529E9)</f>
        <v>1026382529</v>
      </c>
    </row>
    <row r="20">
      <c r="A20" t="str">
        <f>IFERROR(__xludf.DUMMYFUNCTION("""COMPUTED_VALUE"""),"world")</f>
        <v>world</v>
      </c>
      <c r="B20" t="str">
        <f>IFERROR(__xludf.DUMMYFUNCTION("""COMPUTED_VALUE"""),"World")</f>
        <v>World</v>
      </c>
      <c r="C20">
        <f>IFERROR(__xludf.DUMMYFUNCTION("""COMPUTED_VALUE"""),1818.0)</f>
        <v>1818</v>
      </c>
      <c r="D20" s="164">
        <f>IFERROR(__xludf.DUMMYFUNCTION("""COMPUTED_VALUE"""),1.032007127E9)</f>
        <v>1032007127</v>
      </c>
    </row>
    <row r="21">
      <c r="A21" t="str">
        <f>IFERROR(__xludf.DUMMYFUNCTION("""COMPUTED_VALUE"""),"world")</f>
        <v>world</v>
      </c>
      <c r="B21" t="str">
        <f>IFERROR(__xludf.DUMMYFUNCTION("""COMPUTED_VALUE"""),"World")</f>
        <v>World</v>
      </c>
      <c r="C21">
        <f>IFERROR(__xludf.DUMMYFUNCTION("""COMPUTED_VALUE"""),1819.0)</f>
        <v>1819</v>
      </c>
      <c r="D21" s="164">
        <f>IFERROR(__xludf.DUMMYFUNCTION("""COMPUTED_VALUE"""),1.037768027E9)</f>
        <v>1037768027</v>
      </c>
    </row>
    <row r="22">
      <c r="A22" t="str">
        <f>IFERROR(__xludf.DUMMYFUNCTION("""COMPUTED_VALUE"""),"world")</f>
        <v>world</v>
      </c>
      <c r="B22" t="str">
        <f>IFERROR(__xludf.DUMMYFUNCTION("""COMPUTED_VALUE"""),"World")</f>
        <v>World</v>
      </c>
      <c r="C22">
        <f>IFERROR(__xludf.DUMMYFUNCTION("""COMPUTED_VALUE"""),1820.0)</f>
        <v>1820</v>
      </c>
      <c r="D22" s="164">
        <f>IFERROR(__xludf.DUMMYFUNCTION("""COMPUTED_VALUE"""),1.043665954E9)</f>
        <v>1043665954</v>
      </c>
    </row>
    <row r="23">
      <c r="A23" t="str">
        <f>IFERROR(__xludf.DUMMYFUNCTION("""COMPUTED_VALUE"""),"world")</f>
        <v>world</v>
      </c>
      <c r="B23" t="str">
        <f>IFERROR(__xludf.DUMMYFUNCTION("""COMPUTED_VALUE"""),"World")</f>
        <v>World</v>
      </c>
      <c r="C23">
        <f>IFERROR(__xludf.DUMMYFUNCTION("""COMPUTED_VALUE"""),1821.0)</f>
        <v>1821</v>
      </c>
      <c r="D23" s="164">
        <f>IFERROR(__xludf.DUMMYFUNCTION("""COMPUTED_VALUE"""),1.0495782E9)</f>
        <v>1049578200</v>
      </c>
    </row>
    <row r="24">
      <c r="A24" t="str">
        <f>IFERROR(__xludf.DUMMYFUNCTION("""COMPUTED_VALUE"""),"world")</f>
        <v>world</v>
      </c>
      <c r="B24" t="str">
        <f>IFERROR(__xludf.DUMMYFUNCTION("""COMPUTED_VALUE"""),"World")</f>
        <v>World</v>
      </c>
      <c r="C24">
        <f>IFERROR(__xludf.DUMMYFUNCTION("""COMPUTED_VALUE"""),1822.0)</f>
        <v>1822</v>
      </c>
      <c r="D24" s="164">
        <f>IFERROR(__xludf.DUMMYFUNCTION("""COMPUTED_VALUE"""),1.055501042E9)</f>
        <v>1055501042</v>
      </c>
    </row>
    <row r="25">
      <c r="A25" t="str">
        <f>IFERROR(__xludf.DUMMYFUNCTION("""COMPUTED_VALUE"""),"world")</f>
        <v>world</v>
      </c>
      <c r="B25" t="str">
        <f>IFERROR(__xludf.DUMMYFUNCTION("""COMPUTED_VALUE"""),"World")</f>
        <v>World</v>
      </c>
      <c r="C25">
        <f>IFERROR(__xludf.DUMMYFUNCTION("""COMPUTED_VALUE"""),1823.0)</f>
        <v>1823</v>
      </c>
      <c r="D25" s="164">
        <f>IFERROR(__xludf.DUMMYFUNCTION("""COMPUTED_VALUE"""),1.061433252E9)</f>
        <v>1061433252</v>
      </c>
    </row>
    <row r="26">
      <c r="A26" t="str">
        <f>IFERROR(__xludf.DUMMYFUNCTION("""COMPUTED_VALUE"""),"world")</f>
        <v>world</v>
      </c>
      <c r="B26" t="str">
        <f>IFERROR(__xludf.DUMMYFUNCTION("""COMPUTED_VALUE"""),"World")</f>
        <v>World</v>
      </c>
      <c r="C26">
        <f>IFERROR(__xludf.DUMMYFUNCTION("""COMPUTED_VALUE"""),1824.0)</f>
        <v>1824</v>
      </c>
      <c r="D26" s="164">
        <f>IFERROR(__xludf.DUMMYFUNCTION("""COMPUTED_VALUE"""),1.067371419E9)</f>
        <v>1067371419</v>
      </c>
    </row>
    <row r="27">
      <c r="A27" t="str">
        <f>IFERROR(__xludf.DUMMYFUNCTION("""COMPUTED_VALUE"""),"world")</f>
        <v>world</v>
      </c>
      <c r="B27" t="str">
        <f>IFERROR(__xludf.DUMMYFUNCTION("""COMPUTED_VALUE"""),"World")</f>
        <v>World</v>
      </c>
      <c r="C27">
        <f>IFERROR(__xludf.DUMMYFUNCTION("""COMPUTED_VALUE"""),1825.0)</f>
        <v>1825</v>
      </c>
      <c r="D27" s="164">
        <f>IFERROR(__xludf.DUMMYFUNCTION("""COMPUTED_VALUE"""),1.073327187E9)</f>
        <v>1073327187</v>
      </c>
    </row>
    <row r="28">
      <c r="A28" t="str">
        <f>IFERROR(__xludf.DUMMYFUNCTION("""COMPUTED_VALUE"""),"world")</f>
        <v>world</v>
      </c>
      <c r="B28" t="str">
        <f>IFERROR(__xludf.DUMMYFUNCTION("""COMPUTED_VALUE"""),"World")</f>
        <v>World</v>
      </c>
      <c r="C28">
        <f>IFERROR(__xludf.DUMMYFUNCTION("""COMPUTED_VALUE"""),1826.0)</f>
        <v>1826</v>
      </c>
      <c r="D28" s="164">
        <f>IFERROR(__xludf.DUMMYFUNCTION("""COMPUTED_VALUE"""),1.079295963E9)</f>
        <v>1079295963</v>
      </c>
    </row>
    <row r="29">
      <c r="A29" t="str">
        <f>IFERROR(__xludf.DUMMYFUNCTION("""COMPUTED_VALUE"""),"world")</f>
        <v>world</v>
      </c>
      <c r="B29" t="str">
        <f>IFERROR(__xludf.DUMMYFUNCTION("""COMPUTED_VALUE"""),"World")</f>
        <v>World</v>
      </c>
      <c r="C29">
        <f>IFERROR(__xludf.DUMMYFUNCTION("""COMPUTED_VALUE"""),1827.0)</f>
        <v>1827</v>
      </c>
      <c r="D29" s="164">
        <f>IFERROR(__xludf.DUMMYFUNCTION("""COMPUTED_VALUE"""),1.085279042E9)</f>
        <v>1085279042</v>
      </c>
    </row>
    <row r="30">
      <c r="A30" t="str">
        <f>IFERROR(__xludf.DUMMYFUNCTION("""COMPUTED_VALUE"""),"world")</f>
        <v>world</v>
      </c>
      <c r="B30" t="str">
        <f>IFERROR(__xludf.DUMMYFUNCTION("""COMPUTED_VALUE"""),"World")</f>
        <v>World</v>
      </c>
      <c r="C30">
        <f>IFERROR(__xludf.DUMMYFUNCTION("""COMPUTED_VALUE"""),1828.0)</f>
        <v>1828</v>
      </c>
      <c r="D30" s="164">
        <f>IFERROR(__xludf.DUMMYFUNCTION("""COMPUTED_VALUE"""),1.091276457E9)</f>
        <v>1091276457</v>
      </c>
    </row>
    <row r="31">
      <c r="A31" t="str">
        <f>IFERROR(__xludf.DUMMYFUNCTION("""COMPUTED_VALUE"""),"world")</f>
        <v>world</v>
      </c>
      <c r="B31" t="str">
        <f>IFERROR(__xludf.DUMMYFUNCTION("""COMPUTED_VALUE"""),"World")</f>
        <v>World</v>
      </c>
      <c r="C31">
        <f>IFERROR(__xludf.DUMMYFUNCTION("""COMPUTED_VALUE"""),1829.0)</f>
        <v>1829</v>
      </c>
      <c r="D31" s="164">
        <f>IFERROR(__xludf.DUMMYFUNCTION("""COMPUTED_VALUE"""),1.097289755E9)</f>
        <v>1097289755</v>
      </c>
    </row>
    <row r="32">
      <c r="A32" t="str">
        <f>IFERROR(__xludf.DUMMYFUNCTION("""COMPUTED_VALUE"""),"world")</f>
        <v>world</v>
      </c>
      <c r="B32" t="str">
        <f>IFERROR(__xludf.DUMMYFUNCTION("""COMPUTED_VALUE"""),"World")</f>
        <v>World</v>
      </c>
      <c r="C32">
        <f>IFERROR(__xludf.DUMMYFUNCTION("""COMPUTED_VALUE"""),1830.0)</f>
        <v>1830</v>
      </c>
      <c r="D32" s="164">
        <f>IFERROR(__xludf.DUMMYFUNCTION("""COMPUTED_VALUE"""),1.10331962E9)</f>
        <v>1103319620</v>
      </c>
    </row>
    <row r="33">
      <c r="A33" t="str">
        <f>IFERROR(__xludf.DUMMYFUNCTION("""COMPUTED_VALUE"""),"world")</f>
        <v>world</v>
      </c>
      <c r="B33" t="str">
        <f>IFERROR(__xludf.DUMMYFUNCTION("""COMPUTED_VALUE"""),"World")</f>
        <v>World</v>
      </c>
      <c r="C33">
        <f>IFERROR(__xludf.DUMMYFUNCTION("""COMPUTED_VALUE"""),1831.0)</f>
        <v>1831</v>
      </c>
      <c r="D33" s="164">
        <f>IFERROR(__xludf.DUMMYFUNCTION("""COMPUTED_VALUE"""),1.109359147E9)</f>
        <v>1109359147</v>
      </c>
    </row>
    <row r="34">
      <c r="A34" t="str">
        <f>IFERROR(__xludf.DUMMYFUNCTION("""COMPUTED_VALUE"""),"world")</f>
        <v>world</v>
      </c>
      <c r="B34" t="str">
        <f>IFERROR(__xludf.DUMMYFUNCTION("""COMPUTED_VALUE"""),"World")</f>
        <v>World</v>
      </c>
      <c r="C34">
        <f>IFERROR(__xludf.DUMMYFUNCTION("""COMPUTED_VALUE"""),1832.0)</f>
        <v>1832</v>
      </c>
      <c r="D34" s="164">
        <f>IFERROR(__xludf.DUMMYFUNCTION("""COMPUTED_VALUE"""),1.115305848E9)</f>
        <v>1115305848</v>
      </c>
    </row>
    <row r="35">
      <c r="A35" t="str">
        <f>IFERROR(__xludf.DUMMYFUNCTION("""COMPUTED_VALUE"""),"world")</f>
        <v>world</v>
      </c>
      <c r="B35" t="str">
        <f>IFERROR(__xludf.DUMMYFUNCTION("""COMPUTED_VALUE"""),"World")</f>
        <v>World</v>
      </c>
      <c r="C35">
        <f>IFERROR(__xludf.DUMMYFUNCTION("""COMPUTED_VALUE"""),1833.0)</f>
        <v>1833</v>
      </c>
      <c r="D35" s="164">
        <f>IFERROR(__xludf.DUMMYFUNCTION("""COMPUTED_VALUE"""),1.121155293E9)</f>
        <v>1121155293</v>
      </c>
    </row>
    <row r="36">
      <c r="A36" t="str">
        <f>IFERROR(__xludf.DUMMYFUNCTION("""COMPUTED_VALUE"""),"world")</f>
        <v>world</v>
      </c>
      <c r="B36" t="str">
        <f>IFERROR(__xludf.DUMMYFUNCTION("""COMPUTED_VALUE"""),"World")</f>
        <v>World</v>
      </c>
      <c r="C36">
        <f>IFERROR(__xludf.DUMMYFUNCTION("""COMPUTED_VALUE"""),1834.0)</f>
        <v>1834</v>
      </c>
      <c r="D36" s="164">
        <f>IFERROR(__xludf.DUMMYFUNCTION("""COMPUTED_VALUE"""),1.126910232E9)</f>
        <v>1126910232</v>
      </c>
    </row>
    <row r="37">
      <c r="A37" t="str">
        <f>IFERROR(__xludf.DUMMYFUNCTION("""COMPUTED_VALUE"""),"world")</f>
        <v>world</v>
      </c>
      <c r="B37" t="str">
        <f>IFERROR(__xludf.DUMMYFUNCTION("""COMPUTED_VALUE"""),"World")</f>
        <v>World</v>
      </c>
      <c r="C37">
        <f>IFERROR(__xludf.DUMMYFUNCTION("""COMPUTED_VALUE"""),1835.0)</f>
        <v>1835</v>
      </c>
      <c r="D37" s="164">
        <f>IFERROR(__xludf.DUMMYFUNCTION("""COMPUTED_VALUE"""),1.132570731E9)</f>
        <v>1132570731</v>
      </c>
    </row>
    <row r="38">
      <c r="A38" t="str">
        <f>IFERROR(__xludf.DUMMYFUNCTION("""COMPUTED_VALUE"""),"world")</f>
        <v>world</v>
      </c>
      <c r="B38" t="str">
        <f>IFERROR(__xludf.DUMMYFUNCTION("""COMPUTED_VALUE"""),"World")</f>
        <v>World</v>
      </c>
      <c r="C38">
        <f>IFERROR(__xludf.DUMMYFUNCTION("""COMPUTED_VALUE"""),1836.0)</f>
        <v>1836</v>
      </c>
      <c r="D38" s="164">
        <f>IFERROR(__xludf.DUMMYFUNCTION("""COMPUTED_VALUE"""),1.138131046E9)</f>
        <v>1138131046</v>
      </c>
    </row>
    <row r="39">
      <c r="A39" t="str">
        <f>IFERROR(__xludf.DUMMYFUNCTION("""COMPUTED_VALUE"""),"world")</f>
        <v>world</v>
      </c>
      <c r="B39" t="str">
        <f>IFERROR(__xludf.DUMMYFUNCTION("""COMPUTED_VALUE"""),"World")</f>
        <v>World</v>
      </c>
      <c r="C39">
        <f>IFERROR(__xludf.DUMMYFUNCTION("""COMPUTED_VALUE"""),1837.0)</f>
        <v>1837</v>
      </c>
      <c r="D39" s="164">
        <f>IFERROR(__xludf.DUMMYFUNCTION("""COMPUTED_VALUE"""),1.143567113E9)</f>
        <v>1143567113</v>
      </c>
    </row>
    <row r="40">
      <c r="A40" t="str">
        <f>IFERROR(__xludf.DUMMYFUNCTION("""COMPUTED_VALUE"""),"world")</f>
        <v>world</v>
      </c>
      <c r="B40" t="str">
        <f>IFERROR(__xludf.DUMMYFUNCTION("""COMPUTED_VALUE"""),"World")</f>
        <v>World</v>
      </c>
      <c r="C40">
        <f>IFERROR(__xludf.DUMMYFUNCTION("""COMPUTED_VALUE"""),1838.0)</f>
        <v>1838</v>
      </c>
      <c r="D40" s="164">
        <f>IFERROR(__xludf.DUMMYFUNCTION("""COMPUTED_VALUE"""),1.148861698E9)</f>
        <v>1148861698</v>
      </c>
    </row>
    <row r="41">
      <c r="A41" t="str">
        <f>IFERROR(__xludf.DUMMYFUNCTION("""COMPUTED_VALUE"""),"world")</f>
        <v>world</v>
      </c>
      <c r="B41" t="str">
        <f>IFERROR(__xludf.DUMMYFUNCTION("""COMPUTED_VALUE"""),"World")</f>
        <v>World</v>
      </c>
      <c r="C41">
        <f>IFERROR(__xludf.DUMMYFUNCTION("""COMPUTED_VALUE"""),1839.0)</f>
        <v>1839</v>
      </c>
      <c r="D41" s="164">
        <f>IFERROR(__xludf.DUMMYFUNCTION("""COMPUTED_VALUE"""),1.154029951E9)</f>
        <v>1154029951</v>
      </c>
    </row>
    <row r="42">
      <c r="A42" t="str">
        <f>IFERROR(__xludf.DUMMYFUNCTION("""COMPUTED_VALUE"""),"world")</f>
        <v>world</v>
      </c>
      <c r="B42" t="str">
        <f>IFERROR(__xludf.DUMMYFUNCTION("""COMPUTED_VALUE"""),"World")</f>
        <v>World</v>
      </c>
      <c r="C42">
        <f>IFERROR(__xludf.DUMMYFUNCTION("""COMPUTED_VALUE"""),1840.0)</f>
        <v>1840</v>
      </c>
      <c r="D42" s="164">
        <f>IFERROR(__xludf.DUMMYFUNCTION("""COMPUTED_VALUE"""),1.159081245E9)</f>
        <v>1159081245</v>
      </c>
    </row>
    <row r="43">
      <c r="A43" t="str">
        <f>IFERROR(__xludf.DUMMYFUNCTION("""COMPUTED_VALUE"""),"world")</f>
        <v>world</v>
      </c>
      <c r="B43" t="str">
        <f>IFERROR(__xludf.DUMMYFUNCTION("""COMPUTED_VALUE"""),"World")</f>
        <v>World</v>
      </c>
      <c r="C43">
        <f>IFERROR(__xludf.DUMMYFUNCTION("""COMPUTED_VALUE"""),1841.0)</f>
        <v>1841</v>
      </c>
      <c r="D43" s="164">
        <f>IFERROR(__xludf.DUMMYFUNCTION("""COMPUTED_VALUE"""),1.163860076E9)</f>
        <v>1163860076</v>
      </c>
    </row>
    <row r="44">
      <c r="A44" t="str">
        <f>IFERROR(__xludf.DUMMYFUNCTION("""COMPUTED_VALUE"""),"world")</f>
        <v>world</v>
      </c>
      <c r="B44" t="str">
        <f>IFERROR(__xludf.DUMMYFUNCTION("""COMPUTED_VALUE"""),"World")</f>
        <v>World</v>
      </c>
      <c r="C44">
        <f>IFERROR(__xludf.DUMMYFUNCTION("""COMPUTED_VALUE"""),1842.0)</f>
        <v>1842</v>
      </c>
      <c r="D44" s="164">
        <f>IFERROR(__xludf.DUMMYFUNCTION("""COMPUTED_VALUE"""),1.168506024E9)</f>
        <v>1168506024</v>
      </c>
    </row>
    <row r="45">
      <c r="A45" t="str">
        <f>IFERROR(__xludf.DUMMYFUNCTION("""COMPUTED_VALUE"""),"world")</f>
        <v>world</v>
      </c>
      <c r="B45" t="str">
        <f>IFERROR(__xludf.DUMMYFUNCTION("""COMPUTED_VALUE"""),"World")</f>
        <v>World</v>
      </c>
      <c r="C45">
        <f>IFERROR(__xludf.DUMMYFUNCTION("""COMPUTED_VALUE"""),1843.0)</f>
        <v>1843</v>
      </c>
      <c r="D45" s="164">
        <f>IFERROR(__xludf.DUMMYFUNCTION("""COMPUTED_VALUE"""),1.173023504E9)</f>
        <v>1173023504</v>
      </c>
    </row>
    <row r="46">
      <c r="A46" t="str">
        <f>IFERROR(__xludf.DUMMYFUNCTION("""COMPUTED_VALUE"""),"world")</f>
        <v>world</v>
      </c>
      <c r="B46" t="str">
        <f>IFERROR(__xludf.DUMMYFUNCTION("""COMPUTED_VALUE"""),"World")</f>
        <v>World</v>
      </c>
      <c r="C46">
        <f>IFERROR(__xludf.DUMMYFUNCTION("""COMPUTED_VALUE"""),1844.0)</f>
        <v>1844</v>
      </c>
      <c r="D46" s="164">
        <f>IFERROR(__xludf.DUMMYFUNCTION("""COMPUTED_VALUE"""),1.177405613E9)</f>
        <v>1177405613</v>
      </c>
    </row>
    <row r="47">
      <c r="A47" t="str">
        <f>IFERROR(__xludf.DUMMYFUNCTION("""COMPUTED_VALUE"""),"world")</f>
        <v>world</v>
      </c>
      <c r="B47" t="str">
        <f>IFERROR(__xludf.DUMMYFUNCTION("""COMPUTED_VALUE"""),"World")</f>
        <v>World</v>
      </c>
      <c r="C47">
        <f>IFERROR(__xludf.DUMMYFUNCTION("""COMPUTED_VALUE"""),1845.0)</f>
        <v>1845</v>
      </c>
      <c r="D47" s="164">
        <f>IFERROR(__xludf.DUMMYFUNCTION("""COMPUTED_VALUE"""),1.181662685E9)</f>
        <v>1181662685</v>
      </c>
    </row>
    <row r="48">
      <c r="A48" t="str">
        <f>IFERROR(__xludf.DUMMYFUNCTION("""COMPUTED_VALUE"""),"world")</f>
        <v>world</v>
      </c>
      <c r="B48" t="str">
        <f>IFERROR(__xludf.DUMMYFUNCTION("""COMPUTED_VALUE"""),"World")</f>
        <v>World</v>
      </c>
      <c r="C48">
        <f>IFERROR(__xludf.DUMMYFUNCTION("""COMPUTED_VALUE"""),1846.0)</f>
        <v>1846</v>
      </c>
      <c r="D48" s="164">
        <f>IFERROR(__xludf.DUMMYFUNCTION("""COMPUTED_VALUE"""),1.18578536E9)</f>
        <v>1185785360</v>
      </c>
    </row>
    <row r="49">
      <c r="A49" t="str">
        <f>IFERROR(__xludf.DUMMYFUNCTION("""COMPUTED_VALUE"""),"world")</f>
        <v>world</v>
      </c>
      <c r="B49" t="str">
        <f>IFERROR(__xludf.DUMMYFUNCTION("""COMPUTED_VALUE"""),"World")</f>
        <v>World</v>
      </c>
      <c r="C49">
        <f>IFERROR(__xludf.DUMMYFUNCTION("""COMPUTED_VALUE"""),1847.0)</f>
        <v>1847</v>
      </c>
      <c r="D49" s="164">
        <f>IFERROR(__xludf.DUMMYFUNCTION("""COMPUTED_VALUE"""),1.189782535E9)</f>
        <v>1189782535</v>
      </c>
    </row>
    <row r="50">
      <c r="A50" t="str">
        <f>IFERROR(__xludf.DUMMYFUNCTION("""COMPUTED_VALUE"""),"world")</f>
        <v>world</v>
      </c>
      <c r="B50" t="str">
        <f>IFERROR(__xludf.DUMMYFUNCTION("""COMPUTED_VALUE"""),"World")</f>
        <v>World</v>
      </c>
      <c r="C50">
        <f>IFERROR(__xludf.DUMMYFUNCTION("""COMPUTED_VALUE"""),1848.0)</f>
        <v>1848</v>
      </c>
      <c r="D50" s="164">
        <f>IFERROR(__xludf.DUMMYFUNCTION("""COMPUTED_VALUE"""),1.193656421E9)</f>
        <v>1193656421</v>
      </c>
    </row>
    <row r="51">
      <c r="A51" t="str">
        <f>IFERROR(__xludf.DUMMYFUNCTION("""COMPUTED_VALUE"""),"world")</f>
        <v>world</v>
      </c>
      <c r="B51" t="str">
        <f>IFERROR(__xludf.DUMMYFUNCTION("""COMPUTED_VALUE"""),"World")</f>
        <v>World</v>
      </c>
      <c r="C51">
        <f>IFERROR(__xludf.DUMMYFUNCTION("""COMPUTED_VALUE"""),1849.0)</f>
        <v>1849</v>
      </c>
      <c r="D51" s="164">
        <f>IFERROR(__xludf.DUMMYFUNCTION("""COMPUTED_VALUE"""),1.197409812E9)</f>
        <v>1197409812</v>
      </c>
    </row>
    <row r="52">
      <c r="A52" t="str">
        <f>IFERROR(__xludf.DUMMYFUNCTION("""COMPUTED_VALUE"""),"world")</f>
        <v>world</v>
      </c>
      <c r="B52" t="str">
        <f>IFERROR(__xludf.DUMMYFUNCTION("""COMPUTED_VALUE"""),"World")</f>
        <v>World</v>
      </c>
      <c r="C52">
        <f>IFERROR(__xludf.DUMMYFUNCTION("""COMPUTED_VALUE"""),1850.0)</f>
        <v>1850</v>
      </c>
      <c r="D52" s="164">
        <f>IFERROR(__xludf.DUMMYFUNCTION("""COMPUTED_VALUE"""),1.201046477E9)</f>
        <v>1201046477</v>
      </c>
    </row>
    <row r="53">
      <c r="A53" t="str">
        <f>IFERROR(__xludf.DUMMYFUNCTION("""COMPUTED_VALUE"""),"world")</f>
        <v>world</v>
      </c>
      <c r="B53" t="str">
        <f>IFERROR(__xludf.DUMMYFUNCTION("""COMPUTED_VALUE"""),"World")</f>
        <v>World</v>
      </c>
      <c r="C53">
        <f>IFERROR(__xludf.DUMMYFUNCTION("""COMPUTED_VALUE"""),1851.0)</f>
        <v>1851</v>
      </c>
      <c r="D53" s="164">
        <f>IFERROR(__xludf.DUMMYFUNCTION("""COMPUTED_VALUE"""),1.204690105E9)</f>
        <v>1204690105</v>
      </c>
    </row>
    <row r="54">
      <c r="A54" t="str">
        <f>IFERROR(__xludf.DUMMYFUNCTION("""COMPUTED_VALUE"""),"world")</f>
        <v>world</v>
      </c>
      <c r="B54" t="str">
        <f>IFERROR(__xludf.DUMMYFUNCTION("""COMPUTED_VALUE"""),"World")</f>
        <v>World</v>
      </c>
      <c r="C54">
        <f>IFERROR(__xludf.DUMMYFUNCTION("""COMPUTED_VALUE"""),1852.0)</f>
        <v>1852</v>
      </c>
      <c r="D54" s="164">
        <f>IFERROR(__xludf.DUMMYFUNCTION("""COMPUTED_VALUE"""),1.208289011E9)</f>
        <v>1208289011</v>
      </c>
    </row>
    <row r="55">
      <c r="A55" t="str">
        <f>IFERROR(__xludf.DUMMYFUNCTION("""COMPUTED_VALUE"""),"world")</f>
        <v>world</v>
      </c>
      <c r="B55" t="str">
        <f>IFERROR(__xludf.DUMMYFUNCTION("""COMPUTED_VALUE"""),"World")</f>
        <v>World</v>
      </c>
      <c r="C55">
        <f>IFERROR(__xludf.DUMMYFUNCTION("""COMPUTED_VALUE"""),1853.0)</f>
        <v>1853</v>
      </c>
      <c r="D55" s="164">
        <f>IFERROR(__xludf.DUMMYFUNCTION("""COMPUTED_VALUE"""),1.211849187E9)</f>
        <v>1211849187</v>
      </c>
    </row>
    <row r="56">
      <c r="A56" t="str">
        <f>IFERROR(__xludf.DUMMYFUNCTION("""COMPUTED_VALUE"""),"world")</f>
        <v>world</v>
      </c>
      <c r="B56" t="str">
        <f>IFERROR(__xludf.DUMMYFUNCTION("""COMPUTED_VALUE"""),"World")</f>
        <v>World</v>
      </c>
      <c r="C56">
        <f>IFERROR(__xludf.DUMMYFUNCTION("""COMPUTED_VALUE"""),1854.0)</f>
        <v>1854</v>
      </c>
      <c r="D56" s="164">
        <f>IFERROR(__xludf.DUMMYFUNCTION("""COMPUTED_VALUE"""),1.215376008E9)</f>
        <v>1215376008</v>
      </c>
    </row>
    <row r="57">
      <c r="A57" t="str">
        <f>IFERROR(__xludf.DUMMYFUNCTION("""COMPUTED_VALUE"""),"world")</f>
        <v>world</v>
      </c>
      <c r="B57" t="str">
        <f>IFERROR(__xludf.DUMMYFUNCTION("""COMPUTED_VALUE"""),"World")</f>
        <v>World</v>
      </c>
      <c r="C57">
        <f>IFERROR(__xludf.DUMMYFUNCTION("""COMPUTED_VALUE"""),1855.0)</f>
        <v>1855</v>
      </c>
      <c r="D57" s="164">
        <f>IFERROR(__xludf.DUMMYFUNCTION("""COMPUTED_VALUE"""),1.218865074E9)</f>
        <v>1218865074</v>
      </c>
    </row>
    <row r="58">
      <c r="A58" t="str">
        <f>IFERROR(__xludf.DUMMYFUNCTION("""COMPUTED_VALUE"""),"world")</f>
        <v>world</v>
      </c>
      <c r="B58" t="str">
        <f>IFERROR(__xludf.DUMMYFUNCTION("""COMPUTED_VALUE"""),"World")</f>
        <v>World</v>
      </c>
      <c r="C58">
        <f>IFERROR(__xludf.DUMMYFUNCTION("""COMPUTED_VALUE"""),1856.0)</f>
        <v>1856</v>
      </c>
      <c r="D58" s="164">
        <f>IFERROR(__xludf.DUMMYFUNCTION("""COMPUTED_VALUE"""),1.222303872E9)</f>
        <v>1222303872</v>
      </c>
    </row>
    <row r="59">
      <c r="A59" t="str">
        <f>IFERROR(__xludf.DUMMYFUNCTION("""COMPUTED_VALUE"""),"world")</f>
        <v>world</v>
      </c>
      <c r="B59" t="str">
        <f>IFERROR(__xludf.DUMMYFUNCTION("""COMPUTED_VALUE"""),"World")</f>
        <v>World</v>
      </c>
      <c r="C59">
        <f>IFERROR(__xludf.DUMMYFUNCTION("""COMPUTED_VALUE"""),1857.0)</f>
        <v>1857</v>
      </c>
      <c r="D59" s="164">
        <f>IFERROR(__xludf.DUMMYFUNCTION("""COMPUTED_VALUE"""),1.225698996E9)</f>
        <v>1225698996</v>
      </c>
    </row>
    <row r="60">
      <c r="A60" t="str">
        <f>IFERROR(__xludf.DUMMYFUNCTION("""COMPUTED_VALUE"""),"world")</f>
        <v>world</v>
      </c>
      <c r="B60" t="str">
        <f>IFERROR(__xludf.DUMMYFUNCTION("""COMPUTED_VALUE"""),"World")</f>
        <v>World</v>
      </c>
      <c r="C60">
        <f>IFERROR(__xludf.DUMMYFUNCTION("""COMPUTED_VALUE"""),1858.0)</f>
        <v>1858</v>
      </c>
      <c r="D60" s="164">
        <f>IFERROR(__xludf.DUMMYFUNCTION("""COMPUTED_VALUE"""),1.229069348E9)</f>
        <v>1229069348</v>
      </c>
    </row>
    <row r="61">
      <c r="A61" t="str">
        <f>IFERROR(__xludf.DUMMYFUNCTION("""COMPUTED_VALUE"""),"world")</f>
        <v>world</v>
      </c>
      <c r="B61" t="str">
        <f>IFERROR(__xludf.DUMMYFUNCTION("""COMPUTED_VALUE"""),"World")</f>
        <v>World</v>
      </c>
      <c r="C61">
        <f>IFERROR(__xludf.DUMMYFUNCTION("""COMPUTED_VALUE"""),1859.0)</f>
        <v>1859</v>
      </c>
      <c r="D61" s="164">
        <f>IFERROR(__xludf.DUMMYFUNCTION("""COMPUTED_VALUE"""),1.232462561E9)</f>
        <v>1232462561</v>
      </c>
    </row>
    <row r="62">
      <c r="A62" t="str">
        <f>IFERROR(__xludf.DUMMYFUNCTION("""COMPUTED_VALUE"""),"world")</f>
        <v>world</v>
      </c>
      <c r="B62" t="str">
        <f>IFERROR(__xludf.DUMMYFUNCTION("""COMPUTED_VALUE"""),"World")</f>
        <v>World</v>
      </c>
      <c r="C62">
        <f>IFERROR(__xludf.DUMMYFUNCTION("""COMPUTED_VALUE"""),1860.0)</f>
        <v>1860</v>
      </c>
      <c r="D62" s="164">
        <f>IFERROR(__xludf.DUMMYFUNCTION("""COMPUTED_VALUE"""),1.235823848E9)</f>
        <v>1235823848</v>
      </c>
    </row>
    <row r="63">
      <c r="A63" t="str">
        <f>IFERROR(__xludf.DUMMYFUNCTION("""COMPUTED_VALUE"""),"world")</f>
        <v>world</v>
      </c>
      <c r="B63" t="str">
        <f>IFERROR(__xludf.DUMMYFUNCTION("""COMPUTED_VALUE"""),"World")</f>
        <v>World</v>
      </c>
      <c r="C63">
        <f>IFERROR(__xludf.DUMMYFUNCTION("""COMPUTED_VALUE"""),1861.0)</f>
        <v>1861</v>
      </c>
      <c r="D63" s="164">
        <f>IFERROR(__xludf.DUMMYFUNCTION("""COMPUTED_VALUE"""),1.239298522E9)</f>
        <v>1239298522</v>
      </c>
    </row>
    <row r="64">
      <c r="A64" t="str">
        <f>IFERROR(__xludf.DUMMYFUNCTION("""COMPUTED_VALUE"""),"world")</f>
        <v>world</v>
      </c>
      <c r="B64" t="str">
        <f>IFERROR(__xludf.DUMMYFUNCTION("""COMPUTED_VALUE"""),"World")</f>
        <v>World</v>
      </c>
      <c r="C64">
        <f>IFERROR(__xludf.DUMMYFUNCTION("""COMPUTED_VALUE"""),1862.0)</f>
        <v>1862</v>
      </c>
      <c r="D64" s="164">
        <f>IFERROR(__xludf.DUMMYFUNCTION("""COMPUTED_VALUE"""),1.243090555E9)</f>
        <v>1243090555</v>
      </c>
    </row>
    <row r="65">
      <c r="A65" t="str">
        <f>IFERROR(__xludf.DUMMYFUNCTION("""COMPUTED_VALUE"""),"world")</f>
        <v>world</v>
      </c>
      <c r="B65" t="str">
        <f>IFERROR(__xludf.DUMMYFUNCTION("""COMPUTED_VALUE"""),"World")</f>
        <v>World</v>
      </c>
      <c r="C65">
        <f>IFERROR(__xludf.DUMMYFUNCTION("""COMPUTED_VALUE"""),1863.0)</f>
        <v>1863</v>
      </c>
      <c r="D65" s="164">
        <f>IFERROR(__xludf.DUMMYFUNCTION("""COMPUTED_VALUE"""),1.247200541E9)</f>
        <v>1247200541</v>
      </c>
    </row>
    <row r="66">
      <c r="A66" t="str">
        <f>IFERROR(__xludf.DUMMYFUNCTION("""COMPUTED_VALUE"""),"world")</f>
        <v>world</v>
      </c>
      <c r="B66" t="str">
        <f>IFERROR(__xludf.DUMMYFUNCTION("""COMPUTED_VALUE"""),"World")</f>
        <v>World</v>
      </c>
      <c r="C66">
        <f>IFERROR(__xludf.DUMMYFUNCTION("""COMPUTED_VALUE"""),1864.0)</f>
        <v>1864</v>
      </c>
      <c r="D66" s="164">
        <f>IFERROR(__xludf.DUMMYFUNCTION("""COMPUTED_VALUE"""),1.25162655E9)</f>
        <v>1251626550</v>
      </c>
    </row>
    <row r="67">
      <c r="A67" t="str">
        <f>IFERROR(__xludf.DUMMYFUNCTION("""COMPUTED_VALUE"""),"world")</f>
        <v>world</v>
      </c>
      <c r="B67" t="str">
        <f>IFERROR(__xludf.DUMMYFUNCTION("""COMPUTED_VALUE"""),"World")</f>
        <v>World</v>
      </c>
      <c r="C67">
        <f>IFERROR(__xludf.DUMMYFUNCTION("""COMPUTED_VALUE"""),1865.0)</f>
        <v>1865</v>
      </c>
      <c r="D67" s="164">
        <f>IFERROR(__xludf.DUMMYFUNCTION("""COMPUTED_VALUE"""),1.256371046E9)</f>
        <v>1256371046</v>
      </c>
    </row>
    <row r="68">
      <c r="A68" t="str">
        <f>IFERROR(__xludf.DUMMYFUNCTION("""COMPUTED_VALUE"""),"world")</f>
        <v>world</v>
      </c>
      <c r="B68" t="str">
        <f>IFERROR(__xludf.DUMMYFUNCTION("""COMPUTED_VALUE"""),"World")</f>
        <v>World</v>
      </c>
      <c r="C68">
        <f>IFERROR(__xludf.DUMMYFUNCTION("""COMPUTED_VALUE"""),1866.0)</f>
        <v>1866</v>
      </c>
      <c r="D68" s="164">
        <f>IFERROR(__xludf.DUMMYFUNCTION("""COMPUTED_VALUE"""),1.261442305E9)</f>
        <v>1261442305</v>
      </c>
    </row>
    <row r="69">
      <c r="A69" t="str">
        <f>IFERROR(__xludf.DUMMYFUNCTION("""COMPUTED_VALUE"""),"world")</f>
        <v>world</v>
      </c>
      <c r="B69" t="str">
        <f>IFERROR(__xludf.DUMMYFUNCTION("""COMPUTED_VALUE"""),"World")</f>
        <v>World</v>
      </c>
      <c r="C69">
        <f>IFERROR(__xludf.DUMMYFUNCTION("""COMPUTED_VALUE"""),1867.0)</f>
        <v>1867</v>
      </c>
      <c r="D69" s="164">
        <f>IFERROR(__xludf.DUMMYFUNCTION("""COMPUTED_VALUE"""),1.266846732E9)</f>
        <v>1266846732</v>
      </c>
    </row>
    <row r="70">
      <c r="A70" t="str">
        <f>IFERROR(__xludf.DUMMYFUNCTION("""COMPUTED_VALUE"""),"world")</f>
        <v>world</v>
      </c>
      <c r="B70" t="str">
        <f>IFERROR(__xludf.DUMMYFUNCTION("""COMPUTED_VALUE"""),"World")</f>
        <v>World</v>
      </c>
      <c r="C70">
        <f>IFERROR(__xludf.DUMMYFUNCTION("""COMPUTED_VALUE"""),1868.0)</f>
        <v>1868</v>
      </c>
      <c r="D70" s="164">
        <f>IFERROR(__xludf.DUMMYFUNCTION("""COMPUTED_VALUE"""),1.27256897E9)</f>
        <v>1272568970</v>
      </c>
    </row>
    <row r="71">
      <c r="A71" t="str">
        <f>IFERROR(__xludf.DUMMYFUNCTION("""COMPUTED_VALUE"""),"world")</f>
        <v>world</v>
      </c>
      <c r="B71" t="str">
        <f>IFERROR(__xludf.DUMMYFUNCTION("""COMPUTED_VALUE"""),"World")</f>
        <v>World</v>
      </c>
      <c r="C71">
        <f>IFERROR(__xludf.DUMMYFUNCTION("""COMPUTED_VALUE"""),1869.0)</f>
        <v>1869</v>
      </c>
      <c r="D71" s="164">
        <f>IFERROR(__xludf.DUMMYFUNCTION("""COMPUTED_VALUE"""),1.278611043E9)</f>
        <v>1278611043</v>
      </c>
    </row>
    <row r="72">
      <c r="A72" t="str">
        <f>IFERROR(__xludf.DUMMYFUNCTION("""COMPUTED_VALUE"""),"world")</f>
        <v>world</v>
      </c>
      <c r="B72" t="str">
        <f>IFERROR(__xludf.DUMMYFUNCTION("""COMPUTED_VALUE"""),"World")</f>
        <v>World</v>
      </c>
      <c r="C72">
        <f>IFERROR(__xludf.DUMMYFUNCTION("""COMPUTED_VALUE"""),1870.0)</f>
        <v>1870</v>
      </c>
      <c r="D72" s="164">
        <f>IFERROR(__xludf.DUMMYFUNCTION("""COMPUTED_VALUE"""),1.284973533E9)</f>
        <v>1284973533</v>
      </c>
    </row>
    <row r="73">
      <c r="A73" t="str">
        <f>IFERROR(__xludf.DUMMYFUNCTION("""COMPUTED_VALUE"""),"world")</f>
        <v>world</v>
      </c>
      <c r="B73" t="str">
        <f>IFERROR(__xludf.DUMMYFUNCTION("""COMPUTED_VALUE"""),"World")</f>
        <v>World</v>
      </c>
      <c r="C73">
        <f>IFERROR(__xludf.DUMMYFUNCTION("""COMPUTED_VALUE"""),1871.0)</f>
        <v>1871</v>
      </c>
      <c r="D73" s="164">
        <f>IFERROR(__xludf.DUMMYFUNCTION("""COMPUTED_VALUE"""),1.291656523E9)</f>
        <v>1291656523</v>
      </c>
    </row>
    <row r="74">
      <c r="A74" t="str">
        <f>IFERROR(__xludf.DUMMYFUNCTION("""COMPUTED_VALUE"""),"world")</f>
        <v>world</v>
      </c>
      <c r="B74" t="str">
        <f>IFERROR(__xludf.DUMMYFUNCTION("""COMPUTED_VALUE"""),"World")</f>
        <v>World</v>
      </c>
      <c r="C74">
        <f>IFERROR(__xludf.DUMMYFUNCTION("""COMPUTED_VALUE"""),1872.0)</f>
        <v>1872</v>
      </c>
      <c r="D74" s="164">
        <f>IFERROR(__xludf.DUMMYFUNCTION("""COMPUTED_VALUE"""),1.298586261E9)</f>
        <v>1298586261</v>
      </c>
    </row>
    <row r="75">
      <c r="A75" t="str">
        <f>IFERROR(__xludf.DUMMYFUNCTION("""COMPUTED_VALUE"""),"world")</f>
        <v>world</v>
      </c>
      <c r="B75" t="str">
        <f>IFERROR(__xludf.DUMMYFUNCTION("""COMPUTED_VALUE"""),"World")</f>
        <v>World</v>
      </c>
      <c r="C75">
        <f>IFERROR(__xludf.DUMMYFUNCTION("""COMPUTED_VALUE"""),1873.0)</f>
        <v>1873</v>
      </c>
      <c r="D75" s="164">
        <f>IFERROR(__xludf.DUMMYFUNCTION("""COMPUTED_VALUE"""),1.304594045E9)</f>
        <v>1304594045</v>
      </c>
    </row>
    <row r="76">
      <c r="A76" t="str">
        <f>IFERROR(__xludf.DUMMYFUNCTION("""COMPUTED_VALUE"""),"world")</f>
        <v>world</v>
      </c>
      <c r="B76" t="str">
        <f>IFERROR(__xludf.DUMMYFUNCTION("""COMPUTED_VALUE"""),"World")</f>
        <v>World</v>
      </c>
      <c r="C76">
        <f>IFERROR(__xludf.DUMMYFUNCTION("""COMPUTED_VALUE"""),1874.0)</f>
        <v>1874</v>
      </c>
      <c r="D76" s="164">
        <f>IFERROR(__xludf.DUMMYFUNCTION("""COMPUTED_VALUE"""),1.312082253E9)</f>
        <v>1312082253</v>
      </c>
    </row>
    <row r="77">
      <c r="A77" t="str">
        <f>IFERROR(__xludf.DUMMYFUNCTION("""COMPUTED_VALUE"""),"world")</f>
        <v>world</v>
      </c>
      <c r="B77" t="str">
        <f>IFERROR(__xludf.DUMMYFUNCTION("""COMPUTED_VALUE"""),"World")</f>
        <v>World</v>
      </c>
      <c r="C77">
        <f>IFERROR(__xludf.DUMMYFUNCTION("""COMPUTED_VALUE"""),1875.0)</f>
        <v>1875</v>
      </c>
      <c r="D77" s="164">
        <f>IFERROR(__xludf.DUMMYFUNCTION("""COMPUTED_VALUE"""),1.319860815E9)</f>
        <v>1319860815</v>
      </c>
    </row>
    <row r="78">
      <c r="A78" t="str">
        <f>IFERROR(__xludf.DUMMYFUNCTION("""COMPUTED_VALUE"""),"world")</f>
        <v>world</v>
      </c>
      <c r="B78" t="str">
        <f>IFERROR(__xludf.DUMMYFUNCTION("""COMPUTED_VALUE"""),"World")</f>
        <v>World</v>
      </c>
      <c r="C78">
        <f>IFERROR(__xludf.DUMMYFUNCTION("""COMPUTED_VALUE"""),1876.0)</f>
        <v>1876</v>
      </c>
      <c r="D78" s="164">
        <f>IFERROR(__xludf.DUMMYFUNCTION("""COMPUTED_VALUE"""),1.327947476E9)</f>
        <v>1327947476</v>
      </c>
    </row>
    <row r="79">
      <c r="A79" t="str">
        <f>IFERROR(__xludf.DUMMYFUNCTION("""COMPUTED_VALUE"""),"world")</f>
        <v>world</v>
      </c>
      <c r="B79" t="str">
        <f>IFERROR(__xludf.DUMMYFUNCTION("""COMPUTED_VALUE"""),"World")</f>
        <v>World</v>
      </c>
      <c r="C79">
        <f>IFERROR(__xludf.DUMMYFUNCTION("""COMPUTED_VALUE"""),1877.0)</f>
        <v>1877</v>
      </c>
      <c r="D79" s="164">
        <f>IFERROR(__xludf.DUMMYFUNCTION("""COMPUTED_VALUE"""),1.335575341E9)</f>
        <v>1335575341</v>
      </c>
    </row>
    <row r="80">
      <c r="A80" t="str">
        <f>IFERROR(__xludf.DUMMYFUNCTION("""COMPUTED_VALUE"""),"world")</f>
        <v>world</v>
      </c>
      <c r="B80" t="str">
        <f>IFERROR(__xludf.DUMMYFUNCTION("""COMPUTED_VALUE"""),"World")</f>
        <v>World</v>
      </c>
      <c r="C80">
        <f>IFERROR(__xludf.DUMMYFUNCTION("""COMPUTED_VALUE"""),1878.0)</f>
        <v>1878</v>
      </c>
      <c r="D80" s="164">
        <f>IFERROR(__xludf.DUMMYFUNCTION("""COMPUTED_VALUE"""),1.344425843E9)</f>
        <v>1344425843</v>
      </c>
    </row>
    <row r="81">
      <c r="A81" t="str">
        <f>IFERROR(__xludf.DUMMYFUNCTION("""COMPUTED_VALUE"""),"world")</f>
        <v>world</v>
      </c>
      <c r="B81" t="str">
        <f>IFERROR(__xludf.DUMMYFUNCTION("""COMPUTED_VALUE"""),"World")</f>
        <v>World</v>
      </c>
      <c r="C81">
        <f>IFERROR(__xludf.DUMMYFUNCTION("""COMPUTED_VALUE"""),1879.0)</f>
        <v>1879</v>
      </c>
      <c r="D81" s="164">
        <f>IFERROR(__xludf.DUMMYFUNCTION("""COMPUTED_VALUE"""),1.353630214E9)</f>
        <v>1353630214</v>
      </c>
    </row>
    <row r="82">
      <c r="A82" t="str">
        <f>IFERROR(__xludf.DUMMYFUNCTION("""COMPUTED_VALUE"""),"world")</f>
        <v>world</v>
      </c>
      <c r="B82" t="str">
        <f>IFERROR(__xludf.DUMMYFUNCTION("""COMPUTED_VALUE"""),"World")</f>
        <v>World</v>
      </c>
      <c r="C82">
        <f>IFERROR(__xludf.DUMMYFUNCTION("""COMPUTED_VALUE"""),1880.0)</f>
        <v>1880</v>
      </c>
      <c r="D82" s="164">
        <f>IFERROR(__xludf.DUMMYFUNCTION("""COMPUTED_VALUE"""),1.363008989E9)</f>
        <v>1363008989</v>
      </c>
    </row>
    <row r="83">
      <c r="A83" t="str">
        <f>IFERROR(__xludf.DUMMYFUNCTION("""COMPUTED_VALUE"""),"world")</f>
        <v>world</v>
      </c>
      <c r="B83" t="str">
        <f>IFERROR(__xludf.DUMMYFUNCTION("""COMPUTED_VALUE"""),"World")</f>
        <v>World</v>
      </c>
      <c r="C83">
        <f>IFERROR(__xludf.DUMMYFUNCTION("""COMPUTED_VALUE"""),1881.0)</f>
        <v>1881</v>
      </c>
      <c r="D83" s="164">
        <f>IFERROR(__xludf.DUMMYFUNCTION("""COMPUTED_VALUE"""),1.372224448E9)</f>
        <v>1372224448</v>
      </c>
    </row>
    <row r="84">
      <c r="A84" t="str">
        <f>IFERROR(__xludf.DUMMYFUNCTION("""COMPUTED_VALUE"""),"world")</f>
        <v>world</v>
      </c>
      <c r="B84" t="str">
        <f>IFERROR(__xludf.DUMMYFUNCTION("""COMPUTED_VALUE"""),"World")</f>
        <v>World</v>
      </c>
      <c r="C84">
        <f>IFERROR(__xludf.DUMMYFUNCTION("""COMPUTED_VALUE"""),1882.0)</f>
        <v>1882</v>
      </c>
      <c r="D84" s="164">
        <f>IFERROR(__xludf.DUMMYFUNCTION("""COMPUTED_VALUE"""),1.381822066E9)</f>
        <v>1381822066</v>
      </c>
    </row>
    <row r="85">
      <c r="A85" t="str">
        <f>IFERROR(__xludf.DUMMYFUNCTION("""COMPUTED_VALUE"""),"world")</f>
        <v>world</v>
      </c>
      <c r="B85" t="str">
        <f>IFERROR(__xludf.DUMMYFUNCTION("""COMPUTED_VALUE"""),"World")</f>
        <v>World</v>
      </c>
      <c r="C85">
        <f>IFERROR(__xludf.DUMMYFUNCTION("""COMPUTED_VALUE"""),1883.0)</f>
        <v>1883</v>
      </c>
      <c r="D85" s="164">
        <f>IFERROR(__xludf.DUMMYFUNCTION("""COMPUTED_VALUE"""),1.39155727E9)</f>
        <v>1391557270</v>
      </c>
    </row>
    <row r="86">
      <c r="A86" t="str">
        <f>IFERROR(__xludf.DUMMYFUNCTION("""COMPUTED_VALUE"""),"world")</f>
        <v>world</v>
      </c>
      <c r="B86" t="str">
        <f>IFERROR(__xludf.DUMMYFUNCTION("""COMPUTED_VALUE"""),"World")</f>
        <v>World</v>
      </c>
      <c r="C86">
        <f>IFERROR(__xludf.DUMMYFUNCTION("""COMPUTED_VALUE"""),1884.0)</f>
        <v>1884</v>
      </c>
      <c r="D86" s="164">
        <f>IFERROR(__xludf.DUMMYFUNCTION("""COMPUTED_VALUE"""),1.401119579E9)</f>
        <v>1401119579</v>
      </c>
    </row>
    <row r="87">
      <c r="A87" t="str">
        <f>IFERROR(__xludf.DUMMYFUNCTION("""COMPUTED_VALUE"""),"world")</f>
        <v>world</v>
      </c>
      <c r="B87" t="str">
        <f>IFERROR(__xludf.DUMMYFUNCTION("""COMPUTED_VALUE"""),"World")</f>
        <v>World</v>
      </c>
      <c r="C87">
        <f>IFERROR(__xludf.DUMMYFUNCTION("""COMPUTED_VALUE"""),1885.0)</f>
        <v>1885</v>
      </c>
      <c r="D87" s="164">
        <f>IFERROR(__xludf.DUMMYFUNCTION("""COMPUTED_VALUE"""),1.411074415E9)</f>
        <v>1411074415</v>
      </c>
    </row>
    <row r="88">
      <c r="A88" t="str">
        <f>IFERROR(__xludf.DUMMYFUNCTION("""COMPUTED_VALUE"""),"world")</f>
        <v>world</v>
      </c>
      <c r="B88" t="str">
        <f>IFERROR(__xludf.DUMMYFUNCTION("""COMPUTED_VALUE"""),"World")</f>
        <v>World</v>
      </c>
      <c r="C88">
        <f>IFERROR(__xludf.DUMMYFUNCTION("""COMPUTED_VALUE"""),1886.0)</f>
        <v>1886</v>
      </c>
      <c r="D88" s="164">
        <f>IFERROR(__xludf.DUMMYFUNCTION("""COMPUTED_VALUE"""),1.421182605E9)</f>
        <v>1421182605</v>
      </c>
    </row>
    <row r="89">
      <c r="A89" t="str">
        <f>IFERROR(__xludf.DUMMYFUNCTION("""COMPUTED_VALUE"""),"world")</f>
        <v>world</v>
      </c>
      <c r="B89" t="str">
        <f>IFERROR(__xludf.DUMMYFUNCTION("""COMPUTED_VALUE"""),"World")</f>
        <v>World</v>
      </c>
      <c r="C89">
        <f>IFERROR(__xludf.DUMMYFUNCTION("""COMPUTED_VALUE"""),1887.0)</f>
        <v>1887</v>
      </c>
      <c r="D89" s="164">
        <f>IFERROR(__xludf.DUMMYFUNCTION("""COMPUTED_VALUE"""),1.431126454E9)</f>
        <v>1431126454</v>
      </c>
    </row>
    <row r="90">
      <c r="A90" t="str">
        <f>IFERROR(__xludf.DUMMYFUNCTION("""COMPUTED_VALUE"""),"world")</f>
        <v>world</v>
      </c>
      <c r="B90" t="str">
        <f>IFERROR(__xludf.DUMMYFUNCTION("""COMPUTED_VALUE"""),"World")</f>
        <v>World</v>
      </c>
      <c r="C90">
        <f>IFERROR(__xludf.DUMMYFUNCTION("""COMPUTED_VALUE"""),1888.0)</f>
        <v>1888</v>
      </c>
      <c r="D90" s="164">
        <f>IFERROR(__xludf.DUMMYFUNCTION("""COMPUTED_VALUE"""),1.441482568E9)</f>
        <v>1441482568</v>
      </c>
    </row>
    <row r="91">
      <c r="A91" t="str">
        <f>IFERROR(__xludf.DUMMYFUNCTION("""COMPUTED_VALUE"""),"world")</f>
        <v>world</v>
      </c>
      <c r="B91" t="str">
        <f>IFERROR(__xludf.DUMMYFUNCTION("""COMPUTED_VALUE"""),"World")</f>
        <v>World</v>
      </c>
      <c r="C91">
        <f>IFERROR(__xludf.DUMMYFUNCTION("""COMPUTED_VALUE"""),1889.0)</f>
        <v>1889</v>
      </c>
      <c r="D91" s="164">
        <f>IFERROR(__xludf.DUMMYFUNCTION("""COMPUTED_VALUE"""),1.45201237E9)</f>
        <v>1452012370</v>
      </c>
    </row>
    <row r="92">
      <c r="A92" t="str">
        <f>IFERROR(__xludf.DUMMYFUNCTION("""COMPUTED_VALUE"""),"world")</f>
        <v>world</v>
      </c>
      <c r="B92" t="str">
        <f>IFERROR(__xludf.DUMMYFUNCTION("""COMPUTED_VALUE"""),"World")</f>
        <v>World</v>
      </c>
      <c r="C92">
        <f>IFERROR(__xludf.DUMMYFUNCTION("""COMPUTED_VALUE"""),1890.0)</f>
        <v>1890</v>
      </c>
      <c r="D92" s="164">
        <f>IFERROR(__xludf.DUMMYFUNCTION("""COMPUTED_VALUE"""),1.462720391E9)</f>
        <v>1462720391</v>
      </c>
    </row>
    <row r="93">
      <c r="A93" t="str">
        <f>IFERROR(__xludf.DUMMYFUNCTION("""COMPUTED_VALUE"""),"world")</f>
        <v>world</v>
      </c>
      <c r="B93" t="str">
        <f>IFERROR(__xludf.DUMMYFUNCTION("""COMPUTED_VALUE"""),"World")</f>
        <v>World</v>
      </c>
      <c r="C93">
        <f>IFERROR(__xludf.DUMMYFUNCTION("""COMPUTED_VALUE"""),1891.0)</f>
        <v>1891</v>
      </c>
      <c r="D93" s="164">
        <f>IFERROR(__xludf.DUMMYFUNCTION("""COMPUTED_VALUE"""),1.473594908E9)</f>
        <v>1473594908</v>
      </c>
    </row>
    <row r="94">
      <c r="A94" t="str">
        <f>IFERROR(__xludf.DUMMYFUNCTION("""COMPUTED_VALUE"""),"world")</f>
        <v>world</v>
      </c>
      <c r="B94" t="str">
        <f>IFERROR(__xludf.DUMMYFUNCTION("""COMPUTED_VALUE"""),"World")</f>
        <v>World</v>
      </c>
      <c r="C94">
        <f>IFERROR(__xludf.DUMMYFUNCTION("""COMPUTED_VALUE"""),1892.0)</f>
        <v>1892</v>
      </c>
      <c r="D94" s="164">
        <f>IFERROR(__xludf.DUMMYFUNCTION("""COMPUTED_VALUE"""),1.484687593E9)</f>
        <v>1484687593</v>
      </c>
    </row>
    <row r="95">
      <c r="A95" t="str">
        <f>IFERROR(__xludf.DUMMYFUNCTION("""COMPUTED_VALUE"""),"world")</f>
        <v>world</v>
      </c>
      <c r="B95" t="str">
        <f>IFERROR(__xludf.DUMMYFUNCTION("""COMPUTED_VALUE"""),"World")</f>
        <v>World</v>
      </c>
      <c r="C95">
        <f>IFERROR(__xludf.DUMMYFUNCTION("""COMPUTED_VALUE"""),1893.0)</f>
        <v>1893</v>
      </c>
      <c r="D95" s="164">
        <f>IFERROR(__xludf.DUMMYFUNCTION("""COMPUTED_VALUE"""),1.496014495E9)</f>
        <v>1496014495</v>
      </c>
    </row>
    <row r="96">
      <c r="A96" t="str">
        <f>IFERROR(__xludf.DUMMYFUNCTION("""COMPUTED_VALUE"""),"world")</f>
        <v>world</v>
      </c>
      <c r="B96" t="str">
        <f>IFERROR(__xludf.DUMMYFUNCTION("""COMPUTED_VALUE"""),"World")</f>
        <v>World</v>
      </c>
      <c r="C96">
        <f>IFERROR(__xludf.DUMMYFUNCTION("""COMPUTED_VALUE"""),1894.0)</f>
        <v>1894</v>
      </c>
      <c r="D96" s="164">
        <f>IFERROR(__xludf.DUMMYFUNCTION("""COMPUTED_VALUE"""),1.507556235E9)</f>
        <v>1507556235</v>
      </c>
    </row>
    <row r="97">
      <c r="A97" t="str">
        <f>IFERROR(__xludf.DUMMYFUNCTION("""COMPUTED_VALUE"""),"world")</f>
        <v>world</v>
      </c>
      <c r="B97" t="str">
        <f>IFERROR(__xludf.DUMMYFUNCTION("""COMPUTED_VALUE"""),"World")</f>
        <v>World</v>
      </c>
      <c r="C97">
        <f>IFERROR(__xludf.DUMMYFUNCTION("""COMPUTED_VALUE"""),1895.0)</f>
        <v>1895</v>
      </c>
      <c r="D97" s="164">
        <f>IFERROR(__xludf.DUMMYFUNCTION("""COMPUTED_VALUE"""),1.519300927E9)</f>
        <v>1519300927</v>
      </c>
    </row>
    <row r="98">
      <c r="A98" t="str">
        <f>IFERROR(__xludf.DUMMYFUNCTION("""COMPUTED_VALUE"""),"world")</f>
        <v>world</v>
      </c>
      <c r="B98" t="str">
        <f>IFERROR(__xludf.DUMMYFUNCTION("""COMPUTED_VALUE"""),"World")</f>
        <v>World</v>
      </c>
      <c r="C98">
        <f>IFERROR(__xludf.DUMMYFUNCTION("""COMPUTED_VALUE"""),1896.0)</f>
        <v>1896</v>
      </c>
      <c r="D98" s="164">
        <f>IFERROR(__xludf.DUMMYFUNCTION("""COMPUTED_VALUE"""),1.531271629E9)</f>
        <v>1531271629</v>
      </c>
    </row>
    <row r="99">
      <c r="A99" t="str">
        <f>IFERROR(__xludf.DUMMYFUNCTION("""COMPUTED_VALUE"""),"world")</f>
        <v>world</v>
      </c>
      <c r="B99" t="str">
        <f>IFERROR(__xludf.DUMMYFUNCTION("""COMPUTED_VALUE"""),"World")</f>
        <v>World</v>
      </c>
      <c r="C99">
        <f>IFERROR(__xludf.DUMMYFUNCTION("""COMPUTED_VALUE"""),1897.0)</f>
        <v>1897</v>
      </c>
      <c r="D99" s="164">
        <f>IFERROR(__xludf.DUMMYFUNCTION("""COMPUTED_VALUE"""),1.543481821E9)</f>
        <v>1543481821</v>
      </c>
    </row>
    <row r="100">
      <c r="A100" t="str">
        <f>IFERROR(__xludf.DUMMYFUNCTION("""COMPUTED_VALUE"""),"world")</f>
        <v>world</v>
      </c>
      <c r="B100" t="str">
        <f>IFERROR(__xludf.DUMMYFUNCTION("""COMPUTED_VALUE"""),"World")</f>
        <v>World</v>
      </c>
      <c r="C100">
        <f>IFERROR(__xludf.DUMMYFUNCTION("""COMPUTED_VALUE"""),1898.0)</f>
        <v>1898</v>
      </c>
      <c r="D100" s="164">
        <f>IFERROR(__xludf.DUMMYFUNCTION("""COMPUTED_VALUE"""),1.555891052E9)</f>
        <v>1555891052</v>
      </c>
    </row>
    <row r="101">
      <c r="A101" t="str">
        <f>IFERROR(__xludf.DUMMYFUNCTION("""COMPUTED_VALUE"""),"world")</f>
        <v>world</v>
      </c>
      <c r="B101" t="str">
        <f>IFERROR(__xludf.DUMMYFUNCTION("""COMPUTED_VALUE"""),"World")</f>
        <v>World</v>
      </c>
      <c r="C101">
        <f>IFERROR(__xludf.DUMMYFUNCTION("""COMPUTED_VALUE"""),1899.0)</f>
        <v>1899</v>
      </c>
      <c r="D101" s="164">
        <f>IFERROR(__xludf.DUMMYFUNCTION("""COMPUTED_VALUE"""),1.568552139E9)</f>
        <v>1568552139</v>
      </c>
    </row>
    <row r="102">
      <c r="A102" t="str">
        <f>IFERROR(__xludf.DUMMYFUNCTION("""COMPUTED_VALUE"""),"world")</f>
        <v>world</v>
      </c>
      <c r="B102" t="str">
        <f>IFERROR(__xludf.DUMMYFUNCTION("""COMPUTED_VALUE"""),"World")</f>
        <v>World</v>
      </c>
      <c r="C102">
        <f>IFERROR(__xludf.DUMMYFUNCTION("""COMPUTED_VALUE"""),1900.0)</f>
        <v>1900</v>
      </c>
      <c r="D102" s="164">
        <f>IFERROR(__xludf.DUMMYFUNCTION("""COMPUTED_VALUE"""),1.581392317E9)</f>
        <v>1581392317</v>
      </c>
    </row>
    <row r="103">
      <c r="A103" t="str">
        <f>IFERROR(__xludf.DUMMYFUNCTION("""COMPUTED_VALUE"""),"world")</f>
        <v>world</v>
      </c>
      <c r="B103" t="str">
        <f>IFERROR(__xludf.DUMMYFUNCTION("""COMPUTED_VALUE"""),"World")</f>
        <v>World</v>
      </c>
      <c r="C103">
        <f>IFERROR(__xludf.DUMMYFUNCTION("""COMPUTED_VALUE"""),1901.0)</f>
        <v>1901</v>
      </c>
      <c r="D103" s="164">
        <f>IFERROR(__xludf.DUMMYFUNCTION("""COMPUTED_VALUE"""),1.59439313E9)</f>
        <v>1594393130</v>
      </c>
    </row>
    <row r="104">
      <c r="A104" t="str">
        <f>IFERROR(__xludf.DUMMYFUNCTION("""COMPUTED_VALUE"""),"world")</f>
        <v>world</v>
      </c>
      <c r="B104" t="str">
        <f>IFERROR(__xludf.DUMMYFUNCTION("""COMPUTED_VALUE"""),"World")</f>
        <v>World</v>
      </c>
      <c r="C104">
        <f>IFERROR(__xludf.DUMMYFUNCTION("""COMPUTED_VALUE"""),1902.0)</f>
        <v>1902</v>
      </c>
      <c r="D104" s="164">
        <f>IFERROR(__xludf.DUMMYFUNCTION("""COMPUTED_VALUE"""),1.607315601E9)</f>
        <v>1607315601</v>
      </c>
    </row>
    <row r="105">
      <c r="A105" t="str">
        <f>IFERROR(__xludf.DUMMYFUNCTION("""COMPUTED_VALUE"""),"world")</f>
        <v>world</v>
      </c>
      <c r="B105" t="str">
        <f>IFERROR(__xludf.DUMMYFUNCTION("""COMPUTED_VALUE"""),"World")</f>
        <v>World</v>
      </c>
      <c r="C105">
        <f>IFERROR(__xludf.DUMMYFUNCTION("""COMPUTED_VALUE"""),1903.0)</f>
        <v>1903</v>
      </c>
      <c r="D105" s="164">
        <f>IFERROR(__xludf.DUMMYFUNCTION("""COMPUTED_VALUE"""),1.620637299E9)</f>
        <v>1620637299</v>
      </c>
    </row>
    <row r="106">
      <c r="A106" t="str">
        <f>IFERROR(__xludf.DUMMYFUNCTION("""COMPUTED_VALUE"""),"world")</f>
        <v>world</v>
      </c>
      <c r="B106" t="str">
        <f>IFERROR(__xludf.DUMMYFUNCTION("""COMPUTED_VALUE"""),"World")</f>
        <v>World</v>
      </c>
      <c r="C106">
        <f>IFERROR(__xludf.DUMMYFUNCTION("""COMPUTED_VALUE"""),1904.0)</f>
        <v>1904</v>
      </c>
      <c r="D106" s="164">
        <f>IFERROR(__xludf.DUMMYFUNCTION("""COMPUTED_VALUE"""),1.634141038E9)</f>
        <v>1634141038</v>
      </c>
    </row>
    <row r="107">
      <c r="A107" t="str">
        <f>IFERROR(__xludf.DUMMYFUNCTION("""COMPUTED_VALUE"""),"world")</f>
        <v>world</v>
      </c>
      <c r="B107" t="str">
        <f>IFERROR(__xludf.DUMMYFUNCTION("""COMPUTED_VALUE"""),"World")</f>
        <v>World</v>
      </c>
      <c r="C107">
        <f>IFERROR(__xludf.DUMMYFUNCTION("""COMPUTED_VALUE"""),1905.0)</f>
        <v>1905</v>
      </c>
      <c r="D107" s="164">
        <f>IFERROR(__xludf.DUMMYFUNCTION("""COMPUTED_VALUE"""),1.647854014E9)</f>
        <v>1647854014</v>
      </c>
    </row>
    <row r="108">
      <c r="A108" t="str">
        <f>IFERROR(__xludf.DUMMYFUNCTION("""COMPUTED_VALUE"""),"world")</f>
        <v>world</v>
      </c>
      <c r="B108" t="str">
        <f>IFERROR(__xludf.DUMMYFUNCTION("""COMPUTED_VALUE"""),"World")</f>
        <v>World</v>
      </c>
      <c r="C108">
        <f>IFERROR(__xludf.DUMMYFUNCTION("""COMPUTED_VALUE"""),1906.0)</f>
        <v>1906</v>
      </c>
      <c r="D108" s="164">
        <f>IFERROR(__xludf.DUMMYFUNCTION("""COMPUTED_VALUE"""),1.661715903E9)</f>
        <v>1661715903</v>
      </c>
    </row>
    <row r="109">
      <c r="A109" t="str">
        <f>IFERROR(__xludf.DUMMYFUNCTION("""COMPUTED_VALUE"""),"world")</f>
        <v>world</v>
      </c>
      <c r="B109" t="str">
        <f>IFERROR(__xludf.DUMMYFUNCTION("""COMPUTED_VALUE"""),"World")</f>
        <v>World</v>
      </c>
      <c r="C109">
        <f>IFERROR(__xludf.DUMMYFUNCTION("""COMPUTED_VALUE"""),1907.0)</f>
        <v>1907</v>
      </c>
      <c r="D109" s="164">
        <f>IFERROR(__xludf.DUMMYFUNCTION("""COMPUTED_VALUE"""),1.67525938E9)</f>
        <v>1675259380</v>
      </c>
    </row>
    <row r="110">
      <c r="A110" t="str">
        <f>IFERROR(__xludf.DUMMYFUNCTION("""COMPUTED_VALUE"""),"world")</f>
        <v>world</v>
      </c>
      <c r="B110" t="str">
        <f>IFERROR(__xludf.DUMMYFUNCTION("""COMPUTED_VALUE"""),"World")</f>
        <v>World</v>
      </c>
      <c r="C110">
        <f>IFERROR(__xludf.DUMMYFUNCTION("""COMPUTED_VALUE"""),1908.0)</f>
        <v>1908</v>
      </c>
      <c r="D110" s="164">
        <f>IFERROR(__xludf.DUMMYFUNCTION("""COMPUTED_VALUE"""),1.689400128E9)</f>
        <v>1689400128</v>
      </c>
    </row>
    <row r="111">
      <c r="A111" t="str">
        <f>IFERROR(__xludf.DUMMYFUNCTION("""COMPUTED_VALUE"""),"world")</f>
        <v>world</v>
      </c>
      <c r="B111" t="str">
        <f>IFERROR(__xludf.DUMMYFUNCTION("""COMPUTED_VALUE"""),"World")</f>
        <v>World</v>
      </c>
      <c r="C111">
        <f>IFERROR(__xludf.DUMMYFUNCTION("""COMPUTED_VALUE"""),1909.0)</f>
        <v>1909</v>
      </c>
      <c r="D111" s="164">
        <f>IFERROR(__xludf.DUMMYFUNCTION("""COMPUTED_VALUE"""),1.704163073E9)</f>
        <v>1704163073</v>
      </c>
    </row>
    <row r="112">
      <c r="A112" t="str">
        <f>IFERROR(__xludf.DUMMYFUNCTION("""COMPUTED_VALUE"""),"world")</f>
        <v>world</v>
      </c>
      <c r="B112" t="str">
        <f>IFERROR(__xludf.DUMMYFUNCTION("""COMPUTED_VALUE"""),"World")</f>
        <v>World</v>
      </c>
      <c r="C112">
        <f>IFERROR(__xludf.DUMMYFUNCTION("""COMPUTED_VALUE"""),1910.0)</f>
        <v>1910</v>
      </c>
      <c r="D112" s="164">
        <f>IFERROR(__xludf.DUMMYFUNCTION("""COMPUTED_VALUE"""),1.719394915E9)</f>
        <v>1719394915</v>
      </c>
    </row>
    <row r="113">
      <c r="A113" t="str">
        <f>IFERROR(__xludf.DUMMYFUNCTION("""COMPUTED_VALUE"""),"world")</f>
        <v>world</v>
      </c>
      <c r="B113" t="str">
        <f>IFERROR(__xludf.DUMMYFUNCTION("""COMPUTED_VALUE"""),"World")</f>
        <v>World</v>
      </c>
      <c r="C113">
        <f>IFERROR(__xludf.DUMMYFUNCTION("""COMPUTED_VALUE"""),1911.0)</f>
        <v>1911</v>
      </c>
      <c r="D113" s="164">
        <f>IFERROR(__xludf.DUMMYFUNCTION("""COMPUTED_VALUE"""),1.734741453E9)</f>
        <v>1734741453</v>
      </c>
    </row>
    <row r="114">
      <c r="A114" t="str">
        <f>IFERROR(__xludf.DUMMYFUNCTION("""COMPUTED_VALUE"""),"world")</f>
        <v>world</v>
      </c>
      <c r="B114" t="str">
        <f>IFERROR(__xludf.DUMMYFUNCTION("""COMPUTED_VALUE"""),"World")</f>
        <v>World</v>
      </c>
      <c r="C114">
        <f>IFERROR(__xludf.DUMMYFUNCTION("""COMPUTED_VALUE"""),1912.0)</f>
        <v>1912</v>
      </c>
      <c r="D114" s="164">
        <f>IFERROR(__xludf.DUMMYFUNCTION("""COMPUTED_VALUE"""),1.7513041E9)</f>
        <v>1751304100</v>
      </c>
    </row>
    <row r="115">
      <c r="A115" t="str">
        <f>IFERROR(__xludf.DUMMYFUNCTION("""COMPUTED_VALUE"""),"world")</f>
        <v>world</v>
      </c>
      <c r="B115" t="str">
        <f>IFERROR(__xludf.DUMMYFUNCTION("""COMPUTED_VALUE"""),"World")</f>
        <v>World</v>
      </c>
      <c r="C115">
        <f>IFERROR(__xludf.DUMMYFUNCTION("""COMPUTED_VALUE"""),1913.0)</f>
        <v>1913</v>
      </c>
      <c r="D115" s="164">
        <f>IFERROR(__xludf.DUMMYFUNCTION("""COMPUTED_VALUE"""),1.768064175E9)</f>
        <v>1768064175</v>
      </c>
    </row>
    <row r="116">
      <c r="A116" t="str">
        <f>IFERROR(__xludf.DUMMYFUNCTION("""COMPUTED_VALUE"""),"world")</f>
        <v>world</v>
      </c>
      <c r="B116" t="str">
        <f>IFERROR(__xludf.DUMMYFUNCTION("""COMPUTED_VALUE"""),"World")</f>
        <v>World</v>
      </c>
      <c r="C116">
        <f>IFERROR(__xludf.DUMMYFUNCTION("""COMPUTED_VALUE"""),1914.0)</f>
        <v>1914</v>
      </c>
      <c r="D116" s="164">
        <f>IFERROR(__xludf.DUMMYFUNCTION("""COMPUTED_VALUE"""),1.784378253E9)</f>
        <v>1784378253</v>
      </c>
    </row>
    <row r="117">
      <c r="A117" t="str">
        <f>IFERROR(__xludf.DUMMYFUNCTION("""COMPUTED_VALUE"""),"world")</f>
        <v>world</v>
      </c>
      <c r="B117" t="str">
        <f>IFERROR(__xludf.DUMMYFUNCTION("""COMPUTED_VALUE"""),"World")</f>
        <v>World</v>
      </c>
      <c r="C117">
        <f>IFERROR(__xludf.DUMMYFUNCTION("""COMPUTED_VALUE"""),1915.0)</f>
        <v>1915</v>
      </c>
      <c r="D117" s="164">
        <f>IFERROR(__xludf.DUMMYFUNCTION("""COMPUTED_VALUE"""),1.799897021E9)</f>
        <v>1799897021</v>
      </c>
    </row>
    <row r="118">
      <c r="A118" t="str">
        <f>IFERROR(__xludf.DUMMYFUNCTION("""COMPUTED_VALUE"""),"world")</f>
        <v>world</v>
      </c>
      <c r="B118" t="str">
        <f>IFERROR(__xludf.DUMMYFUNCTION("""COMPUTED_VALUE"""),"World")</f>
        <v>World</v>
      </c>
      <c r="C118">
        <f>IFERROR(__xludf.DUMMYFUNCTION("""COMPUTED_VALUE"""),1916.0)</f>
        <v>1916</v>
      </c>
      <c r="D118" s="164">
        <f>IFERROR(__xludf.DUMMYFUNCTION("""COMPUTED_VALUE"""),1.814200438E9)</f>
        <v>1814200438</v>
      </c>
    </row>
    <row r="119">
      <c r="A119" t="str">
        <f>IFERROR(__xludf.DUMMYFUNCTION("""COMPUTED_VALUE"""),"world")</f>
        <v>world</v>
      </c>
      <c r="B119" t="str">
        <f>IFERROR(__xludf.DUMMYFUNCTION("""COMPUTED_VALUE"""),"World")</f>
        <v>World</v>
      </c>
      <c r="C119">
        <f>IFERROR(__xludf.DUMMYFUNCTION("""COMPUTED_VALUE"""),1917.0)</f>
        <v>1917</v>
      </c>
      <c r="D119" s="164">
        <f>IFERROR(__xludf.DUMMYFUNCTION("""COMPUTED_VALUE"""),1.827734351E9)</f>
        <v>1827734351</v>
      </c>
    </row>
    <row r="120">
      <c r="A120" t="str">
        <f>IFERROR(__xludf.DUMMYFUNCTION("""COMPUTED_VALUE"""),"world")</f>
        <v>world</v>
      </c>
      <c r="B120" t="str">
        <f>IFERROR(__xludf.DUMMYFUNCTION("""COMPUTED_VALUE"""),"World")</f>
        <v>World</v>
      </c>
      <c r="C120">
        <f>IFERROR(__xludf.DUMMYFUNCTION("""COMPUTED_VALUE"""),1918.0)</f>
        <v>1918</v>
      </c>
      <c r="D120" s="164">
        <f>IFERROR(__xludf.DUMMYFUNCTION("""COMPUTED_VALUE"""),1.839399245E9)</f>
        <v>1839399245</v>
      </c>
    </row>
    <row r="121">
      <c r="A121" t="str">
        <f>IFERROR(__xludf.DUMMYFUNCTION("""COMPUTED_VALUE"""),"world")</f>
        <v>world</v>
      </c>
      <c r="B121" t="str">
        <f>IFERROR(__xludf.DUMMYFUNCTION("""COMPUTED_VALUE"""),"World")</f>
        <v>World</v>
      </c>
      <c r="C121">
        <f>IFERROR(__xludf.DUMMYFUNCTION("""COMPUTED_VALUE"""),1919.0)</f>
        <v>1919</v>
      </c>
      <c r="D121" s="164">
        <f>IFERROR(__xludf.DUMMYFUNCTION("""COMPUTED_VALUE"""),1.852166385E9)</f>
        <v>1852166385</v>
      </c>
    </row>
    <row r="122">
      <c r="A122" t="str">
        <f>IFERROR(__xludf.DUMMYFUNCTION("""COMPUTED_VALUE"""),"world")</f>
        <v>world</v>
      </c>
      <c r="B122" t="str">
        <f>IFERROR(__xludf.DUMMYFUNCTION("""COMPUTED_VALUE"""),"World")</f>
        <v>World</v>
      </c>
      <c r="C122">
        <f>IFERROR(__xludf.DUMMYFUNCTION("""COMPUTED_VALUE"""),1920.0)</f>
        <v>1920</v>
      </c>
      <c r="D122" s="164">
        <f>IFERROR(__xludf.DUMMYFUNCTION("""COMPUTED_VALUE"""),1.866084685E9)</f>
        <v>1866084685</v>
      </c>
    </row>
    <row r="123">
      <c r="A123" t="str">
        <f>IFERROR(__xludf.DUMMYFUNCTION("""COMPUTED_VALUE"""),"world")</f>
        <v>world</v>
      </c>
      <c r="B123" t="str">
        <f>IFERROR(__xludf.DUMMYFUNCTION("""COMPUTED_VALUE"""),"World")</f>
        <v>World</v>
      </c>
      <c r="C123">
        <f>IFERROR(__xludf.DUMMYFUNCTION("""COMPUTED_VALUE"""),1921.0)</f>
        <v>1921</v>
      </c>
      <c r="D123" s="164">
        <f>IFERROR(__xludf.DUMMYFUNCTION("""COMPUTED_VALUE"""),1.882312765E9)</f>
        <v>1882312765</v>
      </c>
    </row>
    <row r="124">
      <c r="A124" t="str">
        <f>IFERROR(__xludf.DUMMYFUNCTION("""COMPUTED_VALUE"""),"world")</f>
        <v>world</v>
      </c>
      <c r="B124" t="str">
        <f>IFERROR(__xludf.DUMMYFUNCTION("""COMPUTED_VALUE"""),"World")</f>
        <v>World</v>
      </c>
      <c r="C124">
        <f>IFERROR(__xludf.DUMMYFUNCTION("""COMPUTED_VALUE"""),1922.0)</f>
        <v>1922</v>
      </c>
      <c r="D124" s="164">
        <f>IFERROR(__xludf.DUMMYFUNCTION("""COMPUTED_VALUE"""),1.898529833E9)</f>
        <v>1898529833</v>
      </c>
    </row>
    <row r="125">
      <c r="A125" t="str">
        <f>IFERROR(__xludf.DUMMYFUNCTION("""COMPUTED_VALUE"""),"world")</f>
        <v>world</v>
      </c>
      <c r="B125" t="str">
        <f>IFERROR(__xludf.DUMMYFUNCTION("""COMPUTED_VALUE"""),"World")</f>
        <v>World</v>
      </c>
      <c r="C125">
        <f>IFERROR(__xludf.DUMMYFUNCTION("""COMPUTED_VALUE"""),1923.0)</f>
        <v>1923</v>
      </c>
      <c r="D125" s="164">
        <f>IFERROR(__xludf.DUMMYFUNCTION("""COMPUTED_VALUE"""),1.915168411E9)</f>
        <v>1915168411</v>
      </c>
    </row>
    <row r="126">
      <c r="A126" t="str">
        <f>IFERROR(__xludf.DUMMYFUNCTION("""COMPUTED_VALUE"""),"world")</f>
        <v>world</v>
      </c>
      <c r="B126" t="str">
        <f>IFERROR(__xludf.DUMMYFUNCTION("""COMPUTED_VALUE"""),"World")</f>
        <v>World</v>
      </c>
      <c r="C126">
        <f>IFERROR(__xludf.DUMMYFUNCTION("""COMPUTED_VALUE"""),1924.0)</f>
        <v>1924</v>
      </c>
      <c r="D126" s="164">
        <f>IFERROR(__xludf.DUMMYFUNCTION("""COMPUTED_VALUE"""),1.932075515E9)</f>
        <v>1932075515</v>
      </c>
    </row>
    <row r="127">
      <c r="A127" t="str">
        <f>IFERROR(__xludf.DUMMYFUNCTION("""COMPUTED_VALUE"""),"world")</f>
        <v>world</v>
      </c>
      <c r="B127" t="str">
        <f>IFERROR(__xludf.DUMMYFUNCTION("""COMPUTED_VALUE"""),"World")</f>
        <v>World</v>
      </c>
      <c r="C127">
        <f>IFERROR(__xludf.DUMMYFUNCTION("""COMPUTED_VALUE"""),1925.0)</f>
        <v>1925</v>
      </c>
      <c r="D127" s="164">
        <f>IFERROR(__xludf.DUMMYFUNCTION("""COMPUTED_VALUE"""),1.948955687E9)</f>
        <v>1948955687</v>
      </c>
    </row>
    <row r="128">
      <c r="A128" t="str">
        <f>IFERROR(__xludf.DUMMYFUNCTION("""COMPUTED_VALUE"""),"world")</f>
        <v>world</v>
      </c>
      <c r="B128" t="str">
        <f>IFERROR(__xludf.DUMMYFUNCTION("""COMPUTED_VALUE"""),"World")</f>
        <v>World</v>
      </c>
      <c r="C128">
        <f>IFERROR(__xludf.DUMMYFUNCTION("""COMPUTED_VALUE"""),1926.0)</f>
        <v>1926</v>
      </c>
      <c r="D128" s="164">
        <f>IFERROR(__xludf.DUMMYFUNCTION("""COMPUTED_VALUE"""),1.965695371E9)</f>
        <v>1965695371</v>
      </c>
    </row>
    <row r="129">
      <c r="A129" t="str">
        <f>IFERROR(__xludf.DUMMYFUNCTION("""COMPUTED_VALUE"""),"world")</f>
        <v>world</v>
      </c>
      <c r="B129" t="str">
        <f>IFERROR(__xludf.DUMMYFUNCTION("""COMPUTED_VALUE"""),"World")</f>
        <v>World</v>
      </c>
      <c r="C129">
        <f>IFERROR(__xludf.DUMMYFUNCTION("""COMPUTED_VALUE"""),1927.0)</f>
        <v>1927</v>
      </c>
      <c r="D129" s="164">
        <f>IFERROR(__xludf.DUMMYFUNCTION("""COMPUTED_VALUE"""),1.982536028E9)</f>
        <v>1982536028</v>
      </c>
    </row>
    <row r="130">
      <c r="A130" t="str">
        <f>IFERROR(__xludf.DUMMYFUNCTION("""COMPUTED_VALUE"""),"world")</f>
        <v>world</v>
      </c>
      <c r="B130" t="str">
        <f>IFERROR(__xludf.DUMMYFUNCTION("""COMPUTED_VALUE"""),"World")</f>
        <v>World</v>
      </c>
      <c r="C130">
        <f>IFERROR(__xludf.DUMMYFUNCTION("""COMPUTED_VALUE"""),1928.0)</f>
        <v>1928</v>
      </c>
      <c r="D130" s="164">
        <f>IFERROR(__xludf.DUMMYFUNCTION("""COMPUTED_VALUE"""),1.999311866E9)</f>
        <v>1999311866</v>
      </c>
    </row>
    <row r="131">
      <c r="A131" t="str">
        <f>IFERROR(__xludf.DUMMYFUNCTION("""COMPUTED_VALUE"""),"world")</f>
        <v>world</v>
      </c>
      <c r="B131" t="str">
        <f>IFERROR(__xludf.DUMMYFUNCTION("""COMPUTED_VALUE"""),"World")</f>
        <v>World</v>
      </c>
      <c r="C131">
        <f>IFERROR(__xludf.DUMMYFUNCTION("""COMPUTED_VALUE"""),1929.0)</f>
        <v>1929</v>
      </c>
      <c r="D131" s="164">
        <f>IFERROR(__xludf.DUMMYFUNCTION("""COMPUTED_VALUE"""),2.017045912E9)</f>
        <v>2017045912</v>
      </c>
    </row>
    <row r="132">
      <c r="A132" t="str">
        <f>IFERROR(__xludf.DUMMYFUNCTION("""COMPUTED_VALUE"""),"world")</f>
        <v>world</v>
      </c>
      <c r="B132" t="str">
        <f>IFERROR(__xludf.DUMMYFUNCTION("""COMPUTED_VALUE"""),"World")</f>
        <v>World</v>
      </c>
      <c r="C132">
        <f>IFERROR(__xludf.DUMMYFUNCTION("""COMPUTED_VALUE"""),1930.0)</f>
        <v>1930</v>
      </c>
      <c r="D132" s="164">
        <f>IFERROR(__xludf.DUMMYFUNCTION("""COMPUTED_VALUE"""),2.03627601E9)</f>
        <v>2036276010</v>
      </c>
    </row>
    <row r="133">
      <c r="A133" t="str">
        <f>IFERROR(__xludf.DUMMYFUNCTION("""COMPUTED_VALUE"""),"world")</f>
        <v>world</v>
      </c>
      <c r="B133" t="str">
        <f>IFERROR(__xludf.DUMMYFUNCTION("""COMPUTED_VALUE"""),"World")</f>
        <v>World</v>
      </c>
      <c r="C133">
        <f>IFERROR(__xludf.DUMMYFUNCTION("""COMPUTED_VALUE"""),1931.0)</f>
        <v>1931</v>
      </c>
      <c r="D133" s="164">
        <f>IFERROR(__xludf.DUMMYFUNCTION("""COMPUTED_VALUE"""),2.057237433E9)</f>
        <v>2057237433</v>
      </c>
    </row>
    <row r="134">
      <c r="A134" t="str">
        <f>IFERROR(__xludf.DUMMYFUNCTION("""COMPUTED_VALUE"""),"world")</f>
        <v>world</v>
      </c>
      <c r="B134" t="str">
        <f>IFERROR(__xludf.DUMMYFUNCTION("""COMPUTED_VALUE"""),"World")</f>
        <v>World</v>
      </c>
      <c r="C134">
        <f>IFERROR(__xludf.DUMMYFUNCTION("""COMPUTED_VALUE"""),1932.0)</f>
        <v>1932</v>
      </c>
      <c r="D134" s="164">
        <f>IFERROR(__xludf.DUMMYFUNCTION("""COMPUTED_VALUE"""),2.078921219E9)</f>
        <v>2078921219</v>
      </c>
    </row>
    <row r="135">
      <c r="A135" t="str">
        <f>IFERROR(__xludf.DUMMYFUNCTION("""COMPUTED_VALUE"""),"world")</f>
        <v>world</v>
      </c>
      <c r="B135" t="str">
        <f>IFERROR(__xludf.DUMMYFUNCTION("""COMPUTED_VALUE"""),"World")</f>
        <v>World</v>
      </c>
      <c r="C135">
        <f>IFERROR(__xludf.DUMMYFUNCTION("""COMPUTED_VALUE"""),1933.0)</f>
        <v>1933</v>
      </c>
      <c r="D135" s="164">
        <f>IFERROR(__xludf.DUMMYFUNCTION("""COMPUTED_VALUE"""),2.100443072E9)</f>
        <v>2100443072</v>
      </c>
    </row>
    <row r="136">
      <c r="A136" t="str">
        <f>IFERROR(__xludf.DUMMYFUNCTION("""COMPUTED_VALUE"""),"world")</f>
        <v>world</v>
      </c>
      <c r="B136" t="str">
        <f>IFERROR(__xludf.DUMMYFUNCTION("""COMPUTED_VALUE"""),"World")</f>
        <v>World</v>
      </c>
      <c r="C136">
        <f>IFERROR(__xludf.DUMMYFUNCTION("""COMPUTED_VALUE"""),1934.0)</f>
        <v>1934</v>
      </c>
      <c r="D136" s="164">
        <f>IFERROR(__xludf.DUMMYFUNCTION("""COMPUTED_VALUE"""),2.121899805E9)</f>
        <v>2121899805</v>
      </c>
    </row>
    <row r="137">
      <c r="A137" t="str">
        <f>IFERROR(__xludf.DUMMYFUNCTION("""COMPUTED_VALUE"""),"world")</f>
        <v>world</v>
      </c>
      <c r="B137" t="str">
        <f>IFERROR(__xludf.DUMMYFUNCTION("""COMPUTED_VALUE"""),"World")</f>
        <v>World</v>
      </c>
      <c r="C137">
        <f>IFERROR(__xludf.DUMMYFUNCTION("""COMPUTED_VALUE"""),1935.0)</f>
        <v>1935</v>
      </c>
      <c r="D137" s="164">
        <f>IFERROR(__xludf.DUMMYFUNCTION("""COMPUTED_VALUE"""),2.143194324E9)</f>
        <v>2143194324</v>
      </c>
    </row>
    <row r="138">
      <c r="A138" t="str">
        <f>IFERROR(__xludf.DUMMYFUNCTION("""COMPUTED_VALUE"""),"world")</f>
        <v>world</v>
      </c>
      <c r="B138" t="str">
        <f>IFERROR(__xludf.DUMMYFUNCTION("""COMPUTED_VALUE"""),"World")</f>
        <v>World</v>
      </c>
      <c r="C138">
        <f>IFERROR(__xludf.DUMMYFUNCTION("""COMPUTED_VALUE"""),1936.0)</f>
        <v>1936</v>
      </c>
      <c r="D138" s="164">
        <f>IFERROR(__xludf.DUMMYFUNCTION("""COMPUTED_VALUE"""),2.164788904E9)</f>
        <v>2164788904</v>
      </c>
    </row>
    <row r="139">
      <c r="A139" t="str">
        <f>IFERROR(__xludf.DUMMYFUNCTION("""COMPUTED_VALUE"""),"world")</f>
        <v>world</v>
      </c>
      <c r="B139" t="str">
        <f>IFERROR(__xludf.DUMMYFUNCTION("""COMPUTED_VALUE"""),"World")</f>
        <v>World</v>
      </c>
      <c r="C139">
        <f>IFERROR(__xludf.DUMMYFUNCTION("""COMPUTED_VALUE"""),1937.0)</f>
        <v>1937</v>
      </c>
      <c r="D139" s="164">
        <f>IFERROR(__xludf.DUMMYFUNCTION("""COMPUTED_VALUE"""),2.186533749E9)</f>
        <v>2186533749</v>
      </c>
    </row>
    <row r="140">
      <c r="A140" t="str">
        <f>IFERROR(__xludf.DUMMYFUNCTION("""COMPUTED_VALUE"""),"world")</f>
        <v>world</v>
      </c>
      <c r="B140" t="str">
        <f>IFERROR(__xludf.DUMMYFUNCTION("""COMPUTED_VALUE"""),"World")</f>
        <v>World</v>
      </c>
      <c r="C140">
        <f>IFERROR(__xludf.DUMMYFUNCTION("""COMPUTED_VALUE"""),1938.0)</f>
        <v>1938</v>
      </c>
      <c r="D140" s="164">
        <f>IFERROR(__xludf.DUMMYFUNCTION("""COMPUTED_VALUE"""),2.208795642E9)</f>
        <v>2208795642</v>
      </c>
    </row>
    <row r="141">
      <c r="A141" t="str">
        <f>IFERROR(__xludf.DUMMYFUNCTION("""COMPUTED_VALUE"""),"world")</f>
        <v>world</v>
      </c>
      <c r="B141" t="str">
        <f>IFERROR(__xludf.DUMMYFUNCTION("""COMPUTED_VALUE"""),"World")</f>
        <v>World</v>
      </c>
      <c r="C141">
        <f>IFERROR(__xludf.DUMMYFUNCTION("""COMPUTED_VALUE"""),1939.0)</f>
        <v>1939</v>
      </c>
      <c r="D141" s="164">
        <f>IFERROR(__xludf.DUMMYFUNCTION("""COMPUTED_VALUE"""),2.230495015E9)</f>
        <v>2230495015</v>
      </c>
    </row>
    <row r="142">
      <c r="A142" t="str">
        <f>IFERROR(__xludf.DUMMYFUNCTION("""COMPUTED_VALUE"""),"world")</f>
        <v>world</v>
      </c>
      <c r="B142" t="str">
        <f>IFERROR(__xludf.DUMMYFUNCTION("""COMPUTED_VALUE"""),"World")</f>
        <v>World</v>
      </c>
      <c r="C142">
        <f>IFERROR(__xludf.DUMMYFUNCTION("""COMPUTED_VALUE"""),1940.0)</f>
        <v>1940</v>
      </c>
      <c r="D142" s="164">
        <f>IFERROR(__xludf.DUMMYFUNCTION("""COMPUTED_VALUE"""),2.251629928E9)</f>
        <v>2251629928</v>
      </c>
    </row>
    <row r="143">
      <c r="A143" t="str">
        <f>IFERROR(__xludf.DUMMYFUNCTION("""COMPUTED_VALUE"""),"world")</f>
        <v>world</v>
      </c>
      <c r="B143" t="str">
        <f>IFERROR(__xludf.DUMMYFUNCTION("""COMPUTED_VALUE"""),"World")</f>
        <v>World</v>
      </c>
      <c r="C143">
        <f>IFERROR(__xludf.DUMMYFUNCTION("""COMPUTED_VALUE"""),1941.0)</f>
        <v>1941</v>
      </c>
      <c r="D143" s="164">
        <f>IFERROR(__xludf.DUMMYFUNCTION("""COMPUTED_VALUE"""),2.272378421E9)</f>
        <v>2272378421</v>
      </c>
    </row>
    <row r="144">
      <c r="A144" t="str">
        <f>IFERROR(__xludf.DUMMYFUNCTION("""COMPUTED_VALUE"""),"world")</f>
        <v>world</v>
      </c>
      <c r="B144" t="str">
        <f>IFERROR(__xludf.DUMMYFUNCTION("""COMPUTED_VALUE"""),"World")</f>
        <v>World</v>
      </c>
      <c r="C144">
        <f>IFERROR(__xludf.DUMMYFUNCTION("""COMPUTED_VALUE"""),1942.0)</f>
        <v>1942</v>
      </c>
      <c r="D144" s="164">
        <f>IFERROR(__xludf.DUMMYFUNCTION("""COMPUTED_VALUE"""),2.293453665E9)</f>
        <v>2293453665</v>
      </c>
    </row>
    <row r="145">
      <c r="A145" t="str">
        <f>IFERROR(__xludf.DUMMYFUNCTION("""COMPUTED_VALUE"""),"world")</f>
        <v>world</v>
      </c>
      <c r="B145" t="str">
        <f>IFERROR(__xludf.DUMMYFUNCTION("""COMPUTED_VALUE"""),"World")</f>
        <v>World</v>
      </c>
      <c r="C145">
        <f>IFERROR(__xludf.DUMMYFUNCTION("""COMPUTED_VALUE"""),1943.0)</f>
        <v>1943</v>
      </c>
      <c r="D145" s="164">
        <f>IFERROR(__xludf.DUMMYFUNCTION("""COMPUTED_VALUE"""),2.314816524E9)</f>
        <v>2314816524</v>
      </c>
    </row>
    <row r="146">
      <c r="A146" t="str">
        <f>IFERROR(__xludf.DUMMYFUNCTION("""COMPUTED_VALUE"""),"world")</f>
        <v>world</v>
      </c>
      <c r="B146" t="str">
        <f>IFERROR(__xludf.DUMMYFUNCTION("""COMPUTED_VALUE"""),"World")</f>
        <v>World</v>
      </c>
      <c r="C146">
        <f>IFERROR(__xludf.DUMMYFUNCTION("""COMPUTED_VALUE"""),1944.0)</f>
        <v>1944</v>
      </c>
      <c r="D146" s="164">
        <f>IFERROR(__xludf.DUMMYFUNCTION("""COMPUTED_VALUE"""),2.334719399E9)</f>
        <v>2334719399</v>
      </c>
    </row>
    <row r="147">
      <c r="A147" t="str">
        <f>IFERROR(__xludf.DUMMYFUNCTION("""COMPUTED_VALUE"""),"world")</f>
        <v>world</v>
      </c>
      <c r="B147" t="str">
        <f>IFERROR(__xludf.DUMMYFUNCTION("""COMPUTED_VALUE"""),"World")</f>
        <v>World</v>
      </c>
      <c r="C147">
        <f>IFERROR(__xludf.DUMMYFUNCTION("""COMPUTED_VALUE"""),1945.0)</f>
        <v>1945</v>
      </c>
      <c r="D147" s="164">
        <f>IFERROR(__xludf.DUMMYFUNCTION("""COMPUTED_VALUE"""),2.355292552E9)</f>
        <v>2355292552</v>
      </c>
    </row>
    <row r="148">
      <c r="A148" t="str">
        <f>IFERROR(__xludf.DUMMYFUNCTION("""COMPUTED_VALUE"""),"world")</f>
        <v>world</v>
      </c>
      <c r="B148" t="str">
        <f>IFERROR(__xludf.DUMMYFUNCTION("""COMPUTED_VALUE"""),"World")</f>
        <v>World</v>
      </c>
      <c r="C148">
        <f>IFERROR(__xludf.DUMMYFUNCTION("""COMPUTED_VALUE"""),1946.0)</f>
        <v>1946</v>
      </c>
      <c r="D148" s="164">
        <f>IFERROR(__xludf.DUMMYFUNCTION("""COMPUTED_VALUE"""),2.37879375E9)</f>
        <v>2378793750</v>
      </c>
    </row>
    <row r="149">
      <c r="A149" t="str">
        <f>IFERROR(__xludf.DUMMYFUNCTION("""COMPUTED_VALUE"""),"world")</f>
        <v>world</v>
      </c>
      <c r="B149" t="str">
        <f>IFERROR(__xludf.DUMMYFUNCTION("""COMPUTED_VALUE"""),"World")</f>
        <v>World</v>
      </c>
      <c r="C149">
        <f>IFERROR(__xludf.DUMMYFUNCTION("""COMPUTED_VALUE"""),1947.0)</f>
        <v>1947</v>
      </c>
      <c r="D149" s="164">
        <f>IFERROR(__xludf.DUMMYFUNCTION("""COMPUTED_VALUE"""),2.406793628E9)</f>
        <v>2406793628</v>
      </c>
    </row>
    <row r="150">
      <c r="A150" t="str">
        <f>IFERROR(__xludf.DUMMYFUNCTION("""COMPUTED_VALUE"""),"world")</f>
        <v>world</v>
      </c>
      <c r="B150" t="str">
        <f>IFERROR(__xludf.DUMMYFUNCTION("""COMPUTED_VALUE"""),"World")</f>
        <v>World</v>
      </c>
      <c r="C150">
        <f>IFERROR(__xludf.DUMMYFUNCTION("""COMPUTED_VALUE"""),1948.0)</f>
        <v>1948</v>
      </c>
      <c r="D150" s="164">
        <f>IFERROR(__xludf.DUMMYFUNCTION("""COMPUTED_VALUE"""),2.437585103E9)</f>
        <v>2437585103</v>
      </c>
    </row>
    <row r="151">
      <c r="A151" t="str">
        <f>IFERROR(__xludf.DUMMYFUNCTION("""COMPUTED_VALUE"""),"world")</f>
        <v>world</v>
      </c>
      <c r="B151" t="str">
        <f>IFERROR(__xludf.DUMMYFUNCTION("""COMPUTED_VALUE"""),"World")</f>
        <v>World</v>
      </c>
      <c r="C151">
        <f>IFERROR(__xludf.DUMMYFUNCTION("""COMPUTED_VALUE"""),1949.0)</f>
        <v>1949</v>
      </c>
      <c r="D151" s="164">
        <f>IFERROR(__xludf.DUMMYFUNCTION("""COMPUTED_VALUE"""),2.477244598E9)</f>
        <v>2477244598</v>
      </c>
    </row>
    <row r="152">
      <c r="A152" t="str">
        <f>IFERROR(__xludf.DUMMYFUNCTION("""COMPUTED_VALUE"""),"world")</f>
        <v>world</v>
      </c>
      <c r="B152" t="str">
        <f>IFERROR(__xludf.DUMMYFUNCTION("""COMPUTED_VALUE"""),"World")</f>
        <v>World</v>
      </c>
      <c r="C152">
        <f>IFERROR(__xludf.DUMMYFUNCTION("""COMPUTED_VALUE"""),1950.0)</f>
        <v>1950</v>
      </c>
      <c r="D152" s="164">
        <f>IFERROR(__xludf.DUMMYFUNCTION("""COMPUTED_VALUE"""),2.522795097E9)</f>
        <v>2522795097</v>
      </c>
    </row>
    <row r="153">
      <c r="A153" t="str">
        <f>IFERROR(__xludf.DUMMYFUNCTION("""COMPUTED_VALUE"""),"world")</f>
        <v>world</v>
      </c>
      <c r="B153" t="str">
        <f>IFERROR(__xludf.DUMMYFUNCTION("""COMPUTED_VALUE"""),"World")</f>
        <v>World</v>
      </c>
      <c r="C153">
        <f>IFERROR(__xludf.DUMMYFUNCTION("""COMPUTED_VALUE"""),1951.0)</f>
        <v>1951</v>
      </c>
      <c r="D153" s="164">
        <f>IFERROR(__xludf.DUMMYFUNCTION("""COMPUTED_VALUE"""),2.569951208E9)</f>
        <v>2569951208</v>
      </c>
    </row>
    <row r="154">
      <c r="A154" t="str">
        <f>IFERROR(__xludf.DUMMYFUNCTION("""COMPUTED_VALUE"""),"world")</f>
        <v>world</v>
      </c>
      <c r="B154" t="str">
        <f>IFERROR(__xludf.DUMMYFUNCTION("""COMPUTED_VALUE"""),"World")</f>
        <v>World</v>
      </c>
      <c r="C154">
        <f>IFERROR(__xludf.DUMMYFUNCTION("""COMPUTED_VALUE"""),1952.0)</f>
        <v>1952</v>
      </c>
      <c r="D154" s="164">
        <f>IFERROR(__xludf.DUMMYFUNCTION("""COMPUTED_VALUE"""),2.616316758E9)</f>
        <v>2616316758</v>
      </c>
    </row>
    <row r="155">
      <c r="A155" t="str">
        <f>IFERROR(__xludf.DUMMYFUNCTION("""COMPUTED_VALUE"""),"world")</f>
        <v>world</v>
      </c>
      <c r="B155" t="str">
        <f>IFERROR(__xludf.DUMMYFUNCTION("""COMPUTED_VALUE"""),"World")</f>
        <v>World</v>
      </c>
      <c r="C155">
        <f>IFERROR(__xludf.DUMMYFUNCTION("""COMPUTED_VALUE"""),1953.0)</f>
        <v>1953</v>
      </c>
      <c r="D155" s="164">
        <f>IFERROR(__xludf.DUMMYFUNCTION("""COMPUTED_VALUE"""),2.662543504E9)</f>
        <v>2662543504</v>
      </c>
    </row>
    <row r="156">
      <c r="A156" t="str">
        <f>IFERROR(__xludf.DUMMYFUNCTION("""COMPUTED_VALUE"""),"world")</f>
        <v>world</v>
      </c>
      <c r="B156" t="str">
        <f>IFERROR(__xludf.DUMMYFUNCTION("""COMPUTED_VALUE"""),"World")</f>
        <v>World</v>
      </c>
      <c r="C156">
        <f>IFERROR(__xludf.DUMMYFUNCTION("""COMPUTED_VALUE"""),1954.0)</f>
        <v>1954</v>
      </c>
      <c r="D156" s="164">
        <f>IFERROR(__xludf.DUMMYFUNCTION("""COMPUTED_VALUE"""),2.709178365E9)</f>
        <v>2709178365</v>
      </c>
    </row>
    <row r="157">
      <c r="A157" t="str">
        <f>IFERROR(__xludf.DUMMYFUNCTION("""COMPUTED_VALUE"""),"world")</f>
        <v>world</v>
      </c>
      <c r="B157" t="str">
        <f>IFERROR(__xludf.DUMMYFUNCTION("""COMPUTED_VALUE"""),"World")</f>
        <v>World</v>
      </c>
      <c r="C157">
        <f>IFERROR(__xludf.DUMMYFUNCTION("""COMPUTED_VALUE"""),1955.0)</f>
        <v>1955</v>
      </c>
      <c r="D157" s="164">
        <f>IFERROR(__xludf.DUMMYFUNCTION("""COMPUTED_VALUE"""),2.756662517E9)</f>
        <v>2756662517</v>
      </c>
    </row>
    <row r="158">
      <c r="A158" t="str">
        <f>IFERROR(__xludf.DUMMYFUNCTION("""COMPUTED_VALUE"""),"world")</f>
        <v>world</v>
      </c>
      <c r="B158" t="str">
        <f>IFERROR(__xludf.DUMMYFUNCTION("""COMPUTED_VALUE"""),"World")</f>
        <v>World</v>
      </c>
      <c r="C158">
        <f>IFERROR(__xludf.DUMMYFUNCTION("""COMPUTED_VALUE"""),1956.0)</f>
        <v>1956</v>
      </c>
      <c r="D158" s="164">
        <f>IFERROR(__xludf.DUMMYFUNCTION("""COMPUTED_VALUE"""),2.80532891E9)</f>
        <v>2805328910</v>
      </c>
    </row>
    <row r="159">
      <c r="A159" t="str">
        <f>IFERROR(__xludf.DUMMYFUNCTION("""COMPUTED_VALUE"""),"world")</f>
        <v>world</v>
      </c>
      <c r="B159" t="str">
        <f>IFERROR(__xludf.DUMMYFUNCTION("""COMPUTED_VALUE"""),"World")</f>
        <v>World</v>
      </c>
      <c r="C159">
        <f>IFERROR(__xludf.DUMMYFUNCTION("""COMPUTED_VALUE"""),1957.0)</f>
        <v>1957</v>
      </c>
      <c r="D159" s="164">
        <f>IFERROR(__xludf.DUMMYFUNCTION("""COMPUTED_VALUE"""),2.855404933E9)</f>
        <v>2855404933</v>
      </c>
    </row>
    <row r="160">
      <c r="A160" t="str">
        <f>IFERROR(__xludf.DUMMYFUNCTION("""COMPUTED_VALUE"""),"world")</f>
        <v>world</v>
      </c>
      <c r="B160" t="str">
        <f>IFERROR(__xludf.DUMMYFUNCTION("""COMPUTED_VALUE"""),"World")</f>
        <v>World</v>
      </c>
      <c r="C160">
        <f>IFERROR(__xludf.DUMMYFUNCTION("""COMPUTED_VALUE"""),1958.0)</f>
        <v>1958</v>
      </c>
      <c r="D160" s="164">
        <f>IFERROR(__xludf.DUMMYFUNCTION("""COMPUTED_VALUE"""),2.907023467E9)</f>
        <v>2907023467</v>
      </c>
    </row>
    <row r="161">
      <c r="A161" t="str">
        <f>IFERROR(__xludf.DUMMYFUNCTION("""COMPUTED_VALUE"""),"world")</f>
        <v>world</v>
      </c>
      <c r="B161" t="str">
        <f>IFERROR(__xludf.DUMMYFUNCTION("""COMPUTED_VALUE"""),"World")</f>
        <v>World</v>
      </c>
      <c r="C161">
        <f>IFERROR(__xludf.DUMMYFUNCTION("""COMPUTED_VALUE"""),1959.0)</f>
        <v>1959</v>
      </c>
      <c r="D161" s="164">
        <f>IFERROR(__xludf.DUMMYFUNCTION("""COMPUTED_VALUE"""),2.960240049E9)</f>
        <v>2960240049</v>
      </c>
    </row>
    <row r="162">
      <c r="A162" t="str">
        <f>IFERROR(__xludf.DUMMYFUNCTION("""COMPUTED_VALUE"""),"world")</f>
        <v>world</v>
      </c>
      <c r="B162" t="str">
        <f>IFERROR(__xludf.DUMMYFUNCTION("""COMPUTED_VALUE"""),"World")</f>
        <v>World</v>
      </c>
      <c r="C162">
        <f>IFERROR(__xludf.DUMMYFUNCTION("""COMPUTED_VALUE"""),1960.0)</f>
        <v>1960</v>
      </c>
      <c r="D162" s="164">
        <f>IFERROR(__xludf.DUMMYFUNCTION("""COMPUTED_VALUE"""),3.015085838E9)</f>
        <v>3015085838</v>
      </c>
    </row>
    <row r="163">
      <c r="A163" t="str">
        <f>IFERROR(__xludf.DUMMYFUNCTION("""COMPUTED_VALUE"""),"world")</f>
        <v>world</v>
      </c>
      <c r="B163" t="str">
        <f>IFERROR(__xludf.DUMMYFUNCTION("""COMPUTED_VALUE"""),"World")</f>
        <v>World</v>
      </c>
      <c r="C163">
        <f>IFERROR(__xludf.DUMMYFUNCTION("""COMPUTED_VALUE"""),1961.0)</f>
        <v>1961</v>
      </c>
      <c r="D163" s="164">
        <f>IFERROR(__xludf.DUMMYFUNCTION("""COMPUTED_VALUE"""),3.071623124E9)</f>
        <v>3071623124</v>
      </c>
    </row>
    <row r="164">
      <c r="A164" t="str">
        <f>IFERROR(__xludf.DUMMYFUNCTION("""COMPUTED_VALUE"""),"world")</f>
        <v>world</v>
      </c>
      <c r="B164" t="str">
        <f>IFERROR(__xludf.DUMMYFUNCTION("""COMPUTED_VALUE"""),"World")</f>
        <v>World</v>
      </c>
      <c r="C164">
        <f>IFERROR(__xludf.DUMMYFUNCTION("""COMPUTED_VALUE"""),1962.0)</f>
        <v>1962</v>
      </c>
      <c r="D164" s="164">
        <f>IFERROR(__xludf.DUMMYFUNCTION("""COMPUTED_VALUE"""),3.129995156E9)</f>
        <v>3129995156</v>
      </c>
    </row>
    <row r="165">
      <c r="A165" t="str">
        <f>IFERROR(__xludf.DUMMYFUNCTION("""COMPUTED_VALUE"""),"world")</f>
        <v>world</v>
      </c>
      <c r="B165" t="str">
        <f>IFERROR(__xludf.DUMMYFUNCTION("""COMPUTED_VALUE"""),"World")</f>
        <v>World</v>
      </c>
      <c r="C165">
        <f>IFERROR(__xludf.DUMMYFUNCTION("""COMPUTED_VALUE"""),1963.0)</f>
        <v>1963</v>
      </c>
      <c r="D165" s="164">
        <f>IFERROR(__xludf.DUMMYFUNCTION("""COMPUTED_VALUE"""),3.190446183E9)</f>
        <v>3190446183</v>
      </c>
    </row>
    <row r="166">
      <c r="A166" t="str">
        <f>IFERROR(__xludf.DUMMYFUNCTION("""COMPUTED_VALUE"""),"world")</f>
        <v>world</v>
      </c>
      <c r="B166" t="str">
        <f>IFERROR(__xludf.DUMMYFUNCTION("""COMPUTED_VALUE"""),"World")</f>
        <v>World</v>
      </c>
      <c r="C166">
        <f>IFERROR(__xludf.DUMMYFUNCTION("""COMPUTED_VALUE"""),1964.0)</f>
        <v>1964</v>
      </c>
      <c r="D166" s="164">
        <f>IFERROR(__xludf.DUMMYFUNCTION("""COMPUTED_VALUE"""),3.253262811E9)</f>
        <v>3253262811</v>
      </c>
    </row>
    <row r="167">
      <c r="A167" t="str">
        <f>IFERROR(__xludf.DUMMYFUNCTION("""COMPUTED_VALUE"""),"world")</f>
        <v>world</v>
      </c>
      <c r="B167" t="str">
        <f>IFERROR(__xludf.DUMMYFUNCTION("""COMPUTED_VALUE"""),"World")</f>
        <v>World</v>
      </c>
      <c r="C167">
        <f>IFERROR(__xludf.DUMMYFUNCTION("""COMPUTED_VALUE"""),1965.0)</f>
        <v>1965</v>
      </c>
      <c r="D167" s="164">
        <f>IFERROR(__xludf.DUMMYFUNCTION("""COMPUTED_VALUE"""),3.318598296E9)</f>
        <v>3318598296</v>
      </c>
    </row>
    <row r="168">
      <c r="A168" t="str">
        <f>IFERROR(__xludf.DUMMYFUNCTION("""COMPUTED_VALUE"""),"world")</f>
        <v>world</v>
      </c>
      <c r="B168" t="str">
        <f>IFERROR(__xludf.DUMMYFUNCTION("""COMPUTED_VALUE"""),"World")</f>
        <v>World</v>
      </c>
      <c r="C168">
        <f>IFERROR(__xludf.DUMMYFUNCTION("""COMPUTED_VALUE"""),1966.0)</f>
        <v>1966</v>
      </c>
      <c r="D168" s="164">
        <f>IFERROR(__xludf.DUMMYFUNCTION("""COMPUTED_VALUE"""),3.386535759E9)</f>
        <v>3386535759</v>
      </c>
    </row>
    <row r="169">
      <c r="A169" t="str">
        <f>IFERROR(__xludf.DUMMYFUNCTION("""COMPUTED_VALUE"""),"world")</f>
        <v>world</v>
      </c>
      <c r="B169" t="str">
        <f>IFERROR(__xludf.DUMMYFUNCTION("""COMPUTED_VALUE"""),"World")</f>
        <v>World</v>
      </c>
      <c r="C169">
        <f>IFERROR(__xludf.DUMMYFUNCTION("""COMPUTED_VALUE"""),1967.0)</f>
        <v>1967</v>
      </c>
      <c r="D169" s="164">
        <f>IFERROR(__xludf.DUMMYFUNCTION("""COMPUTED_VALUE"""),3.456874782E9)</f>
        <v>3456874782</v>
      </c>
    </row>
    <row r="170">
      <c r="A170" t="str">
        <f>IFERROR(__xludf.DUMMYFUNCTION("""COMPUTED_VALUE"""),"world")</f>
        <v>world</v>
      </c>
      <c r="B170" t="str">
        <f>IFERROR(__xludf.DUMMYFUNCTION("""COMPUTED_VALUE"""),"World")</f>
        <v>World</v>
      </c>
      <c r="C170">
        <f>IFERROR(__xludf.DUMMYFUNCTION("""COMPUTED_VALUE"""),1968.0)</f>
        <v>1968</v>
      </c>
      <c r="D170" s="164">
        <f>IFERROR(__xludf.DUMMYFUNCTION("""COMPUTED_VALUE"""),3.529117645E9)</f>
        <v>3529117645</v>
      </c>
    </row>
    <row r="171">
      <c r="A171" t="str">
        <f>IFERROR(__xludf.DUMMYFUNCTION("""COMPUTED_VALUE"""),"world")</f>
        <v>world</v>
      </c>
      <c r="B171" t="str">
        <f>IFERROR(__xludf.DUMMYFUNCTION("""COMPUTED_VALUE"""),"World")</f>
        <v>World</v>
      </c>
      <c r="C171">
        <f>IFERROR(__xludf.DUMMYFUNCTION("""COMPUTED_VALUE"""),1969.0)</f>
        <v>1969</v>
      </c>
      <c r="D171" s="164">
        <f>IFERROR(__xludf.DUMMYFUNCTION("""COMPUTED_VALUE"""),3.602582433E9)</f>
        <v>3602582433</v>
      </c>
    </row>
    <row r="172">
      <c r="A172" t="str">
        <f>IFERROR(__xludf.DUMMYFUNCTION("""COMPUTED_VALUE"""),"world")</f>
        <v>world</v>
      </c>
      <c r="B172" t="str">
        <f>IFERROR(__xludf.DUMMYFUNCTION("""COMPUTED_VALUE"""),"World")</f>
        <v>World</v>
      </c>
      <c r="C172">
        <f>IFERROR(__xludf.DUMMYFUNCTION("""COMPUTED_VALUE"""),1970.0)</f>
        <v>1970</v>
      </c>
      <c r="D172" s="164">
        <f>IFERROR(__xludf.DUMMYFUNCTION("""COMPUTED_VALUE"""),3.676727865E9)</f>
        <v>3676727865</v>
      </c>
    </row>
    <row r="173">
      <c r="A173" t="str">
        <f>IFERROR(__xludf.DUMMYFUNCTION("""COMPUTED_VALUE"""),"world")</f>
        <v>world</v>
      </c>
      <c r="B173" t="str">
        <f>IFERROR(__xludf.DUMMYFUNCTION("""COMPUTED_VALUE"""),"World")</f>
        <v>World</v>
      </c>
      <c r="C173">
        <f>IFERROR(__xludf.DUMMYFUNCTION("""COMPUTED_VALUE"""),1971.0)</f>
        <v>1971</v>
      </c>
      <c r="D173" s="164">
        <f>IFERROR(__xludf.DUMMYFUNCTION("""COMPUTED_VALUE"""),3.751454788E9)</f>
        <v>3751454788</v>
      </c>
    </row>
    <row r="174">
      <c r="A174" t="str">
        <f>IFERROR(__xludf.DUMMYFUNCTION("""COMPUTED_VALUE"""),"world")</f>
        <v>world</v>
      </c>
      <c r="B174" t="str">
        <f>IFERROR(__xludf.DUMMYFUNCTION("""COMPUTED_VALUE"""),"World")</f>
        <v>World</v>
      </c>
      <c r="C174">
        <f>IFERROR(__xludf.DUMMYFUNCTION("""COMPUTED_VALUE"""),1972.0)</f>
        <v>1972</v>
      </c>
      <c r="D174" s="164">
        <f>IFERROR(__xludf.DUMMYFUNCTION("""COMPUTED_VALUE"""),3.826757615E9)</f>
        <v>3826757615</v>
      </c>
    </row>
    <row r="175">
      <c r="A175" t="str">
        <f>IFERROR(__xludf.DUMMYFUNCTION("""COMPUTED_VALUE"""),"world")</f>
        <v>world</v>
      </c>
      <c r="B175" t="str">
        <f>IFERROR(__xludf.DUMMYFUNCTION("""COMPUTED_VALUE"""),"World")</f>
        <v>World</v>
      </c>
      <c r="C175">
        <f>IFERROR(__xludf.DUMMYFUNCTION("""COMPUTED_VALUE"""),1973.0)</f>
        <v>1973</v>
      </c>
      <c r="D175" s="164">
        <f>IFERROR(__xludf.DUMMYFUNCTION("""COMPUTED_VALUE"""),3.902316828E9)</f>
        <v>3902316828</v>
      </c>
    </row>
    <row r="176">
      <c r="A176" t="str">
        <f>IFERROR(__xludf.DUMMYFUNCTION("""COMPUTED_VALUE"""),"world")</f>
        <v>world</v>
      </c>
      <c r="B176" t="str">
        <f>IFERROR(__xludf.DUMMYFUNCTION("""COMPUTED_VALUE"""),"World")</f>
        <v>World</v>
      </c>
      <c r="C176">
        <f>IFERROR(__xludf.DUMMYFUNCTION("""COMPUTED_VALUE"""),1974.0)</f>
        <v>1974</v>
      </c>
      <c r="D176" s="164">
        <f>IFERROR(__xludf.DUMMYFUNCTION("""COMPUTED_VALUE"""),3.977783768E9)</f>
        <v>3977783768</v>
      </c>
    </row>
    <row r="177">
      <c r="A177" t="str">
        <f>IFERROR(__xludf.DUMMYFUNCTION("""COMPUTED_VALUE"""),"world")</f>
        <v>world</v>
      </c>
      <c r="B177" t="str">
        <f>IFERROR(__xludf.DUMMYFUNCTION("""COMPUTED_VALUE"""),"World")</f>
        <v>World</v>
      </c>
      <c r="C177">
        <f>IFERROR(__xludf.DUMMYFUNCTION("""COMPUTED_VALUE"""),1975.0)</f>
        <v>1975</v>
      </c>
      <c r="D177" s="164">
        <f>IFERROR(__xludf.DUMMYFUNCTION("""COMPUTED_VALUE"""),4.052954392E9)</f>
        <v>4052954392</v>
      </c>
    </row>
    <row r="178">
      <c r="A178" t="str">
        <f>IFERROR(__xludf.DUMMYFUNCTION("""COMPUTED_VALUE"""),"world")</f>
        <v>world</v>
      </c>
      <c r="B178" t="str">
        <f>IFERROR(__xludf.DUMMYFUNCTION("""COMPUTED_VALUE"""),"World")</f>
        <v>World</v>
      </c>
      <c r="C178">
        <f>IFERROR(__xludf.DUMMYFUNCTION("""COMPUTED_VALUE"""),1976.0)</f>
        <v>1976</v>
      </c>
      <c r="D178" s="164">
        <f>IFERROR(__xludf.DUMMYFUNCTION("""COMPUTED_VALUE"""),4.127653812E9)</f>
        <v>4127653812</v>
      </c>
    </row>
    <row r="179">
      <c r="A179" t="str">
        <f>IFERROR(__xludf.DUMMYFUNCTION("""COMPUTED_VALUE"""),"world")</f>
        <v>world</v>
      </c>
      <c r="B179" t="str">
        <f>IFERROR(__xludf.DUMMYFUNCTION("""COMPUTED_VALUE"""),"World")</f>
        <v>World</v>
      </c>
      <c r="C179">
        <f>IFERROR(__xludf.DUMMYFUNCTION("""COMPUTED_VALUE"""),1977.0)</f>
        <v>1977</v>
      </c>
      <c r="D179" s="164">
        <f>IFERROR(__xludf.DUMMYFUNCTION("""COMPUTED_VALUE"""),4.202040817E9)</f>
        <v>4202040817</v>
      </c>
    </row>
    <row r="180">
      <c r="A180" t="str">
        <f>IFERROR(__xludf.DUMMYFUNCTION("""COMPUTED_VALUE"""),"world")</f>
        <v>world</v>
      </c>
      <c r="B180" t="str">
        <f>IFERROR(__xludf.DUMMYFUNCTION("""COMPUTED_VALUE"""),"World")</f>
        <v>World</v>
      </c>
      <c r="C180">
        <f>IFERROR(__xludf.DUMMYFUNCTION("""COMPUTED_VALUE"""),1978.0)</f>
        <v>1978</v>
      </c>
      <c r="D180" s="164">
        <f>IFERROR(__xludf.DUMMYFUNCTION("""COMPUTED_VALUE"""),4.276676636E9)</f>
        <v>4276676636</v>
      </c>
    </row>
    <row r="181">
      <c r="A181" t="str">
        <f>IFERROR(__xludf.DUMMYFUNCTION("""COMPUTED_VALUE"""),"world")</f>
        <v>world</v>
      </c>
      <c r="B181" t="str">
        <f>IFERROR(__xludf.DUMMYFUNCTION("""COMPUTED_VALUE"""),"World")</f>
        <v>World</v>
      </c>
      <c r="C181">
        <f>IFERROR(__xludf.DUMMYFUNCTION("""COMPUTED_VALUE"""),1979.0)</f>
        <v>1979</v>
      </c>
      <c r="D181" s="164">
        <f>IFERROR(__xludf.DUMMYFUNCTION("""COMPUTED_VALUE"""),4.352350393E9)</f>
        <v>4352350393</v>
      </c>
    </row>
    <row r="182">
      <c r="A182" t="str">
        <f>IFERROR(__xludf.DUMMYFUNCTION("""COMPUTED_VALUE"""),"world")</f>
        <v>world</v>
      </c>
      <c r="B182" t="str">
        <f>IFERROR(__xludf.DUMMYFUNCTION("""COMPUTED_VALUE"""),"World")</f>
        <v>World</v>
      </c>
      <c r="C182">
        <f>IFERROR(__xludf.DUMMYFUNCTION("""COMPUTED_VALUE"""),1980.0)</f>
        <v>1980</v>
      </c>
      <c r="D182" s="164">
        <f>IFERROR(__xludf.DUMMYFUNCTION("""COMPUTED_VALUE"""),4.429660149E9)</f>
        <v>4429660149</v>
      </c>
    </row>
    <row r="183">
      <c r="A183" t="str">
        <f>IFERROR(__xludf.DUMMYFUNCTION("""COMPUTED_VALUE"""),"world")</f>
        <v>world</v>
      </c>
      <c r="B183" t="str">
        <f>IFERROR(__xludf.DUMMYFUNCTION("""COMPUTED_VALUE"""),"World")</f>
        <v>World</v>
      </c>
      <c r="C183">
        <f>IFERROR(__xludf.DUMMYFUNCTION("""COMPUTED_VALUE"""),1981.0)</f>
        <v>1981</v>
      </c>
      <c r="D183" s="164">
        <f>IFERROR(__xludf.DUMMYFUNCTION("""COMPUTED_VALUE"""),4.508601232E9)</f>
        <v>4508601232</v>
      </c>
    </row>
    <row r="184">
      <c r="A184" t="str">
        <f>IFERROR(__xludf.DUMMYFUNCTION("""COMPUTED_VALUE"""),"world")</f>
        <v>world</v>
      </c>
      <c r="B184" t="str">
        <f>IFERROR(__xludf.DUMMYFUNCTION("""COMPUTED_VALUE"""),"World")</f>
        <v>World</v>
      </c>
      <c r="C184">
        <f>IFERROR(__xludf.DUMMYFUNCTION("""COMPUTED_VALUE"""),1982.0)</f>
        <v>1982</v>
      </c>
      <c r="D184" s="164">
        <f>IFERROR(__xludf.DUMMYFUNCTION("""COMPUTED_VALUE"""),4.589057229E9)</f>
        <v>4589057229</v>
      </c>
    </row>
    <row r="185">
      <c r="A185" t="str">
        <f>IFERROR(__xludf.DUMMYFUNCTION("""COMPUTED_VALUE"""),"world")</f>
        <v>world</v>
      </c>
      <c r="B185" t="str">
        <f>IFERROR(__xludf.DUMMYFUNCTION("""COMPUTED_VALUE"""),"World")</f>
        <v>World</v>
      </c>
      <c r="C185">
        <f>IFERROR(__xludf.DUMMYFUNCTION("""COMPUTED_VALUE"""),1983.0)</f>
        <v>1983</v>
      </c>
      <c r="D185" s="164">
        <f>IFERROR(__xludf.DUMMYFUNCTION("""COMPUTED_VALUE"""),4.671352595E9)</f>
        <v>4671352595</v>
      </c>
    </row>
    <row r="186">
      <c r="A186" t="str">
        <f>IFERROR(__xludf.DUMMYFUNCTION("""COMPUTED_VALUE"""),"world")</f>
        <v>world</v>
      </c>
      <c r="B186" t="str">
        <f>IFERROR(__xludf.DUMMYFUNCTION("""COMPUTED_VALUE"""),"World")</f>
        <v>World</v>
      </c>
      <c r="C186">
        <f>IFERROR(__xludf.DUMMYFUNCTION("""COMPUTED_VALUE"""),1984.0)</f>
        <v>1984</v>
      </c>
      <c r="D186" s="164">
        <f>IFERROR(__xludf.DUMMYFUNCTION("""COMPUTED_VALUE"""),4.755854655E9)</f>
        <v>4755854655</v>
      </c>
    </row>
    <row r="187">
      <c r="A187" t="str">
        <f>IFERROR(__xludf.DUMMYFUNCTION("""COMPUTED_VALUE"""),"world")</f>
        <v>world</v>
      </c>
      <c r="B187" t="str">
        <f>IFERROR(__xludf.DUMMYFUNCTION("""COMPUTED_VALUE"""),"World")</f>
        <v>World</v>
      </c>
      <c r="C187">
        <f>IFERROR(__xludf.DUMMYFUNCTION("""COMPUTED_VALUE"""),1985.0)</f>
        <v>1985</v>
      </c>
      <c r="D187" s="164">
        <f>IFERROR(__xludf.DUMMYFUNCTION("""COMPUTED_VALUE"""),4.842705541E9)</f>
        <v>4842705541</v>
      </c>
    </row>
    <row r="188">
      <c r="A188" t="str">
        <f>IFERROR(__xludf.DUMMYFUNCTION("""COMPUTED_VALUE"""),"world")</f>
        <v>world</v>
      </c>
      <c r="B188" t="str">
        <f>IFERROR(__xludf.DUMMYFUNCTION("""COMPUTED_VALUE"""),"World")</f>
        <v>World</v>
      </c>
      <c r="C188">
        <f>IFERROR(__xludf.DUMMYFUNCTION("""COMPUTED_VALUE"""),1986.0)</f>
        <v>1986</v>
      </c>
      <c r="D188" s="164">
        <f>IFERROR(__xludf.DUMMYFUNCTION("""COMPUTED_VALUE"""),4.932112905E9)</f>
        <v>4932112905</v>
      </c>
    </row>
    <row r="189">
      <c r="A189" t="str">
        <f>IFERROR(__xludf.DUMMYFUNCTION("""COMPUTED_VALUE"""),"world")</f>
        <v>world</v>
      </c>
      <c r="B189" t="str">
        <f>IFERROR(__xludf.DUMMYFUNCTION("""COMPUTED_VALUE"""),"World")</f>
        <v>World</v>
      </c>
      <c r="C189">
        <f>IFERROR(__xludf.DUMMYFUNCTION("""COMPUTED_VALUE"""),1987.0)</f>
        <v>1987</v>
      </c>
      <c r="D189" s="164">
        <f>IFERROR(__xludf.DUMMYFUNCTION("""COMPUTED_VALUE"""),5.023677382E9)</f>
        <v>5023677382</v>
      </c>
    </row>
    <row r="190">
      <c r="A190" t="str">
        <f>IFERROR(__xludf.DUMMYFUNCTION("""COMPUTED_VALUE"""),"world")</f>
        <v>world</v>
      </c>
      <c r="B190" t="str">
        <f>IFERROR(__xludf.DUMMYFUNCTION("""COMPUTED_VALUE"""),"World")</f>
        <v>World</v>
      </c>
      <c r="C190">
        <f>IFERROR(__xludf.DUMMYFUNCTION("""COMPUTED_VALUE"""),1988.0)</f>
        <v>1988</v>
      </c>
      <c r="D190" s="164">
        <f>IFERROR(__xludf.DUMMYFUNCTION("""COMPUTED_VALUE"""),5.116168638E9)</f>
        <v>5116168638</v>
      </c>
    </row>
    <row r="191">
      <c r="A191" t="str">
        <f>IFERROR(__xludf.DUMMYFUNCTION("""COMPUTED_VALUE"""),"world")</f>
        <v>world</v>
      </c>
      <c r="B191" t="str">
        <f>IFERROR(__xludf.DUMMYFUNCTION("""COMPUTED_VALUE"""),"World")</f>
        <v>World</v>
      </c>
      <c r="C191">
        <f>IFERROR(__xludf.DUMMYFUNCTION("""COMPUTED_VALUE"""),1989.0)</f>
        <v>1989</v>
      </c>
      <c r="D191" s="164">
        <f>IFERROR(__xludf.DUMMYFUNCTION("""COMPUTED_VALUE"""),5.20793048E9)</f>
        <v>5207930480</v>
      </c>
    </row>
    <row r="192">
      <c r="A192" t="str">
        <f>IFERROR(__xludf.DUMMYFUNCTION("""COMPUTED_VALUE"""),"world")</f>
        <v>world</v>
      </c>
      <c r="B192" t="str">
        <f>IFERROR(__xludf.DUMMYFUNCTION("""COMPUTED_VALUE"""),"World")</f>
        <v>World</v>
      </c>
      <c r="C192">
        <f>IFERROR(__xludf.DUMMYFUNCTION("""COMPUTED_VALUE"""),1990.0)</f>
        <v>1990</v>
      </c>
      <c r="D192" s="164">
        <f>IFERROR(__xludf.DUMMYFUNCTION("""COMPUTED_VALUE"""),5.297738844E9)</f>
        <v>5297738844</v>
      </c>
    </row>
    <row r="193">
      <c r="A193" t="str">
        <f>IFERROR(__xludf.DUMMYFUNCTION("""COMPUTED_VALUE"""),"world")</f>
        <v>world</v>
      </c>
      <c r="B193" t="str">
        <f>IFERROR(__xludf.DUMMYFUNCTION("""COMPUTED_VALUE"""),"World")</f>
        <v>World</v>
      </c>
      <c r="C193">
        <f>IFERROR(__xludf.DUMMYFUNCTION("""COMPUTED_VALUE"""),1991.0)</f>
        <v>1991</v>
      </c>
      <c r="D193" s="164">
        <f>IFERROR(__xludf.DUMMYFUNCTION("""COMPUTED_VALUE"""),5.385171977E9)</f>
        <v>5385171977</v>
      </c>
    </row>
    <row r="194">
      <c r="A194" t="str">
        <f>IFERROR(__xludf.DUMMYFUNCTION("""COMPUTED_VALUE"""),"world")</f>
        <v>world</v>
      </c>
      <c r="B194" t="str">
        <f>IFERROR(__xludf.DUMMYFUNCTION("""COMPUTED_VALUE"""),"World")</f>
        <v>World</v>
      </c>
      <c r="C194">
        <f>IFERROR(__xludf.DUMMYFUNCTION("""COMPUTED_VALUE"""),1992.0)</f>
        <v>1992</v>
      </c>
      <c r="D194" s="164">
        <f>IFERROR(__xludf.DUMMYFUNCTION("""COMPUTED_VALUE"""),5.470448447E9)</f>
        <v>5470448447</v>
      </c>
    </row>
    <row r="195">
      <c r="A195" t="str">
        <f>IFERROR(__xludf.DUMMYFUNCTION("""COMPUTED_VALUE"""),"world")</f>
        <v>world</v>
      </c>
      <c r="B195" t="str">
        <f>IFERROR(__xludf.DUMMYFUNCTION("""COMPUTED_VALUE"""),"World")</f>
        <v>World</v>
      </c>
      <c r="C195">
        <f>IFERROR(__xludf.DUMMYFUNCTION("""COMPUTED_VALUE"""),1993.0)</f>
        <v>1993</v>
      </c>
      <c r="D195" s="164">
        <f>IFERROR(__xludf.DUMMYFUNCTION("""COMPUTED_VALUE"""),5.553789455E9)</f>
        <v>5553789455</v>
      </c>
    </row>
    <row r="196">
      <c r="A196" t="str">
        <f>IFERROR(__xludf.DUMMYFUNCTION("""COMPUTED_VALUE"""),"world")</f>
        <v>world</v>
      </c>
      <c r="B196" t="str">
        <f>IFERROR(__xludf.DUMMYFUNCTION("""COMPUTED_VALUE"""),"World")</f>
        <v>World</v>
      </c>
      <c r="C196">
        <f>IFERROR(__xludf.DUMMYFUNCTION("""COMPUTED_VALUE"""),1994.0)</f>
        <v>1994</v>
      </c>
      <c r="D196" s="164">
        <f>IFERROR(__xludf.DUMMYFUNCTION("""COMPUTED_VALUE"""),5.635670131E9)</f>
        <v>5635670131</v>
      </c>
    </row>
    <row r="197">
      <c r="A197" t="str">
        <f>IFERROR(__xludf.DUMMYFUNCTION("""COMPUTED_VALUE"""),"world")</f>
        <v>world</v>
      </c>
      <c r="B197" t="str">
        <f>IFERROR(__xludf.DUMMYFUNCTION("""COMPUTED_VALUE"""),"World")</f>
        <v>World</v>
      </c>
      <c r="C197">
        <f>IFERROR(__xludf.DUMMYFUNCTION("""COMPUTED_VALUE"""),1995.0)</f>
        <v>1995</v>
      </c>
      <c r="D197" s="164">
        <f>IFERROR(__xludf.DUMMYFUNCTION("""COMPUTED_VALUE"""),5.716485992E9)</f>
        <v>5716485992</v>
      </c>
    </row>
    <row r="198">
      <c r="A198" t="str">
        <f>IFERROR(__xludf.DUMMYFUNCTION("""COMPUTED_VALUE"""),"world")</f>
        <v>world</v>
      </c>
      <c r="B198" t="str">
        <f>IFERROR(__xludf.DUMMYFUNCTION("""COMPUTED_VALUE"""),"World")</f>
        <v>World</v>
      </c>
      <c r="C198">
        <f>IFERROR(__xludf.DUMMYFUNCTION("""COMPUTED_VALUE"""),1996.0)</f>
        <v>1996</v>
      </c>
      <c r="D198" s="164">
        <f>IFERROR(__xludf.DUMMYFUNCTION("""COMPUTED_VALUE"""),5.796242146E9)</f>
        <v>5796242146</v>
      </c>
    </row>
    <row r="199">
      <c r="A199" t="str">
        <f>IFERROR(__xludf.DUMMYFUNCTION("""COMPUTED_VALUE"""),"world")</f>
        <v>world</v>
      </c>
      <c r="B199" t="str">
        <f>IFERROR(__xludf.DUMMYFUNCTION("""COMPUTED_VALUE"""),"World")</f>
        <v>World</v>
      </c>
      <c r="C199">
        <f>IFERROR(__xludf.DUMMYFUNCTION("""COMPUTED_VALUE"""),1997.0)</f>
        <v>1997</v>
      </c>
      <c r="D199" s="164">
        <f>IFERROR(__xludf.DUMMYFUNCTION("""COMPUTED_VALUE"""),5.874914801E9)</f>
        <v>5874914801</v>
      </c>
    </row>
    <row r="200">
      <c r="A200" t="str">
        <f>IFERROR(__xludf.DUMMYFUNCTION("""COMPUTED_VALUE"""),"world")</f>
        <v>world</v>
      </c>
      <c r="B200" t="str">
        <f>IFERROR(__xludf.DUMMYFUNCTION("""COMPUTED_VALUE"""),"World")</f>
        <v>World</v>
      </c>
      <c r="C200">
        <f>IFERROR(__xludf.DUMMYFUNCTION("""COMPUTED_VALUE"""),1998.0)</f>
        <v>1998</v>
      </c>
      <c r="D200" s="164">
        <f>IFERROR(__xludf.DUMMYFUNCTION("""COMPUTED_VALUE"""),5.952873494E9)</f>
        <v>5952873494</v>
      </c>
    </row>
    <row r="201">
      <c r="A201" t="str">
        <f>IFERROR(__xludf.DUMMYFUNCTION("""COMPUTED_VALUE"""),"world")</f>
        <v>world</v>
      </c>
      <c r="B201" t="str">
        <f>IFERROR(__xludf.DUMMYFUNCTION("""COMPUTED_VALUE"""),"World")</f>
        <v>World</v>
      </c>
      <c r="C201">
        <f>IFERROR(__xludf.DUMMYFUNCTION("""COMPUTED_VALUE"""),1999.0)</f>
        <v>1999</v>
      </c>
      <c r="D201" s="164">
        <f>IFERROR(__xludf.DUMMYFUNCTION("""COMPUTED_VALUE"""),6.030583814E9)</f>
        <v>6030583814</v>
      </c>
    </row>
    <row r="202">
      <c r="A202" t="str">
        <f>IFERROR(__xludf.DUMMYFUNCTION("""COMPUTED_VALUE"""),"world")</f>
        <v>world</v>
      </c>
      <c r="B202" t="str">
        <f>IFERROR(__xludf.DUMMYFUNCTION("""COMPUTED_VALUE"""),"World")</f>
        <v>World</v>
      </c>
      <c r="C202">
        <f>IFERROR(__xludf.DUMMYFUNCTION("""COMPUTED_VALUE"""),2000.0)</f>
        <v>2000</v>
      </c>
      <c r="D202" s="164">
        <f>IFERROR(__xludf.DUMMYFUNCTION("""COMPUTED_VALUE"""),6.108424718E9)</f>
        <v>6108424718</v>
      </c>
    </row>
    <row r="203">
      <c r="A203" t="str">
        <f>IFERROR(__xludf.DUMMYFUNCTION("""COMPUTED_VALUE"""),"world")</f>
        <v>world</v>
      </c>
      <c r="B203" t="str">
        <f>IFERROR(__xludf.DUMMYFUNCTION("""COMPUTED_VALUE"""),"World")</f>
        <v>World</v>
      </c>
      <c r="C203">
        <f>IFERROR(__xludf.DUMMYFUNCTION("""COMPUTED_VALUE"""),2001.0)</f>
        <v>2001</v>
      </c>
      <c r="D203" s="164">
        <f>IFERROR(__xludf.DUMMYFUNCTION("""COMPUTED_VALUE"""),6.186543057E9)</f>
        <v>6186543057</v>
      </c>
    </row>
    <row r="204">
      <c r="A204" t="str">
        <f>IFERROR(__xludf.DUMMYFUNCTION("""COMPUTED_VALUE"""),"world")</f>
        <v>world</v>
      </c>
      <c r="B204" t="str">
        <f>IFERROR(__xludf.DUMMYFUNCTION("""COMPUTED_VALUE"""),"World")</f>
        <v>World</v>
      </c>
      <c r="C204">
        <f>IFERROR(__xludf.DUMMYFUNCTION("""COMPUTED_VALUE"""),2002.0)</f>
        <v>2002</v>
      </c>
      <c r="D204" s="164">
        <f>IFERROR(__xludf.DUMMYFUNCTION("""COMPUTED_VALUE"""),6.265005402E9)</f>
        <v>6265005402</v>
      </c>
    </row>
    <row r="205">
      <c r="A205" t="str">
        <f>IFERROR(__xludf.DUMMYFUNCTION("""COMPUTED_VALUE"""),"world")</f>
        <v>world</v>
      </c>
      <c r="B205" t="str">
        <f>IFERROR(__xludf.DUMMYFUNCTION("""COMPUTED_VALUE"""),"World")</f>
        <v>World</v>
      </c>
      <c r="C205">
        <f>IFERROR(__xludf.DUMMYFUNCTION("""COMPUTED_VALUE"""),2003.0)</f>
        <v>2003</v>
      </c>
      <c r="D205" s="164">
        <f>IFERROR(__xludf.DUMMYFUNCTION("""COMPUTED_VALUE"""),6.344003287E9)</f>
        <v>6344003287</v>
      </c>
    </row>
    <row r="206">
      <c r="A206" t="str">
        <f>IFERROR(__xludf.DUMMYFUNCTION("""COMPUTED_VALUE"""),"world")</f>
        <v>world</v>
      </c>
      <c r="B206" t="str">
        <f>IFERROR(__xludf.DUMMYFUNCTION("""COMPUTED_VALUE"""),"World")</f>
        <v>World</v>
      </c>
      <c r="C206">
        <f>IFERROR(__xludf.DUMMYFUNCTION("""COMPUTED_VALUE"""),2004.0)</f>
        <v>2004</v>
      </c>
      <c r="D206" s="164">
        <f>IFERROR(__xludf.DUMMYFUNCTION("""COMPUTED_VALUE"""),6.423719971E9)</f>
        <v>6423719971</v>
      </c>
    </row>
    <row r="207">
      <c r="A207" t="str">
        <f>IFERROR(__xludf.DUMMYFUNCTION("""COMPUTED_VALUE"""),"world")</f>
        <v>world</v>
      </c>
      <c r="B207" t="str">
        <f>IFERROR(__xludf.DUMMYFUNCTION("""COMPUTED_VALUE"""),"World")</f>
        <v>World</v>
      </c>
      <c r="C207">
        <f>IFERROR(__xludf.DUMMYFUNCTION("""COMPUTED_VALUE"""),2005.0)</f>
        <v>2005</v>
      </c>
      <c r="D207" s="164">
        <f>IFERROR(__xludf.DUMMYFUNCTION("""COMPUTED_VALUE"""),6.504280993E9)</f>
        <v>6504280993</v>
      </c>
    </row>
    <row r="208">
      <c r="A208" t="str">
        <f>IFERROR(__xludf.DUMMYFUNCTION("""COMPUTED_VALUE"""),"world")</f>
        <v>world</v>
      </c>
      <c r="B208" t="str">
        <f>IFERROR(__xludf.DUMMYFUNCTION("""COMPUTED_VALUE"""),"World")</f>
        <v>World</v>
      </c>
      <c r="C208">
        <f>IFERROR(__xludf.DUMMYFUNCTION("""COMPUTED_VALUE"""),2006.0)</f>
        <v>2006</v>
      </c>
      <c r="D208" s="164">
        <f>IFERROR(__xludf.DUMMYFUNCTION("""COMPUTED_VALUE"""),6.585760192E9)</f>
        <v>6585760192</v>
      </c>
    </row>
    <row r="209">
      <c r="A209" t="str">
        <f>IFERROR(__xludf.DUMMYFUNCTION("""COMPUTED_VALUE"""),"world")</f>
        <v>world</v>
      </c>
      <c r="B209" t="str">
        <f>IFERROR(__xludf.DUMMYFUNCTION("""COMPUTED_VALUE"""),"World")</f>
        <v>World</v>
      </c>
      <c r="C209">
        <f>IFERROR(__xludf.DUMMYFUNCTION("""COMPUTED_VALUE"""),2007.0)</f>
        <v>2007</v>
      </c>
      <c r="D209" s="164">
        <f>IFERROR(__xludf.DUMMYFUNCTION("""COMPUTED_VALUE"""),6.668138074E9)</f>
        <v>6668138074</v>
      </c>
    </row>
    <row r="210">
      <c r="A210" t="str">
        <f>IFERROR(__xludf.DUMMYFUNCTION("""COMPUTED_VALUE"""),"world")</f>
        <v>world</v>
      </c>
      <c r="B210" t="str">
        <f>IFERROR(__xludf.DUMMYFUNCTION("""COMPUTED_VALUE"""),"World")</f>
        <v>World</v>
      </c>
      <c r="C210">
        <f>IFERROR(__xludf.DUMMYFUNCTION("""COMPUTED_VALUE"""),2008.0)</f>
        <v>2008</v>
      </c>
      <c r="D210" s="164">
        <f>IFERROR(__xludf.DUMMYFUNCTION("""COMPUTED_VALUE"""),6.751310827E9)</f>
        <v>6751310827</v>
      </c>
    </row>
    <row r="211">
      <c r="A211" t="str">
        <f>IFERROR(__xludf.DUMMYFUNCTION("""COMPUTED_VALUE"""),"world")</f>
        <v>world</v>
      </c>
      <c r="B211" t="str">
        <f>IFERROR(__xludf.DUMMYFUNCTION("""COMPUTED_VALUE"""),"World")</f>
        <v>World</v>
      </c>
      <c r="C211">
        <f>IFERROR(__xludf.DUMMYFUNCTION("""COMPUTED_VALUE"""),2009.0)</f>
        <v>2009</v>
      </c>
      <c r="D211" s="164">
        <f>IFERROR(__xludf.DUMMYFUNCTION("""COMPUTED_VALUE"""),6.835108522E9)</f>
        <v>6835108522</v>
      </c>
    </row>
    <row r="212">
      <c r="A212" t="str">
        <f>IFERROR(__xludf.DUMMYFUNCTION("""COMPUTED_VALUE"""),"world")</f>
        <v>world</v>
      </c>
      <c r="B212" t="str">
        <f>IFERROR(__xludf.DUMMYFUNCTION("""COMPUTED_VALUE"""),"World")</f>
        <v>World</v>
      </c>
      <c r="C212">
        <f>IFERROR(__xludf.DUMMYFUNCTION("""COMPUTED_VALUE"""),2010.0)</f>
        <v>2010</v>
      </c>
      <c r="D212" s="164">
        <f>IFERROR(__xludf.DUMMYFUNCTION("""COMPUTED_VALUE"""),6.919368228E9)</f>
        <v>6919368228</v>
      </c>
    </row>
    <row r="213">
      <c r="A213" t="str">
        <f>IFERROR(__xludf.DUMMYFUNCTION("""COMPUTED_VALUE"""),"world")</f>
        <v>world</v>
      </c>
      <c r="B213" t="str">
        <f>IFERROR(__xludf.DUMMYFUNCTION("""COMPUTED_VALUE"""),"World")</f>
        <v>World</v>
      </c>
      <c r="C213">
        <f>IFERROR(__xludf.DUMMYFUNCTION("""COMPUTED_VALUE"""),2011.0)</f>
        <v>2011</v>
      </c>
      <c r="D213" s="164">
        <f>IFERROR(__xludf.DUMMYFUNCTION("""COMPUTED_VALUE"""),7.004042402E9)</f>
        <v>7004042402</v>
      </c>
    </row>
    <row r="214">
      <c r="A214" t="str">
        <f>IFERROR(__xludf.DUMMYFUNCTION("""COMPUTED_VALUE"""),"world")</f>
        <v>world</v>
      </c>
      <c r="B214" t="str">
        <f>IFERROR(__xludf.DUMMYFUNCTION("""COMPUTED_VALUE"""),"World")</f>
        <v>World</v>
      </c>
      <c r="C214">
        <f>IFERROR(__xludf.DUMMYFUNCTION("""COMPUTED_VALUE"""),2012.0)</f>
        <v>2012</v>
      </c>
      <c r="D214" s="164">
        <f>IFERROR(__xludf.DUMMYFUNCTION("""COMPUTED_VALUE"""),7.089048309E9)</f>
        <v>7089048309</v>
      </c>
    </row>
    <row r="215">
      <c r="A215" t="str">
        <f>IFERROR(__xludf.DUMMYFUNCTION("""COMPUTED_VALUE"""),"world")</f>
        <v>world</v>
      </c>
      <c r="B215" t="str">
        <f>IFERROR(__xludf.DUMMYFUNCTION("""COMPUTED_VALUE"""),"World")</f>
        <v>World</v>
      </c>
      <c r="C215">
        <f>IFERROR(__xludf.DUMMYFUNCTION("""COMPUTED_VALUE"""),2013.0)</f>
        <v>2013</v>
      </c>
      <c r="D215" s="164">
        <f>IFERROR(__xludf.DUMMYFUNCTION("""COMPUTED_VALUE"""),7.174135279E9)</f>
        <v>7174135279</v>
      </c>
    </row>
    <row r="216">
      <c r="A216" t="str">
        <f>IFERROR(__xludf.DUMMYFUNCTION("""COMPUTED_VALUE"""),"world")</f>
        <v>world</v>
      </c>
      <c r="B216" t="str">
        <f>IFERROR(__xludf.DUMMYFUNCTION("""COMPUTED_VALUE"""),"World")</f>
        <v>World</v>
      </c>
      <c r="C216">
        <f>IFERROR(__xludf.DUMMYFUNCTION("""COMPUTED_VALUE"""),2014.0)</f>
        <v>2014</v>
      </c>
      <c r="D216" s="164">
        <f>IFERROR(__xludf.DUMMYFUNCTION("""COMPUTED_VALUE"""),7.258995892E9)</f>
        <v>7258995892</v>
      </c>
    </row>
    <row r="217">
      <c r="A217" t="str">
        <f>IFERROR(__xludf.DUMMYFUNCTION("""COMPUTED_VALUE"""),"world")</f>
        <v>world</v>
      </c>
      <c r="B217" t="str">
        <f>IFERROR(__xludf.DUMMYFUNCTION("""COMPUTED_VALUE"""),"World")</f>
        <v>World</v>
      </c>
      <c r="C217">
        <f>IFERROR(__xludf.DUMMYFUNCTION("""COMPUTED_VALUE"""),2015.0)</f>
        <v>2015</v>
      </c>
      <c r="D217" s="164">
        <f>IFERROR(__xludf.DUMMYFUNCTION("""COMPUTED_VALUE"""),7.343380299E9)</f>
        <v>7343380299</v>
      </c>
    </row>
    <row r="218">
      <c r="A218" t="str">
        <f>IFERROR(__xludf.DUMMYFUNCTION("""COMPUTED_VALUE"""),"world")</f>
        <v>world</v>
      </c>
      <c r="B218" t="str">
        <f>IFERROR(__xludf.DUMMYFUNCTION("""COMPUTED_VALUE"""),"World")</f>
        <v>World</v>
      </c>
      <c r="C218">
        <f>IFERROR(__xludf.DUMMYFUNCTION("""COMPUTED_VALUE"""),2016.0)</f>
        <v>2016</v>
      </c>
      <c r="D218" s="164">
        <f>IFERROR(__xludf.DUMMYFUNCTION("""COMPUTED_VALUE"""),7.427157079E9)</f>
        <v>7427157079</v>
      </c>
    </row>
    <row r="219">
      <c r="A219" t="str">
        <f>IFERROR(__xludf.DUMMYFUNCTION("""COMPUTED_VALUE"""),"world")</f>
        <v>world</v>
      </c>
      <c r="B219" t="str">
        <f>IFERROR(__xludf.DUMMYFUNCTION("""COMPUTED_VALUE"""),"World")</f>
        <v>World</v>
      </c>
      <c r="C219">
        <f>IFERROR(__xludf.DUMMYFUNCTION("""COMPUTED_VALUE"""),2017.0)</f>
        <v>2017</v>
      </c>
      <c r="D219" s="164">
        <f>IFERROR(__xludf.DUMMYFUNCTION("""COMPUTED_VALUE"""),7.510270208E9)</f>
        <v>7510270208</v>
      </c>
    </row>
    <row r="220">
      <c r="A220" t="str">
        <f>IFERROR(__xludf.DUMMYFUNCTION("""COMPUTED_VALUE"""),"world")</f>
        <v>world</v>
      </c>
      <c r="B220" t="str">
        <f>IFERROR(__xludf.DUMMYFUNCTION("""COMPUTED_VALUE"""),"World")</f>
        <v>World</v>
      </c>
      <c r="C220">
        <f>IFERROR(__xludf.DUMMYFUNCTION("""COMPUTED_VALUE"""),2018.0)</f>
        <v>2018</v>
      </c>
      <c r="D220" s="164">
        <f>IFERROR(__xludf.DUMMYFUNCTION("""COMPUTED_VALUE"""),7.592641463E9)</f>
        <v>7592641463</v>
      </c>
    </row>
    <row r="221">
      <c r="A221" t="str">
        <f>IFERROR(__xludf.DUMMYFUNCTION("""COMPUTED_VALUE"""),"world")</f>
        <v>world</v>
      </c>
      <c r="B221" t="str">
        <f>IFERROR(__xludf.DUMMYFUNCTION("""COMPUTED_VALUE"""),"World")</f>
        <v>World</v>
      </c>
      <c r="C221">
        <f>IFERROR(__xludf.DUMMYFUNCTION("""COMPUTED_VALUE"""),2019.0)</f>
        <v>2019</v>
      </c>
      <c r="D221" s="164">
        <f>IFERROR(__xludf.DUMMYFUNCTION("""COMPUTED_VALUE"""),7.674218669E9)</f>
        <v>7674218669</v>
      </c>
    </row>
    <row r="222">
      <c r="A222" t="str">
        <f>IFERROR(__xludf.DUMMYFUNCTION("""COMPUTED_VALUE"""),"world")</f>
        <v>world</v>
      </c>
      <c r="B222" t="str">
        <f>IFERROR(__xludf.DUMMYFUNCTION("""COMPUTED_VALUE"""),"World")</f>
        <v>World</v>
      </c>
      <c r="C222">
        <f>IFERROR(__xludf.DUMMYFUNCTION("""COMPUTED_VALUE"""),2020.0)</f>
        <v>2020</v>
      </c>
      <c r="D222" s="164">
        <f>IFERROR(__xludf.DUMMYFUNCTION("""COMPUTED_VALUE"""),7.754954225E9)</f>
        <v>7754954225</v>
      </c>
    </row>
    <row r="223">
      <c r="A223" t="str">
        <f>IFERROR(__xludf.DUMMYFUNCTION("""COMPUTED_VALUE"""),"world")</f>
        <v>world</v>
      </c>
      <c r="B223" t="str">
        <f>IFERROR(__xludf.DUMMYFUNCTION("""COMPUTED_VALUE"""),"World")</f>
        <v>World</v>
      </c>
      <c r="C223">
        <f>IFERROR(__xludf.DUMMYFUNCTION("""COMPUTED_VALUE"""),2021.0)</f>
        <v>2021</v>
      </c>
      <c r="D223" s="164">
        <f>IFERROR(__xludf.DUMMYFUNCTION("""COMPUTED_VALUE"""),7.83477942E9)</f>
        <v>7834779420</v>
      </c>
    </row>
    <row r="224">
      <c r="A224" t="str">
        <f>IFERROR(__xludf.DUMMYFUNCTION("""COMPUTED_VALUE"""),"world")</f>
        <v>world</v>
      </c>
      <c r="B224" t="str">
        <f>IFERROR(__xludf.DUMMYFUNCTION("""COMPUTED_VALUE"""),"World")</f>
        <v>World</v>
      </c>
      <c r="C224">
        <f>IFERROR(__xludf.DUMMYFUNCTION("""COMPUTED_VALUE"""),2022.0)</f>
        <v>2022</v>
      </c>
      <c r="D224" s="164">
        <f>IFERROR(__xludf.DUMMYFUNCTION("""COMPUTED_VALUE"""),7.913638043E9)</f>
        <v>7913638043</v>
      </c>
    </row>
    <row r="225">
      <c r="A225" t="str">
        <f>IFERROR(__xludf.DUMMYFUNCTION("""COMPUTED_VALUE"""),"world")</f>
        <v>world</v>
      </c>
      <c r="B225" t="str">
        <f>IFERROR(__xludf.DUMMYFUNCTION("""COMPUTED_VALUE"""),"World")</f>
        <v>World</v>
      </c>
      <c r="C225">
        <f>IFERROR(__xludf.DUMMYFUNCTION("""COMPUTED_VALUE"""),2023.0)</f>
        <v>2023</v>
      </c>
      <c r="D225" s="164">
        <f>IFERROR(__xludf.DUMMYFUNCTION("""COMPUTED_VALUE"""),7.99152004E9)</f>
        <v>7991520040</v>
      </c>
    </row>
    <row r="226">
      <c r="A226" t="str">
        <f>IFERROR(__xludf.DUMMYFUNCTION("""COMPUTED_VALUE"""),"world")</f>
        <v>world</v>
      </c>
      <c r="B226" t="str">
        <f>IFERROR(__xludf.DUMMYFUNCTION("""COMPUTED_VALUE"""),"World")</f>
        <v>World</v>
      </c>
      <c r="C226">
        <f>IFERROR(__xludf.DUMMYFUNCTION("""COMPUTED_VALUE"""),2024.0)</f>
        <v>2024</v>
      </c>
      <c r="D226" s="164">
        <f>IFERROR(__xludf.DUMMYFUNCTION("""COMPUTED_VALUE"""),8.068434258E9)</f>
        <v>8068434258</v>
      </c>
    </row>
    <row r="227">
      <c r="A227" t="str">
        <f>IFERROR(__xludf.DUMMYFUNCTION("""COMPUTED_VALUE"""),"world")</f>
        <v>world</v>
      </c>
      <c r="B227" t="str">
        <f>IFERROR(__xludf.DUMMYFUNCTION("""COMPUTED_VALUE"""),"World")</f>
        <v>World</v>
      </c>
      <c r="C227">
        <f>IFERROR(__xludf.DUMMYFUNCTION("""COMPUTED_VALUE"""),2025.0)</f>
        <v>2025</v>
      </c>
      <c r="D227" s="164">
        <f>IFERROR(__xludf.DUMMYFUNCTION("""COMPUTED_VALUE"""),8.144386957E9)</f>
        <v>8144386957</v>
      </c>
    </row>
    <row r="228">
      <c r="A228" t="str">
        <f>IFERROR(__xludf.DUMMYFUNCTION("""COMPUTED_VALUE"""),"world")</f>
        <v>world</v>
      </c>
      <c r="B228" t="str">
        <f>IFERROR(__xludf.DUMMYFUNCTION("""COMPUTED_VALUE"""),"World")</f>
        <v>World</v>
      </c>
      <c r="C228">
        <f>IFERROR(__xludf.DUMMYFUNCTION("""COMPUTED_VALUE"""),2026.0)</f>
        <v>2026</v>
      </c>
      <c r="D228" s="164">
        <f>IFERROR(__xludf.DUMMYFUNCTION("""COMPUTED_VALUE"""),8.219357727E9)</f>
        <v>8219357727</v>
      </c>
    </row>
    <row r="229">
      <c r="A229" t="str">
        <f>IFERROR(__xludf.DUMMYFUNCTION("""COMPUTED_VALUE"""),"world")</f>
        <v>world</v>
      </c>
      <c r="B229" t="str">
        <f>IFERROR(__xludf.DUMMYFUNCTION("""COMPUTED_VALUE"""),"World")</f>
        <v>World</v>
      </c>
      <c r="C229">
        <f>IFERROR(__xludf.DUMMYFUNCTION("""COMPUTED_VALUE"""),2027.0)</f>
        <v>2027</v>
      </c>
      <c r="D229" s="164">
        <f>IFERROR(__xludf.DUMMYFUNCTION("""COMPUTED_VALUE"""),8.293328034E9)</f>
        <v>8293328034</v>
      </c>
    </row>
    <row r="230">
      <c r="A230" t="str">
        <f>IFERROR(__xludf.DUMMYFUNCTION("""COMPUTED_VALUE"""),"world")</f>
        <v>world</v>
      </c>
      <c r="B230" t="str">
        <f>IFERROR(__xludf.DUMMYFUNCTION("""COMPUTED_VALUE"""),"World")</f>
        <v>World</v>
      </c>
      <c r="C230">
        <f>IFERROR(__xludf.DUMMYFUNCTION("""COMPUTED_VALUE"""),2028.0)</f>
        <v>2028</v>
      </c>
      <c r="D230" s="164">
        <f>IFERROR(__xludf.DUMMYFUNCTION("""COMPUTED_VALUE"""),8.366311838E9)</f>
        <v>8366311838</v>
      </c>
    </row>
    <row r="231">
      <c r="A231" t="str">
        <f>IFERROR(__xludf.DUMMYFUNCTION("""COMPUTED_VALUE"""),"world")</f>
        <v>world</v>
      </c>
      <c r="B231" t="str">
        <f>IFERROR(__xludf.DUMMYFUNCTION("""COMPUTED_VALUE"""),"World")</f>
        <v>World</v>
      </c>
      <c r="C231">
        <f>IFERROR(__xludf.DUMMYFUNCTION("""COMPUTED_VALUE"""),2029.0)</f>
        <v>2029</v>
      </c>
      <c r="D231" s="164">
        <f>IFERROR(__xludf.DUMMYFUNCTION("""COMPUTED_VALUE"""),8.43833314E9)</f>
        <v>8438333140</v>
      </c>
    </row>
    <row r="232">
      <c r="A232" t="str">
        <f>IFERROR(__xludf.DUMMYFUNCTION("""COMPUTED_VALUE"""),"world")</f>
        <v>world</v>
      </c>
      <c r="B232" t="str">
        <f>IFERROR(__xludf.DUMMYFUNCTION("""COMPUTED_VALUE"""),"World")</f>
        <v>World</v>
      </c>
      <c r="C232">
        <f>IFERROR(__xludf.DUMMYFUNCTION("""COMPUTED_VALUE"""),2030.0)</f>
        <v>2030</v>
      </c>
      <c r="D232" s="164">
        <f>IFERROR(__xludf.DUMMYFUNCTION("""COMPUTED_VALUE"""),8.509410159E9)</f>
        <v>8509410159</v>
      </c>
    </row>
    <row r="233">
      <c r="A233" t="str">
        <f>IFERROR(__xludf.DUMMYFUNCTION("""COMPUTED_VALUE"""),"world")</f>
        <v>world</v>
      </c>
      <c r="B233" t="str">
        <f>IFERROR(__xludf.DUMMYFUNCTION("""COMPUTED_VALUE"""),"World")</f>
        <v>World</v>
      </c>
      <c r="C233">
        <f>IFERROR(__xludf.DUMMYFUNCTION("""COMPUTED_VALUE"""),2031.0)</f>
        <v>2031</v>
      </c>
      <c r="D233" s="164">
        <f>IFERROR(__xludf.DUMMYFUNCTION("""COMPUTED_VALUE"""),8.57954493E9)</f>
        <v>8579544930</v>
      </c>
    </row>
    <row r="234">
      <c r="A234" t="str">
        <f>IFERROR(__xludf.DUMMYFUNCTION("""COMPUTED_VALUE"""),"world")</f>
        <v>world</v>
      </c>
      <c r="B234" t="str">
        <f>IFERROR(__xludf.DUMMYFUNCTION("""COMPUTED_VALUE"""),"World")</f>
        <v>World</v>
      </c>
      <c r="C234">
        <f>IFERROR(__xludf.DUMMYFUNCTION("""COMPUTED_VALUE"""),2032.0)</f>
        <v>2032</v>
      </c>
      <c r="D234" s="164">
        <f>IFERROR(__xludf.DUMMYFUNCTION("""COMPUTED_VALUE"""),8.648732275E9)</f>
        <v>8648732275</v>
      </c>
    </row>
    <row r="235">
      <c r="A235" t="str">
        <f>IFERROR(__xludf.DUMMYFUNCTION("""COMPUTED_VALUE"""),"world")</f>
        <v>world</v>
      </c>
      <c r="B235" t="str">
        <f>IFERROR(__xludf.DUMMYFUNCTION("""COMPUTED_VALUE"""),"World")</f>
        <v>World</v>
      </c>
      <c r="C235">
        <f>IFERROR(__xludf.DUMMYFUNCTION("""COMPUTED_VALUE"""),2033.0)</f>
        <v>2033</v>
      </c>
      <c r="D235" s="164">
        <f>IFERROR(__xludf.DUMMYFUNCTION("""COMPUTED_VALUE"""),8.716974154E9)</f>
        <v>8716974154</v>
      </c>
    </row>
    <row r="236">
      <c r="A236" t="str">
        <f>IFERROR(__xludf.DUMMYFUNCTION("""COMPUTED_VALUE"""),"world")</f>
        <v>world</v>
      </c>
      <c r="B236" t="str">
        <f>IFERROR(__xludf.DUMMYFUNCTION("""COMPUTED_VALUE"""),"World")</f>
        <v>World</v>
      </c>
      <c r="C236">
        <f>IFERROR(__xludf.DUMMYFUNCTION("""COMPUTED_VALUE"""),2034.0)</f>
        <v>2034</v>
      </c>
      <c r="D236" s="164">
        <f>IFERROR(__xludf.DUMMYFUNCTION("""COMPUTED_VALUE"""),8.78427229E9)</f>
        <v>8784272290</v>
      </c>
    </row>
    <row r="237">
      <c r="A237" t="str">
        <f>IFERROR(__xludf.DUMMYFUNCTION("""COMPUTED_VALUE"""),"world")</f>
        <v>world</v>
      </c>
      <c r="B237" t="str">
        <f>IFERROR(__xludf.DUMMYFUNCTION("""COMPUTED_VALUE"""),"World")</f>
        <v>World</v>
      </c>
      <c r="C237">
        <f>IFERROR(__xludf.DUMMYFUNCTION("""COMPUTED_VALUE"""),2035.0)</f>
        <v>2035</v>
      </c>
      <c r="D237" s="164">
        <f>IFERROR(__xludf.DUMMYFUNCTION("""COMPUTED_VALUE"""),8.850628027E9)</f>
        <v>8850628027</v>
      </c>
    </row>
    <row r="238">
      <c r="A238" t="str">
        <f>IFERROR(__xludf.DUMMYFUNCTION("""COMPUTED_VALUE"""),"world")</f>
        <v>world</v>
      </c>
      <c r="B238" t="str">
        <f>IFERROR(__xludf.DUMMYFUNCTION("""COMPUTED_VALUE"""),"World")</f>
        <v>World</v>
      </c>
      <c r="C238">
        <f>IFERROR(__xludf.DUMMYFUNCTION("""COMPUTED_VALUE"""),2036.0)</f>
        <v>2036</v>
      </c>
      <c r="D238" s="164">
        <f>IFERROR(__xludf.DUMMYFUNCTION("""COMPUTED_VALUE"""),8.916036314E9)</f>
        <v>8916036314</v>
      </c>
    </row>
    <row r="239">
      <c r="A239" t="str">
        <f>IFERROR(__xludf.DUMMYFUNCTION("""COMPUTED_VALUE"""),"world")</f>
        <v>world</v>
      </c>
      <c r="B239" t="str">
        <f>IFERROR(__xludf.DUMMYFUNCTION("""COMPUTED_VALUE"""),"World")</f>
        <v>World</v>
      </c>
      <c r="C239">
        <f>IFERROR(__xludf.DUMMYFUNCTION("""COMPUTED_VALUE"""),2037.0)</f>
        <v>2037</v>
      </c>
      <c r="D239" s="164">
        <f>IFERROR(__xludf.DUMMYFUNCTION("""COMPUTED_VALUE"""),8.980497153E9)</f>
        <v>8980497153</v>
      </c>
    </row>
    <row r="240">
      <c r="A240" t="str">
        <f>IFERROR(__xludf.DUMMYFUNCTION("""COMPUTED_VALUE"""),"world")</f>
        <v>world</v>
      </c>
      <c r="B240" t="str">
        <f>IFERROR(__xludf.DUMMYFUNCTION("""COMPUTED_VALUE"""),"World")</f>
        <v>World</v>
      </c>
      <c r="C240">
        <f>IFERROR(__xludf.DUMMYFUNCTION("""COMPUTED_VALUE"""),2038.0)</f>
        <v>2038</v>
      </c>
      <c r="D240" s="164">
        <f>IFERROR(__xludf.DUMMYFUNCTION("""COMPUTED_VALUE"""),9.044021863E9)</f>
        <v>9044021863</v>
      </c>
    </row>
    <row r="241">
      <c r="A241" t="str">
        <f>IFERROR(__xludf.DUMMYFUNCTION("""COMPUTED_VALUE"""),"world")</f>
        <v>world</v>
      </c>
      <c r="B241" t="str">
        <f>IFERROR(__xludf.DUMMYFUNCTION("""COMPUTED_VALUE"""),"World")</f>
        <v>World</v>
      </c>
      <c r="C241">
        <f>IFERROR(__xludf.DUMMYFUNCTION("""COMPUTED_VALUE"""),2039.0)</f>
        <v>2039</v>
      </c>
      <c r="D241" s="164">
        <f>IFERROR(__xludf.DUMMYFUNCTION("""COMPUTED_VALUE"""),9.106625508E9)</f>
        <v>9106625508</v>
      </c>
    </row>
    <row r="242">
      <c r="A242" t="str">
        <f>IFERROR(__xludf.DUMMYFUNCTION("""COMPUTED_VALUE"""),"world")</f>
        <v>world</v>
      </c>
      <c r="B242" t="str">
        <f>IFERROR(__xludf.DUMMYFUNCTION("""COMPUTED_VALUE"""),"World")</f>
        <v>World</v>
      </c>
      <c r="C242">
        <f>IFERROR(__xludf.DUMMYFUNCTION("""COMPUTED_VALUE"""),2040.0)</f>
        <v>2040</v>
      </c>
      <c r="D242" s="164">
        <f>IFERROR(__xludf.DUMMYFUNCTION("""COMPUTED_VALUE"""),9.16831481E9)</f>
        <v>9168314810</v>
      </c>
    </row>
    <row r="243">
      <c r="A243" t="str">
        <f>IFERROR(__xludf.DUMMYFUNCTION("""COMPUTED_VALUE"""),"world")</f>
        <v>world</v>
      </c>
      <c r="B243" t="str">
        <f>IFERROR(__xludf.DUMMYFUNCTION("""COMPUTED_VALUE"""),"World")</f>
        <v>World</v>
      </c>
      <c r="C243">
        <f>IFERROR(__xludf.DUMMYFUNCTION("""COMPUTED_VALUE"""),2041.0)</f>
        <v>2041</v>
      </c>
      <c r="D243" s="164">
        <f>IFERROR(__xludf.DUMMYFUNCTION("""COMPUTED_VALUE"""),9.229088813E9)</f>
        <v>9229088813</v>
      </c>
    </row>
    <row r="244">
      <c r="A244" t="str">
        <f>IFERROR(__xludf.DUMMYFUNCTION("""COMPUTED_VALUE"""),"world")</f>
        <v>world</v>
      </c>
      <c r="B244" t="str">
        <f>IFERROR(__xludf.DUMMYFUNCTION("""COMPUTED_VALUE"""),"World")</f>
        <v>World</v>
      </c>
      <c r="C244">
        <f>IFERROR(__xludf.DUMMYFUNCTION("""COMPUTED_VALUE"""),2042.0)</f>
        <v>2042</v>
      </c>
      <c r="D244" s="164">
        <f>IFERROR(__xludf.DUMMYFUNCTION("""COMPUTED_VALUE"""),9.288930502E9)</f>
        <v>9288930502</v>
      </c>
    </row>
    <row r="245">
      <c r="A245" t="str">
        <f>IFERROR(__xludf.DUMMYFUNCTION("""COMPUTED_VALUE"""),"world")</f>
        <v>world</v>
      </c>
      <c r="B245" t="str">
        <f>IFERROR(__xludf.DUMMYFUNCTION("""COMPUTED_VALUE"""),"World")</f>
        <v>World</v>
      </c>
      <c r="C245">
        <f>IFERROR(__xludf.DUMMYFUNCTION("""COMPUTED_VALUE"""),2043.0)</f>
        <v>2043</v>
      </c>
      <c r="D245" s="164">
        <f>IFERROR(__xludf.DUMMYFUNCTION("""COMPUTED_VALUE"""),9.34780964E9)</f>
        <v>9347809640</v>
      </c>
    </row>
    <row r="246">
      <c r="A246" t="str">
        <f>IFERROR(__xludf.DUMMYFUNCTION("""COMPUTED_VALUE"""),"world")</f>
        <v>world</v>
      </c>
      <c r="B246" t="str">
        <f>IFERROR(__xludf.DUMMYFUNCTION("""COMPUTED_VALUE"""),"World")</f>
        <v>World</v>
      </c>
      <c r="C246">
        <f>IFERROR(__xludf.DUMMYFUNCTION("""COMPUTED_VALUE"""),2044.0)</f>
        <v>2044</v>
      </c>
      <c r="D246" s="164">
        <f>IFERROR(__xludf.DUMMYFUNCTION("""COMPUTED_VALUE"""),9.405686128E9)</f>
        <v>9405686128</v>
      </c>
    </row>
    <row r="247">
      <c r="A247" t="str">
        <f>IFERROR(__xludf.DUMMYFUNCTION("""COMPUTED_VALUE"""),"world")</f>
        <v>world</v>
      </c>
      <c r="B247" t="str">
        <f>IFERROR(__xludf.DUMMYFUNCTION("""COMPUTED_VALUE"""),"World")</f>
        <v>World</v>
      </c>
      <c r="C247">
        <f>IFERROR(__xludf.DUMMYFUNCTION("""COMPUTED_VALUE"""),2045.0)</f>
        <v>2045</v>
      </c>
      <c r="D247" s="164">
        <f>IFERROR(__xludf.DUMMYFUNCTION("""COMPUTED_VALUE"""),9.462526252E9)</f>
        <v>9462526252</v>
      </c>
    </row>
    <row r="248">
      <c r="A248" t="str">
        <f>IFERROR(__xludf.DUMMYFUNCTION("""COMPUTED_VALUE"""),"world")</f>
        <v>world</v>
      </c>
      <c r="B248" t="str">
        <f>IFERROR(__xludf.DUMMYFUNCTION("""COMPUTED_VALUE"""),"World")</f>
        <v>World</v>
      </c>
      <c r="C248">
        <f>IFERROR(__xludf.DUMMYFUNCTION("""COMPUTED_VALUE"""),2046.0)</f>
        <v>2046</v>
      </c>
      <c r="D248" s="164">
        <f>IFERROR(__xludf.DUMMYFUNCTION("""COMPUTED_VALUE"""),9.51831774E9)</f>
        <v>9518317740</v>
      </c>
    </row>
    <row r="249">
      <c r="A249" t="str">
        <f>IFERROR(__xludf.DUMMYFUNCTION("""COMPUTED_VALUE"""),"world")</f>
        <v>world</v>
      </c>
      <c r="B249" t="str">
        <f>IFERROR(__xludf.DUMMYFUNCTION("""COMPUTED_VALUE"""),"World")</f>
        <v>World</v>
      </c>
      <c r="C249">
        <f>IFERROR(__xludf.DUMMYFUNCTION("""COMPUTED_VALUE"""),2047.0)</f>
        <v>2047</v>
      </c>
      <c r="D249" s="164">
        <f>IFERROR(__xludf.DUMMYFUNCTION("""COMPUTED_VALUE"""),9.573052055E9)</f>
        <v>9573052055</v>
      </c>
    </row>
    <row r="250">
      <c r="A250" t="str">
        <f>IFERROR(__xludf.DUMMYFUNCTION("""COMPUTED_VALUE"""),"world")</f>
        <v>world</v>
      </c>
      <c r="B250" t="str">
        <f>IFERROR(__xludf.DUMMYFUNCTION("""COMPUTED_VALUE"""),"World")</f>
        <v>World</v>
      </c>
      <c r="C250">
        <f>IFERROR(__xludf.DUMMYFUNCTION("""COMPUTED_VALUE"""),2048.0)</f>
        <v>2048</v>
      </c>
      <c r="D250" s="164">
        <f>IFERROR(__xludf.DUMMYFUNCTION("""COMPUTED_VALUE"""),9.626703497E9)</f>
        <v>9626703497</v>
      </c>
    </row>
    <row r="251">
      <c r="A251" t="str">
        <f>IFERROR(__xludf.DUMMYFUNCTION("""COMPUTED_VALUE"""),"world")</f>
        <v>world</v>
      </c>
      <c r="B251" t="str">
        <f>IFERROR(__xludf.DUMMYFUNCTION("""COMPUTED_VALUE"""),"World")</f>
        <v>World</v>
      </c>
      <c r="C251">
        <f>IFERROR(__xludf.DUMMYFUNCTION("""COMPUTED_VALUE"""),2049.0)</f>
        <v>2049</v>
      </c>
      <c r="D251" s="164">
        <f>IFERROR(__xludf.DUMMYFUNCTION("""COMPUTED_VALUE"""),9.679244145E9)</f>
        <v>9679244145</v>
      </c>
    </row>
    <row r="252">
      <c r="A252" t="str">
        <f>IFERROR(__xludf.DUMMYFUNCTION("""COMPUTED_VALUE"""),"world")</f>
        <v>world</v>
      </c>
      <c r="B252" t="str">
        <f>IFERROR(__xludf.DUMMYFUNCTION("""COMPUTED_VALUE"""),"World")</f>
        <v>World</v>
      </c>
      <c r="C252">
        <f>IFERROR(__xludf.DUMMYFUNCTION("""COMPUTED_VALUE"""),2050.0)</f>
        <v>2050</v>
      </c>
      <c r="D252" s="164">
        <f>IFERROR(__xludf.DUMMYFUNCTION("""COMPUTED_VALUE"""),9.730653103E9)</f>
        <v>9730653103</v>
      </c>
    </row>
    <row r="253">
      <c r="A253" t="str">
        <f>IFERROR(__xludf.DUMMYFUNCTION("""COMPUTED_VALUE"""),"world")</f>
        <v>world</v>
      </c>
      <c r="B253" t="str">
        <f>IFERROR(__xludf.DUMMYFUNCTION("""COMPUTED_VALUE"""),"World")</f>
        <v>World</v>
      </c>
      <c r="C253">
        <f>IFERROR(__xludf.DUMMYFUNCTION("""COMPUTED_VALUE"""),2051.0)</f>
        <v>2051</v>
      </c>
      <c r="D253" s="164">
        <f>IFERROR(__xludf.DUMMYFUNCTION("""COMPUTED_VALUE"""),9.78092514E9)</f>
        <v>9780925140</v>
      </c>
    </row>
    <row r="254">
      <c r="A254" t="str">
        <f>IFERROR(__xludf.DUMMYFUNCTION("""COMPUTED_VALUE"""),"world")</f>
        <v>world</v>
      </c>
      <c r="B254" t="str">
        <f>IFERROR(__xludf.DUMMYFUNCTION("""COMPUTED_VALUE"""),"World")</f>
        <v>World</v>
      </c>
      <c r="C254">
        <f>IFERROR(__xludf.DUMMYFUNCTION("""COMPUTED_VALUE"""),2052.0)</f>
        <v>2052</v>
      </c>
      <c r="D254" s="164">
        <f>IFERROR(__xludf.DUMMYFUNCTION("""COMPUTED_VALUE"""),9.830060747E9)</f>
        <v>9830060747</v>
      </c>
    </row>
    <row r="255">
      <c r="A255" t="str">
        <f>IFERROR(__xludf.DUMMYFUNCTION("""COMPUTED_VALUE"""),"world")</f>
        <v>world</v>
      </c>
      <c r="B255" t="str">
        <f>IFERROR(__xludf.DUMMYFUNCTION("""COMPUTED_VALUE"""),"World")</f>
        <v>World</v>
      </c>
      <c r="C255">
        <f>IFERROR(__xludf.DUMMYFUNCTION("""COMPUTED_VALUE"""),2053.0)</f>
        <v>2053</v>
      </c>
      <c r="D255" s="164">
        <f>IFERROR(__xludf.DUMMYFUNCTION("""COMPUTED_VALUE"""),9.878054043E9)</f>
        <v>9878054043</v>
      </c>
    </row>
    <row r="256">
      <c r="A256" t="str">
        <f>IFERROR(__xludf.DUMMYFUNCTION("""COMPUTED_VALUE"""),"world")</f>
        <v>world</v>
      </c>
      <c r="B256" t="str">
        <f>IFERROR(__xludf.DUMMYFUNCTION("""COMPUTED_VALUE"""),"World")</f>
        <v>World</v>
      </c>
      <c r="C256">
        <f>IFERROR(__xludf.DUMMYFUNCTION("""COMPUTED_VALUE"""),2054.0)</f>
        <v>2054</v>
      </c>
      <c r="D256" s="164">
        <f>IFERROR(__xludf.DUMMYFUNCTION("""COMPUTED_VALUE"""),9.924901332E9)</f>
        <v>9924901332</v>
      </c>
    </row>
    <row r="257">
      <c r="A257" t="str">
        <f>IFERROR(__xludf.DUMMYFUNCTION("""COMPUTED_VALUE"""),"world")</f>
        <v>world</v>
      </c>
      <c r="B257" t="str">
        <f>IFERROR(__xludf.DUMMYFUNCTION("""COMPUTED_VALUE"""),"World")</f>
        <v>World</v>
      </c>
      <c r="C257">
        <f>IFERROR(__xludf.DUMMYFUNCTION("""COMPUTED_VALUE"""),2055.0)</f>
        <v>2055</v>
      </c>
      <c r="D257" s="164">
        <f>IFERROR(__xludf.DUMMYFUNCTION("""COMPUTED_VALUE"""),9.970606232E9)</f>
        <v>9970606232</v>
      </c>
    </row>
    <row r="258">
      <c r="A258" t="str">
        <f>IFERROR(__xludf.DUMMYFUNCTION("""COMPUTED_VALUE"""),"world")</f>
        <v>world</v>
      </c>
      <c r="B258" t="str">
        <f>IFERROR(__xludf.DUMMYFUNCTION("""COMPUTED_VALUE"""),"World")</f>
        <v>World</v>
      </c>
      <c r="C258">
        <f>IFERROR(__xludf.DUMMYFUNCTION("""COMPUTED_VALUE"""),2056.0)</f>
        <v>2056</v>
      </c>
      <c r="D258" s="164">
        <f>IFERROR(__xludf.DUMMYFUNCTION("""COMPUTED_VALUE"""),1.0015171511E10)</f>
        <v>10015171511</v>
      </c>
    </row>
    <row r="259">
      <c r="A259" t="str">
        <f>IFERROR(__xludf.DUMMYFUNCTION("""COMPUTED_VALUE"""),"world")</f>
        <v>world</v>
      </c>
      <c r="B259" t="str">
        <f>IFERROR(__xludf.DUMMYFUNCTION("""COMPUTED_VALUE"""),"World")</f>
        <v>World</v>
      </c>
      <c r="C259">
        <f>IFERROR(__xludf.DUMMYFUNCTION("""COMPUTED_VALUE"""),2057.0)</f>
        <v>2057</v>
      </c>
      <c r="D259" s="164">
        <f>IFERROR(__xludf.DUMMYFUNCTION("""COMPUTED_VALUE"""),1.0058616334E10)</f>
        <v>10058616334</v>
      </c>
    </row>
    <row r="260">
      <c r="A260" t="str">
        <f>IFERROR(__xludf.DUMMYFUNCTION("""COMPUTED_VALUE"""),"world")</f>
        <v>world</v>
      </c>
      <c r="B260" t="str">
        <f>IFERROR(__xludf.DUMMYFUNCTION("""COMPUTED_VALUE"""),"World")</f>
        <v>World</v>
      </c>
      <c r="C260">
        <f>IFERROR(__xludf.DUMMYFUNCTION("""COMPUTED_VALUE"""),2058.0)</f>
        <v>2058</v>
      </c>
      <c r="D260" s="164">
        <f>IFERROR(__xludf.DUMMYFUNCTION("""COMPUTED_VALUE"""),1.0100982292E10)</f>
        <v>10100982292</v>
      </c>
    </row>
    <row r="261">
      <c r="A261" t="str">
        <f>IFERROR(__xludf.DUMMYFUNCTION("""COMPUTED_VALUE"""),"world")</f>
        <v>world</v>
      </c>
      <c r="B261" t="str">
        <f>IFERROR(__xludf.DUMMYFUNCTION("""COMPUTED_VALUE"""),"World")</f>
        <v>World</v>
      </c>
      <c r="C261">
        <f>IFERROR(__xludf.DUMMYFUNCTION("""COMPUTED_VALUE"""),2059.0)</f>
        <v>2059</v>
      </c>
      <c r="D261" s="164">
        <f>IFERROR(__xludf.DUMMYFUNCTION("""COMPUTED_VALUE"""),1.0142323204E10)</f>
        <v>10142323204</v>
      </c>
    </row>
    <row r="262">
      <c r="A262" t="str">
        <f>IFERROR(__xludf.DUMMYFUNCTION("""COMPUTED_VALUE"""),"world")</f>
        <v>world</v>
      </c>
      <c r="B262" t="str">
        <f>IFERROR(__xludf.DUMMYFUNCTION("""COMPUTED_VALUE"""),"World")</f>
        <v>World</v>
      </c>
      <c r="C262">
        <f>IFERROR(__xludf.DUMMYFUNCTION("""COMPUTED_VALUE"""),2060.0)</f>
        <v>2060</v>
      </c>
      <c r="D262" s="164">
        <f>IFERROR(__xludf.DUMMYFUNCTION("""COMPUTED_VALUE"""),1.01826851E10)</f>
        <v>10182685100</v>
      </c>
    </row>
    <row r="263">
      <c r="A263" t="str">
        <f>IFERROR(__xludf.DUMMYFUNCTION("""COMPUTED_VALUE"""),"world")</f>
        <v>world</v>
      </c>
      <c r="B263" t="str">
        <f>IFERROR(__xludf.DUMMYFUNCTION("""COMPUTED_VALUE"""),"World")</f>
        <v>World</v>
      </c>
      <c r="C263">
        <f>IFERROR(__xludf.DUMMYFUNCTION("""COMPUTED_VALUE"""),2061.0)</f>
        <v>2061</v>
      </c>
      <c r="D263" s="164">
        <f>IFERROR(__xludf.DUMMYFUNCTION("""COMPUTED_VALUE"""),1.0222090083E10)</f>
        <v>10222090083</v>
      </c>
    </row>
    <row r="264">
      <c r="A264" t="str">
        <f>IFERROR(__xludf.DUMMYFUNCTION("""COMPUTED_VALUE"""),"world")</f>
        <v>world</v>
      </c>
      <c r="B264" t="str">
        <f>IFERROR(__xludf.DUMMYFUNCTION("""COMPUTED_VALUE"""),"World")</f>
        <v>World</v>
      </c>
      <c r="C264">
        <f>IFERROR(__xludf.DUMMYFUNCTION("""COMPUTED_VALUE"""),2062.0)</f>
        <v>2062</v>
      </c>
      <c r="D264" s="164">
        <f>IFERROR(__xludf.DUMMYFUNCTION("""COMPUTED_VALUE"""),1.0260552761E10)</f>
        <v>10260552761</v>
      </c>
    </row>
    <row r="265">
      <c r="A265" t="str">
        <f>IFERROR(__xludf.DUMMYFUNCTION("""COMPUTED_VALUE"""),"world")</f>
        <v>world</v>
      </c>
      <c r="B265" t="str">
        <f>IFERROR(__xludf.DUMMYFUNCTION("""COMPUTED_VALUE"""),"World")</f>
        <v>World</v>
      </c>
      <c r="C265">
        <f>IFERROR(__xludf.DUMMYFUNCTION("""COMPUTED_VALUE"""),2063.0)</f>
        <v>2063</v>
      </c>
      <c r="D265" s="164">
        <f>IFERROR(__xludf.DUMMYFUNCTION("""COMPUTED_VALUE"""),1.0298103856E10)</f>
        <v>10298103856</v>
      </c>
    </row>
    <row r="266">
      <c r="A266" t="str">
        <f>IFERROR(__xludf.DUMMYFUNCTION("""COMPUTED_VALUE"""),"world")</f>
        <v>world</v>
      </c>
      <c r="B266" t="str">
        <f>IFERROR(__xludf.DUMMYFUNCTION("""COMPUTED_VALUE"""),"World")</f>
        <v>World</v>
      </c>
      <c r="C266">
        <f>IFERROR(__xludf.DUMMYFUNCTION("""COMPUTED_VALUE"""),2064.0)</f>
        <v>2064</v>
      </c>
      <c r="D266" s="164">
        <f>IFERROR(__xludf.DUMMYFUNCTION("""COMPUTED_VALUE"""),1.033477469E10)</f>
        <v>10334774690</v>
      </c>
    </row>
    <row r="267">
      <c r="A267" t="str">
        <f>IFERROR(__xludf.DUMMYFUNCTION("""COMPUTED_VALUE"""),"world")</f>
        <v>world</v>
      </c>
      <c r="B267" t="str">
        <f>IFERROR(__xludf.DUMMYFUNCTION("""COMPUTED_VALUE"""),"World")</f>
        <v>World</v>
      </c>
      <c r="C267">
        <f>IFERROR(__xludf.DUMMYFUNCTION("""COMPUTED_VALUE"""),2065.0)</f>
        <v>2065</v>
      </c>
      <c r="D267" s="164">
        <f>IFERROR(__xludf.DUMMYFUNCTION("""COMPUTED_VALUE"""),1.0370592051E10)</f>
        <v>10370592051</v>
      </c>
    </row>
    <row r="268">
      <c r="A268" t="str">
        <f>IFERROR(__xludf.DUMMYFUNCTION("""COMPUTED_VALUE"""),"world")</f>
        <v>world</v>
      </c>
      <c r="B268" t="str">
        <f>IFERROR(__xludf.DUMMYFUNCTION("""COMPUTED_VALUE"""),"World")</f>
        <v>World</v>
      </c>
      <c r="C268">
        <f>IFERROR(__xludf.DUMMYFUNCTION("""COMPUTED_VALUE"""),2066.0)</f>
        <v>2066</v>
      </c>
      <c r="D268" s="164">
        <f>IFERROR(__xludf.DUMMYFUNCTION("""COMPUTED_VALUE"""),1.040557657E10)</f>
        <v>10405576570</v>
      </c>
    </row>
    <row r="269">
      <c r="A269" t="str">
        <f>IFERROR(__xludf.DUMMYFUNCTION("""COMPUTED_VALUE"""),"world")</f>
        <v>world</v>
      </c>
      <c r="B269" t="str">
        <f>IFERROR(__xludf.DUMMYFUNCTION("""COMPUTED_VALUE"""),"World")</f>
        <v>World</v>
      </c>
      <c r="C269">
        <f>IFERROR(__xludf.DUMMYFUNCTION("""COMPUTED_VALUE"""),2067.0)</f>
        <v>2067</v>
      </c>
      <c r="D269" s="164">
        <f>IFERROR(__xludf.DUMMYFUNCTION("""COMPUTED_VALUE"""),1.0439741399E10)</f>
        <v>10439741399</v>
      </c>
    </row>
    <row r="270">
      <c r="A270" t="str">
        <f>IFERROR(__xludf.DUMMYFUNCTION("""COMPUTED_VALUE"""),"world")</f>
        <v>world</v>
      </c>
      <c r="B270" t="str">
        <f>IFERROR(__xludf.DUMMYFUNCTION("""COMPUTED_VALUE"""),"World")</f>
        <v>World</v>
      </c>
      <c r="C270">
        <f>IFERROR(__xludf.DUMMYFUNCTION("""COMPUTED_VALUE"""),2068.0)</f>
        <v>2068</v>
      </c>
      <c r="D270" s="164">
        <f>IFERROR(__xludf.DUMMYFUNCTION("""COMPUTED_VALUE"""),1.047309506E10)</f>
        <v>10473095060</v>
      </c>
    </row>
    <row r="271">
      <c r="A271" t="str">
        <f>IFERROR(__xludf.DUMMYFUNCTION("""COMPUTED_VALUE"""),"world")</f>
        <v>world</v>
      </c>
      <c r="B271" t="str">
        <f>IFERROR(__xludf.DUMMYFUNCTION("""COMPUTED_VALUE"""),"World")</f>
        <v>World</v>
      </c>
      <c r="C271">
        <f>IFERROR(__xludf.DUMMYFUNCTION("""COMPUTED_VALUE"""),2069.0)</f>
        <v>2069</v>
      </c>
      <c r="D271" s="164">
        <f>IFERROR(__xludf.DUMMYFUNCTION("""COMPUTED_VALUE"""),1.0505640797E10)</f>
        <v>10505640797</v>
      </c>
    </row>
    <row r="272">
      <c r="A272" t="str">
        <f>IFERROR(__xludf.DUMMYFUNCTION("""COMPUTED_VALUE"""),"world")</f>
        <v>world</v>
      </c>
      <c r="B272" t="str">
        <f>IFERROR(__xludf.DUMMYFUNCTION("""COMPUTED_VALUE"""),"World")</f>
        <v>World</v>
      </c>
      <c r="C272">
        <f>IFERROR(__xludf.DUMMYFUNCTION("""COMPUTED_VALUE"""),2070.0)</f>
        <v>2070</v>
      </c>
      <c r="D272" s="164">
        <f>IFERROR(__xludf.DUMMYFUNCTION("""COMPUTED_VALUE"""),1.0537382981E10)</f>
        <v>10537382981</v>
      </c>
    </row>
    <row r="273">
      <c r="A273" t="str">
        <f>IFERROR(__xludf.DUMMYFUNCTION("""COMPUTED_VALUE"""),"world")</f>
        <v>world</v>
      </c>
      <c r="B273" t="str">
        <f>IFERROR(__xludf.DUMMYFUNCTION("""COMPUTED_VALUE"""),"World")</f>
        <v>World</v>
      </c>
      <c r="C273">
        <f>IFERROR(__xludf.DUMMYFUNCTION("""COMPUTED_VALUE"""),2071.0)</f>
        <v>2071</v>
      </c>
      <c r="D273" s="164">
        <f>IFERROR(__xludf.DUMMYFUNCTION("""COMPUTED_VALUE"""),1.0568334032E10)</f>
        <v>10568334032</v>
      </c>
    </row>
    <row r="274">
      <c r="A274" t="str">
        <f>IFERROR(__xludf.DUMMYFUNCTION("""COMPUTED_VALUE"""),"world")</f>
        <v>world</v>
      </c>
      <c r="B274" t="str">
        <f>IFERROR(__xludf.DUMMYFUNCTION("""COMPUTED_VALUE"""),"World")</f>
        <v>World</v>
      </c>
      <c r="C274">
        <f>IFERROR(__xludf.DUMMYFUNCTION("""COMPUTED_VALUE"""),2072.0)</f>
        <v>2072</v>
      </c>
      <c r="D274" s="164">
        <f>IFERROR(__xludf.DUMMYFUNCTION("""COMPUTED_VALUE"""),1.0598504167E10)</f>
        <v>10598504167</v>
      </c>
    </row>
    <row r="275">
      <c r="A275" t="str">
        <f>IFERROR(__xludf.DUMMYFUNCTION("""COMPUTED_VALUE"""),"world")</f>
        <v>world</v>
      </c>
      <c r="B275" t="str">
        <f>IFERROR(__xludf.DUMMYFUNCTION("""COMPUTED_VALUE"""),"World")</f>
        <v>World</v>
      </c>
      <c r="C275">
        <f>IFERROR(__xludf.DUMMYFUNCTION("""COMPUTED_VALUE"""),2073.0)</f>
        <v>2073</v>
      </c>
      <c r="D275" s="164">
        <f>IFERROR(__xludf.DUMMYFUNCTION("""COMPUTED_VALUE"""),1.0627891474E10)</f>
        <v>10627891474</v>
      </c>
    </row>
    <row r="276">
      <c r="A276" t="str">
        <f>IFERROR(__xludf.DUMMYFUNCTION("""COMPUTED_VALUE"""),"world")</f>
        <v>world</v>
      </c>
      <c r="B276" t="str">
        <f>IFERROR(__xludf.DUMMYFUNCTION("""COMPUTED_VALUE"""),"World")</f>
        <v>World</v>
      </c>
      <c r="C276">
        <f>IFERROR(__xludf.DUMMYFUNCTION("""COMPUTED_VALUE"""),2074.0)</f>
        <v>2074</v>
      </c>
      <c r="D276" s="164">
        <f>IFERROR(__xludf.DUMMYFUNCTION("""COMPUTED_VALUE"""),1.0656489672E10)</f>
        <v>10656489672</v>
      </c>
    </row>
    <row r="277">
      <c r="A277" t="str">
        <f>IFERROR(__xludf.DUMMYFUNCTION("""COMPUTED_VALUE"""),"world")</f>
        <v>world</v>
      </c>
      <c r="B277" t="str">
        <f>IFERROR(__xludf.DUMMYFUNCTION("""COMPUTED_VALUE"""),"World")</f>
        <v>World</v>
      </c>
      <c r="C277">
        <f>IFERROR(__xludf.DUMMYFUNCTION("""COMPUTED_VALUE"""),2075.0)</f>
        <v>2075</v>
      </c>
      <c r="D277" s="164">
        <f>IFERROR(__xludf.DUMMYFUNCTION("""COMPUTED_VALUE"""),1.0684296986E10)</f>
        <v>10684296986</v>
      </c>
    </row>
    <row r="278">
      <c r="A278" t="str">
        <f>IFERROR(__xludf.DUMMYFUNCTION("""COMPUTED_VALUE"""),"world")</f>
        <v>world</v>
      </c>
      <c r="B278" t="str">
        <f>IFERROR(__xludf.DUMMYFUNCTION("""COMPUTED_VALUE"""),"World")</f>
        <v>World</v>
      </c>
      <c r="C278">
        <f>IFERROR(__xludf.DUMMYFUNCTION("""COMPUTED_VALUE"""),2076.0)</f>
        <v>2076</v>
      </c>
      <c r="D278" s="164">
        <f>IFERROR(__xludf.DUMMYFUNCTION("""COMPUTED_VALUE"""),1.0711318933E10)</f>
        <v>10711318933</v>
      </c>
    </row>
    <row r="279">
      <c r="A279" t="str">
        <f>IFERROR(__xludf.DUMMYFUNCTION("""COMPUTED_VALUE"""),"world")</f>
        <v>world</v>
      </c>
      <c r="B279" t="str">
        <f>IFERROR(__xludf.DUMMYFUNCTION("""COMPUTED_VALUE"""),"World")</f>
        <v>World</v>
      </c>
      <c r="C279">
        <f>IFERROR(__xludf.DUMMYFUNCTION("""COMPUTED_VALUE"""),2077.0)</f>
        <v>2077</v>
      </c>
      <c r="D279" s="164">
        <f>IFERROR(__xludf.DUMMYFUNCTION("""COMPUTED_VALUE"""),1.0737567885E10)</f>
        <v>10737567885</v>
      </c>
    </row>
    <row r="280">
      <c r="A280" t="str">
        <f>IFERROR(__xludf.DUMMYFUNCTION("""COMPUTED_VALUE"""),"world")</f>
        <v>world</v>
      </c>
      <c r="B280" t="str">
        <f>IFERROR(__xludf.DUMMYFUNCTION("""COMPUTED_VALUE"""),"World")</f>
        <v>World</v>
      </c>
      <c r="C280">
        <f>IFERROR(__xludf.DUMMYFUNCTION("""COMPUTED_VALUE"""),2078.0)</f>
        <v>2078</v>
      </c>
      <c r="D280" s="164">
        <f>IFERROR(__xludf.DUMMYFUNCTION("""COMPUTED_VALUE"""),1.0763057186E10)</f>
        <v>10763057186</v>
      </c>
    </row>
    <row r="281">
      <c r="A281" t="str">
        <f>IFERROR(__xludf.DUMMYFUNCTION("""COMPUTED_VALUE"""),"world")</f>
        <v>world</v>
      </c>
      <c r="B281" t="str">
        <f>IFERROR(__xludf.DUMMYFUNCTION("""COMPUTED_VALUE"""),"World")</f>
        <v>World</v>
      </c>
      <c r="C281">
        <f>IFERROR(__xludf.DUMMYFUNCTION("""COMPUTED_VALUE"""),2079.0)</f>
        <v>2079</v>
      </c>
      <c r="D281" s="164">
        <f>IFERROR(__xludf.DUMMYFUNCTION("""COMPUTED_VALUE"""),1.078780336E10)</f>
        <v>10787803360</v>
      </c>
    </row>
    <row r="282">
      <c r="A282" t="str">
        <f>IFERROR(__xludf.DUMMYFUNCTION("""COMPUTED_VALUE"""),"world")</f>
        <v>world</v>
      </c>
      <c r="B282" t="str">
        <f>IFERROR(__xludf.DUMMYFUNCTION("""COMPUTED_VALUE"""),"World")</f>
        <v>World</v>
      </c>
      <c r="C282">
        <f>IFERROR(__xludf.DUMMYFUNCTION("""COMPUTED_VALUE"""),2080.0)</f>
        <v>2080</v>
      </c>
      <c r="D282" s="164">
        <f>IFERROR(__xludf.DUMMYFUNCTION("""COMPUTED_VALUE"""),1.0811821143E10)</f>
        <v>10811821143</v>
      </c>
    </row>
    <row r="283">
      <c r="A283" t="str">
        <f>IFERROR(__xludf.DUMMYFUNCTION("""COMPUTED_VALUE"""),"world")</f>
        <v>world</v>
      </c>
      <c r="B283" t="str">
        <f>IFERROR(__xludf.DUMMYFUNCTION("""COMPUTED_VALUE"""),"World")</f>
        <v>World</v>
      </c>
      <c r="C283">
        <f>IFERROR(__xludf.DUMMYFUNCTION("""COMPUTED_VALUE"""),2081.0)</f>
        <v>2081</v>
      </c>
      <c r="D283" s="164">
        <f>IFERROR(__xludf.DUMMYFUNCTION("""COMPUTED_VALUE"""),1.0835117371E10)</f>
        <v>10835117371</v>
      </c>
    </row>
    <row r="284">
      <c r="A284" t="str">
        <f>IFERROR(__xludf.DUMMYFUNCTION("""COMPUTED_VALUE"""),"world")</f>
        <v>world</v>
      </c>
      <c r="B284" t="str">
        <f>IFERROR(__xludf.DUMMYFUNCTION("""COMPUTED_VALUE"""),"World")</f>
        <v>World</v>
      </c>
      <c r="C284">
        <f>IFERROR(__xludf.DUMMYFUNCTION("""COMPUTED_VALUE"""),2082.0)</f>
        <v>2082</v>
      </c>
      <c r="D284" s="164">
        <f>IFERROR(__xludf.DUMMYFUNCTION("""COMPUTED_VALUE"""),1.0857699972E10)</f>
        <v>10857699972</v>
      </c>
    </row>
    <row r="285">
      <c r="A285" t="str">
        <f>IFERROR(__xludf.DUMMYFUNCTION("""COMPUTED_VALUE"""),"world")</f>
        <v>world</v>
      </c>
      <c r="B285" t="str">
        <f>IFERROR(__xludf.DUMMYFUNCTION("""COMPUTED_VALUE"""),"World")</f>
        <v>World</v>
      </c>
      <c r="C285">
        <f>IFERROR(__xludf.DUMMYFUNCTION("""COMPUTED_VALUE"""),2083.0)</f>
        <v>2083</v>
      </c>
      <c r="D285" s="164">
        <f>IFERROR(__xludf.DUMMYFUNCTION("""COMPUTED_VALUE"""),1.087958836E10)</f>
        <v>10879588360</v>
      </c>
    </row>
    <row r="286">
      <c r="A286" t="str">
        <f>IFERROR(__xludf.DUMMYFUNCTION("""COMPUTED_VALUE"""),"world")</f>
        <v>world</v>
      </c>
      <c r="B286" t="str">
        <f>IFERROR(__xludf.DUMMYFUNCTION("""COMPUTED_VALUE"""),"World")</f>
        <v>World</v>
      </c>
      <c r="C286">
        <f>IFERROR(__xludf.DUMMYFUNCTION("""COMPUTED_VALUE"""),2084.0)</f>
        <v>2084</v>
      </c>
      <c r="D286" s="164">
        <f>IFERROR(__xludf.DUMMYFUNCTION("""COMPUTED_VALUE"""),1.0900804094E10)</f>
        <v>10900804094</v>
      </c>
    </row>
    <row r="287">
      <c r="A287" t="str">
        <f>IFERROR(__xludf.DUMMYFUNCTION("""COMPUTED_VALUE"""),"world")</f>
        <v>world</v>
      </c>
      <c r="B287" t="str">
        <f>IFERROR(__xludf.DUMMYFUNCTION("""COMPUTED_VALUE"""),"World")</f>
        <v>World</v>
      </c>
      <c r="C287">
        <f>IFERROR(__xludf.DUMMYFUNCTION("""COMPUTED_VALUE"""),2085.0)</f>
        <v>2085</v>
      </c>
      <c r="D287" s="164">
        <f>IFERROR(__xludf.DUMMYFUNCTION("""COMPUTED_VALUE"""),1.0921363657E10)</f>
        <v>10921363657</v>
      </c>
    </row>
    <row r="288">
      <c r="A288" t="str">
        <f>IFERROR(__xludf.DUMMYFUNCTION("""COMPUTED_VALUE"""),"world")</f>
        <v>world</v>
      </c>
      <c r="B288" t="str">
        <f>IFERROR(__xludf.DUMMYFUNCTION("""COMPUTED_VALUE"""),"World")</f>
        <v>World</v>
      </c>
      <c r="C288">
        <f>IFERROR(__xludf.DUMMYFUNCTION("""COMPUTED_VALUE"""),2086.0)</f>
        <v>2086</v>
      </c>
      <c r="D288" s="164">
        <f>IFERROR(__xludf.DUMMYFUNCTION("""COMPUTED_VALUE"""),1.0941274809E10)</f>
        <v>10941274809</v>
      </c>
    </row>
    <row r="289">
      <c r="A289" t="str">
        <f>IFERROR(__xludf.DUMMYFUNCTION("""COMPUTED_VALUE"""),"world")</f>
        <v>world</v>
      </c>
      <c r="B289" t="str">
        <f>IFERROR(__xludf.DUMMYFUNCTION("""COMPUTED_VALUE"""),"World")</f>
        <v>World</v>
      </c>
      <c r="C289">
        <f>IFERROR(__xludf.DUMMYFUNCTION("""COMPUTED_VALUE"""),2087.0)</f>
        <v>2087</v>
      </c>
      <c r="D289" s="164">
        <f>IFERROR(__xludf.DUMMYFUNCTION("""COMPUTED_VALUE"""),1.0960537164E10)</f>
        <v>10960537164</v>
      </c>
    </row>
    <row r="290">
      <c r="A290" t="str">
        <f>IFERROR(__xludf.DUMMYFUNCTION("""COMPUTED_VALUE"""),"world")</f>
        <v>world</v>
      </c>
      <c r="B290" t="str">
        <f>IFERROR(__xludf.DUMMYFUNCTION("""COMPUTED_VALUE"""),"World")</f>
        <v>World</v>
      </c>
      <c r="C290">
        <f>IFERROR(__xludf.DUMMYFUNCTION("""COMPUTED_VALUE"""),2088.0)</f>
        <v>2088</v>
      </c>
      <c r="D290" s="164">
        <f>IFERROR(__xludf.DUMMYFUNCTION("""COMPUTED_VALUE"""),1.0979149734E10)</f>
        <v>10979149734</v>
      </c>
    </row>
    <row r="291">
      <c r="A291" t="str">
        <f>IFERROR(__xludf.DUMMYFUNCTION("""COMPUTED_VALUE"""),"world")</f>
        <v>world</v>
      </c>
      <c r="B291" t="str">
        <f>IFERROR(__xludf.DUMMYFUNCTION("""COMPUTED_VALUE"""),"World")</f>
        <v>World</v>
      </c>
      <c r="C291">
        <f>IFERROR(__xludf.DUMMYFUNCTION("""COMPUTED_VALUE"""),2089.0)</f>
        <v>2089</v>
      </c>
      <c r="D291" s="164">
        <f>IFERROR(__xludf.DUMMYFUNCTION("""COMPUTED_VALUE"""),1.0997107811E10)</f>
        <v>10997107811</v>
      </c>
    </row>
    <row r="292">
      <c r="A292" t="str">
        <f>IFERROR(__xludf.DUMMYFUNCTION("""COMPUTED_VALUE"""),"world")</f>
        <v>world</v>
      </c>
      <c r="B292" t="str">
        <f>IFERROR(__xludf.DUMMYFUNCTION("""COMPUTED_VALUE"""),"World")</f>
        <v>World</v>
      </c>
      <c r="C292">
        <f>IFERROR(__xludf.DUMMYFUNCTION("""COMPUTED_VALUE"""),2090.0)</f>
        <v>2090</v>
      </c>
      <c r="D292" s="164">
        <f>IFERROR(__xludf.DUMMYFUNCTION("""COMPUTED_VALUE"""),1.1014406137E10)</f>
        <v>11014406137</v>
      </c>
    </row>
    <row r="293">
      <c r="A293" t="str">
        <f>IFERROR(__xludf.DUMMYFUNCTION("""COMPUTED_VALUE"""),"world")</f>
        <v>world</v>
      </c>
      <c r="B293" t="str">
        <f>IFERROR(__xludf.DUMMYFUNCTION("""COMPUTED_VALUE"""),"World")</f>
        <v>World</v>
      </c>
      <c r="C293">
        <f>IFERROR(__xludf.DUMMYFUNCTION("""COMPUTED_VALUE"""),2091.0)</f>
        <v>2091</v>
      </c>
      <c r="D293" s="164">
        <f>IFERROR(__xludf.DUMMYFUNCTION("""COMPUTED_VALUE"""),1.1031039978E10)</f>
        <v>11031039978</v>
      </c>
    </row>
    <row r="294">
      <c r="A294" t="str">
        <f>IFERROR(__xludf.DUMMYFUNCTION("""COMPUTED_VALUE"""),"world")</f>
        <v>world</v>
      </c>
      <c r="B294" t="str">
        <f>IFERROR(__xludf.DUMMYFUNCTION("""COMPUTED_VALUE"""),"World")</f>
        <v>World</v>
      </c>
      <c r="C294">
        <f>IFERROR(__xludf.DUMMYFUNCTION("""COMPUTED_VALUE"""),2092.0)</f>
        <v>2092</v>
      </c>
      <c r="D294" s="164">
        <f>IFERROR(__xludf.DUMMYFUNCTION("""COMPUTED_VALUE"""),1.1047004654E10)</f>
        <v>11047004654</v>
      </c>
    </row>
    <row r="295">
      <c r="A295" t="str">
        <f>IFERROR(__xludf.DUMMYFUNCTION("""COMPUTED_VALUE"""),"world")</f>
        <v>world</v>
      </c>
      <c r="B295" t="str">
        <f>IFERROR(__xludf.DUMMYFUNCTION("""COMPUTED_VALUE"""),"World")</f>
        <v>World</v>
      </c>
      <c r="C295">
        <f>IFERROR(__xludf.DUMMYFUNCTION("""COMPUTED_VALUE"""),2093.0)</f>
        <v>2093</v>
      </c>
      <c r="D295" s="164">
        <f>IFERROR(__xludf.DUMMYFUNCTION("""COMPUTED_VALUE"""),1.1062295173E10)</f>
        <v>11062295173</v>
      </c>
    </row>
    <row r="296">
      <c r="A296" t="str">
        <f>IFERROR(__xludf.DUMMYFUNCTION("""COMPUTED_VALUE"""),"world")</f>
        <v>world</v>
      </c>
      <c r="B296" t="str">
        <f>IFERROR(__xludf.DUMMYFUNCTION("""COMPUTED_VALUE"""),"World")</f>
        <v>World</v>
      </c>
      <c r="C296">
        <f>IFERROR(__xludf.DUMMYFUNCTION("""COMPUTED_VALUE"""),2094.0)</f>
        <v>2094</v>
      </c>
      <c r="D296" s="164">
        <f>IFERROR(__xludf.DUMMYFUNCTION("""COMPUTED_VALUE"""),1.1076904361E10)</f>
        <v>11076904361</v>
      </c>
    </row>
    <row r="297">
      <c r="A297" t="str">
        <f>IFERROR(__xludf.DUMMYFUNCTION("""COMPUTED_VALUE"""),"world")</f>
        <v>world</v>
      </c>
      <c r="B297" t="str">
        <f>IFERROR(__xludf.DUMMYFUNCTION("""COMPUTED_VALUE"""),"World")</f>
        <v>World</v>
      </c>
      <c r="C297">
        <f>IFERROR(__xludf.DUMMYFUNCTION("""COMPUTED_VALUE"""),2095.0)</f>
        <v>2095</v>
      </c>
      <c r="D297" s="164">
        <f>IFERROR(__xludf.DUMMYFUNCTION("""COMPUTED_VALUE"""),1.1090822611E10)</f>
        <v>11090822611</v>
      </c>
    </row>
    <row r="298">
      <c r="A298" t="str">
        <f>IFERROR(__xludf.DUMMYFUNCTION("""COMPUTED_VALUE"""),"world")</f>
        <v>world</v>
      </c>
      <c r="B298" t="str">
        <f>IFERROR(__xludf.DUMMYFUNCTION("""COMPUTED_VALUE"""),"World")</f>
        <v>World</v>
      </c>
      <c r="C298">
        <f>IFERROR(__xludf.DUMMYFUNCTION("""COMPUTED_VALUE"""),2096.0)</f>
        <v>2096</v>
      </c>
      <c r="D298" s="164">
        <f>IFERROR(__xludf.DUMMYFUNCTION("""COMPUTED_VALUE"""),1.1104037489E10)</f>
        <v>11104037489</v>
      </c>
    </row>
    <row r="299">
      <c r="A299" t="str">
        <f>IFERROR(__xludf.DUMMYFUNCTION("""COMPUTED_VALUE"""),"world")</f>
        <v>world</v>
      </c>
      <c r="B299" t="str">
        <f>IFERROR(__xludf.DUMMYFUNCTION("""COMPUTED_VALUE"""),"World")</f>
        <v>World</v>
      </c>
      <c r="C299">
        <f>IFERROR(__xludf.DUMMYFUNCTION("""COMPUTED_VALUE"""),2097.0)</f>
        <v>2097</v>
      </c>
      <c r="D299" s="164">
        <f>IFERROR(__xludf.DUMMYFUNCTION("""COMPUTED_VALUE"""),1.111653333E10)</f>
        <v>11116533330</v>
      </c>
    </row>
    <row r="300">
      <c r="A300" t="str">
        <f>IFERROR(__xludf.DUMMYFUNCTION("""COMPUTED_VALUE"""),"world")</f>
        <v>world</v>
      </c>
      <c r="B300" t="str">
        <f>IFERROR(__xludf.DUMMYFUNCTION("""COMPUTED_VALUE"""),"World")</f>
        <v>World</v>
      </c>
      <c r="C300">
        <f>IFERROR(__xludf.DUMMYFUNCTION("""COMPUTED_VALUE"""),2098.0)</f>
        <v>2098</v>
      </c>
      <c r="D300" s="164">
        <f>IFERROR(__xludf.DUMMYFUNCTION("""COMPUTED_VALUE"""),1.1128291145E10)</f>
        <v>11128291145</v>
      </c>
    </row>
    <row r="301">
      <c r="A301" t="str">
        <f>IFERROR(__xludf.DUMMYFUNCTION("""COMPUTED_VALUE"""),"world")</f>
        <v>world</v>
      </c>
      <c r="B301" t="str">
        <f>IFERROR(__xludf.DUMMYFUNCTION("""COMPUTED_VALUE"""),"World")</f>
        <v>World</v>
      </c>
      <c r="C301">
        <f>IFERROR(__xludf.DUMMYFUNCTION("""COMPUTED_VALUE"""),2099.0)</f>
        <v>2099</v>
      </c>
      <c r="D301" s="164">
        <f>IFERROR(__xludf.DUMMYFUNCTION("""COMPUTED_VALUE"""),1.1139289195E10)</f>
        <v>11139289195</v>
      </c>
    </row>
    <row r="302">
      <c r="A302" t="str">
        <f>IFERROR(__xludf.DUMMYFUNCTION("""COMPUTED_VALUE"""),"world")</f>
        <v>world</v>
      </c>
      <c r="B302" t="str">
        <f>IFERROR(__xludf.DUMMYFUNCTION("""COMPUTED_VALUE"""),"World")</f>
        <v>World</v>
      </c>
      <c r="C302">
        <f>IFERROR(__xludf.DUMMYFUNCTION("""COMPUTED_VALUE"""),2100.0)</f>
        <v>2100</v>
      </c>
      <c r="D302" s="164">
        <f>IFERROR(__xludf.DUMMYFUNCTION("""COMPUTED_VALUE"""),1.1149502013E10)</f>
        <v>11149502013</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sheetData>
    <row r="1">
      <c r="B1" s="165" t="s">
        <v>117</v>
      </c>
    </row>
    <row r="2">
      <c r="B2" s="74"/>
    </row>
    <row r="3">
      <c r="A3" s="123" t="s">
        <v>114</v>
      </c>
      <c r="B3" s="74" t="str">
        <f>IFERROR(__xludf.DUMMYFUNCTION("IMPORTRANGE(""https://docs.google.com/spreadsheets/d/18Ep3s1S0cvlT1ovQG9KdipLEoQ1Ktz5LtTTQpDcWbX0/edit"",""filtered-recent-population-of-countries-etc!A:D"")"),"geo")</f>
        <v>geo</v>
      </c>
      <c r="C3" t="str">
        <f>IFERROR(__xludf.DUMMYFUNCTION("""COMPUTED_VALUE"""),"name")</f>
        <v>name</v>
      </c>
      <c r="D3" t="str">
        <f>IFERROR(__xludf.DUMMYFUNCTION("""COMPUTED_VALUE"""),"time")</f>
        <v>time</v>
      </c>
      <c r="E3" t="str">
        <f>IFERROR(__xludf.DUMMYFUNCTION("""COMPUTED_VALUE"""),"population")</f>
        <v>population</v>
      </c>
    </row>
    <row r="4">
      <c r="A4" t="str">
        <f t="shared" ref="A4:A17930" si="1">B4&amp;"#"&amp;D4</f>
        <v>afg#1950</v>
      </c>
      <c r="B4" t="str">
        <f>IFERROR(__xludf.DUMMYFUNCTION("""COMPUTED_VALUE"""),"afg")</f>
        <v>afg</v>
      </c>
      <c r="C4" t="str">
        <f>IFERROR(__xludf.DUMMYFUNCTION("""COMPUTED_VALUE"""),"Afghanistan")</f>
        <v>Afghanistan</v>
      </c>
      <c r="D4">
        <f>IFERROR(__xludf.DUMMYFUNCTION("""COMPUTED_VALUE"""),1950.0)</f>
        <v>1950</v>
      </c>
      <c r="E4">
        <f>IFERROR(__xludf.DUMMYFUNCTION("""COMPUTED_VALUE"""),7752118.0)</f>
        <v>7752118</v>
      </c>
    </row>
    <row r="5">
      <c r="A5" t="str">
        <f t="shared" si="1"/>
        <v>afg#1951</v>
      </c>
      <c r="B5" t="str">
        <f>IFERROR(__xludf.DUMMYFUNCTION("""COMPUTED_VALUE"""),"afg")</f>
        <v>afg</v>
      </c>
      <c r="C5" t="str">
        <f>IFERROR(__xludf.DUMMYFUNCTION("""COMPUTED_VALUE"""),"Afghanistan")</f>
        <v>Afghanistan</v>
      </c>
      <c r="D5">
        <f>IFERROR(__xludf.DUMMYFUNCTION("""COMPUTED_VALUE"""),1951.0)</f>
        <v>1951</v>
      </c>
      <c r="E5">
        <f>IFERROR(__xludf.DUMMYFUNCTION("""COMPUTED_VALUE"""),7839510.0)</f>
        <v>7839510</v>
      </c>
    </row>
    <row r="6">
      <c r="A6" t="str">
        <f t="shared" si="1"/>
        <v>afg#1952</v>
      </c>
      <c r="B6" t="str">
        <f>IFERROR(__xludf.DUMMYFUNCTION("""COMPUTED_VALUE"""),"afg")</f>
        <v>afg</v>
      </c>
      <c r="C6" t="str">
        <f>IFERROR(__xludf.DUMMYFUNCTION("""COMPUTED_VALUE"""),"Afghanistan")</f>
        <v>Afghanistan</v>
      </c>
      <c r="D6">
        <f>IFERROR(__xludf.DUMMYFUNCTION("""COMPUTED_VALUE"""),1952.0)</f>
        <v>1952</v>
      </c>
      <c r="E6">
        <f>IFERROR(__xludf.DUMMYFUNCTION("""COMPUTED_VALUE"""),7934980.0)</f>
        <v>7934980</v>
      </c>
    </row>
    <row r="7">
      <c r="A7" t="str">
        <f t="shared" si="1"/>
        <v>afg#1953</v>
      </c>
      <c r="B7" t="str">
        <f>IFERROR(__xludf.DUMMYFUNCTION("""COMPUTED_VALUE"""),"afg")</f>
        <v>afg</v>
      </c>
      <c r="C7" t="str">
        <f>IFERROR(__xludf.DUMMYFUNCTION("""COMPUTED_VALUE"""),"Afghanistan")</f>
        <v>Afghanistan</v>
      </c>
      <c r="D7">
        <f>IFERROR(__xludf.DUMMYFUNCTION("""COMPUTED_VALUE"""),1953.0)</f>
        <v>1953</v>
      </c>
      <c r="E7">
        <f>IFERROR(__xludf.DUMMYFUNCTION("""COMPUTED_VALUE"""),8038596.0)</f>
        <v>8038596</v>
      </c>
    </row>
    <row r="8">
      <c r="A8" t="str">
        <f t="shared" si="1"/>
        <v>afg#1954</v>
      </c>
      <c r="B8" t="str">
        <f>IFERROR(__xludf.DUMMYFUNCTION("""COMPUTED_VALUE"""),"afg")</f>
        <v>afg</v>
      </c>
      <c r="C8" t="str">
        <f>IFERROR(__xludf.DUMMYFUNCTION("""COMPUTED_VALUE"""),"Afghanistan")</f>
        <v>Afghanistan</v>
      </c>
      <c r="D8">
        <f>IFERROR(__xludf.DUMMYFUNCTION("""COMPUTED_VALUE"""),1954.0)</f>
        <v>1954</v>
      </c>
      <c r="E8">
        <f>IFERROR(__xludf.DUMMYFUNCTION("""COMPUTED_VALUE"""),8150447.0)</f>
        <v>8150447</v>
      </c>
    </row>
    <row r="9">
      <c r="A9" t="str">
        <f t="shared" si="1"/>
        <v>afg#1955</v>
      </c>
      <c r="B9" t="str">
        <f>IFERROR(__xludf.DUMMYFUNCTION("""COMPUTED_VALUE"""),"afg")</f>
        <v>afg</v>
      </c>
      <c r="C9" t="str">
        <f>IFERROR(__xludf.DUMMYFUNCTION("""COMPUTED_VALUE"""),"Afghanistan")</f>
        <v>Afghanistan</v>
      </c>
      <c r="D9">
        <f>IFERROR(__xludf.DUMMYFUNCTION("""COMPUTED_VALUE"""),1955.0)</f>
        <v>1955</v>
      </c>
      <c r="E9">
        <f>IFERROR(__xludf.DUMMYFUNCTION("""COMPUTED_VALUE"""),8270581.0)</f>
        <v>8270581</v>
      </c>
    </row>
    <row r="10">
      <c r="A10" t="str">
        <f t="shared" si="1"/>
        <v>afg#1956</v>
      </c>
      <c r="B10" t="str">
        <f>IFERROR(__xludf.DUMMYFUNCTION("""COMPUTED_VALUE"""),"afg")</f>
        <v>afg</v>
      </c>
      <c r="C10" t="str">
        <f>IFERROR(__xludf.DUMMYFUNCTION("""COMPUTED_VALUE"""),"Afghanistan")</f>
        <v>Afghanistan</v>
      </c>
      <c r="D10">
        <f>IFERROR(__xludf.DUMMYFUNCTION("""COMPUTED_VALUE"""),1956.0)</f>
        <v>1956</v>
      </c>
      <c r="E10">
        <f>IFERROR(__xludf.DUMMYFUNCTION("""COMPUTED_VALUE"""),8399030.0)</f>
        <v>8399030</v>
      </c>
    </row>
    <row r="11">
      <c r="A11" t="str">
        <f t="shared" si="1"/>
        <v>afg#1957</v>
      </c>
      <c r="B11" t="str">
        <f>IFERROR(__xludf.DUMMYFUNCTION("""COMPUTED_VALUE"""),"afg")</f>
        <v>afg</v>
      </c>
      <c r="C11" t="str">
        <f>IFERROR(__xludf.DUMMYFUNCTION("""COMPUTED_VALUE"""),"Afghanistan")</f>
        <v>Afghanistan</v>
      </c>
      <c r="D11">
        <f>IFERROR(__xludf.DUMMYFUNCTION("""COMPUTED_VALUE"""),1957.0)</f>
        <v>1957</v>
      </c>
      <c r="E11">
        <f>IFERROR(__xludf.DUMMYFUNCTION("""COMPUTED_VALUE"""),8535807.0)</f>
        <v>8535807</v>
      </c>
    </row>
    <row r="12">
      <c r="A12" t="str">
        <f t="shared" si="1"/>
        <v>afg#1958</v>
      </c>
      <c r="B12" t="str">
        <f>IFERROR(__xludf.DUMMYFUNCTION("""COMPUTED_VALUE"""),"afg")</f>
        <v>afg</v>
      </c>
      <c r="C12" t="str">
        <f>IFERROR(__xludf.DUMMYFUNCTION("""COMPUTED_VALUE"""),"Afghanistan")</f>
        <v>Afghanistan</v>
      </c>
      <c r="D12">
        <f>IFERROR(__xludf.DUMMYFUNCTION("""COMPUTED_VALUE"""),1958.0)</f>
        <v>1958</v>
      </c>
      <c r="E12">
        <f>IFERROR(__xludf.DUMMYFUNCTION("""COMPUTED_VALUE"""),8680946.0)</f>
        <v>8680946</v>
      </c>
    </row>
    <row r="13">
      <c r="A13" t="str">
        <f t="shared" si="1"/>
        <v>afg#1959</v>
      </c>
      <c r="B13" t="str">
        <f>IFERROR(__xludf.DUMMYFUNCTION("""COMPUTED_VALUE"""),"afg")</f>
        <v>afg</v>
      </c>
      <c r="C13" t="str">
        <f>IFERROR(__xludf.DUMMYFUNCTION("""COMPUTED_VALUE"""),"Afghanistan")</f>
        <v>Afghanistan</v>
      </c>
      <c r="D13">
        <f>IFERROR(__xludf.DUMMYFUNCTION("""COMPUTED_VALUE"""),1959.0)</f>
        <v>1959</v>
      </c>
      <c r="E13">
        <f>IFERROR(__xludf.DUMMYFUNCTION("""COMPUTED_VALUE"""),8834445.0)</f>
        <v>8834445</v>
      </c>
    </row>
    <row r="14">
      <c r="A14" t="str">
        <f t="shared" si="1"/>
        <v>afg#1960</v>
      </c>
      <c r="B14" t="str">
        <f>IFERROR(__xludf.DUMMYFUNCTION("""COMPUTED_VALUE"""),"afg")</f>
        <v>afg</v>
      </c>
      <c r="C14" t="str">
        <f>IFERROR(__xludf.DUMMYFUNCTION("""COMPUTED_VALUE"""),"Afghanistan")</f>
        <v>Afghanistan</v>
      </c>
      <c r="D14">
        <f>IFERROR(__xludf.DUMMYFUNCTION("""COMPUTED_VALUE"""),1960.0)</f>
        <v>1960</v>
      </c>
      <c r="E14">
        <f>IFERROR(__xludf.DUMMYFUNCTION("""COMPUTED_VALUE"""),8996351.0)</f>
        <v>8996351</v>
      </c>
    </row>
    <row r="15">
      <c r="A15" t="str">
        <f t="shared" si="1"/>
        <v>afg#1961</v>
      </c>
      <c r="B15" t="str">
        <f>IFERROR(__xludf.DUMMYFUNCTION("""COMPUTED_VALUE"""),"afg")</f>
        <v>afg</v>
      </c>
      <c r="C15" t="str">
        <f>IFERROR(__xludf.DUMMYFUNCTION("""COMPUTED_VALUE"""),"Afghanistan")</f>
        <v>Afghanistan</v>
      </c>
      <c r="D15">
        <f>IFERROR(__xludf.DUMMYFUNCTION("""COMPUTED_VALUE"""),1961.0)</f>
        <v>1961</v>
      </c>
      <c r="E15">
        <f>IFERROR(__xludf.DUMMYFUNCTION("""COMPUTED_VALUE"""),9166764.0)</f>
        <v>9166764</v>
      </c>
    </row>
    <row r="16">
      <c r="A16" t="str">
        <f t="shared" si="1"/>
        <v>afg#1962</v>
      </c>
      <c r="B16" t="str">
        <f>IFERROR(__xludf.DUMMYFUNCTION("""COMPUTED_VALUE"""),"afg")</f>
        <v>afg</v>
      </c>
      <c r="C16" t="str">
        <f>IFERROR(__xludf.DUMMYFUNCTION("""COMPUTED_VALUE"""),"Afghanistan")</f>
        <v>Afghanistan</v>
      </c>
      <c r="D16">
        <f>IFERROR(__xludf.DUMMYFUNCTION("""COMPUTED_VALUE"""),1962.0)</f>
        <v>1962</v>
      </c>
      <c r="E16">
        <f>IFERROR(__xludf.DUMMYFUNCTION("""COMPUTED_VALUE"""),9345868.0)</f>
        <v>9345868</v>
      </c>
    </row>
    <row r="17">
      <c r="A17" t="str">
        <f t="shared" si="1"/>
        <v>afg#1963</v>
      </c>
      <c r="B17" t="str">
        <f>IFERROR(__xludf.DUMMYFUNCTION("""COMPUTED_VALUE"""),"afg")</f>
        <v>afg</v>
      </c>
      <c r="C17" t="str">
        <f>IFERROR(__xludf.DUMMYFUNCTION("""COMPUTED_VALUE"""),"Afghanistan")</f>
        <v>Afghanistan</v>
      </c>
      <c r="D17">
        <f>IFERROR(__xludf.DUMMYFUNCTION("""COMPUTED_VALUE"""),1963.0)</f>
        <v>1963</v>
      </c>
      <c r="E17">
        <f>IFERROR(__xludf.DUMMYFUNCTION("""COMPUTED_VALUE"""),9533954.0)</f>
        <v>9533954</v>
      </c>
    </row>
    <row r="18">
      <c r="A18" t="str">
        <f t="shared" si="1"/>
        <v>afg#1964</v>
      </c>
      <c r="B18" t="str">
        <f>IFERROR(__xludf.DUMMYFUNCTION("""COMPUTED_VALUE"""),"afg")</f>
        <v>afg</v>
      </c>
      <c r="C18" t="str">
        <f>IFERROR(__xludf.DUMMYFUNCTION("""COMPUTED_VALUE"""),"Afghanistan")</f>
        <v>Afghanistan</v>
      </c>
      <c r="D18">
        <f>IFERROR(__xludf.DUMMYFUNCTION("""COMPUTED_VALUE"""),1964.0)</f>
        <v>1964</v>
      </c>
      <c r="E18">
        <f>IFERROR(__xludf.DUMMYFUNCTION("""COMPUTED_VALUE"""),9731361.0)</f>
        <v>9731361</v>
      </c>
    </row>
    <row r="19">
      <c r="A19" t="str">
        <f t="shared" si="1"/>
        <v>afg#1965</v>
      </c>
      <c r="B19" t="str">
        <f>IFERROR(__xludf.DUMMYFUNCTION("""COMPUTED_VALUE"""),"afg")</f>
        <v>afg</v>
      </c>
      <c r="C19" t="str">
        <f>IFERROR(__xludf.DUMMYFUNCTION("""COMPUTED_VALUE"""),"Afghanistan")</f>
        <v>Afghanistan</v>
      </c>
      <c r="D19">
        <f>IFERROR(__xludf.DUMMYFUNCTION("""COMPUTED_VALUE"""),1965.0)</f>
        <v>1965</v>
      </c>
      <c r="E19">
        <f>IFERROR(__xludf.DUMMYFUNCTION("""COMPUTED_VALUE"""),9938414.0)</f>
        <v>9938414</v>
      </c>
    </row>
    <row r="20">
      <c r="A20" t="str">
        <f t="shared" si="1"/>
        <v>afg#1966</v>
      </c>
      <c r="B20" t="str">
        <f>IFERROR(__xludf.DUMMYFUNCTION("""COMPUTED_VALUE"""),"afg")</f>
        <v>afg</v>
      </c>
      <c r="C20" t="str">
        <f>IFERROR(__xludf.DUMMYFUNCTION("""COMPUTED_VALUE"""),"Afghanistan")</f>
        <v>Afghanistan</v>
      </c>
      <c r="D20">
        <f>IFERROR(__xludf.DUMMYFUNCTION("""COMPUTED_VALUE"""),1966.0)</f>
        <v>1966</v>
      </c>
      <c r="E20">
        <f>IFERROR(__xludf.DUMMYFUNCTION("""COMPUTED_VALUE"""),1.0152331E7)</f>
        <v>10152331</v>
      </c>
    </row>
    <row r="21">
      <c r="A21" t="str">
        <f t="shared" si="1"/>
        <v>afg#1967</v>
      </c>
      <c r="B21" t="str">
        <f>IFERROR(__xludf.DUMMYFUNCTION("""COMPUTED_VALUE"""),"afg")</f>
        <v>afg</v>
      </c>
      <c r="C21" t="str">
        <f>IFERROR(__xludf.DUMMYFUNCTION("""COMPUTED_VALUE"""),"Afghanistan")</f>
        <v>Afghanistan</v>
      </c>
      <c r="D21">
        <f>IFERROR(__xludf.DUMMYFUNCTION("""COMPUTED_VALUE"""),1967.0)</f>
        <v>1967</v>
      </c>
      <c r="E21">
        <f>IFERROR(__xludf.DUMMYFUNCTION("""COMPUTED_VALUE"""),1.037263E7)</f>
        <v>10372630</v>
      </c>
    </row>
    <row r="22">
      <c r="A22" t="str">
        <f t="shared" si="1"/>
        <v>afg#1968</v>
      </c>
      <c r="B22" t="str">
        <f>IFERROR(__xludf.DUMMYFUNCTION("""COMPUTED_VALUE"""),"afg")</f>
        <v>afg</v>
      </c>
      <c r="C22" t="str">
        <f>IFERROR(__xludf.DUMMYFUNCTION("""COMPUTED_VALUE"""),"Afghanistan")</f>
        <v>Afghanistan</v>
      </c>
      <c r="D22">
        <f>IFERROR(__xludf.DUMMYFUNCTION("""COMPUTED_VALUE"""),1968.0)</f>
        <v>1968</v>
      </c>
      <c r="E22">
        <f>IFERROR(__xludf.DUMMYFUNCTION("""COMPUTED_VALUE"""),1.0604346E7)</f>
        <v>10604346</v>
      </c>
    </row>
    <row r="23">
      <c r="A23" t="str">
        <f t="shared" si="1"/>
        <v>afg#1969</v>
      </c>
      <c r="B23" t="str">
        <f>IFERROR(__xludf.DUMMYFUNCTION("""COMPUTED_VALUE"""),"afg")</f>
        <v>afg</v>
      </c>
      <c r="C23" t="str">
        <f>IFERROR(__xludf.DUMMYFUNCTION("""COMPUTED_VALUE"""),"Afghanistan")</f>
        <v>Afghanistan</v>
      </c>
      <c r="D23">
        <f>IFERROR(__xludf.DUMMYFUNCTION("""COMPUTED_VALUE"""),1969.0)</f>
        <v>1969</v>
      </c>
      <c r="E23">
        <f>IFERROR(__xludf.DUMMYFUNCTION("""COMPUTED_VALUE"""),1.0854428E7)</f>
        <v>10854428</v>
      </c>
    </row>
    <row r="24">
      <c r="A24" t="str">
        <f t="shared" si="1"/>
        <v>afg#1970</v>
      </c>
      <c r="B24" t="str">
        <f>IFERROR(__xludf.DUMMYFUNCTION("""COMPUTED_VALUE"""),"afg")</f>
        <v>afg</v>
      </c>
      <c r="C24" t="str">
        <f>IFERROR(__xludf.DUMMYFUNCTION("""COMPUTED_VALUE"""),"Afghanistan")</f>
        <v>Afghanistan</v>
      </c>
      <c r="D24">
        <f>IFERROR(__xludf.DUMMYFUNCTION("""COMPUTED_VALUE"""),1970.0)</f>
        <v>1970</v>
      </c>
      <c r="E24">
        <f>IFERROR(__xludf.DUMMYFUNCTION("""COMPUTED_VALUE"""),1.1126123E7)</f>
        <v>11126123</v>
      </c>
    </row>
    <row r="25">
      <c r="A25" t="str">
        <f t="shared" si="1"/>
        <v>afg#1971</v>
      </c>
      <c r="B25" t="str">
        <f>IFERROR(__xludf.DUMMYFUNCTION("""COMPUTED_VALUE"""),"afg")</f>
        <v>afg</v>
      </c>
      <c r="C25" t="str">
        <f>IFERROR(__xludf.DUMMYFUNCTION("""COMPUTED_VALUE"""),"Afghanistan")</f>
        <v>Afghanistan</v>
      </c>
      <c r="D25">
        <f>IFERROR(__xludf.DUMMYFUNCTION("""COMPUTED_VALUE"""),1971.0)</f>
        <v>1971</v>
      </c>
      <c r="E25">
        <f>IFERROR(__xludf.DUMMYFUNCTION("""COMPUTED_VALUE"""),1.1417825E7)</f>
        <v>11417825</v>
      </c>
    </row>
    <row r="26">
      <c r="A26" t="str">
        <f t="shared" si="1"/>
        <v>afg#1972</v>
      </c>
      <c r="B26" t="str">
        <f>IFERROR(__xludf.DUMMYFUNCTION("""COMPUTED_VALUE"""),"afg")</f>
        <v>afg</v>
      </c>
      <c r="C26" t="str">
        <f>IFERROR(__xludf.DUMMYFUNCTION("""COMPUTED_VALUE"""),"Afghanistan")</f>
        <v>Afghanistan</v>
      </c>
      <c r="D26">
        <f>IFERROR(__xludf.DUMMYFUNCTION("""COMPUTED_VALUE"""),1972.0)</f>
        <v>1972</v>
      </c>
      <c r="E26">
        <f>IFERROR(__xludf.DUMMYFUNCTION("""COMPUTED_VALUE"""),1.172194E7)</f>
        <v>11721940</v>
      </c>
    </row>
    <row r="27">
      <c r="A27" t="str">
        <f t="shared" si="1"/>
        <v>afg#1973</v>
      </c>
      <c r="B27" t="str">
        <f>IFERROR(__xludf.DUMMYFUNCTION("""COMPUTED_VALUE"""),"afg")</f>
        <v>afg</v>
      </c>
      <c r="C27" t="str">
        <f>IFERROR(__xludf.DUMMYFUNCTION("""COMPUTED_VALUE"""),"Afghanistan")</f>
        <v>Afghanistan</v>
      </c>
      <c r="D27">
        <f>IFERROR(__xludf.DUMMYFUNCTION("""COMPUTED_VALUE"""),1973.0)</f>
        <v>1973</v>
      </c>
      <c r="E27">
        <f>IFERROR(__xludf.DUMMYFUNCTION("""COMPUTED_VALUE"""),1.2027822E7)</f>
        <v>12027822</v>
      </c>
    </row>
    <row r="28">
      <c r="A28" t="str">
        <f t="shared" si="1"/>
        <v>afg#1974</v>
      </c>
      <c r="B28" t="str">
        <f>IFERROR(__xludf.DUMMYFUNCTION("""COMPUTED_VALUE"""),"afg")</f>
        <v>afg</v>
      </c>
      <c r="C28" t="str">
        <f>IFERROR(__xludf.DUMMYFUNCTION("""COMPUTED_VALUE"""),"Afghanistan")</f>
        <v>Afghanistan</v>
      </c>
      <c r="D28">
        <f>IFERROR(__xludf.DUMMYFUNCTION("""COMPUTED_VALUE"""),1974.0)</f>
        <v>1974</v>
      </c>
      <c r="E28">
        <f>IFERROR(__xludf.DUMMYFUNCTION("""COMPUTED_VALUE"""),1.2321541E7)</f>
        <v>12321541</v>
      </c>
    </row>
    <row r="29">
      <c r="A29" t="str">
        <f t="shared" si="1"/>
        <v>afg#1975</v>
      </c>
      <c r="B29" t="str">
        <f>IFERROR(__xludf.DUMMYFUNCTION("""COMPUTED_VALUE"""),"afg")</f>
        <v>afg</v>
      </c>
      <c r="C29" t="str">
        <f>IFERROR(__xludf.DUMMYFUNCTION("""COMPUTED_VALUE"""),"Afghanistan")</f>
        <v>Afghanistan</v>
      </c>
      <c r="D29">
        <f>IFERROR(__xludf.DUMMYFUNCTION("""COMPUTED_VALUE"""),1975.0)</f>
        <v>1975</v>
      </c>
      <c r="E29">
        <f>IFERROR(__xludf.DUMMYFUNCTION("""COMPUTED_VALUE"""),1.2590286E7)</f>
        <v>12590286</v>
      </c>
    </row>
    <row r="30">
      <c r="A30" t="str">
        <f t="shared" si="1"/>
        <v>afg#1976</v>
      </c>
      <c r="B30" t="str">
        <f>IFERROR(__xludf.DUMMYFUNCTION("""COMPUTED_VALUE"""),"afg")</f>
        <v>afg</v>
      </c>
      <c r="C30" t="str">
        <f>IFERROR(__xludf.DUMMYFUNCTION("""COMPUTED_VALUE"""),"Afghanistan")</f>
        <v>Afghanistan</v>
      </c>
      <c r="D30">
        <f>IFERROR(__xludf.DUMMYFUNCTION("""COMPUTED_VALUE"""),1976.0)</f>
        <v>1976</v>
      </c>
      <c r="E30">
        <f>IFERROR(__xludf.DUMMYFUNCTION("""COMPUTED_VALUE"""),1.2840299E7)</f>
        <v>12840299</v>
      </c>
    </row>
    <row r="31">
      <c r="A31" t="str">
        <f t="shared" si="1"/>
        <v>afg#1977</v>
      </c>
      <c r="B31" t="str">
        <f>IFERROR(__xludf.DUMMYFUNCTION("""COMPUTED_VALUE"""),"afg")</f>
        <v>afg</v>
      </c>
      <c r="C31" t="str">
        <f>IFERROR(__xludf.DUMMYFUNCTION("""COMPUTED_VALUE"""),"Afghanistan")</f>
        <v>Afghanistan</v>
      </c>
      <c r="D31">
        <f>IFERROR(__xludf.DUMMYFUNCTION("""COMPUTED_VALUE"""),1977.0)</f>
        <v>1977</v>
      </c>
      <c r="E31">
        <f>IFERROR(__xludf.DUMMYFUNCTION("""COMPUTED_VALUE"""),1.3067538E7)</f>
        <v>13067538</v>
      </c>
    </row>
    <row r="32">
      <c r="A32" t="str">
        <f t="shared" si="1"/>
        <v>afg#1978</v>
      </c>
      <c r="B32" t="str">
        <f>IFERROR(__xludf.DUMMYFUNCTION("""COMPUTED_VALUE"""),"afg")</f>
        <v>afg</v>
      </c>
      <c r="C32" t="str">
        <f>IFERROR(__xludf.DUMMYFUNCTION("""COMPUTED_VALUE"""),"Afghanistan")</f>
        <v>Afghanistan</v>
      </c>
      <c r="D32">
        <f>IFERROR(__xludf.DUMMYFUNCTION("""COMPUTED_VALUE"""),1978.0)</f>
        <v>1978</v>
      </c>
      <c r="E32">
        <f>IFERROR(__xludf.DUMMYFUNCTION("""COMPUTED_VALUE"""),1.3237734E7)</f>
        <v>13237734</v>
      </c>
    </row>
    <row r="33">
      <c r="A33" t="str">
        <f t="shared" si="1"/>
        <v>afg#1979</v>
      </c>
      <c r="B33" t="str">
        <f>IFERROR(__xludf.DUMMYFUNCTION("""COMPUTED_VALUE"""),"afg")</f>
        <v>afg</v>
      </c>
      <c r="C33" t="str">
        <f>IFERROR(__xludf.DUMMYFUNCTION("""COMPUTED_VALUE"""),"Afghanistan")</f>
        <v>Afghanistan</v>
      </c>
      <c r="D33">
        <f>IFERROR(__xludf.DUMMYFUNCTION("""COMPUTED_VALUE"""),1979.0)</f>
        <v>1979</v>
      </c>
      <c r="E33">
        <f>IFERROR(__xludf.DUMMYFUNCTION("""COMPUTED_VALUE"""),1.3306695E7)</f>
        <v>13306695</v>
      </c>
    </row>
    <row r="34">
      <c r="A34" t="str">
        <f t="shared" si="1"/>
        <v>afg#1980</v>
      </c>
      <c r="B34" t="str">
        <f>IFERROR(__xludf.DUMMYFUNCTION("""COMPUTED_VALUE"""),"afg")</f>
        <v>afg</v>
      </c>
      <c r="C34" t="str">
        <f>IFERROR(__xludf.DUMMYFUNCTION("""COMPUTED_VALUE"""),"Afghanistan")</f>
        <v>Afghanistan</v>
      </c>
      <c r="D34">
        <f>IFERROR(__xludf.DUMMYFUNCTION("""COMPUTED_VALUE"""),1980.0)</f>
        <v>1980</v>
      </c>
      <c r="E34">
        <f>IFERROR(__xludf.DUMMYFUNCTION("""COMPUTED_VALUE"""),1.324837E7)</f>
        <v>13248370</v>
      </c>
    </row>
    <row r="35">
      <c r="A35" t="str">
        <f t="shared" si="1"/>
        <v>afg#1981</v>
      </c>
      <c r="B35" t="str">
        <f>IFERROR(__xludf.DUMMYFUNCTION("""COMPUTED_VALUE"""),"afg")</f>
        <v>afg</v>
      </c>
      <c r="C35" t="str">
        <f>IFERROR(__xludf.DUMMYFUNCTION("""COMPUTED_VALUE"""),"Afghanistan")</f>
        <v>Afghanistan</v>
      </c>
      <c r="D35">
        <f>IFERROR(__xludf.DUMMYFUNCTION("""COMPUTED_VALUE"""),1981.0)</f>
        <v>1981</v>
      </c>
      <c r="E35">
        <f>IFERROR(__xludf.DUMMYFUNCTION("""COMPUTED_VALUE"""),1.3053954E7)</f>
        <v>13053954</v>
      </c>
    </row>
    <row r="36">
      <c r="A36" t="str">
        <f t="shared" si="1"/>
        <v>afg#1982</v>
      </c>
      <c r="B36" t="str">
        <f>IFERROR(__xludf.DUMMYFUNCTION("""COMPUTED_VALUE"""),"afg")</f>
        <v>afg</v>
      </c>
      <c r="C36" t="str">
        <f>IFERROR(__xludf.DUMMYFUNCTION("""COMPUTED_VALUE"""),"Afghanistan")</f>
        <v>Afghanistan</v>
      </c>
      <c r="D36">
        <f>IFERROR(__xludf.DUMMYFUNCTION("""COMPUTED_VALUE"""),1982.0)</f>
        <v>1982</v>
      </c>
      <c r="E36">
        <f>IFERROR(__xludf.DUMMYFUNCTION("""COMPUTED_VALUE"""),1.2749645E7)</f>
        <v>12749645</v>
      </c>
    </row>
    <row r="37">
      <c r="A37" t="str">
        <f t="shared" si="1"/>
        <v>afg#1983</v>
      </c>
      <c r="B37" t="str">
        <f>IFERROR(__xludf.DUMMYFUNCTION("""COMPUTED_VALUE"""),"afg")</f>
        <v>afg</v>
      </c>
      <c r="C37" t="str">
        <f>IFERROR(__xludf.DUMMYFUNCTION("""COMPUTED_VALUE"""),"Afghanistan")</f>
        <v>Afghanistan</v>
      </c>
      <c r="D37">
        <f>IFERROR(__xludf.DUMMYFUNCTION("""COMPUTED_VALUE"""),1983.0)</f>
        <v>1983</v>
      </c>
      <c r="E37">
        <f>IFERROR(__xludf.DUMMYFUNCTION("""COMPUTED_VALUE"""),1.2389269E7)</f>
        <v>12389269</v>
      </c>
    </row>
    <row r="38">
      <c r="A38" t="str">
        <f t="shared" si="1"/>
        <v>afg#1984</v>
      </c>
      <c r="B38" t="str">
        <f>IFERROR(__xludf.DUMMYFUNCTION("""COMPUTED_VALUE"""),"afg")</f>
        <v>afg</v>
      </c>
      <c r="C38" t="str">
        <f>IFERROR(__xludf.DUMMYFUNCTION("""COMPUTED_VALUE"""),"Afghanistan")</f>
        <v>Afghanistan</v>
      </c>
      <c r="D38">
        <f>IFERROR(__xludf.DUMMYFUNCTION("""COMPUTED_VALUE"""),1984.0)</f>
        <v>1984</v>
      </c>
      <c r="E38">
        <f>IFERROR(__xludf.DUMMYFUNCTION("""COMPUTED_VALUE"""),1.2047115E7)</f>
        <v>12047115</v>
      </c>
    </row>
    <row r="39">
      <c r="A39" t="str">
        <f t="shared" si="1"/>
        <v>afg#1985</v>
      </c>
      <c r="B39" t="str">
        <f>IFERROR(__xludf.DUMMYFUNCTION("""COMPUTED_VALUE"""),"afg")</f>
        <v>afg</v>
      </c>
      <c r="C39" t="str">
        <f>IFERROR(__xludf.DUMMYFUNCTION("""COMPUTED_VALUE"""),"Afghanistan")</f>
        <v>Afghanistan</v>
      </c>
      <c r="D39">
        <f>IFERROR(__xludf.DUMMYFUNCTION("""COMPUTED_VALUE"""),1985.0)</f>
        <v>1985</v>
      </c>
      <c r="E39">
        <f>IFERROR(__xludf.DUMMYFUNCTION("""COMPUTED_VALUE"""),1.178305E7)</f>
        <v>11783050</v>
      </c>
    </row>
    <row r="40">
      <c r="A40" t="str">
        <f t="shared" si="1"/>
        <v>afg#1986</v>
      </c>
      <c r="B40" t="str">
        <f>IFERROR(__xludf.DUMMYFUNCTION("""COMPUTED_VALUE"""),"afg")</f>
        <v>afg</v>
      </c>
      <c r="C40" t="str">
        <f>IFERROR(__xludf.DUMMYFUNCTION("""COMPUTED_VALUE"""),"Afghanistan")</f>
        <v>Afghanistan</v>
      </c>
      <c r="D40">
        <f>IFERROR(__xludf.DUMMYFUNCTION("""COMPUTED_VALUE"""),1986.0)</f>
        <v>1986</v>
      </c>
      <c r="E40">
        <f>IFERROR(__xludf.DUMMYFUNCTION("""COMPUTED_VALUE"""),1.1601041E7)</f>
        <v>11601041</v>
      </c>
    </row>
    <row r="41">
      <c r="A41" t="str">
        <f t="shared" si="1"/>
        <v>afg#1987</v>
      </c>
      <c r="B41" t="str">
        <f>IFERROR(__xludf.DUMMYFUNCTION("""COMPUTED_VALUE"""),"afg")</f>
        <v>afg</v>
      </c>
      <c r="C41" t="str">
        <f>IFERROR(__xludf.DUMMYFUNCTION("""COMPUTED_VALUE"""),"Afghanistan")</f>
        <v>Afghanistan</v>
      </c>
      <c r="D41">
        <f>IFERROR(__xludf.DUMMYFUNCTION("""COMPUTED_VALUE"""),1987.0)</f>
        <v>1987</v>
      </c>
      <c r="E41">
        <f>IFERROR(__xludf.DUMMYFUNCTION("""COMPUTED_VALUE"""),1.1502761E7)</f>
        <v>11502761</v>
      </c>
    </row>
    <row r="42">
      <c r="A42" t="str">
        <f t="shared" si="1"/>
        <v>afg#1988</v>
      </c>
      <c r="B42" t="str">
        <f>IFERROR(__xludf.DUMMYFUNCTION("""COMPUTED_VALUE"""),"afg")</f>
        <v>afg</v>
      </c>
      <c r="C42" t="str">
        <f>IFERROR(__xludf.DUMMYFUNCTION("""COMPUTED_VALUE"""),"Afghanistan")</f>
        <v>Afghanistan</v>
      </c>
      <c r="D42">
        <f>IFERROR(__xludf.DUMMYFUNCTION("""COMPUTED_VALUE"""),1988.0)</f>
        <v>1988</v>
      </c>
      <c r="E42">
        <f>IFERROR(__xludf.DUMMYFUNCTION("""COMPUTED_VALUE"""),1.1540888E7)</f>
        <v>11540888</v>
      </c>
    </row>
    <row r="43">
      <c r="A43" t="str">
        <f t="shared" si="1"/>
        <v>afg#1989</v>
      </c>
      <c r="B43" t="str">
        <f>IFERROR(__xludf.DUMMYFUNCTION("""COMPUTED_VALUE"""),"afg")</f>
        <v>afg</v>
      </c>
      <c r="C43" t="str">
        <f>IFERROR(__xludf.DUMMYFUNCTION("""COMPUTED_VALUE"""),"Afghanistan")</f>
        <v>Afghanistan</v>
      </c>
      <c r="D43">
        <f>IFERROR(__xludf.DUMMYFUNCTION("""COMPUTED_VALUE"""),1989.0)</f>
        <v>1989</v>
      </c>
      <c r="E43">
        <f>IFERROR(__xludf.DUMMYFUNCTION("""COMPUTED_VALUE"""),1.1777609E7)</f>
        <v>11777609</v>
      </c>
    </row>
    <row r="44">
      <c r="A44" t="str">
        <f t="shared" si="1"/>
        <v>afg#1990</v>
      </c>
      <c r="B44" t="str">
        <f>IFERROR(__xludf.DUMMYFUNCTION("""COMPUTED_VALUE"""),"afg")</f>
        <v>afg</v>
      </c>
      <c r="C44" t="str">
        <f>IFERROR(__xludf.DUMMYFUNCTION("""COMPUTED_VALUE"""),"Afghanistan")</f>
        <v>Afghanistan</v>
      </c>
      <c r="D44">
        <f>IFERROR(__xludf.DUMMYFUNCTION("""COMPUTED_VALUE"""),1990.0)</f>
        <v>1990</v>
      </c>
      <c r="E44">
        <f>IFERROR(__xludf.DUMMYFUNCTION("""COMPUTED_VALUE"""),1.2249114E7)</f>
        <v>12249114</v>
      </c>
    </row>
    <row r="45">
      <c r="A45" t="str">
        <f t="shared" si="1"/>
        <v>afg#1991</v>
      </c>
      <c r="B45" t="str">
        <f>IFERROR(__xludf.DUMMYFUNCTION("""COMPUTED_VALUE"""),"afg")</f>
        <v>afg</v>
      </c>
      <c r="C45" t="str">
        <f>IFERROR(__xludf.DUMMYFUNCTION("""COMPUTED_VALUE"""),"Afghanistan")</f>
        <v>Afghanistan</v>
      </c>
      <c r="D45">
        <f>IFERROR(__xludf.DUMMYFUNCTION("""COMPUTED_VALUE"""),1991.0)</f>
        <v>1991</v>
      </c>
      <c r="E45">
        <f>IFERROR(__xludf.DUMMYFUNCTION("""COMPUTED_VALUE"""),1.2993657E7)</f>
        <v>12993657</v>
      </c>
    </row>
    <row r="46">
      <c r="A46" t="str">
        <f t="shared" si="1"/>
        <v>afg#1992</v>
      </c>
      <c r="B46" t="str">
        <f>IFERROR(__xludf.DUMMYFUNCTION("""COMPUTED_VALUE"""),"afg")</f>
        <v>afg</v>
      </c>
      <c r="C46" t="str">
        <f>IFERROR(__xludf.DUMMYFUNCTION("""COMPUTED_VALUE"""),"Afghanistan")</f>
        <v>Afghanistan</v>
      </c>
      <c r="D46">
        <f>IFERROR(__xludf.DUMMYFUNCTION("""COMPUTED_VALUE"""),1992.0)</f>
        <v>1992</v>
      </c>
      <c r="E46">
        <f>IFERROR(__xludf.DUMMYFUNCTION("""COMPUTED_VALUE"""),1.3981231E7)</f>
        <v>13981231</v>
      </c>
    </row>
    <row r="47">
      <c r="A47" t="str">
        <f t="shared" si="1"/>
        <v>afg#1993</v>
      </c>
      <c r="B47" t="str">
        <f>IFERROR(__xludf.DUMMYFUNCTION("""COMPUTED_VALUE"""),"afg")</f>
        <v>afg</v>
      </c>
      <c r="C47" t="str">
        <f>IFERROR(__xludf.DUMMYFUNCTION("""COMPUTED_VALUE"""),"Afghanistan")</f>
        <v>Afghanistan</v>
      </c>
      <c r="D47">
        <f>IFERROR(__xludf.DUMMYFUNCTION("""COMPUTED_VALUE"""),1993.0)</f>
        <v>1993</v>
      </c>
      <c r="E47">
        <f>IFERROR(__xludf.DUMMYFUNCTION("""COMPUTED_VALUE"""),1.5095099E7)</f>
        <v>15095099</v>
      </c>
    </row>
    <row r="48">
      <c r="A48" t="str">
        <f t="shared" si="1"/>
        <v>afg#1994</v>
      </c>
      <c r="B48" t="str">
        <f>IFERROR(__xludf.DUMMYFUNCTION("""COMPUTED_VALUE"""),"afg")</f>
        <v>afg</v>
      </c>
      <c r="C48" t="str">
        <f>IFERROR(__xludf.DUMMYFUNCTION("""COMPUTED_VALUE"""),"Afghanistan")</f>
        <v>Afghanistan</v>
      </c>
      <c r="D48">
        <f>IFERROR(__xludf.DUMMYFUNCTION("""COMPUTED_VALUE"""),1994.0)</f>
        <v>1994</v>
      </c>
      <c r="E48">
        <f>IFERROR(__xludf.DUMMYFUNCTION("""COMPUTED_VALUE"""),1.6172719E7)</f>
        <v>16172719</v>
      </c>
    </row>
    <row r="49">
      <c r="A49" t="str">
        <f t="shared" si="1"/>
        <v>afg#1995</v>
      </c>
      <c r="B49" t="str">
        <f>IFERROR(__xludf.DUMMYFUNCTION("""COMPUTED_VALUE"""),"afg")</f>
        <v>afg</v>
      </c>
      <c r="C49" t="str">
        <f>IFERROR(__xludf.DUMMYFUNCTION("""COMPUTED_VALUE"""),"Afghanistan")</f>
        <v>Afghanistan</v>
      </c>
      <c r="D49">
        <f>IFERROR(__xludf.DUMMYFUNCTION("""COMPUTED_VALUE"""),1995.0)</f>
        <v>1995</v>
      </c>
      <c r="E49">
        <f>IFERROR(__xludf.DUMMYFUNCTION("""COMPUTED_VALUE"""),1.7099541E7)</f>
        <v>17099541</v>
      </c>
    </row>
    <row r="50">
      <c r="A50" t="str">
        <f t="shared" si="1"/>
        <v>afg#1996</v>
      </c>
      <c r="B50" t="str">
        <f>IFERROR(__xludf.DUMMYFUNCTION("""COMPUTED_VALUE"""),"afg")</f>
        <v>afg</v>
      </c>
      <c r="C50" t="str">
        <f>IFERROR(__xludf.DUMMYFUNCTION("""COMPUTED_VALUE"""),"Afghanistan")</f>
        <v>Afghanistan</v>
      </c>
      <c r="D50">
        <f>IFERROR(__xludf.DUMMYFUNCTION("""COMPUTED_VALUE"""),1996.0)</f>
        <v>1996</v>
      </c>
      <c r="E50">
        <f>IFERROR(__xludf.DUMMYFUNCTION("""COMPUTED_VALUE"""),1.7822884E7)</f>
        <v>17822884</v>
      </c>
    </row>
    <row r="51">
      <c r="A51" t="str">
        <f t="shared" si="1"/>
        <v>afg#1997</v>
      </c>
      <c r="B51" t="str">
        <f>IFERROR(__xludf.DUMMYFUNCTION("""COMPUTED_VALUE"""),"afg")</f>
        <v>afg</v>
      </c>
      <c r="C51" t="str">
        <f>IFERROR(__xludf.DUMMYFUNCTION("""COMPUTED_VALUE"""),"Afghanistan")</f>
        <v>Afghanistan</v>
      </c>
      <c r="D51">
        <f>IFERROR(__xludf.DUMMYFUNCTION("""COMPUTED_VALUE"""),1997.0)</f>
        <v>1997</v>
      </c>
      <c r="E51">
        <f>IFERROR(__xludf.DUMMYFUNCTION("""COMPUTED_VALUE"""),1.8381605E7)</f>
        <v>18381605</v>
      </c>
    </row>
    <row r="52">
      <c r="A52" t="str">
        <f t="shared" si="1"/>
        <v>afg#1998</v>
      </c>
      <c r="B52" t="str">
        <f>IFERROR(__xludf.DUMMYFUNCTION("""COMPUTED_VALUE"""),"afg")</f>
        <v>afg</v>
      </c>
      <c r="C52" t="str">
        <f>IFERROR(__xludf.DUMMYFUNCTION("""COMPUTED_VALUE"""),"Afghanistan")</f>
        <v>Afghanistan</v>
      </c>
      <c r="D52">
        <f>IFERROR(__xludf.DUMMYFUNCTION("""COMPUTED_VALUE"""),1998.0)</f>
        <v>1998</v>
      </c>
      <c r="E52">
        <f>IFERROR(__xludf.DUMMYFUNCTION("""COMPUTED_VALUE"""),1.8863999E7)</f>
        <v>18863999</v>
      </c>
    </row>
    <row r="53">
      <c r="A53" t="str">
        <f t="shared" si="1"/>
        <v>afg#1999</v>
      </c>
      <c r="B53" t="str">
        <f>IFERROR(__xludf.DUMMYFUNCTION("""COMPUTED_VALUE"""),"afg")</f>
        <v>afg</v>
      </c>
      <c r="C53" t="str">
        <f>IFERROR(__xludf.DUMMYFUNCTION("""COMPUTED_VALUE"""),"Afghanistan")</f>
        <v>Afghanistan</v>
      </c>
      <c r="D53">
        <f>IFERROR(__xludf.DUMMYFUNCTION("""COMPUTED_VALUE"""),1999.0)</f>
        <v>1999</v>
      </c>
      <c r="E53">
        <f>IFERROR(__xludf.DUMMYFUNCTION("""COMPUTED_VALUE"""),1.9403676E7)</f>
        <v>19403676</v>
      </c>
    </row>
    <row r="54">
      <c r="A54" t="str">
        <f t="shared" si="1"/>
        <v>afg#2000</v>
      </c>
      <c r="B54" t="str">
        <f>IFERROR(__xludf.DUMMYFUNCTION("""COMPUTED_VALUE"""),"afg")</f>
        <v>afg</v>
      </c>
      <c r="C54" t="str">
        <f>IFERROR(__xludf.DUMMYFUNCTION("""COMPUTED_VALUE"""),"Afghanistan")</f>
        <v>Afghanistan</v>
      </c>
      <c r="D54">
        <f>IFERROR(__xludf.DUMMYFUNCTION("""COMPUTED_VALUE"""),2000.0)</f>
        <v>2000</v>
      </c>
      <c r="E54">
        <f>IFERROR(__xludf.DUMMYFUNCTION("""COMPUTED_VALUE"""),2.0093756E7)</f>
        <v>20093756</v>
      </c>
    </row>
    <row r="55">
      <c r="A55" t="str">
        <f t="shared" si="1"/>
        <v>afg#2001</v>
      </c>
      <c r="B55" t="str">
        <f>IFERROR(__xludf.DUMMYFUNCTION("""COMPUTED_VALUE"""),"afg")</f>
        <v>afg</v>
      </c>
      <c r="C55" t="str">
        <f>IFERROR(__xludf.DUMMYFUNCTION("""COMPUTED_VALUE"""),"Afghanistan")</f>
        <v>Afghanistan</v>
      </c>
      <c r="D55">
        <f>IFERROR(__xludf.DUMMYFUNCTION("""COMPUTED_VALUE"""),2001.0)</f>
        <v>2001</v>
      </c>
      <c r="E55">
        <f>IFERROR(__xludf.DUMMYFUNCTION("""COMPUTED_VALUE"""),2.0966463E7)</f>
        <v>20966463</v>
      </c>
    </row>
    <row r="56">
      <c r="A56" t="str">
        <f t="shared" si="1"/>
        <v>afg#2002</v>
      </c>
      <c r="B56" t="str">
        <f>IFERROR(__xludf.DUMMYFUNCTION("""COMPUTED_VALUE"""),"afg")</f>
        <v>afg</v>
      </c>
      <c r="C56" t="str">
        <f>IFERROR(__xludf.DUMMYFUNCTION("""COMPUTED_VALUE"""),"Afghanistan")</f>
        <v>Afghanistan</v>
      </c>
      <c r="D56">
        <f>IFERROR(__xludf.DUMMYFUNCTION("""COMPUTED_VALUE"""),2002.0)</f>
        <v>2002</v>
      </c>
      <c r="E56">
        <f>IFERROR(__xludf.DUMMYFUNCTION("""COMPUTED_VALUE"""),2.1979923E7)</f>
        <v>21979923</v>
      </c>
    </row>
    <row r="57">
      <c r="A57" t="str">
        <f t="shared" si="1"/>
        <v>afg#2003</v>
      </c>
      <c r="B57" t="str">
        <f>IFERROR(__xludf.DUMMYFUNCTION("""COMPUTED_VALUE"""),"afg")</f>
        <v>afg</v>
      </c>
      <c r="C57" t="str">
        <f>IFERROR(__xludf.DUMMYFUNCTION("""COMPUTED_VALUE"""),"Afghanistan")</f>
        <v>Afghanistan</v>
      </c>
      <c r="D57">
        <f>IFERROR(__xludf.DUMMYFUNCTION("""COMPUTED_VALUE"""),2003.0)</f>
        <v>2003</v>
      </c>
      <c r="E57">
        <f>IFERROR(__xludf.DUMMYFUNCTION("""COMPUTED_VALUE"""),2.3064851E7)</f>
        <v>23064851</v>
      </c>
    </row>
    <row r="58">
      <c r="A58" t="str">
        <f t="shared" si="1"/>
        <v>afg#2004</v>
      </c>
      <c r="B58" t="str">
        <f>IFERROR(__xludf.DUMMYFUNCTION("""COMPUTED_VALUE"""),"afg")</f>
        <v>afg</v>
      </c>
      <c r="C58" t="str">
        <f>IFERROR(__xludf.DUMMYFUNCTION("""COMPUTED_VALUE"""),"Afghanistan")</f>
        <v>Afghanistan</v>
      </c>
      <c r="D58">
        <f>IFERROR(__xludf.DUMMYFUNCTION("""COMPUTED_VALUE"""),2004.0)</f>
        <v>2004</v>
      </c>
      <c r="E58">
        <f>IFERROR(__xludf.DUMMYFUNCTION("""COMPUTED_VALUE"""),2.4118979E7)</f>
        <v>24118979</v>
      </c>
    </row>
    <row r="59">
      <c r="A59" t="str">
        <f t="shared" si="1"/>
        <v>afg#2005</v>
      </c>
      <c r="B59" t="str">
        <f>IFERROR(__xludf.DUMMYFUNCTION("""COMPUTED_VALUE"""),"afg")</f>
        <v>afg</v>
      </c>
      <c r="C59" t="str">
        <f>IFERROR(__xludf.DUMMYFUNCTION("""COMPUTED_VALUE"""),"Afghanistan")</f>
        <v>Afghanistan</v>
      </c>
      <c r="D59">
        <f>IFERROR(__xludf.DUMMYFUNCTION("""COMPUTED_VALUE"""),2005.0)</f>
        <v>2005</v>
      </c>
      <c r="E59">
        <f>IFERROR(__xludf.DUMMYFUNCTION("""COMPUTED_VALUE"""),2.5070798E7)</f>
        <v>25070798</v>
      </c>
    </row>
    <row r="60">
      <c r="A60" t="str">
        <f t="shared" si="1"/>
        <v>afg#2006</v>
      </c>
      <c r="B60" t="str">
        <f>IFERROR(__xludf.DUMMYFUNCTION("""COMPUTED_VALUE"""),"afg")</f>
        <v>afg</v>
      </c>
      <c r="C60" t="str">
        <f>IFERROR(__xludf.DUMMYFUNCTION("""COMPUTED_VALUE"""),"Afghanistan")</f>
        <v>Afghanistan</v>
      </c>
      <c r="D60">
        <f>IFERROR(__xludf.DUMMYFUNCTION("""COMPUTED_VALUE"""),2006.0)</f>
        <v>2006</v>
      </c>
      <c r="E60">
        <f>IFERROR(__xludf.DUMMYFUNCTION("""COMPUTED_VALUE"""),2.589345E7)</f>
        <v>25893450</v>
      </c>
    </row>
    <row r="61">
      <c r="A61" t="str">
        <f t="shared" si="1"/>
        <v>afg#2007</v>
      </c>
      <c r="B61" t="str">
        <f>IFERROR(__xludf.DUMMYFUNCTION("""COMPUTED_VALUE"""),"afg")</f>
        <v>afg</v>
      </c>
      <c r="C61" t="str">
        <f>IFERROR(__xludf.DUMMYFUNCTION("""COMPUTED_VALUE"""),"Afghanistan")</f>
        <v>Afghanistan</v>
      </c>
      <c r="D61">
        <f>IFERROR(__xludf.DUMMYFUNCTION("""COMPUTED_VALUE"""),2007.0)</f>
        <v>2007</v>
      </c>
      <c r="E61">
        <f>IFERROR(__xludf.DUMMYFUNCTION("""COMPUTED_VALUE"""),2.6616792E7)</f>
        <v>26616792</v>
      </c>
    </row>
    <row r="62">
      <c r="A62" t="str">
        <f t="shared" si="1"/>
        <v>afg#2008</v>
      </c>
      <c r="B62" t="str">
        <f>IFERROR(__xludf.DUMMYFUNCTION("""COMPUTED_VALUE"""),"afg")</f>
        <v>afg</v>
      </c>
      <c r="C62" t="str">
        <f>IFERROR(__xludf.DUMMYFUNCTION("""COMPUTED_VALUE"""),"Afghanistan")</f>
        <v>Afghanistan</v>
      </c>
      <c r="D62">
        <f>IFERROR(__xludf.DUMMYFUNCTION("""COMPUTED_VALUE"""),2008.0)</f>
        <v>2008</v>
      </c>
      <c r="E62">
        <f>IFERROR(__xludf.DUMMYFUNCTION("""COMPUTED_VALUE"""),2.7294031E7)</f>
        <v>27294031</v>
      </c>
    </row>
    <row r="63">
      <c r="A63" t="str">
        <f t="shared" si="1"/>
        <v>afg#2009</v>
      </c>
      <c r="B63" t="str">
        <f>IFERROR(__xludf.DUMMYFUNCTION("""COMPUTED_VALUE"""),"afg")</f>
        <v>afg</v>
      </c>
      <c r="C63" t="str">
        <f>IFERROR(__xludf.DUMMYFUNCTION("""COMPUTED_VALUE"""),"Afghanistan")</f>
        <v>Afghanistan</v>
      </c>
      <c r="D63">
        <f>IFERROR(__xludf.DUMMYFUNCTION("""COMPUTED_VALUE"""),2009.0)</f>
        <v>2009</v>
      </c>
      <c r="E63">
        <f>IFERROR(__xludf.DUMMYFUNCTION("""COMPUTED_VALUE"""),2.8004331E7)</f>
        <v>28004331</v>
      </c>
    </row>
    <row r="64">
      <c r="A64" t="str">
        <f t="shared" si="1"/>
        <v>afg#2010</v>
      </c>
      <c r="B64" t="str">
        <f>IFERROR(__xludf.DUMMYFUNCTION("""COMPUTED_VALUE"""),"afg")</f>
        <v>afg</v>
      </c>
      <c r="C64" t="str">
        <f>IFERROR(__xludf.DUMMYFUNCTION("""COMPUTED_VALUE"""),"Afghanistan")</f>
        <v>Afghanistan</v>
      </c>
      <c r="D64">
        <f>IFERROR(__xludf.DUMMYFUNCTION("""COMPUTED_VALUE"""),2010.0)</f>
        <v>2010</v>
      </c>
      <c r="E64">
        <f>IFERROR(__xludf.DUMMYFUNCTION("""COMPUTED_VALUE"""),2.8803167E7)</f>
        <v>28803167</v>
      </c>
    </row>
    <row r="65">
      <c r="A65" t="str">
        <f t="shared" si="1"/>
        <v>afg#2011</v>
      </c>
      <c r="B65" t="str">
        <f>IFERROR(__xludf.DUMMYFUNCTION("""COMPUTED_VALUE"""),"afg")</f>
        <v>afg</v>
      </c>
      <c r="C65" t="str">
        <f>IFERROR(__xludf.DUMMYFUNCTION("""COMPUTED_VALUE"""),"Afghanistan")</f>
        <v>Afghanistan</v>
      </c>
      <c r="D65">
        <f>IFERROR(__xludf.DUMMYFUNCTION("""COMPUTED_VALUE"""),2011.0)</f>
        <v>2011</v>
      </c>
      <c r="E65">
        <f>IFERROR(__xludf.DUMMYFUNCTION("""COMPUTED_VALUE"""),2.9708599E7)</f>
        <v>29708599</v>
      </c>
    </row>
    <row r="66">
      <c r="A66" t="str">
        <f t="shared" si="1"/>
        <v>afg#2012</v>
      </c>
      <c r="B66" t="str">
        <f>IFERROR(__xludf.DUMMYFUNCTION("""COMPUTED_VALUE"""),"afg")</f>
        <v>afg</v>
      </c>
      <c r="C66" t="str">
        <f>IFERROR(__xludf.DUMMYFUNCTION("""COMPUTED_VALUE"""),"Afghanistan")</f>
        <v>Afghanistan</v>
      </c>
      <c r="D66">
        <f>IFERROR(__xludf.DUMMYFUNCTION("""COMPUTED_VALUE"""),2012.0)</f>
        <v>2012</v>
      </c>
      <c r="E66">
        <f>IFERROR(__xludf.DUMMYFUNCTION("""COMPUTED_VALUE"""),3.0696958E7)</f>
        <v>30696958</v>
      </c>
    </row>
    <row r="67">
      <c r="A67" t="str">
        <f t="shared" si="1"/>
        <v>afg#2013</v>
      </c>
      <c r="B67" t="str">
        <f>IFERROR(__xludf.DUMMYFUNCTION("""COMPUTED_VALUE"""),"afg")</f>
        <v>afg</v>
      </c>
      <c r="C67" t="str">
        <f>IFERROR(__xludf.DUMMYFUNCTION("""COMPUTED_VALUE"""),"Afghanistan")</f>
        <v>Afghanistan</v>
      </c>
      <c r="D67">
        <f>IFERROR(__xludf.DUMMYFUNCTION("""COMPUTED_VALUE"""),2013.0)</f>
        <v>2013</v>
      </c>
      <c r="E67">
        <f>IFERROR(__xludf.DUMMYFUNCTION("""COMPUTED_VALUE"""),3.1731688E7)</f>
        <v>31731688</v>
      </c>
    </row>
    <row r="68">
      <c r="A68" t="str">
        <f t="shared" si="1"/>
        <v>afg#2014</v>
      </c>
      <c r="B68" t="str">
        <f>IFERROR(__xludf.DUMMYFUNCTION("""COMPUTED_VALUE"""),"afg")</f>
        <v>afg</v>
      </c>
      <c r="C68" t="str">
        <f>IFERROR(__xludf.DUMMYFUNCTION("""COMPUTED_VALUE"""),"Afghanistan")</f>
        <v>Afghanistan</v>
      </c>
      <c r="D68">
        <f>IFERROR(__xludf.DUMMYFUNCTION("""COMPUTED_VALUE"""),2014.0)</f>
        <v>2014</v>
      </c>
      <c r="E68">
        <f>IFERROR(__xludf.DUMMYFUNCTION("""COMPUTED_VALUE"""),3.275802E7)</f>
        <v>32758020</v>
      </c>
    </row>
    <row r="69">
      <c r="A69" t="str">
        <f t="shared" si="1"/>
        <v>afg#2015</v>
      </c>
      <c r="B69" t="str">
        <f>IFERROR(__xludf.DUMMYFUNCTION("""COMPUTED_VALUE"""),"afg")</f>
        <v>afg</v>
      </c>
      <c r="C69" t="str">
        <f>IFERROR(__xludf.DUMMYFUNCTION("""COMPUTED_VALUE"""),"Afghanistan")</f>
        <v>Afghanistan</v>
      </c>
      <c r="D69">
        <f>IFERROR(__xludf.DUMMYFUNCTION("""COMPUTED_VALUE"""),2015.0)</f>
        <v>2015</v>
      </c>
      <c r="E69">
        <f>IFERROR(__xludf.DUMMYFUNCTION("""COMPUTED_VALUE"""),3.3736494E7)</f>
        <v>33736494</v>
      </c>
    </row>
    <row r="70">
      <c r="A70" t="str">
        <f t="shared" si="1"/>
        <v>afg#2016</v>
      </c>
      <c r="B70" t="str">
        <f>IFERROR(__xludf.DUMMYFUNCTION("""COMPUTED_VALUE"""),"afg")</f>
        <v>afg</v>
      </c>
      <c r="C70" t="str">
        <f>IFERROR(__xludf.DUMMYFUNCTION("""COMPUTED_VALUE"""),"Afghanistan")</f>
        <v>Afghanistan</v>
      </c>
      <c r="D70">
        <f>IFERROR(__xludf.DUMMYFUNCTION("""COMPUTED_VALUE"""),2016.0)</f>
        <v>2016</v>
      </c>
      <c r="E70">
        <f>IFERROR(__xludf.DUMMYFUNCTION("""COMPUTED_VALUE"""),3.4656032E7)</f>
        <v>34656032</v>
      </c>
    </row>
    <row r="71">
      <c r="A71" t="str">
        <f t="shared" si="1"/>
        <v>afg#2017</v>
      </c>
      <c r="B71" t="str">
        <f>IFERROR(__xludf.DUMMYFUNCTION("""COMPUTED_VALUE"""),"afg")</f>
        <v>afg</v>
      </c>
      <c r="C71" t="str">
        <f>IFERROR(__xludf.DUMMYFUNCTION("""COMPUTED_VALUE"""),"Afghanistan")</f>
        <v>Afghanistan</v>
      </c>
      <c r="D71">
        <f>IFERROR(__xludf.DUMMYFUNCTION("""COMPUTED_VALUE"""),2017.0)</f>
        <v>2017</v>
      </c>
      <c r="E71">
        <f>IFERROR(__xludf.DUMMYFUNCTION("""COMPUTED_VALUE"""),3.5530081E7)</f>
        <v>35530081</v>
      </c>
    </row>
    <row r="72">
      <c r="A72" t="str">
        <f t="shared" si="1"/>
        <v>afg#2018</v>
      </c>
      <c r="B72" t="str">
        <f>IFERROR(__xludf.DUMMYFUNCTION("""COMPUTED_VALUE"""),"afg")</f>
        <v>afg</v>
      </c>
      <c r="C72" t="str">
        <f>IFERROR(__xludf.DUMMYFUNCTION("""COMPUTED_VALUE"""),"Afghanistan")</f>
        <v>Afghanistan</v>
      </c>
      <c r="D72">
        <f>IFERROR(__xludf.DUMMYFUNCTION("""COMPUTED_VALUE"""),2018.0)</f>
        <v>2018</v>
      </c>
      <c r="E72">
        <f>IFERROR(__xludf.DUMMYFUNCTION("""COMPUTED_VALUE"""),3.6373176E7)</f>
        <v>36373176</v>
      </c>
    </row>
    <row r="73">
      <c r="A73" t="str">
        <f t="shared" si="1"/>
        <v>afg#2019</v>
      </c>
      <c r="B73" t="str">
        <f>IFERROR(__xludf.DUMMYFUNCTION("""COMPUTED_VALUE"""),"afg")</f>
        <v>afg</v>
      </c>
      <c r="C73" t="str">
        <f>IFERROR(__xludf.DUMMYFUNCTION("""COMPUTED_VALUE"""),"Afghanistan")</f>
        <v>Afghanistan</v>
      </c>
      <c r="D73">
        <f>IFERROR(__xludf.DUMMYFUNCTION("""COMPUTED_VALUE"""),2019.0)</f>
        <v>2019</v>
      </c>
      <c r="E73">
        <f>IFERROR(__xludf.DUMMYFUNCTION("""COMPUTED_VALUE"""),3.7209007E7)</f>
        <v>37209007</v>
      </c>
    </row>
    <row r="74">
      <c r="A74" t="str">
        <f t="shared" si="1"/>
        <v>afg#2020</v>
      </c>
      <c r="B74" t="str">
        <f>IFERROR(__xludf.DUMMYFUNCTION("""COMPUTED_VALUE"""),"afg")</f>
        <v>afg</v>
      </c>
      <c r="C74" t="str">
        <f>IFERROR(__xludf.DUMMYFUNCTION("""COMPUTED_VALUE"""),"Afghanistan")</f>
        <v>Afghanistan</v>
      </c>
      <c r="D74">
        <f>IFERROR(__xludf.DUMMYFUNCTION("""COMPUTED_VALUE"""),2020.0)</f>
        <v>2020</v>
      </c>
      <c r="E74">
        <f>IFERROR(__xludf.DUMMYFUNCTION("""COMPUTED_VALUE"""),3.8054941E7)</f>
        <v>38054941</v>
      </c>
    </row>
    <row r="75">
      <c r="A75" t="str">
        <f t="shared" si="1"/>
        <v>afg#2021</v>
      </c>
      <c r="B75" t="str">
        <f>IFERROR(__xludf.DUMMYFUNCTION("""COMPUTED_VALUE"""),"afg")</f>
        <v>afg</v>
      </c>
      <c r="C75" t="str">
        <f>IFERROR(__xludf.DUMMYFUNCTION("""COMPUTED_VALUE"""),"Afghanistan")</f>
        <v>Afghanistan</v>
      </c>
      <c r="D75">
        <f>IFERROR(__xludf.DUMMYFUNCTION("""COMPUTED_VALUE"""),2021.0)</f>
        <v>2021</v>
      </c>
      <c r="E75">
        <f>IFERROR(__xludf.DUMMYFUNCTION("""COMPUTED_VALUE"""),3.8913707E7)</f>
        <v>38913707</v>
      </c>
    </row>
    <row r="76">
      <c r="A76" t="str">
        <f t="shared" si="1"/>
        <v>afg#2022</v>
      </c>
      <c r="B76" t="str">
        <f>IFERROR(__xludf.DUMMYFUNCTION("""COMPUTED_VALUE"""),"afg")</f>
        <v>afg</v>
      </c>
      <c r="C76" t="str">
        <f>IFERROR(__xludf.DUMMYFUNCTION("""COMPUTED_VALUE"""),"Afghanistan")</f>
        <v>Afghanistan</v>
      </c>
      <c r="D76">
        <f>IFERROR(__xludf.DUMMYFUNCTION("""COMPUTED_VALUE"""),2022.0)</f>
        <v>2022</v>
      </c>
      <c r="E76">
        <f>IFERROR(__xludf.DUMMYFUNCTION("""COMPUTED_VALUE"""),3.9779095E7)</f>
        <v>39779095</v>
      </c>
    </row>
    <row r="77">
      <c r="A77" t="str">
        <f t="shared" si="1"/>
        <v>afg#2023</v>
      </c>
      <c r="B77" t="str">
        <f>IFERROR(__xludf.DUMMYFUNCTION("""COMPUTED_VALUE"""),"afg")</f>
        <v>afg</v>
      </c>
      <c r="C77" t="str">
        <f>IFERROR(__xludf.DUMMYFUNCTION("""COMPUTED_VALUE"""),"Afghanistan")</f>
        <v>Afghanistan</v>
      </c>
      <c r="D77">
        <f>IFERROR(__xludf.DUMMYFUNCTION("""COMPUTED_VALUE"""),2023.0)</f>
        <v>2023</v>
      </c>
      <c r="E77">
        <f>IFERROR(__xludf.DUMMYFUNCTION("""COMPUTED_VALUE"""),4.0649204E7)</f>
        <v>40649204</v>
      </c>
    </row>
    <row r="78">
      <c r="A78" t="str">
        <f t="shared" si="1"/>
        <v>afg#2024</v>
      </c>
      <c r="B78" t="str">
        <f>IFERROR(__xludf.DUMMYFUNCTION("""COMPUTED_VALUE"""),"afg")</f>
        <v>afg</v>
      </c>
      <c r="C78" t="str">
        <f>IFERROR(__xludf.DUMMYFUNCTION("""COMPUTED_VALUE"""),"Afghanistan")</f>
        <v>Afghanistan</v>
      </c>
      <c r="D78">
        <f>IFERROR(__xludf.DUMMYFUNCTION("""COMPUTED_VALUE"""),2024.0)</f>
        <v>2024</v>
      </c>
      <c r="E78">
        <f>IFERROR(__xludf.DUMMYFUNCTION("""COMPUTED_VALUE"""),4.1519986E7)</f>
        <v>41519986</v>
      </c>
    </row>
    <row r="79">
      <c r="A79" t="str">
        <f t="shared" si="1"/>
        <v>afg#2025</v>
      </c>
      <c r="B79" t="str">
        <f>IFERROR(__xludf.DUMMYFUNCTION("""COMPUTED_VALUE"""),"afg")</f>
        <v>afg</v>
      </c>
      <c r="C79" t="str">
        <f>IFERROR(__xludf.DUMMYFUNCTION("""COMPUTED_VALUE"""),"Afghanistan")</f>
        <v>Afghanistan</v>
      </c>
      <c r="D79">
        <f>IFERROR(__xludf.DUMMYFUNCTION("""COMPUTED_VALUE"""),2025.0)</f>
        <v>2025</v>
      </c>
      <c r="E79">
        <f>IFERROR(__xludf.DUMMYFUNCTION("""COMPUTED_VALUE"""),4.23884E7)</f>
        <v>42388400</v>
      </c>
    </row>
    <row r="80">
      <c r="A80" t="str">
        <f t="shared" si="1"/>
        <v>afg#2026</v>
      </c>
      <c r="B80" t="str">
        <f>IFERROR(__xludf.DUMMYFUNCTION("""COMPUTED_VALUE"""),"afg")</f>
        <v>afg</v>
      </c>
      <c r="C80" t="str">
        <f>IFERROR(__xludf.DUMMYFUNCTION("""COMPUTED_VALUE"""),"Afghanistan")</f>
        <v>Afghanistan</v>
      </c>
      <c r="D80">
        <f>IFERROR(__xludf.DUMMYFUNCTION("""COMPUTED_VALUE"""),2026.0)</f>
        <v>2026</v>
      </c>
      <c r="E80">
        <f>IFERROR(__xludf.DUMMYFUNCTION("""COMPUTED_VALUE"""),4.3254446E7)</f>
        <v>43254446</v>
      </c>
    </row>
    <row r="81">
      <c r="A81" t="str">
        <f t="shared" si="1"/>
        <v>afg#2027</v>
      </c>
      <c r="B81" t="str">
        <f>IFERROR(__xludf.DUMMYFUNCTION("""COMPUTED_VALUE"""),"afg")</f>
        <v>afg</v>
      </c>
      <c r="C81" t="str">
        <f>IFERROR(__xludf.DUMMYFUNCTION("""COMPUTED_VALUE"""),"Afghanistan")</f>
        <v>Afghanistan</v>
      </c>
      <c r="D81">
        <f>IFERROR(__xludf.DUMMYFUNCTION("""COMPUTED_VALUE"""),2027.0)</f>
        <v>2027</v>
      </c>
      <c r="E81">
        <f>IFERROR(__xludf.DUMMYFUNCTION("""COMPUTED_VALUE"""),4.4119315E7)</f>
        <v>44119315</v>
      </c>
    </row>
    <row r="82">
      <c r="A82" t="str">
        <f t="shared" si="1"/>
        <v>afg#2028</v>
      </c>
      <c r="B82" t="str">
        <f>IFERROR(__xludf.DUMMYFUNCTION("""COMPUTED_VALUE"""),"afg")</f>
        <v>afg</v>
      </c>
      <c r="C82" t="str">
        <f>IFERROR(__xludf.DUMMYFUNCTION("""COMPUTED_VALUE"""),"Afghanistan")</f>
        <v>Afghanistan</v>
      </c>
      <c r="D82">
        <f>IFERROR(__xludf.DUMMYFUNCTION("""COMPUTED_VALUE"""),2028.0)</f>
        <v>2028</v>
      </c>
      <c r="E82">
        <f>IFERROR(__xludf.DUMMYFUNCTION("""COMPUTED_VALUE"""),4.4982317E7)</f>
        <v>44982317</v>
      </c>
    </row>
    <row r="83">
      <c r="A83" t="str">
        <f t="shared" si="1"/>
        <v>afg#2029</v>
      </c>
      <c r="B83" t="str">
        <f>IFERROR(__xludf.DUMMYFUNCTION("""COMPUTED_VALUE"""),"afg")</f>
        <v>afg</v>
      </c>
      <c r="C83" t="str">
        <f>IFERROR(__xludf.DUMMYFUNCTION("""COMPUTED_VALUE"""),"Afghanistan")</f>
        <v>Afghanistan</v>
      </c>
      <c r="D83">
        <f>IFERROR(__xludf.DUMMYFUNCTION("""COMPUTED_VALUE"""),2029.0)</f>
        <v>2029</v>
      </c>
      <c r="E83">
        <f>IFERROR(__xludf.DUMMYFUNCTION("""COMPUTED_VALUE"""),4.5842659E7)</f>
        <v>45842659</v>
      </c>
    </row>
    <row r="84">
      <c r="A84" t="str">
        <f t="shared" si="1"/>
        <v>afg#2030</v>
      </c>
      <c r="B84" t="str">
        <f>IFERROR(__xludf.DUMMYFUNCTION("""COMPUTED_VALUE"""),"afg")</f>
        <v>afg</v>
      </c>
      <c r="C84" t="str">
        <f>IFERROR(__xludf.DUMMYFUNCTION("""COMPUTED_VALUE"""),"Afghanistan")</f>
        <v>Afghanistan</v>
      </c>
      <c r="D84">
        <f>IFERROR(__xludf.DUMMYFUNCTION("""COMPUTED_VALUE"""),2030.0)</f>
        <v>2030</v>
      </c>
      <c r="E84">
        <f>IFERROR(__xludf.DUMMYFUNCTION("""COMPUTED_VALUE"""),4.6699545E7)</f>
        <v>46699545</v>
      </c>
    </row>
    <row r="85">
      <c r="A85" t="str">
        <f t="shared" si="1"/>
        <v>afg#2031</v>
      </c>
      <c r="B85" t="str">
        <f>IFERROR(__xludf.DUMMYFUNCTION("""COMPUTED_VALUE"""),"afg")</f>
        <v>afg</v>
      </c>
      <c r="C85" t="str">
        <f>IFERROR(__xludf.DUMMYFUNCTION("""COMPUTED_VALUE"""),"Afghanistan")</f>
        <v>Afghanistan</v>
      </c>
      <c r="D85">
        <f>IFERROR(__xludf.DUMMYFUNCTION("""COMPUTED_VALUE"""),2031.0)</f>
        <v>2031</v>
      </c>
      <c r="E85">
        <f>IFERROR(__xludf.DUMMYFUNCTION("""COMPUTED_VALUE"""),4.7552324E7)</f>
        <v>47552324</v>
      </c>
    </row>
    <row r="86">
      <c r="A86" t="str">
        <f t="shared" si="1"/>
        <v>afg#2032</v>
      </c>
      <c r="B86" t="str">
        <f>IFERROR(__xludf.DUMMYFUNCTION("""COMPUTED_VALUE"""),"afg")</f>
        <v>afg</v>
      </c>
      <c r="C86" t="str">
        <f>IFERROR(__xludf.DUMMYFUNCTION("""COMPUTED_VALUE"""),"Afghanistan")</f>
        <v>Afghanistan</v>
      </c>
      <c r="D86">
        <f>IFERROR(__xludf.DUMMYFUNCTION("""COMPUTED_VALUE"""),2032.0)</f>
        <v>2032</v>
      </c>
      <c r="E86">
        <f>IFERROR(__xludf.DUMMYFUNCTION("""COMPUTED_VALUE"""),4.8400329E7)</f>
        <v>48400329</v>
      </c>
    </row>
    <row r="87">
      <c r="A87" t="str">
        <f t="shared" si="1"/>
        <v>afg#2033</v>
      </c>
      <c r="B87" t="str">
        <f>IFERROR(__xludf.DUMMYFUNCTION("""COMPUTED_VALUE"""),"afg")</f>
        <v>afg</v>
      </c>
      <c r="C87" t="str">
        <f>IFERROR(__xludf.DUMMYFUNCTION("""COMPUTED_VALUE"""),"Afghanistan")</f>
        <v>Afghanistan</v>
      </c>
      <c r="D87">
        <f>IFERROR(__xludf.DUMMYFUNCTION("""COMPUTED_VALUE"""),2033.0)</f>
        <v>2033</v>
      </c>
      <c r="E87">
        <f>IFERROR(__xludf.DUMMYFUNCTION("""COMPUTED_VALUE"""),4.9242776E7)</f>
        <v>49242776</v>
      </c>
    </row>
    <row r="88">
      <c r="A88" t="str">
        <f t="shared" si="1"/>
        <v>afg#2034</v>
      </c>
      <c r="B88" t="str">
        <f>IFERROR(__xludf.DUMMYFUNCTION("""COMPUTED_VALUE"""),"afg")</f>
        <v>afg</v>
      </c>
      <c r="C88" t="str">
        <f>IFERROR(__xludf.DUMMYFUNCTION("""COMPUTED_VALUE"""),"Afghanistan")</f>
        <v>Afghanistan</v>
      </c>
      <c r="D88">
        <f>IFERROR(__xludf.DUMMYFUNCTION("""COMPUTED_VALUE"""),2034.0)</f>
        <v>2034</v>
      </c>
      <c r="E88">
        <f>IFERROR(__xludf.DUMMYFUNCTION("""COMPUTED_VALUE"""),5.0078786E7)</f>
        <v>50078786</v>
      </c>
    </row>
    <row r="89">
      <c r="A89" t="str">
        <f t="shared" si="1"/>
        <v>afg#2035</v>
      </c>
      <c r="B89" t="str">
        <f>IFERROR(__xludf.DUMMYFUNCTION("""COMPUTED_VALUE"""),"afg")</f>
        <v>afg</v>
      </c>
      <c r="C89" t="str">
        <f>IFERROR(__xludf.DUMMYFUNCTION("""COMPUTED_VALUE"""),"Afghanistan")</f>
        <v>Afghanistan</v>
      </c>
      <c r="D89">
        <f>IFERROR(__xludf.DUMMYFUNCTION("""COMPUTED_VALUE"""),2035.0)</f>
        <v>2035</v>
      </c>
      <c r="E89">
        <f>IFERROR(__xludf.DUMMYFUNCTION("""COMPUTED_VALUE"""),5.090755E7)</f>
        <v>50907550</v>
      </c>
    </row>
    <row r="90">
      <c r="A90" t="str">
        <f t="shared" si="1"/>
        <v>afg#2036</v>
      </c>
      <c r="B90" t="str">
        <f>IFERROR(__xludf.DUMMYFUNCTION("""COMPUTED_VALUE"""),"afg")</f>
        <v>afg</v>
      </c>
      <c r="C90" t="str">
        <f>IFERROR(__xludf.DUMMYFUNCTION("""COMPUTED_VALUE"""),"Afghanistan")</f>
        <v>Afghanistan</v>
      </c>
      <c r="D90">
        <f>IFERROR(__xludf.DUMMYFUNCTION("""COMPUTED_VALUE"""),2036.0)</f>
        <v>2036</v>
      </c>
      <c r="E90">
        <f>IFERROR(__xludf.DUMMYFUNCTION("""COMPUTED_VALUE"""),5.1728328E7)</f>
        <v>51728328</v>
      </c>
    </row>
    <row r="91">
      <c r="A91" t="str">
        <f t="shared" si="1"/>
        <v>afg#2037</v>
      </c>
      <c r="B91" t="str">
        <f>IFERROR(__xludf.DUMMYFUNCTION("""COMPUTED_VALUE"""),"afg")</f>
        <v>afg</v>
      </c>
      <c r="C91" t="str">
        <f>IFERROR(__xludf.DUMMYFUNCTION("""COMPUTED_VALUE"""),"Afghanistan")</f>
        <v>Afghanistan</v>
      </c>
      <c r="D91">
        <f>IFERROR(__xludf.DUMMYFUNCTION("""COMPUTED_VALUE"""),2037.0)</f>
        <v>2037</v>
      </c>
      <c r="E91">
        <f>IFERROR(__xludf.DUMMYFUNCTION("""COMPUTED_VALUE"""),5.254036E7)</f>
        <v>52540360</v>
      </c>
    </row>
    <row r="92">
      <c r="A92" t="str">
        <f t="shared" si="1"/>
        <v>afg#2038</v>
      </c>
      <c r="B92" t="str">
        <f>IFERROR(__xludf.DUMMYFUNCTION("""COMPUTED_VALUE"""),"afg")</f>
        <v>afg</v>
      </c>
      <c r="C92" t="str">
        <f>IFERROR(__xludf.DUMMYFUNCTION("""COMPUTED_VALUE"""),"Afghanistan")</f>
        <v>Afghanistan</v>
      </c>
      <c r="D92">
        <f>IFERROR(__xludf.DUMMYFUNCTION("""COMPUTED_VALUE"""),2038.0)</f>
        <v>2038</v>
      </c>
      <c r="E92">
        <f>IFERROR(__xludf.DUMMYFUNCTION("""COMPUTED_VALUE"""),5.3342664E7)</f>
        <v>53342664</v>
      </c>
    </row>
    <row r="93">
      <c r="A93" t="str">
        <f t="shared" si="1"/>
        <v>afg#2039</v>
      </c>
      <c r="B93" t="str">
        <f>IFERROR(__xludf.DUMMYFUNCTION("""COMPUTED_VALUE"""),"afg")</f>
        <v>afg</v>
      </c>
      <c r="C93" t="str">
        <f>IFERROR(__xludf.DUMMYFUNCTION("""COMPUTED_VALUE"""),"Afghanistan")</f>
        <v>Afghanistan</v>
      </c>
      <c r="D93">
        <f>IFERROR(__xludf.DUMMYFUNCTION("""COMPUTED_VALUE"""),2039.0)</f>
        <v>2039</v>
      </c>
      <c r="E93">
        <f>IFERROR(__xludf.DUMMYFUNCTION("""COMPUTED_VALUE"""),5.4134238E7)</f>
        <v>54134238</v>
      </c>
    </row>
    <row r="94">
      <c r="A94" t="str">
        <f t="shared" si="1"/>
        <v>afg#2040</v>
      </c>
      <c r="B94" t="str">
        <f>IFERROR(__xludf.DUMMYFUNCTION("""COMPUTED_VALUE"""),"afg")</f>
        <v>afg</v>
      </c>
      <c r="C94" t="str">
        <f>IFERROR(__xludf.DUMMYFUNCTION("""COMPUTED_VALUE"""),"Afghanistan")</f>
        <v>Afghanistan</v>
      </c>
      <c r="D94">
        <f>IFERROR(__xludf.DUMMYFUNCTION("""COMPUTED_VALUE"""),2040.0)</f>
        <v>2040</v>
      </c>
      <c r="E94">
        <f>IFERROR(__xludf.DUMMYFUNCTION("""COMPUTED_VALUE"""),5.4914122E7)</f>
        <v>54914122</v>
      </c>
    </row>
    <row r="95">
      <c r="A95" t="str">
        <f t="shared" si="1"/>
        <v>alb#1950</v>
      </c>
      <c r="B95" t="str">
        <f>IFERROR(__xludf.DUMMYFUNCTION("""COMPUTED_VALUE"""),"alb")</f>
        <v>alb</v>
      </c>
      <c r="C95" t="str">
        <f>IFERROR(__xludf.DUMMYFUNCTION("""COMPUTED_VALUE"""),"Albania")</f>
        <v>Albania</v>
      </c>
      <c r="D95">
        <f>IFERROR(__xludf.DUMMYFUNCTION("""COMPUTED_VALUE"""),1950.0)</f>
        <v>1950</v>
      </c>
      <c r="E95">
        <f>IFERROR(__xludf.DUMMYFUNCTION("""COMPUTED_VALUE"""),1263174.0)</f>
        <v>1263174</v>
      </c>
    </row>
    <row r="96">
      <c r="A96" t="str">
        <f t="shared" si="1"/>
        <v>alb#1951</v>
      </c>
      <c r="B96" t="str">
        <f>IFERROR(__xludf.DUMMYFUNCTION("""COMPUTED_VALUE"""),"alb")</f>
        <v>alb</v>
      </c>
      <c r="C96" t="str">
        <f>IFERROR(__xludf.DUMMYFUNCTION("""COMPUTED_VALUE"""),"Albania")</f>
        <v>Albania</v>
      </c>
      <c r="D96">
        <f>IFERROR(__xludf.DUMMYFUNCTION("""COMPUTED_VALUE"""),1951.0)</f>
        <v>1951</v>
      </c>
      <c r="E96">
        <f>IFERROR(__xludf.DUMMYFUNCTION("""COMPUTED_VALUE"""),1287497.0)</f>
        <v>1287497</v>
      </c>
    </row>
    <row r="97">
      <c r="A97" t="str">
        <f t="shared" si="1"/>
        <v>alb#1952</v>
      </c>
      <c r="B97" t="str">
        <f>IFERROR(__xludf.DUMMYFUNCTION("""COMPUTED_VALUE"""),"alb")</f>
        <v>alb</v>
      </c>
      <c r="C97" t="str">
        <f>IFERROR(__xludf.DUMMYFUNCTION("""COMPUTED_VALUE"""),"Albania")</f>
        <v>Albania</v>
      </c>
      <c r="D97">
        <f>IFERROR(__xludf.DUMMYFUNCTION("""COMPUTED_VALUE"""),1952.0)</f>
        <v>1952</v>
      </c>
      <c r="E97">
        <f>IFERROR(__xludf.DUMMYFUNCTION("""COMPUTED_VALUE"""),1316089.0)</f>
        <v>1316089</v>
      </c>
    </row>
    <row r="98">
      <c r="A98" t="str">
        <f t="shared" si="1"/>
        <v>alb#1953</v>
      </c>
      <c r="B98" t="str">
        <f>IFERROR(__xludf.DUMMYFUNCTION("""COMPUTED_VALUE"""),"alb")</f>
        <v>alb</v>
      </c>
      <c r="C98" t="str">
        <f>IFERROR(__xludf.DUMMYFUNCTION("""COMPUTED_VALUE"""),"Albania")</f>
        <v>Albania</v>
      </c>
      <c r="D98">
        <f>IFERROR(__xludf.DUMMYFUNCTION("""COMPUTED_VALUE"""),1953.0)</f>
        <v>1953</v>
      </c>
      <c r="E98">
        <f>IFERROR(__xludf.DUMMYFUNCTION("""COMPUTED_VALUE"""),1348099.0)</f>
        <v>1348099</v>
      </c>
    </row>
    <row r="99">
      <c r="A99" t="str">
        <f t="shared" si="1"/>
        <v>alb#1954</v>
      </c>
      <c r="B99" t="str">
        <f>IFERROR(__xludf.DUMMYFUNCTION("""COMPUTED_VALUE"""),"alb")</f>
        <v>alb</v>
      </c>
      <c r="C99" t="str">
        <f>IFERROR(__xludf.DUMMYFUNCTION("""COMPUTED_VALUE"""),"Albania")</f>
        <v>Albania</v>
      </c>
      <c r="D99">
        <f>IFERROR(__xludf.DUMMYFUNCTION("""COMPUTED_VALUE"""),1954.0)</f>
        <v>1954</v>
      </c>
      <c r="E99">
        <f>IFERROR(__xludf.DUMMYFUNCTION("""COMPUTED_VALUE"""),1382878.0)</f>
        <v>1382878</v>
      </c>
    </row>
    <row r="100">
      <c r="A100" t="str">
        <f t="shared" si="1"/>
        <v>alb#1955</v>
      </c>
      <c r="B100" t="str">
        <f>IFERROR(__xludf.DUMMYFUNCTION("""COMPUTED_VALUE"""),"alb")</f>
        <v>alb</v>
      </c>
      <c r="C100" t="str">
        <f>IFERROR(__xludf.DUMMYFUNCTION("""COMPUTED_VALUE"""),"Albania")</f>
        <v>Albania</v>
      </c>
      <c r="D100">
        <f>IFERROR(__xludf.DUMMYFUNCTION("""COMPUTED_VALUE"""),1955.0)</f>
        <v>1955</v>
      </c>
      <c r="E100">
        <f>IFERROR(__xludf.DUMMYFUNCTION("""COMPUTED_VALUE"""),1419970.0)</f>
        <v>1419970</v>
      </c>
    </row>
    <row r="101">
      <c r="A101" t="str">
        <f t="shared" si="1"/>
        <v>alb#1956</v>
      </c>
      <c r="B101" t="str">
        <f>IFERROR(__xludf.DUMMYFUNCTION("""COMPUTED_VALUE"""),"alb")</f>
        <v>alb</v>
      </c>
      <c r="C101" t="str">
        <f>IFERROR(__xludf.DUMMYFUNCTION("""COMPUTED_VALUE"""),"Albania")</f>
        <v>Albania</v>
      </c>
      <c r="D101">
        <f>IFERROR(__xludf.DUMMYFUNCTION("""COMPUTED_VALUE"""),1956.0)</f>
        <v>1956</v>
      </c>
      <c r="E101">
        <f>IFERROR(__xludf.DUMMYFUNCTION("""COMPUTED_VALUE"""),1459089.0)</f>
        <v>1459089</v>
      </c>
    </row>
    <row r="102">
      <c r="A102" t="str">
        <f t="shared" si="1"/>
        <v>alb#1957</v>
      </c>
      <c r="B102" t="str">
        <f>IFERROR(__xludf.DUMMYFUNCTION("""COMPUTED_VALUE"""),"alb")</f>
        <v>alb</v>
      </c>
      <c r="C102" t="str">
        <f>IFERROR(__xludf.DUMMYFUNCTION("""COMPUTED_VALUE"""),"Albania")</f>
        <v>Albania</v>
      </c>
      <c r="D102">
        <f>IFERROR(__xludf.DUMMYFUNCTION("""COMPUTED_VALUE"""),1957.0)</f>
        <v>1957</v>
      </c>
      <c r="E102">
        <f>IFERROR(__xludf.DUMMYFUNCTION("""COMPUTED_VALUE"""),1500149.0)</f>
        <v>1500149</v>
      </c>
    </row>
    <row r="103">
      <c r="A103" t="str">
        <f t="shared" si="1"/>
        <v>alb#1958</v>
      </c>
      <c r="B103" t="str">
        <f>IFERROR(__xludf.DUMMYFUNCTION("""COMPUTED_VALUE"""),"alb")</f>
        <v>alb</v>
      </c>
      <c r="C103" t="str">
        <f>IFERROR(__xludf.DUMMYFUNCTION("""COMPUTED_VALUE"""),"Albania")</f>
        <v>Albania</v>
      </c>
      <c r="D103">
        <f>IFERROR(__xludf.DUMMYFUNCTION("""COMPUTED_VALUE"""),1958.0)</f>
        <v>1958</v>
      </c>
      <c r="E103">
        <f>IFERROR(__xludf.DUMMYFUNCTION("""COMPUTED_VALUE"""),1543222.0)</f>
        <v>1543222</v>
      </c>
    </row>
    <row r="104">
      <c r="A104" t="str">
        <f t="shared" si="1"/>
        <v>alb#1959</v>
      </c>
      <c r="B104" t="str">
        <f>IFERROR(__xludf.DUMMYFUNCTION("""COMPUTED_VALUE"""),"alb")</f>
        <v>alb</v>
      </c>
      <c r="C104" t="str">
        <f>IFERROR(__xludf.DUMMYFUNCTION("""COMPUTED_VALUE"""),"Albania")</f>
        <v>Albania</v>
      </c>
      <c r="D104">
        <f>IFERROR(__xludf.DUMMYFUNCTION("""COMPUTED_VALUE"""),1959.0)</f>
        <v>1959</v>
      </c>
      <c r="E104">
        <f>IFERROR(__xludf.DUMMYFUNCTION("""COMPUTED_VALUE"""),1588484.0)</f>
        <v>1588484</v>
      </c>
    </row>
    <row r="105">
      <c r="A105" t="str">
        <f t="shared" si="1"/>
        <v>alb#1960</v>
      </c>
      <c r="B105" t="str">
        <f>IFERROR(__xludf.DUMMYFUNCTION("""COMPUTED_VALUE"""),"alb")</f>
        <v>alb</v>
      </c>
      <c r="C105" t="str">
        <f>IFERROR(__xludf.DUMMYFUNCTION("""COMPUTED_VALUE"""),"Albania")</f>
        <v>Albania</v>
      </c>
      <c r="D105">
        <f>IFERROR(__xludf.DUMMYFUNCTION("""COMPUTED_VALUE"""),1960.0)</f>
        <v>1960</v>
      </c>
      <c r="E105">
        <f>IFERROR(__xludf.DUMMYFUNCTION("""COMPUTED_VALUE"""),1636056.0)</f>
        <v>1636056</v>
      </c>
    </row>
    <row r="106">
      <c r="A106" t="str">
        <f t="shared" si="1"/>
        <v>alb#1961</v>
      </c>
      <c r="B106" t="str">
        <f>IFERROR(__xludf.DUMMYFUNCTION("""COMPUTED_VALUE"""),"alb")</f>
        <v>alb</v>
      </c>
      <c r="C106" t="str">
        <f>IFERROR(__xludf.DUMMYFUNCTION("""COMPUTED_VALUE"""),"Albania")</f>
        <v>Albania</v>
      </c>
      <c r="D106">
        <f>IFERROR(__xludf.DUMMYFUNCTION("""COMPUTED_VALUE"""),1961.0)</f>
        <v>1961</v>
      </c>
      <c r="E106">
        <f>IFERROR(__xludf.DUMMYFUNCTION("""COMPUTED_VALUE"""),1685900.0)</f>
        <v>1685900</v>
      </c>
    </row>
    <row r="107">
      <c r="A107" t="str">
        <f t="shared" si="1"/>
        <v>alb#1962</v>
      </c>
      <c r="B107" t="str">
        <f>IFERROR(__xludf.DUMMYFUNCTION("""COMPUTED_VALUE"""),"alb")</f>
        <v>alb</v>
      </c>
      <c r="C107" t="str">
        <f>IFERROR(__xludf.DUMMYFUNCTION("""COMPUTED_VALUE"""),"Albania")</f>
        <v>Albania</v>
      </c>
      <c r="D107">
        <f>IFERROR(__xludf.DUMMYFUNCTION("""COMPUTED_VALUE"""),1962.0)</f>
        <v>1962</v>
      </c>
      <c r="E107">
        <f>IFERROR(__xludf.DUMMYFUNCTION("""COMPUTED_VALUE"""),1737644.0)</f>
        <v>1737644</v>
      </c>
    </row>
    <row r="108">
      <c r="A108" t="str">
        <f t="shared" si="1"/>
        <v>alb#1963</v>
      </c>
      <c r="B108" t="str">
        <f>IFERROR(__xludf.DUMMYFUNCTION("""COMPUTED_VALUE"""),"alb")</f>
        <v>alb</v>
      </c>
      <c r="C108" t="str">
        <f>IFERROR(__xludf.DUMMYFUNCTION("""COMPUTED_VALUE"""),"Albania")</f>
        <v>Albania</v>
      </c>
      <c r="D108">
        <f>IFERROR(__xludf.DUMMYFUNCTION("""COMPUTED_VALUE"""),1963.0)</f>
        <v>1963</v>
      </c>
      <c r="E108">
        <f>IFERROR(__xludf.DUMMYFUNCTION("""COMPUTED_VALUE"""),1790534.0)</f>
        <v>1790534</v>
      </c>
    </row>
    <row r="109">
      <c r="A109" t="str">
        <f t="shared" si="1"/>
        <v>alb#1964</v>
      </c>
      <c r="B109" t="str">
        <f>IFERROR(__xludf.DUMMYFUNCTION("""COMPUTED_VALUE"""),"alb")</f>
        <v>alb</v>
      </c>
      <c r="C109" t="str">
        <f>IFERROR(__xludf.DUMMYFUNCTION("""COMPUTED_VALUE"""),"Albania")</f>
        <v>Albania</v>
      </c>
      <c r="D109">
        <f>IFERROR(__xludf.DUMMYFUNCTION("""COMPUTED_VALUE"""),1964.0)</f>
        <v>1964</v>
      </c>
      <c r="E109">
        <f>IFERROR(__xludf.DUMMYFUNCTION("""COMPUTED_VALUE"""),1843593.0)</f>
        <v>1843593</v>
      </c>
    </row>
    <row r="110">
      <c r="A110" t="str">
        <f t="shared" si="1"/>
        <v>alb#1965</v>
      </c>
      <c r="B110" t="str">
        <f>IFERROR(__xludf.DUMMYFUNCTION("""COMPUTED_VALUE"""),"alb")</f>
        <v>alb</v>
      </c>
      <c r="C110" t="str">
        <f>IFERROR(__xludf.DUMMYFUNCTION("""COMPUTED_VALUE"""),"Albania")</f>
        <v>Albania</v>
      </c>
      <c r="D110">
        <f>IFERROR(__xludf.DUMMYFUNCTION("""COMPUTED_VALUE"""),1965.0)</f>
        <v>1965</v>
      </c>
      <c r="E110">
        <f>IFERROR(__xludf.DUMMYFUNCTION("""COMPUTED_VALUE"""),1896125.0)</f>
        <v>1896125</v>
      </c>
    </row>
    <row r="111">
      <c r="A111" t="str">
        <f t="shared" si="1"/>
        <v>alb#1966</v>
      </c>
      <c r="B111" t="str">
        <f>IFERROR(__xludf.DUMMYFUNCTION("""COMPUTED_VALUE"""),"alb")</f>
        <v>alb</v>
      </c>
      <c r="C111" t="str">
        <f>IFERROR(__xludf.DUMMYFUNCTION("""COMPUTED_VALUE"""),"Albania")</f>
        <v>Albania</v>
      </c>
      <c r="D111">
        <f>IFERROR(__xludf.DUMMYFUNCTION("""COMPUTED_VALUE"""),1966.0)</f>
        <v>1966</v>
      </c>
      <c r="E111">
        <f>IFERROR(__xludf.DUMMYFUNCTION("""COMPUTED_VALUE"""),1947785.0)</f>
        <v>1947785</v>
      </c>
    </row>
    <row r="112">
      <c r="A112" t="str">
        <f t="shared" si="1"/>
        <v>alb#1967</v>
      </c>
      <c r="B112" t="str">
        <f>IFERROR(__xludf.DUMMYFUNCTION("""COMPUTED_VALUE"""),"alb")</f>
        <v>alb</v>
      </c>
      <c r="C112" t="str">
        <f>IFERROR(__xludf.DUMMYFUNCTION("""COMPUTED_VALUE"""),"Albania")</f>
        <v>Albania</v>
      </c>
      <c r="D112">
        <f>IFERROR(__xludf.DUMMYFUNCTION("""COMPUTED_VALUE"""),1967.0)</f>
        <v>1967</v>
      </c>
      <c r="E112">
        <f>IFERROR(__xludf.DUMMYFUNCTION("""COMPUTED_VALUE"""),1998693.0)</f>
        <v>1998693</v>
      </c>
    </row>
    <row r="113">
      <c r="A113" t="str">
        <f t="shared" si="1"/>
        <v>alb#1968</v>
      </c>
      <c r="B113" t="str">
        <f>IFERROR(__xludf.DUMMYFUNCTION("""COMPUTED_VALUE"""),"alb")</f>
        <v>alb</v>
      </c>
      <c r="C113" t="str">
        <f>IFERROR(__xludf.DUMMYFUNCTION("""COMPUTED_VALUE"""),"Albania")</f>
        <v>Albania</v>
      </c>
      <c r="D113">
        <f>IFERROR(__xludf.DUMMYFUNCTION("""COMPUTED_VALUE"""),1968.0)</f>
        <v>1968</v>
      </c>
      <c r="E113">
        <f>IFERROR(__xludf.DUMMYFUNCTION("""COMPUTED_VALUE"""),2049151.0)</f>
        <v>2049151</v>
      </c>
    </row>
    <row r="114">
      <c r="A114" t="str">
        <f t="shared" si="1"/>
        <v>alb#1969</v>
      </c>
      <c r="B114" t="str">
        <f>IFERROR(__xludf.DUMMYFUNCTION("""COMPUTED_VALUE"""),"alb")</f>
        <v>alb</v>
      </c>
      <c r="C114" t="str">
        <f>IFERROR(__xludf.DUMMYFUNCTION("""COMPUTED_VALUE"""),"Albania")</f>
        <v>Albania</v>
      </c>
      <c r="D114">
        <f>IFERROR(__xludf.DUMMYFUNCTION("""COMPUTED_VALUE"""),1969.0)</f>
        <v>1969</v>
      </c>
      <c r="E114">
        <f>IFERROR(__xludf.DUMMYFUNCTION("""COMPUTED_VALUE"""),2099653.0)</f>
        <v>2099653</v>
      </c>
    </row>
    <row r="115">
      <c r="A115" t="str">
        <f t="shared" si="1"/>
        <v>alb#1970</v>
      </c>
      <c r="B115" t="str">
        <f>IFERROR(__xludf.DUMMYFUNCTION("""COMPUTED_VALUE"""),"alb")</f>
        <v>alb</v>
      </c>
      <c r="C115" t="str">
        <f>IFERROR(__xludf.DUMMYFUNCTION("""COMPUTED_VALUE"""),"Albania")</f>
        <v>Albania</v>
      </c>
      <c r="D115">
        <f>IFERROR(__xludf.DUMMYFUNCTION("""COMPUTED_VALUE"""),1970.0)</f>
        <v>1970</v>
      </c>
      <c r="E115">
        <f>IFERROR(__xludf.DUMMYFUNCTION("""COMPUTED_VALUE"""),2150598.0)</f>
        <v>2150598</v>
      </c>
    </row>
    <row r="116">
      <c r="A116" t="str">
        <f t="shared" si="1"/>
        <v>alb#1971</v>
      </c>
      <c r="B116" t="str">
        <f>IFERROR(__xludf.DUMMYFUNCTION("""COMPUTED_VALUE"""),"alb")</f>
        <v>alb</v>
      </c>
      <c r="C116" t="str">
        <f>IFERROR(__xludf.DUMMYFUNCTION("""COMPUTED_VALUE"""),"Albania")</f>
        <v>Albania</v>
      </c>
      <c r="D116">
        <f>IFERROR(__xludf.DUMMYFUNCTION("""COMPUTED_VALUE"""),1971.0)</f>
        <v>1971</v>
      </c>
      <c r="E116">
        <f>IFERROR(__xludf.DUMMYFUNCTION("""COMPUTED_VALUE"""),2202035.0)</f>
        <v>2202035</v>
      </c>
    </row>
    <row r="117">
      <c r="A117" t="str">
        <f t="shared" si="1"/>
        <v>alb#1972</v>
      </c>
      <c r="B117" t="str">
        <f>IFERROR(__xludf.DUMMYFUNCTION("""COMPUTED_VALUE"""),"alb")</f>
        <v>alb</v>
      </c>
      <c r="C117" t="str">
        <f>IFERROR(__xludf.DUMMYFUNCTION("""COMPUTED_VALUE"""),"Albania")</f>
        <v>Albania</v>
      </c>
      <c r="D117">
        <f>IFERROR(__xludf.DUMMYFUNCTION("""COMPUTED_VALUE"""),1972.0)</f>
        <v>1972</v>
      </c>
      <c r="E117">
        <f>IFERROR(__xludf.DUMMYFUNCTION("""COMPUTED_VALUE"""),2253844.0)</f>
        <v>2253844</v>
      </c>
    </row>
    <row r="118">
      <c r="A118" t="str">
        <f t="shared" si="1"/>
        <v>alb#1973</v>
      </c>
      <c r="B118" t="str">
        <f>IFERROR(__xludf.DUMMYFUNCTION("""COMPUTED_VALUE"""),"alb")</f>
        <v>alb</v>
      </c>
      <c r="C118" t="str">
        <f>IFERROR(__xludf.DUMMYFUNCTION("""COMPUTED_VALUE"""),"Albania")</f>
        <v>Albania</v>
      </c>
      <c r="D118">
        <f>IFERROR(__xludf.DUMMYFUNCTION("""COMPUTED_VALUE"""),1973.0)</f>
        <v>1973</v>
      </c>
      <c r="E118">
        <f>IFERROR(__xludf.DUMMYFUNCTION("""COMPUTED_VALUE"""),2306003.0)</f>
        <v>2306003</v>
      </c>
    </row>
    <row r="119">
      <c r="A119" t="str">
        <f t="shared" si="1"/>
        <v>alb#1974</v>
      </c>
      <c r="B119" t="str">
        <f>IFERROR(__xludf.DUMMYFUNCTION("""COMPUTED_VALUE"""),"alb")</f>
        <v>alb</v>
      </c>
      <c r="C119" t="str">
        <f>IFERROR(__xludf.DUMMYFUNCTION("""COMPUTED_VALUE"""),"Albania")</f>
        <v>Albania</v>
      </c>
      <c r="D119">
        <f>IFERROR(__xludf.DUMMYFUNCTION("""COMPUTED_VALUE"""),1974.0)</f>
        <v>1974</v>
      </c>
      <c r="E119">
        <f>IFERROR(__xludf.DUMMYFUNCTION("""COMPUTED_VALUE"""),2358463.0)</f>
        <v>2358463</v>
      </c>
    </row>
    <row r="120">
      <c r="A120" t="str">
        <f t="shared" si="1"/>
        <v>alb#1975</v>
      </c>
      <c r="B120" t="str">
        <f>IFERROR(__xludf.DUMMYFUNCTION("""COMPUTED_VALUE"""),"alb")</f>
        <v>alb</v>
      </c>
      <c r="C120" t="str">
        <f>IFERROR(__xludf.DUMMYFUNCTION("""COMPUTED_VALUE"""),"Albania")</f>
        <v>Albania</v>
      </c>
      <c r="D120">
        <f>IFERROR(__xludf.DUMMYFUNCTION("""COMPUTED_VALUE"""),1975.0)</f>
        <v>1975</v>
      </c>
      <c r="E120">
        <f>IFERROR(__xludf.DUMMYFUNCTION("""COMPUTED_VALUE"""),2411229.0)</f>
        <v>2411229</v>
      </c>
    </row>
    <row r="121">
      <c r="A121" t="str">
        <f t="shared" si="1"/>
        <v>alb#1976</v>
      </c>
      <c r="B121" t="str">
        <f>IFERROR(__xludf.DUMMYFUNCTION("""COMPUTED_VALUE"""),"alb")</f>
        <v>alb</v>
      </c>
      <c r="C121" t="str">
        <f>IFERROR(__xludf.DUMMYFUNCTION("""COMPUTED_VALUE"""),"Albania")</f>
        <v>Albania</v>
      </c>
      <c r="D121">
        <f>IFERROR(__xludf.DUMMYFUNCTION("""COMPUTED_VALUE"""),1976.0)</f>
        <v>1976</v>
      </c>
      <c r="E121">
        <f>IFERROR(__xludf.DUMMYFUNCTION("""COMPUTED_VALUE"""),2464336.0)</f>
        <v>2464336</v>
      </c>
    </row>
    <row r="122">
      <c r="A122" t="str">
        <f t="shared" si="1"/>
        <v>alb#1977</v>
      </c>
      <c r="B122" t="str">
        <f>IFERROR(__xludf.DUMMYFUNCTION("""COMPUTED_VALUE"""),"alb")</f>
        <v>alb</v>
      </c>
      <c r="C122" t="str">
        <f>IFERROR(__xludf.DUMMYFUNCTION("""COMPUTED_VALUE"""),"Albania")</f>
        <v>Albania</v>
      </c>
      <c r="D122">
        <f>IFERROR(__xludf.DUMMYFUNCTION("""COMPUTED_VALUE"""),1977.0)</f>
        <v>1977</v>
      </c>
      <c r="E122">
        <f>IFERROR(__xludf.DUMMYFUNCTION("""COMPUTED_VALUE"""),2517872.0)</f>
        <v>2517872</v>
      </c>
    </row>
    <row r="123">
      <c r="A123" t="str">
        <f t="shared" si="1"/>
        <v>alb#1978</v>
      </c>
      <c r="B123" t="str">
        <f>IFERROR(__xludf.DUMMYFUNCTION("""COMPUTED_VALUE"""),"alb")</f>
        <v>alb</v>
      </c>
      <c r="C123" t="str">
        <f>IFERROR(__xludf.DUMMYFUNCTION("""COMPUTED_VALUE"""),"Albania")</f>
        <v>Albania</v>
      </c>
      <c r="D123">
        <f>IFERROR(__xludf.DUMMYFUNCTION("""COMPUTED_VALUE"""),1978.0)</f>
        <v>1978</v>
      </c>
      <c r="E123">
        <f>IFERROR(__xludf.DUMMYFUNCTION("""COMPUTED_VALUE"""),2571850.0)</f>
        <v>2571850</v>
      </c>
    </row>
    <row r="124">
      <c r="A124" t="str">
        <f t="shared" si="1"/>
        <v>alb#1979</v>
      </c>
      <c r="B124" t="str">
        <f>IFERROR(__xludf.DUMMYFUNCTION("""COMPUTED_VALUE"""),"alb")</f>
        <v>alb</v>
      </c>
      <c r="C124" t="str">
        <f>IFERROR(__xludf.DUMMYFUNCTION("""COMPUTED_VALUE"""),"Albania")</f>
        <v>Albania</v>
      </c>
      <c r="D124">
        <f>IFERROR(__xludf.DUMMYFUNCTION("""COMPUTED_VALUE"""),1979.0)</f>
        <v>1979</v>
      </c>
      <c r="E124">
        <f>IFERROR(__xludf.DUMMYFUNCTION("""COMPUTED_VALUE"""),2626286.0)</f>
        <v>2626286</v>
      </c>
    </row>
    <row r="125">
      <c r="A125" t="str">
        <f t="shared" si="1"/>
        <v>alb#1980</v>
      </c>
      <c r="B125" t="str">
        <f>IFERROR(__xludf.DUMMYFUNCTION("""COMPUTED_VALUE"""),"alb")</f>
        <v>alb</v>
      </c>
      <c r="C125" t="str">
        <f>IFERROR(__xludf.DUMMYFUNCTION("""COMPUTED_VALUE"""),"Albania")</f>
        <v>Albania</v>
      </c>
      <c r="D125">
        <f>IFERROR(__xludf.DUMMYFUNCTION("""COMPUTED_VALUE"""),1980.0)</f>
        <v>1980</v>
      </c>
      <c r="E125">
        <f>IFERROR(__xludf.DUMMYFUNCTION("""COMPUTED_VALUE"""),2681239.0)</f>
        <v>2681239</v>
      </c>
    </row>
    <row r="126">
      <c r="A126" t="str">
        <f t="shared" si="1"/>
        <v>alb#1981</v>
      </c>
      <c r="B126" t="str">
        <f>IFERROR(__xludf.DUMMYFUNCTION("""COMPUTED_VALUE"""),"alb")</f>
        <v>alb</v>
      </c>
      <c r="C126" t="str">
        <f>IFERROR(__xludf.DUMMYFUNCTION("""COMPUTED_VALUE"""),"Albania")</f>
        <v>Albania</v>
      </c>
      <c r="D126">
        <f>IFERROR(__xludf.DUMMYFUNCTION("""COMPUTED_VALUE"""),1981.0)</f>
        <v>1981</v>
      </c>
      <c r="E126">
        <f>IFERROR(__xludf.DUMMYFUNCTION("""COMPUTED_VALUE"""),2735329.0)</f>
        <v>2735329</v>
      </c>
    </row>
    <row r="127">
      <c r="A127" t="str">
        <f t="shared" si="1"/>
        <v>alb#1982</v>
      </c>
      <c r="B127" t="str">
        <f>IFERROR(__xludf.DUMMYFUNCTION("""COMPUTED_VALUE"""),"alb")</f>
        <v>alb</v>
      </c>
      <c r="C127" t="str">
        <f>IFERROR(__xludf.DUMMYFUNCTION("""COMPUTED_VALUE"""),"Albania")</f>
        <v>Albania</v>
      </c>
      <c r="D127">
        <f>IFERROR(__xludf.DUMMYFUNCTION("""COMPUTED_VALUE"""),1982.0)</f>
        <v>1982</v>
      </c>
      <c r="E127">
        <f>IFERROR(__xludf.DUMMYFUNCTION("""COMPUTED_VALUE"""),2788314.0)</f>
        <v>2788314</v>
      </c>
    </row>
    <row r="128">
      <c r="A128" t="str">
        <f t="shared" si="1"/>
        <v>alb#1983</v>
      </c>
      <c r="B128" t="str">
        <f>IFERROR(__xludf.DUMMYFUNCTION("""COMPUTED_VALUE"""),"alb")</f>
        <v>alb</v>
      </c>
      <c r="C128" t="str">
        <f>IFERROR(__xludf.DUMMYFUNCTION("""COMPUTED_VALUE"""),"Albania")</f>
        <v>Albania</v>
      </c>
      <c r="D128">
        <f>IFERROR(__xludf.DUMMYFUNCTION("""COMPUTED_VALUE"""),1983.0)</f>
        <v>1983</v>
      </c>
      <c r="E128">
        <f>IFERROR(__xludf.DUMMYFUNCTION("""COMPUTED_VALUE"""),2842624.0)</f>
        <v>2842624</v>
      </c>
    </row>
    <row r="129">
      <c r="A129" t="str">
        <f t="shared" si="1"/>
        <v>alb#1984</v>
      </c>
      <c r="B129" t="str">
        <f>IFERROR(__xludf.DUMMYFUNCTION("""COMPUTED_VALUE"""),"alb")</f>
        <v>alb</v>
      </c>
      <c r="C129" t="str">
        <f>IFERROR(__xludf.DUMMYFUNCTION("""COMPUTED_VALUE"""),"Albania")</f>
        <v>Albania</v>
      </c>
      <c r="D129">
        <f>IFERROR(__xludf.DUMMYFUNCTION("""COMPUTED_VALUE"""),1984.0)</f>
        <v>1984</v>
      </c>
      <c r="E129">
        <f>IFERROR(__xludf.DUMMYFUNCTION("""COMPUTED_VALUE"""),2901592.0)</f>
        <v>2901592</v>
      </c>
    </row>
    <row r="130">
      <c r="A130" t="str">
        <f t="shared" si="1"/>
        <v>alb#1985</v>
      </c>
      <c r="B130" t="str">
        <f>IFERROR(__xludf.DUMMYFUNCTION("""COMPUTED_VALUE"""),"alb")</f>
        <v>alb</v>
      </c>
      <c r="C130" t="str">
        <f>IFERROR(__xludf.DUMMYFUNCTION("""COMPUTED_VALUE"""),"Albania")</f>
        <v>Albania</v>
      </c>
      <c r="D130">
        <f>IFERROR(__xludf.DUMMYFUNCTION("""COMPUTED_VALUE"""),1985.0)</f>
        <v>1985</v>
      </c>
      <c r="E130">
        <f>IFERROR(__xludf.DUMMYFUNCTION("""COMPUTED_VALUE"""),2966798.0)</f>
        <v>2966798</v>
      </c>
    </row>
    <row r="131">
      <c r="A131" t="str">
        <f t="shared" si="1"/>
        <v>alb#1986</v>
      </c>
      <c r="B131" t="str">
        <f>IFERROR(__xludf.DUMMYFUNCTION("""COMPUTED_VALUE"""),"alb")</f>
        <v>alb</v>
      </c>
      <c r="C131" t="str">
        <f>IFERROR(__xludf.DUMMYFUNCTION("""COMPUTED_VALUE"""),"Albania")</f>
        <v>Albania</v>
      </c>
      <c r="D131">
        <f>IFERROR(__xludf.DUMMYFUNCTION("""COMPUTED_VALUE"""),1986.0)</f>
        <v>1986</v>
      </c>
      <c r="E131">
        <f>IFERROR(__xludf.DUMMYFUNCTION("""COMPUTED_VALUE"""),3041007.0)</f>
        <v>3041007</v>
      </c>
    </row>
    <row r="132">
      <c r="A132" t="str">
        <f t="shared" si="1"/>
        <v>alb#1987</v>
      </c>
      <c r="B132" t="str">
        <f>IFERROR(__xludf.DUMMYFUNCTION("""COMPUTED_VALUE"""),"alb")</f>
        <v>alb</v>
      </c>
      <c r="C132" t="str">
        <f>IFERROR(__xludf.DUMMYFUNCTION("""COMPUTED_VALUE"""),"Albania")</f>
        <v>Albania</v>
      </c>
      <c r="D132">
        <f>IFERROR(__xludf.DUMMYFUNCTION("""COMPUTED_VALUE"""),1987.0)</f>
        <v>1987</v>
      </c>
      <c r="E132">
        <f>IFERROR(__xludf.DUMMYFUNCTION("""COMPUTED_VALUE"""),3121336.0)</f>
        <v>3121336</v>
      </c>
    </row>
    <row r="133">
      <c r="A133" t="str">
        <f t="shared" si="1"/>
        <v>alb#1988</v>
      </c>
      <c r="B133" t="str">
        <f>IFERROR(__xludf.DUMMYFUNCTION("""COMPUTED_VALUE"""),"alb")</f>
        <v>alb</v>
      </c>
      <c r="C133" t="str">
        <f>IFERROR(__xludf.DUMMYFUNCTION("""COMPUTED_VALUE"""),"Albania")</f>
        <v>Albania</v>
      </c>
      <c r="D133">
        <f>IFERROR(__xludf.DUMMYFUNCTION("""COMPUTED_VALUE"""),1988.0)</f>
        <v>1988</v>
      </c>
      <c r="E133">
        <f>IFERROR(__xludf.DUMMYFUNCTION("""COMPUTED_VALUE"""),3197067.0)</f>
        <v>3197067</v>
      </c>
    </row>
    <row r="134">
      <c r="A134" t="str">
        <f t="shared" si="1"/>
        <v>alb#1989</v>
      </c>
      <c r="B134" t="str">
        <f>IFERROR(__xludf.DUMMYFUNCTION("""COMPUTED_VALUE"""),"alb")</f>
        <v>alb</v>
      </c>
      <c r="C134" t="str">
        <f>IFERROR(__xludf.DUMMYFUNCTION("""COMPUTED_VALUE"""),"Albania")</f>
        <v>Albania</v>
      </c>
      <c r="D134">
        <f>IFERROR(__xludf.DUMMYFUNCTION("""COMPUTED_VALUE"""),1989.0)</f>
        <v>1989</v>
      </c>
      <c r="E134">
        <f>IFERROR(__xludf.DUMMYFUNCTION("""COMPUTED_VALUE"""),3253656.0)</f>
        <v>3253656</v>
      </c>
    </row>
    <row r="135">
      <c r="A135" t="str">
        <f t="shared" si="1"/>
        <v>alb#1990</v>
      </c>
      <c r="B135" t="str">
        <f>IFERROR(__xludf.DUMMYFUNCTION("""COMPUTED_VALUE"""),"alb")</f>
        <v>alb</v>
      </c>
      <c r="C135" t="str">
        <f>IFERROR(__xludf.DUMMYFUNCTION("""COMPUTED_VALUE"""),"Albania")</f>
        <v>Albania</v>
      </c>
      <c r="D135">
        <f>IFERROR(__xludf.DUMMYFUNCTION("""COMPUTED_VALUE"""),1990.0)</f>
        <v>1990</v>
      </c>
      <c r="E135">
        <f>IFERROR(__xludf.DUMMYFUNCTION("""COMPUTED_VALUE"""),3281454.0)</f>
        <v>3281454</v>
      </c>
    </row>
    <row r="136">
      <c r="A136" t="str">
        <f t="shared" si="1"/>
        <v>alb#1991</v>
      </c>
      <c r="B136" t="str">
        <f>IFERROR(__xludf.DUMMYFUNCTION("""COMPUTED_VALUE"""),"alb")</f>
        <v>alb</v>
      </c>
      <c r="C136" t="str">
        <f>IFERROR(__xludf.DUMMYFUNCTION("""COMPUTED_VALUE"""),"Albania")</f>
        <v>Albania</v>
      </c>
      <c r="D136">
        <f>IFERROR(__xludf.DUMMYFUNCTION("""COMPUTED_VALUE"""),1991.0)</f>
        <v>1991</v>
      </c>
      <c r="E136">
        <f>IFERROR(__xludf.DUMMYFUNCTION("""COMPUTED_VALUE"""),3275431.0)</f>
        <v>3275431</v>
      </c>
    </row>
    <row r="137">
      <c r="A137" t="str">
        <f t="shared" si="1"/>
        <v>alb#1992</v>
      </c>
      <c r="B137" t="str">
        <f>IFERROR(__xludf.DUMMYFUNCTION("""COMPUTED_VALUE"""),"alb")</f>
        <v>alb</v>
      </c>
      <c r="C137" t="str">
        <f>IFERROR(__xludf.DUMMYFUNCTION("""COMPUTED_VALUE"""),"Albania")</f>
        <v>Albania</v>
      </c>
      <c r="D137">
        <f>IFERROR(__xludf.DUMMYFUNCTION("""COMPUTED_VALUE"""),1992.0)</f>
        <v>1992</v>
      </c>
      <c r="E137">
        <f>IFERROR(__xludf.DUMMYFUNCTION("""COMPUTED_VALUE"""),3240587.0)</f>
        <v>3240587</v>
      </c>
    </row>
    <row r="138">
      <c r="A138" t="str">
        <f t="shared" si="1"/>
        <v>alb#1993</v>
      </c>
      <c r="B138" t="str">
        <f>IFERROR(__xludf.DUMMYFUNCTION("""COMPUTED_VALUE"""),"alb")</f>
        <v>alb</v>
      </c>
      <c r="C138" t="str">
        <f>IFERROR(__xludf.DUMMYFUNCTION("""COMPUTED_VALUE"""),"Albania")</f>
        <v>Albania</v>
      </c>
      <c r="D138">
        <f>IFERROR(__xludf.DUMMYFUNCTION("""COMPUTED_VALUE"""),1993.0)</f>
        <v>1993</v>
      </c>
      <c r="E138">
        <f>IFERROR(__xludf.DUMMYFUNCTION("""COMPUTED_VALUE"""),3189583.0)</f>
        <v>3189583</v>
      </c>
    </row>
    <row r="139">
      <c r="A139" t="str">
        <f t="shared" si="1"/>
        <v>alb#1994</v>
      </c>
      <c r="B139" t="str">
        <f>IFERROR(__xludf.DUMMYFUNCTION("""COMPUTED_VALUE"""),"alb")</f>
        <v>alb</v>
      </c>
      <c r="C139" t="str">
        <f>IFERROR(__xludf.DUMMYFUNCTION("""COMPUTED_VALUE"""),"Albania")</f>
        <v>Albania</v>
      </c>
      <c r="D139">
        <f>IFERROR(__xludf.DUMMYFUNCTION("""COMPUTED_VALUE"""),1994.0)</f>
        <v>1994</v>
      </c>
      <c r="E139">
        <f>IFERROR(__xludf.DUMMYFUNCTION("""COMPUTED_VALUE"""),3140595.0)</f>
        <v>3140595</v>
      </c>
    </row>
    <row r="140">
      <c r="A140" t="str">
        <f t="shared" si="1"/>
        <v>alb#1995</v>
      </c>
      <c r="B140" t="str">
        <f>IFERROR(__xludf.DUMMYFUNCTION("""COMPUTED_VALUE"""),"alb")</f>
        <v>alb</v>
      </c>
      <c r="C140" t="str">
        <f>IFERROR(__xludf.DUMMYFUNCTION("""COMPUTED_VALUE"""),"Albania")</f>
        <v>Albania</v>
      </c>
      <c r="D140">
        <f>IFERROR(__xludf.DUMMYFUNCTION("""COMPUTED_VALUE"""),1995.0)</f>
        <v>1995</v>
      </c>
      <c r="E140">
        <f>IFERROR(__xludf.DUMMYFUNCTION("""COMPUTED_VALUE"""),3106736.0)</f>
        <v>3106736</v>
      </c>
    </row>
    <row r="141">
      <c r="A141" t="str">
        <f t="shared" si="1"/>
        <v>alb#1996</v>
      </c>
      <c r="B141" t="str">
        <f>IFERROR(__xludf.DUMMYFUNCTION("""COMPUTED_VALUE"""),"alb")</f>
        <v>alb</v>
      </c>
      <c r="C141" t="str">
        <f>IFERROR(__xludf.DUMMYFUNCTION("""COMPUTED_VALUE"""),"Albania")</f>
        <v>Albania</v>
      </c>
      <c r="D141">
        <f>IFERROR(__xludf.DUMMYFUNCTION("""COMPUTED_VALUE"""),1996.0)</f>
        <v>1996</v>
      </c>
      <c r="E141">
        <f>IFERROR(__xludf.DUMMYFUNCTION("""COMPUTED_VALUE"""),3092228.0)</f>
        <v>3092228</v>
      </c>
    </row>
    <row r="142">
      <c r="A142" t="str">
        <f t="shared" si="1"/>
        <v>alb#1997</v>
      </c>
      <c r="B142" t="str">
        <f>IFERROR(__xludf.DUMMYFUNCTION("""COMPUTED_VALUE"""),"alb")</f>
        <v>alb</v>
      </c>
      <c r="C142" t="str">
        <f>IFERROR(__xludf.DUMMYFUNCTION("""COMPUTED_VALUE"""),"Albania")</f>
        <v>Albania</v>
      </c>
      <c r="D142">
        <f>IFERROR(__xludf.DUMMYFUNCTION("""COMPUTED_VALUE"""),1997.0)</f>
        <v>1997</v>
      </c>
      <c r="E142">
        <f>IFERROR(__xludf.DUMMYFUNCTION("""COMPUTED_VALUE"""),3093041.0)</f>
        <v>3093041</v>
      </c>
    </row>
    <row r="143">
      <c r="A143" t="str">
        <f t="shared" si="1"/>
        <v>alb#1998</v>
      </c>
      <c r="B143" t="str">
        <f>IFERROR(__xludf.DUMMYFUNCTION("""COMPUTED_VALUE"""),"alb")</f>
        <v>alb</v>
      </c>
      <c r="C143" t="str">
        <f>IFERROR(__xludf.DUMMYFUNCTION("""COMPUTED_VALUE"""),"Albania")</f>
        <v>Albania</v>
      </c>
      <c r="D143">
        <f>IFERROR(__xludf.DUMMYFUNCTION("""COMPUTED_VALUE"""),1998.0)</f>
        <v>1998</v>
      </c>
      <c r="E143">
        <f>IFERROR(__xludf.DUMMYFUNCTION("""COMPUTED_VALUE"""),3103759.0)</f>
        <v>3103759</v>
      </c>
    </row>
    <row r="144">
      <c r="A144" t="str">
        <f t="shared" si="1"/>
        <v>alb#1999</v>
      </c>
      <c r="B144" t="str">
        <f>IFERROR(__xludf.DUMMYFUNCTION("""COMPUTED_VALUE"""),"alb")</f>
        <v>alb</v>
      </c>
      <c r="C144" t="str">
        <f>IFERROR(__xludf.DUMMYFUNCTION("""COMPUTED_VALUE"""),"Albania")</f>
        <v>Albania</v>
      </c>
      <c r="D144">
        <f>IFERROR(__xludf.DUMMYFUNCTION("""COMPUTED_VALUE"""),1999.0)</f>
        <v>1999</v>
      </c>
      <c r="E144">
        <f>IFERROR(__xludf.DUMMYFUNCTION("""COMPUTED_VALUE"""),3115576.0)</f>
        <v>3115576</v>
      </c>
    </row>
    <row r="145">
      <c r="A145" t="str">
        <f t="shared" si="1"/>
        <v>alb#2000</v>
      </c>
      <c r="B145" t="str">
        <f>IFERROR(__xludf.DUMMYFUNCTION("""COMPUTED_VALUE"""),"alb")</f>
        <v>alb</v>
      </c>
      <c r="C145" t="str">
        <f>IFERROR(__xludf.DUMMYFUNCTION("""COMPUTED_VALUE"""),"Albania")</f>
        <v>Albania</v>
      </c>
      <c r="D145">
        <f>IFERROR(__xludf.DUMMYFUNCTION("""COMPUTED_VALUE"""),2000.0)</f>
        <v>2000</v>
      </c>
      <c r="E145">
        <f>IFERROR(__xludf.DUMMYFUNCTION("""COMPUTED_VALUE"""),3121970.0)</f>
        <v>3121970</v>
      </c>
    </row>
    <row r="146">
      <c r="A146" t="str">
        <f t="shared" si="1"/>
        <v>alb#2001</v>
      </c>
      <c r="B146" t="str">
        <f>IFERROR(__xludf.DUMMYFUNCTION("""COMPUTED_VALUE"""),"alb")</f>
        <v>alb</v>
      </c>
      <c r="C146" t="str">
        <f>IFERROR(__xludf.DUMMYFUNCTION("""COMPUTED_VALUE"""),"Albania")</f>
        <v>Albania</v>
      </c>
      <c r="D146">
        <f>IFERROR(__xludf.DUMMYFUNCTION("""COMPUTED_VALUE"""),2001.0)</f>
        <v>2001</v>
      </c>
      <c r="E146">
        <f>IFERROR(__xludf.DUMMYFUNCTION("""COMPUTED_VALUE"""),3122408.0)</f>
        <v>3122408</v>
      </c>
    </row>
    <row r="147">
      <c r="A147" t="str">
        <f t="shared" si="1"/>
        <v>alb#2002</v>
      </c>
      <c r="B147" t="str">
        <f>IFERROR(__xludf.DUMMYFUNCTION("""COMPUTED_VALUE"""),"alb")</f>
        <v>alb</v>
      </c>
      <c r="C147" t="str">
        <f>IFERROR(__xludf.DUMMYFUNCTION("""COMPUTED_VALUE"""),"Albania")</f>
        <v>Albania</v>
      </c>
      <c r="D147">
        <f>IFERROR(__xludf.DUMMYFUNCTION("""COMPUTED_VALUE"""),2002.0)</f>
        <v>2002</v>
      </c>
      <c r="E147">
        <f>IFERROR(__xludf.DUMMYFUNCTION("""COMPUTED_VALUE"""),3119029.0)</f>
        <v>3119029</v>
      </c>
    </row>
    <row r="148">
      <c r="A148" t="str">
        <f t="shared" si="1"/>
        <v>alb#2003</v>
      </c>
      <c r="B148" t="str">
        <f>IFERROR(__xludf.DUMMYFUNCTION("""COMPUTED_VALUE"""),"alb")</f>
        <v>alb</v>
      </c>
      <c r="C148" t="str">
        <f>IFERROR(__xludf.DUMMYFUNCTION("""COMPUTED_VALUE"""),"Albania")</f>
        <v>Albania</v>
      </c>
      <c r="D148">
        <f>IFERROR(__xludf.DUMMYFUNCTION("""COMPUTED_VALUE"""),2003.0)</f>
        <v>2003</v>
      </c>
      <c r="E148">
        <f>IFERROR(__xludf.DUMMYFUNCTION("""COMPUTED_VALUE"""),3111005.0)</f>
        <v>3111005</v>
      </c>
    </row>
    <row r="149">
      <c r="A149" t="str">
        <f t="shared" si="1"/>
        <v>alb#2004</v>
      </c>
      <c r="B149" t="str">
        <f>IFERROR(__xludf.DUMMYFUNCTION("""COMPUTED_VALUE"""),"alb")</f>
        <v>alb</v>
      </c>
      <c r="C149" t="str">
        <f>IFERROR(__xludf.DUMMYFUNCTION("""COMPUTED_VALUE"""),"Albania")</f>
        <v>Albania</v>
      </c>
      <c r="D149">
        <f>IFERROR(__xludf.DUMMYFUNCTION("""COMPUTED_VALUE"""),2004.0)</f>
        <v>2004</v>
      </c>
      <c r="E149">
        <f>IFERROR(__xludf.DUMMYFUNCTION("""COMPUTED_VALUE"""),3097747.0)</f>
        <v>3097747</v>
      </c>
    </row>
    <row r="150">
      <c r="A150" t="str">
        <f t="shared" si="1"/>
        <v>alb#2005</v>
      </c>
      <c r="B150" t="str">
        <f>IFERROR(__xludf.DUMMYFUNCTION("""COMPUTED_VALUE"""),"alb")</f>
        <v>alb</v>
      </c>
      <c r="C150" t="str">
        <f>IFERROR(__xludf.DUMMYFUNCTION("""COMPUTED_VALUE"""),"Albania")</f>
        <v>Albania</v>
      </c>
      <c r="D150">
        <f>IFERROR(__xludf.DUMMYFUNCTION("""COMPUTED_VALUE"""),2005.0)</f>
        <v>2005</v>
      </c>
      <c r="E150">
        <f>IFERROR(__xludf.DUMMYFUNCTION("""COMPUTED_VALUE"""),3079179.0)</f>
        <v>3079179</v>
      </c>
    </row>
    <row r="151">
      <c r="A151" t="str">
        <f t="shared" si="1"/>
        <v>alb#2006</v>
      </c>
      <c r="B151" t="str">
        <f>IFERROR(__xludf.DUMMYFUNCTION("""COMPUTED_VALUE"""),"alb")</f>
        <v>alb</v>
      </c>
      <c r="C151" t="str">
        <f>IFERROR(__xludf.DUMMYFUNCTION("""COMPUTED_VALUE"""),"Albania")</f>
        <v>Albania</v>
      </c>
      <c r="D151">
        <f>IFERROR(__xludf.DUMMYFUNCTION("""COMPUTED_VALUE"""),2006.0)</f>
        <v>2006</v>
      </c>
      <c r="E151">
        <f>IFERROR(__xludf.DUMMYFUNCTION("""COMPUTED_VALUE"""),3054331.0)</f>
        <v>3054331</v>
      </c>
    </row>
    <row r="152">
      <c r="A152" t="str">
        <f t="shared" si="1"/>
        <v>alb#2007</v>
      </c>
      <c r="B152" t="str">
        <f>IFERROR(__xludf.DUMMYFUNCTION("""COMPUTED_VALUE"""),"alb")</f>
        <v>alb</v>
      </c>
      <c r="C152" t="str">
        <f>IFERROR(__xludf.DUMMYFUNCTION("""COMPUTED_VALUE"""),"Albania")</f>
        <v>Albania</v>
      </c>
      <c r="D152">
        <f>IFERROR(__xludf.DUMMYFUNCTION("""COMPUTED_VALUE"""),2007.0)</f>
        <v>2007</v>
      </c>
      <c r="E152">
        <f>IFERROR(__xludf.DUMMYFUNCTION("""COMPUTED_VALUE"""),3023907.0)</f>
        <v>3023907</v>
      </c>
    </row>
    <row r="153">
      <c r="A153" t="str">
        <f t="shared" si="1"/>
        <v>alb#2008</v>
      </c>
      <c r="B153" t="str">
        <f>IFERROR(__xludf.DUMMYFUNCTION("""COMPUTED_VALUE"""),"alb")</f>
        <v>alb</v>
      </c>
      <c r="C153" t="str">
        <f>IFERROR(__xludf.DUMMYFUNCTION("""COMPUTED_VALUE"""),"Albania")</f>
        <v>Albania</v>
      </c>
      <c r="D153">
        <f>IFERROR(__xludf.DUMMYFUNCTION("""COMPUTED_VALUE"""),2008.0)</f>
        <v>2008</v>
      </c>
      <c r="E153">
        <f>IFERROR(__xludf.DUMMYFUNCTION("""COMPUTED_VALUE"""),2991651.0)</f>
        <v>2991651</v>
      </c>
    </row>
    <row r="154">
      <c r="A154" t="str">
        <f t="shared" si="1"/>
        <v>alb#2009</v>
      </c>
      <c r="B154" t="str">
        <f>IFERROR(__xludf.DUMMYFUNCTION("""COMPUTED_VALUE"""),"alb")</f>
        <v>alb</v>
      </c>
      <c r="C154" t="str">
        <f>IFERROR(__xludf.DUMMYFUNCTION("""COMPUTED_VALUE"""),"Albania")</f>
        <v>Albania</v>
      </c>
      <c r="D154">
        <f>IFERROR(__xludf.DUMMYFUNCTION("""COMPUTED_VALUE"""),2009.0)</f>
        <v>2009</v>
      </c>
      <c r="E154">
        <f>IFERROR(__xludf.DUMMYFUNCTION("""COMPUTED_VALUE"""),2962635.0)</f>
        <v>2962635</v>
      </c>
    </row>
    <row r="155">
      <c r="A155" t="str">
        <f t="shared" si="1"/>
        <v>alb#2010</v>
      </c>
      <c r="B155" t="str">
        <f>IFERROR(__xludf.DUMMYFUNCTION("""COMPUTED_VALUE"""),"alb")</f>
        <v>alb</v>
      </c>
      <c r="C155" t="str">
        <f>IFERROR(__xludf.DUMMYFUNCTION("""COMPUTED_VALUE"""),"Albania")</f>
        <v>Albania</v>
      </c>
      <c r="D155">
        <f>IFERROR(__xludf.DUMMYFUNCTION("""COMPUTED_VALUE"""),2010.0)</f>
        <v>2010</v>
      </c>
      <c r="E155">
        <f>IFERROR(__xludf.DUMMYFUNCTION("""COMPUTED_VALUE"""),2940525.0)</f>
        <v>2940525</v>
      </c>
    </row>
    <row r="156">
      <c r="A156" t="str">
        <f t="shared" si="1"/>
        <v>alb#2011</v>
      </c>
      <c r="B156" t="str">
        <f>IFERROR(__xludf.DUMMYFUNCTION("""COMPUTED_VALUE"""),"alb")</f>
        <v>alb</v>
      </c>
      <c r="C156" t="str">
        <f>IFERROR(__xludf.DUMMYFUNCTION("""COMPUTED_VALUE"""),"Albania")</f>
        <v>Albania</v>
      </c>
      <c r="D156">
        <f>IFERROR(__xludf.DUMMYFUNCTION("""COMPUTED_VALUE"""),2011.0)</f>
        <v>2011</v>
      </c>
      <c r="E156">
        <f>IFERROR(__xludf.DUMMYFUNCTION("""COMPUTED_VALUE"""),2926659.0)</f>
        <v>2926659</v>
      </c>
    </row>
    <row r="157">
      <c r="A157" t="str">
        <f t="shared" si="1"/>
        <v>alb#2012</v>
      </c>
      <c r="B157" t="str">
        <f>IFERROR(__xludf.DUMMYFUNCTION("""COMPUTED_VALUE"""),"alb")</f>
        <v>alb</v>
      </c>
      <c r="C157" t="str">
        <f>IFERROR(__xludf.DUMMYFUNCTION("""COMPUTED_VALUE"""),"Albania")</f>
        <v>Albania</v>
      </c>
      <c r="D157">
        <f>IFERROR(__xludf.DUMMYFUNCTION("""COMPUTED_VALUE"""),2012.0)</f>
        <v>2012</v>
      </c>
      <c r="E157">
        <f>IFERROR(__xludf.DUMMYFUNCTION("""COMPUTED_VALUE"""),2920039.0)</f>
        <v>2920039</v>
      </c>
    </row>
    <row r="158">
      <c r="A158" t="str">
        <f t="shared" si="1"/>
        <v>alb#2013</v>
      </c>
      <c r="B158" t="str">
        <f>IFERROR(__xludf.DUMMYFUNCTION("""COMPUTED_VALUE"""),"alb")</f>
        <v>alb</v>
      </c>
      <c r="C158" t="str">
        <f>IFERROR(__xludf.DUMMYFUNCTION("""COMPUTED_VALUE"""),"Albania")</f>
        <v>Albania</v>
      </c>
      <c r="D158">
        <f>IFERROR(__xludf.DUMMYFUNCTION("""COMPUTED_VALUE"""),2013.0)</f>
        <v>2013</v>
      </c>
      <c r="E158">
        <f>IFERROR(__xludf.DUMMYFUNCTION("""COMPUTED_VALUE"""),2918978.0)</f>
        <v>2918978</v>
      </c>
    </row>
    <row r="159">
      <c r="A159" t="str">
        <f t="shared" si="1"/>
        <v>alb#2014</v>
      </c>
      <c r="B159" t="str">
        <f>IFERROR(__xludf.DUMMYFUNCTION("""COMPUTED_VALUE"""),"alb")</f>
        <v>alb</v>
      </c>
      <c r="C159" t="str">
        <f>IFERROR(__xludf.DUMMYFUNCTION("""COMPUTED_VALUE"""),"Albania")</f>
        <v>Albania</v>
      </c>
      <c r="D159">
        <f>IFERROR(__xludf.DUMMYFUNCTION("""COMPUTED_VALUE"""),2014.0)</f>
        <v>2014</v>
      </c>
      <c r="E159">
        <f>IFERROR(__xludf.DUMMYFUNCTION("""COMPUTED_VALUE"""),2920775.0)</f>
        <v>2920775</v>
      </c>
    </row>
    <row r="160">
      <c r="A160" t="str">
        <f t="shared" si="1"/>
        <v>alb#2015</v>
      </c>
      <c r="B160" t="str">
        <f>IFERROR(__xludf.DUMMYFUNCTION("""COMPUTED_VALUE"""),"alb")</f>
        <v>alb</v>
      </c>
      <c r="C160" t="str">
        <f>IFERROR(__xludf.DUMMYFUNCTION("""COMPUTED_VALUE"""),"Albania")</f>
        <v>Albania</v>
      </c>
      <c r="D160">
        <f>IFERROR(__xludf.DUMMYFUNCTION("""COMPUTED_VALUE"""),2015.0)</f>
        <v>2015</v>
      </c>
      <c r="E160">
        <f>IFERROR(__xludf.DUMMYFUNCTION("""COMPUTED_VALUE"""),2923352.0)</f>
        <v>2923352</v>
      </c>
    </row>
    <row r="161">
      <c r="A161" t="str">
        <f t="shared" si="1"/>
        <v>alb#2016</v>
      </c>
      <c r="B161" t="str">
        <f>IFERROR(__xludf.DUMMYFUNCTION("""COMPUTED_VALUE"""),"alb")</f>
        <v>alb</v>
      </c>
      <c r="C161" t="str">
        <f>IFERROR(__xludf.DUMMYFUNCTION("""COMPUTED_VALUE"""),"Albania")</f>
        <v>Albania</v>
      </c>
      <c r="D161">
        <f>IFERROR(__xludf.DUMMYFUNCTION("""COMPUTED_VALUE"""),2016.0)</f>
        <v>2016</v>
      </c>
      <c r="E161">
        <f>IFERROR(__xludf.DUMMYFUNCTION("""COMPUTED_VALUE"""),2926348.0)</f>
        <v>2926348</v>
      </c>
    </row>
    <row r="162">
      <c r="A162" t="str">
        <f t="shared" si="1"/>
        <v>alb#2017</v>
      </c>
      <c r="B162" t="str">
        <f>IFERROR(__xludf.DUMMYFUNCTION("""COMPUTED_VALUE"""),"alb")</f>
        <v>alb</v>
      </c>
      <c r="C162" t="str">
        <f>IFERROR(__xludf.DUMMYFUNCTION("""COMPUTED_VALUE"""),"Albania")</f>
        <v>Albania</v>
      </c>
      <c r="D162">
        <f>IFERROR(__xludf.DUMMYFUNCTION("""COMPUTED_VALUE"""),2017.0)</f>
        <v>2017</v>
      </c>
      <c r="E162">
        <f>IFERROR(__xludf.DUMMYFUNCTION("""COMPUTED_VALUE"""),2930187.0)</f>
        <v>2930187</v>
      </c>
    </row>
    <row r="163">
      <c r="A163" t="str">
        <f t="shared" si="1"/>
        <v>alb#2018</v>
      </c>
      <c r="B163" t="str">
        <f>IFERROR(__xludf.DUMMYFUNCTION("""COMPUTED_VALUE"""),"alb")</f>
        <v>alb</v>
      </c>
      <c r="C163" t="str">
        <f>IFERROR(__xludf.DUMMYFUNCTION("""COMPUTED_VALUE"""),"Albania")</f>
        <v>Albania</v>
      </c>
      <c r="D163">
        <f>IFERROR(__xludf.DUMMYFUNCTION("""COMPUTED_VALUE"""),2018.0)</f>
        <v>2018</v>
      </c>
      <c r="E163">
        <f>IFERROR(__xludf.DUMMYFUNCTION("""COMPUTED_VALUE"""),2934363.0)</f>
        <v>2934363</v>
      </c>
    </row>
    <row r="164">
      <c r="A164" t="str">
        <f t="shared" si="1"/>
        <v>alb#2019</v>
      </c>
      <c r="B164" t="str">
        <f>IFERROR(__xludf.DUMMYFUNCTION("""COMPUTED_VALUE"""),"alb")</f>
        <v>alb</v>
      </c>
      <c r="C164" t="str">
        <f>IFERROR(__xludf.DUMMYFUNCTION("""COMPUTED_VALUE"""),"Albania")</f>
        <v>Albania</v>
      </c>
      <c r="D164">
        <f>IFERROR(__xludf.DUMMYFUNCTION("""COMPUTED_VALUE"""),2019.0)</f>
        <v>2019</v>
      </c>
      <c r="E164">
        <f>IFERROR(__xludf.DUMMYFUNCTION("""COMPUTED_VALUE"""),2938428.0)</f>
        <v>2938428</v>
      </c>
    </row>
    <row r="165">
      <c r="A165" t="str">
        <f t="shared" si="1"/>
        <v>alb#2020</v>
      </c>
      <c r="B165" t="str">
        <f>IFERROR(__xludf.DUMMYFUNCTION("""COMPUTED_VALUE"""),"alb")</f>
        <v>alb</v>
      </c>
      <c r="C165" t="str">
        <f>IFERROR(__xludf.DUMMYFUNCTION("""COMPUTED_VALUE"""),"Albania")</f>
        <v>Albania</v>
      </c>
      <c r="D165">
        <f>IFERROR(__xludf.DUMMYFUNCTION("""COMPUTED_VALUE"""),2020.0)</f>
        <v>2020</v>
      </c>
      <c r="E165">
        <f>IFERROR(__xludf.DUMMYFUNCTION("""COMPUTED_VALUE"""),2942034.0)</f>
        <v>2942034</v>
      </c>
    </row>
    <row r="166">
      <c r="A166" t="str">
        <f t="shared" si="1"/>
        <v>alb#2021</v>
      </c>
      <c r="B166" t="str">
        <f>IFERROR(__xludf.DUMMYFUNCTION("""COMPUTED_VALUE"""),"alb")</f>
        <v>alb</v>
      </c>
      <c r="C166" t="str">
        <f>IFERROR(__xludf.DUMMYFUNCTION("""COMPUTED_VALUE"""),"Albania")</f>
        <v>Albania</v>
      </c>
      <c r="D166">
        <f>IFERROR(__xludf.DUMMYFUNCTION("""COMPUTED_VALUE"""),2021.0)</f>
        <v>2021</v>
      </c>
      <c r="E166">
        <f>IFERROR(__xludf.DUMMYFUNCTION("""COMPUTED_VALUE"""),2944804.0)</f>
        <v>2944804</v>
      </c>
    </row>
    <row r="167">
      <c r="A167" t="str">
        <f t="shared" si="1"/>
        <v>alb#2022</v>
      </c>
      <c r="B167" t="str">
        <f>IFERROR(__xludf.DUMMYFUNCTION("""COMPUTED_VALUE"""),"alb")</f>
        <v>alb</v>
      </c>
      <c r="C167" t="str">
        <f>IFERROR(__xludf.DUMMYFUNCTION("""COMPUTED_VALUE"""),"Albania")</f>
        <v>Albania</v>
      </c>
      <c r="D167">
        <f>IFERROR(__xludf.DUMMYFUNCTION("""COMPUTED_VALUE"""),2022.0)</f>
        <v>2022</v>
      </c>
      <c r="E167">
        <f>IFERROR(__xludf.DUMMYFUNCTION("""COMPUTED_VALUE"""),2946540.0)</f>
        <v>2946540</v>
      </c>
    </row>
    <row r="168">
      <c r="A168" t="str">
        <f t="shared" si="1"/>
        <v>alb#2023</v>
      </c>
      <c r="B168" t="str">
        <f>IFERROR(__xludf.DUMMYFUNCTION("""COMPUTED_VALUE"""),"alb")</f>
        <v>alb</v>
      </c>
      <c r="C168" t="str">
        <f>IFERROR(__xludf.DUMMYFUNCTION("""COMPUTED_VALUE"""),"Albania")</f>
        <v>Albania</v>
      </c>
      <c r="D168">
        <f>IFERROR(__xludf.DUMMYFUNCTION("""COMPUTED_VALUE"""),2023.0)</f>
        <v>2023</v>
      </c>
      <c r="E168">
        <f>IFERROR(__xludf.DUMMYFUNCTION("""COMPUTED_VALUE"""),2947341.0)</f>
        <v>2947341</v>
      </c>
    </row>
    <row r="169">
      <c r="A169" t="str">
        <f t="shared" si="1"/>
        <v>alb#2024</v>
      </c>
      <c r="B169" t="str">
        <f>IFERROR(__xludf.DUMMYFUNCTION("""COMPUTED_VALUE"""),"alb")</f>
        <v>alb</v>
      </c>
      <c r="C169" t="str">
        <f>IFERROR(__xludf.DUMMYFUNCTION("""COMPUTED_VALUE"""),"Albania")</f>
        <v>Albania</v>
      </c>
      <c r="D169">
        <f>IFERROR(__xludf.DUMMYFUNCTION("""COMPUTED_VALUE"""),2024.0)</f>
        <v>2024</v>
      </c>
      <c r="E169">
        <f>IFERROR(__xludf.DUMMYFUNCTION("""COMPUTED_VALUE"""),2947436.0)</f>
        <v>2947436</v>
      </c>
    </row>
    <row r="170">
      <c r="A170" t="str">
        <f t="shared" si="1"/>
        <v>alb#2025</v>
      </c>
      <c r="B170" t="str">
        <f>IFERROR(__xludf.DUMMYFUNCTION("""COMPUTED_VALUE"""),"alb")</f>
        <v>alb</v>
      </c>
      <c r="C170" t="str">
        <f>IFERROR(__xludf.DUMMYFUNCTION("""COMPUTED_VALUE"""),"Albania")</f>
        <v>Albania</v>
      </c>
      <c r="D170">
        <f>IFERROR(__xludf.DUMMYFUNCTION("""COMPUTED_VALUE"""),2025.0)</f>
        <v>2025</v>
      </c>
      <c r="E170">
        <f>IFERROR(__xludf.DUMMYFUNCTION("""COMPUTED_VALUE"""),2946992.0)</f>
        <v>2946992</v>
      </c>
    </row>
    <row r="171">
      <c r="A171" t="str">
        <f t="shared" si="1"/>
        <v>alb#2026</v>
      </c>
      <c r="B171" t="str">
        <f>IFERROR(__xludf.DUMMYFUNCTION("""COMPUTED_VALUE"""),"alb")</f>
        <v>alb</v>
      </c>
      <c r="C171" t="str">
        <f>IFERROR(__xludf.DUMMYFUNCTION("""COMPUTED_VALUE"""),"Albania")</f>
        <v>Albania</v>
      </c>
      <c r="D171">
        <f>IFERROR(__xludf.DUMMYFUNCTION("""COMPUTED_VALUE"""),2026.0)</f>
        <v>2026</v>
      </c>
      <c r="E171">
        <f>IFERROR(__xludf.DUMMYFUNCTION("""COMPUTED_VALUE"""),2945952.0)</f>
        <v>2945952</v>
      </c>
    </row>
    <row r="172">
      <c r="A172" t="str">
        <f t="shared" si="1"/>
        <v>alb#2027</v>
      </c>
      <c r="B172" t="str">
        <f>IFERROR(__xludf.DUMMYFUNCTION("""COMPUTED_VALUE"""),"alb")</f>
        <v>alb</v>
      </c>
      <c r="C172" t="str">
        <f>IFERROR(__xludf.DUMMYFUNCTION("""COMPUTED_VALUE"""),"Albania")</f>
        <v>Albania</v>
      </c>
      <c r="D172">
        <f>IFERROR(__xludf.DUMMYFUNCTION("""COMPUTED_VALUE"""),2027.0)</f>
        <v>2027</v>
      </c>
      <c r="E172">
        <f>IFERROR(__xludf.DUMMYFUNCTION("""COMPUTED_VALUE"""),2944148.0)</f>
        <v>2944148</v>
      </c>
    </row>
    <row r="173">
      <c r="A173" t="str">
        <f t="shared" si="1"/>
        <v>alb#2028</v>
      </c>
      <c r="B173" t="str">
        <f>IFERROR(__xludf.DUMMYFUNCTION("""COMPUTED_VALUE"""),"alb")</f>
        <v>alb</v>
      </c>
      <c r="C173" t="str">
        <f>IFERROR(__xludf.DUMMYFUNCTION("""COMPUTED_VALUE"""),"Albania")</f>
        <v>Albania</v>
      </c>
      <c r="D173">
        <f>IFERROR(__xludf.DUMMYFUNCTION("""COMPUTED_VALUE"""),2028.0)</f>
        <v>2028</v>
      </c>
      <c r="E173">
        <f>IFERROR(__xludf.DUMMYFUNCTION("""COMPUTED_VALUE"""),2941514.0)</f>
        <v>2941514</v>
      </c>
    </row>
    <row r="174">
      <c r="A174" t="str">
        <f t="shared" si="1"/>
        <v>alb#2029</v>
      </c>
      <c r="B174" t="str">
        <f>IFERROR(__xludf.DUMMYFUNCTION("""COMPUTED_VALUE"""),"alb")</f>
        <v>alb</v>
      </c>
      <c r="C174" t="str">
        <f>IFERROR(__xludf.DUMMYFUNCTION("""COMPUTED_VALUE"""),"Albania")</f>
        <v>Albania</v>
      </c>
      <c r="D174">
        <f>IFERROR(__xludf.DUMMYFUNCTION("""COMPUTED_VALUE"""),2029.0)</f>
        <v>2029</v>
      </c>
      <c r="E174">
        <f>IFERROR(__xludf.DUMMYFUNCTION("""COMPUTED_VALUE"""),2937961.0)</f>
        <v>2937961</v>
      </c>
    </row>
    <row r="175">
      <c r="A175" t="str">
        <f t="shared" si="1"/>
        <v>alb#2030</v>
      </c>
      <c r="B175" t="str">
        <f>IFERROR(__xludf.DUMMYFUNCTION("""COMPUTED_VALUE"""),"alb")</f>
        <v>alb</v>
      </c>
      <c r="C175" t="str">
        <f>IFERROR(__xludf.DUMMYFUNCTION("""COMPUTED_VALUE"""),"Albania")</f>
        <v>Albania</v>
      </c>
      <c r="D175">
        <f>IFERROR(__xludf.DUMMYFUNCTION("""COMPUTED_VALUE"""),2030.0)</f>
        <v>2030</v>
      </c>
      <c r="E175">
        <f>IFERROR(__xludf.DUMMYFUNCTION("""COMPUTED_VALUE"""),2933419.0)</f>
        <v>2933419</v>
      </c>
    </row>
    <row r="176">
      <c r="A176" t="str">
        <f t="shared" si="1"/>
        <v>alb#2031</v>
      </c>
      <c r="B176" t="str">
        <f>IFERROR(__xludf.DUMMYFUNCTION("""COMPUTED_VALUE"""),"alb")</f>
        <v>alb</v>
      </c>
      <c r="C176" t="str">
        <f>IFERROR(__xludf.DUMMYFUNCTION("""COMPUTED_VALUE"""),"Albania")</f>
        <v>Albania</v>
      </c>
      <c r="D176">
        <f>IFERROR(__xludf.DUMMYFUNCTION("""COMPUTED_VALUE"""),2031.0)</f>
        <v>2031</v>
      </c>
      <c r="E176">
        <f>IFERROR(__xludf.DUMMYFUNCTION("""COMPUTED_VALUE"""),2927864.0)</f>
        <v>2927864</v>
      </c>
    </row>
    <row r="177">
      <c r="A177" t="str">
        <f t="shared" si="1"/>
        <v>alb#2032</v>
      </c>
      <c r="B177" t="str">
        <f>IFERROR(__xludf.DUMMYFUNCTION("""COMPUTED_VALUE"""),"alb")</f>
        <v>alb</v>
      </c>
      <c r="C177" t="str">
        <f>IFERROR(__xludf.DUMMYFUNCTION("""COMPUTED_VALUE"""),"Albania")</f>
        <v>Albania</v>
      </c>
      <c r="D177">
        <f>IFERROR(__xludf.DUMMYFUNCTION("""COMPUTED_VALUE"""),2032.0)</f>
        <v>2032</v>
      </c>
      <c r="E177">
        <f>IFERROR(__xludf.DUMMYFUNCTION("""COMPUTED_VALUE"""),2921296.0)</f>
        <v>2921296</v>
      </c>
    </row>
    <row r="178">
      <c r="A178" t="str">
        <f t="shared" si="1"/>
        <v>alb#2033</v>
      </c>
      <c r="B178" t="str">
        <f>IFERROR(__xludf.DUMMYFUNCTION("""COMPUTED_VALUE"""),"alb")</f>
        <v>alb</v>
      </c>
      <c r="C178" t="str">
        <f>IFERROR(__xludf.DUMMYFUNCTION("""COMPUTED_VALUE"""),"Albania")</f>
        <v>Albania</v>
      </c>
      <c r="D178">
        <f>IFERROR(__xludf.DUMMYFUNCTION("""COMPUTED_VALUE"""),2033.0)</f>
        <v>2033</v>
      </c>
      <c r="E178">
        <f>IFERROR(__xludf.DUMMYFUNCTION("""COMPUTED_VALUE"""),2913716.0)</f>
        <v>2913716</v>
      </c>
    </row>
    <row r="179">
      <c r="A179" t="str">
        <f t="shared" si="1"/>
        <v>alb#2034</v>
      </c>
      <c r="B179" t="str">
        <f>IFERROR(__xludf.DUMMYFUNCTION("""COMPUTED_VALUE"""),"alb")</f>
        <v>alb</v>
      </c>
      <c r="C179" t="str">
        <f>IFERROR(__xludf.DUMMYFUNCTION("""COMPUTED_VALUE"""),"Albania")</f>
        <v>Albania</v>
      </c>
      <c r="D179">
        <f>IFERROR(__xludf.DUMMYFUNCTION("""COMPUTED_VALUE"""),2034.0)</f>
        <v>2034</v>
      </c>
      <c r="E179">
        <f>IFERROR(__xludf.DUMMYFUNCTION("""COMPUTED_VALUE"""),2905095.0)</f>
        <v>2905095</v>
      </c>
    </row>
    <row r="180">
      <c r="A180" t="str">
        <f t="shared" si="1"/>
        <v>alb#2035</v>
      </c>
      <c r="B180" t="str">
        <f>IFERROR(__xludf.DUMMYFUNCTION("""COMPUTED_VALUE"""),"alb")</f>
        <v>alb</v>
      </c>
      <c r="C180" t="str">
        <f>IFERROR(__xludf.DUMMYFUNCTION("""COMPUTED_VALUE"""),"Albania")</f>
        <v>Albania</v>
      </c>
      <c r="D180">
        <f>IFERROR(__xludf.DUMMYFUNCTION("""COMPUTED_VALUE"""),2035.0)</f>
        <v>2035</v>
      </c>
      <c r="E180">
        <f>IFERROR(__xludf.DUMMYFUNCTION("""COMPUTED_VALUE"""),2895451.0)</f>
        <v>2895451</v>
      </c>
    </row>
    <row r="181">
      <c r="A181" t="str">
        <f t="shared" si="1"/>
        <v>alb#2036</v>
      </c>
      <c r="B181" t="str">
        <f>IFERROR(__xludf.DUMMYFUNCTION("""COMPUTED_VALUE"""),"alb")</f>
        <v>alb</v>
      </c>
      <c r="C181" t="str">
        <f>IFERROR(__xludf.DUMMYFUNCTION("""COMPUTED_VALUE"""),"Albania")</f>
        <v>Albania</v>
      </c>
      <c r="D181">
        <f>IFERROR(__xludf.DUMMYFUNCTION("""COMPUTED_VALUE"""),2036.0)</f>
        <v>2036</v>
      </c>
      <c r="E181">
        <f>IFERROR(__xludf.DUMMYFUNCTION("""COMPUTED_VALUE"""),2884782.0)</f>
        <v>2884782</v>
      </c>
    </row>
    <row r="182">
      <c r="A182" t="str">
        <f t="shared" si="1"/>
        <v>alb#2037</v>
      </c>
      <c r="B182" t="str">
        <f>IFERROR(__xludf.DUMMYFUNCTION("""COMPUTED_VALUE"""),"alb")</f>
        <v>alb</v>
      </c>
      <c r="C182" t="str">
        <f>IFERROR(__xludf.DUMMYFUNCTION("""COMPUTED_VALUE"""),"Albania")</f>
        <v>Albania</v>
      </c>
      <c r="D182">
        <f>IFERROR(__xludf.DUMMYFUNCTION("""COMPUTED_VALUE"""),2037.0)</f>
        <v>2037</v>
      </c>
      <c r="E182">
        <f>IFERROR(__xludf.DUMMYFUNCTION("""COMPUTED_VALUE"""),2873133.0)</f>
        <v>2873133</v>
      </c>
    </row>
    <row r="183">
      <c r="A183" t="str">
        <f t="shared" si="1"/>
        <v>alb#2038</v>
      </c>
      <c r="B183" t="str">
        <f>IFERROR(__xludf.DUMMYFUNCTION("""COMPUTED_VALUE"""),"alb")</f>
        <v>alb</v>
      </c>
      <c r="C183" t="str">
        <f>IFERROR(__xludf.DUMMYFUNCTION("""COMPUTED_VALUE"""),"Albania")</f>
        <v>Albania</v>
      </c>
      <c r="D183">
        <f>IFERROR(__xludf.DUMMYFUNCTION("""COMPUTED_VALUE"""),2038.0)</f>
        <v>2038</v>
      </c>
      <c r="E183">
        <f>IFERROR(__xludf.DUMMYFUNCTION("""COMPUTED_VALUE"""),2860572.0)</f>
        <v>2860572</v>
      </c>
    </row>
    <row r="184">
      <c r="A184" t="str">
        <f t="shared" si="1"/>
        <v>alb#2039</v>
      </c>
      <c r="B184" t="str">
        <f>IFERROR(__xludf.DUMMYFUNCTION("""COMPUTED_VALUE"""),"alb")</f>
        <v>alb</v>
      </c>
      <c r="C184" t="str">
        <f>IFERROR(__xludf.DUMMYFUNCTION("""COMPUTED_VALUE"""),"Albania")</f>
        <v>Albania</v>
      </c>
      <c r="D184">
        <f>IFERROR(__xludf.DUMMYFUNCTION("""COMPUTED_VALUE"""),2039.0)</f>
        <v>2039</v>
      </c>
      <c r="E184">
        <f>IFERROR(__xludf.DUMMYFUNCTION("""COMPUTED_VALUE"""),2847180.0)</f>
        <v>2847180</v>
      </c>
    </row>
    <row r="185">
      <c r="A185" t="str">
        <f t="shared" si="1"/>
        <v>alb#2040</v>
      </c>
      <c r="B185" t="str">
        <f>IFERROR(__xludf.DUMMYFUNCTION("""COMPUTED_VALUE"""),"alb")</f>
        <v>alb</v>
      </c>
      <c r="C185" t="str">
        <f>IFERROR(__xludf.DUMMYFUNCTION("""COMPUTED_VALUE"""),"Albania")</f>
        <v>Albania</v>
      </c>
      <c r="D185">
        <f>IFERROR(__xludf.DUMMYFUNCTION("""COMPUTED_VALUE"""),2040.0)</f>
        <v>2040</v>
      </c>
      <c r="E185">
        <f>IFERROR(__xludf.DUMMYFUNCTION("""COMPUTED_VALUE"""),2833058.0)</f>
        <v>2833058</v>
      </c>
    </row>
    <row r="186">
      <c r="A186" t="str">
        <f t="shared" si="1"/>
        <v>dza#1950</v>
      </c>
      <c r="B186" t="str">
        <f>IFERROR(__xludf.DUMMYFUNCTION("""COMPUTED_VALUE"""),"dza")</f>
        <v>dza</v>
      </c>
      <c r="C186" t="str">
        <f>IFERROR(__xludf.DUMMYFUNCTION("""COMPUTED_VALUE"""),"Algeria")</f>
        <v>Algeria</v>
      </c>
      <c r="D186">
        <f>IFERROR(__xludf.DUMMYFUNCTION("""COMPUTED_VALUE"""),1950.0)</f>
        <v>1950</v>
      </c>
      <c r="E186">
        <f>IFERROR(__xludf.DUMMYFUNCTION("""COMPUTED_VALUE"""),8872247.0)</f>
        <v>8872247</v>
      </c>
    </row>
    <row r="187">
      <c r="A187" t="str">
        <f t="shared" si="1"/>
        <v>dza#1951</v>
      </c>
      <c r="B187" t="str">
        <f>IFERROR(__xludf.DUMMYFUNCTION("""COMPUTED_VALUE"""),"dza")</f>
        <v>dza</v>
      </c>
      <c r="C187" t="str">
        <f>IFERROR(__xludf.DUMMYFUNCTION("""COMPUTED_VALUE"""),"Algeria")</f>
        <v>Algeria</v>
      </c>
      <c r="D187">
        <f>IFERROR(__xludf.DUMMYFUNCTION("""COMPUTED_VALUE"""),1951.0)</f>
        <v>1951</v>
      </c>
      <c r="E187">
        <f>IFERROR(__xludf.DUMMYFUNCTION("""COMPUTED_VALUE"""),9039910.0)</f>
        <v>9039910</v>
      </c>
    </row>
    <row r="188">
      <c r="A188" t="str">
        <f t="shared" si="1"/>
        <v>dza#1952</v>
      </c>
      <c r="B188" t="str">
        <f>IFERROR(__xludf.DUMMYFUNCTION("""COMPUTED_VALUE"""),"dza")</f>
        <v>dza</v>
      </c>
      <c r="C188" t="str">
        <f>IFERROR(__xludf.DUMMYFUNCTION("""COMPUTED_VALUE"""),"Algeria")</f>
        <v>Algeria</v>
      </c>
      <c r="D188">
        <f>IFERROR(__xludf.DUMMYFUNCTION("""COMPUTED_VALUE"""),1952.0)</f>
        <v>1952</v>
      </c>
      <c r="E188">
        <f>IFERROR(__xludf.DUMMYFUNCTION("""COMPUTED_VALUE"""),9216397.0)</f>
        <v>9216397</v>
      </c>
    </row>
    <row r="189">
      <c r="A189" t="str">
        <f t="shared" si="1"/>
        <v>dza#1953</v>
      </c>
      <c r="B189" t="str">
        <f>IFERROR(__xludf.DUMMYFUNCTION("""COMPUTED_VALUE"""),"dza")</f>
        <v>dza</v>
      </c>
      <c r="C189" t="str">
        <f>IFERROR(__xludf.DUMMYFUNCTION("""COMPUTED_VALUE"""),"Algeria")</f>
        <v>Algeria</v>
      </c>
      <c r="D189">
        <f>IFERROR(__xludf.DUMMYFUNCTION("""COMPUTED_VALUE"""),1953.0)</f>
        <v>1953</v>
      </c>
      <c r="E189">
        <f>IFERROR(__xludf.DUMMYFUNCTION("""COMPUTED_VALUE"""),9405443.0)</f>
        <v>9405443</v>
      </c>
    </row>
    <row r="190">
      <c r="A190" t="str">
        <f t="shared" si="1"/>
        <v>dza#1954</v>
      </c>
      <c r="B190" t="str">
        <f>IFERROR(__xludf.DUMMYFUNCTION("""COMPUTED_VALUE"""),"dza")</f>
        <v>dza</v>
      </c>
      <c r="C190" t="str">
        <f>IFERROR(__xludf.DUMMYFUNCTION("""COMPUTED_VALUE"""),"Algeria")</f>
        <v>Algeria</v>
      </c>
      <c r="D190">
        <f>IFERROR(__xludf.DUMMYFUNCTION("""COMPUTED_VALUE"""),1954.0)</f>
        <v>1954</v>
      </c>
      <c r="E190">
        <f>IFERROR(__xludf.DUMMYFUNCTION("""COMPUTED_VALUE"""),9609505.0)</f>
        <v>9609505</v>
      </c>
    </row>
    <row r="191">
      <c r="A191" t="str">
        <f t="shared" si="1"/>
        <v>dza#1955</v>
      </c>
      <c r="B191" t="str">
        <f>IFERROR(__xludf.DUMMYFUNCTION("""COMPUTED_VALUE"""),"dza")</f>
        <v>dza</v>
      </c>
      <c r="C191" t="str">
        <f>IFERROR(__xludf.DUMMYFUNCTION("""COMPUTED_VALUE"""),"Algeria")</f>
        <v>Algeria</v>
      </c>
      <c r="D191">
        <f>IFERROR(__xludf.DUMMYFUNCTION("""COMPUTED_VALUE"""),1955.0)</f>
        <v>1955</v>
      </c>
      <c r="E191">
        <f>IFERROR(__xludf.DUMMYFUNCTION("""COMPUTED_VALUE"""),9829719.0)</f>
        <v>9829719</v>
      </c>
    </row>
    <row r="192">
      <c r="A192" t="str">
        <f t="shared" si="1"/>
        <v>dza#1956</v>
      </c>
      <c r="B192" t="str">
        <f>IFERROR(__xludf.DUMMYFUNCTION("""COMPUTED_VALUE"""),"dza")</f>
        <v>dza</v>
      </c>
      <c r="C192" t="str">
        <f>IFERROR(__xludf.DUMMYFUNCTION("""COMPUTED_VALUE"""),"Algeria")</f>
        <v>Algeria</v>
      </c>
      <c r="D192">
        <f>IFERROR(__xludf.DUMMYFUNCTION("""COMPUTED_VALUE"""),1956.0)</f>
        <v>1956</v>
      </c>
      <c r="E192">
        <f>IFERROR(__xludf.DUMMYFUNCTION("""COMPUTED_VALUE"""),1.0065822E7)</f>
        <v>10065822</v>
      </c>
    </row>
    <row r="193">
      <c r="A193" t="str">
        <f t="shared" si="1"/>
        <v>dza#1957</v>
      </c>
      <c r="B193" t="str">
        <f>IFERROR(__xludf.DUMMYFUNCTION("""COMPUTED_VALUE"""),"dza")</f>
        <v>dza</v>
      </c>
      <c r="C193" t="str">
        <f>IFERROR(__xludf.DUMMYFUNCTION("""COMPUTED_VALUE"""),"Algeria")</f>
        <v>Algeria</v>
      </c>
      <c r="D193">
        <f>IFERROR(__xludf.DUMMYFUNCTION("""COMPUTED_VALUE"""),1957.0)</f>
        <v>1957</v>
      </c>
      <c r="E193">
        <f>IFERROR(__xludf.DUMMYFUNCTION("""COMPUTED_VALUE"""),1.0316288E7)</f>
        <v>10316288</v>
      </c>
    </row>
    <row r="194">
      <c r="A194" t="str">
        <f t="shared" si="1"/>
        <v>dza#1958</v>
      </c>
      <c r="B194" t="str">
        <f>IFERROR(__xludf.DUMMYFUNCTION("""COMPUTED_VALUE"""),"dza")</f>
        <v>dza</v>
      </c>
      <c r="C194" t="str">
        <f>IFERROR(__xludf.DUMMYFUNCTION("""COMPUTED_VALUE"""),"Algeria")</f>
        <v>Algeria</v>
      </c>
      <c r="D194">
        <f>IFERROR(__xludf.DUMMYFUNCTION("""COMPUTED_VALUE"""),1958.0)</f>
        <v>1958</v>
      </c>
      <c r="E194">
        <f>IFERROR(__xludf.DUMMYFUNCTION("""COMPUTED_VALUE"""),1.0578449E7)</f>
        <v>10578449</v>
      </c>
    </row>
    <row r="195">
      <c r="A195" t="str">
        <f t="shared" si="1"/>
        <v>dza#1959</v>
      </c>
      <c r="B195" t="str">
        <f>IFERROR(__xludf.DUMMYFUNCTION("""COMPUTED_VALUE"""),"dza")</f>
        <v>dza</v>
      </c>
      <c r="C195" t="str">
        <f>IFERROR(__xludf.DUMMYFUNCTION("""COMPUTED_VALUE"""),"Algeria")</f>
        <v>Algeria</v>
      </c>
      <c r="D195">
        <f>IFERROR(__xludf.DUMMYFUNCTION("""COMPUTED_VALUE"""),1959.0)</f>
        <v>1959</v>
      </c>
      <c r="E195">
        <f>IFERROR(__xludf.DUMMYFUNCTION("""COMPUTED_VALUE"""),1.0848973E7)</f>
        <v>10848973</v>
      </c>
    </row>
    <row r="196">
      <c r="A196" t="str">
        <f t="shared" si="1"/>
        <v>dza#1960</v>
      </c>
      <c r="B196" t="str">
        <f>IFERROR(__xludf.DUMMYFUNCTION("""COMPUTED_VALUE"""),"dza")</f>
        <v>dza</v>
      </c>
      <c r="C196" t="str">
        <f>IFERROR(__xludf.DUMMYFUNCTION("""COMPUTED_VALUE"""),"Algeria")</f>
        <v>Algeria</v>
      </c>
      <c r="D196">
        <f>IFERROR(__xludf.DUMMYFUNCTION("""COMPUTED_VALUE"""),1960.0)</f>
        <v>1960</v>
      </c>
      <c r="E196">
        <f>IFERROR(__xludf.DUMMYFUNCTION("""COMPUTED_VALUE"""),1.1124888E7)</f>
        <v>11124888</v>
      </c>
    </row>
    <row r="197">
      <c r="A197" t="str">
        <f t="shared" si="1"/>
        <v>dza#1961</v>
      </c>
      <c r="B197" t="str">
        <f>IFERROR(__xludf.DUMMYFUNCTION("""COMPUTED_VALUE"""),"dza")</f>
        <v>dza</v>
      </c>
      <c r="C197" t="str">
        <f>IFERROR(__xludf.DUMMYFUNCTION("""COMPUTED_VALUE"""),"Algeria")</f>
        <v>Algeria</v>
      </c>
      <c r="D197">
        <f>IFERROR(__xludf.DUMMYFUNCTION("""COMPUTED_VALUE"""),1961.0)</f>
        <v>1961</v>
      </c>
      <c r="E197">
        <f>IFERROR(__xludf.DUMMYFUNCTION("""COMPUTED_VALUE"""),1.1404859E7)</f>
        <v>11404859</v>
      </c>
    </row>
    <row r="198">
      <c r="A198" t="str">
        <f t="shared" si="1"/>
        <v>dza#1962</v>
      </c>
      <c r="B198" t="str">
        <f>IFERROR(__xludf.DUMMYFUNCTION("""COMPUTED_VALUE"""),"dza")</f>
        <v>dza</v>
      </c>
      <c r="C198" t="str">
        <f>IFERROR(__xludf.DUMMYFUNCTION("""COMPUTED_VALUE"""),"Algeria")</f>
        <v>Algeria</v>
      </c>
      <c r="D198">
        <f>IFERROR(__xludf.DUMMYFUNCTION("""COMPUTED_VALUE"""),1962.0)</f>
        <v>1962</v>
      </c>
      <c r="E198">
        <f>IFERROR(__xludf.DUMMYFUNCTION("""COMPUTED_VALUE"""),1.1690153E7)</f>
        <v>11690153</v>
      </c>
    </row>
    <row r="199">
      <c r="A199" t="str">
        <f t="shared" si="1"/>
        <v>dza#1963</v>
      </c>
      <c r="B199" t="str">
        <f>IFERROR(__xludf.DUMMYFUNCTION("""COMPUTED_VALUE"""),"dza")</f>
        <v>dza</v>
      </c>
      <c r="C199" t="str">
        <f>IFERROR(__xludf.DUMMYFUNCTION("""COMPUTED_VALUE"""),"Algeria")</f>
        <v>Algeria</v>
      </c>
      <c r="D199">
        <f>IFERROR(__xludf.DUMMYFUNCTION("""COMPUTED_VALUE"""),1963.0)</f>
        <v>1963</v>
      </c>
      <c r="E199">
        <f>IFERROR(__xludf.DUMMYFUNCTION("""COMPUTED_VALUE"""),1.1985136E7)</f>
        <v>11985136</v>
      </c>
    </row>
    <row r="200">
      <c r="A200" t="str">
        <f t="shared" si="1"/>
        <v>dza#1964</v>
      </c>
      <c r="B200" t="str">
        <f>IFERROR(__xludf.DUMMYFUNCTION("""COMPUTED_VALUE"""),"dza")</f>
        <v>dza</v>
      </c>
      <c r="C200" t="str">
        <f>IFERROR(__xludf.DUMMYFUNCTION("""COMPUTED_VALUE"""),"Algeria")</f>
        <v>Algeria</v>
      </c>
      <c r="D200">
        <f>IFERROR(__xludf.DUMMYFUNCTION("""COMPUTED_VALUE"""),1964.0)</f>
        <v>1964</v>
      </c>
      <c r="E200">
        <f>IFERROR(__xludf.DUMMYFUNCTION("""COMPUTED_VALUE"""),1.229597E7)</f>
        <v>12295970</v>
      </c>
    </row>
    <row r="201">
      <c r="A201" t="str">
        <f t="shared" si="1"/>
        <v>dza#1965</v>
      </c>
      <c r="B201" t="str">
        <f>IFERROR(__xludf.DUMMYFUNCTION("""COMPUTED_VALUE"""),"dza")</f>
        <v>dza</v>
      </c>
      <c r="C201" t="str">
        <f>IFERROR(__xludf.DUMMYFUNCTION("""COMPUTED_VALUE"""),"Algeria")</f>
        <v>Algeria</v>
      </c>
      <c r="D201">
        <f>IFERROR(__xludf.DUMMYFUNCTION("""COMPUTED_VALUE"""),1965.0)</f>
        <v>1965</v>
      </c>
      <c r="E201">
        <f>IFERROR(__xludf.DUMMYFUNCTION("""COMPUTED_VALUE"""),1.2626952E7)</f>
        <v>12626952</v>
      </c>
    </row>
    <row r="202">
      <c r="A202" t="str">
        <f t="shared" si="1"/>
        <v>dza#1966</v>
      </c>
      <c r="B202" t="str">
        <f>IFERROR(__xludf.DUMMYFUNCTION("""COMPUTED_VALUE"""),"dza")</f>
        <v>dza</v>
      </c>
      <c r="C202" t="str">
        <f>IFERROR(__xludf.DUMMYFUNCTION("""COMPUTED_VALUE"""),"Algeria")</f>
        <v>Algeria</v>
      </c>
      <c r="D202">
        <f>IFERROR(__xludf.DUMMYFUNCTION("""COMPUTED_VALUE"""),1966.0)</f>
        <v>1966</v>
      </c>
      <c r="E202">
        <f>IFERROR(__xludf.DUMMYFUNCTION("""COMPUTED_VALUE"""),1.2980267E7)</f>
        <v>12980267</v>
      </c>
    </row>
    <row r="203">
      <c r="A203" t="str">
        <f t="shared" si="1"/>
        <v>dza#1967</v>
      </c>
      <c r="B203" t="str">
        <f>IFERROR(__xludf.DUMMYFUNCTION("""COMPUTED_VALUE"""),"dza")</f>
        <v>dza</v>
      </c>
      <c r="C203" t="str">
        <f>IFERROR(__xludf.DUMMYFUNCTION("""COMPUTED_VALUE"""),"Algeria")</f>
        <v>Algeria</v>
      </c>
      <c r="D203">
        <f>IFERROR(__xludf.DUMMYFUNCTION("""COMPUTED_VALUE"""),1967.0)</f>
        <v>1967</v>
      </c>
      <c r="E203">
        <f>IFERROR(__xludf.DUMMYFUNCTION("""COMPUTED_VALUE"""),1.3354197E7)</f>
        <v>13354197</v>
      </c>
    </row>
    <row r="204">
      <c r="A204" t="str">
        <f t="shared" si="1"/>
        <v>dza#1968</v>
      </c>
      <c r="B204" t="str">
        <f>IFERROR(__xludf.DUMMYFUNCTION("""COMPUTED_VALUE"""),"dza")</f>
        <v>dza</v>
      </c>
      <c r="C204" t="str">
        <f>IFERROR(__xludf.DUMMYFUNCTION("""COMPUTED_VALUE"""),"Algeria")</f>
        <v>Algeria</v>
      </c>
      <c r="D204">
        <f>IFERROR(__xludf.DUMMYFUNCTION("""COMPUTED_VALUE"""),1968.0)</f>
        <v>1968</v>
      </c>
      <c r="E204">
        <f>IFERROR(__xludf.DUMMYFUNCTION("""COMPUTED_VALUE"""),1.3744387E7)</f>
        <v>13744387</v>
      </c>
    </row>
    <row r="205">
      <c r="A205" t="str">
        <f t="shared" si="1"/>
        <v>dza#1969</v>
      </c>
      <c r="B205" t="str">
        <f>IFERROR(__xludf.DUMMYFUNCTION("""COMPUTED_VALUE"""),"dza")</f>
        <v>dza</v>
      </c>
      <c r="C205" t="str">
        <f>IFERROR(__xludf.DUMMYFUNCTION("""COMPUTED_VALUE"""),"Algeria")</f>
        <v>Algeria</v>
      </c>
      <c r="D205">
        <f>IFERROR(__xludf.DUMMYFUNCTION("""COMPUTED_VALUE"""),1969.0)</f>
        <v>1969</v>
      </c>
      <c r="E205">
        <f>IFERROR(__xludf.DUMMYFUNCTION("""COMPUTED_VALUE"""),1.4144438E7)</f>
        <v>14144438</v>
      </c>
    </row>
    <row r="206">
      <c r="A206" t="str">
        <f t="shared" si="1"/>
        <v>dza#1970</v>
      </c>
      <c r="B206" t="str">
        <f>IFERROR(__xludf.DUMMYFUNCTION("""COMPUTED_VALUE"""),"dza")</f>
        <v>dza</v>
      </c>
      <c r="C206" t="str">
        <f>IFERROR(__xludf.DUMMYFUNCTION("""COMPUTED_VALUE"""),"Algeria")</f>
        <v>Algeria</v>
      </c>
      <c r="D206">
        <f>IFERROR(__xludf.DUMMYFUNCTION("""COMPUTED_VALUE"""),1970.0)</f>
        <v>1970</v>
      </c>
      <c r="E206">
        <f>IFERROR(__xludf.DUMMYFUNCTION("""COMPUTED_VALUE"""),1.4550034E7)</f>
        <v>14550034</v>
      </c>
    </row>
    <row r="207">
      <c r="A207" t="str">
        <f t="shared" si="1"/>
        <v>dza#1971</v>
      </c>
      <c r="B207" t="str">
        <f>IFERROR(__xludf.DUMMYFUNCTION("""COMPUTED_VALUE"""),"dza")</f>
        <v>dza</v>
      </c>
      <c r="C207" t="str">
        <f>IFERROR(__xludf.DUMMYFUNCTION("""COMPUTED_VALUE"""),"Algeria")</f>
        <v>Algeria</v>
      </c>
      <c r="D207">
        <f>IFERROR(__xludf.DUMMYFUNCTION("""COMPUTED_VALUE"""),1971.0)</f>
        <v>1971</v>
      </c>
      <c r="E207">
        <f>IFERROR(__xludf.DUMMYFUNCTION("""COMPUTED_VALUE"""),1.4960109E7)</f>
        <v>14960109</v>
      </c>
    </row>
    <row r="208">
      <c r="A208" t="str">
        <f t="shared" si="1"/>
        <v>dza#1972</v>
      </c>
      <c r="B208" t="str">
        <f>IFERROR(__xludf.DUMMYFUNCTION("""COMPUTED_VALUE"""),"dza")</f>
        <v>dza</v>
      </c>
      <c r="C208" t="str">
        <f>IFERROR(__xludf.DUMMYFUNCTION("""COMPUTED_VALUE"""),"Algeria")</f>
        <v>Algeria</v>
      </c>
      <c r="D208">
        <f>IFERROR(__xludf.DUMMYFUNCTION("""COMPUTED_VALUE"""),1972.0)</f>
        <v>1972</v>
      </c>
      <c r="E208">
        <f>IFERROR(__xludf.DUMMYFUNCTION("""COMPUTED_VALUE"""),1.5377093E7)</f>
        <v>15377093</v>
      </c>
    </row>
    <row r="209">
      <c r="A209" t="str">
        <f t="shared" si="1"/>
        <v>dza#1973</v>
      </c>
      <c r="B209" t="str">
        <f>IFERROR(__xludf.DUMMYFUNCTION("""COMPUTED_VALUE"""),"dza")</f>
        <v>dza</v>
      </c>
      <c r="C209" t="str">
        <f>IFERROR(__xludf.DUMMYFUNCTION("""COMPUTED_VALUE"""),"Algeria")</f>
        <v>Algeria</v>
      </c>
      <c r="D209">
        <f>IFERROR(__xludf.DUMMYFUNCTION("""COMPUTED_VALUE"""),1973.0)</f>
        <v>1973</v>
      </c>
      <c r="E209">
        <f>IFERROR(__xludf.DUMMYFUNCTION("""COMPUTED_VALUE"""),1.5804428E7)</f>
        <v>15804428</v>
      </c>
    </row>
    <row r="210">
      <c r="A210" t="str">
        <f t="shared" si="1"/>
        <v>dza#1974</v>
      </c>
      <c r="B210" t="str">
        <f>IFERROR(__xludf.DUMMYFUNCTION("""COMPUTED_VALUE"""),"dza")</f>
        <v>dza</v>
      </c>
      <c r="C210" t="str">
        <f>IFERROR(__xludf.DUMMYFUNCTION("""COMPUTED_VALUE"""),"Algeria")</f>
        <v>Algeria</v>
      </c>
      <c r="D210">
        <f>IFERROR(__xludf.DUMMYFUNCTION("""COMPUTED_VALUE"""),1974.0)</f>
        <v>1974</v>
      </c>
      <c r="E210">
        <f>IFERROR(__xludf.DUMMYFUNCTION("""COMPUTED_VALUE"""),1.6247113E7)</f>
        <v>16247113</v>
      </c>
    </row>
    <row r="211">
      <c r="A211" t="str">
        <f t="shared" si="1"/>
        <v>dza#1975</v>
      </c>
      <c r="B211" t="str">
        <f>IFERROR(__xludf.DUMMYFUNCTION("""COMPUTED_VALUE"""),"dza")</f>
        <v>dza</v>
      </c>
      <c r="C211" t="str">
        <f>IFERROR(__xludf.DUMMYFUNCTION("""COMPUTED_VALUE"""),"Algeria")</f>
        <v>Algeria</v>
      </c>
      <c r="D211">
        <f>IFERROR(__xludf.DUMMYFUNCTION("""COMPUTED_VALUE"""),1975.0)</f>
        <v>1975</v>
      </c>
      <c r="E211">
        <f>IFERROR(__xludf.DUMMYFUNCTION("""COMPUTED_VALUE"""),1.6709099E7)</f>
        <v>16709099</v>
      </c>
    </row>
    <row r="212">
      <c r="A212" t="str">
        <f t="shared" si="1"/>
        <v>dza#1976</v>
      </c>
      <c r="B212" t="str">
        <f>IFERROR(__xludf.DUMMYFUNCTION("""COMPUTED_VALUE"""),"dza")</f>
        <v>dza</v>
      </c>
      <c r="C212" t="str">
        <f>IFERROR(__xludf.DUMMYFUNCTION("""COMPUTED_VALUE"""),"Algeria")</f>
        <v>Algeria</v>
      </c>
      <c r="D212">
        <f>IFERROR(__xludf.DUMMYFUNCTION("""COMPUTED_VALUE"""),1976.0)</f>
        <v>1976</v>
      </c>
      <c r="E212">
        <f>IFERROR(__xludf.DUMMYFUNCTION("""COMPUTED_VALUE"""),1.7190239E7)</f>
        <v>17190239</v>
      </c>
    </row>
    <row r="213">
      <c r="A213" t="str">
        <f t="shared" si="1"/>
        <v>dza#1977</v>
      </c>
      <c r="B213" t="str">
        <f>IFERROR(__xludf.DUMMYFUNCTION("""COMPUTED_VALUE"""),"dza")</f>
        <v>dza</v>
      </c>
      <c r="C213" t="str">
        <f>IFERROR(__xludf.DUMMYFUNCTION("""COMPUTED_VALUE"""),"Algeria")</f>
        <v>Algeria</v>
      </c>
      <c r="D213">
        <f>IFERROR(__xludf.DUMMYFUNCTION("""COMPUTED_VALUE"""),1977.0)</f>
        <v>1977</v>
      </c>
      <c r="E213">
        <f>IFERROR(__xludf.DUMMYFUNCTION("""COMPUTED_VALUE"""),1.7690184E7)</f>
        <v>17690184</v>
      </c>
    </row>
    <row r="214">
      <c r="A214" t="str">
        <f t="shared" si="1"/>
        <v>dza#1978</v>
      </c>
      <c r="B214" t="str">
        <f>IFERROR(__xludf.DUMMYFUNCTION("""COMPUTED_VALUE"""),"dza")</f>
        <v>dza</v>
      </c>
      <c r="C214" t="str">
        <f>IFERROR(__xludf.DUMMYFUNCTION("""COMPUTED_VALUE"""),"Algeria")</f>
        <v>Algeria</v>
      </c>
      <c r="D214">
        <f>IFERROR(__xludf.DUMMYFUNCTION("""COMPUTED_VALUE"""),1978.0)</f>
        <v>1978</v>
      </c>
      <c r="E214">
        <f>IFERROR(__xludf.DUMMYFUNCTION("""COMPUTED_VALUE"""),1.8212326E7)</f>
        <v>18212326</v>
      </c>
    </row>
    <row r="215">
      <c r="A215" t="str">
        <f t="shared" si="1"/>
        <v>dza#1979</v>
      </c>
      <c r="B215" t="str">
        <f>IFERROR(__xludf.DUMMYFUNCTION("""COMPUTED_VALUE"""),"dza")</f>
        <v>dza</v>
      </c>
      <c r="C215" t="str">
        <f>IFERROR(__xludf.DUMMYFUNCTION("""COMPUTED_VALUE"""),"Algeria")</f>
        <v>Algeria</v>
      </c>
      <c r="D215">
        <f>IFERROR(__xludf.DUMMYFUNCTION("""COMPUTED_VALUE"""),1979.0)</f>
        <v>1979</v>
      </c>
      <c r="E215">
        <f>IFERROR(__xludf.DUMMYFUNCTION("""COMPUTED_VALUE"""),1.8760761E7)</f>
        <v>18760761</v>
      </c>
    </row>
    <row r="216">
      <c r="A216" t="str">
        <f t="shared" si="1"/>
        <v>dza#1980</v>
      </c>
      <c r="B216" t="str">
        <f>IFERROR(__xludf.DUMMYFUNCTION("""COMPUTED_VALUE"""),"dza")</f>
        <v>dza</v>
      </c>
      <c r="C216" t="str">
        <f>IFERROR(__xludf.DUMMYFUNCTION("""COMPUTED_VALUE"""),"Algeria")</f>
        <v>Algeria</v>
      </c>
      <c r="D216">
        <f>IFERROR(__xludf.DUMMYFUNCTION("""COMPUTED_VALUE"""),1980.0)</f>
        <v>1980</v>
      </c>
      <c r="E216">
        <f>IFERROR(__xludf.DUMMYFUNCTION("""COMPUTED_VALUE"""),1.9337715E7)</f>
        <v>19337715</v>
      </c>
    </row>
    <row r="217">
      <c r="A217" t="str">
        <f t="shared" si="1"/>
        <v>dza#1981</v>
      </c>
      <c r="B217" t="str">
        <f>IFERROR(__xludf.DUMMYFUNCTION("""COMPUTED_VALUE"""),"dza")</f>
        <v>dza</v>
      </c>
      <c r="C217" t="str">
        <f>IFERROR(__xludf.DUMMYFUNCTION("""COMPUTED_VALUE"""),"Algeria")</f>
        <v>Algeria</v>
      </c>
      <c r="D217">
        <f>IFERROR(__xludf.DUMMYFUNCTION("""COMPUTED_VALUE"""),1981.0)</f>
        <v>1981</v>
      </c>
      <c r="E217">
        <f>IFERROR(__xludf.DUMMYFUNCTION("""COMPUTED_VALUE"""),1.9943664E7)</f>
        <v>19943664</v>
      </c>
    </row>
    <row r="218">
      <c r="A218" t="str">
        <f t="shared" si="1"/>
        <v>dza#1982</v>
      </c>
      <c r="B218" t="str">
        <f>IFERROR(__xludf.DUMMYFUNCTION("""COMPUTED_VALUE"""),"dza")</f>
        <v>dza</v>
      </c>
      <c r="C218" t="str">
        <f>IFERROR(__xludf.DUMMYFUNCTION("""COMPUTED_VALUE"""),"Algeria")</f>
        <v>Algeria</v>
      </c>
      <c r="D218">
        <f>IFERROR(__xludf.DUMMYFUNCTION("""COMPUTED_VALUE"""),1982.0)</f>
        <v>1982</v>
      </c>
      <c r="E218">
        <f>IFERROR(__xludf.DUMMYFUNCTION("""COMPUTED_VALUE"""),2.0575701E7)</f>
        <v>20575701</v>
      </c>
    </row>
    <row r="219">
      <c r="A219" t="str">
        <f t="shared" si="1"/>
        <v>dza#1983</v>
      </c>
      <c r="B219" t="str">
        <f>IFERROR(__xludf.DUMMYFUNCTION("""COMPUTED_VALUE"""),"dza")</f>
        <v>dza</v>
      </c>
      <c r="C219" t="str">
        <f>IFERROR(__xludf.DUMMYFUNCTION("""COMPUTED_VALUE"""),"Algeria")</f>
        <v>Algeria</v>
      </c>
      <c r="D219">
        <f>IFERROR(__xludf.DUMMYFUNCTION("""COMPUTED_VALUE"""),1983.0)</f>
        <v>1983</v>
      </c>
      <c r="E219">
        <f>IFERROR(__xludf.DUMMYFUNCTION("""COMPUTED_VALUE"""),2.1228289E7)</f>
        <v>21228289</v>
      </c>
    </row>
    <row r="220">
      <c r="A220" t="str">
        <f t="shared" si="1"/>
        <v>dza#1984</v>
      </c>
      <c r="B220" t="str">
        <f>IFERROR(__xludf.DUMMYFUNCTION("""COMPUTED_VALUE"""),"dza")</f>
        <v>dza</v>
      </c>
      <c r="C220" t="str">
        <f>IFERROR(__xludf.DUMMYFUNCTION("""COMPUTED_VALUE"""),"Algeria")</f>
        <v>Algeria</v>
      </c>
      <c r="D220">
        <f>IFERROR(__xludf.DUMMYFUNCTION("""COMPUTED_VALUE"""),1984.0)</f>
        <v>1984</v>
      </c>
      <c r="E220">
        <f>IFERROR(__xludf.DUMMYFUNCTION("""COMPUTED_VALUE"""),2.1893853E7)</f>
        <v>21893853</v>
      </c>
    </row>
    <row r="221">
      <c r="A221" t="str">
        <f t="shared" si="1"/>
        <v>dza#1985</v>
      </c>
      <c r="B221" t="str">
        <f>IFERROR(__xludf.DUMMYFUNCTION("""COMPUTED_VALUE"""),"dza")</f>
        <v>dza</v>
      </c>
      <c r="C221" t="str">
        <f>IFERROR(__xludf.DUMMYFUNCTION("""COMPUTED_VALUE"""),"Algeria")</f>
        <v>Algeria</v>
      </c>
      <c r="D221">
        <f>IFERROR(__xludf.DUMMYFUNCTION("""COMPUTED_VALUE"""),1985.0)</f>
        <v>1985</v>
      </c>
      <c r="E221">
        <f>IFERROR(__xludf.DUMMYFUNCTION("""COMPUTED_VALUE"""),2.2565905E7)</f>
        <v>22565905</v>
      </c>
    </row>
    <row r="222">
      <c r="A222" t="str">
        <f t="shared" si="1"/>
        <v>dza#1986</v>
      </c>
      <c r="B222" t="str">
        <f>IFERROR(__xludf.DUMMYFUNCTION("""COMPUTED_VALUE"""),"dza")</f>
        <v>dza</v>
      </c>
      <c r="C222" t="str">
        <f>IFERROR(__xludf.DUMMYFUNCTION("""COMPUTED_VALUE"""),"Algeria")</f>
        <v>Algeria</v>
      </c>
      <c r="D222">
        <f>IFERROR(__xludf.DUMMYFUNCTION("""COMPUTED_VALUE"""),1986.0)</f>
        <v>1986</v>
      </c>
      <c r="E222">
        <f>IFERROR(__xludf.DUMMYFUNCTION("""COMPUTED_VALUE"""),2.3241272E7)</f>
        <v>23241272</v>
      </c>
    </row>
    <row r="223">
      <c r="A223" t="str">
        <f t="shared" si="1"/>
        <v>dza#1987</v>
      </c>
      <c r="B223" t="str">
        <f>IFERROR(__xludf.DUMMYFUNCTION("""COMPUTED_VALUE"""),"dza")</f>
        <v>dza</v>
      </c>
      <c r="C223" t="str">
        <f>IFERROR(__xludf.DUMMYFUNCTION("""COMPUTED_VALUE"""),"Algeria")</f>
        <v>Algeria</v>
      </c>
      <c r="D223">
        <f>IFERROR(__xludf.DUMMYFUNCTION("""COMPUTED_VALUE"""),1987.0)</f>
        <v>1987</v>
      </c>
      <c r="E223">
        <f>IFERROR(__xludf.DUMMYFUNCTION("""COMPUTED_VALUE"""),2.3917897E7)</f>
        <v>23917897</v>
      </c>
    </row>
    <row r="224">
      <c r="A224" t="str">
        <f t="shared" si="1"/>
        <v>dza#1988</v>
      </c>
      <c r="B224" t="str">
        <f>IFERROR(__xludf.DUMMYFUNCTION("""COMPUTED_VALUE"""),"dza")</f>
        <v>dza</v>
      </c>
      <c r="C224" t="str">
        <f>IFERROR(__xludf.DUMMYFUNCTION("""COMPUTED_VALUE"""),"Algeria")</f>
        <v>Algeria</v>
      </c>
      <c r="D224">
        <f>IFERROR(__xludf.DUMMYFUNCTION("""COMPUTED_VALUE"""),1988.0)</f>
        <v>1988</v>
      </c>
      <c r="E224">
        <f>IFERROR(__xludf.DUMMYFUNCTION("""COMPUTED_VALUE"""),2.4591492E7)</f>
        <v>24591492</v>
      </c>
    </row>
    <row r="225">
      <c r="A225" t="str">
        <f t="shared" si="1"/>
        <v>dza#1989</v>
      </c>
      <c r="B225" t="str">
        <f>IFERROR(__xludf.DUMMYFUNCTION("""COMPUTED_VALUE"""),"dza")</f>
        <v>dza</v>
      </c>
      <c r="C225" t="str">
        <f>IFERROR(__xludf.DUMMYFUNCTION("""COMPUTED_VALUE"""),"Algeria")</f>
        <v>Algeria</v>
      </c>
      <c r="D225">
        <f>IFERROR(__xludf.DUMMYFUNCTION("""COMPUTED_VALUE"""),1989.0)</f>
        <v>1989</v>
      </c>
      <c r="E225">
        <f>IFERROR(__xludf.DUMMYFUNCTION("""COMPUTED_VALUE"""),2.5257672E7)</f>
        <v>25257672</v>
      </c>
    </row>
    <row r="226">
      <c r="A226" t="str">
        <f t="shared" si="1"/>
        <v>dza#1990</v>
      </c>
      <c r="B226" t="str">
        <f>IFERROR(__xludf.DUMMYFUNCTION("""COMPUTED_VALUE"""),"dza")</f>
        <v>dza</v>
      </c>
      <c r="C226" t="str">
        <f>IFERROR(__xludf.DUMMYFUNCTION("""COMPUTED_VALUE"""),"Algeria")</f>
        <v>Algeria</v>
      </c>
      <c r="D226">
        <f>IFERROR(__xludf.DUMMYFUNCTION("""COMPUTED_VALUE"""),1990.0)</f>
        <v>1990</v>
      </c>
      <c r="E226">
        <f>IFERROR(__xludf.DUMMYFUNCTION("""COMPUTED_VALUE"""),2.5912367E7)</f>
        <v>25912367</v>
      </c>
    </row>
    <row r="227">
      <c r="A227" t="str">
        <f t="shared" si="1"/>
        <v>dza#1991</v>
      </c>
      <c r="B227" t="str">
        <f>IFERROR(__xludf.DUMMYFUNCTION("""COMPUTED_VALUE"""),"dza")</f>
        <v>dza</v>
      </c>
      <c r="C227" t="str">
        <f>IFERROR(__xludf.DUMMYFUNCTION("""COMPUTED_VALUE"""),"Algeria")</f>
        <v>Algeria</v>
      </c>
      <c r="D227">
        <f>IFERROR(__xludf.DUMMYFUNCTION("""COMPUTED_VALUE"""),1991.0)</f>
        <v>1991</v>
      </c>
      <c r="E227">
        <f>IFERROR(__xludf.DUMMYFUNCTION("""COMPUTED_VALUE"""),2.6554329E7)</f>
        <v>26554329</v>
      </c>
    </row>
    <row r="228">
      <c r="A228" t="str">
        <f t="shared" si="1"/>
        <v>dza#1992</v>
      </c>
      <c r="B228" t="str">
        <f>IFERROR(__xludf.DUMMYFUNCTION("""COMPUTED_VALUE"""),"dza")</f>
        <v>dza</v>
      </c>
      <c r="C228" t="str">
        <f>IFERROR(__xludf.DUMMYFUNCTION("""COMPUTED_VALUE"""),"Algeria")</f>
        <v>Algeria</v>
      </c>
      <c r="D228">
        <f>IFERROR(__xludf.DUMMYFUNCTION("""COMPUTED_VALUE"""),1992.0)</f>
        <v>1992</v>
      </c>
      <c r="E228">
        <f>IFERROR(__xludf.DUMMYFUNCTION("""COMPUTED_VALUE"""),2.7181094E7)</f>
        <v>27181094</v>
      </c>
    </row>
    <row r="229">
      <c r="A229" t="str">
        <f t="shared" si="1"/>
        <v>dza#1993</v>
      </c>
      <c r="B229" t="str">
        <f>IFERROR(__xludf.DUMMYFUNCTION("""COMPUTED_VALUE"""),"dza")</f>
        <v>dza</v>
      </c>
      <c r="C229" t="str">
        <f>IFERROR(__xludf.DUMMYFUNCTION("""COMPUTED_VALUE"""),"Algeria")</f>
        <v>Algeria</v>
      </c>
      <c r="D229">
        <f>IFERROR(__xludf.DUMMYFUNCTION("""COMPUTED_VALUE"""),1993.0)</f>
        <v>1993</v>
      </c>
      <c r="E229">
        <f>IFERROR(__xludf.DUMMYFUNCTION("""COMPUTED_VALUE"""),2.7786259E7)</f>
        <v>27786259</v>
      </c>
    </row>
    <row r="230">
      <c r="A230" t="str">
        <f t="shared" si="1"/>
        <v>dza#1994</v>
      </c>
      <c r="B230" t="str">
        <f>IFERROR(__xludf.DUMMYFUNCTION("""COMPUTED_VALUE"""),"dza")</f>
        <v>dza</v>
      </c>
      <c r="C230" t="str">
        <f>IFERROR(__xludf.DUMMYFUNCTION("""COMPUTED_VALUE"""),"Algeria")</f>
        <v>Algeria</v>
      </c>
      <c r="D230">
        <f>IFERROR(__xludf.DUMMYFUNCTION("""COMPUTED_VALUE"""),1994.0)</f>
        <v>1994</v>
      </c>
      <c r="E230">
        <f>IFERROR(__xludf.DUMMYFUNCTION("""COMPUTED_VALUE"""),2.8362253E7)</f>
        <v>28362253</v>
      </c>
    </row>
    <row r="231">
      <c r="A231" t="str">
        <f t="shared" si="1"/>
        <v>dza#1995</v>
      </c>
      <c r="B231" t="str">
        <f>IFERROR(__xludf.DUMMYFUNCTION("""COMPUTED_VALUE"""),"dza")</f>
        <v>dza</v>
      </c>
      <c r="C231" t="str">
        <f>IFERROR(__xludf.DUMMYFUNCTION("""COMPUTED_VALUE"""),"Algeria")</f>
        <v>Algeria</v>
      </c>
      <c r="D231">
        <f>IFERROR(__xludf.DUMMYFUNCTION("""COMPUTED_VALUE"""),1995.0)</f>
        <v>1995</v>
      </c>
      <c r="E231">
        <f>IFERROR(__xludf.DUMMYFUNCTION("""COMPUTED_VALUE"""),2.8904298E7)</f>
        <v>28904298</v>
      </c>
    </row>
    <row r="232">
      <c r="A232" t="str">
        <f t="shared" si="1"/>
        <v>dza#1996</v>
      </c>
      <c r="B232" t="str">
        <f>IFERROR(__xludf.DUMMYFUNCTION("""COMPUTED_VALUE"""),"dza")</f>
        <v>dza</v>
      </c>
      <c r="C232" t="str">
        <f>IFERROR(__xludf.DUMMYFUNCTION("""COMPUTED_VALUE"""),"Algeria")</f>
        <v>Algeria</v>
      </c>
      <c r="D232">
        <f>IFERROR(__xludf.DUMMYFUNCTION("""COMPUTED_VALUE"""),1996.0)</f>
        <v>1996</v>
      </c>
      <c r="E232">
        <f>IFERROR(__xludf.DUMMYFUNCTION("""COMPUTED_VALUE"""),2.9411415E7)</f>
        <v>29411415</v>
      </c>
    </row>
    <row r="233">
      <c r="A233" t="str">
        <f t="shared" si="1"/>
        <v>dza#1997</v>
      </c>
      <c r="B233" t="str">
        <f>IFERROR(__xludf.DUMMYFUNCTION("""COMPUTED_VALUE"""),"dza")</f>
        <v>dza</v>
      </c>
      <c r="C233" t="str">
        <f>IFERROR(__xludf.DUMMYFUNCTION("""COMPUTED_VALUE"""),"Algeria")</f>
        <v>Algeria</v>
      </c>
      <c r="D233">
        <f>IFERROR(__xludf.DUMMYFUNCTION("""COMPUTED_VALUE"""),1997.0)</f>
        <v>1997</v>
      </c>
      <c r="E233">
        <f>IFERROR(__xludf.DUMMYFUNCTION("""COMPUTED_VALUE"""),2.9886839E7)</f>
        <v>29886839</v>
      </c>
    </row>
    <row r="234">
      <c r="A234" t="str">
        <f t="shared" si="1"/>
        <v>dza#1998</v>
      </c>
      <c r="B234" t="str">
        <f>IFERROR(__xludf.DUMMYFUNCTION("""COMPUTED_VALUE"""),"dza")</f>
        <v>dza</v>
      </c>
      <c r="C234" t="str">
        <f>IFERROR(__xludf.DUMMYFUNCTION("""COMPUTED_VALUE"""),"Algeria")</f>
        <v>Algeria</v>
      </c>
      <c r="D234">
        <f>IFERROR(__xludf.DUMMYFUNCTION("""COMPUTED_VALUE"""),1998.0)</f>
        <v>1998</v>
      </c>
      <c r="E234">
        <f>IFERROR(__xludf.DUMMYFUNCTION("""COMPUTED_VALUE"""),3.0335732E7)</f>
        <v>30335732</v>
      </c>
    </row>
    <row r="235">
      <c r="A235" t="str">
        <f t="shared" si="1"/>
        <v>dza#1999</v>
      </c>
      <c r="B235" t="str">
        <f>IFERROR(__xludf.DUMMYFUNCTION("""COMPUTED_VALUE"""),"dza")</f>
        <v>dza</v>
      </c>
      <c r="C235" t="str">
        <f>IFERROR(__xludf.DUMMYFUNCTION("""COMPUTED_VALUE"""),"Algeria")</f>
        <v>Algeria</v>
      </c>
      <c r="D235">
        <f>IFERROR(__xludf.DUMMYFUNCTION("""COMPUTED_VALUE"""),1999.0)</f>
        <v>1999</v>
      </c>
      <c r="E235">
        <f>IFERROR(__xludf.DUMMYFUNCTION("""COMPUTED_VALUE"""),3.0765613E7)</f>
        <v>30765613</v>
      </c>
    </row>
    <row r="236">
      <c r="A236" t="str">
        <f t="shared" si="1"/>
        <v>dza#2000</v>
      </c>
      <c r="B236" t="str">
        <f>IFERROR(__xludf.DUMMYFUNCTION("""COMPUTED_VALUE"""),"dza")</f>
        <v>dza</v>
      </c>
      <c r="C236" t="str">
        <f>IFERROR(__xludf.DUMMYFUNCTION("""COMPUTED_VALUE"""),"Algeria")</f>
        <v>Algeria</v>
      </c>
      <c r="D236">
        <f>IFERROR(__xludf.DUMMYFUNCTION("""COMPUTED_VALUE"""),2000.0)</f>
        <v>2000</v>
      </c>
      <c r="E236">
        <f>IFERROR(__xludf.DUMMYFUNCTION("""COMPUTED_VALUE"""),3.118366E7)</f>
        <v>31183660</v>
      </c>
    </row>
    <row r="237">
      <c r="A237" t="str">
        <f t="shared" si="1"/>
        <v>dza#2001</v>
      </c>
      <c r="B237" t="str">
        <f>IFERROR(__xludf.DUMMYFUNCTION("""COMPUTED_VALUE"""),"dza")</f>
        <v>dza</v>
      </c>
      <c r="C237" t="str">
        <f>IFERROR(__xludf.DUMMYFUNCTION("""COMPUTED_VALUE"""),"Algeria")</f>
        <v>Algeria</v>
      </c>
      <c r="D237">
        <f>IFERROR(__xludf.DUMMYFUNCTION("""COMPUTED_VALUE"""),2001.0)</f>
        <v>2001</v>
      </c>
      <c r="E237">
        <f>IFERROR(__xludf.DUMMYFUNCTION("""COMPUTED_VALUE"""),3.1592153E7)</f>
        <v>31592153</v>
      </c>
    </row>
    <row r="238">
      <c r="A238" t="str">
        <f t="shared" si="1"/>
        <v>dza#2002</v>
      </c>
      <c r="B238" t="str">
        <f>IFERROR(__xludf.DUMMYFUNCTION("""COMPUTED_VALUE"""),"dza")</f>
        <v>dza</v>
      </c>
      <c r="C238" t="str">
        <f>IFERROR(__xludf.DUMMYFUNCTION("""COMPUTED_VALUE"""),"Algeria")</f>
        <v>Algeria</v>
      </c>
      <c r="D238">
        <f>IFERROR(__xludf.DUMMYFUNCTION("""COMPUTED_VALUE"""),2002.0)</f>
        <v>2002</v>
      </c>
      <c r="E238">
        <f>IFERROR(__xludf.DUMMYFUNCTION("""COMPUTED_VALUE"""),3.1995046E7)</f>
        <v>31995046</v>
      </c>
    </row>
    <row r="239">
      <c r="A239" t="str">
        <f t="shared" si="1"/>
        <v>dza#2003</v>
      </c>
      <c r="B239" t="str">
        <f>IFERROR(__xludf.DUMMYFUNCTION("""COMPUTED_VALUE"""),"dza")</f>
        <v>dza</v>
      </c>
      <c r="C239" t="str">
        <f>IFERROR(__xludf.DUMMYFUNCTION("""COMPUTED_VALUE"""),"Algeria")</f>
        <v>Algeria</v>
      </c>
      <c r="D239">
        <f>IFERROR(__xludf.DUMMYFUNCTION("""COMPUTED_VALUE"""),2003.0)</f>
        <v>2003</v>
      </c>
      <c r="E239">
        <f>IFERROR(__xludf.DUMMYFUNCTION("""COMPUTED_VALUE"""),3.2403514E7)</f>
        <v>32403514</v>
      </c>
    </row>
    <row r="240">
      <c r="A240" t="str">
        <f t="shared" si="1"/>
        <v>dza#2004</v>
      </c>
      <c r="B240" t="str">
        <f>IFERROR(__xludf.DUMMYFUNCTION("""COMPUTED_VALUE"""),"dza")</f>
        <v>dza</v>
      </c>
      <c r="C240" t="str">
        <f>IFERROR(__xludf.DUMMYFUNCTION("""COMPUTED_VALUE"""),"Algeria")</f>
        <v>Algeria</v>
      </c>
      <c r="D240">
        <f>IFERROR(__xludf.DUMMYFUNCTION("""COMPUTED_VALUE"""),2004.0)</f>
        <v>2004</v>
      </c>
      <c r="E240">
        <f>IFERROR(__xludf.DUMMYFUNCTION("""COMPUTED_VALUE"""),3.2831096E7)</f>
        <v>32831096</v>
      </c>
    </row>
    <row r="241">
      <c r="A241" t="str">
        <f t="shared" si="1"/>
        <v>dza#2005</v>
      </c>
      <c r="B241" t="str">
        <f>IFERROR(__xludf.DUMMYFUNCTION("""COMPUTED_VALUE"""),"dza")</f>
        <v>dza</v>
      </c>
      <c r="C241" t="str">
        <f>IFERROR(__xludf.DUMMYFUNCTION("""COMPUTED_VALUE"""),"Algeria")</f>
        <v>Algeria</v>
      </c>
      <c r="D241">
        <f>IFERROR(__xludf.DUMMYFUNCTION("""COMPUTED_VALUE"""),2005.0)</f>
        <v>2005</v>
      </c>
      <c r="E241">
        <f>IFERROR(__xludf.DUMMYFUNCTION("""COMPUTED_VALUE"""),3.3288437E7)</f>
        <v>33288437</v>
      </c>
    </row>
    <row r="242">
      <c r="A242" t="str">
        <f t="shared" si="1"/>
        <v>dza#2006</v>
      </c>
      <c r="B242" t="str">
        <f>IFERROR(__xludf.DUMMYFUNCTION("""COMPUTED_VALUE"""),"dza")</f>
        <v>dza</v>
      </c>
      <c r="C242" t="str">
        <f>IFERROR(__xludf.DUMMYFUNCTION("""COMPUTED_VALUE"""),"Algeria")</f>
        <v>Algeria</v>
      </c>
      <c r="D242">
        <f>IFERROR(__xludf.DUMMYFUNCTION("""COMPUTED_VALUE"""),2006.0)</f>
        <v>2006</v>
      </c>
      <c r="E242">
        <f>IFERROR(__xludf.DUMMYFUNCTION("""COMPUTED_VALUE"""),3.3777915E7)</f>
        <v>33777915</v>
      </c>
    </row>
    <row r="243">
      <c r="A243" t="str">
        <f t="shared" si="1"/>
        <v>dza#2007</v>
      </c>
      <c r="B243" t="str">
        <f>IFERROR(__xludf.DUMMYFUNCTION("""COMPUTED_VALUE"""),"dza")</f>
        <v>dza</v>
      </c>
      <c r="C243" t="str">
        <f>IFERROR(__xludf.DUMMYFUNCTION("""COMPUTED_VALUE"""),"Algeria")</f>
        <v>Algeria</v>
      </c>
      <c r="D243">
        <f>IFERROR(__xludf.DUMMYFUNCTION("""COMPUTED_VALUE"""),2007.0)</f>
        <v>2007</v>
      </c>
      <c r="E243">
        <f>IFERROR(__xludf.DUMMYFUNCTION("""COMPUTED_VALUE"""),3.4300076E7)</f>
        <v>34300076</v>
      </c>
    </row>
    <row r="244">
      <c r="A244" t="str">
        <f t="shared" si="1"/>
        <v>dza#2008</v>
      </c>
      <c r="B244" t="str">
        <f>IFERROR(__xludf.DUMMYFUNCTION("""COMPUTED_VALUE"""),"dza")</f>
        <v>dza</v>
      </c>
      <c r="C244" t="str">
        <f>IFERROR(__xludf.DUMMYFUNCTION("""COMPUTED_VALUE"""),"Algeria")</f>
        <v>Algeria</v>
      </c>
      <c r="D244">
        <f>IFERROR(__xludf.DUMMYFUNCTION("""COMPUTED_VALUE"""),2008.0)</f>
        <v>2008</v>
      </c>
      <c r="E244">
        <f>IFERROR(__xludf.DUMMYFUNCTION("""COMPUTED_VALUE"""),3.4860715E7)</f>
        <v>34860715</v>
      </c>
    </row>
    <row r="245">
      <c r="A245" t="str">
        <f t="shared" si="1"/>
        <v>dza#2009</v>
      </c>
      <c r="B245" t="str">
        <f>IFERROR(__xludf.DUMMYFUNCTION("""COMPUTED_VALUE"""),"dza")</f>
        <v>dza</v>
      </c>
      <c r="C245" t="str">
        <f>IFERROR(__xludf.DUMMYFUNCTION("""COMPUTED_VALUE"""),"Algeria")</f>
        <v>Algeria</v>
      </c>
      <c r="D245">
        <f>IFERROR(__xludf.DUMMYFUNCTION("""COMPUTED_VALUE"""),2009.0)</f>
        <v>2009</v>
      </c>
      <c r="E245">
        <f>IFERROR(__xludf.DUMMYFUNCTION("""COMPUTED_VALUE"""),3.546576E7)</f>
        <v>35465760</v>
      </c>
    </row>
    <row r="246">
      <c r="A246" t="str">
        <f t="shared" si="1"/>
        <v>dza#2010</v>
      </c>
      <c r="B246" t="str">
        <f>IFERROR(__xludf.DUMMYFUNCTION("""COMPUTED_VALUE"""),"dza")</f>
        <v>dza</v>
      </c>
      <c r="C246" t="str">
        <f>IFERROR(__xludf.DUMMYFUNCTION("""COMPUTED_VALUE"""),"Algeria")</f>
        <v>Algeria</v>
      </c>
      <c r="D246">
        <f>IFERROR(__xludf.DUMMYFUNCTION("""COMPUTED_VALUE"""),2010.0)</f>
        <v>2010</v>
      </c>
      <c r="E246">
        <f>IFERROR(__xludf.DUMMYFUNCTION("""COMPUTED_VALUE"""),3.6117637E7)</f>
        <v>36117637</v>
      </c>
    </row>
    <row r="247">
      <c r="A247" t="str">
        <f t="shared" si="1"/>
        <v>dza#2011</v>
      </c>
      <c r="B247" t="str">
        <f>IFERROR(__xludf.DUMMYFUNCTION("""COMPUTED_VALUE"""),"dza")</f>
        <v>dza</v>
      </c>
      <c r="C247" t="str">
        <f>IFERROR(__xludf.DUMMYFUNCTION("""COMPUTED_VALUE"""),"Algeria")</f>
        <v>Algeria</v>
      </c>
      <c r="D247">
        <f>IFERROR(__xludf.DUMMYFUNCTION("""COMPUTED_VALUE"""),2011.0)</f>
        <v>2011</v>
      </c>
      <c r="E247">
        <f>IFERROR(__xludf.DUMMYFUNCTION("""COMPUTED_VALUE"""),3.6819558E7)</f>
        <v>36819558</v>
      </c>
    </row>
    <row r="248">
      <c r="A248" t="str">
        <f t="shared" si="1"/>
        <v>dza#2012</v>
      </c>
      <c r="B248" t="str">
        <f>IFERROR(__xludf.DUMMYFUNCTION("""COMPUTED_VALUE"""),"dza")</f>
        <v>dza</v>
      </c>
      <c r="C248" t="str">
        <f>IFERROR(__xludf.DUMMYFUNCTION("""COMPUTED_VALUE"""),"Algeria")</f>
        <v>Algeria</v>
      </c>
      <c r="D248">
        <f>IFERROR(__xludf.DUMMYFUNCTION("""COMPUTED_VALUE"""),2012.0)</f>
        <v>2012</v>
      </c>
      <c r="E248">
        <f>IFERROR(__xludf.DUMMYFUNCTION("""COMPUTED_VALUE"""),3.7565847E7)</f>
        <v>37565847</v>
      </c>
    </row>
    <row r="249">
      <c r="A249" t="str">
        <f t="shared" si="1"/>
        <v>dza#2013</v>
      </c>
      <c r="B249" t="str">
        <f>IFERROR(__xludf.DUMMYFUNCTION("""COMPUTED_VALUE"""),"dza")</f>
        <v>dza</v>
      </c>
      <c r="C249" t="str">
        <f>IFERROR(__xludf.DUMMYFUNCTION("""COMPUTED_VALUE"""),"Algeria")</f>
        <v>Algeria</v>
      </c>
      <c r="D249">
        <f>IFERROR(__xludf.DUMMYFUNCTION("""COMPUTED_VALUE"""),2013.0)</f>
        <v>2013</v>
      </c>
      <c r="E249">
        <f>IFERROR(__xludf.DUMMYFUNCTION("""COMPUTED_VALUE"""),3.8338562E7)</f>
        <v>38338562</v>
      </c>
    </row>
    <row r="250">
      <c r="A250" t="str">
        <f t="shared" si="1"/>
        <v>dza#2014</v>
      </c>
      <c r="B250" t="str">
        <f>IFERROR(__xludf.DUMMYFUNCTION("""COMPUTED_VALUE"""),"dza")</f>
        <v>dza</v>
      </c>
      <c r="C250" t="str">
        <f>IFERROR(__xludf.DUMMYFUNCTION("""COMPUTED_VALUE"""),"Algeria")</f>
        <v>Algeria</v>
      </c>
      <c r="D250">
        <f>IFERROR(__xludf.DUMMYFUNCTION("""COMPUTED_VALUE"""),2014.0)</f>
        <v>2014</v>
      </c>
      <c r="E250">
        <f>IFERROR(__xludf.DUMMYFUNCTION("""COMPUTED_VALUE"""),3.9113313E7)</f>
        <v>39113313</v>
      </c>
    </row>
    <row r="251">
      <c r="A251" t="str">
        <f t="shared" si="1"/>
        <v>dza#2015</v>
      </c>
      <c r="B251" t="str">
        <f>IFERROR(__xludf.DUMMYFUNCTION("""COMPUTED_VALUE"""),"dza")</f>
        <v>dza</v>
      </c>
      <c r="C251" t="str">
        <f>IFERROR(__xludf.DUMMYFUNCTION("""COMPUTED_VALUE"""),"Algeria")</f>
        <v>Algeria</v>
      </c>
      <c r="D251">
        <f>IFERROR(__xludf.DUMMYFUNCTION("""COMPUTED_VALUE"""),2015.0)</f>
        <v>2015</v>
      </c>
      <c r="E251">
        <f>IFERROR(__xludf.DUMMYFUNCTION("""COMPUTED_VALUE"""),3.9871528E7)</f>
        <v>39871528</v>
      </c>
    </row>
    <row r="252">
      <c r="A252" t="str">
        <f t="shared" si="1"/>
        <v>dza#2016</v>
      </c>
      <c r="B252" t="str">
        <f>IFERROR(__xludf.DUMMYFUNCTION("""COMPUTED_VALUE"""),"dza")</f>
        <v>dza</v>
      </c>
      <c r="C252" t="str">
        <f>IFERROR(__xludf.DUMMYFUNCTION("""COMPUTED_VALUE"""),"Algeria")</f>
        <v>Algeria</v>
      </c>
      <c r="D252">
        <f>IFERROR(__xludf.DUMMYFUNCTION("""COMPUTED_VALUE"""),2016.0)</f>
        <v>2016</v>
      </c>
      <c r="E252">
        <f>IFERROR(__xludf.DUMMYFUNCTION("""COMPUTED_VALUE"""),4.0606052E7)</f>
        <v>40606052</v>
      </c>
    </row>
    <row r="253">
      <c r="A253" t="str">
        <f t="shared" si="1"/>
        <v>dza#2017</v>
      </c>
      <c r="B253" t="str">
        <f>IFERROR(__xludf.DUMMYFUNCTION("""COMPUTED_VALUE"""),"dza")</f>
        <v>dza</v>
      </c>
      <c r="C253" t="str">
        <f>IFERROR(__xludf.DUMMYFUNCTION("""COMPUTED_VALUE"""),"Algeria")</f>
        <v>Algeria</v>
      </c>
      <c r="D253">
        <f>IFERROR(__xludf.DUMMYFUNCTION("""COMPUTED_VALUE"""),2017.0)</f>
        <v>2017</v>
      </c>
      <c r="E253">
        <f>IFERROR(__xludf.DUMMYFUNCTION("""COMPUTED_VALUE"""),4.1318142E7)</f>
        <v>41318142</v>
      </c>
    </row>
    <row r="254">
      <c r="A254" t="str">
        <f t="shared" si="1"/>
        <v>dza#2018</v>
      </c>
      <c r="B254" t="str">
        <f>IFERROR(__xludf.DUMMYFUNCTION("""COMPUTED_VALUE"""),"dza")</f>
        <v>dza</v>
      </c>
      <c r="C254" t="str">
        <f>IFERROR(__xludf.DUMMYFUNCTION("""COMPUTED_VALUE"""),"Algeria")</f>
        <v>Algeria</v>
      </c>
      <c r="D254">
        <f>IFERROR(__xludf.DUMMYFUNCTION("""COMPUTED_VALUE"""),2018.0)</f>
        <v>2018</v>
      </c>
      <c r="E254">
        <f>IFERROR(__xludf.DUMMYFUNCTION("""COMPUTED_VALUE"""),4.2008054E7)</f>
        <v>42008054</v>
      </c>
    </row>
    <row r="255">
      <c r="A255" t="str">
        <f t="shared" si="1"/>
        <v>dza#2019</v>
      </c>
      <c r="B255" t="str">
        <f>IFERROR(__xludf.DUMMYFUNCTION("""COMPUTED_VALUE"""),"dza")</f>
        <v>dza</v>
      </c>
      <c r="C255" t="str">
        <f>IFERROR(__xludf.DUMMYFUNCTION("""COMPUTED_VALUE"""),"Algeria")</f>
        <v>Algeria</v>
      </c>
      <c r="D255">
        <f>IFERROR(__xludf.DUMMYFUNCTION("""COMPUTED_VALUE"""),2019.0)</f>
        <v>2019</v>
      </c>
      <c r="E255">
        <f>IFERROR(__xludf.DUMMYFUNCTION("""COMPUTED_VALUE"""),4.2679018E7)</f>
        <v>42679018</v>
      </c>
    </row>
    <row r="256">
      <c r="A256" t="str">
        <f t="shared" si="1"/>
        <v>dza#2020</v>
      </c>
      <c r="B256" t="str">
        <f>IFERROR(__xludf.DUMMYFUNCTION("""COMPUTED_VALUE"""),"dza")</f>
        <v>dza</v>
      </c>
      <c r="C256" t="str">
        <f>IFERROR(__xludf.DUMMYFUNCTION("""COMPUTED_VALUE"""),"Algeria")</f>
        <v>Algeria</v>
      </c>
      <c r="D256">
        <f>IFERROR(__xludf.DUMMYFUNCTION("""COMPUTED_VALUE"""),2020.0)</f>
        <v>2020</v>
      </c>
      <c r="E256">
        <f>IFERROR(__xludf.DUMMYFUNCTION("""COMPUTED_VALUE"""),4.3333255E7)</f>
        <v>43333255</v>
      </c>
    </row>
    <row r="257">
      <c r="A257" t="str">
        <f t="shared" si="1"/>
        <v>dza#2021</v>
      </c>
      <c r="B257" t="str">
        <f>IFERROR(__xludf.DUMMYFUNCTION("""COMPUTED_VALUE"""),"dza")</f>
        <v>dza</v>
      </c>
      <c r="C257" t="str">
        <f>IFERROR(__xludf.DUMMYFUNCTION("""COMPUTED_VALUE"""),"Algeria")</f>
        <v>Algeria</v>
      </c>
      <c r="D257">
        <f>IFERROR(__xludf.DUMMYFUNCTION("""COMPUTED_VALUE"""),2021.0)</f>
        <v>2021</v>
      </c>
      <c r="E257">
        <f>IFERROR(__xludf.DUMMYFUNCTION("""COMPUTED_VALUE"""),4.3969303E7)</f>
        <v>43969303</v>
      </c>
    </row>
    <row r="258">
      <c r="A258" t="str">
        <f t="shared" si="1"/>
        <v>dza#2022</v>
      </c>
      <c r="B258" t="str">
        <f>IFERROR(__xludf.DUMMYFUNCTION("""COMPUTED_VALUE"""),"dza")</f>
        <v>dza</v>
      </c>
      <c r="C258" t="str">
        <f>IFERROR(__xludf.DUMMYFUNCTION("""COMPUTED_VALUE"""),"Algeria")</f>
        <v>Algeria</v>
      </c>
      <c r="D258">
        <f>IFERROR(__xludf.DUMMYFUNCTION("""COMPUTED_VALUE"""),2022.0)</f>
        <v>2022</v>
      </c>
      <c r="E258">
        <f>IFERROR(__xludf.DUMMYFUNCTION("""COMPUTED_VALUE"""),4.4584467E7)</f>
        <v>44584467</v>
      </c>
    </row>
    <row r="259">
      <c r="A259" t="str">
        <f t="shared" si="1"/>
        <v>dza#2023</v>
      </c>
      <c r="B259" t="str">
        <f>IFERROR(__xludf.DUMMYFUNCTION("""COMPUTED_VALUE"""),"dza")</f>
        <v>dza</v>
      </c>
      <c r="C259" t="str">
        <f>IFERROR(__xludf.DUMMYFUNCTION("""COMPUTED_VALUE"""),"Algeria")</f>
        <v>Algeria</v>
      </c>
      <c r="D259">
        <f>IFERROR(__xludf.DUMMYFUNCTION("""COMPUTED_VALUE"""),2023.0)</f>
        <v>2023</v>
      </c>
      <c r="E259">
        <f>IFERROR(__xludf.DUMMYFUNCTION("""COMPUTED_VALUE"""),4.5178849E7)</f>
        <v>45178849</v>
      </c>
    </row>
    <row r="260">
      <c r="A260" t="str">
        <f t="shared" si="1"/>
        <v>dza#2024</v>
      </c>
      <c r="B260" t="str">
        <f>IFERROR(__xludf.DUMMYFUNCTION("""COMPUTED_VALUE"""),"dza")</f>
        <v>dza</v>
      </c>
      <c r="C260" t="str">
        <f>IFERROR(__xludf.DUMMYFUNCTION("""COMPUTED_VALUE"""),"Algeria")</f>
        <v>Algeria</v>
      </c>
      <c r="D260">
        <f>IFERROR(__xludf.DUMMYFUNCTION("""COMPUTED_VALUE"""),2024.0)</f>
        <v>2024</v>
      </c>
      <c r="E260">
        <f>IFERROR(__xludf.DUMMYFUNCTION("""COMPUTED_VALUE"""),4.5752995E7)</f>
        <v>45752995</v>
      </c>
    </row>
    <row r="261">
      <c r="A261" t="str">
        <f t="shared" si="1"/>
        <v>dza#2025</v>
      </c>
      <c r="B261" t="str">
        <f>IFERROR(__xludf.DUMMYFUNCTION("""COMPUTED_VALUE"""),"dza")</f>
        <v>dza</v>
      </c>
      <c r="C261" t="str">
        <f>IFERROR(__xludf.DUMMYFUNCTION("""COMPUTED_VALUE"""),"Algeria")</f>
        <v>Algeria</v>
      </c>
      <c r="D261">
        <f>IFERROR(__xludf.DUMMYFUNCTION("""COMPUTED_VALUE"""),2025.0)</f>
        <v>2025</v>
      </c>
      <c r="E261">
        <f>IFERROR(__xludf.DUMMYFUNCTION("""COMPUTED_VALUE"""),4.6307643E7)</f>
        <v>46307643</v>
      </c>
    </row>
    <row r="262">
      <c r="A262" t="str">
        <f t="shared" si="1"/>
        <v>dza#2026</v>
      </c>
      <c r="B262" t="str">
        <f>IFERROR(__xludf.DUMMYFUNCTION("""COMPUTED_VALUE"""),"dza")</f>
        <v>dza</v>
      </c>
      <c r="C262" t="str">
        <f>IFERROR(__xludf.DUMMYFUNCTION("""COMPUTED_VALUE"""),"Algeria")</f>
        <v>Algeria</v>
      </c>
      <c r="D262">
        <f>IFERROR(__xludf.DUMMYFUNCTION("""COMPUTED_VALUE"""),2026.0)</f>
        <v>2026</v>
      </c>
      <c r="E262">
        <f>IFERROR(__xludf.DUMMYFUNCTION("""COMPUTED_VALUE"""),4.6843063E7)</f>
        <v>46843063</v>
      </c>
    </row>
    <row r="263">
      <c r="A263" t="str">
        <f t="shared" si="1"/>
        <v>dza#2027</v>
      </c>
      <c r="B263" t="str">
        <f>IFERROR(__xludf.DUMMYFUNCTION("""COMPUTED_VALUE"""),"dza")</f>
        <v>dza</v>
      </c>
      <c r="C263" t="str">
        <f>IFERROR(__xludf.DUMMYFUNCTION("""COMPUTED_VALUE"""),"Algeria")</f>
        <v>Algeria</v>
      </c>
      <c r="D263">
        <f>IFERROR(__xludf.DUMMYFUNCTION("""COMPUTED_VALUE"""),2027.0)</f>
        <v>2027</v>
      </c>
      <c r="E263">
        <f>IFERROR(__xludf.DUMMYFUNCTION("""COMPUTED_VALUE"""),4.7360008E7)</f>
        <v>47360008</v>
      </c>
    </row>
    <row r="264">
      <c r="A264" t="str">
        <f t="shared" si="1"/>
        <v>dza#2028</v>
      </c>
      <c r="B264" t="str">
        <f>IFERROR(__xludf.DUMMYFUNCTION("""COMPUTED_VALUE"""),"dza")</f>
        <v>dza</v>
      </c>
      <c r="C264" t="str">
        <f>IFERROR(__xludf.DUMMYFUNCTION("""COMPUTED_VALUE"""),"Algeria")</f>
        <v>Algeria</v>
      </c>
      <c r="D264">
        <f>IFERROR(__xludf.DUMMYFUNCTION("""COMPUTED_VALUE"""),2028.0)</f>
        <v>2028</v>
      </c>
      <c r="E264">
        <f>IFERROR(__xludf.DUMMYFUNCTION("""COMPUTED_VALUE"""),4.7860486E7)</f>
        <v>47860486</v>
      </c>
    </row>
    <row r="265">
      <c r="A265" t="str">
        <f t="shared" si="1"/>
        <v>dza#2029</v>
      </c>
      <c r="B265" t="str">
        <f>IFERROR(__xludf.DUMMYFUNCTION("""COMPUTED_VALUE"""),"dza")</f>
        <v>dza</v>
      </c>
      <c r="C265" t="str">
        <f>IFERROR(__xludf.DUMMYFUNCTION("""COMPUTED_VALUE"""),"Algeria")</f>
        <v>Algeria</v>
      </c>
      <c r="D265">
        <f>IFERROR(__xludf.DUMMYFUNCTION("""COMPUTED_VALUE"""),2029.0)</f>
        <v>2029</v>
      </c>
      <c r="E265">
        <f>IFERROR(__xludf.DUMMYFUNCTION("""COMPUTED_VALUE"""),4.8347052E7)</f>
        <v>48347052</v>
      </c>
    </row>
    <row r="266">
      <c r="A266" t="str">
        <f t="shared" si="1"/>
        <v>dza#2030</v>
      </c>
      <c r="B266" t="str">
        <f>IFERROR(__xludf.DUMMYFUNCTION("""COMPUTED_VALUE"""),"dza")</f>
        <v>dza</v>
      </c>
      <c r="C266" t="str">
        <f>IFERROR(__xludf.DUMMYFUNCTION("""COMPUTED_VALUE"""),"Algeria")</f>
        <v>Algeria</v>
      </c>
      <c r="D266">
        <f>IFERROR(__xludf.DUMMYFUNCTION("""COMPUTED_VALUE"""),2030.0)</f>
        <v>2030</v>
      </c>
      <c r="E266">
        <f>IFERROR(__xludf.DUMMYFUNCTION("""COMPUTED_VALUE"""),4.8821963E7)</f>
        <v>48821963</v>
      </c>
    </row>
    <row r="267">
      <c r="A267" t="str">
        <f t="shared" si="1"/>
        <v>dza#2031</v>
      </c>
      <c r="B267" t="str">
        <f>IFERROR(__xludf.DUMMYFUNCTION("""COMPUTED_VALUE"""),"dza")</f>
        <v>dza</v>
      </c>
      <c r="C267" t="str">
        <f>IFERROR(__xludf.DUMMYFUNCTION("""COMPUTED_VALUE"""),"Algeria")</f>
        <v>Algeria</v>
      </c>
      <c r="D267">
        <f>IFERROR(__xludf.DUMMYFUNCTION("""COMPUTED_VALUE"""),2031.0)</f>
        <v>2031</v>
      </c>
      <c r="E267">
        <f>IFERROR(__xludf.DUMMYFUNCTION("""COMPUTED_VALUE"""),4.9286285E7)</f>
        <v>49286285</v>
      </c>
    </row>
    <row r="268">
      <c r="A268" t="str">
        <f t="shared" si="1"/>
        <v>dza#2032</v>
      </c>
      <c r="B268" t="str">
        <f>IFERROR(__xludf.DUMMYFUNCTION("""COMPUTED_VALUE"""),"dza")</f>
        <v>dza</v>
      </c>
      <c r="C268" t="str">
        <f>IFERROR(__xludf.DUMMYFUNCTION("""COMPUTED_VALUE"""),"Algeria")</f>
        <v>Algeria</v>
      </c>
      <c r="D268">
        <f>IFERROR(__xludf.DUMMYFUNCTION("""COMPUTED_VALUE"""),2032.0)</f>
        <v>2032</v>
      </c>
      <c r="E268">
        <f>IFERROR(__xludf.DUMMYFUNCTION("""COMPUTED_VALUE"""),4.9741054E7)</f>
        <v>49741054</v>
      </c>
    </row>
    <row r="269">
      <c r="A269" t="str">
        <f t="shared" si="1"/>
        <v>dza#2033</v>
      </c>
      <c r="B269" t="str">
        <f>IFERROR(__xludf.DUMMYFUNCTION("""COMPUTED_VALUE"""),"dza")</f>
        <v>dza</v>
      </c>
      <c r="C269" t="str">
        <f>IFERROR(__xludf.DUMMYFUNCTION("""COMPUTED_VALUE"""),"Algeria")</f>
        <v>Algeria</v>
      </c>
      <c r="D269">
        <f>IFERROR(__xludf.DUMMYFUNCTION("""COMPUTED_VALUE"""),2033.0)</f>
        <v>2033</v>
      </c>
      <c r="E269">
        <f>IFERROR(__xludf.DUMMYFUNCTION("""COMPUTED_VALUE"""),5.0188453E7)</f>
        <v>50188453</v>
      </c>
    </row>
    <row r="270">
      <c r="A270" t="str">
        <f t="shared" si="1"/>
        <v>dza#2034</v>
      </c>
      <c r="B270" t="str">
        <f>IFERROR(__xludf.DUMMYFUNCTION("""COMPUTED_VALUE"""),"dza")</f>
        <v>dza</v>
      </c>
      <c r="C270" t="str">
        <f>IFERROR(__xludf.DUMMYFUNCTION("""COMPUTED_VALUE"""),"Algeria")</f>
        <v>Algeria</v>
      </c>
      <c r="D270">
        <f>IFERROR(__xludf.DUMMYFUNCTION("""COMPUTED_VALUE"""),2034.0)</f>
        <v>2034</v>
      </c>
      <c r="E270">
        <f>IFERROR(__xludf.DUMMYFUNCTION("""COMPUTED_VALUE"""),5.063092E7)</f>
        <v>50630920</v>
      </c>
    </row>
    <row r="271">
      <c r="A271" t="str">
        <f t="shared" si="1"/>
        <v>dza#2035</v>
      </c>
      <c r="B271" t="str">
        <f>IFERROR(__xludf.DUMMYFUNCTION("""COMPUTED_VALUE"""),"dza")</f>
        <v>dza</v>
      </c>
      <c r="C271" t="str">
        <f>IFERROR(__xludf.DUMMYFUNCTION("""COMPUTED_VALUE"""),"Algeria")</f>
        <v>Algeria</v>
      </c>
      <c r="D271">
        <f>IFERROR(__xludf.DUMMYFUNCTION("""COMPUTED_VALUE"""),2035.0)</f>
        <v>2035</v>
      </c>
      <c r="E271">
        <f>IFERROR(__xludf.DUMMYFUNCTION("""COMPUTED_VALUE"""),5.1070401E7)</f>
        <v>51070401</v>
      </c>
    </row>
    <row r="272">
      <c r="A272" t="str">
        <f t="shared" si="1"/>
        <v>dza#2036</v>
      </c>
      <c r="B272" t="str">
        <f>IFERROR(__xludf.DUMMYFUNCTION("""COMPUTED_VALUE"""),"dza")</f>
        <v>dza</v>
      </c>
      <c r="C272" t="str">
        <f>IFERROR(__xludf.DUMMYFUNCTION("""COMPUTED_VALUE"""),"Algeria")</f>
        <v>Algeria</v>
      </c>
      <c r="D272">
        <f>IFERROR(__xludf.DUMMYFUNCTION("""COMPUTED_VALUE"""),2036.0)</f>
        <v>2036</v>
      </c>
      <c r="E272">
        <f>IFERROR(__xludf.DUMMYFUNCTION("""COMPUTED_VALUE"""),5.1507846E7)</f>
        <v>51507846</v>
      </c>
    </row>
    <row r="273">
      <c r="A273" t="str">
        <f t="shared" si="1"/>
        <v>dza#2037</v>
      </c>
      <c r="B273" t="str">
        <f>IFERROR(__xludf.DUMMYFUNCTION("""COMPUTED_VALUE"""),"dza")</f>
        <v>dza</v>
      </c>
      <c r="C273" t="str">
        <f>IFERROR(__xludf.DUMMYFUNCTION("""COMPUTED_VALUE"""),"Algeria")</f>
        <v>Algeria</v>
      </c>
      <c r="D273">
        <f>IFERROR(__xludf.DUMMYFUNCTION("""COMPUTED_VALUE"""),2037.0)</f>
        <v>2037</v>
      </c>
      <c r="E273">
        <f>IFERROR(__xludf.DUMMYFUNCTION("""COMPUTED_VALUE"""),5.1943721E7)</f>
        <v>51943721</v>
      </c>
    </row>
    <row r="274">
      <c r="A274" t="str">
        <f t="shared" si="1"/>
        <v>dza#2038</v>
      </c>
      <c r="B274" t="str">
        <f>IFERROR(__xludf.DUMMYFUNCTION("""COMPUTED_VALUE"""),"dza")</f>
        <v>dza</v>
      </c>
      <c r="C274" t="str">
        <f>IFERROR(__xludf.DUMMYFUNCTION("""COMPUTED_VALUE"""),"Algeria")</f>
        <v>Algeria</v>
      </c>
      <c r="D274">
        <f>IFERROR(__xludf.DUMMYFUNCTION("""COMPUTED_VALUE"""),2038.0)</f>
        <v>2038</v>
      </c>
      <c r="E274">
        <f>IFERROR(__xludf.DUMMYFUNCTION("""COMPUTED_VALUE"""),5.2378836E7)</f>
        <v>52378836</v>
      </c>
    </row>
    <row r="275">
      <c r="A275" t="str">
        <f t="shared" si="1"/>
        <v>dza#2039</v>
      </c>
      <c r="B275" t="str">
        <f>IFERROR(__xludf.DUMMYFUNCTION("""COMPUTED_VALUE"""),"dza")</f>
        <v>dza</v>
      </c>
      <c r="C275" t="str">
        <f>IFERROR(__xludf.DUMMYFUNCTION("""COMPUTED_VALUE"""),"Algeria")</f>
        <v>Algeria</v>
      </c>
      <c r="D275">
        <f>IFERROR(__xludf.DUMMYFUNCTION("""COMPUTED_VALUE"""),2039.0)</f>
        <v>2039</v>
      </c>
      <c r="E275">
        <f>IFERROR(__xludf.DUMMYFUNCTION("""COMPUTED_VALUE"""),5.281383E7)</f>
        <v>52813830</v>
      </c>
    </row>
    <row r="276">
      <c r="A276" t="str">
        <f t="shared" si="1"/>
        <v>dza#2040</v>
      </c>
      <c r="B276" t="str">
        <f>IFERROR(__xludf.DUMMYFUNCTION("""COMPUTED_VALUE"""),"dza")</f>
        <v>dza</v>
      </c>
      <c r="C276" t="str">
        <f>IFERROR(__xludf.DUMMYFUNCTION("""COMPUTED_VALUE"""),"Algeria")</f>
        <v>Algeria</v>
      </c>
      <c r="D276">
        <f>IFERROR(__xludf.DUMMYFUNCTION("""COMPUTED_VALUE"""),2040.0)</f>
        <v>2040</v>
      </c>
      <c r="E276">
        <f>IFERROR(__xludf.DUMMYFUNCTION("""COMPUTED_VALUE"""),5.3248997E7)</f>
        <v>53248997</v>
      </c>
    </row>
    <row r="277">
      <c r="A277" t="str">
        <f t="shared" si="1"/>
        <v>and#1950</v>
      </c>
      <c r="B277" t="str">
        <f>IFERROR(__xludf.DUMMYFUNCTION("""COMPUTED_VALUE"""),"and")</f>
        <v>and</v>
      </c>
      <c r="C277" t="str">
        <f>IFERROR(__xludf.DUMMYFUNCTION("""COMPUTED_VALUE"""),"Andorra")</f>
        <v>Andorra</v>
      </c>
      <c r="D277">
        <f>IFERROR(__xludf.DUMMYFUNCTION("""COMPUTED_VALUE"""),1950.0)</f>
        <v>1950</v>
      </c>
      <c r="E277">
        <f>IFERROR(__xludf.DUMMYFUNCTION("""COMPUTED_VALUE"""),6196.0)</f>
        <v>6196</v>
      </c>
    </row>
    <row r="278">
      <c r="A278" t="str">
        <f t="shared" si="1"/>
        <v>and#1951</v>
      </c>
      <c r="B278" t="str">
        <f>IFERROR(__xludf.DUMMYFUNCTION("""COMPUTED_VALUE"""),"and")</f>
        <v>and</v>
      </c>
      <c r="C278" t="str">
        <f>IFERROR(__xludf.DUMMYFUNCTION("""COMPUTED_VALUE"""),"Andorra")</f>
        <v>Andorra</v>
      </c>
      <c r="D278">
        <f>IFERROR(__xludf.DUMMYFUNCTION("""COMPUTED_VALUE"""),1951.0)</f>
        <v>1951</v>
      </c>
      <c r="E278">
        <f>IFERROR(__xludf.DUMMYFUNCTION("""COMPUTED_VALUE"""),6689.0)</f>
        <v>6689</v>
      </c>
    </row>
    <row r="279">
      <c r="A279" t="str">
        <f t="shared" si="1"/>
        <v>and#1952</v>
      </c>
      <c r="B279" t="str">
        <f>IFERROR(__xludf.DUMMYFUNCTION("""COMPUTED_VALUE"""),"and")</f>
        <v>and</v>
      </c>
      <c r="C279" t="str">
        <f>IFERROR(__xludf.DUMMYFUNCTION("""COMPUTED_VALUE"""),"Andorra")</f>
        <v>Andorra</v>
      </c>
      <c r="D279">
        <f>IFERROR(__xludf.DUMMYFUNCTION("""COMPUTED_VALUE"""),1952.0)</f>
        <v>1952</v>
      </c>
      <c r="E279">
        <f>IFERROR(__xludf.DUMMYFUNCTION("""COMPUTED_VALUE"""),7247.0)</f>
        <v>7247</v>
      </c>
    </row>
    <row r="280">
      <c r="A280" t="str">
        <f t="shared" si="1"/>
        <v>and#1953</v>
      </c>
      <c r="B280" t="str">
        <f>IFERROR(__xludf.DUMMYFUNCTION("""COMPUTED_VALUE"""),"and")</f>
        <v>and</v>
      </c>
      <c r="C280" t="str">
        <f>IFERROR(__xludf.DUMMYFUNCTION("""COMPUTED_VALUE"""),"Andorra")</f>
        <v>Andorra</v>
      </c>
      <c r="D280">
        <f>IFERROR(__xludf.DUMMYFUNCTION("""COMPUTED_VALUE"""),1953.0)</f>
        <v>1953</v>
      </c>
      <c r="E280">
        <f>IFERROR(__xludf.DUMMYFUNCTION("""COMPUTED_VALUE"""),7865.0)</f>
        <v>7865</v>
      </c>
    </row>
    <row r="281">
      <c r="A281" t="str">
        <f t="shared" si="1"/>
        <v>and#1954</v>
      </c>
      <c r="B281" t="str">
        <f>IFERROR(__xludf.DUMMYFUNCTION("""COMPUTED_VALUE"""),"and")</f>
        <v>and</v>
      </c>
      <c r="C281" t="str">
        <f>IFERROR(__xludf.DUMMYFUNCTION("""COMPUTED_VALUE"""),"Andorra")</f>
        <v>Andorra</v>
      </c>
      <c r="D281">
        <f>IFERROR(__xludf.DUMMYFUNCTION("""COMPUTED_VALUE"""),1954.0)</f>
        <v>1954</v>
      </c>
      <c r="E281">
        <f>IFERROR(__xludf.DUMMYFUNCTION("""COMPUTED_VALUE"""),8525.0)</f>
        <v>8525</v>
      </c>
    </row>
    <row r="282">
      <c r="A282" t="str">
        <f t="shared" si="1"/>
        <v>and#1955</v>
      </c>
      <c r="B282" t="str">
        <f>IFERROR(__xludf.DUMMYFUNCTION("""COMPUTED_VALUE"""),"and")</f>
        <v>and</v>
      </c>
      <c r="C282" t="str">
        <f>IFERROR(__xludf.DUMMYFUNCTION("""COMPUTED_VALUE"""),"Andorra")</f>
        <v>Andorra</v>
      </c>
      <c r="D282">
        <f>IFERROR(__xludf.DUMMYFUNCTION("""COMPUTED_VALUE"""),1955.0)</f>
        <v>1955</v>
      </c>
      <c r="E282">
        <f>IFERROR(__xludf.DUMMYFUNCTION("""COMPUTED_VALUE"""),9232.0)</f>
        <v>9232</v>
      </c>
    </row>
    <row r="283">
      <c r="A283" t="str">
        <f t="shared" si="1"/>
        <v>and#1956</v>
      </c>
      <c r="B283" t="str">
        <f>IFERROR(__xludf.DUMMYFUNCTION("""COMPUTED_VALUE"""),"and")</f>
        <v>and</v>
      </c>
      <c r="C283" t="str">
        <f>IFERROR(__xludf.DUMMYFUNCTION("""COMPUTED_VALUE"""),"Andorra")</f>
        <v>Andorra</v>
      </c>
      <c r="D283">
        <f>IFERROR(__xludf.DUMMYFUNCTION("""COMPUTED_VALUE"""),1956.0)</f>
        <v>1956</v>
      </c>
      <c r="E283">
        <f>IFERROR(__xludf.DUMMYFUNCTION("""COMPUTED_VALUE"""),9989.0)</f>
        <v>9989</v>
      </c>
    </row>
    <row r="284">
      <c r="A284" t="str">
        <f t="shared" si="1"/>
        <v>and#1957</v>
      </c>
      <c r="B284" t="str">
        <f>IFERROR(__xludf.DUMMYFUNCTION("""COMPUTED_VALUE"""),"and")</f>
        <v>and</v>
      </c>
      <c r="C284" t="str">
        <f>IFERROR(__xludf.DUMMYFUNCTION("""COMPUTED_VALUE"""),"Andorra")</f>
        <v>Andorra</v>
      </c>
      <c r="D284">
        <f>IFERROR(__xludf.DUMMYFUNCTION("""COMPUTED_VALUE"""),1957.0)</f>
        <v>1957</v>
      </c>
      <c r="E284">
        <f>IFERROR(__xludf.DUMMYFUNCTION("""COMPUTED_VALUE"""),10779.0)</f>
        <v>10779</v>
      </c>
    </row>
    <row r="285">
      <c r="A285" t="str">
        <f t="shared" si="1"/>
        <v>and#1958</v>
      </c>
      <c r="B285" t="str">
        <f>IFERROR(__xludf.DUMMYFUNCTION("""COMPUTED_VALUE"""),"and")</f>
        <v>and</v>
      </c>
      <c r="C285" t="str">
        <f>IFERROR(__xludf.DUMMYFUNCTION("""COMPUTED_VALUE"""),"Andorra")</f>
        <v>Andorra</v>
      </c>
      <c r="D285">
        <f>IFERROR(__xludf.DUMMYFUNCTION("""COMPUTED_VALUE"""),1958.0)</f>
        <v>1958</v>
      </c>
      <c r="E285">
        <f>IFERROR(__xludf.DUMMYFUNCTION("""COMPUTED_VALUE"""),11615.0)</f>
        <v>11615</v>
      </c>
    </row>
    <row r="286">
      <c r="A286" t="str">
        <f t="shared" si="1"/>
        <v>and#1959</v>
      </c>
      <c r="B286" t="str">
        <f>IFERROR(__xludf.DUMMYFUNCTION("""COMPUTED_VALUE"""),"and")</f>
        <v>and</v>
      </c>
      <c r="C286" t="str">
        <f>IFERROR(__xludf.DUMMYFUNCTION("""COMPUTED_VALUE"""),"Andorra")</f>
        <v>Andorra</v>
      </c>
      <c r="D286">
        <f>IFERROR(__xludf.DUMMYFUNCTION("""COMPUTED_VALUE"""),1959.0)</f>
        <v>1959</v>
      </c>
      <c r="E286">
        <f>IFERROR(__xludf.DUMMYFUNCTION("""COMPUTED_VALUE"""),12498.0)</f>
        <v>12498</v>
      </c>
    </row>
    <row r="287">
      <c r="A287" t="str">
        <f t="shared" si="1"/>
        <v>and#1960</v>
      </c>
      <c r="B287" t="str">
        <f>IFERROR(__xludf.DUMMYFUNCTION("""COMPUTED_VALUE"""),"and")</f>
        <v>and</v>
      </c>
      <c r="C287" t="str">
        <f>IFERROR(__xludf.DUMMYFUNCTION("""COMPUTED_VALUE"""),"Andorra")</f>
        <v>Andorra</v>
      </c>
      <c r="D287">
        <f>IFERROR(__xludf.DUMMYFUNCTION("""COMPUTED_VALUE"""),1960.0)</f>
        <v>1960</v>
      </c>
      <c r="E287">
        <f>IFERROR(__xludf.DUMMYFUNCTION("""COMPUTED_VALUE"""),13411.0)</f>
        <v>13411</v>
      </c>
    </row>
    <row r="288">
      <c r="A288" t="str">
        <f t="shared" si="1"/>
        <v>and#1961</v>
      </c>
      <c r="B288" t="str">
        <f>IFERROR(__xludf.DUMMYFUNCTION("""COMPUTED_VALUE"""),"and")</f>
        <v>and</v>
      </c>
      <c r="C288" t="str">
        <f>IFERROR(__xludf.DUMMYFUNCTION("""COMPUTED_VALUE"""),"Andorra")</f>
        <v>Andorra</v>
      </c>
      <c r="D288">
        <f>IFERROR(__xludf.DUMMYFUNCTION("""COMPUTED_VALUE"""),1961.0)</f>
        <v>1961</v>
      </c>
      <c r="E288">
        <f>IFERROR(__xludf.DUMMYFUNCTION("""COMPUTED_VALUE"""),14375.0)</f>
        <v>14375</v>
      </c>
    </row>
    <row r="289">
      <c r="A289" t="str">
        <f t="shared" si="1"/>
        <v>and#1962</v>
      </c>
      <c r="B289" t="str">
        <f>IFERROR(__xludf.DUMMYFUNCTION("""COMPUTED_VALUE"""),"and")</f>
        <v>and</v>
      </c>
      <c r="C289" t="str">
        <f>IFERROR(__xludf.DUMMYFUNCTION("""COMPUTED_VALUE"""),"Andorra")</f>
        <v>Andorra</v>
      </c>
      <c r="D289">
        <f>IFERROR(__xludf.DUMMYFUNCTION("""COMPUTED_VALUE"""),1962.0)</f>
        <v>1962</v>
      </c>
      <c r="E289">
        <f>IFERROR(__xludf.DUMMYFUNCTION("""COMPUTED_VALUE"""),15370.0)</f>
        <v>15370</v>
      </c>
    </row>
    <row r="290">
      <c r="A290" t="str">
        <f t="shared" si="1"/>
        <v>and#1963</v>
      </c>
      <c r="B290" t="str">
        <f>IFERROR(__xludf.DUMMYFUNCTION("""COMPUTED_VALUE"""),"and")</f>
        <v>and</v>
      </c>
      <c r="C290" t="str">
        <f>IFERROR(__xludf.DUMMYFUNCTION("""COMPUTED_VALUE"""),"Andorra")</f>
        <v>Andorra</v>
      </c>
      <c r="D290">
        <f>IFERROR(__xludf.DUMMYFUNCTION("""COMPUTED_VALUE"""),1963.0)</f>
        <v>1963</v>
      </c>
      <c r="E290">
        <f>IFERROR(__xludf.DUMMYFUNCTION("""COMPUTED_VALUE"""),16412.0)</f>
        <v>16412</v>
      </c>
    </row>
    <row r="291">
      <c r="A291" t="str">
        <f t="shared" si="1"/>
        <v>and#1964</v>
      </c>
      <c r="B291" t="str">
        <f>IFERROR(__xludf.DUMMYFUNCTION("""COMPUTED_VALUE"""),"and")</f>
        <v>and</v>
      </c>
      <c r="C291" t="str">
        <f>IFERROR(__xludf.DUMMYFUNCTION("""COMPUTED_VALUE"""),"Andorra")</f>
        <v>Andorra</v>
      </c>
      <c r="D291">
        <f>IFERROR(__xludf.DUMMYFUNCTION("""COMPUTED_VALUE"""),1964.0)</f>
        <v>1964</v>
      </c>
      <c r="E291">
        <f>IFERROR(__xludf.DUMMYFUNCTION("""COMPUTED_VALUE"""),17469.0)</f>
        <v>17469</v>
      </c>
    </row>
    <row r="292">
      <c r="A292" t="str">
        <f t="shared" si="1"/>
        <v>and#1965</v>
      </c>
      <c r="B292" t="str">
        <f>IFERROR(__xludf.DUMMYFUNCTION("""COMPUTED_VALUE"""),"and")</f>
        <v>and</v>
      </c>
      <c r="C292" t="str">
        <f>IFERROR(__xludf.DUMMYFUNCTION("""COMPUTED_VALUE"""),"Andorra")</f>
        <v>Andorra</v>
      </c>
      <c r="D292">
        <f>IFERROR(__xludf.DUMMYFUNCTION("""COMPUTED_VALUE"""),1965.0)</f>
        <v>1965</v>
      </c>
      <c r="E292">
        <f>IFERROR(__xludf.DUMMYFUNCTION("""COMPUTED_VALUE"""),18549.0)</f>
        <v>18549</v>
      </c>
    </row>
    <row r="293">
      <c r="A293" t="str">
        <f t="shared" si="1"/>
        <v>and#1966</v>
      </c>
      <c r="B293" t="str">
        <f>IFERROR(__xludf.DUMMYFUNCTION("""COMPUTED_VALUE"""),"and")</f>
        <v>and</v>
      </c>
      <c r="C293" t="str">
        <f>IFERROR(__xludf.DUMMYFUNCTION("""COMPUTED_VALUE"""),"Andorra")</f>
        <v>Andorra</v>
      </c>
      <c r="D293">
        <f>IFERROR(__xludf.DUMMYFUNCTION("""COMPUTED_VALUE"""),1966.0)</f>
        <v>1966</v>
      </c>
      <c r="E293">
        <f>IFERROR(__xludf.DUMMYFUNCTION("""COMPUTED_VALUE"""),19647.0)</f>
        <v>19647</v>
      </c>
    </row>
    <row r="294">
      <c r="A294" t="str">
        <f t="shared" si="1"/>
        <v>and#1967</v>
      </c>
      <c r="B294" t="str">
        <f>IFERROR(__xludf.DUMMYFUNCTION("""COMPUTED_VALUE"""),"and")</f>
        <v>and</v>
      </c>
      <c r="C294" t="str">
        <f>IFERROR(__xludf.DUMMYFUNCTION("""COMPUTED_VALUE"""),"Andorra")</f>
        <v>Andorra</v>
      </c>
      <c r="D294">
        <f>IFERROR(__xludf.DUMMYFUNCTION("""COMPUTED_VALUE"""),1967.0)</f>
        <v>1967</v>
      </c>
      <c r="E294">
        <f>IFERROR(__xludf.DUMMYFUNCTION("""COMPUTED_VALUE"""),20758.0)</f>
        <v>20758</v>
      </c>
    </row>
    <row r="295">
      <c r="A295" t="str">
        <f t="shared" si="1"/>
        <v>and#1968</v>
      </c>
      <c r="B295" t="str">
        <f>IFERROR(__xludf.DUMMYFUNCTION("""COMPUTED_VALUE"""),"and")</f>
        <v>and</v>
      </c>
      <c r="C295" t="str">
        <f>IFERROR(__xludf.DUMMYFUNCTION("""COMPUTED_VALUE"""),"Andorra")</f>
        <v>Andorra</v>
      </c>
      <c r="D295">
        <f>IFERROR(__xludf.DUMMYFUNCTION("""COMPUTED_VALUE"""),1968.0)</f>
        <v>1968</v>
      </c>
      <c r="E295">
        <f>IFERROR(__xludf.DUMMYFUNCTION("""COMPUTED_VALUE"""),21890.0)</f>
        <v>21890</v>
      </c>
    </row>
    <row r="296">
      <c r="A296" t="str">
        <f t="shared" si="1"/>
        <v>and#1969</v>
      </c>
      <c r="B296" t="str">
        <f>IFERROR(__xludf.DUMMYFUNCTION("""COMPUTED_VALUE"""),"and")</f>
        <v>and</v>
      </c>
      <c r="C296" t="str">
        <f>IFERROR(__xludf.DUMMYFUNCTION("""COMPUTED_VALUE"""),"Andorra")</f>
        <v>Andorra</v>
      </c>
      <c r="D296">
        <f>IFERROR(__xludf.DUMMYFUNCTION("""COMPUTED_VALUE"""),1969.0)</f>
        <v>1969</v>
      </c>
      <c r="E296">
        <f>IFERROR(__xludf.DUMMYFUNCTION("""COMPUTED_VALUE"""),23058.0)</f>
        <v>23058</v>
      </c>
    </row>
    <row r="297">
      <c r="A297" t="str">
        <f t="shared" si="1"/>
        <v>and#1970</v>
      </c>
      <c r="B297" t="str">
        <f>IFERROR(__xludf.DUMMYFUNCTION("""COMPUTED_VALUE"""),"and")</f>
        <v>and</v>
      </c>
      <c r="C297" t="str">
        <f>IFERROR(__xludf.DUMMYFUNCTION("""COMPUTED_VALUE"""),"Andorra")</f>
        <v>Andorra</v>
      </c>
      <c r="D297">
        <f>IFERROR(__xludf.DUMMYFUNCTION("""COMPUTED_VALUE"""),1970.0)</f>
        <v>1970</v>
      </c>
      <c r="E297">
        <f>IFERROR(__xludf.DUMMYFUNCTION("""COMPUTED_VALUE"""),24276.0)</f>
        <v>24276</v>
      </c>
    </row>
    <row r="298">
      <c r="A298" t="str">
        <f t="shared" si="1"/>
        <v>and#1971</v>
      </c>
      <c r="B298" t="str">
        <f>IFERROR(__xludf.DUMMYFUNCTION("""COMPUTED_VALUE"""),"and")</f>
        <v>and</v>
      </c>
      <c r="C298" t="str">
        <f>IFERROR(__xludf.DUMMYFUNCTION("""COMPUTED_VALUE"""),"Andorra")</f>
        <v>Andorra</v>
      </c>
      <c r="D298">
        <f>IFERROR(__xludf.DUMMYFUNCTION("""COMPUTED_VALUE"""),1971.0)</f>
        <v>1971</v>
      </c>
      <c r="E298">
        <f>IFERROR(__xludf.DUMMYFUNCTION("""COMPUTED_VALUE"""),25559.0)</f>
        <v>25559</v>
      </c>
    </row>
    <row r="299">
      <c r="A299" t="str">
        <f t="shared" si="1"/>
        <v>and#1972</v>
      </c>
      <c r="B299" t="str">
        <f>IFERROR(__xludf.DUMMYFUNCTION("""COMPUTED_VALUE"""),"and")</f>
        <v>and</v>
      </c>
      <c r="C299" t="str">
        <f>IFERROR(__xludf.DUMMYFUNCTION("""COMPUTED_VALUE"""),"Andorra")</f>
        <v>Andorra</v>
      </c>
      <c r="D299">
        <f>IFERROR(__xludf.DUMMYFUNCTION("""COMPUTED_VALUE"""),1972.0)</f>
        <v>1972</v>
      </c>
      <c r="E299">
        <f>IFERROR(__xludf.DUMMYFUNCTION("""COMPUTED_VALUE"""),26892.0)</f>
        <v>26892</v>
      </c>
    </row>
    <row r="300">
      <c r="A300" t="str">
        <f t="shared" si="1"/>
        <v>and#1973</v>
      </c>
      <c r="B300" t="str">
        <f>IFERROR(__xludf.DUMMYFUNCTION("""COMPUTED_VALUE"""),"and")</f>
        <v>and</v>
      </c>
      <c r="C300" t="str">
        <f>IFERROR(__xludf.DUMMYFUNCTION("""COMPUTED_VALUE"""),"Andorra")</f>
        <v>Andorra</v>
      </c>
      <c r="D300">
        <f>IFERROR(__xludf.DUMMYFUNCTION("""COMPUTED_VALUE"""),1973.0)</f>
        <v>1973</v>
      </c>
      <c r="E300">
        <f>IFERROR(__xludf.DUMMYFUNCTION("""COMPUTED_VALUE"""),28232.0)</f>
        <v>28232</v>
      </c>
    </row>
    <row r="301">
      <c r="A301" t="str">
        <f t="shared" si="1"/>
        <v>and#1974</v>
      </c>
      <c r="B301" t="str">
        <f>IFERROR(__xludf.DUMMYFUNCTION("""COMPUTED_VALUE"""),"and")</f>
        <v>and</v>
      </c>
      <c r="C301" t="str">
        <f>IFERROR(__xludf.DUMMYFUNCTION("""COMPUTED_VALUE"""),"Andorra")</f>
        <v>Andorra</v>
      </c>
      <c r="D301">
        <f>IFERROR(__xludf.DUMMYFUNCTION("""COMPUTED_VALUE"""),1974.0)</f>
        <v>1974</v>
      </c>
      <c r="E301">
        <f>IFERROR(__xludf.DUMMYFUNCTION("""COMPUTED_VALUE"""),29520.0)</f>
        <v>29520</v>
      </c>
    </row>
    <row r="302">
      <c r="A302" t="str">
        <f t="shared" si="1"/>
        <v>and#1975</v>
      </c>
      <c r="B302" t="str">
        <f>IFERROR(__xludf.DUMMYFUNCTION("""COMPUTED_VALUE"""),"and")</f>
        <v>and</v>
      </c>
      <c r="C302" t="str">
        <f>IFERROR(__xludf.DUMMYFUNCTION("""COMPUTED_VALUE"""),"Andorra")</f>
        <v>Andorra</v>
      </c>
      <c r="D302">
        <f>IFERROR(__xludf.DUMMYFUNCTION("""COMPUTED_VALUE"""),1975.0)</f>
        <v>1975</v>
      </c>
      <c r="E302">
        <f>IFERROR(__xludf.DUMMYFUNCTION("""COMPUTED_VALUE"""),30705.0)</f>
        <v>30705</v>
      </c>
    </row>
    <row r="303">
      <c r="A303" t="str">
        <f t="shared" si="1"/>
        <v>and#1976</v>
      </c>
      <c r="B303" t="str">
        <f>IFERROR(__xludf.DUMMYFUNCTION("""COMPUTED_VALUE"""),"and")</f>
        <v>and</v>
      </c>
      <c r="C303" t="str">
        <f>IFERROR(__xludf.DUMMYFUNCTION("""COMPUTED_VALUE"""),"Andorra")</f>
        <v>Andorra</v>
      </c>
      <c r="D303">
        <f>IFERROR(__xludf.DUMMYFUNCTION("""COMPUTED_VALUE"""),1976.0)</f>
        <v>1976</v>
      </c>
      <c r="E303">
        <f>IFERROR(__xludf.DUMMYFUNCTION("""COMPUTED_VALUE"""),31777.0)</f>
        <v>31777</v>
      </c>
    </row>
    <row r="304">
      <c r="A304" t="str">
        <f t="shared" si="1"/>
        <v>and#1977</v>
      </c>
      <c r="B304" t="str">
        <f>IFERROR(__xludf.DUMMYFUNCTION("""COMPUTED_VALUE"""),"and")</f>
        <v>and</v>
      </c>
      <c r="C304" t="str">
        <f>IFERROR(__xludf.DUMMYFUNCTION("""COMPUTED_VALUE"""),"Andorra")</f>
        <v>Andorra</v>
      </c>
      <c r="D304">
        <f>IFERROR(__xludf.DUMMYFUNCTION("""COMPUTED_VALUE"""),1977.0)</f>
        <v>1977</v>
      </c>
      <c r="E304">
        <f>IFERROR(__xludf.DUMMYFUNCTION("""COMPUTED_VALUE"""),32771.0)</f>
        <v>32771</v>
      </c>
    </row>
    <row r="305">
      <c r="A305" t="str">
        <f t="shared" si="1"/>
        <v>and#1978</v>
      </c>
      <c r="B305" t="str">
        <f>IFERROR(__xludf.DUMMYFUNCTION("""COMPUTED_VALUE"""),"and")</f>
        <v>and</v>
      </c>
      <c r="C305" t="str">
        <f>IFERROR(__xludf.DUMMYFUNCTION("""COMPUTED_VALUE"""),"Andorra")</f>
        <v>Andorra</v>
      </c>
      <c r="D305">
        <f>IFERROR(__xludf.DUMMYFUNCTION("""COMPUTED_VALUE"""),1978.0)</f>
        <v>1978</v>
      </c>
      <c r="E305">
        <f>IFERROR(__xludf.DUMMYFUNCTION("""COMPUTED_VALUE"""),33737.0)</f>
        <v>33737</v>
      </c>
    </row>
    <row r="306">
      <c r="A306" t="str">
        <f t="shared" si="1"/>
        <v>and#1979</v>
      </c>
      <c r="B306" t="str">
        <f>IFERROR(__xludf.DUMMYFUNCTION("""COMPUTED_VALUE"""),"and")</f>
        <v>and</v>
      </c>
      <c r="C306" t="str">
        <f>IFERROR(__xludf.DUMMYFUNCTION("""COMPUTED_VALUE"""),"Andorra")</f>
        <v>Andorra</v>
      </c>
      <c r="D306">
        <f>IFERROR(__xludf.DUMMYFUNCTION("""COMPUTED_VALUE"""),1979.0)</f>
        <v>1979</v>
      </c>
      <c r="E306">
        <f>IFERROR(__xludf.DUMMYFUNCTION("""COMPUTED_VALUE"""),34818.0)</f>
        <v>34818</v>
      </c>
    </row>
    <row r="307">
      <c r="A307" t="str">
        <f t="shared" si="1"/>
        <v>and#1980</v>
      </c>
      <c r="B307" t="str">
        <f>IFERROR(__xludf.DUMMYFUNCTION("""COMPUTED_VALUE"""),"and")</f>
        <v>and</v>
      </c>
      <c r="C307" t="str">
        <f>IFERROR(__xludf.DUMMYFUNCTION("""COMPUTED_VALUE"""),"Andorra")</f>
        <v>Andorra</v>
      </c>
      <c r="D307">
        <f>IFERROR(__xludf.DUMMYFUNCTION("""COMPUTED_VALUE"""),1980.0)</f>
        <v>1980</v>
      </c>
      <c r="E307">
        <f>IFERROR(__xludf.DUMMYFUNCTION("""COMPUTED_VALUE"""),36067.0)</f>
        <v>36067</v>
      </c>
    </row>
    <row r="308">
      <c r="A308" t="str">
        <f t="shared" si="1"/>
        <v>and#1981</v>
      </c>
      <c r="B308" t="str">
        <f>IFERROR(__xludf.DUMMYFUNCTION("""COMPUTED_VALUE"""),"and")</f>
        <v>and</v>
      </c>
      <c r="C308" t="str">
        <f>IFERROR(__xludf.DUMMYFUNCTION("""COMPUTED_VALUE"""),"Andorra")</f>
        <v>Andorra</v>
      </c>
      <c r="D308">
        <f>IFERROR(__xludf.DUMMYFUNCTION("""COMPUTED_VALUE"""),1981.0)</f>
        <v>1981</v>
      </c>
      <c r="E308">
        <f>IFERROR(__xludf.DUMMYFUNCTION("""COMPUTED_VALUE"""),37500.0)</f>
        <v>37500</v>
      </c>
    </row>
    <row r="309">
      <c r="A309" t="str">
        <f t="shared" si="1"/>
        <v>and#1982</v>
      </c>
      <c r="B309" t="str">
        <f>IFERROR(__xludf.DUMMYFUNCTION("""COMPUTED_VALUE"""),"and")</f>
        <v>and</v>
      </c>
      <c r="C309" t="str">
        <f>IFERROR(__xludf.DUMMYFUNCTION("""COMPUTED_VALUE"""),"Andorra")</f>
        <v>Andorra</v>
      </c>
      <c r="D309">
        <f>IFERROR(__xludf.DUMMYFUNCTION("""COMPUTED_VALUE"""),1982.0)</f>
        <v>1982</v>
      </c>
      <c r="E309">
        <f>IFERROR(__xludf.DUMMYFUNCTION("""COMPUTED_VALUE"""),39114.0)</f>
        <v>39114</v>
      </c>
    </row>
    <row r="310">
      <c r="A310" t="str">
        <f t="shared" si="1"/>
        <v>and#1983</v>
      </c>
      <c r="B310" t="str">
        <f>IFERROR(__xludf.DUMMYFUNCTION("""COMPUTED_VALUE"""),"and")</f>
        <v>and</v>
      </c>
      <c r="C310" t="str">
        <f>IFERROR(__xludf.DUMMYFUNCTION("""COMPUTED_VALUE"""),"Andorra")</f>
        <v>Andorra</v>
      </c>
      <c r="D310">
        <f>IFERROR(__xludf.DUMMYFUNCTION("""COMPUTED_VALUE"""),1983.0)</f>
        <v>1983</v>
      </c>
      <c r="E310">
        <f>IFERROR(__xludf.DUMMYFUNCTION("""COMPUTED_VALUE"""),40867.0)</f>
        <v>40867</v>
      </c>
    </row>
    <row r="311">
      <c r="A311" t="str">
        <f t="shared" si="1"/>
        <v>and#1984</v>
      </c>
      <c r="B311" t="str">
        <f>IFERROR(__xludf.DUMMYFUNCTION("""COMPUTED_VALUE"""),"and")</f>
        <v>and</v>
      </c>
      <c r="C311" t="str">
        <f>IFERROR(__xludf.DUMMYFUNCTION("""COMPUTED_VALUE"""),"Andorra")</f>
        <v>Andorra</v>
      </c>
      <c r="D311">
        <f>IFERROR(__xludf.DUMMYFUNCTION("""COMPUTED_VALUE"""),1984.0)</f>
        <v>1984</v>
      </c>
      <c r="E311">
        <f>IFERROR(__xludf.DUMMYFUNCTION("""COMPUTED_VALUE"""),42706.0)</f>
        <v>42706</v>
      </c>
    </row>
    <row r="312">
      <c r="A312" t="str">
        <f t="shared" si="1"/>
        <v>and#1985</v>
      </c>
      <c r="B312" t="str">
        <f>IFERROR(__xludf.DUMMYFUNCTION("""COMPUTED_VALUE"""),"and")</f>
        <v>and</v>
      </c>
      <c r="C312" t="str">
        <f>IFERROR(__xludf.DUMMYFUNCTION("""COMPUTED_VALUE"""),"Andorra")</f>
        <v>Andorra</v>
      </c>
      <c r="D312">
        <f>IFERROR(__xludf.DUMMYFUNCTION("""COMPUTED_VALUE"""),1985.0)</f>
        <v>1985</v>
      </c>
      <c r="E312">
        <f>IFERROR(__xludf.DUMMYFUNCTION("""COMPUTED_VALUE"""),44600.0)</f>
        <v>44600</v>
      </c>
    </row>
    <row r="313">
      <c r="A313" t="str">
        <f t="shared" si="1"/>
        <v>and#1986</v>
      </c>
      <c r="B313" t="str">
        <f>IFERROR(__xludf.DUMMYFUNCTION("""COMPUTED_VALUE"""),"and")</f>
        <v>and</v>
      </c>
      <c r="C313" t="str">
        <f>IFERROR(__xludf.DUMMYFUNCTION("""COMPUTED_VALUE"""),"Andorra")</f>
        <v>Andorra</v>
      </c>
      <c r="D313">
        <f>IFERROR(__xludf.DUMMYFUNCTION("""COMPUTED_VALUE"""),1986.0)</f>
        <v>1986</v>
      </c>
      <c r="E313">
        <f>IFERROR(__xludf.DUMMYFUNCTION("""COMPUTED_VALUE"""),46517.0)</f>
        <v>46517</v>
      </c>
    </row>
    <row r="314">
      <c r="A314" t="str">
        <f t="shared" si="1"/>
        <v>and#1987</v>
      </c>
      <c r="B314" t="str">
        <f>IFERROR(__xludf.DUMMYFUNCTION("""COMPUTED_VALUE"""),"and")</f>
        <v>and</v>
      </c>
      <c r="C314" t="str">
        <f>IFERROR(__xludf.DUMMYFUNCTION("""COMPUTED_VALUE"""),"Andorra")</f>
        <v>Andorra</v>
      </c>
      <c r="D314">
        <f>IFERROR(__xludf.DUMMYFUNCTION("""COMPUTED_VALUE"""),1987.0)</f>
        <v>1987</v>
      </c>
      <c r="E314">
        <f>IFERROR(__xludf.DUMMYFUNCTION("""COMPUTED_VALUE"""),48455.0)</f>
        <v>48455</v>
      </c>
    </row>
    <row r="315">
      <c r="A315" t="str">
        <f t="shared" si="1"/>
        <v>and#1988</v>
      </c>
      <c r="B315" t="str">
        <f>IFERROR(__xludf.DUMMYFUNCTION("""COMPUTED_VALUE"""),"and")</f>
        <v>and</v>
      </c>
      <c r="C315" t="str">
        <f>IFERROR(__xludf.DUMMYFUNCTION("""COMPUTED_VALUE"""),"Andorra")</f>
        <v>Andorra</v>
      </c>
      <c r="D315">
        <f>IFERROR(__xludf.DUMMYFUNCTION("""COMPUTED_VALUE"""),1988.0)</f>
        <v>1988</v>
      </c>
      <c r="E315">
        <f>IFERROR(__xludf.DUMMYFUNCTION("""COMPUTED_VALUE"""),50434.0)</f>
        <v>50434</v>
      </c>
    </row>
    <row r="316">
      <c r="A316" t="str">
        <f t="shared" si="1"/>
        <v>and#1989</v>
      </c>
      <c r="B316" t="str">
        <f>IFERROR(__xludf.DUMMYFUNCTION("""COMPUTED_VALUE"""),"and")</f>
        <v>and</v>
      </c>
      <c r="C316" t="str">
        <f>IFERROR(__xludf.DUMMYFUNCTION("""COMPUTED_VALUE"""),"Andorra")</f>
        <v>Andorra</v>
      </c>
      <c r="D316">
        <f>IFERROR(__xludf.DUMMYFUNCTION("""COMPUTED_VALUE"""),1989.0)</f>
        <v>1989</v>
      </c>
      <c r="E316">
        <f>IFERROR(__xludf.DUMMYFUNCTION("""COMPUTED_VALUE"""),52448.0)</f>
        <v>52448</v>
      </c>
    </row>
    <row r="317">
      <c r="A317" t="str">
        <f t="shared" si="1"/>
        <v>and#1990</v>
      </c>
      <c r="B317" t="str">
        <f>IFERROR(__xludf.DUMMYFUNCTION("""COMPUTED_VALUE"""),"and")</f>
        <v>and</v>
      </c>
      <c r="C317" t="str">
        <f>IFERROR(__xludf.DUMMYFUNCTION("""COMPUTED_VALUE"""),"Andorra")</f>
        <v>Andorra</v>
      </c>
      <c r="D317">
        <f>IFERROR(__xludf.DUMMYFUNCTION("""COMPUTED_VALUE"""),1990.0)</f>
        <v>1990</v>
      </c>
      <c r="E317">
        <f>IFERROR(__xludf.DUMMYFUNCTION("""COMPUTED_VALUE"""),54509.0)</f>
        <v>54509</v>
      </c>
    </row>
    <row r="318">
      <c r="A318" t="str">
        <f t="shared" si="1"/>
        <v>and#1991</v>
      </c>
      <c r="B318" t="str">
        <f>IFERROR(__xludf.DUMMYFUNCTION("""COMPUTED_VALUE"""),"and")</f>
        <v>and</v>
      </c>
      <c r="C318" t="str">
        <f>IFERROR(__xludf.DUMMYFUNCTION("""COMPUTED_VALUE"""),"Andorra")</f>
        <v>Andorra</v>
      </c>
      <c r="D318">
        <f>IFERROR(__xludf.DUMMYFUNCTION("""COMPUTED_VALUE"""),1991.0)</f>
        <v>1991</v>
      </c>
      <c r="E318">
        <f>IFERROR(__xludf.DUMMYFUNCTION("""COMPUTED_VALUE"""),56671.0)</f>
        <v>56671</v>
      </c>
    </row>
    <row r="319">
      <c r="A319" t="str">
        <f t="shared" si="1"/>
        <v>and#1992</v>
      </c>
      <c r="B319" t="str">
        <f>IFERROR(__xludf.DUMMYFUNCTION("""COMPUTED_VALUE"""),"and")</f>
        <v>and</v>
      </c>
      <c r="C319" t="str">
        <f>IFERROR(__xludf.DUMMYFUNCTION("""COMPUTED_VALUE"""),"Andorra")</f>
        <v>Andorra</v>
      </c>
      <c r="D319">
        <f>IFERROR(__xludf.DUMMYFUNCTION("""COMPUTED_VALUE"""),1992.0)</f>
        <v>1992</v>
      </c>
      <c r="E319">
        <f>IFERROR(__xludf.DUMMYFUNCTION("""COMPUTED_VALUE"""),58888.0)</f>
        <v>58888</v>
      </c>
    </row>
    <row r="320">
      <c r="A320" t="str">
        <f t="shared" si="1"/>
        <v>and#1993</v>
      </c>
      <c r="B320" t="str">
        <f>IFERROR(__xludf.DUMMYFUNCTION("""COMPUTED_VALUE"""),"and")</f>
        <v>and</v>
      </c>
      <c r="C320" t="str">
        <f>IFERROR(__xludf.DUMMYFUNCTION("""COMPUTED_VALUE"""),"Andorra")</f>
        <v>Andorra</v>
      </c>
      <c r="D320">
        <f>IFERROR(__xludf.DUMMYFUNCTION("""COMPUTED_VALUE"""),1993.0)</f>
        <v>1993</v>
      </c>
      <c r="E320">
        <f>IFERROR(__xludf.DUMMYFUNCTION("""COMPUTED_VALUE"""),60971.0)</f>
        <v>60971</v>
      </c>
    </row>
    <row r="321">
      <c r="A321" t="str">
        <f t="shared" si="1"/>
        <v>and#1994</v>
      </c>
      <c r="B321" t="str">
        <f>IFERROR(__xludf.DUMMYFUNCTION("""COMPUTED_VALUE"""),"and")</f>
        <v>and</v>
      </c>
      <c r="C321" t="str">
        <f>IFERROR(__xludf.DUMMYFUNCTION("""COMPUTED_VALUE"""),"Andorra")</f>
        <v>Andorra</v>
      </c>
      <c r="D321">
        <f>IFERROR(__xludf.DUMMYFUNCTION("""COMPUTED_VALUE"""),1994.0)</f>
        <v>1994</v>
      </c>
      <c r="E321">
        <f>IFERROR(__xludf.DUMMYFUNCTION("""COMPUTED_VALUE"""),62677.0)</f>
        <v>62677</v>
      </c>
    </row>
    <row r="322">
      <c r="A322" t="str">
        <f t="shared" si="1"/>
        <v>and#1995</v>
      </c>
      <c r="B322" t="str">
        <f>IFERROR(__xludf.DUMMYFUNCTION("""COMPUTED_VALUE"""),"and")</f>
        <v>and</v>
      </c>
      <c r="C322" t="str">
        <f>IFERROR(__xludf.DUMMYFUNCTION("""COMPUTED_VALUE"""),"Andorra")</f>
        <v>Andorra</v>
      </c>
      <c r="D322">
        <f>IFERROR(__xludf.DUMMYFUNCTION("""COMPUTED_VALUE"""),1995.0)</f>
        <v>1995</v>
      </c>
      <c r="E322">
        <f>IFERROR(__xludf.DUMMYFUNCTION("""COMPUTED_VALUE"""),63850.0)</f>
        <v>63850</v>
      </c>
    </row>
    <row r="323">
      <c r="A323" t="str">
        <f t="shared" si="1"/>
        <v>and#1996</v>
      </c>
      <c r="B323" t="str">
        <f>IFERROR(__xludf.DUMMYFUNCTION("""COMPUTED_VALUE"""),"and")</f>
        <v>and</v>
      </c>
      <c r="C323" t="str">
        <f>IFERROR(__xludf.DUMMYFUNCTION("""COMPUTED_VALUE"""),"Andorra")</f>
        <v>Andorra</v>
      </c>
      <c r="D323">
        <f>IFERROR(__xludf.DUMMYFUNCTION("""COMPUTED_VALUE"""),1996.0)</f>
        <v>1996</v>
      </c>
      <c r="E323">
        <f>IFERROR(__xludf.DUMMYFUNCTION("""COMPUTED_VALUE"""),64360.0)</f>
        <v>64360</v>
      </c>
    </row>
    <row r="324">
      <c r="A324" t="str">
        <f t="shared" si="1"/>
        <v>and#1997</v>
      </c>
      <c r="B324" t="str">
        <f>IFERROR(__xludf.DUMMYFUNCTION("""COMPUTED_VALUE"""),"and")</f>
        <v>and</v>
      </c>
      <c r="C324" t="str">
        <f>IFERROR(__xludf.DUMMYFUNCTION("""COMPUTED_VALUE"""),"Andorra")</f>
        <v>Andorra</v>
      </c>
      <c r="D324">
        <f>IFERROR(__xludf.DUMMYFUNCTION("""COMPUTED_VALUE"""),1997.0)</f>
        <v>1997</v>
      </c>
      <c r="E324">
        <f>IFERROR(__xludf.DUMMYFUNCTION("""COMPUTED_VALUE"""),64327.0)</f>
        <v>64327</v>
      </c>
    </row>
    <row r="325">
      <c r="A325" t="str">
        <f t="shared" si="1"/>
        <v>and#1998</v>
      </c>
      <c r="B325" t="str">
        <f>IFERROR(__xludf.DUMMYFUNCTION("""COMPUTED_VALUE"""),"and")</f>
        <v>and</v>
      </c>
      <c r="C325" t="str">
        <f>IFERROR(__xludf.DUMMYFUNCTION("""COMPUTED_VALUE"""),"Andorra")</f>
        <v>Andorra</v>
      </c>
      <c r="D325">
        <f>IFERROR(__xludf.DUMMYFUNCTION("""COMPUTED_VALUE"""),1998.0)</f>
        <v>1998</v>
      </c>
      <c r="E325">
        <f>IFERROR(__xludf.DUMMYFUNCTION("""COMPUTED_VALUE"""),64142.0)</f>
        <v>64142</v>
      </c>
    </row>
    <row r="326">
      <c r="A326" t="str">
        <f t="shared" si="1"/>
        <v>and#1999</v>
      </c>
      <c r="B326" t="str">
        <f>IFERROR(__xludf.DUMMYFUNCTION("""COMPUTED_VALUE"""),"and")</f>
        <v>and</v>
      </c>
      <c r="C326" t="str">
        <f>IFERROR(__xludf.DUMMYFUNCTION("""COMPUTED_VALUE"""),"Andorra")</f>
        <v>Andorra</v>
      </c>
      <c r="D326">
        <f>IFERROR(__xludf.DUMMYFUNCTION("""COMPUTED_VALUE"""),1999.0)</f>
        <v>1999</v>
      </c>
      <c r="E326">
        <f>IFERROR(__xludf.DUMMYFUNCTION("""COMPUTED_VALUE"""),64370.0)</f>
        <v>64370</v>
      </c>
    </row>
    <row r="327">
      <c r="A327" t="str">
        <f t="shared" si="1"/>
        <v>and#2000</v>
      </c>
      <c r="B327" t="str">
        <f>IFERROR(__xludf.DUMMYFUNCTION("""COMPUTED_VALUE"""),"and")</f>
        <v>and</v>
      </c>
      <c r="C327" t="str">
        <f>IFERROR(__xludf.DUMMYFUNCTION("""COMPUTED_VALUE"""),"Andorra")</f>
        <v>Andorra</v>
      </c>
      <c r="D327">
        <f>IFERROR(__xludf.DUMMYFUNCTION("""COMPUTED_VALUE"""),2000.0)</f>
        <v>2000</v>
      </c>
      <c r="E327">
        <f>IFERROR(__xludf.DUMMYFUNCTION("""COMPUTED_VALUE"""),65390.0)</f>
        <v>65390</v>
      </c>
    </row>
    <row r="328">
      <c r="A328" t="str">
        <f t="shared" si="1"/>
        <v>and#2001</v>
      </c>
      <c r="B328" t="str">
        <f>IFERROR(__xludf.DUMMYFUNCTION("""COMPUTED_VALUE"""),"and")</f>
        <v>and</v>
      </c>
      <c r="C328" t="str">
        <f>IFERROR(__xludf.DUMMYFUNCTION("""COMPUTED_VALUE"""),"Andorra")</f>
        <v>Andorra</v>
      </c>
      <c r="D328">
        <f>IFERROR(__xludf.DUMMYFUNCTION("""COMPUTED_VALUE"""),2001.0)</f>
        <v>2001</v>
      </c>
      <c r="E328">
        <f>IFERROR(__xludf.DUMMYFUNCTION("""COMPUTED_VALUE"""),67341.0)</f>
        <v>67341</v>
      </c>
    </row>
    <row r="329">
      <c r="A329" t="str">
        <f t="shared" si="1"/>
        <v>and#2002</v>
      </c>
      <c r="B329" t="str">
        <f>IFERROR(__xludf.DUMMYFUNCTION("""COMPUTED_VALUE"""),"and")</f>
        <v>and</v>
      </c>
      <c r="C329" t="str">
        <f>IFERROR(__xludf.DUMMYFUNCTION("""COMPUTED_VALUE"""),"Andorra")</f>
        <v>Andorra</v>
      </c>
      <c r="D329">
        <f>IFERROR(__xludf.DUMMYFUNCTION("""COMPUTED_VALUE"""),2002.0)</f>
        <v>2002</v>
      </c>
      <c r="E329">
        <f>IFERROR(__xludf.DUMMYFUNCTION("""COMPUTED_VALUE"""),70049.0)</f>
        <v>70049</v>
      </c>
    </row>
    <row r="330">
      <c r="A330" t="str">
        <f t="shared" si="1"/>
        <v>and#2003</v>
      </c>
      <c r="B330" t="str">
        <f>IFERROR(__xludf.DUMMYFUNCTION("""COMPUTED_VALUE"""),"and")</f>
        <v>and</v>
      </c>
      <c r="C330" t="str">
        <f>IFERROR(__xludf.DUMMYFUNCTION("""COMPUTED_VALUE"""),"Andorra")</f>
        <v>Andorra</v>
      </c>
      <c r="D330">
        <f>IFERROR(__xludf.DUMMYFUNCTION("""COMPUTED_VALUE"""),2003.0)</f>
        <v>2003</v>
      </c>
      <c r="E330">
        <f>IFERROR(__xludf.DUMMYFUNCTION("""COMPUTED_VALUE"""),73182.0)</f>
        <v>73182</v>
      </c>
    </row>
    <row r="331">
      <c r="A331" t="str">
        <f t="shared" si="1"/>
        <v>and#2004</v>
      </c>
      <c r="B331" t="str">
        <f>IFERROR(__xludf.DUMMYFUNCTION("""COMPUTED_VALUE"""),"and")</f>
        <v>and</v>
      </c>
      <c r="C331" t="str">
        <f>IFERROR(__xludf.DUMMYFUNCTION("""COMPUTED_VALUE"""),"Andorra")</f>
        <v>Andorra</v>
      </c>
      <c r="D331">
        <f>IFERROR(__xludf.DUMMYFUNCTION("""COMPUTED_VALUE"""),2004.0)</f>
        <v>2004</v>
      </c>
      <c r="E331">
        <f>IFERROR(__xludf.DUMMYFUNCTION("""COMPUTED_VALUE"""),76244.0)</f>
        <v>76244</v>
      </c>
    </row>
    <row r="332">
      <c r="A332" t="str">
        <f t="shared" si="1"/>
        <v>and#2005</v>
      </c>
      <c r="B332" t="str">
        <f>IFERROR(__xludf.DUMMYFUNCTION("""COMPUTED_VALUE"""),"and")</f>
        <v>and</v>
      </c>
      <c r="C332" t="str">
        <f>IFERROR(__xludf.DUMMYFUNCTION("""COMPUTED_VALUE"""),"Andorra")</f>
        <v>Andorra</v>
      </c>
      <c r="D332">
        <f>IFERROR(__xludf.DUMMYFUNCTION("""COMPUTED_VALUE"""),2005.0)</f>
        <v>2005</v>
      </c>
      <c r="E332">
        <f>IFERROR(__xludf.DUMMYFUNCTION("""COMPUTED_VALUE"""),78867.0)</f>
        <v>78867</v>
      </c>
    </row>
    <row r="333">
      <c r="A333" t="str">
        <f t="shared" si="1"/>
        <v>and#2006</v>
      </c>
      <c r="B333" t="str">
        <f>IFERROR(__xludf.DUMMYFUNCTION("""COMPUTED_VALUE"""),"and")</f>
        <v>and</v>
      </c>
      <c r="C333" t="str">
        <f>IFERROR(__xludf.DUMMYFUNCTION("""COMPUTED_VALUE"""),"Andorra")</f>
        <v>Andorra</v>
      </c>
      <c r="D333">
        <f>IFERROR(__xludf.DUMMYFUNCTION("""COMPUTED_VALUE"""),2006.0)</f>
        <v>2006</v>
      </c>
      <c r="E333">
        <f>IFERROR(__xludf.DUMMYFUNCTION("""COMPUTED_VALUE"""),80991.0)</f>
        <v>80991</v>
      </c>
    </row>
    <row r="334">
      <c r="A334" t="str">
        <f t="shared" si="1"/>
        <v>and#2007</v>
      </c>
      <c r="B334" t="str">
        <f>IFERROR(__xludf.DUMMYFUNCTION("""COMPUTED_VALUE"""),"and")</f>
        <v>and</v>
      </c>
      <c r="C334" t="str">
        <f>IFERROR(__xludf.DUMMYFUNCTION("""COMPUTED_VALUE"""),"Andorra")</f>
        <v>Andorra</v>
      </c>
      <c r="D334">
        <f>IFERROR(__xludf.DUMMYFUNCTION("""COMPUTED_VALUE"""),2007.0)</f>
        <v>2007</v>
      </c>
      <c r="E334">
        <f>IFERROR(__xludf.DUMMYFUNCTION("""COMPUTED_VALUE"""),82683.0)</f>
        <v>82683</v>
      </c>
    </row>
    <row r="335">
      <c r="A335" t="str">
        <f t="shared" si="1"/>
        <v>and#2008</v>
      </c>
      <c r="B335" t="str">
        <f>IFERROR(__xludf.DUMMYFUNCTION("""COMPUTED_VALUE"""),"and")</f>
        <v>and</v>
      </c>
      <c r="C335" t="str">
        <f>IFERROR(__xludf.DUMMYFUNCTION("""COMPUTED_VALUE"""),"Andorra")</f>
        <v>Andorra</v>
      </c>
      <c r="D335">
        <f>IFERROR(__xludf.DUMMYFUNCTION("""COMPUTED_VALUE"""),2008.0)</f>
        <v>2008</v>
      </c>
      <c r="E335">
        <f>IFERROR(__xludf.DUMMYFUNCTION("""COMPUTED_VALUE"""),83861.0)</f>
        <v>83861</v>
      </c>
    </row>
    <row r="336">
      <c r="A336" t="str">
        <f t="shared" si="1"/>
        <v>and#2009</v>
      </c>
      <c r="B336" t="str">
        <f>IFERROR(__xludf.DUMMYFUNCTION("""COMPUTED_VALUE"""),"and")</f>
        <v>and</v>
      </c>
      <c r="C336" t="str">
        <f>IFERROR(__xludf.DUMMYFUNCTION("""COMPUTED_VALUE"""),"Andorra")</f>
        <v>Andorra</v>
      </c>
      <c r="D336">
        <f>IFERROR(__xludf.DUMMYFUNCTION("""COMPUTED_VALUE"""),2009.0)</f>
        <v>2009</v>
      </c>
      <c r="E336">
        <f>IFERROR(__xludf.DUMMYFUNCTION("""COMPUTED_VALUE"""),84462.0)</f>
        <v>84462</v>
      </c>
    </row>
    <row r="337">
      <c r="A337" t="str">
        <f t="shared" si="1"/>
        <v>and#2010</v>
      </c>
      <c r="B337" t="str">
        <f>IFERROR(__xludf.DUMMYFUNCTION("""COMPUTED_VALUE"""),"and")</f>
        <v>and</v>
      </c>
      <c r="C337" t="str">
        <f>IFERROR(__xludf.DUMMYFUNCTION("""COMPUTED_VALUE"""),"Andorra")</f>
        <v>Andorra</v>
      </c>
      <c r="D337">
        <f>IFERROR(__xludf.DUMMYFUNCTION("""COMPUTED_VALUE"""),2010.0)</f>
        <v>2010</v>
      </c>
      <c r="E337">
        <f>IFERROR(__xludf.DUMMYFUNCTION("""COMPUTED_VALUE"""),84449.0)</f>
        <v>84449</v>
      </c>
    </row>
    <row r="338">
      <c r="A338" t="str">
        <f t="shared" si="1"/>
        <v>and#2011</v>
      </c>
      <c r="B338" t="str">
        <f>IFERROR(__xludf.DUMMYFUNCTION("""COMPUTED_VALUE"""),"and")</f>
        <v>and</v>
      </c>
      <c r="C338" t="str">
        <f>IFERROR(__xludf.DUMMYFUNCTION("""COMPUTED_VALUE"""),"Andorra")</f>
        <v>Andorra</v>
      </c>
      <c r="D338">
        <f>IFERROR(__xludf.DUMMYFUNCTION("""COMPUTED_VALUE"""),2011.0)</f>
        <v>2011</v>
      </c>
      <c r="E338">
        <f>IFERROR(__xludf.DUMMYFUNCTION("""COMPUTED_VALUE"""),83751.0)</f>
        <v>83751</v>
      </c>
    </row>
    <row r="339">
      <c r="A339" t="str">
        <f t="shared" si="1"/>
        <v>and#2012</v>
      </c>
      <c r="B339" t="str">
        <f>IFERROR(__xludf.DUMMYFUNCTION("""COMPUTED_VALUE"""),"and")</f>
        <v>and</v>
      </c>
      <c r="C339" t="str">
        <f>IFERROR(__xludf.DUMMYFUNCTION("""COMPUTED_VALUE"""),"Andorra")</f>
        <v>Andorra</v>
      </c>
      <c r="D339">
        <f>IFERROR(__xludf.DUMMYFUNCTION("""COMPUTED_VALUE"""),2012.0)</f>
        <v>2012</v>
      </c>
      <c r="E339">
        <f>IFERROR(__xludf.DUMMYFUNCTION("""COMPUTED_VALUE"""),82431.0)</f>
        <v>82431</v>
      </c>
    </row>
    <row r="340">
      <c r="A340" t="str">
        <f t="shared" si="1"/>
        <v>and#2013</v>
      </c>
      <c r="B340" t="str">
        <f>IFERROR(__xludf.DUMMYFUNCTION("""COMPUTED_VALUE"""),"and")</f>
        <v>and</v>
      </c>
      <c r="C340" t="str">
        <f>IFERROR(__xludf.DUMMYFUNCTION("""COMPUTED_VALUE"""),"Andorra")</f>
        <v>Andorra</v>
      </c>
      <c r="D340">
        <f>IFERROR(__xludf.DUMMYFUNCTION("""COMPUTED_VALUE"""),2013.0)</f>
        <v>2013</v>
      </c>
      <c r="E340">
        <f>IFERROR(__xludf.DUMMYFUNCTION("""COMPUTED_VALUE"""),80788.0)</f>
        <v>80788</v>
      </c>
    </row>
    <row r="341">
      <c r="A341" t="str">
        <f t="shared" si="1"/>
        <v>and#2014</v>
      </c>
      <c r="B341" t="str">
        <f>IFERROR(__xludf.DUMMYFUNCTION("""COMPUTED_VALUE"""),"and")</f>
        <v>and</v>
      </c>
      <c r="C341" t="str">
        <f>IFERROR(__xludf.DUMMYFUNCTION("""COMPUTED_VALUE"""),"Andorra")</f>
        <v>Andorra</v>
      </c>
      <c r="D341">
        <f>IFERROR(__xludf.DUMMYFUNCTION("""COMPUTED_VALUE"""),2014.0)</f>
        <v>2014</v>
      </c>
      <c r="E341">
        <f>IFERROR(__xludf.DUMMYFUNCTION("""COMPUTED_VALUE"""),79223.0)</f>
        <v>79223</v>
      </c>
    </row>
    <row r="342">
      <c r="A342" t="str">
        <f t="shared" si="1"/>
        <v>and#2015</v>
      </c>
      <c r="B342" t="str">
        <f>IFERROR(__xludf.DUMMYFUNCTION("""COMPUTED_VALUE"""),"and")</f>
        <v>and</v>
      </c>
      <c r="C342" t="str">
        <f>IFERROR(__xludf.DUMMYFUNCTION("""COMPUTED_VALUE"""),"Andorra")</f>
        <v>Andorra</v>
      </c>
      <c r="D342">
        <f>IFERROR(__xludf.DUMMYFUNCTION("""COMPUTED_VALUE"""),2015.0)</f>
        <v>2015</v>
      </c>
      <c r="E342">
        <f>IFERROR(__xludf.DUMMYFUNCTION("""COMPUTED_VALUE"""),78014.0)</f>
        <v>78014</v>
      </c>
    </row>
    <row r="343">
      <c r="A343" t="str">
        <f t="shared" si="1"/>
        <v>and#2016</v>
      </c>
      <c r="B343" t="str">
        <f>IFERROR(__xludf.DUMMYFUNCTION("""COMPUTED_VALUE"""),"and")</f>
        <v>and</v>
      </c>
      <c r="C343" t="str">
        <f>IFERROR(__xludf.DUMMYFUNCTION("""COMPUTED_VALUE"""),"Andorra")</f>
        <v>Andorra</v>
      </c>
      <c r="D343">
        <f>IFERROR(__xludf.DUMMYFUNCTION("""COMPUTED_VALUE"""),2016.0)</f>
        <v>2016</v>
      </c>
      <c r="E343">
        <f>IFERROR(__xludf.DUMMYFUNCTION("""COMPUTED_VALUE"""),77281.0)</f>
        <v>77281</v>
      </c>
    </row>
    <row r="344">
      <c r="A344" t="str">
        <f t="shared" si="1"/>
        <v>and#2017</v>
      </c>
      <c r="B344" t="str">
        <f>IFERROR(__xludf.DUMMYFUNCTION("""COMPUTED_VALUE"""),"and")</f>
        <v>and</v>
      </c>
      <c r="C344" t="str">
        <f>IFERROR(__xludf.DUMMYFUNCTION("""COMPUTED_VALUE"""),"Andorra")</f>
        <v>Andorra</v>
      </c>
      <c r="D344">
        <f>IFERROR(__xludf.DUMMYFUNCTION("""COMPUTED_VALUE"""),2017.0)</f>
        <v>2017</v>
      </c>
      <c r="E344">
        <f>IFERROR(__xludf.DUMMYFUNCTION("""COMPUTED_VALUE"""),76965.0)</f>
        <v>76965</v>
      </c>
    </row>
    <row r="345">
      <c r="A345" t="str">
        <f t="shared" si="1"/>
        <v>and#2018</v>
      </c>
      <c r="B345" t="str">
        <f>IFERROR(__xludf.DUMMYFUNCTION("""COMPUTED_VALUE"""),"and")</f>
        <v>and</v>
      </c>
      <c r="C345" t="str">
        <f>IFERROR(__xludf.DUMMYFUNCTION("""COMPUTED_VALUE"""),"Andorra")</f>
        <v>Andorra</v>
      </c>
      <c r="D345">
        <f>IFERROR(__xludf.DUMMYFUNCTION("""COMPUTED_VALUE"""),2018.0)</f>
        <v>2018</v>
      </c>
      <c r="E345">
        <f>IFERROR(__xludf.DUMMYFUNCTION("""COMPUTED_VALUE"""),76953.0)</f>
        <v>76953</v>
      </c>
    </row>
    <row r="346">
      <c r="A346" t="str">
        <f t="shared" si="1"/>
        <v>and#2019</v>
      </c>
      <c r="B346" t="str">
        <f>IFERROR(__xludf.DUMMYFUNCTION("""COMPUTED_VALUE"""),"and")</f>
        <v>and</v>
      </c>
      <c r="C346" t="str">
        <f>IFERROR(__xludf.DUMMYFUNCTION("""COMPUTED_VALUE"""),"Andorra")</f>
        <v>Andorra</v>
      </c>
      <c r="D346">
        <f>IFERROR(__xludf.DUMMYFUNCTION("""COMPUTED_VALUE"""),2019.0)</f>
        <v>2019</v>
      </c>
      <c r="E346">
        <f>IFERROR(__xludf.DUMMYFUNCTION("""COMPUTED_VALUE"""),77072.0)</f>
        <v>77072</v>
      </c>
    </row>
    <row r="347">
      <c r="A347" t="str">
        <f t="shared" si="1"/>
        <v>and#2020</v>
      </c>
      <c r="B347" t="str">
        <f>IFERROR(__xludf.DUMMYFUNCTION("""COMPUTED_VALUE"""),"and")</f>
        <v>and</v>
      </c>
      <c r="C347" t="str">
        <f>IFERROR(__xludf.DUMMYFUNCTION("""COMPUTED_VALUE"""),"Andorra")</f>
        <v>Andorra</v>
      </c>
      <c r="D347">
        <f>IFERROR(__xludf.DUMMYFUNCTION("""COMPUTED_VALUE"""),2020.0)</f>
        <v>2020</v>
      </c>
      <c r="E347">
        <f>IFERROR(__xludf.DUMMYFUNCTION("""COMPUTED_VALUE"""),77184.0)</f>
        <v>77184</v>
      </c>
    </row>
    <row r="348">
      <c r="A348" t="str">
        <f t="shared" si="1"/>
        <v>and#2021</v>
      </c>
      <c r="B348" t="str">
        <f>IFERROR(__xludf.DUMMYFUNCTION("""COMPUTED_VALUE"""),"and")</f>
        <v>and</v>
      </c>
      <c r="C348" t="str">
        <f>IFERROR(__xludf.DUMMYFUNCTION("""COMPUTED_VALUE"""),"Andorra")</f>
        <v>Andorra</v>
      </c>
      <c r="D348">
        <f>IFERROR(__xludf.DUMMYFUNCTION("""COMPUTED_VALUE"""),2021.0)</f>
        <v>2021</v>
      </c>
      <c r="E348">
        <f>IFERROR(__xludf.DUMMYFUNCTION("""COMPUTED_VALUE"""),77276.0)</f>
        <v>77276</v>
      </c>
    </row>
    <row r="349">
      <c r="A349" t="str">
        <f t="shared" si="1"/>
        <v>and#2022</v>
      </c>
      <c r="B349" t="str">
        <f>IFERROR(__xludf.DUMMYFUNCTION("""COMPUTED_VALUE"""),"and")</f>
        <v>and</v>
      </c>
      <c r="C349" t="str">
        <f>IFERROR(__xludf.DUMMYFUNCTION("""COMPUTED_VALUE"""),"Andorra")</f>
        <v>Andorra</v>
      </c>
      <c r="D349">
        <f>IFERROR(__xludf.DUMMYFUNCTION("""COMPUTED_VALUE"""),2022.0)</f>
        <v>2022</v>
      </c>
      <c r="E349">
        <f>IFERROR(__xludf.DUMMYFUNCTION("""COMPUTED_VALUE"""),77392.0)</f>
        <v>77392</v>
      </c>
    </row>
    <row r="350">
      <c r="A350" t="str">
        <f t="shared" si="1"/>
        <v>and#2023</v>
      </c>
      <c r="B350" t="str">
        <f>IFERROR(__xludf.DUMMYFUNCTION("""COMPUTED_VALUE"""),"and")</f>
        <v>and</v>
      </c>
      <c r="C350" t="str">
        <f>IFERROR(__xludf.DUMMYFUNCTION("""COMPUTED_VALUE"""),"Andorra")</f>
        <v>Andorra</v>
      </c>
      <c r="D350">
        <f>IFERROR(__xludf.DUMMYFUNCTION("""COMPUTED_VALUE"""),2023.0)</f>
        <v>2023</v>
      </c>
      <c r="E350">
        <f>IFERROR(__xludf.DUMMYFUNCTION("""COMPUTED_VALUE"""),77521.0)</f>
        <v>77521</v>
      </c>
    </row>
    <row r="351">
      <c r="A351" t="str">
        <f t="shared" si="1"/>
        <v>and#2024</v>
      </c>
      <c r="B351" t="str">
        <f>IFERROR(__xludf.DUMMYFUNCTION("""COMPUTED_VALUE"""),"and")</f>
        <v>and</v>
      </c>
      <c r="C351" t="str">
        <f>IFERROR(__xludf.DUMMYFUNCTION("""COMPUTED_VALUE"""),"Andorra")</f>
        <v>Andorra</v>
      </c>
      <c r="D351">
        <f>IFERROR(__xludf.DUMMYFUNCTION("""COMPUTED_VALUE"""),2024.0)</f>
        <v>2024</v>
      </c>
      <c r="E351">
        <f>IFERROR(__xludf.DUMMYFUNCTION("""COMPUTED_VALUE"""),77649.0)</f>
        <v>77649</v>
      </c>
    </row>
    <row r="352">
      <c r="A352" t="str">
        <f t="shared" si="1"/>
        <v>and#2025</v>
      </c>
      <c r="B352" t="str">
        <f>IFERROR(__xludf.DUMMYFUNCTION("""COMPUTED_VALUE"""),"and")</f>
        <v>and</v>
      </c>
      <c r="C352" t="str">
        <f>IFERROR(__xludf.DUMMYFUNCTION("""COMPUTED_VALUE"""),"Andorra")</f>
        <v>Andorra</v>
      </c>
      <c r="D352">
        <f>IFERROR(__xludf.DUMMYFUNCTION("""COMPUTED_VALUE"""),2025.0)</f>
        <v>2025</v>
      </c>
      <c r="E352">
        <f>IFERROR(__xludf.DUMMYFUNCTION("""COMPUTED_VALUE"""),77775.0)</f>
        <v>77775</v>
      </c>
    </row>
    <row r="353">
      <c r="A353" t="str">
        <f t="shared" si="1"/>
        <v>and#2026</v>
      </c>
      <c r="B353" t="str">
        <f>IFERROR(__xludf.DUMMYFUNCTION("""COMPUTED_VALUE"""),"and")</f>
        <v>and</v>
      </c>
      <c r="C353" t="str">
        <f>IFERROR(__xludf.DUMMYFUNCTION("""COMPUTED_VALUE"""),"Andorra")</f>
        <v>Andorra</v>
      </c>
      <c r="D353">
        <f>IFERROR(__xludf.DUMMYFUNCTION("""COMPUTED_VALUE"""),2026.0)</f>
        <v>2026</v>
      </c>
      <c r="E353">
        <f>IFERROR(__xludf.DUMMYFUNCTION("""COMPUTED_VALUE"""),77887.0)</f>
        <v>77887</v>
      </c>
    </row>
    <row r="354">
      <c r="A354" t="str">
        <f t="shared" si="1"/>
        <v>and#2027</v>
      </c>
      <c r="B354" t="str">
        <f>IFERROR(__xludf.DUMMYFUNCTION("""COMPUTED_VALUE"""),"and")</f>
        <v>and</v>
      </c>
      <c r="C354" t="str">
        <f>IFERROR(__xludf.DUMMYFUNCTION("""COMPUTED_VALUE"""),"Andorra")</f>
        <v>Andorra</v>
      </c>
      <c r="D354">
        <f>IFERROR(__xludf.DUMMYFUNCTION("""COMPUTED_VALUE"""),2027.0)</f>
        <v>2027</v>
      </c>
      <c r="E354">
        <f>IFERROR(__xludf.DUMMYFUNCTION("""COMPUTED_VALUE"""),77971.0)</f>
        <v>77971</v>
      </c>
    </row>
    <row r="355">
      <c r="A355" t="str">
        <f t="shared" si="1"/>
        <v>and#2028</v>
      </c>
      <c r="B355" t="str">
        <f>IFERROR(__xludf.DUMMYFUNCTION("""COMPUTED_VALUE"""),"and")</f>
        <v>and</v>
      </c>
      <c r="C355" t="str">
        <f>IFERROR(__xludf.DUMMYFUNCTION("""COMPUTED_VALUE"""),"Andorra")</f>
        <v>Andorra</v>
      </c>
      <c r="D355">
        <f>IFERROR(__xludf.DUMMYFUNCTION("""COMPUTED_VALUE"""),2028.0)</f>
        <v>2028</v>
      </c>
      <c r="E355">
        <f>IFERROR(__xludf.DUMMYFUNCTION("""COMPUTED_VALUE"""),78037.0)</f>
        <v>78037</v>
      </c>
    </row>
    <row r="356">
      <c r="A356" t="str">
        <f t="shared" si="1"/>
        <v>and#2029</v>
      </c>
      <c r="B356" t="str">
        <f>IFERROR(__xludf.DUMMYFUNCTION("""COMPUTED_VALUE"""),"and")</f>
        <v>and</v>
      </c>
      <c r="C356" t="str">
        <f>IFERROR(__xludf.DUMMYFUNCTION("""COMPUTED_VALUE"""),"Andorra")</f>
        <v>Andorra</v>
      </c>
      <c r="D356">
        <f>IFERROR(__xludf.DUMMYFUNCTION("""COMPUTED_VALUE"""),2029.0)</f>
        <v>2029</v>
      </c>
      <c r="E356">
        <f>IFERROR(__xludf.DUMMYFUNCTION("""COMPUTED_VALUE"""),78089.0)</f>
        <v>78089</v>
      </c>
    </row>
    <row r="357">
      <c r="A357" t="str">
        <f t="shared" si="1"/>
        <v>and#2030</v>
      </c>
      <c r="B357" t="str">
        <f>IFERROR(__xludf.DUMMYFUNCTION("""COMPUTED_VALUE"""),"and")</f>
        <v>and</v>
      </c>
      <c r="C357" t="str">
        <f>IFERROR(__xludf.DUMMYFUNCTION("""COMPUTED_VALUE"""),"Andorra")</f>
        <v>Andorra</v>
      </c>
      <c r="D357">
        <f>IFERROR(__xludf.DUMMYFUNCTION("""COMPUTED_VALUE"""),2030.0)</f>
        <v>2030</v>
      </c>
      <c r="E357">
        <f>IFERROR(__xludf.DUMMYFUNCTION("""COMPUTED_VALUE"""),78154.0)</f>
        <v>78154</v>
      </c>
    </row>
    <row r="358">
      <c r="A358" t="str">
        <f t="shared" si="1"/>
        <v>and#2031</v>
      </c>
      <c r="B358" t="str">
        <f>IFERROR(__xludf.DUMMYFUNCTION("""COMPUTED_VALUE"""),"and")</f>
        <v>and</v>
      </c>
      <c r="C358" t="str">
        <f>IFERROR(__xludf.DUMMYFUNCTION("""COMPUTED_VALUE"""),"Andorra")</f>
        <v>Andorra</v>
      </c>
      <c r="D358">
        <f>IFERROR(__xludf.DUMMYFUNCTION("""COMPUTED_VALUE"""),2031.0)</f>
        <v>2031</v>
      </c>
      <c r="E358">
        <f>IFERROR(__xludf.DUMMYFUNCTION("""COMPUTED_VALUE"""),78220.0)</f>
        <v>78220</v>
      </c>
    </row>
    <row r="359">
      <c r="A359" t="str">
        <f t="shared" si="1"/>
        <v>and#2032</v>
      </c>
      <c r="B359" t="str">
        <f>IFERROR(__xludf.DUMMYFUNCTION("""COMPUTED_VALUE"""),"and")</f>
        <v>and</v>
      </c>
      <c r="C359" t="str">
        <f>IFERROR(__xludf.DUMMYFUNCTION("""COMPUTED_VALUE"""),"Andorra")</f>
        <v>Andorra</v>
      </c>
      <c r="D359">
        <f>IFERROR(__xludf.DUMMYFUNCTION("""COMPUTED_VALUE"""),2032.0)</f>
        <v>2032</v>
      </c>
      <c r="E359">
        <f>IFERROR(__xludf.DUMMYFUNCTION("""COMPUTED_VALUE"""),78284.0)</f>
        <v>78284</v>
      </c>
    </row>
    <row r="360">
      <c r="A360" t="str">
        <f t="shared" si="1"/>
        <v>and#2033</v>
      </c>
      <c r="B360" t="str">
        <f>IFERROR(__xludf.DUMMYFUNCTION("""COMPUTED_VALUE"""),"and")</f>
        <v>and</v>
      </c>
      <c r="C360" t="str">
        <f>IFERROR(__xludf.DUMMYFUNCTION("""COMPUTED_VALUE"""),"Andorra")</f>
        <v>Andorra</v>
      </c>
      <c r="D360">
        <f>IFERROR(__xludf.DUMMYFUNCTION("""COMPUTED_VALUE"""),2033.0)</f>
        <v>2033</v>
      </c>
      <c r="E360">
        <f>IFERROR(__xludf.DUMMYFUNCTION("""COMPUTED_VALUE"""),78342.0)</f>
        <v>78342</v>
      </c>
    </row>
    <row r="361">
      <c r="A361" t="str">
        <f t="shared" si="1"/>
        <v>and#2034</v>
      </c>
      <c r="B361" t="str">
        <f>IFERROR(__xludf.DUMMYFUNCTION("""COMPUTED_VALUE"""),"and")</f>
        <v>and</v>
      </c>
      <c r="C361" t="str">
        <f>IFERROR(__xludf.DUMMYFUNCTION("""COMPUTED_VALUE"""),"Andorra")</f>
        <v>Andorra</v>
      </c>
      <c r="D361">
        <f>IFERROR(__xludf.DUMMYFUNCTION("""COMPUTED_VALUE"""),2034.0)</f>
        <v>2034</v>
      </c>
      <c r="E361">
        <f>IFERROR(__xludf.DUMMYFUNCTION("""COMPUTED_VALUE"""),78397.0)</f>
        <v>78397</v>
      </c>
    </row>
    <row r="362">
      <c r="A362" t="str">
        <f t="shared" si="1"/>
        <v>and#2035</v>
      </c>
      <c r="B362" t="str">
        <f>IFERROR(__xludf.DUMMYFUNCTION("""COMPUTED_VALUE"""),"and")</f>
        <v>and</v>
      </c>
      <c r="C362" t="str">
        <f>IFERROR(__xludf.DUMMYFUNCTION("""COMPUTED_VALUE"""),"Andorra")</f>
        <v>Andorra</v>
      </c>
      <c r="D362">
        <f>IFERROR(__xludf.DUMMYFUNCTION("""COMPUTED_VALUE"""),2035.0)</f>
        <v>2035</v>
      </c>
      <c r="E362">
        <f>IFERROR(__xludf.DUMMYFUNCTION("""COMPUTED_VALUE"""),78444.0)</f>
        <v>78444</v>
      </c>
    </row>
    <row r="363">
      <c r="A363" t="str">
        <f t="shared" si="1"/>
        <v>and#2036</v>
      </c>
      <c r="B363" t="str">
        <f>IFERROR(__xludf.DUMMYFUNCTION("""COMPUTED_VALUE"""),"and")</f>
        <v>and</v>
      </c>
      <c r="C363" t="str">
        <f>IFERROR(__xludf.DUMMYFUNCTION("""COMPUTED_VALUE"""),"Andorra")</f>
        <v>Andorra</v>
      </c>
      <c r="D363">
        <f>IFERROR(__xludf.DUMMYFUNCTION("""COMPUTED_VALUE"""),2036.0)</f>
        <v>2036</v>
      </c>
      <c r="E363">
        <f>IFERROR(__xludf.DUMMYFUNCTION("""COMPUTED_VALUE"""),78486.0)</f>
        <v>78486</v>
      </c>
    </row>
    <row r="364">
      <c r="A364" t="str">
        <f t="shared" si="1"/>
        <v>and#2037</v>
      </c>
      <c r="B364" t="str">
        <f>IFERROR(__xludf.DUMMYFUNCTION("""COMPUTED_VALUE"""),"and")</f>
        <v>and</v>
      </c>
      <c r="C364" t="str">
        <f>IFERROR(__xludf.DUMMYFUNCTION("""COMPUTED_VALUE"""),"Andorra")</f>
        <v>Andorra</v>
      </c>
      <c r="D364">
        <f>IFERROR(__xludf.DUMMYFUNCTION("""COMPUTED_VALUE"""),2037.0)</f>
        <v>2037</v>
      </c>
      <c r="E364">
        <f>IFERROR(__xludf.DUMMYFUNCTION("""COMPUTED_VALUE"""),78517.0)</f>
        <v>78517</v>
      </c>
    </row>
    <row r="365">
      <c r="A365" t="str">
        <f t="shared" si="1"/>
        <v>and#2038</v>
      </c>
      <c r="B365" t="str">
        <f>IFERROR(__xludf.DUMMYFUNCTION("""COMPUTED_VALUE"""),"and")</f>
        <v>and</v>
      </c>
      <c r="C365" t="str">
        <f>IFERROR(__xludf.DUMMYFUNCTION("""COMPUTED_VALUE"""),"Andorra")</f>
        <v>Andorra</v>
      </c>
      <c r="D365">
        <f>IFERROR(__xludf.DUMMYFUNCTION("""COMPUTED_VALUE"""),2038.0)</f>
        <v>2038</v>
      </c>
      <c r="E365">
        <f>IFERROR(__xludf.DUMMYFUNCTION("""COMPUTED_VALUE"""),78546.0)</f>
        <v>78546</v>
      </c>
    </row>
    <row r="366">
      <c r="A366" t="str">
        <f t="shared" si="1"/>
        <v>and#2039</v>
      </c>
      <c r="B366" t="str">
        <f>IFERROR(__xludf.DUMMYFUNCTION("""COMPUTED_VALUE"""),"and")</f>
        <v>and</v>
      </c>
      <c r="C366" t="str">
        <f>IFERROR(__xludf.DUMMYFUNCTION("""COMPUTED_VALUE"""),"Andorra")</f>
        <v>Andorra</v>
      </c>
      <c r="D366">
        <f>IFERROR(__xludf.DUMMYFUNCTION("""COMPUTED_VALUE"""),2039.0)</f>
        <v>2039</v>
      </c>
      <c r="E366">
        <f>IFERROR(__xludf.DUMMYFUNCTION("""COMPUTED_VALUE"""),78556.0)</f>
        <v>78556</v>
      </c>
    </row>
    <row r="367">
      <c r="A367" t="str">
        <f t="shared" si="1"/>
        <v>and#2040</v>
      </c>
      <c r="B367" t="str">
        <f>IFERROR(__xludf.DUMMYFUNCTION("""COMPUTED_VALUE"""),"and")</f>
        <v>and</v>
      </c>
      <c r="C367" t="str">
        <f>IFERROR(__xludf.DUMMYFUNCTION("""COMPUTED_VALUE"""),"Andorra")</f>
        <v>Andorra</v>
      </c>
      <c r="D367">
        <f>IFERROR(__xludf.DUMMYFUNCTION("""COMPUTED_VALUE"""),2040.0)</f>
        <v>2040</v>
      </c>
      <c r="E367">
        <f>IFERROR(__xludf.DUMMYFUNCTION("""COMPUTED_VALUE"""),78550.0)</f>
        <v>78550</v>
      </c>
    </row>
    <row r="368">
      <c r="A368" t="str">
        <f t="shared" si="1"/>
        <v>ago#1950</v>
      </c>
      <c r="B368" t="str">
        <f>IFERROR(__xludf.DUMMYFUNCTION("""COMPUTED_VALUE"""),"ago")</f>
        <v>ago</v>
      </c>
      <c r="C368" t="str">
        <f>IFERROR(__xludf.DUMMYFUNCTION("""COMPUTED_VALUE"""),"Angola")</f>
        <v>Angola</v>
      </c>
      <c r="D368">
        <f>IFERROR(__xludf.DUMMYFUNCTION("""COMPUTED_VALUE"""),1950.0)</f>
        <v>1950</v>
      </c>
      <c r="E368">
        <f>IFERROR(__xludf.DUMMYFUNCTION("""COMPUTED_VALUE"""),4548023.0)</f>
        <v>4548023</v>
      </c>
    </row>
    <row r="369">
      <c r="A369" t="str">
        <f t="shared" si="1"/>
        <v>ago#1951</v>
      </c>
      <c r="B369" t="str">
        <f>IFERROR(__xludf.DUMMYFUNCTION("""COMPUTED_VALUE"""),"ago")</f>
        <v>ago</v>
      </c>
      <c r="C369" t="str">
        <f>IFERROR(__xludf.DUMMYFUNCTION("""COMPUTED_VALUE"""),"Angola")</f>
        <v>Angola</v>
      </c>
      <c r="D369">
        <f>IFERROR(__xludf.DUMMYFUNCTION("""COMPUTED_VALUE"""),1951.0)</f>
        <v>1951</v>
      </c>
      <c r="E369">
        <f>IFERROR(__xludf.DUMMYFUNCTION("""COMPUTED_VALUE"""),4659333.0)</f>
        <v>4659333</v>
      </c>
    </row>
    <row r="370">
      <c r="A370" t="str">
        <f t="shared" si="1"/>
        <v>ago#1952</v>
      </c>
      <c r="B370" t="str">
        <f>IFERROR(__xludf.DUMMYFUNCTION("""COMPUTED_VALUE"""),"ago")</f>
        <v>ago</v>
      </c>
      <c r="C370" t="str">
        <f>IFERROR(__xludf.DUMMYFUNCTION("""COMPUTED_VALUE"""),"Angola")</f>
        <v>Angola</v>
      </c>
      <c r="D370">
        <f>IFERROR(__xludf.DUMMYFUNCTION("""COMPUTED_VALUE"""),1952.0)</f>
        <v>1952</v>
      </c>
      <c r="E370">
        <f>IFERROR(__xludf.DUMMYFUNCTION("""COMPUTED_VALUE"""),4774561.0)</f>
        <v>4774561</v>
      </c>
    </row>
    <row r="371">
      <c r="A371" t="str">
        <f t="shared" si="1"/>
        <v>ago#1953</v>
      </c>
      <c r="B371" t="str">
        <f>IFERROR(__xludf.DUMMYFUNCTION("""COMPUTED_VALUE"""),"ago")</f>
        <v>ago</v>
      </c>
      <c r="C371" t="str">
        <f>IFERROR(__xludf.DUMMYFUNCTION("""COMPUTED_VALUE"""),"Angola")</f>
        <v>Angola</v>
      </c>
      <c r="D371">
        <f>IFERROR(__xludf.DUMMYFUNCTION("""COMPUTED_VALUE"""),1953.0)</f>
        <v>1953</v>
      </c>
      <c r="E371">
        <f>IFERROR(__xludf.DUMMYFUNCTION("""COMPUTED_VALUE"""),4890469.0)</f>
        <v>4890469</v>
      </c>
    </row>
    <row r="372">
      <c r="A372" t="str">
        <f t="shared" si="1"/>
        <v>ago#1954</v>
      </c>
      <c r="B372" t="str">
        <f>IFERROR(__xludf.DUMMYFUNCTION("""COMPUTED_VALUE"""),"ago")</f>
        <v>ago</v>
      </c>
      <c r="C372" t="str">
        <f>IFERROR(__xludf.DUMMYFUNCTION("""COMPUTED_VALUE"""),"Angola")</f>
        <v>Angola</v>
      </c>
      <c r="D372">
        <f>IFERROR(__xludf.DUMMYFUNCTION("""COMPUTED_VALUE"""),1954.0)</f>
        <v>1954</v>
      </c>
      <c r="E372">
        <f>IFERROR(__xludf.DUMMYFUNCTION("""COMPUTED_VALUE"""),5004763.0)</f>
        <v>5004763</v>
      </c>
    </row>
    <row r="373">
      <c r="A373" t="str">
        <f t="shared" si="1"/>
        <v>ago#1955</v>
      </c>
      <c r="B373" t="str">
        <f>IFERROR(__xludf.DUMMYFUNCTION("""COMPUTED_VALUE"""),"ago")</f>
        <v>ago</v>
      </c>
      <c r="C373" t="str">
        <f>IFERROR(__xludf.DUMMYFUNCTION("""COMPUTED_VALUE"""),"Angola")</f>
        <v>Angola</v>
      </c>
      <c r="D373">
        <f>IFERROR(__xludf.DUMMYFUNCTION("""COMPUTED_VALUE"""),1955.0)</f>
        <v>1955</v>
      </c>
      <c r="E373">
        <f>IFERROR(__xludf.DUMMYFUNCTION("""COMPUTED_VALUE"""),5116071.0)</f>
        <v>5116071</v>
      </c>
    </row>
    <row r="374">
      <c r="A374" t="str">
        <f t="shared" si="1"/>
        <v>ago#1956</v>
      </c>
      <c r="B374" t="str">
        <f>IFERROR(__xludf.DUMMYFUNCTION("""COMPUTED_VALUE"""),"ago")</f>
        <v>ago</v>
      </c>
      <c r="C374" t="str">
        <f>IFERROR(__xludf.DUMMYFUNCTION("""COMPUTED_VALUE"""),"Angola")</f>
        <v>Angola</v>
      </c>
      <c r="D374">
        <f>IFERROR(__xludf.DUMMYFUNCTION("""COMPUTED_VALUE"""),1956.0)</f>
        <v>1956</v>
      </c>
      <c r="E374">
        <f>IFERROR(__xludf.DUMMYFUNCTION("""COMPUTED_VALUE"""),5224003.0)</f>
        <v>5224003</v>
      </c>
    </row>
    <row r="375">
      <c r="A375" t="str">
        <f t="shared" si="1"/>
        <v>ago#1957</v>
      </c>
      <c r="B375" t="str">
        <f>IFERROR(__xludf.DUMMYFUNCTION("""COMPUTED_VALUE"""),"ago")</f>
        <v>ago</v>
      </c>
      <c r="C375" t="str">
        <f>IFERROR(__xludf.DUMMYFUNCTION("""COMPUTED_VALUE"""),"Angola")</f>
        <v>Angola</v>
      </c>
      <c r="D375">
        <f>IFERROR(__xludf.DUMMYFUNCTION("""COMPUTED_VALUE"""),1957.0)</f>
        <v>1957</v>
      </c>
      <c r="E375">
        <f>IFERROR(__xludf.DUMMYFUNCTION("""COMPUTED_VALUE"""),5329099.0)</f>
        <v>5329099</v>
      </c>
    </row>
    <row r="376">
      <c r="A376" t="str">
        <f t="shared" si="1"/>
        <v>ago#1958</v>
      </c>
      <c r="B376" t="str">
        <f>IFERROR(__xludf.DUMMYFUNCTION("""COMPUTED_VALUE"""),"ago")</f>
        <v>ago</v>
      </c>
      <c r="C376" t="str">
        <f>IFERROR(__xludf.DUMMYFUNCTION("""COMPUTED_VALUE"""),"Angola")</f>
        <v>Angola</v>
      </c>
      <c r="D376">
        <f>IFERROR(__xludf.DUMMYFUNCTION("""COMPUTED_VALUE"""),1958.0)</f>
        <v>1958</v>
      </c>
      <c r="E376">
        <f>IFERROR(__xludf.DUMMYFUNCTION("""COMPUTED_VALUE"""),5432717.0)</f>
        <v>5432717</v>
      </c>
    </row>
    <row r="377">
      <c r="A377" t="str">
        <f t="shared" si="1"/>
        <v>ago#1959</v>
      </c>
      <c r="B377" t="str">
        <f>IFERROR(__xludf.DUMMYFUNCTION("""COMPUTED_VALUE"""),"ago")</f>
        <v>ago</v>
      </c>
      <c r="C377" t="str">
        <f>IFERROR(__xludf.DUMMYFUNCTION("""COMPUTED_VALUE"""),"Angola")</f>
        <v>Angola</v>
      </c>
      <c r="D377">
        <f>IFERROR(__xludf.DUMMYFUNCTION("""COMPUTED_VALUE"""),1959.0)</f>
        <v>1959</v>
      </c>
      <c r="E377">
        <f>IFERROR(__xludf.DUMMYFUNCTION("""COMPUTED_VALUE"""),5536779.0)</f>
        <v>5536779</v>
      </c>
    </row>
    <row r="378">
      <c r="A378" t="str">
        <f t="shared" si="1"/>
        <v>ago#1960</v>
      </c>
      <c r="B378" t="str">
        <f>IFERROR(__xludf.DUMMYFUNCTION("""COMPUTED_VALUE"""),"ago")</f>
        <v>ago</v>
      </c>
      <c r="C378" t="str">
        <f>IFERROR(__xludf.DUMMYFUNCTION("""COMPUTED_VALUE"""),"Angola")</f>
        <v>Angola</v>
      </c>
      <c r="D378">
        <f>IFERROR(__xludf.DUMMYFUNCTION("""COMPUTED_VALUE"""),1960.0)</f>
        <v>1960</v>
      </c>
      <c r="E378">
        <f>IFERROR(__xludf.DUMMYFUNCTION("""COMPUTED_VALUE"""),5643182.0)</f>
        <v>5643182</v>
      </c>
    </row>
    <row r="379">
      <c r="A379" t="str">
        <f t="shared" si="1"/>
        <v>ago#1961</v>
      </c>
      <c r="B379" t="str">
        <f>IFERROR(__xludf.DUMMYFUNCTION("""COMPUTED_VALUE"""),"ago")</f>
        <v>ago</v>
      </c>
      <c r="C379" t="str">
        <f>IFERROR(__xludf.DUMMYFUNCTION("""COMPUTED_VALUE"""),"Angola")</f>
        <v>Angola</v>
      </c>
      <c r="D379">
        <f>IFERROR(__xludf.DUMMYFUNCTION("""COMPUTED_VALUE"""),1961.0)</f>
        <v>1961</v>
      </c>
      <c r="E379">
        <f>IFERROR(__xludf.DUMMYFUNCTION("""COMPUTED_VALUE"""),5753024.0)</f>
        <v>5753024</v>
      </c>
    </row>
    <row r="380">
      <c r="A380" t="str">
        <f t="shared" si="1"/>
        <v>ago#1962</v>
      </c>
      <c r="B380" t="str">
        <f>IFERROR(__xludf.DUMMYFUNCTION("""COMPUTED_VALUE"""),"ago")</f>
        <v>ago</v>
      </c>
      <c r="C380" t="str">
        <f>IFERROR(__xludf.DUMMYFUNCTION("""COMPUTED_VALUE"""),"Angola")</f>
        <v>Angola</v>
      </c>
      <c r="D380">
        <f>IFERROR(__xludf.DUMMYFUNCTION("""COMPUTED_VALUE"""),1962.0)</f>
        <v>1962</v>
      </c>
      <c r="E380">
        <f>IFERROR(__xludf.DUMMYFUNCTION("""COMPUTED_VALUE"""),5866061.0)</f>
        <v>5866061</v>
      </c>
    </row>
    <row r="381">
      <c r="A381" t="str">
        <f t="shared" si="1"/>
        <v>ago#1963</v>
      </c>
      <c r="B381" t="str">
        <f>IFERROR(__xludf.DUMMYFUNCTION("""COMPUTED_VALUE"""),"ago")</f>
        <v>ago</v>
      </c>
      <c r="C381" t="str">
        <f>IFERROR(__xludf.DUMMYFUNCTION("""COMPUTED_VALUE"""),"Angola")</f>
        <v>Angola</v>
      </c>
      <c r="D381">
        <f>IFERROR(__xludf.DUMMYFUNCTION("""COMPUTED_VALUE"""),1963.0)</f>
        <v>1963</v>
      </c>
      <c r="E381">
        <f>IFERROR(__xludf.DUMMYFUNCTION("""COMPUTED_VALUE"""),5980417.0)</f>
        <v>5980417</v>
      </c>
    </row>
    <row r="382">
      <c r="A382" t="str">
        <f t="shared" si="1"/>
        <v>ago#1964</v>
      </c>
      <c r="B382" t="str">
        <f>IFERROR(__xludf.DUMMYFUNCTION("""COMPUTED_VALUE"""),"ago")</f>
        <v>ago</v>
      </c>
      <c r="C382" t="str">
        <f>IFERROR(__xludf.DUMMYFUNCTION("""COMPUTED_VALUE"""),"Angola")</f>
        <v>Angola</v>
      </c>
      <c r="D382">
        <f>IFERROR(__xludf.DUMMYFUNCTION("""COMPUTED_VALUE"""),1964.0)</f>
        <v>1964</v>
      </c>
      <c r="E382">
        <f>IFERROR(__xludf.DUMMYFUNCTION("""COMPUTED_VALUE"""),6093321.0)</f>
        <v>6093321</v>
      </c>
    </row>
    <row r="383">
      <c r="A383" t="str">
        <f t="shared" si="1"/>
        <v>ago#1965</v>
      </c>
      <c r="B383" t="str">
        <f>IFERROR(__xludf.DUMMYFUNCTION("""COMPUTED_VALUE"""),"ago")</f>
        <v>ago</v>
      </c>
      <c r="C383" t="str">
        <f>IFERROR(__xludf.DUMMYFUNCTION("""COMPUTED_VALUE"""),"Angola")</f>
        <v>Angola</v>
      </c>
      <c r="D383">
        <f>IFERROR(__xludf.DUMMYFUNCTION("""COMPUTED_VALUE"""),1965.0)</f>
        <v>1965</v>
      </c>
      <c r="E383">
        <f>IFERROR(__xludf.DUMMYFUNCTION("""COMPUTED_VALUE"""),6203299.0)</f>
        <v>6203299</v>
      </c>
    </row>
    <row r="384">
      <c r="A384" t="str">
        <f t="shared" si="1"/>
        <v>ago#1966</v>
      </c>
      <c r="B384" t="str">
        <f>IFERROR(__xludf.DUMMYFUNCTION("""COMPUTED_VALUE"""),"ago")</f>
        <v>ago</v>
      </c>
      <c r="C384" t="str">
        <f>IFERROR(__xludf.DUMMYFUNCTION("""COMPUTED_VALUE"""),"Angola")</f>
        <v>Angola</v>
      </c>
      <c r="D384">
        <f>IFERROR(__xludf.DUMMYFUNCTION("""COMPUTED_VALUE"""),1966.0)</f>
        <v>1966</v>
      </c>
      <c r="E384">
        <f>IFERROR(__xludf.DUMMYFUNCTION("""COMPUTED_VALUE"""),6309770.0)</f>
        <v>6309770</v>
      </c>
    </row>
    <row r="385">
      <c r="A385" t="str">
        <f t="shared" si="1"/>
        <v>ago#1967</v>
      </c>
      <c r="B385" t="str">
        <f>IFERROR(__xludf.DUMMYFUNCTION("""COMPUTED_VALUE"""),"ago")</f>
        <v>ago</v>
      </c>
      <c r="C385" t="str">
        <f>IFERROR(__xludf.DUMMYFUNCTION("""COMPUTED_VALUE"""),"Angola")</f>
        <v>Angola</v>
      </c>
      <c r="D385">
        <f>IFERROR(__xludf.DUMMYFUNCTION("""COMPUTED_VALUE"""),1967.0)</f>
        <v>1967</v>
      </c>
      <c r="E385">
        <f>IFERROR(__xludf.DUMMYFUNCTION("""COMPUTED_VALUE"""),6414995.0)</f>
        <v>6414995</v>
      </c>
    </row>
    <row r="386">
      <c r="A386" t="str">
        <f t="shared" si="1"/>
        <v>ago#1968</v>
      </c>
      <c r="B386" t="str">
        <f>IFERROR(__xludf.DUMMYFUNCTION("""COMPUTED_VALUE"""),"ago")</f>
        <v>ago</v>
      </c>
      <c r="C386" t="str">
        <f>IFERROR(__xludf.DUMMYFUNCTION("""COMPUTED_VALUE"""),"Angola")</f>
        <v>Angola</v>
      </c>
      <c r="D386">
        <f>IFERROR(__xludf.DUMMYFUNCTION("""COMPUTED_VALUE"""),1968.0)</f>
        <v>1968</v>
      </c>
      <c r="E386">
        <f>IFERROR(__xludf.DUMMYFUNCTION("""COMPUTED_VALUE"""),6523791.0)</f>
        <v>6523791</v>
      </c>
    </row>
    <row r="387">
      <c r="A387" t="str">
        <f t="shared" si="1"/>
        <v>ago#1969</v>
      </c>
      <c r="B387" t="str">
        <f>IFERROR(__xludf.DUMMYFUNCTION("""COMPUTED_VALUE"""),"ago")</f>
        <v>ago</v>
      </c>
      <c r="C387" t="str">
        <f>IFERROR(__xludf.DUMMYFUNCTION("""COMPUTED_VALUE"""),"Angola")</f>
        <v>Angola</v>
      </c>
      <c r="D387">
        <f>IFERROR(__xludf.DUMMYFUNCTION("""COMPUTED_VALUE"""),1969.0)</f>
        <v>1969</v>
      </c>
      <c r="E387">
        <f>IFERROR(__xludf.DUMMYFUNCTION("""COMPUTED_VALUE"""),6642632.0)</f>
        <v>6642632</v>
      </c>
    </row>
    <row r="388">
      <c r="A388" t="str">
        <f t="shared" si="1"/>
        <v>ago#1970</v>
      </c>
      <c r="B388" t="str">
        <f>IFERROR(__xludf.DUMMYFUNCTION("""COMPUTED_VALUE"""),"ago")</f>
        <v>ago</v>
      </c>
      <c r="C388" t="str">
        <f>IFERROR(__xludf.DUMMYFUNCTION("""COMPUTED_VALUE"""),"Angola")</f>
        <v>Angola</v>
      </c>
      <c r="D388">
        <f>IFERROR(__xludf.DUMMYFUNCTION("""COMPUTED_VALUE"""),1970.0)</f>
        <v>1970</v>
      </c>
      <c r="E388">
        <f>IFERROR(__xludf.DUMMYFUNCTION("""COMPUTED_VALUE"""),6776381.0)</f>
        <v>6776381</v>
      </c>
    </row>
    <row r="389">
      <c r="A389" t="str">
        <f t="shared" si="1"/>
        <v>ago#1971</v>
      </c>
      <c r="B389" t="str">
        <f>IFERROR(__xludf.DUMMYFUNCTION("""COMPUTED_VALUE"""),"ago")</f>
        <v>ago</v>
      </c>
      <c r="C389" t="str">
        <f>IFERROR(__xludf.DUMMYFUNCTION("""COMPUTED_VALUE"""),"Angola")</f>
        <v>Angola</v>
      </c>
      <c r="D389">
        <f>IFERROR(__xludf.DUMMYFUNCTION("""COMPUTED_VALUE"""),1971.0)</f>
        <v>1971</v>
      </c>
      <c r="E389">
        <f>IFERROR(__xludf.DUMMYFUNCTION("""COMPUTED_VALUE"""),6927269.0)</f>
        <v>6927269</v>
      </c>
    </row>
    <row r="390">
      <c r="A390" t="str">
        <f t="shared" si="1"/>
        <v>ago#1972</v>
      </c>
      <c r="B390" t="str">
        <f>IFERROR(__xludf.DUMMYFUNCTION("""COMPUTED_VALUE"""),"ago")</f>
        <v>ago</v>
      </c>
      <c r="C390" t="str">
        <f>IFERROR(__xludf.DUMMYFUNCTION("""COMPUTED_VALUE"""),"Angola")</f>
        <v>Angola</v>
      </c>
      <c r="D390">
        <f>IFERROR(__xludf.DUMMYFUNCTION("""COMPUTED_VALUE"""),1972.0)</f>
        <v>1972</v>
      </c>
      <c r="E390">
        <f>IFERROR(__xludf.DUMMYFUNCTION("""COMPUTED_VALUE"""),7094834.0)</f>
        <v>7094834</v>
      </c>
    </row>
    <row r="391">
      <c r="A391" t="str">
        <f t="shared" si="1"/>
        <v>ago#1973</v>
      </c>
      <c r="B391" t="str">
        <f>IFERROR(__xludf.DUMMYFUNCTION("""COMPUTED_VALUE"""),"ago")</f>
        <v>ago</v>
      </c>
      <c r="C391" t="str">
        <f>IFERROR(__xludf.DUMMYFUNCTION("""COMPUTED_VALUE"""),"Angola")</f>
        <v>Angola</v>
      </c>
      <c r="D391">
        <f>IFERROR(__xludf.DUMMYFUNCTION("""COMPUTED_VALUE"""),1973.0)</f>
        <v>1973</v>
      </c>
      <c r="E391">
        <f>IFERROR(__xludf.DUMMYFUNCTION("""COMPUTED_VALUE"""),7277960.0)</f>
        <v>7277960</v>
      </c>
    </row>
    <row r="392">
      <c r="A392" t="str">
        <f t="shared" si="1"/>
        <v>ago#1974</v>
      </c>
      <c r="B392" t="str">
        <f>IFERROR(__xludf.DUMMYFUNCTION("""COMPUTED_VALUE"""),"ago")</f>
        <v>ago</v>
      </c>
      <c r="C392" t="str">
        <f>IFERROR(__xludf.DUMMYFUNCTION("""COMPUTED_VALUE"""),"Angola")</f>
        <v>Angola</v>
      </c>
      <c r="D392">
        <f>IFERROR(__xludf.DUMMYFUNCTION("""COMPUTED_VALUE"""),1974.0)</f>
        <v>1974</v>
      </c>
      <c r="E392">
        <f>IFERROR(__xludf.DUMMYFUNCTION("""COMPUTED_VALUE"""),7474338.0)</f>
        <v>7474338</v>
      </c>
    </row>
    <row r="393">
      <c r="A393" t="str">
        <f t="shared" si="1"/>
        <v>ago#1975</v>
      </c>
      <c r="B393" t="str">
        <f>IFERROR(__xludf.DUMMYFUNCTION("""COMPUTED_VALUE"""),"ago")</f>
        <v>ago</v>
      </c>
      <c r="C393" t="str">
        <f>IFERROR(__xludf.DUMMYFUNCTION("""COMPUTED_VALUE"""),"Angola")</f>
        <v>Angola</v>
      </c>
      <c r="D393">
        <f>IFERROR(__xludf.DUMMYFUNCTION("""COMPUTED_VALUE"""),1975.0)</f>
        <v>1975</v>
      </c>
      <c r="E393">
        <f>IFERROR(__xludf.DUMMYFUNCTION("""COMPUTED_VALUE"""),7682479.0)</f>
        <v>7682479</v>
      </c>
    </row>
    <row r="394">
      <c r="A394" t="str">
        <f t="shared" si="1"/>
        <v>ago#1976</v>
      </c>
      <c r="B394" t="str">
        <f>IFERROR(__xludf.DUMMYFUNCTION("""COMPUTED_VALUE"""),"ago")</f>
        <v>ago</v>
      </c>
      <c r="C394" t="str">
        <f>IFERROR(__xludf.DUMMYFUNCTION("""COMPUTED_VALUE"""),"Angola")</f>
        <v>Angola</v>
      </c>
      <c r="D394">
        <f>IFERROR(__xludf.DUMMYFUNCTION("""COMPUTED_VALUE"""),1976.0)</f>
        <v>1976</v>
      </c>
      <c r="E394">
        <f>IFERROR(__xludf.DUMMYFUNCTION("""COMPUTED_VALUE"""),7900997.0)</f>
        <v>7900997</v>
      </c>
    </row>
    <row r="395">
      <c r="A395" t="str">
        <f t="shared" si="1"/>
        <v>ago#1977</v>
      </c>
      <c r="B395" t="str">
        <f>IFERROR(__xludf.DUMMYFUNCTION("""COMPUTED_VALUE"""),"ago")</f>
        <v>ago</v>
      </c>
      <c r="C395" t="str">
        <f>IFERROR(__xludf.DUMMYFUNCTION("""COMPUTED_VALUE"""),"Angola")</f>
        <v>Angola</v>
      </c>
      <c r="D395">
        <f>IFERROR(__xludf.DUMMYFUNCTION("""COMPUTED_VALUE"""),1977.0)</f>
        <v>1977</v>
      </c>
      <c r="E395">
        <f>IFERROR(__xludf.DUMMYFUNCTION("""COMPUTED_VALUE"""),8130988.0)</f>
        <v>8130988</v>
      </c>
    </row>
    <row r="396">
      <c r="A396" t="str">
        <f t="shared" si="1"/>
        <v>ago#1978</v>
      </c>
      <c r="B396" t="str">
        <f>IFERROR(__xludf.DUMMYFUNCTION("""COMPUTED_VALUE"""),"ago")</f>
        <v>ago</v>
      </c>
      <c r="C396" t="str">
        <f>IFERROR(__xludf.DUMMYFUNCTION("""COMPUTED_VALUE"""),"Angola")</f>
        <v>Angola</v>
      </c>
      <c r="D396">
        <f>IFERROR(__xludf.DUMMYFUNCTION("""COMPUTED_VALUE"""),1978.0)</f>
        <v>1978</v>
      </c>
      <c r="E396">
        <f>IFERROR(__xludf.DUMMYFUNCTION("""COMPUTED_VALUE"""),8376147.0)</f>
        <v>8376147</v>
      </c>
    </row>
    <row r="397">
      <c r="A397" t="str">
        <f t="shared" si="1"/>
        <v>ago#1979</v>
      </c>
      <c r="B397" t="str">
        <f>IFERROR(__xludf.DUMMYFUNCTION("""COMPUTED_VALUE"""),"ago")</f>
        <v>ago</v>
      </c>
      <c r="C397" t="str">
        <f>IFERROR(__xludf.DUMMYFUNCTION("""COMPUTED_VALUE"""),"Angola")</f>
        <v>Angola</v>
      </c>
      <c r="D397">
        <f>IFERROR(__xludf.DUMMYFUNCTION("""COMPUTED_VALUE"""),1979.0)</f>
        <v>1979</v>
      </c>
      <c r="E397">
        <f>IFERROR(__xludf.DUMMYFUNCTION("""COMPUTED_VALUE"""),8641521.0)</f>
        <v>8641521</v>
      </c>
    </row>
    <row r="398">
      <c r="A398" t="str">
        <f t="shared" si="1"/>
        <v>ago#1980</v>
      </c>
      <c r="B398" t="str">
        <f>IFERROR(__xludf.DUMMYFUNCTION("""COMPUTED_VALUE"""),"ago")</f>
        <v>ago</v>
      </c>
      <c r="C398" t="str">
        <f>IFERROR(__xludf.DUMMYFUNCTION("""COMPUTED_VALUE"""),"Angola")</f>
        <v>Angola</v>
      </c>
      <c r="D398">
        <f>IFERROR(__xludf.DUMMYFUNCTION("""COMPUTED_VALUE"""),1980.0)</f>
        <v>1980</v>
      </c>
      <c r="E398">
        <f>IFERROR(__xludf.DUMMYFUNCTION("""COMPUTED_VALUE"""),8929900.0)</f>
        <v>8929900</v>
      </c>
    </row>
    <row r="399">
      <c r="A399" t="str">
        <f t="shared" si="1"/>
        <v>ago#1981</v>
      </c>
      <c r="B399" t="str">
        <f>IFERROR(__xludf.DUMMYFUNCTION("""COMPUTED_VALUE"""),"ago")</f>
        <v>ago</v>
      </c>
      <c r="C399" t="str">
        <f>IFERROR(__xludf.DUMMYFUNCTION("""COMPUTED_VALUE"""),"Angola")</f>
        <v>Angola</v>
      </c>
      <c r="D399">
        <f>IFERROR(__xludf.DUMMYFUNCTION("""COMPUTED_VALUE"""),1981.0)</f>
        <v>1981</v>
      </c>
      <c r="E399">
        <f>IFERROR(__xludf.DUMMYFUNCTION("""COMPUTED_VALUE"""),9244507.0)</f>
        <v>9244507</v>
      </c>
    </row>
    <row r="400">
      <c r="A400" t="str">
        <f t="shared" si="1"/>
        <v>ago#1982</v>
      </c>
      <c r="B400" t="str">
        <f>IFERROR(__xludf.DUMMYFUNCTION("""COMPUTED_VALUE"""),"ago")</f>
        <v>ago</v>
      </c>
      <c r="C400" t="str">
        <f>IFERROR(__xludf.DUMMYFUNCTION("""COMPUTED_VALUE"""),"Angola")</f>
        <v>Angola</v>
      </c>
      <c r="D400">
        <f>IFERROR(__xludf.DUMMYFUNCTION("""COMPUTED_VALUE"""),1982.0)</f>
        <v>1982</v>
      </c>
      <c r="E400">
        <f>IFERROR(__xludf.DUMMYFUNCTION("""COMPUTED_VALUE"""),9582156.0)</f>
        <v>9582156</v>
      </c>
    </row>
    <row r="401">
      <c r="A401" t="str">
        <f t="shared" si="1"/>
        <v>ago#1983</v>
      </c>
      <c r="B401" t="str">
        <f>IFERROR(__xludf.DUMMYFUNCTION("""COMPUTED_VALUE"""),"ago")</f>
        <v>ago</v>
      </c>
      <c r="C401" t="str">
        <f>IFERROR(__xludf.DUMMYFUNCTION("""COMPUTED_VALUE"""),"Angola")</f>
        <v>Angola</v>
      </c>
      <c r="D401">
        <f>IFERROR(__xludf.DUMMYFUNCTION("""COMPUTED_VALUE"""),1983.0)</f>
        <v>1983</v>
      </c>
      <c r="E401">
        <f>IFERROR(__xludf.DUMMYFUNCTION("""COMPUTED_VALUE"""),9931562.0)</f>
        <v>9931562</v>
      </c>
    </row>
    <row r="402">
      <c r="A402" t="str">
        <f t="shared" si="1"/>
        <v>ago#1984</v>
      </c>
      <c r="B402" t="str">
        <f>IFERROR(__xludf.DUMMYFUNCTION("""COMPUTED_VALUE"""),"ago")</f>
        <v>ago</v>
      </c>
      <c r="C402" t="str">
        <f>IFERROR(__xludf.DUMMYFUNCTION("""COMPUTED_VALUE"""),"Angola")</f>
        <v>Angola</v>
      </c>
      <c r="D402">
        <f>IFERROR(__xludf.DUMMYFUNCTION("""COMPUTED_VALUE"""),1984.0)</f>
        <v>1984</v>
      </c>
      <c r="E402">
        <f>IFERROR(__xludf.DUMMYFUNCTION("""COMPUTED_VALUE"""),1.0277321E7)</f>
        <v>10277321</v>
      </c>
    </row>
    <row r="403">
      <c r="A403" t="str">
        <f t="shared" si="1"/>
        <v>ago#1985</v>
      </c>
      <c r="B403" t="str">
        <f>IFERROR(__xludf.DUMMYFUNCTION("""COMPUTED_VALUE"""),"ago")</f>
        <v>ago</v>
      </c>
      <c r="C403" t="str">
        <f>IFERROR(__xludf.DUMMYFUNCTION("""COMPUTED_VALUE"""),"Angola")</f>
        <v>Angola</v>
      </c>
      <c r="D403">
        <f>IFERROR(__xludf.DUMMYFUNCTION("""COMPUTED_VALUE"""),1985.0)</f>
        <v>1985</v>
      </c>
      <c r="E403">
        <f>IFERROR(__xludf.DUMMYFUNCTION("""COMPUTED_VALUE"""),1.0609042E7)</f>
        <v>10609042</v>
      </c>
    </row>
    <row r="404">
      <c r="A404" t="str">
        <f t="shared" si="1"/>
        <v>ago#1986</v>
      </c>
      <c r="B404" t="str">
        <f>IFERROR(__xludf.DUMMYFUNCTION("""COMPUTED_VALUE"""),"ago")</f>
        <v>ago</v>
      </c>
      <c r="C404" t="str">
        <f>IFERROR(__xludf.DUMMYFUNCTION("""COMPUTED_VALUE"""),"Angola")</f>
        <v>Angola</v>
      </c>
      <c r="D404">
        <f>IFERROR(__xludf.DUMMYFUNCTION("""COMPUTED_VALUE"""),1986.0)</f>
        <v>1986</v>
      </c>
      <c r="E404">
        <f>IFERROR(__xludf.DUMMYFUNCTION("""COMPUTED_VALUE"""),1.0921037E7)</f>
        <v>10921037</v>
      </c>
    </row>
    <row r="405">
      <c r="A405" t="str">
        <f t="shared" si="1"/>
        <v>ago#1987</v>
      </c>
      <c r="B405" t="str">
        <f>IFERROR(__xludf.DUMMYFUNCTION("""COMPUTED_VALUE"""),"ago")</f>
        <v>ago</v>
      </c>
      <c r="C405" t="str">
        <f>IFERROR(__xludf.DUMMYFUNCTION("""COMPUTED_VALUE"""),"Angola")</f>
        <v>Angola</v>
      </c>
      <c r="D405">
        <f>IFERROR(__xludf.DUMMYFUNCTION("""COMPUTED_VALUE"""),1987.0)</f>
        <v>1987</v>
      </c>
      <c r="E405">
        <f>IFERROR(__xludf.DUMMYFUNCTION("""COMPUTED_VALUE"""),1.1218268E7)</f>
        <v>11218268</v>
      </c>
    </row>
    <row r="406">
      <c r="A406" t="str">
        <f t="shared" si="1"/>
        <v>ago#1988</v>
      </c>
      <c r="B406" t="str">
        <f>IFERROR(__xludf.DUMMYFUNCTION("""COMPUTED_VALUE"""),"ago")</f>
        <v>ago</v>
      </c>
      <c r="C406" t="str">
        <f>IFERROR(__xludf.DUMMYFUNCTION("""COMPUTED_VALUE"""),"Angola")</f>
        <v>Angola</v>
      </c>
      <c r="D406">
        <f>IFERROR(__xludf.DUMMYFUNCTION("""COMPUTED_VALUE"""),1988.0)</f>
        <v>1988</v>
      </c>
      <c r="E406">
        <f>IFERROR(__xludf.DUMMYFUNCTION("""COMPUTED_VALUE"""),1.1513968E7)</f>
        <v>11513968</v>
      </c>
    </row>
    <row r="407">
      <c r="A407" t="str">
        <f t="shared" si="1"/>
        <v>ago#1989</v>
      </c>
      <c r="B407" t="str">
        <f>IFERROR(__xludf.DUMMYFUNCTION("""COMPUTED_VALUE"""),"ago")</f>
        <v>ago</v>
      </c>
      <c r="C407" t="str">
        <f>IFERROR(__xludf.DUMMYFUNCTION("""COMPUTED_VALUE"""),"Angola")</f>
        <v>Angola</v>
      </c>
      <c r="D407">
        <f>IFERROR(__xludf.DUMMYFUNCTION("""COMPUTED_VALUE"""),1989.0)</f>
        <v>1989</v>
      </c>
      <c r="E407">
        <f>IFERROR(__xludf.DUMMYFUNCTION("""COMPUTED_VALUE"""),1.1827237E7)</f>
        <v>11827237</v>
      </c>
    </row>
    <row r="408">
      <c r="A408" t="str">
        <f t="shared" si="1"/>
        <v>ago#1990</v>
      </c>
      <c r="B408" t="str">
        <f>IFERROR(__xludf.DUMMYFUNCTION("""COMPUTED_VALUE"""),"ago")</f>
        <v>ago</v>
      </c>
      <c r="C408" t="str">
        <f>IFERROR(__xludf.DUMMYFUNCTION("""COMPUTED_VALUE"""),"Angola")</f>
        <v>Angola</v>
      </c>
      <c r="D408">
        <f>IFERROR(__xludf.DUMMYFUNCTION("""COMPUTED_VALUE"""),1990.0)</f>
        <v>1990</v>
      </c>
      <c r="E408">
        <f>IFERROR(__xludf.DUMMYFUNCTION("""COMPUTED_VALUE"""),1.2171441E7)</f>
        <v>12171441</v>
      </c>
    </row>
    <row r="409">
      <c r="A409" t="str">
        <f t="shared" si="1"/>
        <v>ago#1991</v>
      </c>
      <c r="B409" t="str">
        <f>IFERROR(__xludf.DUMMYFUNCTION("""COMPUTED_VALUE"""),"ago")</f>
        <v>ago</v>
      </c>
      <c r="C409" t="str">
        <f>IFERROR(__xludf.DUMMYFUNCTION("""COMPUTED_VALUE"""),"Angola")</f>
        <v>Angola</v>
      </c>
      <c r="D409">
        <f>IFERROR(__xludf.DUMMYFUNCTION("""COMPUTED_VALUE"""),1991.0)</f>
        <v>1991</v>
      </c>
      <c r="E409">
        <f>IFERROR(__xludf.DUMMYFUNCTION("""COMPUTED_VALUE"""),1.2553446E7)</f>
        <v>12553446</v>
      </c>
    </row>
    <row r="410">
      <c r="A410" t="str">
        <f t="shared" si="1"/>
        <v>ago#1992</v>
      </c>
      <c r="B410" t="str">
        <f>IFERROR(__xludf.DUMMYFUNCTION("""COMPUTED_VALUE"""),"ago")</f>
        <v>ago</v>
      </c>
      <c r="C410" t="str">
        <f>IFERROR(__xludf.DUMMYFUNCTION("""COMPUTED_VALUE"""),"Angola")</f>
        <v>Angola</v>
      </c>
      <c r="D410">
        <f>IFERROR(__xludf.DUMMYFUNCTION("""COMPUTED_VALUE"""),1992.0)</f>
        <v>1992</v>
      </c>
      <c r="E410">
        <f>IFERROR(__xludf.DUMMYFUNCTION("""COMPUTED_VALUE"""),1.2968345E7)</f>
        <v>12968345</v>
      </c>
    </row>
    <row r="411">
      <c r="A411" t="str">
        <f t="shared" si="1"/>
        <v>ago#1993</v>
      </c>
      <c r="B411" t="str">
        <f>IFERROR(__xludf.DUMMYFUNCTION("""COMPUTED_VALUE"""),"ago")</f>
        <v>ago</v>
      </c>
      <c r="C411" t="str">
        <f>IFERROR(__xludf.DUMMYFUNCTION("""COMPUTED_VALUE"""),"Angola")</f>
        <v>Angola</v>
      </c>
      <c r="D411">
        <f>IFERROR(__xludf.DUMMYFUNCTION("""COMPUTED_VALUE"""),1993.0)</f>
        <v>1993</v>
      </c>
      <c r="E411">
        <f>IFERROR(__xludf.DUMMYFUNCTION("""COMPUTED_VALUE"""),1.3403734E7)</f>
        <v>13403734</v>
      </c>
    </row>
    <row r="412">
      <c r="A412" t="str">
        <f t="shared" si="1"/>
        <v>ago#1994</v>
      </c>
      <c r="B412" t="str">
        <f>IFERROR(__xludf.DUMMYFUNCTION("""COMPUTED_VALUE"""),"ago")</f>
        <v>ago</v>
      </c>
      <c r="C412" t="str">
        <f>IFERROR(__xludf.DUMMYFUNCTION("""COMPUTED_VALUE"""),"Angola")</f>
        <v>Angola</v>
      </c>
      <c r="D412">
        <f>IFERROR(__xludf.DUMMYFUNCTION("""COMPUTED_VALUE"""),1994.0)</f>
        <v>1994</v>
      </c>
      <c r="E412">
        <f>IFERROR(__xludf.DUMMYFUNCTION("""COMPUTED_VALUE"""),1.3841301E7)</f>
        <v>13841301</v>
      </c>
    </row>
    <row r="413">
      <c r="A413" t="str">
        <f t="shared" si="1"/>
        <v>ago#1995</v>
      </c>
      <c r="B413" t="str">
        <f>IFERROR(__xludf.DUMMYFUNCTION("""COMPUTED_VALUE"""),"ago")</f>
        <v>ago</v>
      </c>
      <c r="C413" t="str">
        <f>IFERROR(__xludf.DUMMYFUNCTION("""COMPUTED_VALUE"""),"Angola")</f>
        <v>Angola</v>
      </c>
      <c r="D413">
        <f>IFERROR(__xludf.DUMMYFUNCTION("""COMPUTED_VALUE"""),1995.0)</f>
        <v>1995</v>
      </c>
      <c r="E413">
        <f>IFERROR(__xludf.DUMMYFUNCTION("""COMPUTED_VALUE"""),1.4268994E7)</f>
        <v>14268994</v>
      </c>
    </row>
    <row r="414">
      <c r="A414" t="str">
        <f t="shared" si="1"/>
        <v>ago#1996</v>
      </c>
      <c r="B414" t="str">
        <f>IFERROR(__xludf.DUMMYFUNCTION("""COMPUTED_VALUE"""),"ago")</f>
        <v>ago</v>
      </c>
      <c r="C414" t="str">
        <f>IFERROR(__xludf.DUMMYFUNCTION("""COMPUTED_VALUE"""),"Angola")</f>
        <v>Angola</v>
      </c>
      <c r="D414">
        <f>IFERROR(__xludf.DUMMYFUNCTION("""COMPUTED_VALUE"""),1996.0)</f>
        <v>1996</v>
      </c>
      <c r="E414">
        <f>IFERROR(__xludf.DUMMYFUNCTION("""COMPUTED_VALUE"""),1.4682284E7)</f>
        <v>14682284</v>
      </c>
    </row>
    <row r="415">
      <c r="A415" t="str">
        <f t="shared" si="1"/>
        <v>ago#1997</v>
      </c>
      <c r="B415" t="str">
        <f>IFERROR(__xludf.DUMMYFUNCTION("""COMPUTED_VALUE"""),"ago")</f>
        <v>ago</v>
      </c>
      <c r="C415" t="str">
        <f>IFERROR(__xludf.DUMMYFUNCTION("""COMPUTED_VALUE"""),"Angola")</f>
        <v>Angola</v>
      </c>
      <c r="D415">
        <f>IFERROR(__xludf.DUMMYFUNCTION("""COMPUTED_VALUE"""),1997.0)</f>
        <v>1997</v>
      </c>
      <c r="E415">
        <f>IFERROR(__xludf.DUMMYFUNCTION("""COMPUTED_VALUE"""),1.5088981E7)</f>
        <v>15088981</v>
      </c>
    </row>
    <row r="416">
      <c r="A416" t="str">
        <f t="shared" si="1"/>
        <v>ago#1998</v>
      </c>
      <c r="B416" t="str">
        <f>IFERROR(__xludf.DUMMYFUNCTION("""COMPUTED_VALUE"""),"ago")</f>
        <v>ago</v>
      </c>
      <c r="C416" t="str">
        <f>IFERROR(__xludf.DUMMYFUNCTION("""COMPUTED_VALUE"""),"Angola")</f>
        <v>Angola</v>
      </c>
      <c r="D416">
        <f>IFERROR(__xludf.DUMMYFUNCTION("""COMPUTED_VALUE"""),1998.0)</f>
        <v>1998</v>
      </c>
      <c r="E416">
        <f>IFERROR(__xludf.DUMMYFUNCTION("""COMPUTED_VALUE"""),1.5504318E7)</f>
        <v>15504318</v>
      </c>
    </row>
    <row r="417">
      <c r="A417" t="str">
        <f t="shared" si="1"/>
        <v>ago#1999</v>
      </c>
      <c r="B417" t="str">
        <f>IFERROR(__xludf.DUMMYFUNCTION("""COMPUTED_VALUE"""),"ago")</f>
        <v>ago</v>
      </c>
      <c r="C417" t="str">
        <f>IFERROR(__xludf.DUMMYFUNCTION("""COMPUTED_VALUE"""),"Angola")</f>
        <v>Angola</v>
      </c>
      <c r="D417">
        <f>IFERROR(__xludf.DUMMYFUNCTION("""COMPUTED_VALUE"""),1999.0)</f>
        <v>1999</v>
      </c>
      <c r="E417">
        <f>IFERROR(__xludf.DUMMYFUNCTION("""COMPUTED_VALUE"""),1.5949766E7)</f>
        <v>15949766</v>
      </c>
    </row>
    <row r="418">
      <c r="A418" t="str">
        <f t="shared" si="1"/>
        <v>ago#2000</v>
      </c>
      <c r="B418" t="str">
        <f>IFERROR(__xludf.DUMMYFUNCTION("""COMPUTED_VALUE"""),"ago")</f>
        <v>ago</v>
      </c>
      <c r="C418" t="str">
        <f>IFERROR(__xludf.DUMMYFUNCTION("""COMPUTED_VALUE"""),"Angola")</f>
        <v>Angola</v>
      </c>
      <c r="D418">
        <f>IFERROR(__xludf.DUMMYFUNCTION("""COMPUTED_VALUE"""),2000.0)</f>
        <v>2000</v>
      </c>
      <c r="E418">
        <f>IFERROR(__xludf.DUMMYFUNCTION("""COMPUTED_VALUE"""),1.6440924E7)</f>
        <v>16440924</v>
      </c>
    </row>
    <row r="419">
      <c r="A419" t="str">
        <f t="shared" si="1"/>
        <v>ago#2001</v>
      </c>
      <c r="B419" t="str">
        <f>IFERROR(__xludf.DUMMYFUNCTION("""COMPUTED_VALUE"""),"ago")</f>
        <v>ago</v>
      </c>
      <c r="C419" t="str">
        <f>IFERROR(__xludf.DUMMYFUNCTION("""COMPUTED_VALUE"""),"Angola")</f>
        <v>Angola</v>
      </c>
      <c r="D419">
        <f>IFERROR(__xludf.DUMMYFUNCTION("""COMPUTED_VALUE"""),2001.0)</f>
        <v>2001</v>
      </c>
      <c r="E419">
        <f>IFERROR(__xludf.DUMMYFUNCTION("""COMPUTED_VALUE"""),1.6983266E7)</f>
        <v>16983266</v>
      </c>
    </row>
    <row r="420">
      <c r="A420" t="str">
        <f t="shared" si="1"/>
        <v>ago#2002</v>
      </c>
      <c r="B420" t="str">
        <f>IFERROR(__xludf.DUMMYFUNCTION("""COMPUTED_VALUE"""),"ago")</f>
        <v>ago</v>
      </c>
      <c r="C420" t="str">
        <f>IFERROR(__xludf.DUMMYFUNCTION("""COMPUTED_VALUE"""),"Angola")</f>
        <v>Angola</v>
      </c>
      <c r="D420">
        <f>IFERROR(__xludf.DUMMYFUNCTION("""COMPUTED_VALUE"""),2002.0)</f>
        <v>2002</v>
      </c>
      <c r="E420">
        <f>IFERROR(__xludf.DUMMYFUNCTION("""COMPUTED_VALUE"""),1.7572649E7)</f>
        <v>17572649</v>
      </c>
    </row>
    <row r="421">
      <c r="A421" t="str">
        <f t="shared" si="1"/>
        <v>ago#2003</v>
      </c>
      <c r="B421" t="str">
        <f>IFERROR(__xludf.DUMMYFUNCTION("""COMPUTED_VALUE"""),"ago")</f>
        <v>ago</v>
      </c>
      <c r="C421" t="str">
        <f>IFERROR(__xludf.DUMMYFUNCTION("""COMPUTED_VALUE"""),"Angola")</f>
        <v>Angola</v>
      </c>
      <c r="D421">
        <f>IFERROR(__xludf.DUMMYFUNCTION("""COMPUTED_VALUE"""),2003.0)</f>
        <v>2003</v>
      </c>
      <c r="E421">
        <f>IFERROR(__xludf.DUMMYFUNCTION("""COMPUTED_VALUE"""),1.8203369E7)</f>
        <v>18203369</v>
      </c>
    </row>
    <row r="422">
      <c r="A422" t="str">
        <f t="shared" si="1"/>
        <v>ago#2004</v>
      </c>
      <c r="B422" t="str">
        <f>IFERROR(__xludf.DUMMYFUNCTION("""COMPUTED_VALUE"""),"ago")</f>
        <v>ago</v>
      </c>
      <c r="C422" t="str">
        <f>IFERROR(__xludf.DUMMYFUNCTION("""COMPUTED_VALUE"""),"Angola")</f>
        <v>Angola</v>
      </c>
      <c r="D422">
        <f>IFERROR(__xludf.DUMMYFUNCTION("""COMPUTED_VALUE"""),2004.0)</f>
        <v>2004</v>
      </c>
      <c r="E422">
        <f>IFERROR(__xludf.DUMMYFUNCTION("""COMPUTED_VALUE"""),1.8865716E7)</f>
        <v>18865716</v>
      </c>
    </row>
    <row r="423">
      <c r="A423" t="str">
        <f t="shared" si="1"/>
        <v>ago#2005</v>
      </c>
      <c r="B423" t="str">
        <f>IFERROR(__xludf.DUMMYFUNCTION("""COMPUTED_VALUE"""),"ago")</f>
        <v>ago</v>
      </c>
      <c r="C423" t="str">
        <f>IFERROR(__xludf.DUMMYFUNCTION("""COMPUTED_VALUE"""),"Angola")</f>
        <v>Angola</v>
      </c>
      <c r="D423">
        <f>IFERROR(__xludf.DUMMYFUNCTION("""COMPUTED_VALUE"""),2005.0)</f>
        <v>2005</v>
      </c>
      <c r="E423">
        <f>IFERROR(__xludf.DUMMYFUNCTION("""COMPUTED_VALUE"""),1.9552542E7)</f>
        <v>19552542</v>
      </c>
    </row>
    <row r="424">
      <c r="A424" t="str">
        <f t="shared" si="1"/>
        <v>ago#2006</v>
      </c>
      <c r="B424" t="str">
        <f>IFERROR(__xludf.DUMMYFUNCTION("""COMPUTED_VALUE"""),"ago")</f>
        <v>ago</v>
      </c>
      <c r="C424" t="str">
        <f>IFERROR(__xludf.DUMMYFUNCTION("""COMPUTED_VALUE"""),"Angola")</f>
        <v>Angola</v>
      </c>
      <c r="D424">
        <f>IFERROR(__xludf.DUMMYFUNCTION("""COMPUTED_VALUE"""),2006.0)</f>
        <v>2006</v>
      </c>
      <c r="E424">
        <f>IFERROR(__xludf.DUMMYFUNCTION("""COMPUTED_VALUE"""),2.0262399E7)</f>
        <v>20262399</v>
      </c>
    </row>
    <row r="425">
      <c r="A425" t="str">
        <f t="shared" si="1"/>
        <v>ago#2007</v>
      </c>
      <c r="B425" t="str">
        <f>IFERROR(__xludf.DUMMYFUNCTION("""COMPUTED_VALUE"""),"ago")</f>
        <v>ago</v>
      </c>
      <c r="C425" t="str">
        <f>IFERROR(__xludf.DUMMYFUNCTION("""COMPUTED_VALUE"""),"Angola")</f>
        <v>Angola</v>
      </c>
      <c r="D425">
        <f>IFERROR(__xludf.DUMMYFUNCTION("""COMPUTED_VALUE"""),2007.0)</f>
        <v>2007</v>
      </c>
      <c r="E425">
        <f>IFERROR(__xludf.DUMMYFUNCTION("""COMPUTED_VALUE"""),2.0997687E7)</f>
        <v>20997687</v>
      </c>
    </row>
    <row r="426">
      <c r="A426" t="str">
        <f t="shared" si="1"/>
        <v>ago#2008</v>
      </c>
      <c r="B426" t="str">
        <f>IFERROR(__xludf.DUMMYFUNCTION("""COMPUTED_VALUE"""),"ago")</f>
        <v>ago</v>
      </c>
      <c r="C426" t="str">
        <f>IFERROR(__xludf.DUMMYFUNCTION("""COMPUTED_VALUE"""),"Angola")</f>
        <v>Angola</v>
      </c>
      <c r="D426">
        <f>IFERROR(__xludf.DUMMYFUNCTION("""COMPUTED_VALUE"""),2008.0)</f>
        <v>2008</v>
      </c>
      <c r="E426">
        <f>IFERROR(__xludf.DUMMYFUNCTION("""COMPUTED_VALUE"""),2.175942E7)</f>
        <v>21759420</v>
      </c>
    </row>
    <row r="427">
      <c r="A427" t="str">
        <f t="shared" si="1"/>
        <v>ago#2009</v>
      </c>
      <c r="B427" t="str">
        <f>IFERROR(__xludf.DUMMYFUNCTION("""COMPUTED_VALUE"""),"ago")</f>
        <v>ago</v>
      </c>
      <c r="C427" t="str">
        <f>IFERROR(__xludf.DUMMYFUNCTION("""COMPUTED_VALUE"""),"Angola")</f>
        <v>Angola</v>
      </c>
      <c r="D427">
        <f>IFERROR(__xludf.DUMMYFUNCTION("""COMPUTED_VALUE"""),2009.0)</f>
        <v>2009</v>
      </c>
      <c r="E427">
        <f>IFERROR(__xludf.DUMMYFUNCTION("""COMPUTED_VALUE"""),2.2549547E7)</f>
        <v>22549547</v>
      </c>
    </row>
    <row r="428">
      <c r="A428" t="str">
        <f t="shared" si="1"/>
        <v>ago#2010</v>
      </c>
      <c r="B428" t="str">
        <f>IFERROR(__xludf.DUMMYFUNCTION("""COMPUTED_VALUE"""),"ago")</f>
        <v>ago</v>
      </c>
      <c r="C428" t="str">
        <f>IFERROR(__xludf.DUMMYFUNCTION("""COMPUTED_VALUE"""),"Angola")</f>
        <v>Angola</v>
      </c>
      <c r="D428">
        <f>IFERROR(__xludf.DUMMYFUNCTION("""COMPUTED_VALUE"""),2010.0)</f>
        <v>2010</v>
      </c>
      <c r="E428">
        <f>IFERROR(__xludf.DUMMYFUNCTION("""COMPUTED_VALUE"""),2.3369131E7)</f>
        <v>23369131</v>
      </c>
    </row>
    <row r="429">
      <c r="A429" t="str">
        <f t="shared" si="1"/>
        <v>ago#2011</v>
      </c>
      <c r="B429" t="str">
        <f>IFERROR(__xludf.DUMMYFUNCTION("""COMPUTED_VALUE"""),"ago")</f>
        <v>ago</v>
      </c>
      <c r="C429" t="str">
        <f>IFERROR(__xludf.DUMMYFUNCTION("""COMPUTED_VALUE"""),"Angola")</f>
        <v>Angola</v>
      </c>
      <c r="D429">
        <f>IFERROR(__xludf.DUMMYFUNCTION("""COMPUTED_VALUE"""),2011.0)</f>
        <v>2011</v>
      </c>
      <c r="E429">
        <f>IFERROR(__xludf.DUMMYFUNCTION("""COMPUTED_VALUE"""),2.4218565E7)</f>
        <v>24218565</v>
      </c>
    </row>
    <row r="430">
      <c r="A430" t="str">
        <f t="shared" si="1"/>
        <v>ago#2012</v>
      </c>
      <c r="B430" t="str">
        <f>IFERROR(__xludf.DUMMYFUNCTION("""COMPUTED_VALUE"""),"ago")</f>
        <v>ago</v>
      </c>
      <c r="C430" t="str">
        <f>IFERROR(__xludf.DUMMYFUNCTION("""COMPUTED_VALUE"""),"Angola")</f>
        <v>Angola</v>
      </c>
      <c r="D430">
        <f>IFERROR(__xludf.DUMMYFUNCTION("""COMPUTED_VALUE"""),2012.0)</f>
        <v>2012</v>
      </c>
      <c r="E430">
        <f>IFERROR(__xludf.DUMMYFUNCTION("""COMPUTED_VALUE"""),2.509615E7)</f>
        <v>25096150</v>
      </c>
    </row>
    <row r="431">
      <c r="A431" t="str">
        <f t="shared" si="1"/>
        <v>ago#2013</v>
      </c>
      <c r="B431" t="str">
        <f>IFERROR(__xludf.DUMMYFUNCTION("""COMPUTED_VALUE"""),"ago")</f>
        <v>ago</v>
      </c>
      <c r="C431" t="str">
        <f>IFERROR(__xludf.DUMMYFUNCTION("""COMPUTED_VALUE"""),"Angola")</f>
        <v>Angola</v>
      </c>
      <c r="D431">
        <f>IFERROR(__xludf.DUMMYFUNCTION("""COMPUTED_VALUE"""),2013.0)</f>
        <v>2013</v>
      </c>
      <c r="E431">
        <f>IFERROR(__xludf.DUMMYFUNCTION("""COMPUTED_VALUE"""),2.599834E7)</f>
        <v>25998340</v>
      </c>
    </row>
    <row r="432">
      <c r="A432" t="str">
        <f t="shared" si="1"/>
        <v>ago#2014</v>
      </c>
      <c r="B432" t="str">
        <f>IFERROR(__xludf.DUMMYFUNCTION("""COMPUTED_VALUE"""),"ago")</f>
        <v>ago</v>
      </c>
      <c r="C432" t="str">
        <f>IFERROR(__xludf.DUMMYFUNCTION("""COMPUTED_VALUE"""),"Angola")</f>
        <v>Angola</v>
      </c>
      <c r="D432">
        <f>IFERROR(__xludf.DUMMYFUNCTION("""COMPUTED_VALUE"""),2014.0)</f>
        <v>2014</v>
      </c>
      <c r="E432">
        <f>IFERROR(__xludf.DUMMYFUNCTION("""COMPUTED_VALUE"""),2.6920466E7)</f>
        <v>26920466</v>
      </c>
    </row>
    <row r="433">
      <c r="A433" t="str">
        <f t="shared" si="1"/>
        <v>ago#2015</v>
      </c>
      <c r="B433" t="str">
        <f>IFERROR(__xludf.DUMMYFUNCTION("""COMPUTED_VALUE"""),"ago")</f>
        <v>ago</v>
      </c>
      <c r="C433" t="str">
        <f>IFERROR(__xludf.DUMMYFUNCTION("""COMPUTED_VALUE"""),"Angola")</f>
        <v>Angola</v>
      </c>
      <c r="D433">
        <f>IFERROR(__xludf.DUMMYFUNCTION("""COMPUTED_VALUE"""),2015.0)</f>
        <v>2015</v>
      </c>
      <c r="E433">
        <f>IFERROR(__xludf.DUMMYFUNCTION("""COMPUTED_VALUE"""),2.7859305E7)</f>
        <v>27859305</v>
      </c>
    </row>
    <row r="434">
      <c r="A434" t="str">
        <f t="shared" si="1"/>
        <v>ago#2016</v>
      </c>
      <c r="B434" t="str">
        <f>IFERROR(__xludf.DUMMYFUNCTION("""COMPUTED_VALUE"""),"ago")</f>
        <v>ago</v>
      </c>
      <c r="C434" t="str">
        <f>IFERROR(__xludf.DUMMYFUNCTION("""COMPUTED_VALUE"""),"Angola")</f>
        <v>Angola</v>
      </c>
      <c r="D434">
        <f>IFERROR(__xludf.DUMMYFUNCTION("""COMPUTED_VALUE"""),2016.0)</f>
        <v>2016</v>
      </c>
      <c r="E434">
        <f>IFERROR(__xludf.DUMMYFUNCTION("""COMPUTED_VALUE"""),2.8813463E7)</f>
        <v>28813463</v>
      </c>
    </row>
    <row r="435">
      <c r="A435" t="str">
        <f t="shared" si="1"/>
        <v>ago#2017</v>
      </c>
      <c r="B435" t="str">
        <f>IFERROR(__xludf.DUMMYFUNCTION("""COMPUTED_VALUE"""),"ago")</f>
        <v>ago</v>
      </c>
      <c r="C435" t="str">
        <f>IFERROR(__xludf.DUMMYFUNCTION("""COMPUTED_VALUE"""),"Angola")</f>
        <v>Angola</v>
      </c>
      <c r="D435">
        <f>IFERROR(__xludf.DUMMYFUNCTION("""COMPUTED_VALUE"""),2017.0)</f>
        <v>2017</v>
      </c>
      <c r="E435">
        <f>IFERROR(__xludf.DUMMYFUNCTION("""COMPUTED_VALUE"""),2.9784193E7)</f>
        <v>29784193</v>
      </c>
    </row>
    <row r="436">
      <c r="A436" t="str">
        <f t="shared" si="1"/>
        <v>ago#2018</v>
      </c>
      <c r="B436" t="str">
        <f>IFERROR(__xludf.DUMMYFUNCTION("""COMPUTED_VALUE"""),"ago")</f>
        <v>ago</v>
      </c>
      <c r="C436" t="str">
        <f>IFERROR(__xludf.DUMMYFUNCTION("""COMPUTED_VALUE"""),"Angola")</f>
        <v>Angola</v>
      </c>
      <c r="D436">
        <f>IFERROR(__xludf.DUMMYFUNCTION("""COMPUTED_VALUE"""),2018.0)</f>
        <v>2018</v>
      </c>
      <c r="E436">
        <f>IFERROR(__xludf.DUMMYFUNCTION("""COMPUTED_VALUE"""),3.0774205E7)</f>
        <v>30774205</v>
      </c>
    </row>
    <row r="437">
      <c r="A437" t="str">
        <f t="shared" si="1"/>
        <v>ago#2019</v>
      </c>
      <c r="B437" t="str">
        <f>IFERROR(__xludf.DUMMYFUNCTION("""COMPUTED_VALUE"""),"ago")</f>
        <v>ago</v>
      </c>
      <c r="C437" t="str">
        <f>IFERROR(__xludf.DUMMYFUNCTION("""COMPUTED_VALUE"""),"Angola")</f>
        <v>Angola</v>
      </c>
      <c r="D437">
        <f>IFERROR(__xludf.DUMMYFUNCTION("""COMPUTED_VALUE"""),2019.0)</f>
        <v>2019</v>
      </c>
      <c r="E437">
        <f>IFERROR(__xludf.DUMMYFUNCTION("""COMPUTED_VALUE"""),3.1787566E7)</f>
        <v>31787566</v>
      </c>
    </row>
    <row r="438">
      <c r="A438" t="str">
        <f t="shared" si="1"/>
        <v>ago#2020</v>
      </c>
      <c r="B438" t="str">
        <f>IFERROR(__xludf.DUMMYFUNCTION("""COMPUTED_VALUE"""),"ago")</f>
        <v>ago</v>
      </c>
      <c r="C438" t="str">
        <f>IFERROR(__xludf.DUMMYFUNCTION("""COMPUTED_VALUE"""),"Angola")</f>
        <v>Angola</v>
      </c>
      <c r="D438">
        <f>IFERROR(__xludf.DUMMYFUNCTION("""COMPUTED_VALUE"""),2020.0)</f>
        <v>2020</v>
      </c>
      <c r="E438">
        <f>IFERROR(__xludf.DUMMYFUNCTION("""COMPUTED_VALUE"""),3.2827401E7)</f>
        <v>32827401</v>
      </c>
    </row>
    <row r="439">
      <c r="A439" t="str">
        <f t="shared" si="1"/>
        <v>ago#2021</v>
      </c>
      <c r="B439" t="str">
        <f>IFERROR(__xludf.DUMMYFUNCTION("""COMPUTED_VALUE"""),"ago")</f>
        <v>ago</v>
      </c>
      <c r="C439" t="str">
        <f>IFERROR(__xludf.DUMMYFUNCTION("""COMPUTED_VALUE"""),"Angola")</f>
        <v>Angola</v>
      </c>
      <c r="D439">
        <f>IFERROR(__xludf.DUMMYFUNCTION("""COMPUTED_VALUE"""),2021.0)</f>
        <v>2021</v>
      </c>
      <c r="E439">
        <f>IFERROR(__xludf.DUMMYFUNCTION("""COMPUTED_VALUE"""),3.3894484E7)</f>
        <v>33894484</v>
      </c>
    </row>
    <row r="440">
      <c r="A440" t="str">
        <f t="shared" si="1"/>
        <v>ago#2022</v>
      </c>
      <c r="B440" t="str">
        <f>IFERROR(__xludf.DUMMYFUNCTION("""COMPUTED_VALUE"""),"ago")</f>
        <v>ago</v>
      </c>
      <c r="C440" t="str">
        <f>IFERROR(__xludf.DUMMYFUNCTION("""COMPUTED_VALUE"""),"Angola")</f>
        <v>Angola</v>
      </c>
      <c r="D440">
        <f>IFERROR(__xludf.DUMMYFUNCTION("""COMPUTED_VALUE"""),2022.0)</f>
        <v>2022</v>
      </c>
      <c r="E440">
        <f>IFERROR(__xludf.DUMMYFUNCTION("""COMPUTED_VALUE"""),3.4988302E7)</f>
        <v>34988302</v>
      </c>
    </row>
    <row r="441">
      <c r="A441" t="str">
        <f t="shared" si="1"/>
        <v>ago#2023</v>
      </c>
      <c r="B441" t="str">
        <f>IFERROR(__xludf.DUMMYFUNCTION("""COMPUTED_VALUE"""),"ago")</f>
        <v>ago</v>
      </c>
      <c r="C441" t="str">
        <f>IFERROR(__xludf.DUMMYFUNCTION("""COMPUTED_VALUE"""),"Angola")</f>
        <v>Angola</v>
      </c>
      <c r="D441">
        <f>IFERROR(__xludf.DUMMYFUNCTION("""COMPUTED_VALUE"""),2023.0)</f>
        <v>2023</v>
      </c>
      <c r="E441">
        <f>IFERROR(__xludf.DUMMYFUNCTION("""COMPUTED_VALUE"""),3.6109078E7)</f>
        <v>36109078</v>
      </c>
    </row>
    <row r="442">
      <c r="A442" t="str">
        <f t="shared" si="1"/>
        <v>ago#2024</v>
      </c>
      <c r="B442" t="str">
        <f>IFERROR(__xludf.DUMMYFUNCTION("""COMPUTED_VALUE"""),"ago")</f>
        <v>ago</v>
      </c>
      <c r="C442" t="str">
        <f>IFERROR(__xludf.DUMMYFUNCTION("""COMPUTED_VALUE"""),"Angola")</f>
        <v>Angola</v>
      </c>
      <c r="D442">
        <f>IFERROR(__xludf.DUMMYFUNCTION("""COMPUTED_VALUE"""),2024.0)</f>
        <v>2024</v>
      </c>
      <c r="E442">
        <f>IFERROR(__xludf.DUMMYFUNCTION("""COMPUTED_VALUE"""),3.7256728E7)</f>
        <v>37256728</v>
      </c>
    </row>
    <row r="443">
      <c r="A443" t="str">
        <f t="shared" si="1"/>
        <v>ago#2025</v>
      </c>
      <c r="B443" t="str">
        <f>IFERROR(__xludf.DUMMYFUNCTION("""COMPUTED_VALUE"""),"ago")</f>
        <v>ago</v>
      </c>
      <c r="C443" t="str">
        <f>IFERROR(__xludf.DUMMYFUNCTION("""COMPUTED_VALUE"""),"Angola")</f>
        <v>Angola</v>
      </c>
      <c r="D443">
        <f>IFERROR(__xludf.DUMMYFUNCTION("""COMPUTED_VALUE"""),2025.0)</f>
        <v>2025</v>
      </c>
      <c r="E443">
        <f>IFERROR(__xludf.DUMMYFUNCTION("""COMPUTED_VALUE"""),3.8431208E7)</f>
        <v>38431208</v>
      </c>
    </row>
    <row r="444">
      <c r="A444" t="str">
        <f t="shared" si="1"/>
        <v>ago#2026</v>
      </c>
      <c r="B444" t="str">
        <f>IFERROR(__xludf.DUMMYFUNCTION("""COMPUTED_VALUE"""),"ago")</f>
        <v>ago</v>
      </c>
      <c r="C444" t="str">
        <f>IFERROR(__xludf.DUMMYFUNCTION("""COMPUTED_VALUE"""),"Angola")</f>
        <v>Angola</v>
      </c>
      <c r="D444">
        <f>IFERROR(__xludf.DUMMYFUNCTION("""COMPUTED_VALUE"""),2026.0)</f>
        <v>2026</v>
      </c>
      <c r="E444">
        <f>IFERROR(__xludf.DUMMYFUNCTION("""COMPUTED_VALUE"""),3.9632777E7)</f>
        <v>39632777</v>
      </c>
    </row>
    <row r="445">
      <c r="A445" t="str">
        <f t="shared" si="1"/>
        <v>ago#2027</v>
      </c>
      <c r="B445" t="str">
        <f>IFERROR(__xludf.DUMMYFUNCTION("""COMPUTED_VALUE"""),"ago")</f>
        <v>ago</v>
      </c>
      <c r="C445" t="str">
        <f>IFERROR(__xludf.DUMMYFUNCTION("""COMPUTED_VALUE"""),"Angola")</f>
        <v>Angola</v>
      </c>
      <c r="D445">
        <f>IFERROR(__xludf.DUMMYFUNCTION("""COMPUTED_VALUE"""),2027.0)</f>
        <v>2027</v>
      </c>
      <c r="E445">
        <f>IFERROR(__xludf.DUMMYFUNCTION("""COMPUTED_VALUE"""),4.0861741E7)</f>
        <v>40861741</v>
      </c>
    </row>
    <row r="446">
      <c r="A446" t="str">
        <f t="shared" si="1"/>
        <v>ago#2028</v>
      </c>
      <c r="B446" t="str">
        <f>IFERROR(__xludf.DUMMYFUNCTION("""COMPUTED_VALUE"""),"ago")</f>
        <v>ago</v>
      </c>
      <c r="C446" t="str">
        <f>IFERROR(__xludf.DUMMYFUNCTION("""COMPUTED_VALUE"""),"Angola")</f>
        <v>Angola</v>
      </c>
      <c r="D446">
        <f>IFERROR(__xludf.DUMMYFUNCTION("""COMPUTED_VALUE"""),2028.0)</f>
        <v>2028</v>
      </c>
      <c r="E446">
        <f>IFERROR(__xludf.DUMMYFUNCTION("""COMPUTED_VALUE"""),4.2118066E7)</f>
        <v>42118066</v>
      </c>
    </row>
    <row r="447">
      <c r="A447" t="str">
        <f t="shared" si="1"/>
        <v>ago#2029</v>
      </c>
      <c r="B447" t="str">
        <f>IFERROR(__xludf.DUMMYFUNCTION("""COMPUTED_VALUE"""),"ago")</f>
        <v>ago</v>
      </c>
      <c r="C447" t="str">
        <f>IFERROR(__xludf.DUMMYFUNCTION("""COMPUTED_VALUE"""),"Angola")</f>
        <v>Angola</v>
      </c>
      <c r="D447">
        <f>IFERROR(__xludf.DUMMYFUNCTION("""COMPUTED_VALUE"""),2029.0)</f>
        <v>2029</v>
      </c>
      <c r="E447">
        <f>IFERROR(__xludf.DUMMYFUNCTION("""COMPUTED_VALUE"""),4.340163E7)</f>
        <v>43401630</v>
      </c>
    </row>
    <row r="448">
      <c r="A448" t="str">
        <f t="shared" si="1"/>
        <v>ago#2030</v>
      </c>
      <c r="B448" t="str">
        <f>IFERROR(__xludf.DUMMYFUNCTION("""COMPUTED_VALUE"""),"ago")</f>
        <v>ago</v>
      </c>
      <c r="C448" t="str">
        <f>IFERROR(__xludf.DUMMYFUNCTION("""COMPUTED_VALUE"""),"Angola")</f>
        <v>Angola</v>
      </c>
      <c r="D448">
        <f>IFERROR(__xludf.DUMMYFUNCTION("""COMPUTED_VALUE"""),2030.0)</f>
        <v>2030</v>
      </c>
      <c r="E448">
        <f>IFERROR(__xludf.DUMMYFUNCTION("""COMPUTED_VALUE"""),4.4712282E7)</f>
        <v>44712282</v>
      </c>
    </row>
    <row r="449">
      <c r="A449" t="str">
        <f t="shared" si="1"/>
        <v>ago#2031</v>
      </c>
      <c r="B449" t="str">
        <f>IFERROR(__xludf.DUMMYFUNCTION("""COMPUTED_VALUE"""),"ago")</f>
        <v>ago</v>
      </c>
      <c r="C449" t="str">
        <f>IFERROR(__xludf.DUMMYFUNCTION("""COMPUTED_VALUE"""),"Angola")</f>
        <v>Angola</v>
      </c>
      <c r="D449">
        <f>IFERROR(__xludf.DUMMYFUNCTION("""COMPUTED_VALUE"""),2031.0)</f>
        <v>2031</v>
      </c>
      <c r="E449">
        <f>IFERROR(__xludf.DUMMYFUNCTION("""COMPUTED_VALUE"""),4.6049888E7)</f>
        <v>46049888</v>
      </c>
    </row>
    <row r="450">
      <c r="A450" t="str">
        <f t="shared" si="1"/>
        <v>ago#2032</v>
      </c>
      <c r="B450" t="str">
        <f>IFERROR(__xludf.DUMMYFUNCTION("""COMPUTED_VALUE"""),"ago")</f>
        <v>ago</v>
      </c>
      <c r="C450" t="str">
        <f>IFERROR(__xludf.DUMMYFUNCTION("""COMPUTED_VALUE"""),"Angola")</f>
        <v>Angola</v>
      </c>
      <c r="D450">
        <f>IFERROR(__xludf.DUMMYFUNCTION("""COMPUTED_VALUE"""),2032.0)</f>
        <v>2032</v>
      </c>
      <c r="E450">
        <f>IFERROR(__xludf.DUMMYFUNCTION("""COMPUTED_VALUE"""),4.7414284E7)</f>
        <v>47414284</v>
      </c>
    </row>
    <row r="451">
      <c r="A451" t="str">
        <f t="shared" si="1"/>
        <v>ago#2033</v>
      </c>
      <c r="B451" t="str">
        <f>IFERROR(__xludf.DUMMYFUNCTION("""COMPUTED_VALUE"""),"ago")</f>
        <v>ago</v>
      </c>
      <c r="C451" t="str">
        <f>IFERROR(__xludf.DUMMYFUNCTION("""COMPUTED_VALUE"""),"Angola")</f>
        <v>Angola</v>
      </c>
      <c r="D451">
        <f>IFERROR(__xludf.DUMMYFUNCTION("""COMPUTED_VALUE"""),2033.0)</f>
        <v>2033</v>
      </c>
      <c r="E451">
        <f>IFERROR(__xludf.DUMMYFUNCTION("""COMPUTED_VALUE"""),4.8805159E7)</f>
        <v>48805159</v>
      </c>
    </row>
    <row r="452">
      <c r="A452" t="str">
        <f t="shared" si="1"/>
        <v>ago#2034</v>
      </c>
      <c r="B452" t="str">
        <f>IFERROR(__xludf.DUMMYFUNCTION("""COMPUTED_VALUE"""),"ago")</f>
        <v>ago</v>
      </c>
      <c r="C452" t="str">
        <f>IFERROR(__xludf.DUMMYFUNCTION("""COMPUTED_VALUE"""),"Angola")</f>
        <v>Angola</v>
      </c>
      <c r="D452">
        <f>IFERROR(__xludf.DUMMYFUNCTION("""COMPUTED_VALUE"""),2034.0)</f>
        <v>2034</v>
      </c>
      <c r="E452">
        <f>IFERROR(__xludf.DUMMYFUNCTION("""COMPUTED_VALUE"""),5.0222155E7)</f>
        <v>50222155</v>
      </c>
    </row>
    <row r="453">
      <c r="A453" t="str">
        <f t="shared" si="1"/>
        <v>ago#2035</v>
      </c>
      <c r="B453" t="str">
        <f>IFERROR(__xludf.DUMMYFUNCTION("""COMPUTED_VALUE"""),"ago")</f>
        <v>ago</v>
      </c>
      <c r="C453" t="str">
        <f>IFERROR(__xludf.DUMMYFUNCTION("""COMPUTED_VALUE"""),"Angola")</f>
        <v>Angola</v>
      </c>
      <c r="D453">
        <f>IFERROR(__xludf.DUMMYFUNCTION("""COMPUTED_VALUE"""),2035.0)</f>
        <v>2035</v>
      </c>
      <c r="E453">
        <f>IFERROR(__xludf.DUMMYFUNCTION("""COMPUTED_VALUE"""),5.1664864E7)</f>
        <v>51664864</v>
      </c>
    </row>
    <row r="454">
      <c r="A454" t="str">
        <f t="shared" si="1"/>
        <v>ago#2036</v>
      </c>
      <c r="B454" t="str">
        <f>IFERROR(__xludf.DUMMYFUNCTION("""COMPUTED_VALUE"""),"ago")</f>
        <v>ago</v>
      </c>
      <c r="C454" t="str">
        <f>IFERROR(__xludf.DUMMYFUNCTION("""COMPUTED_VALUE"""),"Angola")</f>
        <v>Angola</v>
      </c>
      <c r="D454">
        <f>IFERROR(__xludf.DUMMYFUNCTION("""COMPUTED_VALUE"""),2036.0)</f>
        <v>2036</v>
      </c>
      <c r="E454">
        <f>IFERROR(__xludf.DUMMYFUNCTION("""COMPUTED_VALUE"""),5.3132953E7)</f>
        <v>53132953</v>
      </c>
    </row>
    <row r="455">
      <c r="A455" t="str">
        <f t="shared" si="1"/>
        <v>ago#2037</v>
      </c>
      <c r="B455" t="str">
        <f>IFERROR(__xludf.DUMMYFUNCTION("""COMPUTED_VALUE"""),"ago")</f>
        <v>ago</v>
      </c>
      <c r="C455" t="str">
        <f>IFERROR(__xludf.DUMMYFUNCTION("""COMPUTED_VALUE"""),"Angola")</f>
        <v>Angola</v>
      </c>
      <c r="D455">
        <f>IFERROR(__xludf.DUMMYFUNCTION("""COMPUTED_VALUE"""),2037.0)</f>
        <v>2037</v>
      </c>
      <c r="E455">
        <f>IFERROR(__xludf.DUMMYFUNCTION("""COMPUTED_VALUE"""),5.4626019E7)</f>
        <v>54626019</v>
      </c>
    </row>
    <row r="456">
      <c r="A456" t="str">
        <f t="shared" si="1"/>
        <v>ago#2038</v>
      </c>
      <c r="B456" t="str">
        <f>IFERROR(__xludf.DUMMYFUNCTION("""COMPUTED_VALUE"""),"ago")</f>
        <v>ago</v>
      </c>
      <c r="C456" t="str">
        <f>IFERROR(__xludf.DUMMYFUNCTION("""COMPUTED_VALUE"""),"Angola")</f>
        <v>Angola</v>
      </c>
      <c r="D456">
        <f>IFERROR(__xludf.DUMMYFUNCTION("""COMPUTED_VALUE"""),2038.0)</f>
        <v>2038</v>
      </c>
      <c r="E456">
        <f>IFERROR(__xludf.DUMMYFUNCTION("""COMPUTED_VALUE"""),5.614348E7)</f>
        <v>56143480</v>
      </c>
    </row>
    <row r="457">
      <c r="A457" t="str">
        <f t="shared" si="1"/>
        <v>ago#2039</v>
      </c>
      <c r="B457" t="str">
        <f>IFERROR(__xludf.DUMMYFUNCTION("""COMPUTED_VALUE"""),"ago")</f>
        <v>ago</v>
      </c>
      <c r="C457" t="str">
        <f>IFERROR(__xludf.DUMMYFUNCTION("""COMPUTED_VALUE"""),"Angola")</f>
        <v>Angola</v>
      </c>
      <c r="D457">
        <f>IFERROR(__xludf.DUMMYFUNCTION("""COMPUTED_VALUE"""),2039.0)</f>
        <v>2039</v>
      </c>
      <c r="E457">
        <f>IFERROR(__xludf.DUMMYFUNCTION("""COMPUTED_VALUE"""),5.7684681E7)</f>
        <v>57684681</v>
      </c>
    </row>
    <row r="458">
      <c r="A458" t="str">
        <f t="shared" si="1"/>
        <v>ago#2040</v>
      </c>
      <c r="B458" t="str">
        <f>IFERROR(__xludf.DUMMYFUNCTION("""COMPUTED_VALUE"""),"ago")</f>
        <v>ago</v>
      </c>
      <c r="C458" t="str">
        <f>IFERROR(__xludf.DUMMYFUNCTION("""COMPUTED_VALUE"""),"Angola")</f>
        <v>Angola</v>
      </c>
      <c r="D458">
        <f>IFERROR(__xludf.DUMMYFUNCTION("""COMPUTED_VALUE"""),2040.0)</f>
        <v>2040</v>
      </c>
      <c r="E458">
        <f>IFERROR(__xludf.DUMMYFUNCTION("""COMPUTED_VALUE"""),5.9249002E7)</f>
        <v>59249002</v>
      </c>
    </row>
    <row r="459">
      <c r="A459" t="str">
        <f t="shared" si="1"/>
        <v>atg#1950</v>
      </c>
      <c r="B459" t="str">
        <f>IFERROR(__xludf.DUMMYFUNCTION("""COMPUTED_VALUE"""),"atg")</f>
        <v>atg</v>
      </c>
      <c r="C459" t="str">
        <f>IFERROR(__xludf.DUMMYFUNCTION("""COMPUTED_VALUE"""),"Antigua and Barbuda")</f>
        <v>Antigua and Barbuda</v>
      </c>
      <c r="D459">
        <f>IFERROR(__xludf.DUMMYFUNCTION("""COMPUTED_VALUE"""),1950.0)</f>
        <v>1950</v>
      </c>
      <c r="E459">
        <f>IFERROR(__xludf.DUMMYFUNCTION("""COMPUTED_VALUE"""),46303.0)</f>
        <v>46303</v>
      </c>
    </row>
    <row r="460">
      <c r="A460" t="str">
        <f t="shared" si="1"/>
        <v>atg#1951</v>
      </c>
      <c r="B460" t="str">
        <f>IFERROR(__xludf.DUMMYFUNCTION("""COMPUTED_VALUE"""),"atg")</f>
        <v>atg</v>
      </c>
      <c r="C460" t="str">
        <f>IFERROR(__xludf.DUMMYFUNCTION("""COMPUTED_VALUE"""),"Antigua and Barbuda")</f>
        <v>Antigua and Barbuda</v>
      </c>
      <c r="D460">
        <f>IFERROR(__xludf.DUMMYFUNCTION("""COMPUTED_VALUE"""),1951.0)</f>
        <v>1951</v>
      </c>
      <c r="E460">
        <f>IFERROR(__xludf.DUMMYFUNCTION("""COMPUTED_VALUE"""),48365.0)</f>
        <v>48365</v>
      </c>
    </row>
    <row r="461">
      <c r="A461" t="str">
        <f t="shared" si="1"/>
        <v>atg#1952</v>
      </c>
      <c r="B461" t="str">
        <f>IFERROR(__xludf.DUMMYFUNCTION("""COMPUTED_VALUE"""),"atg")</f>
        <v>atg</v>
      </c>
      <c r="C461" t="str">
        <f>IFERROR(__xludf.DUMMYFUNCTION("""COMPUTED_VALUE"""),"Antigua and Barbuda")</f>
        <v>Antigua and Barbuda</v>
      </c>
      <c r="D461">
        <f>IFERROR(__xludf.DUMMYFUNCTION("""COMPUTED_VALUE"""),1952.0)</f>
        <v>1952</v>
      </c>
      <c r="E461">
        <f>IFERROR(__xludf.DUMMYFUNCTION("""COMPUTED_VALUE"""),49999.0)</f>
        <v>49999</v>
      </c>
    </row>
    <row r="462">
      <c r="A462" t="str">
        <f t="shared" si="1"/>
        <v>atg#1953</v>
      </c>
      <c r="B462" t="str">
        <f>IFERROR(__xludf.DUMMYFUNCTION("""COMPUTED_VALUE"""),"atg")</f>
        <v>atg</v>
      </c>
      <c r="C462" t="str">
        <f>IFERROR(__xludf.DUMMYFUNCTION("""COMPUTED_VALUE"""),"Antigua and Barbuda")</f>
        <v>Antigua and Barbuda</v>
      </c>
      <c r="D462">
        <f>IFERROR(__xludf.DUMMYFUNCTION("""COMPUTED_VALUE"""),1953.0)</f>
        <v>1953</v>
      </c>
      <c r="E462">
        <f>IFERROR(__xludf.DUMMYFUNCTION("""COMPUTED_VALUE"""),51262.0)</f>
        <v>51262</v>
      </c>
    </row>
    <row r="463">
      <c r="A463" t="str">
        <f t="shared" si="1"/>
        <v>atg#1954</v>
      </c>
      <c r="B463" t="str">
        <f>IFERROR(__xludf.DUMMYFUNCTION("""COMPUTED_VALUE"""),"atg")</f>
        <v>atg</v>
      </c>
      <c r="C463" t="str">
        <f>IFERROR(__xludf.DUMMYFUNCTION("""COMPUTED_VALUE"""),"Antigua and Barbuda")</f>
        <v>Antigua and Barbuda</v>
      </c>
      <c r="D463">
        <f>IFERROR(__xludf.DUMMYFUNCTION("""COMPUTED_VALUE"""),1954.0)</f>
        <v>1954</v>
      </c>
      <c r="E463">
        <f>IFERROR(__xludf.DUMMYFUNCTION("""COMPUTED_VALUE"""),52208.0)</f>
        <v>52208</v>
      </c>
    </row>
    <row r="464">
      <c r="A464" t="str">
        <f t="shared" si="1"/>
        <v>atg#1955</v>
      </c>
      <c r="B464" t="str">
        <f>IFERROR(__xludf.DUMMYFUNCTION("""COMPUTED_VALUE"""),"atg")</f>
        <v>atg</v>
      </c>
      <c r="C464" t="str">
        <f>IFERROR(__xludf.DUMMYFUNCTION("""COMPUTED_VALUE"""),"Antigua and Barbuda")</f>
        <v>Antigua and Barbuda</v>
      </c>
      <c r="D464">
        <f>IFERROR(__xludf.DUMMYFUNCTION("""COMPUTED_VALUE"""),1955.0)</f>
        <v>1955</v>
      </c>
      <c r="E464">
        <f>IFERROR(__xludf.DUMMYFUNCTION("""COMPUTED_VALUE"""),52897.0)</f>
        <v>52897</v>
      </c>
    </row>
    <row r="465">
      <c r="A465" t="str">
        <f t="shared" si="1"/>
        <v>atg#1956</v>
      </c>
      <c r="B465" t="str">
        <f>IFERROR(__xludf.DUMMYFUNCTION("""COMPUTED_VALUE"""),"atg")</f>
        <v>atg</v>
      </c>
      <c r="C465" t="str">
        <f>IFERROR(__xludf.DUMMYFUNCTION("""COMPUTED_VALUE"""),"Antigua and Barbuda")</f>
        <v>Antigua and Barbuda</v>
      </c>
      <c r="D465">
        <f>IFERROR(__xludf.DUMMYFUNCTION("""COMPUTED_VALUE"""),1956.0)</f>
        <v>1956</v>
      </c>
      <c r="E465">
        <f>IFERROR(__xludf.DUMMYFUNCTION("""COMPUTED_VALUE"""),53420.0)</f>
        <v>53420</v>
      </c>
    </row>
    <row r="466">
      <c r="A466" t="str">
        <f t="shared" si="1"/>
        <v>atg#1957</v>
      </c>
      <c r="B466" t="str">
        <f>IFERROR(__xludf.DUMMYFUNCTION("""COMPUTED_VALUE"""),"atg")</f>
        <v>atg</v>
      </c>
      <c r="C466" t="str">
        <f>IFERROR(__xludf.DUMMYFUNCTION("""COMPUTED_VALUE"""),"Antigua and Barbuda")</f>
        <v>Antigua and Barbuda</v>
      </c>
      <c r="D466">
        <f>IFERROR(__xludf.DUMMYFUNCTION("""COMPUTED_VALUE"""),1957.0)</f>
        <v>1957</v>
      </c>
      <c r="E466">
        <f>IFERROR(__xludf.DUMMYFUNCTION("""COMPUTED_VALUE"""),53838.0)</f>
        <v>53838</v>
      </c>
    </row>
    <row r="467">
      <c r="A467" t="str">
        <f t="shared" si="1"/>
        <v>atg#1958</v>
      </c>
      <c r="B467" t="str">
        <f>IFERROR(__xludf.DUMMYFUNCTION("""COMPUTED_VALUE"""),"atg")</f>
        <v>atg</v>
      </c>
      <c r="C467" t="str">
        <f>IFERROR(__xludf.DUMMYFUNCTION("""COMPUTED_VALUE"""),"Antigua and Barbuda")</f>
        <v>Antigua and Barbuda</v>
      </c>
      <c r="D467">
        <f>IFERROR(__xludf.DUMMYFUNCTION("""COMPUTED_VALUE"""),1958.0)</f>
        <v>1958</v>
      </c>
      <c r="E467">
        <f>IFERROR(__xludf.DUMMYFUNCTION("""COMPUTED_VALUE"""),54241.0)</f>
        <v>54241</v>
      </c>
    </row>
    <row r="468">
      <c r="A468" t="str">
        <f t="shared" si="1"/>
        <v>atg#1959</v>
      </c>
      <c r="B468" t="str">
        <f>IFERROR(__xludf.DUMMYFUNCTION("""COMPUTED_VALUE"""),"atg")</f>
        <v>atg</v>
      </c>
      <c r="C468" t="str">
        <f>IFERROR(__xludf.DUMMYFUNCTION("""COMPUTED_VALUE"""),"Antigua and Barbuda")</f>
        <v>Antigua and Barbuda</v>
      </c>
      <c r="D468">
        <f>IFERROR(__xludf.DUMMYFUNCTION("""COMPUTED_VALUE"""),1959.0)</f>
        <v>1959</v>
      </c>
      <c r="E468">
        <f>IFERROR(__xludf.DUMMYFUNCTION("""COMPUTED_VALUE"""),54722.0)</f>
        <v>54722</v>
      </c>
    </row>
    <row r="469">
      <c r="A469" t="str">
        <f t="shared" si="1"/>
        <v>atg#1960</v>
      </c>
      <c r="B469" t="str">
        <f>IFERROR(__xludf.DUMMYFUNCTION("""COMPUTED_VALUE"""),"atg")</f>
        <v>atg</v>
      </c>
      <c r="C469" t="str">
        <f>IFERROR(__xludf.DUMMYFUNCTION("""COMPUTED_VALUE"""),"Antigua and Barbuda")</f>
        <v>Antigua and Barbuda</v>
      </c>
      <c r="D469">
        <f>IFERROR(__xludf.DUMMYFUNCTION("""COMPUTED_VALUE"""),1960.0)</f>
        <v>1960</v>
      </c>
      <c r="E469">
        <f>IFERROR(__xludf.DUMMYFUNCTION("""COMPUTED_VALUE"""),55339.0)</f>
        <v>55339</v>
      </c>
    </row>
    <row r="470">
      <c r="A470" t="str">
        <f t="shared" si="1"/>
        <v>atg#1961</v>
      </c>
      <c r="B470" t="str">
        <f>IFERROR(__xludf.DUMMYFUNCTION("""COMPUTED_VALUE"""),"atg")</f>
        <v>atg</v>
      </c>
      <c r="C470" t="str">
        <f>IFERROR(__xludf.DUMMYFUNCTION("""COMPUTED_VALUE"""),"Antigua and Barbuda")</f>
        <v>Antigua and Barbuda</v>
      </c>
      <c r="D470">
        <f>IFERROR(__xludf.DUMMYFUNCTION("""COMPUTED_VALUE"""),1961.0)</f>
        <v>1961</v>
      </c>
      <c r="E470">
        <f>IFERROR(__xludf.DUMMYFUNCTION("""COMPUTED_VALUE"""),56144.0)</f>
        <v>56144</v>
      </c>
    </row>
    <row r="471">
      <c r="A471" t="str">
        <f t="shared" si="1"/>
        <v>atg#1962</v>
      </c>
      <c r="B471" t="str">
        <f>IFERROR(__xludf.DUMMYFUNCTION("""COMPUTED_VALUE"""),"atg")</f>
        <v>atg</v>
      </c>
      <c r="C471" t="str">
        <f>IFERROR(__xludf.DUMMYFUNCTION("""COMPUTED_VALUE"""),"Antigua and Barbuda")</f>
        <v>Antigua and Barbuda</v>
      </c>
      <c r="D471">
        <f>IFERROR(__xludf.DUMMYFUNCTION("""COMPUTED_VALUE"""),1962.0)</f>
        <v>1962</v>
      </c>
      <c r="E471">
        <f>IFERROR(__xludf.DUMMYFUNCTION("""COMPUTED_VALUE"""),57144.0)</f>
        <v>57144</v>
      </c>
    </row>
    <row r="472">
      <c r="A472" t="str">
        <f t="shared" si="1"/>
        <v>atg#1963</v>
      </c>
      <c r="B472" t="str">
        <f>IFERROR(__xludf.DUMMYFUNCTION("""COMPUTED_VALUE"""),"atg")</f>
        <v>atg</v>
      </c>
      <c r="C472" t="str">
        <f>IFERROR(__xludf.DUMMYFUNCTION("""COMPUTED_VALUE"""),"Antigua and Barbuda")</f>
        <v>Antigua and Barbuda</v>
      </c>
      <c r="D472">
        <f>IFERROR(__xludf.DUMMYFUNCTION("""COMPUTED_VALUE"""),1963.0)</f>
        <v>1963</v>
      </c>
      <c r="E472">
        <f>IFERROR(__xludf.DUMMYFUNCTION("""COMPUTED_VALUE"""),58294.0)</f>
        <v>58294</v>
      </c>
    </row>
    <row r="473">
      <c r="A473" t="str">
        <f t="shared" si="1"/>
        <v>atg#1964</v>
      </c>
      <c r="B473" t="str">
        <f>IFERROR(__xludf.DUMMYFUNCTION("""COMPUTED_VALUE"""),"atg")</f>
        <v>atg</v>
      </c>
      <c r="C473" t="str">
        <f>IFERROR(__xludf.DUMMYFUNCTION("""COMPUTED_VALUE"""),"Antigua and Barbuda")</f>
        <v>Antigua and Barbuda</v>
      </c>
      <c r="D473">
        <f>IFERROR(__xludf.DUMMYFUNCTION("""COMPUTED_VALUE"""),1964.0)</f>
        <v>1964</v>
      </c>
      <c r="E473">
        <f>IFERROR(__xludf.DUMMYFUNCTION("""COMPUTED_VALUE"""),59524.0)</f>
        <v>59524</v>
      </c>
    </row>
    <row r="474">
      <c r="A474" t="str">
        <f t="shared" si="1"/>
        <v>atg#1965</v>
      </c>
      <c r="B474" t="str">
        <f>IFERROR(__xludf.DUMMYFUNCTION("""COMPUTED_VALUE"""),"atg")</f>
        <v>atg</v>
      </c>
      <c r="C474" t="str">
        <f>IFERROR(__xludf.DUMMYFUNCTION("""COMPUTED_VALUE"""),"Antigua and Barbuda")</f>
        <v>Antigua and Barbuda</v>
      </c>
      <c r="D474">
        <f>IFERROR(__xludf.DUMMYFUNCTION("""COMPUTED_VALUE"""),1965.0)</f>
        <v>1965</v>
      </c>
      <c r="E474">
        <f>IFERROR(__xludf.DUMMYFUNCTION("""COMPUTED_VALUE"""),60781.0)</f>
        <v>60781</v>
      </c>
    </row>
    <row r="475">
      <c r="A475" t="str">
        <f t="shared" si="1"/>
        <v>atg#1966</v>
      </c>
      <c r="B475" t="str">
        <f>IFERROR(__xludf.DUMMYFUNCTION("""COMPUTED_VALUE"""),"atg")</f>
        <v>atg</v>
      </c>
      <c r="C475" t="str">
        <f>IFERROR(__xludf.DUMMYFUNCTION("""COMPUTED_VALUE"""),"Antigua and Barbuda")</f>
        <v>Antigua and Barbuda</v>
      </c>
      <c r="D475">
        <f>IFERROR(__xludf.DUMMYFUNCTION("""COMPUTED_VALUE"""),1966.0)</f>
        <v>1966</v>
      </c>
      <c r="E475">
        <f>IFERROR(__xludf.DUMMYFUNCTION("""COMPUTED_VALUE"""),62059.0)</f>
        <v>62059</v>
      </c>
    </row>
    <row r="476">
      <c r="A476" t="str">
        <f t="shared" si="1"/>
        <v>atg#1967</v>
      </c>
      <c r="B476" t="str">
        <f>IFERROR(__xludf.DUMMYFUNCTION("""COMPUTED_VALUE"""),"atg")</f>
        <v>atg</v>
      </c>
      <c r="C476" t="str">
        <f>IFERROR(__xludf.DUMMYFUNCTION("""COMPUTED_VALUE"""),"Antigua and Barbuda")</f>
        <v>Antigua and Barbuda</v>
      </c>
      <c r="D476">
        <f>IFERROR(__xludf.DUMMYFUNCTION("""COMPUTED_VALUE"""),1967.0)</f>
        <v>1967</v>
      </c>
      <c r="E476">
        <f>IFERROR(__xludf.DUMMYFUNCTION("""COMPUTED_VALUE"""),63360.0)</f>
        <v>63360</v>
      </c>
    </row>
    <row r="477">
      <c r="A477" t="str">
        <f t="shared" si="1"/>
        <v>atg#1968</v>
      </c>
      <c r="B477" t="str">
        <f>IFERROR(__xludf.DUMMYFUNCTION("""COMPUTED_VALUE"""),"atg")</f>
        <v>atg</v>
      </c>
      <c r="C477" t="str">
        <f>IFERROR(__xludf.DUMMYFUNCTION("""COMPUTED_VALUE"""),"Antigua and Barbuda")</f>
        <v>Antigua and Barbuda</v>
      </c>
      <c r="D477">
        <f>IFERROR(__xludf.DUMMYFUNCTION("""COMPUTED_VALUE"""),1968.0)</f>
        <v>1968</v>
      </c>
      <c r="E477">
        <f>IFERROR(__xludf.DUMMYFUNCTION("""COMPUTED_VALUE"""),64655.0)</f>
        <v>64655</v>
      </c>
    </row>
    <row r="478">
      <c r="A478" t="str">
        <f t="shared" si="1"/>
        <v>atg#1969</v>
      </c>
      <c r="B478" t="str">
        <f>IFERROR(__xludf.DUMMYFUNCTION("""COMPUTED_VALUE"""),"atg")</f>
        <v>atg</v>
      </c>
      <c r="C478" t="str">
        <f>IFERROR(__xludf.DUMMYFUNCTION("""COMPUTED_VALUE"""),"Antigua and Barbuda")</f>
        <v>Antigua and Barbuda</v>
      </c>
      <c r="D478">
        <f>IFERROR(__xludf.DUMMYFUNCTION("""COMPUTED_VALUE"""),1969.0)</f>
        <v>1969</v>
      </c>
      <c r="E478">
        <f>IFERROR(__xludf.DUMMYFUNCTION("""COMPUTED_VALUE"""),65910.0)</f>
        <v>65910</v>
      </c>
    </row>
    <row r="479">
      <c r="A479" t="str">
        <f t="shared" si="1"/>
        <v>atg#1970</v>
      </c>
      <c r="B479" t="str">
        <f>IFERROR(__xludf.DUMMYFUNCTION("""COMPUTED_VALUE"""),"atg")</f>
        <v>atg</v>
      </c>
      <c r="C479" t="str">
        <f>IFERROR(__xludf.DUMMYFUNCTION("""COMPUTED_VALUE"""),"Antigua and Barbuda")</f>
        <v>Antigua and Barbuda</v>
      </c>
      <c r="D479">
        <f>IFERROR(__xludf.DUMMYFUNCTION("""COMPUTED_VALUE"""),1970.0)</f>
        <v>1970</v>
      </c>
      <c r="E479">
        <f>IFERROR(__xludf.DUMMYFUNCTION("""COMPUTED_VALUE"""),67098.0)</f>
        <v>67098</v>
      </c>
    </row>
    <row r="480">
      <c r="A480" t="str">
        <f t="shared" si="1"/>
        <v>atg#1971</v>
      </c>
      <c r="B480" t="str">
        <f>IFERROR(__xludf.DUMMYFUNCTION("""COMPUTED_VALUE"""),"atg")</f>
        <v>atg</v>
      </c>
      <c r="C480" t="str">
        <f>IFERROR(__xludf.DUMMYFUNCTION("""COMPUTED_VALUE"""),"Antigua and Barbuda")</f>
        <v>Antigua and Barbuda</v>
      </c>
      <c r="D480">
        <f>IFERROR(__xludf.DUMMYFUNCTION("""COMPUTED_VALUE"""),1971.0)</f>
        <v>1971</v>
      </c>
      <c r="E480">
        <f>IFERROR(__xludf.DUMMYFUNCTION("""COMPUTED_VALUE"""),68188.0)</f>
        <v>68188</v>
      </c>
    </row>
    <row r="481">
      <c r="A481" t="str">
        <f t="shared" si="1"/>
        <v>atg#1972</v>
      </c>
      <c r="B481" t="str">
        <f>IFERROR(__xludf.DUMMYFUNCTION("""COMPUTED_VALUE"""),"atg")</f>
        <v>atg</v>
      </c>
      <c r="C481" t="str">
        <f>IFERROR(__xludf.DUMMYFUNCTION("""COMPUTED_VALUE"""),"Antigua and Barbuda")</f>
        <v>Antigua and Barbuda</v>
      </c>
      <c r="D481">
        <f>IFERROR(__xludf.DUMMYFUNCTION("""COMPUTED_VALUE"""),1972.0)</f>
        <v>1972</v>
      </c>
      <c r="E481">
        <f>IFERROR(__xludf.DUMMYFUNCTION("""COMPUTED_VALUE"""),69176.0)</f>
        <v>69176</v>
      </c>
    </row>
    <row r="482">
      <c r="A482" t="str">
        <f t="shared" si="1"/>
        <v>atg#1973</v>
      </c>
      <c r="B482" t="str">
        <f>IFERROR(__xludf.DUMMYFUNCTION("""COMPUTED_VALUE"""),"atg")</f>
        <v>atg</v>
      </c>
      <c r="C482" t="str">
        <f>IFERROR(__xludf.DUMMYFUNCTION("""COMPUTED_VALUE"""),"Antigua and Barbuda")</f>
        <v>Antigua and Barbuda</v>
      </c>
      <c r="D482">
        <f>IFERROR(__xludf.DUMMYFUNCTION("""COMPUTED_VALUE"""),1973.0)</f>
        <v>1973</v>
      </c>
      <c r="E482">
        <f>IFERROR(__xludf.DUMMYFUNCTION("""COMPUTED_VALUE"""),70066.0)</f>
        <v>70066</v>
      </c>
    </row>
    <row r="483">
      <c r="A483" t="str">
        <f t="shared" si="1"/>
        <v>atg#1974</v>
      </c>
      <c r="B483" t="str">
        <f>IFERROR(__xludf.DUMMYFUNCTION("""COMPUTED_VALUE"""),"atg")</f>
        <v>atg</v>
      </c>
      <c r="C483" t="str">
        <f>IFERROR(__xludf.DUMMYFUNCTION("""COMPUTED_VALUE"""),"Antigua and Barbuda")</f>
        <v>Antigua and Barbuda</v>
      </c>
      <c r="D483">
        <f>IFERROR(__xludf.DUMMYFUNCTION("""COMPUTED_VALUE"""),1974.0)</f>
        <v>1974</v>
      </c>
      <c r="E483">
        <f>IFERROR(__xludf.DUMMYFUNCTION("""COMPUTED_VALUE"""),70878.0)</f>
        <v>70878</v>
      </c>
    </row>
    <row r="484">
      <c r="A484" t="str">
        <f t="shared" si="1"/>
        <v>atg#1975</v>
      </c>
      <c r="B484" t="str">
        <f>IFERROR(__xludf.DUMMYFUNCTION("""COMPUTED_VALUE"""),"atg")</f>
        <v>atg</v>
      </c>
      <c r="C484" t="str">
        <f>IFERROR(__xludf.DUMMYFUNCTION("""COMPUTED_VALUE"""),"Antigua and Barbuda")</f>
        <v>Antigua and Barbuda</v>
      </c>
      <c r="D484">
        <f>IFERROR(__xludf.DUMMYFUNCTION("""COMPUTED_VALUE"""),1975.0)</f>
        <v>1975</v>
      </c>
      <c r="E484">
        <f>IFERROR(__xludf.DUMMYFUNCTION("""COMPUTED_VALUE"""),71609.0)</f>
        <v>71609</v>
      </c>
    </row>
    <row r="485">
      <c r="A485" t="str">
        <f t="shared" si="1"/>
        <v>atg#1976</v>
      </c>
      <c r="B485" t="str">
        <f>IFERROR(__xludf.DUMMYFUNCTION("""COMPUTED_VALUE"""),"atg")</f>
        <v>atg</v>
      </c>
      <c r="C485" t="str">
        <f>IFERROR(__xludf.DUMMYFUNCTION("""COMPUTED_VALUE"""),"Antigua and Barbuda")</f>
        <v>Antigua and Barbuda</v>
      </c>
      <c r="D485">
        <f>IFERROR(__xludf.DUMMYFUNCTION("""COMPUTED_VALUE"""),1976.0)</f>
        <v>1976</v>
      </c>
      <c r="E485">
        <f>IFERROR(__xludf.DUMMYFUNCTION("""COMPUTED_VALUE"""),72285.0)</f>
        <v>72285</v>
      </c>
    </row>
    <row r="486">
      <c r="A486" t="str">
        <f t="shared" si="1"/>
        <v>atg#1977</v>
      </c>
      <c r="B486" t="str">
        <f>IFERROR(__xludf.DUMMYFUNCTION("""COMPUTED_VALUE"""),"atg")</f>
        <v>atg</v>
      </c>
      <c r="C486" t="str">
        <f>IFERROR(__xludf.DUMMYFUNCTION("""COMPUTED_VALUE"""),"Antigua and Barbuda")</f>
        <v>Antigua and Barbuda</v>
      </c>
      <c r="D486">
        <f>IFERROR(__xludf.DUMMYFUNCTION("""COMPUTED_VALUE"""),1977.0)</f>
        <v>1977</v>
      </c>
      <c r="E486">
        <f>IFERROR(__xludf.DUMMYFUNCTION("""COMPUTED_VALUE"""),72875.0)</f>
        <v>72875</v>
      </c>
    </row>
    <row r="487">
      <c r="A487" t="str">
        <f t="shared" si="1"/>
        <v>atg#1978</v>
      </c>
      <c r="B487" t="str">
        <f>IFERROR(__xludf.DUMMYFUNCTION("""COMPUTED_VALUE"""),"atg")</f>
        <v>atg</v>
      </c>
      <c r="C487" t="str">
        <f>IFERROR(__xludf.DUMMYFUNCTION("""COMPUTED_VALUE"""),"Antigua and Barbuda")</f>
        <v>Antigua and Barbuda</v>
      </c>
      <c r="D487">
        <f>IFERROR(__xludf.DUMMYFUNCTION("""COMPUTED_VALUE"""),1978.0)</f>
        <v>1978</v>
      </c>
      <c r="E487">
        <f>IFERROR(__xludf.DUMMYFUNCTION("""COMPUTED_VALUE"""),73324.0)</f>
        <v>73324</v>
      </c>
    </row>
    <row r="488">
      <c r="A488" t="str">
        <f t="shared" si="1"/>
        <v>atg#1979</v>
      </c>
      <c r="B488" t="str">
        <f>IFERROR(__xludf.DUMMYFUNCTION("""COMPUTED_VALUE"""),"atg")</f>
        <v>atg</v>
      </c>
      <c r="C488" t="str">
        <f>IFERROR(__xludf.DUMMYFUNCTION("""COMPUTED_VALUE"""),"Antigua and Barbuda")</f>
        <v>Antigua and Barbuda</v>
      </c>
      <c r="D488">
        <f>IFERROR(__xludf.DUMMYFUNCTION("""COMPUTED_VALUE"""),1979.0)</f>
        <v>1979</v>
      </c>
      <c r="E488">
        <f>IFERROR(__xludf.DUMMYFUNCTION("""COMPUTED_VALUE"""),73528.0)</f>
        <v>73528</v>
      </c>
    </row>
    <row r="489">
      <c r="A489" t="str">
        <f t="shared" si="1"/>
        <v>atg#1980</v>
      </c>
      <c r="B489" t="str">
        <f>IFERROR(__xludf.DUMMYFUNCTION("""COMPUTED_VALUE"""),"atg")</f>
        <v>atg</v>
      </c>
      <c r="C489" t="str">
        <f>IFERROR(__xludf.DUMMYFUNCTION("""COMPUTED_VALUE"""),"Antigua and Barbuda")</f>
        <v>Antigua and Barbuda</v>
      </c>
      <c r="D489">
        <f>IFERROR(__xludf.DUMMYFUNCTION("""COMPUTED_VALUE"""),1980.0)</f>
        <v>1980</v>
      </c>
      <c r="E489">
        <f>IFERROR(__xludf.DUMMYFUNCTION("""COMPUTED_VALUE"""),73442.0)</f>
        <v>73442</v>
      </c>
    </row>
    <row r="490">
      <c r="A490" t="str">
        <f t="shared" si="1"/>
        <v>atg#1981</v>
      </c>
      <c r="B490" t="str">
        <f>IFERROR(__xludf.DUMMYFUNCTION("""COMPUTED_VALUE"""),"atg")</f>
        <v>atg</v>
      </c>
      <c r="C490" t="str">
        <f>IFERROR(__xludf.DUMMYFUNCTION("""COMPUTED_VALUE"""),"Antigua and Barbuda")</f>
        <v>Antigua and Barbuda</v>
      </c>
      <c r="D490">
        <f>IFERROR(__xludf.DUMMYFUNCTION("""COMPUTED_VALUE"""),1981.0)</f>
        <v>1981</v>
      </c>
      <c r="E490">
        <f>IFERROR(__xludf.DUMMYFUNCTION("""COMPUTED_VALUE"""),73066.0)</f>
        <v>73066</v>
      </c>
    </row>
    <row r="491">
      <c r="A491" t="str">
        <f t="shared" si="1"/>
        <v>atg#1982</v>
      </c>
      <c r="B491" t="str">
        <f>IFERROR(__xludf.DUMMYFUNCTION("""COMPUTED_VALUE"""),"atg")</f>
        <v>atg</v>
      </c>
      <c r="C491" t="str">
        <f>IFERROR(__xludf.DUMMYFUNCTION("""COMPUTED_VALUE"""),"Antigua and Barbuda")</f>
        <v>Antigua and Barbuda</v>
      </c>
      <c r="D491">
        <f>IFERROR(__xludf.DUMMYFUNCTION("""COMPUTED_VALUE"""),1982.0)</f>
        <v>1982</v>
      </c>
      <c r="E491">
        <f>IFERROR(__xludf.DUMMYFUNCTION("""COMPUTED_VALUE"""),72448.0)</f>
        <v>72448</v>
      </c>
    </row>
    <row r="492">
      <c r="A492" t="str">
        <f t="shared" si="1"/>
        <v>atg#1983</v>
      </c>
      <c r="B492" t="str">
        <f>IFERROR(__xludf.DUMMYFUNCTION("""COMPUTED_VALUE"""),"atg")</f>
        <v>atg</v>
      </c>
      <c r="C492" t="str">
        <f>IFERROR(__xludf.DUMMYFUNCTION("""COMPUTED_VALUE"""),"Antigua and Barbuda")</f>
        <v>Antigua and Barbuda</v>
      </c>
      <c r="D492">
        <f>IFERROR(__xludf.DUMMYFUNCTION("""COMPUTED_VALUE"""),1983.0)</f>
        <v>1983</v>
      </c>
      <c r="E492">
        <f>IFERROR(__xludf.DUMMYFUNCTION("""COMPUTED_VALUE"""),71639.0)</f>
        <v>71639</v>
      </c>
    </row>
    <row r="493">
      <c r="A493" t="str">
        <f t="shared" si="1"/>
        <v>atg#1984</v>
      </c>
      <c r="B493" t="str">
        <f>IFERROR(__xludf.DUMMYFUNCTION("""COMPUTED_VALUE"""),"atg")</f>
        <v>atg</v>
      </c>
      <c r="C493" t="str">
        <f>IFERROR(__xludf.DUMMYFUNCTION("""COMPUTED_VALUE"""),"Antigua and Barbuda")</f>
        <v>Antigua and Barbuda</v>
      </c>
      <c r="D493">
        <f>IFERROR(__xludf.DUMMYFUNCTION("""COMPUTED_VALUE"""),1984.0)</f>
        <v>1984</v>
      </c>
      <c r="E493">
        <f>IFERROR(__xludf.DUMMYFUNCTION("""COMPUTED_VALUE"""),70725.0)</f>
        <v>70725</v>
      </c>
    </row>
    <row r="494">
      <c r="A494" t="str">
        <f t="shared" si="1"/>
        <v>atg#1985</v>
      </c>
      <c r="B494" t="str">
        <f>IFERROR(__xludf.DUMMYFUNCTION("""COMPUTED_VALUE"""),"atg")</f>
        <v>atg</v>
      </c>
      <c r="C494" t="str">
        <f>IFERROR(__xludf.DUMMYFUNCTION("""COMPUTED_VALUE"""),"Antigua and Barbuda")</f>
        <v>Antigua and Barbuda</v>
      </c>
      <c r="D494">
        <f>IFERROR(__xludf.DUMMYFUNCTION("""COMPUTED_VALUE"""),1985.0)</f>
        <v>1985</v>
      </c>
      <c r="E494">
        <f>IFERROR(__xludf.DUMMYFUNCTION("""COMPUTED_VALUE"""),69782.0)</f>
        <v>69782</v>
      </c>
    </row>
    <row r="495">
      <c r="A495" t="str">
        <f t="shared" si="1"/>
        <v>atg#1986</v>
      </c>
      <c r="B495" t="str">
        <f>IFERROR(__xludf.DUMMYFUNCTION("""COMPUTED_VALUE"""),"atg")</f>
        <v>atg</v>
      </c>
      <c r="C495" t="str">
        <f>IFERROR(__xludf.DUMMYFUNCTION("""COMPUTED_VALUE"""),"Antigua and Barbuda")</f>
        <v>Antigua and Barbuda</v>
      </c>
      <c r="D495">
        <f>IFERROR(__xludf.DUMMYFUNCTION("""COMPUTED_VALUE"""),1986.0)</f>
        <v>1986</v>
      </c>
      <c r="E495">
        <f>IFERROR(__xludf.DUMMYFUNCTION("""COMPUTED_VALUE"""),68809.0)</f>
        <v>68809</v>
      </c>
    </row>
    <row r="496">
      <c r="A496" t="str">
        <f t="shared" si="1"/>
        <v>atg#1987</v>
      </c>
      <c r="B496" t="str">
        <f>IFERROR(__xludf.DUMMYFUNCTION("""COMPUTED_VALUE"""),"atg")</f>
        <v>atg</v>
      </c>
      <c r="C496" t="str">
        <f>IFERROR(__xludf.DUMMYFUNCTION("""COMPUTED_VALUE"""),"Antigua and Barbuda")</f>
        <v>Antigua and Barbuda</v>
      </c>
      <c r="D496">
        <f>IFERROR(__xludf.DUMMYFUNCTION("""COMPUTED_VALUE"""),1987.0)</f>
        <v>1987</v>
      </c>
      <c r="E496">
        <f>IFERROR(__xludf.DUMMYFUNCTION("""COMPUTED_VALUE"""),67845.0)</f>
        <v>67845</v>
      </c>
    </row>
    <row r="497">
      <c r="A497" t="str">
        <f t="shared" si="1"/>
        <v>atg#1988</v>
      </c>
      <c r="B497" t="str">
        <f>IFERROR(__xludf.DUMMYFUNCTION("""COMPUTED_VALUE"""),"atg")</f>
        <v>atg</v>
      </c>
      <c r="C497" t="str">
        <f>IFERROR(__xludf.DUMMYFUNCTION("""COMPUTED_VALUE"""),"Antigua and Barbuda")</f>
        <v>Antigua and Barbuda</v>
      </c>
      <c r="D497">
        <f>IFERROR(__xludf.DUMMYFUNCTION("""COMPUTED_VALUE"""),1988.0)</f>
        <v>1988</v>
      </c>
      <c r="E497">
        <f>IFERROR(__xludf.DUMMYFUNCTION("""COMPUTED_VALUE"""),67058.0)</f>
        <v>67058</v>
      </c>
    </row>
    <row r="498">
      <c r="A498" t="str">
        <f t="shared" si="1"/>
        <v>atg#1989</v>
      </c>
      <c r="B498" t="str">
        <f>IFERROR(__xludf.DUMMYFUNCTION("""COMPUTED_VALUE"""),"atg")</f>
        <v>atg</v>
      </c>
      <c r="C498" t="str">
        <f>IFERROR(__xludf.DUMMYFUNCTION("""COMPUTED_VALUE"""),"Antigua and Barbuda")</f>
        <v>Antigua and Barbuda</v>
      </c>
      <c r="D498">
        <f>IFERROR(__xludf.DUMMYFUNCTION("""COMPUTED_VALUE"""),1989.0)</f>
        <v>1989</v>
      </c>
      <c r="E498">
        <f>IFERROR(__xludf.DUMMYFUNCTION("""COMPUTED_VALUE"""),66627.0)</f>
        <v>66627</v>
      </c>
    </row>
    <row r="499">
      <c r="A499" t="str">
        <f t="shared" si="1"/>
        <v>atg#1990</v>
      </c>
      <c r="B499" t="str">
        <f>IFERROR(__xludf.DUMMYFUNCTION("""COMPUTED_VALUE"""),"atg")</f>
        <v>atg</v>
      </c>
      <c r="C499" t="str">
        <f>IFERROR(__xludf.DUMMYFUNCTION("""COMPUTED_VALUE"""),"Antigua and Barbuda")</f>
        <v>Antigua and Barbuda</v>
      </c>
      <c r="D499">
        <f>IFERROR(__xludf.DUMMYFUNCTION("""COMPUTED_VALUE"""),1990.0)</f>
        <v>1990</v>
      </c>
      <c r="E499">
        <f>IFERROR(__xludf.DUMMYFUNCTION("""COMPUTED_VALUE"""),66696.0)</f>
        <v>66696</v>
      </c>
    </row>
    <row r="500">
      <c r="A500" t="str">
        <f t="shared" si="1"/>
        <v>atg#1991</v>
      </c>
      <c r="B500" t="str">
        <f>IFERROR(__xludf.DUMMYFUNCTION("""COMPUTED_VALUE"""),"atg")</f>
        <v>atg</v>
      </c>
      <c r="C500" t="str">
        <f>IFERROR(__xludf.DUMMYFUNCTION("""COMPUTED_VALUE"""),"Antigua and Barbuda")</f>
        <v>Antigua and Barbuda</v>
      </c>
      <c r="D500">
        <f>IFERROR(__xludf.DUMMYFUNCTION("""COMPUTED_VALUE"""),1991.0)</f>
        <v>1991</v>
      </c>
      <c r="E500">
        <f>IFERROR(__xludf.DUMMYFUNCTION("""COMPUTED_VALUE"""),67307.0)</f>
        <v>67307</v>
      </c>
    </row>
    <row r="501">
      <c r="A501" t="str">
        <f t="shared" si="1"/>
        <v>atg#1992</v>
      </c>
      <c r="B501" t="str">
        <f>IFERROR(__xludf.DUMMYFUNCTION("""COMPUTED_VALUE"""),"atg")</f>
        <v>atg</v>
      </c>
      <c r="C501" t="str">
        <f>IFERROR(__xludf.DUMMYFUNCTION("""COMPUTED_VALUE"""),"Antigua and Barbuda")</f>
        <v>Antigua and Barbuda</v>
      </c>
      <c r="D501">
        <f>IFERROR(__xludf.DUMMYFUNCTION("""COMPUTED_VALUE"""),1992.0)</f>
        <v>1992</v>
      </c>
      <c r="E501">
        <f>IFERROR(__xludf.DUMMYFUNCTION("""COMPUTED_VALUE"""),68427.0)</f>
        <v>68427</v>
      </c>
    </row>
    <row r="502">
      <c r="A502" t="str">
        <f t="shared" si="1"/>
        <v>atg#1993</v>
      </c>
      <c r="B502" t="str">
        <f>IFERROR(__xludf.DUMMYFUNCTION("""COMPUTED_VALUE"""),"atg")</f>
        <v>atg</v>
      </c>
      <c r="C502" t="str">
        <f>IFERROR(__xludf.DUMMYFUNCTION("""COMPUTED_VALUE"""),"Antigua and Barbuda")</f>
        <v>Antigua and Barbuda</v>
      </c>
      <c r="D502">
        <f>IFERROR(__xludf.DUMMYFUNCTION("""COMPUTED_VALUE"""),1993.0)</f>
        <v>1993</v>
      </c>
      <c r="E502">
        <f>IFERROR(__xludf.DUMMYFUNCTION("""COMPUTED_VALUE"""),69938.0)</f>
        <v>69938</v>
      </c>
    </row>
    <row r="503">
      <c r="A503" t="str">
        <f t="shared" si="1"/>
        <v>atg#1994</v>
      </c>
      <c r="B503" t="str">
        <f>IFERROR(__xludf.DUMMYFUNCTION("""COMPUTED_VALUE"""),"atg")</f>
        <v>atg</v>
      </c>
      <c r="C503" t="str">
        <f>IFERROR(__xludf.DUMMYFUNCTION("""COMPUTED_VALUE"""),"Antigua and Barbuda")</f>
        <v>Antigua and Barbuda</v>
      </c>
      <c r="D503">
        <f>IFERROR(__xludf.DUMMYFUNCTION("""COMPUTED_VALUE"""),1994.0)</f>
        <v>1994</v>
      </c>
      <c r="E503">
        <f>IFERROR(__xludf.DUMMYFUNCTION("""COMPUTED_VALUE"""),71719.0)</f>
        <v>71719</v>
      </c>
    </row>
    <row r="504">
      <c r="A504" t="str">
        <f t="shared" si="1"/>
        <v>atg#1995</v>
      </c>
      <c r="B504" t="str">
        <f>IFERROR(__xludf.DUMMYFUNCTION("""COMPUTED_VALUE"""),"atg")</f>
        <v>atg</v>
      </c>
      <c r="C504" t="str">
        <f>IFERROR(__xludf.DUMMYFUNCTION("""COMPUTED_VALUE"""),"Antigua and Barbuda")</f>
        <v>Antigua and Barbuda</v>
      </c>
      <c r="D504">
        <f>IFERROR(__xludf.DUMMYFUNCTION("""COMPUTED_VALUE"""),1995.0)</f>
        <v>1995</v>
      </c>
      <c r="E504">
        <f>IFERROR(__xludf.DUMMYFUNCTION("""COMPUTED_VALUE"""),73619.0)</f>
        <v>73619</v>
      </c>
    </row>
    <row r="505">
      <c r="A505" t="str">
        <f t="shared" si="1"/>
        <v>atg#1996</v>
      </c>
      <c r="B505" t="str">
        <f>IFERROR(__xludf.DUMMYFUNCTION("""COMPUTED_VALUE"""),"atg")</f>
        <v>atg</v>
      </c>
      <c r="C505" t="str">
        <f>IFERROR(__xludf.DUMMYFUNCTION("""COMPUTED_VALUE"""),"Antigua and Barbuda")</f>
        <v>Antigua and Barbuda</v>
      </c>
      <c r="D505">
        <f>IFERROR(__xludf.DUMMYFUNCTION("""COMPUTED_VALUE"""),1996.0)</f>
        <v>1996</v>
      </c>
      <c r="E505">
        <f>IFERROR(__xludf.DUMMYFUNCTION("""COMPUTED_VALUE"""),75628.0)</f>
        <v>75628</v>
      </c>
    </row>
    <row r="506">
      <c r="A506" t="str">
        <f t="shared" si="1"/>
        <v>atg#1997</v>
      </c>
      <c r="B506" t="str">
        <f>IFERROR(__xludf.DUMMYFUNCTION("""COMPUTED_VALUE"""),"atg")</f>
        <v>atg</v>
      </c>
      <c r="C506" t="str">
        <f>IFERROR(__xludf.DUMMYFUNCTION("""COMPUTED_VALUE"""),"Antigua and Barbuda")</f>
        <v>Antigua and Barbuda</v>
      </c>
      <c r="D506">
        <f>IFERROR(__xludf.DUMMYFUNCTION("""COMPUTED_VALUE"""),1997.0)</f>
        <v>1997</v>
      </c>
      <c r="E506">
        <f>IFERROR(__xludf.DUMMYFUNCTION("""COMPUTED_VALUE"""),77739.0)</f>
        <v>77739</v>
      </c>
    </row>
    <row r="507">
      <c r="A507" t="str">
        <f t="shared" si="1"/>
        <v>atg#1998</v>
      </c>
      <c r="B507" t="str">
        <f>IFERROR(__xludf.DUMMYFUNCTION("""COMPUTED_VALUE"""),"atg")</f>
        <v>atg</v>
      </c>
      <c r="C507" t="str">
        <f>IFERROR(__xludf.DUMMYFUNCTION("""COMPUTED_VALUE"""),"Antigua and Barbuda")</f>
        <v>Antigua and Barbuda</v>
      </c>
      <c r="D507">
        <f>IFERROR(__xludf.DUMMYFUNCTION("""COMPUTED_VALUE"""),1998.0)</f>
        <v>1998</v>
      </c>
      <c r="E507">
        <f>IFERROR(__xludf.DUMMYFUNCTION("""COMPUTED_VALUE"""),79851.0)</f>
        <v>79851</v>
      </c>
    </row>
    <row r="508">
      <c r="A508" t="str">
        <f t="shared" si="1"/>
        <v>atg#1999</v>
      </c>
      <c r="B508" t="str">
        <f>IFERROR(__xludf.DUMMYFUNCTION("""COMPUTED_VALUE"""),"atg")</f>
        <v>atg</v>
      </c>
      <c r="C508" t="str">
        <f>IFERROR(__xludf.DUMMYFUNCTION("""COMPUTED_VALUE"""),"Antigua and Barbuda")</f>
        <v>Antigua and Barbuda</v>
      </c>
      <c r="D508">
        <f>IFERROR(__xludf.DUMMYFUNCTION("""COMPUTED_VALUE"""),1999.0)</f>
        <v>1999</v>
      </c>
      <c r="E508">
        <f>IFERROR(__xludf.DUMMYFUNCTION("""COMPUTED_VALUE"""),81831.0)</f>
        <v>81831</v>
      </c>
    </row>
    <row r="509">
      <c r="A509" t="str">
        <f t="shared" si="1"/>
        <v>atg#2000</v>
      </c>
      <c r="B509" t="str">
        <f>IFERROR(__xludf.DUMMYFUNCTION("""COMPUTED_VALUE"""),"atg")</f>
        <v>atg</v>
      </c>
      <c r="C509" t="str">
        <f>IFERROR(__xludf.DUMMYFUNCTION("""COMPUTED_VALUE"""),"Antigua and Barbuda")</f>
        <v>Antigua and Barbuda</v>
      </c>
      <c r="D509">
        <f>IFERROR(__xludf.DUMMYFUNCTION("""COMPUTED_VALUE"""),2000.0)</f>
        <v>2000</v>
      </c>
      <c r="E509">
        <f>IFERROR(__xludf.DUMMYFUNCTION("""COMPUTED_VALUE"""),83584.0)</f>
        <v>83584</v>
      </c>
    </row>
    <row r="510">
      <c r="A510" t="str">
        <f t="shared" si="1"/>
        <v>atg#2001</v>
      </c>
      <c r="B510" t="str">
        <f>IFERROR(__xludf.DUMMYFUNCTION("""COMPUTED_VALUE"""),"atg")</f>
        <v>atg</v>
      </c>
      <c r="C510" t="str">
        <f>IFERROR(__xludf.DUMMYFUNCTION("""COMPUTED_VALUE"""),"Antigua and Barbuda")</f>
        <v>Antigua and Barbuda</v>
      </c>
      <c r="D510">
        <f>IFERROR(__xludf.DUMMYFUNCTION("""COMPUTED_VALUE"""),2001.0)</f>
        <v>2001</v>
      </c>
      <c r="E510">
        <f>IFERROR(__xludf.DUMMYFUNCTION("""COMPUTED_VALUE"""),85057.0)</f>
        <v>85057</v>
      </c>
    </row>
    <row r="511">
      <c r="A511" t="str">
        <f t="shared" si="1"/>
        <v>atg#2002</v>
      </c>
      <c r="B511" t="str">
        <f>IFERROR(__xludf.DUMMYFUNCTION("""COMPUTED_VALUE"""),"atg")</f>
        <v>atg</v>
      </c>
      <c r="C511" t="str">
        <f>IFERROR(__xludf.DUMMYFUNCTION("""COMPUTED_VALUE"""),"Antigua and Barbuda")</f>
        <v>Antigua and Barbuda</v>
      </c>
      <c r="D511">
        <f>IFERROR(__xludf.DUMMYFUNCTION("""COMPUTED_VALUE"""),2002.0)</f>
        <v>2002</v>
      </c>
      <c r="E511">
        <f>IFERROR(__xludf.DUMMYFUNCTION("""COMPUTED_VALUE"""),86266.0)</f>
        <v>86266</v>
      </c>
    </row>
    <row r="512">
      <c r="A512" t="str">
        <f t="shared" si="1"/>
        <v>atg#2003</v>
      </c>
      <c r="B512" t="str">
        <f>IFERROR(__xludf.DUMMYFUNCTION("""COMPUTED_VALUE"""),"atg")</f>
        <v>atg</v>
      </c>
      <c r="C512" t="str">
        <f>IFERROR(__xludf.DUMMYFUNCTION("""COMPUTED_VALUE"""),"Antigua and Barbuda")</f>
        <v>Antigua and Barbuda</v>
      </c>
      <c r="D512">
        <f>IFERROR(__xludf.DUMMYFUNCTION("""COMPUTED_VALUE"""),2003.0)</f>
        <v>2003</v>
      </c>
      <c r="E512">
        <f>IFERROR(__xludf.DUMMYFUNCTION("""COMPUTED_VALUE"""),87293.0)</f>
        <v>87293</v>
      </c>
    </row>
    <row r="513">
      <c r="A513" t="str">
        <f t="shared" si="1"/>
        <v>atg#2004</v>
      </c>
      <c r="B513" t="str">
        <f>IFERROR(__xludf.DUMMYFUNCTION("""COMPUTED_VALUE"""),"atg")</f>
        <v>atg</v>
      </c>
      <c r="C513" t="str">
        <f>IFERROR(__xludf.DUMMYFUNCTION("""COMPUTED_VALUE"""),"Antigua and Barbuda")</f>
        <v>Antigua and Barbuda</v>
      </c>
      <c r="D513">
        <f>IFERROR(__xludf.DUMMYFUNCTION("""COMPUTED_VALUE"""),2004.0)</f>
        <v>2004</v>
      </c>
      <c r="E513">
        <f>IFERROR(__xludf.DUMMYFUNCTION("""COMPUTED_VALUE"""),88257.0)</f>
        <v>88257</v>
      </c>
    </row>
    <row r="514">
      <c r="A514" t="str">
        <f t="shared" si="1"/>
        <v>atg#2005</v>
      </c>
      <c r="B514" t="str">
        <f>IFERROR(__xludf.DUMMYFUNCTION("""COMPUTED_VALUE"""),"atg")</f>
        <v>atg</v>
      </c>
      <c r="C514" t="str">
        <f>IFERROR(__xludf.DUMMYFUNCTION("""COMPUTED_VALUE"""),"Antigua and Barbuda")</f>
        <v>Antigua and Barbuda</v>
      </c>
      <c r="D514">
        <f>IFERROR(__xludf.DUMMYFUNCTION("""COMPUTED_VALUE"""),2005.0)</f>
        <v>2005</v>
      </c>
      <c r="E514">
        <f>IFERROR(__xludf.DUMMYFUNCTION("""COMPUTED_VALUE"""),89253.0)</f>
        <v>89253</v>
      </c>
    </row>
    <row r="515">
      <c r="A515" t="str">
        <f t="shared" si="1"/>
        <v>atg#2006</v>
      </c>
      <c r="B515" t="str">
        <f>IFERROR(__xludf.DUMMYFUNCTION("""COMPUTED_VALUE"""),"atg")</f>
        <v>atg</v>
      </c>
      <c r="C515" t="str">
        <f>IFERROR(__xludf.DUMMYFUNCTION("""COMPUTED_VALUE"""),"Antigua and Barbuda")</f>
        <v>Antigua and Barbuda</v>
      </c>
      <c r="D515">
        <f>IFERROR(__xludf.DUMMYFUNCTION("""COMPUTED_VALUE"""),2006.0)</f>
        <v>2006</v>
      </c>
      <c r="E515">
        <f>IFERROR(__xludf.DUMMYFUNCTION("""COMPUTED_VALUE"""),90301.0)</f>
        <v>90301</v>
      </c>
    </row>
    <row r="516">
      <c r="A516" t="str">
        <f t="shared" si="1"/>
        <v>atg#2007</v>
      </c>
      <c r="B516" t="str">
        <f>IFERROR(__xludf.DUMMYFUNCTION("""COMPUTED_VALUE"""),"atg")</f>
        <v>atg</v>
      </c>
      <c r="C516" t="str">
        <f>IFERROR(__xludf.DUMMYFUNCTION("""COMPUTED_VALUE"""),"Antigua and Barbuda")</f>
        <v>Antigua and Barbuda</v>
      </c>
      <c r="D516">
        <f>IFERROR(__xludf.DUMMYFUNCTION("""COMPUTED_VALUE"""),2007.0)</f>
        <v>2007</v>
      </c>
      <c r="E516">
        <f>IFERROR(__xludf.DUMMYFUNCTION("""COMPUTED_VALUE"""),91381.0)</f>
        <v>91381</v>
      </c>
    </row>
    <row r="517">
      <c r="A517" t="str">
        <f t="shared" si="1"/>
        <v>atg#2008</v>
      </c>
      <c r="B517" t="str">
        <f>IFERROR(__xludf.DUMMYFUNCTION("""COMPUTED_VALUE"""),"atg")</f>
        <v>atg</v>
      </c>
      <c r="C517" t="str">
        <f>IFERROR(__xludf.DUMMYFUNCTION("""COMPUTED_VALUE"""),"Antigua and Barbuda")</f>
        <v>Antigua and Barbuda</v>
      </c>
      <c r="D517">
        <f>IFERROR(__xludf.DUMMYFUNCTION("""COMPUTED_VALUE"""),2008.0)</f>
        <v>2008</v>
      </c>
      <c r="E517">
        <f>IFERROR(__xludf.DUMMYFUNCTION("""COMPUTED_VALUE"""),92478.0)</f>
        <v>92478</v>
      </c>
    </row>
    <row r="518">
      <c r="A518" t="str">
        <f t="shared" si="1"/>
        <v>atg#2009</v>
      </c>
      <c r="B518" t="str">
        <f>IFERROR(__xludf.DUMMYFUNCTION("""COMPUTED_VALUE"""),"atg")</f>
        <v>atg</v>
      </c>
      <c r="C518" t="str">
        <f>IFERROR(__xludf.DUMMYFUNCTION("""COMPUTED_VALUE"""),"Antigua and Barbuda")</f>
        <v>Antigua and Barbuda</v>
      </c>
      <c r="D518">
        <f>IFERROR(__xludf.DUMMYFUNCTION("""COMPUTED_VALUE"""),2009.0)</f>
        <v>2009</v>
      </c>
      <c r="E518">
        <f>IFERROR(__xludf.DUMMYFUNCTION("""COMPUTED_VALUE"""),93581.0)</f>
        <v>93581</v>
      </c>
    </row>
    <row r="519">
      <c r="A519" t="str">
        <f t="shared" si="1"/>
        <v>atg#2010</v>
      </c>
      <c r="B519" t="str">
        <f>IFERROR(__xludf.DUMMYFUNCTION("""COMPUTED_VALUE"""),"atg")</f>
        <v>atg</v>
      </c>
      <c r="C519" t="str">
        <f>IFERROR(__xludf.DUMMYFUNCTION("""COMPUTED_VALUE"""),"Antigua and Barbuda")</f>
        <v>Antigua and Barbuda</v>
      </c>
      <c r="D519">
        <f>IFERROR(__xludf.DUMMYFUNCTION("""COMPUTED_VALUE"""),2010.0)</f>
        <v>2010</v>
      </c>
      <c r="E519">
        <f>IFERROR(__xludf.DUMMYFUNCTION("""COMPUTED_VALUE"""),94661.0)</f>
        <v>94661</v>
      </c>
    </row>
    <row r="520">
      <c r="A520" t="str">
        <f t="shared" si="1"/>
        <v>atg#2011</v>
      </c>
      <c r="B520" t="str">
        <f>IFERROR(__xludf.DUMMYFUNCTION("""COMPUTED_VALUE"""),"atg")</f>
        <v>atg</v>
      </c>
      <c r="C520" t="str">
        <f>IFERROR(__xludf.DUMMYFUNCTION("""COMPUTED_VALUE"""),"Antigua and Barbuda")</f>
        <v>Antigua and Barbuda</v>
      </c>
      <c r="D520">
        <f>IFERROR(__xludf.DUMMYFUNCTION("""COMPUTED_VALUE"""),2011.0)</f>
        <v>2011</v>
      </c>
      <c r="E520">
        <f>IFERROR(__xludf.DUMMYFUNCTION("""COMPUTED_VALUE"""),95719.0)</f>
        <v>95719</v>
      </c>
    </row>
    <row r="521">
      <c r="A521" t="str">
        <f t="shared" si="1"/>
        <v>atg#2012</v>
      </c>
      <c r="B521" t="str">
        <f>IFERROR(__xludf.DUMMYFUNCTION("""COMPUTED_VALUE"""),"atg")</f>
        <v>atg</v>
      </c>
      <c r="C521" t="str">
        <f>IFERROR(__xludf.DUMMYFUNCTION("""COMPUTED_VALUE"""),"Antigua and Barbuda")</f>
        <v>Antigua and Barbuda</v>
      </c>
      <c r="D521">
        <f>IFERROR(__xludf.DUMMYFUNCTION("""COMPUTED_VALUE"""),2012.0)</f>
        <v>2012</v>
      </c>
      <c r="E521">
        <f>IFERROR(__xludf.DUMMYFUNCTION("""COMPUTED_VALUE"""),96777.0)</f>
        <v>96777</v>
      </c>
    </row>
    <row r="522">
      <c r="A522" t="str">
        <f t="shared" si="1"/>
        <v>atg#2013</v>
      </c>
      <c r="B522" t="str">
        <f>IFERROR(__xludf.DUMMYFUNCTION("""COMPUTED_VALUE"""),"atg")</f>
        <v>atg</v>
      </c>
      <c r="C522" t="str">
        <f>IFERROR(__xludf.DUMMYFUNCTION("""COMPUTED_VALUE"""),"Antigua and Barbuda")</f>
        <v>Antigua and Barbuda</v>
      </c>
      <c r="D522">
        <f>IFERROR(__xludf.DUMMYFUNCTION("""COMPUTED_VALUE"""),2013.0)</f>
        <v>2013</v>
      </c>
      <c r="E522">
        <f>IFERROR(__xludf.DUMMYFUNCTION("""COMPUTED_VALUE"""),97824.0)</f>
        <v>97824</v>
      </c>
    </row>
    <row r="523">
      <c r="A523" t="str">
        <f t="shared" si="1"/>
        <v>atg#2014</v>
      </c>
      <c r="B523" t="str">
        <f>IFERROR(__xludf.DUMMYFUNCTION("""COMPUTED_VALUE"""),"atg")</f>
        <v>atg</v>
      </c>
      <c r="C523" t="str">
        <f>IFERROR(__xludf.DUMMYFUNCTION("""COMPUTED_VALUE"""),"Antigua and Barbuda")</f>
        <v>Antigua and Barbuda</v>
      </c>
      <c r="D523">
        <f>IFERROR(__xludf.DUMMYFUNCTION("""COMPUTED_VALUE"""),2014.0)</f>
        <v>2014</v>
      </c>
      <c r="E523">
        <f>IFERROR(__xludf.DUMMYFUNCTION("""COMPUTED_VALUE"""),98875.0)</f>
        <v>98875</v>
      </c>
    </row>
    <row r="524">
      <c r="A524" t="str">
        <f t="shared" si="1"/>
        <v>atg#2015</v>
      </c>
      <c r="B524" t="str">
        <f>IFERROR(__xludf.DUMMYFUNCTION("""COMPUTED_VALUE"""),"atg")</f>
        <v>atg</v>
      </c>
      <c r="C524" t="str">
        <f>IFERROR(__xludf.DUMMYFUNCTION("""COMPUTED_VALUE"""),"Antigua and Barbuda")</f>
        <v>Antigua and Barbuda</v>
      </c>
      <c r="D524">
        <f>IFERROR(__xludf.DUMMYFUNCTION("""COMPUTED_VALUE"""),2015.0)</f>
        <v>2015</v>
      </c>
      <c r="E524">
        <f>IFERROR(__xludf.DUMMYFUNCTION("""COMPUTED_VALUE"""),99923.0)</f>
        <v>99923</v>
      </c>
    </row>
    <row r="525">
      <c r="A525" t="str">
        <f t="shared" si="1"/>
        <v>atg#2016</v>
      </c>
      <c r="B525" t="str">
        <f>IFERROR(__xludf.DUMMYFUNCTION("""COMPUTED_VALUE"""),"atg")</f>
        <v>atg</v>
      </c>
      <c r="C525" t="str">
        <f>IFERROR(__xludf.DUMMYFUNCTION("""COMPUTED_VALUE"""),"Antigua and Barbuda")</f>
        <v>Antigua and Barbuda</v>
      </c>
      <c r="D525">
        <f>IFERROR(__xludf.DUMMYFUNCTION("""COMPUTED_VALUE"""),2016.0)</f>
        <v>2016</v>
      </c>
      <c r="E525">
        <f>IFERROR(__xludf.DUMMYFUNCTION("""COMPUTED_VALUE"""),100963.0)</f>
        <v>100963</v>
      </c>
    </row>
    <row r="526">
      <c r="A526" t="str">
        <f t="shared" si="1"/>
        <v>atg#2017</v>
      </c>
      <c r="B526" t="str">
        <f>IFERROR(__xludf.DUMMYFUNCTION("""COMPUTED_VALUE"""),"atg")</f>
        <v>atg</v>
      </c>
      <c r="C526" t="str">
        <f>IFERROR(__xludf.DUMMYFUNCTION("""COMPUTED_VALUE"""),"Antigua and Barbuda")</f>
        <v>Antigua and Barbuda</v>
      </c>
      <c r="D526">
        <f>IFERROR(__xludf.DUMMYFUNCTION("""COMPUTED_VALUE"""),2017.0)</f>
        <v>2017</v>
      </c>
      <c r="E526">
        <f>IFERROR(__xludf.DUMMYFUNCTION("""COMPUTED_VALUE"""),102012.0)</f>
        <v>102012</v>
      </c>
    </row>
    <row r="527">
      <c r="A527" t="str">
        <f t="shared" si="1"/>
        <v>atg#2018</v>
      </c>
      <c r="B527" t="str">
        <f>IFERROR(__xludf.DUMMYFUNCTION("""COMPUTED_VALUE"""),"atg")</f>
        <v>atg</v>
      </c>
      <c r="C527" t="str">
        <f>IFERROR(__xludf.DUMMYFUNCTION("""COMPUTED_VALUE"""),"Antigua and Barbuda")</f>
        <v>Antigua and Barbuda</v>
      </c>
      <c r="D527">
        <f>IFERROR(__xludf.DUMMYFUNCTION("""COMPUTED_VALUE"""),2018.0)</f>
        <v>2018</v>
      </c>
      <c r="E527">
        <f>IFERROR(__xludf.DUMMYFUNCTION("""COMPUTED_VALUE"""),103050.0)</f>
        <v>103050</v>
      </c>
    </row>
    <row r="528">
      <c r="A528" t="str">
        <f t="shared" si="1"/>
        <v>atg#2019</v>
      </c>
      <c r="B528" t="str">
        <f>IFERROR(__xludf.DUMMYFUNCTION("""COMPUTED_VALUE"""),"atg")</f>
        <v>atg</v>
      </c>
      <c r="C528" t="str">
        <f>IFERROR(__xludf.DUMMYFUNCTION("""COMPUTED_VALUE"""),"Antigua and Barbuda")</f>
        <v>Antigua and Barbuda</v>
      </c>
      <c r="D528">
        <f>IFERROR(__xludf.DUMMYFUNCTION("""COMPUTED_VALUE"""),2019.0)</f>
        <v>2019</v>
      </c>
      <c r="E528">
        <f>IFERROR(__xludf.DUMMYFUNCTION("""COMPUTED_VALUE"""),104084.0)</f>
        <v>104084</v>
      </c>
    </row>
    <row r="529">
      <c r="A529" t="str">
        <f t="shared" si="1"/>
        <v>atg#2020</v>
      </c>
      <c r="B529" t="str">
        <f>IFERROR(__xludf.DUMMYFUNCTION("""COMPUTED_VALUE"""),"atg")</f>
        <v>atg</v>
      </c>
      <c r="C529" t="str">
        <f>IFERROR(__xludf.DUMMYFUNCTION("""COMPUTED_VALUE"""),"Antigua and Barbuda")</f>
        <v>Antigua and Barbuda</v>
      </c>
      <c r="D529">
        <f>IFERROR(__xludf.DUMMYFUNCTION("""COMPUTED_VALUE"""),2020.0)</f>
        <v>2020</v>
      </c>
      <c r="E529">
        <f>IFERROR(__xludf.DUMMYFUNCTION("""COMPUTED_VALUE"""),105110.0)</f>
        <v>105110</v>
      </c>
    </row>
    <row r="530">
      <c r="A530" t="str">
        <f t="shared" si="1"/>
        <v>atg#2021</v>
      </c>
      <c r="B530" t="str">
        <f>IFERROR(__xludf.DUMMYFUNCTION("""COMPUTED_VALUE"""),"atg")</f>
        <v>atg</v>
      </c>
      <c r="C530" t="str">
        <f>IFERROR(__xludf.DUMMYFUNCTION("""COMPUTED_VALUE"""),"Antigua and Barbuda")</f>
        <v>Antigua and Barbuda</v>
      </c>
      <c r="D530">
        <f>IFERROR(__xludf.DUMMYFUNCTION("""COMPUTED_VALUE"""),2021.0)</f>
        <v>2021</v>
      </c>
      <c r="E530">
        <f>IFERROR(__xludf.DUMMYFUNCTION("""COMPUTED_VALUE"""),106125.0)</f>
        <v>106125</v>
      </c>
    </row>
    <row r="531">
      <c r="A531" t="str">
        <f t="shared" si="1"/>
        <v>atg#2022</v>
      </c>
      <c r="B531" t="str">
        <f>IFERROR(__xludf.DUMMYFUNCTION("""COMPUTED_VALUE"""),"atg")</f>
        <v>atg</v>
      </c>
      <c r="C531" t="str">
        <f>IFERROR(__xludf.DUMMYFUNCTION("""COMPUTED_VALUE"""),"Antigua and Barbuda")</f>
        <v>Antigua and Barbuda</v>
      </c>
      <c r="D531">
        <f>IFERROR(__xludf.DUMMYFUNCTION("""COMPUTED_VALUE"""),2022.0)</f>
        <v>2022</v>
      </c>
      <c r="E531">
        <f>IFERROR(__xludf.DUMMYFUNCTION("""COMPUTED_VALUE"""),107144.0)</f>
        <v>107144</v>
      </c>
    </row>
    <row r="532">
      <c r="A532" t="str">
        <f t="shared" si="1"/>
        <v>atg#2023</v>
      </c>
      <c r="B532" t="str">
        <f>IFERROR(__xludf.DUMMYFUNCTION("""COMPUTED_VALUE"""),"atg")</f>
        <v>atg</v>
      </c>
      <c r="C532" t="str">
        <f>IFERROR(__xludf.DUMMYFUNCTION("""COMPUTED_VALUE"""),"Antigua and Barbuda")</f>
        <v>Antigua and Barbuda</v>
      </c>
      <c r="D532">
        <f>IFERROR(__xludf.DUMMYFUNCTION("""COMPUTED_VALUE"""),2023.0)</f>
        <v>2023</v>
      </c>
      <c r="E532">
        <f>IFERROR(__xludf.DUMMYFUNCTION("""COMPUTED_VALUE"""),108138.0)</f>
        <v>108138</v>
      </c>
    </row>
    <row r="533">
      <c r="A533" t="str">
        <f t="shared" si="1"/>
        <v>atg#2024</v>
      </c>
      <c r="B533" t="str">
        <f>IFERROR(__xludf.DUMMYFUNCTION("""COMPUTED_VALUE"""),"atg")</f>
        <v>atg</v>
      </c>
      <c r="C533" t="str">
        <f>IFERROR(__xludf.DUMMYFUNCTION("""COMPUTED_VALUE"""),"Antigua and Barbuda")</f>
        <v>Antigua and Barbuda</v>
      </c>
      <c r="D533">
        <f>IFERROR(__xludf.DUMMYFUNCTION("""COMPUTED_VALUE"""),2024.0)</f>
        <v>2024</v>
      </c>
      <c r="E533">
        <f>IFERROR(__xludf.DUMMYFUNCTION("""COMPUTED_VALUE"""),109126.0)</f>
        <v>109126</v>
      </c>
    </row>
    <row r="534">
      <c r="A534" t="str">
        <f t="shared" si="1"/>
        <v>atg#2025</v>
      </c>
      <c r="B534" t="str">
        <f>IFERROR(__xludf.DUMMYFUNCTION("""COMPUTED_VALUE"""),"atg")</f>
        <v>atg</v>
      </c>
      <c r="C534" t="str">
        <f>IFERROR(__xludf.DUMMYFUNCTION("""COMPUTED_VALUE"""),"Antigua and Barbuda")</f>
        <v>Antigua and Barbuda</v>
      </c>
      <c r="D534">
        <f>IFERROR(__xludf.DUMMYFUNCTION("""COMPUTED_VALUE"""),2025.0)</f>
        <v>2025</v>
      </c>
      <c r="E534">
        <f>IFERROR(__xludf.DUMMYFUNCTION("""COMPUTED_VALUE"""),110094.0)</f>
        <v>110094</v>
      </c>
    </row>
    <row r="535">
      <c r="A535" t="str">
        <f t="shared" si="1"/>
        <v>atg#2026</v>
      </c>
      <c r="B535" t="str">
        <f>IFERROR(__xludf.DUMMYFUNCTION("""COMPUTED_VALUE"""),"atg")</f>
        <v>atg</v>
      </c>
      <c r="C535" t="str">
        <f>IFERROR(__xludf.DUMMYFUNCTION("""COMPUTED_VALUE"""),"Antigua and Barbuda")</f>
        <v>Antigua and Barbuda</v>
      </c>
      <c r="D535">
        <f>IFERROR(__xludf.DUMMYFUNCTION("""COMPUTED_VALUE"""),2026.0)</f>
        <v>2026</v>
      </c>
      <c r="E535">
        <f>IFERROR(__xludf.DUMMYFUNCTION("""COMPUTED_VALUE"""),111043.0)</f>
        <v>111043</v>
      </c>
    </row>
    <row r="536">
      <c r="A536" t="str">
        <f t="shared" si="1"/>
        <v>atg#2027</v>
      </c>
      <c r="B536" t="str">
        <f>IFERROR(__xludf.DUMMYFUNCTION("""COMPUTED_VALUE"""),"atg")</f>
        <v>atg</v>
      </c>
      <c r="C536" t="str">
        <f>IFERROR(__xludf.DUMMYFUNCTION("""COMPUTED_VALUE"""),"Antigua and Barbuda")</f>
        <v>Antigua and Barbuda</v>
      </c>
      <c r="D536">
        <f>IFERROR(__xludf.DUMMYFUNCTION("""COMPUTED_VALUE"""),2027.0)</f>
        <v>2027</v>
      </c>
      <c r="E536">
        <f>IFERROR(__xludf.DUMMYFUNCTION("""COMPUTED_VALUE"""),111971.0)</f>
        <v>111971</v>
      </c>
    </row>
    <row r="537">
      <c r="A537" t="str">
        <f t="shared" si="1"/>
        <v>atg#2028</v>
      </c>
      <c r="B537" t="str">
        <f>IFERROR(__xludf.DUMMYFUNCTION("""COMPUTED_VALUE"""),"atg")</f>
        <v>atg</v>
      </c>
      <c r="C537" t="str">
        <f>IFERROR(__xludf.DUMMYFUNCTION("""COMPUTED_VALUE"""),"Antigua and Barbuda")</f>
        <v>Antigua and Barbuda</v>
      </c>
      <c r="D537">
        <f>IFERROR(__xludf.DUMMYFUNCTION("""COMPUTED_VALUE"""),2028.0)</f>
        <v>2028</v>
      </c>
      <c r="E537">
        <f>IFERROR(__xludf.DUMMYFUNCTION("""COMPUTED_VALUE"""),112877.0)</f>
        <v>112877</v>
      </c>
    </row>
    <row r="538">
      <c r="A538" t="str">
        <f t="shared" si="1"/>
        <v>atg#2029</v>
      </c>
      <c r="B538" t="str">
        <f>IFERROR(__xludf.DUMMYFUNCTION("""COMPUTED_VALUE"""),"atg")</f>
        <v>atg</v>
      </c>
      <c r="C538" t="str">
        <f>IFERROR(__xludf.DUMMYFUNCTION("""COMPUTED_VALUE"""),"Antigua and Barbuda")</f>
        <v>Antigua and Barbuda</v>
      </c>
      <c r="D538">
        <f>IFERROR(__xludf.DUMMYFUNCTION("""COMPUTED_VALUE"""),2029.0)</f>
        <v>2029</v>
      </c>
      <c r="E538">
        <f>IFERROR(__xludf.DUMMYFUNCTION("""COMPUTED_VALUE"""),113763.0)</f>
        <v>113763</v>
      </c>
    </row>
    <row r="539">
      <c r="A539" t="str">
        <f t="shared" si="1"/>
        <v>atg#2030</v>
      </c>
      <c r="B539" t="str">
        <f>IFERROR(__xludf.DUMMYFUNCTION("""COMPUTED_VALUE"""),"atg")</f>
        <v>atg</v>
      </c>
      <c r="C539" t="str">
        <f>IFERROR(__xludf.DUMMYFUNCTION("""COMPUTED_VALUE"""),"Antigua and Barbuda")</f>
        <v>Antigua and Barbuda</v>
      </c>
      <c r="D539">
        <f>IFERROR(__xludf.DUMMYFUNCTION("""COMPUTED_VALUE"""),2030.0)</f>
        <v>2030</v>
      </c>
      <c r="E539">
        <f>IFERROR(__xludf.DUMMYFUNCTION("""COMPUTED_VALUE"""),114608.0)</f>
        <v>114608</v>
      </c>
    </row>
    <row r="540">
      <c r="A540" t="str">
        <f t="shared" si="1"/>
        <v>atg#2031</v>
      </c>
      <c r="B540" t="str">
        <f>IFERROR(__xludf.DUMMYFUNCTION("""COMPUTED_VALUE"""),"atg")</f>
        <v>atg</v>
      </c>
      <c r="C540" t="str">
        <f>IFERROR(__xludf.DUMMYFUNCTION("""COMPUTED_VALUE"""),"Antigua and Barbuda")</f>
        <v>Antigua and Barbuda</v>
      </c>
      <c r="D540">
        <f>IFERROR(__xludf.DUMMYFUNCTION("""COMPUTED_VALUE"""),2031.0)</f>
        <v>2031</v>
      </c>
      <c r="E540">
        <f>IFERROR(__xludf.DUMMYFUNCTION("""COMPUTED_VALUE"""),115442.0)</f>
        <v>115442</v>
      </c>
    </row>
    <row r="541">
      <c r="A541" t="str">
        <f t="shared" si="1"/>
        <v>atg#2032</v>
      </c>
      <c r="B541" t="str">
        <f>IFERROR(__xludf.DUMMYFUNCTION("""COMPUTED_VALUE"""),"atg")</f>
        <v>atg</v>
      </c>
      <c r="C541" t="str">
        <f>IFERROR(__xludf.DUMMYFUNCTION("""COMPUTED_VALUE"""),"Antigua and Barbuda")</f>
        <v>Antigua and Barbuda</v>
      </c>
      <c r="D541">
        <f>IFERROR(__xludf.DUMMYFUNCTION("""COMPUTED_VALUE"""),2032.0)</f>
        <v>2032</v>
      </c>
      <c r="E541">
        <f>IFERROR(__xludf.DUMMYFUNCTION("""COMPUTED_VALUE"""),116242.0)</f>
        <v>116242</v>
      </c>
    </row>
    <row r="542">
      <c r="A542" t="str">
        <f t="shared" si="1"/>
        <v>atg#2033</v>
      </c>
      <c r="B542" t="str">
        <f>IFERROR(__xludf.DUMMYFUNCTION("""COMPUTED_VALUE"""),"atg")</f>
        <v>atg</v>
      </c>
      <c r="C542" t="str">
        <f>IFERROR(__xludf.DUMMYFUNCTION("""COMPUTED_VALUE"""),"Antigua and Barbuda")</f>
        <v>Antigua and Barbuda</v>
      </c>
      <c r="D542">
        <f>IFERROR(__xludf.DUMMYFUNCTION("""COMPUTED_VALUE"""),2033.0)</f>
        <v>2033</v>
      </c>
      <c r="E542">
        <f>IFERROR(__xludf.DUMMYFUNCTION("""COMPUTED_VALUE"""),117008.0)</f>
        <v>117008</v>
      </c>
    </row>
    <row r="543">
      <c r="A543" t="str">
        <f t="shared" si="1"/>
        <v>atg#2034</v>
      </c>
      <c r="B543" t="str">
        <f>IFERROR(__xludf.DUMMYFUNCTION("""COMPUTED_VALUE"""),"atg")</f>
        <v>atg</v>
      </c>
      <c r="C543" t="str">
        <f>IFERROR(__xludf.DUMMYFUNCTION("""COMPUTED_VALUE"""),"Antigua and Barbuda")</f>
        <v>Antigua and Barbuda</v>
      </c>
      <c r="D543">
        <f>IFERROR(__xludf.DUMMYFUNCTION("""COMPUTED_VALUE"""),2034.0)</f>
        <v>2034</v>
      </c>
      <c r="E543">
        <f>IFERROR(__xludf.DUMMYFUNCTION("""COMPUTED_VALUE"""),117744.0)</f>
        <v>117744</v>
      </c>
    </row>
    <row r="544">
      <c r="A544" t="str">
        <f t="shared" si="1"/>
        <v>atg#2035</v>
      </c>
      <c r="B544" t="str">
        <f>IFERROR(__xludf.DUMMYFUNCTION("""COMPUTED_VALUE"""),"atg")</f>
        <v>atg</v>
      </c>
      <c r="C544" t="str">
        <f>IFERROR(__xludf.DUMMYFUNCTION("""COMPUTED_VALUE"""),"Antigua and Barbuda")</f>
        <v>Antigua and Barbuda</v>
      </c>
      <c r="D544">
        <f>IFERROR(__xludf.DUMMYFUNCTION("""COMPUTED_VALUE"""),2035.0)</f>
        <v>2035</v>
      </c>
      <c r="E544">
        <f>IFERROR(__xludf.DUMMYFUNCTION("""COMPUTED_VALUE"""),118452.0)</f>
        <v>118452</v>
      </c>
    </row>
    <row r="545">
      <c r="A545" t="str">
        <f t="shared" si="1"/>
        <v>atg#2036</v>
      </c>
      <c r="B545" t="str">
        <f>IFERROR(__xludf.DUMMYFUNCTION("""COMPUTED_VALUE"""),"atg")</f>
        <v>atg</v>
      </c>
      <c r="C545" t="str">
        <f>IFERROR(__xludf.DUMMYFUNCTION("""COMPUTED_VALUE"""),"Antigua and Barbuda")</f>
        <v>Antigua and Barbuda</v>
      </c>
      <c r="D545">
        <f>IFERROR(__xludf.DUMMYFUNCTION("""COMPUTED_VALUE"""),2036.0)</f>
        <v>2036</v>
      </c>
      <c r="E545">
        <f>IFERROR(__xludf.DUMMYFUNCTION("""COMPUTED_VALUE"""),119131.0)</f>
        <v>119131</v>
      </c>
    </row>
    <row r="546">
      <c r="A546" t="str">
        <f t="shared" si="1"/>
        <v>atg#2037</v>
      </c>
      <c r="B546" t="str">
        <f>IFERROR(__xludf.DUMMYFUNCTION("""COMPUTED_VALUE"""),"atg")</f>
        <v>atg</v>
      </c>
      <c r="C546" t="str">
        <f>IFERROR(__xludf.DUMMYFUNCTION("""COMPUTED_VALUE"""),"Antigua and Barbuda")</f>
        <v>Antigua and Barbuda</v>
      </c>
      <c r="D546">
        <f>IFERROR(__xludf.DUMMYFUNCTION("""COMPUTED_VALUE"""),2037.0)</f>
        <v>2037</v>
      </c>
      <c r="E546">
        <f>IFERROR(__xludf.DUMMYFUNCTION("""COMPUTED_VALUE"""),119770.0)</f>
        <v>119770</v>
      </c>
    </row>
    <row r="547">
      <c r="A547" t="str">
        <f t="shared" si="1"/>
        <v>atg#2038</v>
      </c>
      <c r="B547" t="str">
        <f>IFERROR(__xludf.DUMMYFUNCTION("""COMPUTED_VALUE"""),"atg")</f>
        <v>atg</v>
      </c>
      <c r="C547" t="str">
        <f>IFERROR(__xludf.DUMMYFUNCTION("""COMPUTED_VALUE"""),"Antigua and Barbuda")</f>
        <v>Antigua and Barbuda</v>
      </c>
      <c r="D547">
        <f>IFERROR(__xludf.DUMMYFUNCTION("""COMPUTED_VALUE"""),2038.0)</f>
        <v>2038</v>
      </c>
      <c r="E547">
        <f>IFERROR(__xludf.DUMMYFUNCTION("""COMPUTED_VALUE"""),120377.0)</f>
        <v>120377</v>
      </c>
    </row>
    <row r="548">
      <c r="A548" t="str">
        <f t="shared" si="1"/>
        <v>atg#2039</v>
      </c>
      <c r="B548" t="str">
        <f>IFERROR(__xludf.DUMMYFUNCTION("""COMPUTED_VALUE"""),"atg")</f>
        <v>atg</v>
      </c>
      <c r="C548" t="str">
        <f>IFERROR(__xludf.DUMMYFUNCTION("""COMPUTED_VALUE"""),"Antigua and Barbuda")</f>
        <v>Antigua and Barbuda</v>
      </c>
      <c r="D548">
        <f>IFERROR(__xludf.DUMMYFUNCTION("""COMPUTED_VALUE"""),2039.0)</f>
        <v>2039</v>
      </c>
      <c r="E548">
        <f>IFERROR(__xludf.DUMMYFUNCTION("""COMPUTED_VALUE"""),120955.0)</f>
        <v>120955</v>
      </c>
    </row>
    <row r="549">
      <c r="A549" t="str">
        <f t="shared" si="1"/>
        <v>atg#2040</v>
      </c>
      <c r="B549" t="str">
        <f>IFERROR(__xludf.DUMMYFUNCTION("""COMPUTED_VALUE"""),"atg")</f>
        <v>atg</v>
      </c>
      <c r="C549" t="str">
        <f>IFERROR(__xludf.DUMMYFUNCTION("""COMPUTED_VALUE"""),"Antigua and Barbuda")</f>
        <v>Antigua and Barbuda</v>
      </c>
      <c r="D549">
        <f>IFERROR(__xludf.DUMMYFUNCTION("""COMPUTED_VALUE"""),2040.0)</f>
        <v>2040</v>
      </c>
      <c r="E549">
        <f>IFERROR(__xludf.DUMMYFUNCTION("""COMPUTED_VALUE"""),121503.0)</f>
        <v>121503</v>
      </c>
    </row>
    <row r="550">
      <c r="A550" t="str">
        <f t="shared" si="1"/>
        <v>arg#1950</v>
      </c>
      <c r="B550" t="str">
        <f>IFERROR(__xludf.DUMMYFUNCTION("""COMPUTED_VALUE"""),"arg")</f>
        <v>arg</v>
      </c>
      <c r="C550" t="str">
        <f>IFERROR(__xludf.DUMMYFUNCTION("""COMPUTED_VALUE"""),"Argentina")</f>
        <v>Argentina</v>
      </c>
      <c r="D550">
        <f>IFERROR(__xludf.DUMMYFUNCTION("""COMPUTED_VALUE"""),1950.0)</f>
        <v>1950</v>
      </c>
      <c r="E550">
        <f>IFERROR(__xludf.DUMMYFUNCTION("""COMPUTED_VALUE"""),1.7150336E7)</f>
        <v>17150336</v>
      </c>
    </row>
    <row r="551">
      <c r="A551" t="str">
        <f t="shared" si="1"/>
        <v>arg#1951</v>
      </c>
      <c r="B551" t="str">
        <f>IFERROR(__xludf.DUMMYFUNCTION("""COMPUTED_VALUE"""),"arg")</f>
        <v>arg</v>
      </c>
      <c r="C551" t="str">
        <f>IFERROR(__xludf.DUMMYFUNCTION("""COMPUTED_VALUE"""),"Argentina")</f>
        <v>Argentina</v>
      </c>
      <c r="D551">
        <f>IFERROR(__xludf.DUMMYFUNCTION("""COMPUTED_VALUE"""),1951.0)</f>
        <v>1951</v>
      </c>
      <c r="E551">
        <f>IFERROR(__xludf.DUMMYFUNCTION("""COMPUTED_VALUE"""),1.750713E7)</f>
        <v>17507130</v>
      </c>
    </row>
    <row r="552">
      <c r="A552" t="str">
        <f t="shared" si="1"/>
        <v>arg#1952</v>
      </c>
      <c r="B552" t="str">
        <f>IFERROR(__xludf.DUMMYFUNCTION("""COMPUTED_VALUE"""),"arg")</f>
        <v>arg</v>
      </c>
      <c r="C552" t="str">
        <f>IFERROR(__xludf.DUMMYFUNCTION("""COMPUTED_VALUE"""),"Argentina")</f>
        <v>Argentina</v>
      </c>
      <c r="D552">
        <f>IFERROR(__xludf.DUMMYFUNCTION("""COMPUTED_VALUE"""),1952.0)</f>
        <v>1952</v>
      </c>
      <c r="E552">
        <f>IFERROR(__xludf.DUMMYFUNCTION("""COMPUTED_VALUE"""),1.7866096E7)</f>
        <v>17866096</v>
      </c>
    </row>
    <row r="553">
      <c r="A553" t="str">
        <f t="shared" si="1"/>
        <v>arg#1953</v>
      </c>
      <c r="B553" t="str">
        <f>IFERROR(__xludf.DUMMYFUNCTION("""COMPUTED_VALUE"""),"arg")</f>
        <v>arg</v>
      </c>
      <c r="C553" t="str">
        <f>IFERROR(__xludf.DUMMYFUNCTION("""COMPUTED_VALUE"""),"Argentina")</f>
        <v>Argentina</v>
      </c>
      <c r="D553">
        <f>IFERROR(__xludf.DUMMYFUNCTION("""COMPUTED_VALUE"""),1953.0)</f>
        <v>1953</v>
      </c>
      <c r="E553">
        <f>IFERROR(__xludf.DUMMYFUNCTION("""COMPUTED_VALUE"""),1.822415E7)</f>
        <v>18224150</v>
      </c>
    </row>
    <row r="554">
      <c r="A554" t="str">
        <f t="shared" si="1"/>
        <v>arg#1954</v>
      </c>
      <c r="B554" t="str">
        <f>IFERROR(__xludf.DUMMYFUNCTION("""COMPUTED_VALUE"""),"arg")</f>
        <v>arg</v>
      </c>
      <c r="C554" t="str">
        <f>IFERROR(__xludf.DUMMYFUNCTION("""COMPUTED_VALUE"""),"Argentina")</f>
        <v>Argentina</v>
      </c>
      <c r="D554">
        <f>IFERROR(__xludf.DUMMYFUNCTION("""COMPUTED_VALUE"""),1954.0)</f>
        <v>1954</v>
      </c>
      <c r="E554">
        <f>IFERROR(__xludf.DUMMYFUNCTION("""COMPUTED_VALUE"""),1.8579037E7)</f>
        <v>18579037</v>
      </c>
    </row>
    <row r="555">
      <c r="A555" t="str">
        <f t="shared" si="1"/>
        <v>arg#1955</v>
      </c>
      <c r="B555" t="str">
        <f>IFERROR(__xludf.DUMMYFUNCTION("""COMPUTED_VALUE"""),"arg")</f>
        <v>arg</v>
      </c>
      <c r="C555" t="str">
        <f>IFERROR(__xludf.DUMMYFUNCTION("""COMPUTED_VALUE"""),"Argentina")</f>
        <v>Argentina</v>
      </c>
      <c r="D555">
        <f>IFERROR(__xludf.DUMMYFUNCTION("""COMPUTED_VALUE"""),1955.0)</f>
        <v>1955</v>
      </c>
      <c r="E555">
        <f>IFERROR(__xludf.DUMMYFUNCTION("""COMPUTED_VALUE"""),1.8929346E7)</f>
        <v>18929346</v>
      </c>
    </row>
    <row r="556">
      <c r="A556" t="str">
        <f t="shared" si="1"/>
        <v>arg#1956</v>
      </c>
      <c r="B556" t="str">
        <f>IFERROR(__xludf.DUMMYFUNCTION("""COMPUTED_VALUE"""),"arg")</f>
        <v>arg</v>
      </c>
      <c r="C556" t="str">
        <f>IFERROR(__xludf.DUMMYFUNCTION("""COMPUTED_VALUE"""),"Argentina")</f>
        <v>Argentina</v>
      </c>
      <c r="D556">
        <f>IFERROR(__xludf.DUMMYFUNCTION("""COMPUTED_VALUE"""),1956.0)</f>
        <v>1956</v>
      </c>
      <c r="E556">
        <f>IFERROR(__xludf.DUMMYFUNCTION("""COMPUTED_VALUE"""),1.9274528E7)</f>
        <v>19274528</v>
      </c>
    </row>
    <row r="557">
      <c r="A557" t="str">
        <f t="shared" si="1"/>
        <v>arg#1957</v>
      </c>
      <c r="B557" t="str">
        <f>IFERROR(__xludf.DUMMYFUNCTION("""COMPUTED_VALUE"""),"arg")</f>
        <v>arg</v>
      </c>
      <c r="C557" t="str">
        <f>IFERROR(__xludf.DUMMYFUNCTION("""COMPUTED_VALUE"""),"Argentina")</f>
        <v>Argentina</v>
      </c>
      <c r="D557">
        <f>IFERROR(__xludf.DUMMYFUNCTION("""COMPUTED_VALUE"""),1957.0)</f>
        <v>1957</v>
      </c>
      <c r="E557">
        <f>IFERROR(__xludf.DUMMYFUNCTION("""COMPUTED_VALUE"""),1.9614847E7)</f>
        <v>19614847</v>
      </c>
    </row>
    <row r="558">
      <c r="A558" t="str">
        <f t="shared" si="1"/>
        <v>arg#1958</v>
      </c>
      <c r="B558" t="str">
        <f>IFERROR(__xludf.DUMMYFUNCTION("""COMPUTED_VALUE"""),"arg")</f>
        <v>arg</v>
      </c>
      <c r="C558" t="str">
        <f>IFERROR(__xludf.DUMMYFUNCTION("""COMPUTED_VALUE"""),"Argentina")</f>
        <v>Argentina</v>
      </c>
      <c r="D558">
        <f>IFERROR(__xludf.DUMMYFUNCTION("""COMPUTED_VALUE"""),1958.0)</f>
        <v>1958</v>
      </c>
      <c r="E558">
        <f>IFERROR(__xludf.DUMMYFUNCTION("""COMPUTED_VALUE"""),1.9951323E7)</f>
        <v>19951323</v>
      </c>
    </row>
    <row r="559">
      <c r="A559" t="str">
        <f t="shared" si="1"/>
        <v>arg#1959</v>
      </c>
      <c r="B559" t="str">
        <f>IFERROR(__xludf.DUMMYFUNCTION("""COMPUTED_VALUE"""),"arg")</f>
        <v>arg</v>
      </c>
      <c r="C559" t="str">
        <f>IFERROR(__xludf.DUMMYFUNCTION("""COMPUTED_VALUE"""),"Argentina")</f>
        <v>Argentina</v>
      </c>
      <c r="D559">
        <f>IFERROR(__xludf.DUMMYFUNCTION("""COMPUTED_VALUE"""),1959.0)</f>
        <v>1959</v>
      </c>
      <c r="E559">
        <f>IFERROR(__xludf.DUMMYFUNCTION("""COMPUTED_VALUE"""),2.0285531E7)</f>
        <v>20285531</v>
      </c>
    </row>
    <row r="560">
      <c r="A560" t="str">
        <f t="shared" si="1"/>
        <v>arg#1960</v>
      </c>
      <c r="B560" t="str">
        <f>IFERROR(__xludf.DUMMYFUNCTION("""COMPUTED_VALUE"""),"arg")</f>
        <v>arg</v>
      </c>
      <c r="C560" t="str">
        <f>IFERROR(__xludf.DUMMYFUNCTION("""COMPUTED_VALUE"""),"Argentina")</f>
        <v>Argentina</v>
      </c>
      <c r="D560">
        <f>IFERROR(__xludf.DUMMYFUNCTION("""COMPUTED_VALUE"""),1960.0)</f>
        <v>1960</v>
      </c>
      <c r="E560">
        <f>IFERROR(__xludf.DUMMYFUNCTION("""COMPUTED_VALUE"""),2.0619075E7)</f>
        <v>20619075</v>
      </c>
    </row>
    <row r="561">
      <c r="A561" t="str">
        <f t="shared" si="1"/>
        <v>arg#1961</v>
      </c>
      <c r="B561" t="str">
        <f>IFERROR(__xludf.DUMMYFUNCTION("""COMPUTED_VALUE"""),"arg")</f>
        <v>arg</v>
      </c>
      <c r="C561" t="str">
        <f>IFERROR(__xludf.DUMMYFUNCTION("""COMPUTED_VALUE"""),"Argentina")</f>
        <v>Argentina</v>
      </c>
      <c r="D561">
        <f>IFERROR(__xludf.DUMMYFUNCTION("""COMPUTED_VALUE"""),1961.0)</f>
        <v>1961</v>
      </c>
      <c r="E561">
        <f>IFERROR(__xludf.DUMMYFUNCTION("""COMPUTED_VALUE"""),2.0953077E7)</f>
        <v>20953077</v>
      </c>
    </row>
    <row r="562">
      <c r="A562" t="str">
        <f t="shared" si="1"/>
        <v>arg#1962</v>
      </c>
      <c r="B562" t="str">
        <f>IFERROR(__xludf.DUMMYFUNCTION("""COMPUTED_VALUE"""),"arg")</f>
        <v>arg</v>
      </c>
      <c r="C562" t="str">
        <f>IFERROR(__xludf.DUMMYFUNCTION("""COMPUTED_VALUE"""),"Argentina")</f>
        <v>Argentina</v>
      </c>
      <c r="D562">
        <f>IFERROR(__xludf.DUMMYFUNCTION("""COMPUTED_VALUE"""),1962.0)</f>
        <v>1962</v>
      </c>
      <c r="E562">
        <f>IFERROR(__xludf.DUMMYFUNCTION("""COMPUTED_VALUE"""),2.1287682E7)</f>
        <v>21287682</v>
      </c>
    </row>
    <row r="563">
      <c r="A563" t="str">
        <f t="shared" si="1"/>
        <v>arg#1963</v>
      </c>
      <c r="B563" t="str">
        <f>IFERROR(__xludf.DUMMYFUNCTION("""COMPUTED_VALUE"""),"arg")</f>
        <v>arg</v>
      </c>
      <c r="C563" t="str">
        <f>IFERROR(__xludf.DUMMYFUNCTION("""COMPUTED_VALUE"""),"Argentina")</f>
        <v>Argentina</v>
      </c>
      <c r="D563">
        <f>IFERROR(__xludf.DUMMYFUNCTION("""COMPUTED_VALUE"""),1963.0)</f>
        <v>1963</v>
      </c>
      <c r="E563">
        <f>IFERROR(__xludf.DUMMYFUNCTION("""COMPUTED_VALUE"""),2.162184E7)</f>
        <v>21621840</v>
      </c>
    </row>
    <row r="564">
      <c r="A564" t="str">
        <f t="shared" si="1"/>
        <v>arg#1964</v>
      </c>
      <c r="B564" t="str">
        <f>IFERROR(__xludf.DUMMYFUNCTION("""COMPUTED_VALUE"""),"arg")</f>
        <v>arg</v>
      </c>
      <c r="C564" t="str">
        <f>IFERROR(__xludf.DUMMYFUNCTION("""COMPUTED_VALUE"""),"Argentina")</f>
        <v>Argentina</v>
      </c>
      <c r="D564">
        <f>IFERROR(__xludf.DUMMYFUNCTION("""COMPUTED_VALUE"""),1964.0)</f>
        <v>1964</v>
      </c>
      <c r="E564">
        <f>IFERROR(__xludf.DUMMYFUNCTION("""COMPUTED_VALUE"""),2.1953929E7)</f>
        <v>21953929</v>
      </c>
    </row>
    <row r="565">
      <c r="A565" t="str">
        <f t="shared" si="1"/>
        <v>arg#1965</v>
      </c>
      <c r="B565" t="str">
        <f>IFERROR(__xludf.DUMMYFUNCTION("""COMPUTED_VALUE"""),"arg")</f>
        <v>arg</v>
      </c>
      <c r="C565" t="str">
        <f>IFERROR(__xludf.DUMMYFUNCTION("""COMPUTED_VALUE"""),"Argentina")</f>
        <v>Argentina</v>
      </c>
      <c r="D565">
        <f>IFERROR(__xludf.DUMMYFUNCTION("""COMPUTED_VALUE"""),1965.0)</f>
        <v>1965</v>
      </c>
      <c r="E565">
        <f>IFERROR(__xludf.DUMMYFUNCTION("""COMPUTED_VALUE"""),2.228339E7)</f>
        <v>22283390</v>
      </c>
    </row>
    <row r="566">
      <c r="A566" t="str">
        <f t="shared" si="1"/>
        <v>arg#1966</v>
      </c>
      <c r="B566" t="str">
        <f>IFERROR(__xludf.DUMMYFUNCTION("""COMPUTED_VALUE"""),"arg")</f>
        <v>arg</v>
      </c>
      <c r="C566" t="str">
        <f>IFERROR(__xludf.DUMMYFUNCTION("""COMPUTED_VALUE"""),"Argentina")</f>
        <v>Argentina</v>
      </c>
      <c r="D566">
        <f>IFERROR(__xludf.DUMMYFUNCTION("""COMPUTED_VALUE"""),1966.0)</f>
        <v>1966</v>
      </c>
      <c r="E566">
        <f>IFERROR(__xludf.DUMMYFUNCTION("""COMPUTED_VALUE"""),2.2608748E7)</f>
        <v>22608748</v>
      </c>
    </row>
    <row r="567">
      <c r="A567" t="str">
        <f t="shared" si="1"/>
        <v>arg#1967</v>
      </c>
      <c r="B567" t="str">
        <f>IFERROR(__xludf.DUMMYFUNCTION("""COMPUTED_VALUE"""),"arg")</f>
        <v>arg</v>
      </c>
      <c r="C567" t="str">
        <f>IFERROR(__xludf.DUMMYFUNCTION("""COMPUTED_VALUE"""),"Argentina")</f>
        <v>Argentina</v>
      </c>
      <c r="D567">
        <f>IFERROR(__xludf.DUMMYFUNCTION("""COMPUTED_VALUE"""),1967.0)</f>
        <v>1967</v>
      </c>
      <c r="E567">
        <f>IFERROR(__xludf.DUMMYFUNCTION("""COMPUTED_VALUE"""),2.2932203E7)</f>
        <v>22932203</v>
      </c>
    </row>
    <row r="568">
      <c r="A568" t="str">
        <f t="shared" si="1"/>
        <v>arg#1968</v>
      </c>
      <c r="B568" t="str">
        <f>IFERROR(__xludf.DUMMYFUNCTION("""COMPUTED_VALUE"""),"arg")</f>
        <v>arg</v>
      </c>
      <c r="C568" t="str">
        <f>IFERROR(__xludf.DUMMYFUNCTION("""COMPUTED_VALUE"""),"Argentina")</f>
        <v>Argentina</v>
      </c>
      <c r="D568">
        <f>IFERROR(__xludf.DUMMYFUNCTION("""COMPUTED_VALUE"""),1968.0)</f>
        <v>1968</v>
      </c>
      <c r="E568">
        <f>IFERROR(__xludf.DUMMYFUNCTION("""COMPUTED_VALUE"""),2.3261278E7)</f>
        <v>23261278</v>
      </c>
    </row>
    <row r="569">
      <c r="A569" t="str">
        <f t="shared" si="1"/>
        <v>arg#1969</v>
      </c>
      <c r="B569" t="str">
        <f>IFERROR(__xludf.DUMMYFUNCTION("""COMPUTED_VALUE"""),"arg")</f>
        <v>arg</v>
      </c>
      <c r="C569" t="str">
        <f>IFERROR(__xludf.DUMMYFUNCTION("""COMPUTED_VALUE"""),"Argentina")</f>
        <v>Argentina</v>
      </c>
      <c r="D569">
        <f>IFERROR(__xludf.DUMMYFUNCTION("""COMPUTED_VALUE"""),1969.0)</f>
        <v>1969</v>
      </c>
      <c r="E569">
        <f>IFERROR(__xludf.DUMMYFUNCTION("""COMPUTED_VALUE"""),2.3605987E7)</f>
        <v>23605987</v>
      </c>
    </row>
    <row r="570">
      <c r="A570" t="str">
        <f t="shared" si="1"/>
        <v>arg#1970</v>
      </c>
      <c r="B570" t="str">
        <f>IFERROR(__xludf.DUMMYFUNCTION("""COMPUTED_VALUE"""),"arg")</f>
        <v>arg</v>
      </c>
      <c r="C570" t="str">
        <f>IFERROR(__xludf.DUMMYFUNCTION("""COMPUTED_VALUE"""),"Argentina")</f>
        <v>Argentina</v>
      </c>
      <c r="D570">
        <f>IFERROR(__xludf.DUMMYFUNCTION("""COMPUTED_VALUE"""),1970.0)</f>
        <v>1970</v>
      </c>
      <c r="E570">
        <f>IFERROR(__xludf.DUMMYFUNCTION("""COMPUTED_VALUE"""),2.3973058E7)</f>
        <v>23973058</v>
      </c>
    </row>
    <row r="571">
      <c r="A571" t="str">
        <f t="shared" si="1"/>
        <v>arg#1971</v>
      </c>
      <c r="B571" t="str">
        <f>IFERROR(__xludf.DUMMYFUNCTION("""COMPUTED_VALUE"""),"arg")</f>
        <v>arg</v>
      </c>
      <c r="C571" t="str">
        <f>IFERROR(__xludf.DUMMYFUNCTION("""COMPUTED_VALUE"""),"Argentina")</f>
        <v>Argentina</v>
      </c>
      <c r="D571">
        <f>IFERROR(__xludf.DUMMYFUNCTION("""COMPUTED_VALUE"""),1971.0)</f>
        <v>1971</v>
      </c>
      <c r="E571">
        <f>IFERROR(__xludf.DUMMYFUNCTION("""COMPUTED_VALUE"""),2.4366439E7)</f>
        <v>24366439</v>
      </c>
    </row>
    <row r="572">
      <c r="A572" t="str">
        <f t="shared" si="1"/>
        <v>arg#1972</v>
      </c>
      <c r="B572" t="str">
        <f>IFERROR(__xludf.DUMMYFUNCTION("""COMPUTED_VALUE"""),"arg")</f>
        <v>arg</v>
      </c>
      <c r="C572" t="str">
        <f>IFERROR(__xludf.DUMMYFUNCTION("""COMPUTED_VALUE"""),"Argentina")</f>
        <v>Argentina</v>
      </c>
      <c r="D572">
        <f>IFERROR(__xludf.DUMMYFUNCTION("""COMPUTED_VALUE"""),1972.0)</f>
        <v>1972</v>
      </c>
      <c r="E572">
        <f>IFERROR(__xludf.DUMMYFUNCTION("""COMPUTED_VALUE"""),2.4782949E7)</f>
        <v>24782949</v>
      </c>
    </row>
    <row r="573">
      <c r="A573" t="str">
        <f t="shared" si="1"/>
        <v>arg#1973</v>
      </c>
      <c r="B573" t="str">
        <f>IFERROR(__xludf.DUMMYFUNCTION("""COMPUTED_VALUE"""),"arg")</f>
        <v>arg</v>
      </c>
      <c r="C573" t="str">
        <f>IFERROR(__xludf.DUMMYFUNCTION("""COMPUTED_VALUE"""),"Argentina")</f>
        <v>Argentina</v>
      </c>
      <c r="D573">
        <f>IFERROR(__xludf.DUMMYFUNCTION("""COMPUTED_VALUE"""),1973.0)</f>
        <v>1973</v>
      </c>
      <c r="E573">
        <f>IFERROR(__xludf.DUMMYFUNCTION("""COMPUTED_VALUE"""),2.5213388E7)</f>
        <v>25213388</v>
      </c>
    </row>
    <row r="574">
      <c r="A574" t="str">
        <f t="shared" si="1"/>
        <v>arg#1974</v>
      </c>
      <c r="B574" t="str">
        <f>IFERROR(__xludf.DUMMYFUNCTION("""COMPUTED_VALUE"""),"arg")</f>
        <v>arg</v>
      </c>
      <c r="C574" t="str">
        <f>IFERROR(__xludf.DUMMYFUNCTION("""COMPUTED_VALUE"""),"Argentina")</f>
        <v>Argentina</v>
      </c>
      <c r="D574">
        <f>IFERROR(__xludf.DUMMYFUNCTION("""COMPUTED_VALUE"""),1974.0)</f>
        <v>1974</v>
      </c>
      <c r="E574">
        <f>IFERROR(__xludf.DUMMYFUNCTION("""COMPUTED_VALUE"""),2.5644506E7)</f>
        <v>25644506</v>
      </c>
    </row>
    <row r="575">
      <c r="A575" t="str">
        <f t="shared" si="1"/>
        <v>arg#1975</v>
      </c>
      <c r="B575" t="str">
        <f>IFERROR(__xludf.DUMMYFUNCTION("""COMPUTED_VALUE"""),"arg")</f>
        <v>arg</v>
      </c>
      <c r="C575" t="str">
        <f>IFERROR(__xludf.DUMMYFUNCTION("""COMPUTED_VALUE"""),"Argentina")</f>
        <v>Argentina</v>
      </c>
      <c r="D575">
        <f>IFERROR(__xludf.DUMMYFUNCTION("""COMPUTED_VALUE"""),1975.0)</f>
        <v>1975</v>
      </c>
      <c r="E575">
        <f>IFERROR(__xludf.DUMMYFUNCTION("""COMPUTED_VALUE"""),2.6066975E7)</f>
        <v>26066975</v>
      </c>
    </row>
    <row r="576">
      <c r="A576" t="str">
        <f t="shared" si="1"/>
        <v>arg#1976</v>
      </c>
      <c r="B576" t="str">
        <f>IFERROR(__xludf.DUMMYFUNCTION("""COMPUTED_VALUE"""),"arg")</f>
        <v>arg</v>
      </c>
      <c r="C576" t="str">
        <f>IFERROR(__xludf.DUMMYFUNCTION("""COMPUTED_VALUE"""),"Argentina")</f>
        <v>Argentina</v>
      </c>
      <c r="D576">
        <f>IFERROR(__xludf.DUMMYFUNCTION("""COMPUTED_VALUE"""),1976.0)</f>
        <v>1976</v>
      </c>
      <c r="E576">
        <f>IFERROR(__xludf.DUMMYFUNCTION("""COMPUTED_VALUE"""),2.6477152E7)</f>
        <v>26477152</v>
      </c>
    </row>
    <row r="577">
      <c r="A577" t="str">
        <f t="shared" si="1"/>
        <v>arg#1977</v>
      </c>
      <c r="B577" t="str">
        <f>IFERROR(__xludf.DUMMYFUNCTION("""COMPUTED_VALUE"""),"arg")</f>
        <v>arg</v>
      </c>
      <c r="C577" t="str">
        <f>IFERROR(__xludf.DUMMYFUNCTION("""COMPUTED_VALUE"""),"Argentina")</f>
        <v>Argentina</v>
      </c>
      <c r="D577">
        <f>IFERROR(__xludf.DUMMYFUNCTION("""COMPUTED_VALUE"""),1977.0)</f>
        <v>1977</v>
      </c>
      <c r="E577">
        <f>IFERROR(__xludf.DUMMYFUNCTION("""COMPUTED_VALUE"""),2.6878565E7)</f>
        <v>26878565</v>
      </c>
    </row>
    <row r="578">
      <c r="A578" t="str">
        <f t="shared" si="1"/>
        <v>arg#1978</v>
      </c>
      <c r="B578" t="str">
        <f>IFERROR(__xludf.DUMMYFUNCTION("""COMPUTED_VALUE"""),"arg")</f>
        <v>arg</v>
      </c>
      <c r="C578" t="str">
        <f>IFERROR(__xludf.DUMMYFUNCTION("""COMPUTED_VALUE"""),"Argentina")</f>
        <v>Argentina</v>
      </c>
      <c r="D578">
        <f>IFERROR(__xludf.DUMMYFUNCTION("""COMPUTED_VALUE"""),1978.0)</f>
        <v>1978</v>
      </c>
      <c r="E578">
        <f>IFERROR(__xludf.DUMMYFUNCTION("""COMPUTED_VALUE"""),2.7277741E7)</f>
        <v>27277741</v>
      </c>
    </row>
    <row r="579">
      <c r="A579" t="str">
        <f t="shared" si="1"/>
        <v>arg#1979</v>
      </c>
      <c r="B579" t="str">
        <f>IFERROR(__xludf.DUMMYFUNCTION("""COMPUTED_VALUE"""),"arg")</f>
        <v>arg</v>
      </c>
      <c r="C579" t="str">
        <f>IFERROR(__xludf.DUMMYFUNCTION("""COMPUTED_VALUE"""),"Argentina")</f>
        <v>Argentina</v>
      </c>
      <c r="D579">
        <f>IFERROR(__xludf.DUMMYFUNCTION("""COMPUTED_VALUE"""),1979.0)</f>
        <v>1979</v>
      </c>
      <c r="E579">
        <f>IFERROR(__xludf.DUMMYFUNCTION("""COMPUTED_VALUE"""),2.7684534E7)</f>
        <v>27684534</v>
      </c>
    </row>
    <row r="580">
      <c r="A580" t="str">
        <f t="shared" si="1"/>
        <v>arg#1980</v>
      </c>
      <c r="B580" t="str">
        <f>IFERROR(__xludf.DUMMYFUNCTION("""COMPUTED_VALUE"""),"arg")</f>
        <v>arg</v>
      </c>
      <c r="C580" t="str">
        <f>IFERROR(__xludf.DUMMYFUNCTION("""COMPUTED_VALUE"""),"Argentina")</f>
        <v>Argentina</v>
      </c>
      <c r="D580">
        <f>IFERROR(__xludf.DUMMYFUNCTION("""COMPUTED_VALUE"""),1980.0)</f>
        <v>1980</v>
      </c>
      <c r="E580">
        <f>IFERROR(__xludf.DUMMYFUNCTION("""COMPUTED_VALUE"""),2.8105888E7)</f>
        <v>28105888</v>
      </c>
    </row>
    <row r="581">
      <c r="A581" t="str">
        <f t="shared" si="1"/>
        <v>arg#1981</v>
      </c>
      <c r="B581" t="str">
        <f>IFERROR(__xludf.DUMMYFUNCTION("""COMPUTED_VALUE"""),"arg")</f>
        <v>arg</v>
      </c>
      <c r="C581" t="str">
        <f>IFERROR(__xludf.DUMMYFUNCTION("""COMPUTED_VALUE"""),"Argentina")</f>
        <v>Argentina</v>
      </c>
      <c r="D581">
        <f>IFERROR(__xludf.DUMMYFUNCTION("""COMPUTED_VALUE"""),1981.0)</f>
        <v>1981</v>
      </c>
      <c r="E581">
        <f>IFERROR(__xludf.DUMMYFUNCTION("""COMPUTED_VALUE"""),2.8543364E7)</f>
        <v>28543364</v>
      </c>
    </row>
    <row r="582">
      <c r="A582" t="str">
        <f t="shared" si="1"/>
        <v>arg#1982</v>
      </c>
      <c r="B582" t="str">
        <f>IFERROR(__xludf.DUMMYFUNCTION("""COMPUTED_VALUE"""),"arg")</f>
        <v>arg</v>
      </c>
      <c r="C582" t="str">
        <f>IFERROR(__xludf.DUMMYFUNCTION("""COMPUTED_VALUE"""),"Argentina")</f>
        <v>Argentina</v>
      </c>
      <c r="D582">
        <f>IFERROR(__xludf.DUMMYFUNCTION("""COMPUTED_VALUE"""),1982.0)</f>
        <v>1982</v>
      </c>
      <c r="E582">
        <f>IFERROR(__xludf.DUMMYFUNCTION("""COMPUTED_VALUE"""),2.8993987E7)</f>
        <v>28993987</v>
      </c>
    </row>
    <row r="583">
      <c r="A583" t="str">
        <f t="shared" si="1"/>
        <v>arg#1983</v>
      </c>
      <c r="B583" t="str">
        <f>IFERROR(__xludf.DUMMYFUNCTION("""COMPUTED_VALUE"""),"arg")</f>
        <v>arg</v>
      </c>
      <c r="C583" t="str">
        <f>IFERROR(__xludf.DUMMYFUNCTION("""COMPUTED_VALUE"""),"Argentina")</f>
        <v>Argentina</v>
      </c>
      <c r="D583">
        <f>IFERROR(__xludf.DUMMYFUNCTION("""COMPUTED_VALUE"""),1983.0)</f>
        <v>1983</v>
      </c>
      <c r="E583">
        <f>IFERROR(__xludf.DUMMYFUNCTION("""COMPUTED_VALUE"""),2.9454738E7)</f>
        <v>29454738</v>
      </c>
    </row>
    <row r="584">
      <c r="A584" t="str">
        <f t="shared" si="1"/>
        <v>arg#1984</v>
      </c>
      <c r="B584" t="str">
        <f>IFERROR(__xludf.DUMMYFUNCTION("""COMPUTED_VALUE"""),"arg")</f>
        <v>arg</v>
      </c>
      <c r="C584" t="str">
        <f>IFERROR(__xludf.DUMMYFUNCTION("""COMPUTED_VALUE"""),"Argentina")</f>
        <v>Argentina</v>
      </c>
      <c r="D584">
        <f>IFERROR(__xludf.DUMMYFUNCTION("""COMPUTED_VALUE"""),1984.0)</f>
        <v>1984</v>
      </c>
      <c r="E584">
        <f>IFERROR(__xludf.DUMMYFUNCTION("""COMPUTED_VALUE"""),2.9920904E7)</f>
        <v>29920904</v>
      </c>
    </row>
    <row r="585">
      <c r="A585" t="str">
        <f t="shared" si="1"/>
        <v>arg#1985</v>
      </c>
      <c r="B585" t="str">
        <f>IFERROR(__xludf.DUMMYFUNCTION("""COMPUTED_VALUE"""),"arg")</f>
        <v>arg</v>
      </c>
      <c r="C585" t="str">
        <f>IFERROR(__xludf.DUMMYFUNCTION("""COMPUTED_VALUE"""),"Argentina")</f>
        <v>Argentina</v>
      </c>
      <c r="D585">
        <f>IFERROR(__xludf.DUMMYFUNCTION("""COMPUTED_VALUE"""),1985.0)</f>
        <v>1985</v>
      </c>
      <c r="E585">
        <f>IFERROR(__xludf.DUMMYFUNCTION("""COMPUTED_VALUE"""),3.0388783E7)</f>
        <v>30388783</v>
      </c>
    </row>
    <row r="586">
      <c r="A586" t="str">
        <f t="shared" si="1"/>
        <v>arg#1986</v>
      </c>
      <c r="B586" t="str">
        <f>IFERROR(__xludf.DUMMYFUNCTION("""COMPUTED_VALUE"""),"arg")</f>
        <v>arg</v>
      </c>
      <c r="C586" t="str">
        <f>IFERROR(__xludf.DUMMYFUNCTION("""COMPUTED_VALUE"""),"Argentina")</f>
        <v>Argentina</v>
      </c>
      <c r="D586">
        <f>IFERROR(__xludf.DUMMYFUNCTION("""COMPUTED_VALUE"""),1986.0)</f>
        <v>1986</v>
      </c>
      <c r="E586">
        <f>IFERROR(__xludf.DUMMYFUNCTION("""COMPUTED_VALUE"""),3.0857244E7)</f>
        <v>30857244</v>
      </c>
    </row>
    <row r="587">
      <c r="A587" t="str">
        <f t="shared" si="1"/>
        <v>arg#1987</v>
      </c>
      <c r="B587" t="str">
        <f>IFERROR(__xludf.DUMMYFUNCTION("""COMPUTED_VALUE"""),"arg")</f>
        <v>arg</v>
      </c>
      <c r="C587" t="str">
        <f>IFERROR(__xludf.DUMMYFUNCTION("""COMPUTED_VALUE"""),"Argentina")</f>
        <v>Argentina</v>
      </c>
      <c r="D587">
        <f>IFERROR(__xludf.DUMMYFUNCTION("""COMPUTED_VALUE"""),1987.0)</f>
        <v>1987</v>
      </c>
      <c r="E587">
        <f>IFERROR(__xludf.DUMMYFUNCTION("""COMPUTED_VALUE"""),3.1326473E7)</f>
        <v>31326473</v>
      </c>
    </row>
    <row r="588">
      <c r="A588" t="str">
        <f t="shared" si="1"/>
        <v>arg#1988</v>
      </c>
      <c r="B588" t="str">
        <f>IFERROR(__xludf.DUMMYFUNCTION("""COMPUTED_VALUE"""),"arg")</f>
        <v>arg</v>
      </c>
      <c r="C588" t="str">
        <f>IFERROR(__xludf.DUMMYFUNCTION("""COMPUTED_VALUE"""),"Argentina")</f>
        <v>Argentina</v>
      </c>
      <c r="D588">
        <f>IFERROR(__xludf.DUMMYFUNCTION("""COMPUTED_VALUE"""),1988.0)</f>
        <v>1988</v>
      </c>
      <c r="E588">
        <f>IFERROR(__xludf.DUMMYFUNCTION("""COMPUTED_VALUE"""),3.1795517E7)</f>
        <v>31795517</v>
      </c>
    </row>
    <row r="589">
      <c r="A589" t="str">
        <f t="shared" si="1"/>
        <v>arg#1989</v>
      </c>
      <c r="B589" t="str">
        <f>IFERROR(__xludf.DUMMYFUNCTION("""COMPUTED_VALUE"""),"arg")</f>
        <v>arg</v>
      </c>
      <c r="C589" t="str">
        <f>IFERROR(__xludf.DUMMYFUNCTION("""COMPUTED_VALUE"""),"Argentina")</f>
        <v>Argentina</v>
      </c>
      <c r="D589">
        <f>IFERROR(__xludf.DUMMYFUNCTION("""COMPUTED_VALUE"""),1989.0)</f>
        <v>1989</v>
      </c>
      <c r="E589">
        <f>IFERROR(__xludf.DUMMYFUNCTION("""COMPUTED_VALUE"""),3.2263561E7)</f>
        <v>32263561</v>
      </c>
    </row>
    <row r="590">
      <c r="A590" t="str">
        <f t="shared" si="1"/>
        <v>arg#1990</v>
      </c>
      <c r="B590" t="str">
        <f>IFERROR(__xludf.DUMMYFUNCTION("""COMPUTED_VALUE"""),"arg")</f>
        <v>arg</v>
      </c>
      <c r="C590" t="str">
        <f>IFERROR(__xludf.DUMMYFUNCTION("""COMPUTED_VALUE"""),"Argentina")</f>
        <v>Argentina</v>
      </c>
      <c r="D590">
        <f>IFERROR(__xludf.DUMMYFUNCTION("""COMPUTED_VALUE"""),1990.0)</f>
        <v>1990</v>
      </c>
      <c r="E590">
        <f>IFERROR(__xludf.DUMMYFUNCTION("""COMPUTED_VALUE"""),3.2729739E7)</f>
        <v>32729739</v>
      </c>
    </row>
    <row r="591">
      <c r="A591" t="str">
        <f t="shared" si="1"/>
        <v>arg#1991</v>
      </c>
      <c r="B591" t="str">
        <f>IFERROR(__xludf.DUMMYFUNCTION("""COMPUTED_VALUE"""),"arg")</f>
        <v>arg</v>
      </c>
      <c r="C591" t="str">
        <f>IFERROR(__xludf.DUMMYFUNCTION("""COMPUTED_VALUE"""),"Argentina")</f>
        <v>Argentina</v>
      </c>
      <c r="D591">
        <f>IFERROR(__xludf.DUMMYFUNCTION("""COMPUTED_VALUE"""),1991.0)</f>
        <v>1991</v>
      </c>
      <c r="E591">
        <f>IFERROR(__xludf.DUMMYFUNCTION("""COMPUTED_VALUE"""),3.3193918E7)</f>
        <v>33193918</v>
      </c>
    </row>
    <row r="592">
      <c r="A592" t="str">
        <f t="shared" si="1"/>
        <v>arg#1992</v>
      </c>
      <c r="B592" t="str">
        <f>IFERROR(__xludf.DUMMYFUNCTION("""COMPUTED_VALUE"""),"arg")</f>
        <v>arg</v>
      </c>
      <c r="C592" t="str">
        <f>IFERROR(__xludf.DUMMYFUNCTION("""COMPUTED_VALUE"""),"Argentina")</f>
        <v>Argentina</v>
      </c>
      <c r="D592">
        <f>IFERROR(__xludf.DUMMYFUNCTION("""COMPUTED_VALUE"""),1992.0)</f>
        <v>1992</v>
      </c>
      <c r="E592">
        <f>IFERROR(__xludf.DUMMYFUNCTION("""COMPUTED_VALUE"""),3.3655151E7)</f>
        <v>33655151</v>
      </c>
    </row>
    <row r="593">
      <c r="A593" t="str">
        <f t="shared" si="1"/>
        <v>arg#1993</v>
      </c>
      <c r="B593" t="str">
        <f>IFERROR(__xludf.DUMMYFUNCTION("""COMPUTED_VALUE"""),"arg")</f>
        <v>arg</v>
      </c>
      <c r="C593" t="str">
        <f>IFERROR(__xludf.DUMMYFUNCTION("""COMPUTED_VALUE"""),"Argentina")</f>
        <v>Argentina</v>
      </c>
      <c r="D593">
        <f>IFERROR(__xludf.DUMMYFUNCTION("""COMPUTED_VALUE"""),1993.0)</f>
        <v>1993</v>
      </c>
      <c r="E593">
        <f>IFERROR(__xludf.DUMMYFUNCTION("""COMPUTED_VALUE"""),3.4110917E7)</f>
        <v>34110917</v>
      </c>
    </row>
    <row r="594">
      <c r="A594" t="str">
        <f t="shared" si="1"/>
        <v>arg#1994</v>
      </c>
      <c r="B594" t="str">
        <f>IFERROR(__xludf.DUMMYFUNCTION("""COMPUTED_VALUE"""),"arg")</f>
        <v>arg</v>
      </c>
      <c r="C594" t="str">
        <f>IFERROR(__xludf.DUMMYFUNCTION("""COMPUTED_VALUE"""),"Argentina")</f>
        <v>Argentina</v>
      </c>
      <c r="D594">
        <f>IFERROR(__xludf.DUMMYFUNCTION("""COMPUTED_VALUE"""),1994.0)</f>
        <v>1994</v>
      </c>
      <c r="E594">
        <f>IFERROR(__xludf.DUMMYFUNCTION("""COMPUTED_VALUE"""),3.4558115E7)</f>
        <v>34558115</v>
      </c>
    </row>
    <row r="595">
      <c r="A595" t="str">
        <f t="shared" si="1"/>
        <v>arg#1995</v>
      </c>
      <c r="B595" t="str">
        <f>IFERROR(__xludf.DUMMYFUNCTION("""COMPUTED_VALUE"""),"arg")</f>
        <v>arg</v>
      </c>
      <c r="C595" t="str">
        <f>IFERROR(__xludf.DUMMYFUNCTION("""COMPUTED_VALUE"""),"Argentina")</f>
        <v>Argentina</v>
      </c>
      <c r="D595">
        <f>IFERROR(__xludf.DUMMYFUNCTION("""COMPUTED_VALUE"""),1995.0)</f>
        <v>1995</v>
      </c>
      <c r="E595">
        <f>IFERROR(__xludf.DUMMYFUNCTION("""COMPUTED_VALUE"""),3.4994814E7)</f>
        <v>34994814</v>
      </c>
    </row>
    <row r="596">
      <c r="A596" t="str">
        <f t="shared" si="1"/>
        <v>arg#1996</v>
      </c>
      <c r="B596" t="str">
        <f>IFERROR(__xludf.DUMMYFUNCTION("""COMPUTED_VALUE"""),"arg")</f>
        <v>arg</v>
      </c>
      <c r="C596" t="str">
        <f>IFERROR(__xludf.DUMMYFUNCTION("""COMPUTED_VALUE"""),"Argentina")</f>
        <v>Argentina</v>
      </c>
      <c r="D596">
        <f>IFERROR(__xludf.DUMMYFUNCTION("""COMPUTED_VALUE"""),1996.0)</f>
        <v>1996</v>
      </c>
      <c r="E596">
        <f>IFERROR(__xludf.DUMMYFUNCTION("""COMPUTED_VALUE"""),3.5419682E7)</f>
        <v>35419682</v>
      </c>
    </row>
    <row r="597">
      <c r="A597" t="str">
        <f t="shared" si="1"/>
        <v>arg#1997</v>
      </c>
      <c r="B597" t="str">
        <f>IFERROR(__xludf.DUMMYFUNCTION("""COMPUTED_VALUE"""),"arg")</f>
        <v>arg</v>
      </c>
      <c r="C597" t="str">
        <f>IFERROR(__xludf.DUMMYFUNCTION("""COMPUTED_VALUE"""),"Argentina")</f>
        <v>Argentina</v>
      </c>
      <c r="D597">
        <f>IFERROR(__xludf.DUMMYFUNCTION("""COMPUTED_VALUE"""),1997.0)</f>
        <v>1997</v>
      </c>
      <c r="E597">
        <f>IFERROR(__xludf.DUMMYFUNCTION("""COMPUTED_VALUE"""),3.5833969E7)</f>
        <v>35833969</v>
      </c>
    </row>
    <row r="598">
      <c r="A598" t="str">
        <f t="shared" si="1"/>
        <v>arg#1998</v>
      </c>
      <c r="B598" t="str">
        <f>IFERROR(__xludf.DUMMYFUNCTION("""COMPUTED_VALUE"""),"arg")</f>
        <v>arg</v>
      </c>
      <c r="C598" t="str">
        <f>IFERROR(__xludf.DUMMYFUNCTION("""COMPUTED_VALUE"""),"Argentina")</f>
        <v>Argentina</v>
      </c>
      <c r="D598">
        <f>IFERROR(__xludf.DUMMYFUNCTION("""COMPUTED_VALUE"""),1998.0)</f>
        <v>1998</v>
      </c>
      <c r="E598">
        <f>IFERROR(__xludf.DUMMYFUNCTION("""COMPUTED_VALUE"""),3.624159E7)</f>
        <v>36241590</v>
      </c>
    </row>
    <row r="599">
      <c r="A599" t="str">
        <f t="shared" si="1"/>
        <v>arg#1999</v>
      </c>
      <c r="B599" t="str">
        <f>IFERROR(__xludf.DUMMYFUNCTION("""COMPUTED_VALUE"""),"arg")</f>
        <v>arg</v>
      </c>
      <c r="C599" t="str">
        <f>IFERROR(__xludf.DUMMYFUNCTION("""COMPUTED_VALUE"""),"Argentina")</f>
        <v>Argentina</v>
      </c>
      <c r="D599">
        <f>IFERROR(__xludf.DUMMYFUNCTION("""COMPUTED_VALUE"""),1999.0)</f>
        <v>1999</v>
      </c>
      <c r="E599">
        <f>IFERROR(__xludf.DUMMYFUNCTION("""COMPUTED_VALUE"""),3.6648068E7)</f>
        <v>36648068</v>
      </c>
    </row>
    <row r="600">
      <c r="A600" t="str">
        <f t="shared" si="1"/>
        <v>arg#2000</v>
      </c>
      <c r="B600" t="str">
        <f>IFERROR(__xludf.DUMMYFUNCTION("""COMPUTED_VALUE"""),"arg")</f>
        <v>arg</v>
      </c>
      <c r="C600" t="str">
        <f>IFERROR(__xludf.DUMMYFUNCTION("""COMPUTED_VALUE"""),"Argentina")</f>
        <v>Argentina</v>
      </c>
      <c r="D600">
        <f>IFERROR(__xludf.DUMMYFUNCTION("""COMPUTED_VALUE"""),2000.0)</f>
        <v>2000</v>
      </c>
      <c r="E600">
        <f>IFERROR(__xludf.DUMMYFUNCTION("""COMPUTED_VALUE"""),3.7057452E7)</f>
        <v>37057452</v>
      </c>
    </row>
    <row r="601">
      <c r="A601" t="str">
        <f t="shared" si="1"/>
        <v>arg#2001</v>
      </c>
      <c r="B601" t="str">
        <f>IFERROR(__xludf.DUMMYFUNCTION("""COMPUTED_VALUE"""),"arg")</f>
        <v>arg</v>
      </c>
      <c r="C601" t="str">
        <f>IFERROR(__xludf.DUMMYFUNCTION("""COMPUTED_VALUE"""),"Argentina")</f>
        <v>Argentina</v>
      </c>
      <c r="D601">
        <f>IFERROR(__xludf.DUMMYFUNCTION("""COMPUTED_VALUE"""),2001.0)</f>
        <v>2001</v>
      </c>
      <c r="E601">
        <f>IFERROR(__xludf.DUMMYFUNCTION("""COMPUTED_VALUE"""),3.7471509E7)</f>
        <v>37471509</v>
      </c>
    </row>
    <row r="602">
      <c r="A602" t="str">
        <f t="shared" si="1"/>
        <v>arg#2002</v>
      </c>
      <c r="B602" t="str">
        <f>IFERROR(__xludf.DUMMYFUNCTION("""COMPUTED_VALUE"""),"arg")</f>
        <v>arg</v>
      </c>
      <c r="C602" t="str">
        <f>IFERROR(__xludf.DUMMYFUNCTION("""COMPUTED_VALUE"""),"Argentina")</f>
        <v>Argentina</v>
      </c>
      <c r="D602">
        <f>IFERROR(__xludf.DUMMYFUNCTION("""COMPUTED_VALUE"""),2002.0)</f>
        <v>2002</v>
      </c>
      <c r="E602">
        <f>IFERROR(__xludf.DUMMYFUNCTION("""COMPUTED_VALUE"""),3.788937E7)</f>
        <v>37889370</v>
      </c>
    </row>
    <row r="603">
      <c r="A603" t="str">
        <f t="shared" si="1"/>
        <v>arg#2003</v>
      </c>
      <c r="B603" t="str">
        <f>IFERROR(__xludf.DUMMYFUNCTION("""COMPUTED_VALUE"""),"arg")</f>
        <v>arg</v>
      </c>
      <c r="C603" t="str">
        <f>IFERROR(__xludf.DUMMYFUNCTION("""COMPUTED_VALUE"""),"Argentina")</f>
        <v>Argentina</v>
      </c>
      <c r="D603">
        <f>IFERROR(__xludf.DUMMYFUNCTION("""COMPUTED_VALUE"""),2003.0)</f>
        <v>2003</v>
      </c>
      <c r="E603">
        <f>IFERROR(__xludf.DUMMYFUNCTION("""COMPUTED_VALUE"""),3.8309379E7)</f>
        <v>38309379</v>
      </c>
    </row>
    <row r="604">
      <c r="A604" t="str">
        <f t="shared" si="1"/>
        <v>arg#2004</v>
      </c>
      <c r="B604" t="str">
        <f>IFERROR(__xludf.DUMMYFUNCTION("""COMPUTED_VALUE"""),"arg")</f>
        <v>arg</v>
      </c>
      <c r="C604" t="str">
        <f>IFERROR(__xludf.DUMMYFUNCTION("""COMPUTED_VALUE"""),"Argentina")</f>
        <v>Argentina</v>
      </c>
      <c r="D604">
        <f>IFERROR(__xludf.DUMMYFUNCTION("""COMPUTED_VALUE"""),2004.0)</f>
        <v>2004</v>
      </c>
      <c r="E604">
        <f>IFERROR(__xludf.DUMMYFUNCTION("""COMPUTED_VALUE"""),3.8728696E7)</f>
        <v>38728696</v>
      </c>
    </row>
    <row r="605">
      <c r="A605" t="str">
        <f t="shared" si="1"/>
        <v>arg#2005</v>
      </c>
      <c r="B605" t="str">
        <f>IFERROR(__xludf.DUMMYFUNCTION("""COMPUTED_VALUE"""),"arg")</f>
        <v>arg</v>
      </c>
      <c r="C605" t="str">
        <f>IFERROR(__xludf.DUMMYFUNCTION("""COMPUTED_VALUE"""),"Argentina")</f>
        <v>Argentina</v>
      </c>
      <c r="D605">
        <f>IFERROR(__xludf.DUMMYFUNCTION("""COMPUTED_VALUE"""),2005.0)</f>
        <v>2005</v>
      </c>
      <c r="E605">
        <f>IFERROR(__xludf.DUMMYFUNCTION("""COMPUTED_VALUE"""),3.9145488E7)</f>
        <v>39145488</v>
      </c>
    </row>
    <row r="606">
      <c r="A606" t="str">
        <f t="shared" si="1"/>
        <v>arg#2006</v>
      </c>
      <c r="B606" t="str">
        <f>IFERROR(__xludf.DUMMYFUNCTION("""COMPUTED_VALUE"""),"arg")</f>
        <v>arg</v>
      </c>
      <c r="C606" t="str">
        <f>IFERROR(__xludf.DUMMYFUNCTION("""COMPUTED_VALUE"""),"Argentina")</f>
        <v>Argentina</v>
      </c>
      <c r="D606">
        <f>IFERROR(__xludf.DUMMYFUNCTION("""COMPUTED_VALUE"""),2006.0)</f>
        <v>2006</v>
      </c>
      <c r="E606">
        <f>IFERROR(__xludf.DUMMYFUNCTION("""COMPUTED_VALUE"""),3.955889E7)</f>
        <v>39558890</v>
      </c>
    </row>
    <row r="607">
      <c r="A607" t="str">
        <f t="shared" si="1"/>
        <v>arg#2007</v>
      </c>
      <c r="B607" t="str">
        <f>IFERROR(__xludf.DUMMYFUNCTION("""COMPUTED_VALUE"""),"arg")</f>
        <v>arg</v>
      </c>
      <c r="C607" t="str">
        <f>IFERROR(__xludf.DUMMYFUNCTION("""COMPUTED_VALUE"""),"Argentina")</f>
        <v>Argentina</v>
      </c>
      <c r="D607">
        <f>IFERROR(__xludf.DUMMYFUNCTION("""COMPUTED_VALUE"""),2007.0)</f>
        <v>2007</v>
      </c>
      <c r="E607">
        <f>IFERROR(__xludf.DUMMYFUNCTION("""COMPUTED_VALUE"""),3.9970224E7)</f>
        <v>39970224</v>
      </c>
    </row>
    <row r="608">
      <c r="A608" t="str">
        <f t="shared" si="1"/>
        <v>arg#2008</v>
      </c>
      <c r="B608" t="str">
        <f>IFERROR(__xludf.DUMMYFUNCTION("""COMPUTED_VALUE"""),"arg")</f>
        <v>arg</v>
      </c>
      <c r="C608" t="str">
        <f>IFERROR(__xludf.DUMMYFUNCTION("""COMPUTED_VALUE"""),"Argentina")</f>
        <v>Argentina</v>
      </c>
      <c r="D608">
        <f>IFERROR(__xludf.DUMMYFUNCTION("""COMPUTED_VALUE"""),2008.0)</f>
        <v>2008</v>
      </c>
      <c r="E608">
        <f>IFERROR(__xludf.DUMMYFUNCTION("""COMPUTED_VALUE"""),4.0382389E7)</f>
        <v>40382389</v>
      </c>
    </row>
    <row r="609">
      <c r="A609" t="str">
        <f t="shared" si="1"/>
        <v>arg#2009</v>
      </c>
      <c r="B609" t="str">
        <f>IFERROR(__xludf.DUMMYFUNCTION("""COMPUTED_VALUE"""),"arg")</f>
        <v>arg</v>
      </c>
      <c r="C609" t="str">
        <f>IFERROR(__xludf.DUMMYFUNCTION("""COMPUTED_VALUE"""),"Argentina")</f>
        <v>Argentina</v>
      </c>
      <c r="D609">
        <f>IFERROR(__xludf.DUMMYFUNCTION("""COMPUTED_VALUE"""),2009.0)</f>
        <v>2009</v>
      </c>
      <c r="E609">
        <f>IFERROR(__xludf.DUMMYFUNCTION("""COMPUTED_VALUE"""),4.0799407E7)</f>
        <v>40799407</v>
      </c>
    </row>
    <row r="610">
      <c r="A610" t="str">
        <f t="shared" si="1"/>
        <v>arg#2010</v>
      </c>
      <c r="B610" t="str">
        <f>IFERROR(__xludf.DUMMYFUNCTION("""COMPUTED_VALUE"""),"arg")</f>
        <v>arg</v>
      </c>
      <c r="C610" t="str">
        <f>IFERROR(__xludf.DUMMYFUNCTION("""COMPUTED_VALUE"""),"Argentina")</f>
        <v>Argentina</v>
      </c>
      <c r="D610">
        <f>IFERROR(__xludf.DUMMYFUNCTION("""COMPUTED_VALUE"""),2010.0)</f>
        <v>2010</v>
      </c>
      <c r="E610">
        <f>IFERROR(__xludf.DUMMYFUNCTION("""COMPUTED_VALUE"""),4.1223889E7)</f>
        <v>41223889</v>
      </c>
    </row>
    <row r="611">
      <c r="A611" t="str">
        <f t="shared" si="1"/>
        <v>arg#2011</v>
      </c>
      <c r="B611" t="str">
        <f>IFERROR(__xludf.DUMMYFUNCTION("""COMPUTED_VALUE"""),"arg")</f>
        <v>arg</v>
      </c>
      <c r="C611" t="str">
        <f>IFERROR(__xludf.DUMMYFUNCTION("""COMPUTED_VALUE"""),"Argentina")</f>
        <v>Argentina</v>
      </c>
      <c r="D611">
        <f>IFERROR(__xludf.DUMMYFUNCTION("""COMPUTED_VALUE"""),2011.0)</f>
        <v>2011</v>
      </c>
      <c r="E611">
        <f>IFERROR(__xludf.DUMMYFUNCTION("""COMPUTED_VALUE"""),4.1656879E7)</f>
        <v>41656879</v>
      </c>
    </row>
    <row r="612">
      <c r="A612" t="str">
        <f t="shared" si="1"/>
        <v>arg#2012</v>
      </c>
      <c r="B612" t="str">
        <f>IFERROR(__xludf.DUMMYFUNCTION("""COMPUTED_VALUE"""),"arg")</f>
        <v>arg</v>
      </c>
      <c r="C612" t="str">
        <f>IFERROR(__xludf.DUMMYFUNCTION("""COMPUTED_VALUE"""),"Argentina")</f>
        <v>Argentina</v>
      </c>
      <c r="D612">
        <f>IFERROR(__xludf.DUMMYFUNCTION("""COMPUTED_VALUE"""),2012.0)</f>
        <v>2012</v>
      </c>
      <c r="E612">
        <f>IFERROR(__xludf.DUMMYFUNCTION("""COMPUTED_VALUE"""),4.2096739E7)</f>
        <v>42096739</v>
      </c>
    </row>
    <row r="613">
      <c r="A613" t="str">
        <f t="shared" si="1"/>
        <v>arg#2013</v>
      </c>
      <c r="B613" t="str">
        <f>IFERROR(__xludf.DUMMYFUNCTION("""COMPUTED_VALUE"""),"arg")</f>
        <v>arg</v>
      </c>
      <c r="C613" t="str">
        <f>IFERROR(__xludf.DUMMYFUNCTION("""COMPUTED_VALUE"""),"Argentina")</f>
        <v>Argentina</v>
      </c>
      <c r="D613">
        <f>IFERROR(__xludf.DUMMYFUNCTION("""COMPUTED_VALUE"""),2013.0)</f>
        <v>2013</v>
      </c>
      <c r="E613">
        <f>IFERROR(__xludf.DUMMYFUNCTION("""COMPUTED_VALUE"""),4.2539925E7)</f>
        <v>42539925</v>
      </c>
    </row>
    <row r="614">
      <c r="A614" t="str">
        <f t="shared" si="1"/>
        <v>arg#2014</v>
      </c>
      <c r="B614" t="str">
        <f>IFERROR(__xludf.DUMMYFUNCTION("""COMPUTED_VALUE"""),"arg")</f>
        <v>arg</v>
      </c>
      <c r="C614" t="str">
        <f>IFERROR(__xludf.DUMMYFUNCTION("""COMPUTED_VALUE"""),"Argentina")</f>
        <v>Argentina</v>
      </c>
      <c r="D614">
        <f>IFERROR(__xludf.DUMMYFUNCTION("""COMPUTED_VALUE"""),2014.0)</f>
        <v>2014</v>
      </c>
      <c r="E614">
        <f>IFERROR(__xludf.DUMMYFUNCTION("""COMPUTED_VALUE"""),4.2981515E7)</f>
        <v>42981515</v>
      </c>
    </row>
    <row r="615">
      <c r="A615" t="str">
        <f t="shared" si="1"/>
        <v>arg#2015</v>
      </c>
      <c r="B615" t="str">
        <f>IFERROR(__xludf.DUMMYFUNCTION("""COMPUTED_VALUE"""),"arg")</f>
        <v>arg</v>
      </c>
      <c r="C615" t="str">
        <f>IFERROR(__xludf.DUMMYFUNCTION("""COMPUTED_VALUE"""),"Argentina")</f>
        <v>Argentina</v>
      </c>
      <c r="D615">
        <f>IFERROR(__xludf.DUMMYFUNCTION("""COMPUTED_VALUE"""),2015.0)</f>
        <v>2015</v>
      </c>
      <c r="E615">
        <f>IFERROR(__xludf.DUMMYFUNCTION("""COMPUTED_VALUE"""),4.3417765E7)</f>
        <v>43417765</v>
      </c>
    </row>
    <row r="616">
      <c r="A616" t="str">
        <f t="shared" si="1"/>
        <v>arg#2016</v>
      </c>
      <c r="B616" t="str">
        <f>IFERROR(__xludf.DUMMYFUNCTION("""COMPUTED_VALUE"""),"arg")</f>
        <v>arg</v>
      </c>
      <c r="C616" t="str">
        <f>IFERROR(__xludf.DUMMYFUNCTION("""COMPUTED_VALUE"""),"Argentina")</f>
        <v>Argentina</v>
      </c>
      <c r="D616">
        <f>IFERROR(__xludf.DUMMYFUNCTION("""COMPUTED_VALUE"""),2016.0)</f>
        <v>2016</v>
      </c>
      <c r="E616">
        <f>IFERROR(__xludf.DUMMYFUNCTION("""COMPUTED_VALUE"""),4.384743E7)</f>
        <v>43847430</v>
      </c>
    </row>
    <row r="617">
      <c r="A617" t="str">
        <f t="shared" si="1"/>
        <v>arg#2017</v>
      </c>
      <c r="B617" t="str">
        <f>IFERROR(__xludf.DUMMYFUNCTION("""COMPUTED_VALUE"""),"arg")</f>
        <v>arg</v>
      </c>
      <c r="C617" t="str">
        <f>IFERROR(__xludf.DUMMYFUNCTION("""COMPUTED_VALUE"""),"Argentina")</f>
        <v>Argentina</v>
      </c>
      <c r="D617">
        <f>IFERROR(__xludf.DUMMYFUNCTION("""COMPUTED_VALUE"""),2017.0)</f>
        <v>2017</v>
      </c>
      <c r="E617">
        <f>IFERROR(__xludf.DUMMYFUNCTION("""COMPUTED_VALUE"""),4.4271041E7)</f>
        <v>44271041</v>
      </c>
    </row>
    <row r="618">
      <c r="A618" t="str">
        <f t="shared" si="1"/>
        <v>arg#2018</v>
      </c>
      <c r="B618" t="str">
        <f>IFERROR(__xludf.DUMMYFUNCTION("""COMPUTED_VALUE"""),"arg")</f>
        <v>arg</v>
      </c>
      <c r="C618" t="str">
        <f>IFERROR(__xludf.DUMMYFUNCTION("""COMPUTED_VALUE"""),"Argentina")</f>
        <v>Argentina</v>
      </c>
      <c r="D618">
        <f>IFERROR(__xludf.DUMMYFUNCTION("""COMPUTED_VALUE"""),2018.0)</f>
        <v>2018</v>
      </c>
      <c r="E618">
        <f>IFERROR(__xludf.DUMMYFUNCTION("""COMPUTED_VALUE"""),4.4688864E7)</f>
        <v>44688864</v>
      </c>
    </row>
    <row r="619">
      <c r="A619" t="str">
        <f t="shared" si="1"/>
        <v>arg#2019</v>
      </c>
      <c r="B619" t="str">
        <f>IFERROR(__xludf.DUMMYFUNCTION("""COMPUTED_VALUE"""),"arg")</f>
        <v>arg</v>
      </c>
      <c r="C619" t="str">
        <f>IFERROR(__xludf.DUMMYFUNCTION("""COMPUTED_VALUE"""),"Argentina")</f>
        <v>Argentina</v>
      </c>
      <c r="D619">
        <f>IFERROR(__xludf.DUMMYFUNCTION("""COMPUTED_VALUE"""),2019.0)</f>
        <v>2019</v>
      </c>
      <c r="E619">
        <f>IFERROR(__xludf.DUMMYFUNCTION("""COMPUTED_VALUE"""),4.5101781E7)</f>
        <v>45101781</v>
      </c>
    </row>
    <row r="620">
      <c r="A620" t="str">
        <f t="shared" si="1"/>
        <v>arg#2020</v>
      </c>
      <c r="B620" t="str">
        <f>IFERROR(__xludf.DUMMYFUNCTION("""COMPUTED_VALUE"""),"arg")</f>
        <v>arg</v>
      </c>
      <c r="C620" t="str">
        <f>IFERROR(__xludf.DUMMYFUNCTION("""COMPUTED_VALUE"""),"Argentina")</f>
        <v>Argentina</v>
      </c>
      <c r="D620">
        <f>IFERROR(__xludf.DUMMYFUNCTION("""COMPUTED_VALUE"""),2020.0)</f>
        <v>2020</v>
      </c>
      <c r="E620">
        <f>IFERROR(__xludf.DUMMYFUNCTION("""COMPUTED_VALUE"""),4.5510399E7)</f>
        <v>45510399</v>
      </c>
    </row>
    <row r="621">
      <c r="A621" t="str">
        <f t="shared" si="1"/>
        <v>arg#2021</v>
      </c>
      <c r="B621" t="str">
        <f>IFERROR(__xludf.DUMMYFUNCTION("""COMPUTED_VALUE"""),"arg")</f>
        <v>arg</v>
      </c>
      <c r="C621" t="str">
        <f>IFERROR(__xludf.DUMMYFUNCTION("""COMPUTED_VALUE"""),"Argentina")</f>
        <v>Argentina</v>
      </c>
      <c r="D621">
        <f>IFERROR(__xludf.DUMMYFUNCTION("""COMPUTED_VALUE"""),2021.0)</f>
        <v>2021</v>
      </c>
      <c r="E621">
        <f>IFERROR(__xludf.DUMMYFUNCTION("""COMPUTED_VALUE"""),4.5914426E7)</f>
        <v>45914426</v>
      </c>
    </row>
    <row r="622">
      <c r="A622" t="str">
        <f t="shared" si="1"/>
        <v>arg#2022</v>
      </c>
      <c r="B622" t="str">
        <f>IFERROR(__xludf.DUMMYFUNCTION("""COMPUTED_VALUE"""),"arg")</f>
        <v>arg</v>
      </c>
      <c r="C622" t="str">
        <f>IFERROR(__xludf.DUMMYFUNCTION("""COMPUTED_VALUE"""),"Argentina")</f>
        <v>Argentina</v>
      </c>
      <c r="D622">
        <f>IFERROR(__xludf.DUMMYFUNCTION("""COMPUTED_VALUE"""),2022.0)</f>
        <v>2022</v>
      </c>
      <c r="E622">
        <f>IFERROR(__xludf.DUMMYFUNCTION("""COMPUTED_VALUE"""),4.6313273E7)</f>
        <v>46313273</v>
      </c>
    </row>
    <row r="623">
      <c r="A623" t="str">
        <f t="shared" si="1"/>
        <v>arg#2023</v>
      </c>
      <c r="B623" t="str">
        <f>IFERROR(__xludf.DUMMYFUNCTION("""COMPUTED_VALUE"""),"arg")</f>
        <v>arg</v>
      </c>
      <c r="C623" t="str">
        <f>IFERROR(__xludf.DUMMYFUNCTION("""COMPUTED_VALUE"""),"Argentina")</f>
        <v>Argentina</v>
      </c>
      <c r="D623">
        <f>IFERROR(__xludf.DUMMYFUNCTION("""COMPUTED_VALUE"""),2023.0)</f>
        <v>2023</v>
      </c>
      <c r="E623">
        <f>IFERROR(__xludf.DUMMYFUNCTION("""COMPUTED_VALUE"""),4.670702E7)</f>
        <v>46707020</v>
      </c>
    </row>
    <row r="624">
      <c r="A624" t="str">
        <f t="shared" si="1"/>
        <v>arg#2024</v>
      </c>
      <c r="B624" t="str">
        <f>IFERROR(__xludf.DUMMYFUNCTION("""COMPUTED_VALUE"""),"arg")</f>
        <v>arg</v>
      </c>
      <c r="C624" t="str">
        <f>IFERROR(__xludf.DUMMYFUNCTION("""COMPUTED_VALUE"""),"Argentina")</f>
        <v>Argentina</v>
      </c>
      <c r="D624">
        <f>IFERROR(__xludf.DUMMYFUNCTION("""COMPUTED_VALUE"""),2024.0)</f>
        <v>2024</v>
      </c>
      <c r="E624">
        <f>IFERROR(__xludf.DUMMYFUNCTION("""COMPUTED_VALUE"""),4.7095834E7)</f>
        <v>47095834</v>
      </c>
    </row>
    <row r="625">
      <c r="A625" t="str">
        <f t="shared" si="1"/>
        <v>arg#2025</v>
      </c>
      <c r="B625" t="str">
        <f>IFERROR(__xludf.DUMMYFUNCTION("""COMPUTED_VALUE"""),"arg")</f>
        <v>arg</v>
      </c>
      <c r="C625" t="str">
        <f>IFERROR(__xludf.DUMMYFUNCTION("""COMPUTED_VALUE"""),"Argentina")</f>
        <v>Argentina</v>
      </c>
      <c r="D625">
        <f>IFERROR(__xludf.DUMMYFUNCTION("""COMPUTED_VALUE"""),2025.0)</f>
        <v>2025</v>
      </c>
      <c r="E625">
        <f>IFERROR(__xludf.DUMMYFUNCTION("""COMPUTED_VALUE"""),4.74798E7)</f>
        <v>47479800</v>
      </c>
    </row>
    <row r="626">
      <c r="A626" t="str">
        <f t="shared" si="1"/>
        <v>arg#2026</v>
      </c>
      <c r="B626" t="str">
        <f>IFERROR(__xludf.DUMMYFUNCTION("""COMPUTED_VALUE"""),"arg")</f>
        <v>arg</v>
      </c>
      <c r="C626" t="str">
        <f>IFERROR(__xludf.DUMMYFUNCTION("""COMPUTED_VALUE"""),"Argentina")</f>
        <v>Argentina</v>
      </c>
      <c r="D626">
        <f>IFERROR(__xludf.DUMMYFUNCTION("""COMPUTED_VALUE"""),2026.0)</f>
        <v>2026</v>
      </c>
      <c r="E626">
        <f>IFERROR(__xludf.DUMMYFUNCTION("""COMPUTED_VALUE"""),4.7858884E7)</f>
        <v>47858884</v>
      </c>
    </row>
    <row r="627">
      <c r="A627" t="str">
        <f t="shared" si="1"/>
        <v>arg#2027</v>
      </c>
      <c r="B627" t="str">
        <f>IFERROR(__xludf.DUMMYFUNCTION("""COMPUTED_VALUE"""),"arg")</f>
        <v>arg</v>
      </c>
      <c r="C627" t="str">
        <f>IFERROR(__xludf.DUMMYFUNCTION("""COMPUTED_VALUE"""),"Argentina")</f>
        <v>Argentina</v>
      </c>
      <c r="D627">
        <f>IFERROR(__xludf.DUMMYFUNCTION("""COMPUTED_VALUE"""),2027.0)</f>
        <v>2027</v>
      </c>
      <c r="E627">
        <f>IFERROR(__xludf.DUMMYFUNCTION("""COMPUTED_VALUE"""),4.8232945E7)</f>
        <v>48232945</v>
      </c>
    </row>
    <row r="628">
      <c r="A628" t="str">
        <f t="shared" si="1"/>
        <v>arg#2028</v>
      </c>
      <c r="B628" t="str">
        <f>IFERROR(__xludf.DUMMYFUNCTION("""COMPUTED_VALUE"""),"arg")</f>
        <v>arg</v>
      </c>
      <c r="C628" t="str">
        <f>IFERROR(__xludf.DUMMYFUNCTION("""COMPUTED_VALUE"""),"Argentina")</f>
        <v>Argentina</v>
      </c>
      <c r="D628">
        <f>IFERROR(__xludf.DUMMYFUNCTION("""COMPUTED_VALUE"""),2028.0)</f>
        <v>2028</v>
      </c>
      <c r="E628">
        <f>IFERROR(__xludf.DUMMYFUNCTION("""COMPUTED_VALUE"""),4.8601833E7)</f>
        <v>48601833</v>
      </c>
    </row>
    <row r="629">
      <c r="A629" t="str">
        <f t="shared" si="1"/>
        <v>arg#2029</v>
      </c>
      <c r="B629" t="str">
        <f>IFERROR(__xludf.DUMMYFUNCTION("""COMPUTED_VALUE"""),"arg")</f>
        <v>arg</v>
      </c>
      <c r="C629" t="str">
        <f>IFERROR(__xludf.DUMMYFUNCTION("""COMPUTED_VALUE"""),"Argentina")</f>
        <v>Argentina</v>
      </c>
      <c r="D629">
        <f>IFERROR(__xludf.DUMMYFUNCTION("""COMPUTED_VALUE"""),2029.0)</f>
        <v>2029</v>
      </c>
      <c r="E629">
        <f>IFERROR(__xludf.DUMMYFUNCTION("""COMPUTED_VALUE"""),4.8965339E7)</f>
        <v>48965339</v>
      </c>
    </row>
    <row r="630">
      <c r="A630" t="str">
        <f t="shared" si="1"/>
        <v>arg#2030</v>
      </c>
      <c r="B630" t="str">
        <f>IFERROR(__xludf.DUMMYFUNCTION("""COMPUTED_VALUE"""),"arg")</f>
        <v>arg</v>
      </c>
      <c r="C630" t="str">
        <f>IFERROR(__xludf.DUMMYFUNCTION("""COMPUTED_VALUE"""),"Argentina")</f>
        <v>Argentina</v>
      </c>
      <c r="D630">
        <f>IFERROR(__xludf.DUMMYFUNCTION("""COMPUTED_VALUE"""),2030.0)</f>
        <v>2030</v>
      </c>
      <c r="E630">
        <f>IFERROR(__xludf.DUMMYFUNCTION("""COMPUTED_VALUE"""),4.9323306E7)</f>
        <v>49323306</v>
      </c>
    </row>
    <row r="631">
      <c r="A631" t="str">
        <f t="shared" si="1"/>
        <v>arg#2031</v>
      </c>
      <c r="B631" t="str">
        <f>IFERROR(__xludf.DUMMYFUNCTION("""COMPUTED_VALUE"""),"arg")</f>
        <v>arg</v>
      </c>
      <c r="C631" t="str">
        <f>IFERROR(__xludf.DUMMYFUNCTION("""COMPUTED_VALUE"""),"Argentina")</f>
        <v>Argentina</v>
      </c>
      <c r="D631">
        <f>IFERROR(__xludf.DUMMYFUNCTION("""COMPUTED_VALUE"""),2031.0)</f>
        <v>2031</v>
      </c>
      <c r="E631">
        <f>IFERROR(__xludf.DUMMYFUNCTION("""COMPUTED_VALUE"""),4.9675627E7)</f>
        <v>49675627</v>
      </c>
    </row>
    <row r="632">
      <c r="A632" t="str">
        <f t="shared" si="1"/>
        <v>arg#2032</v>
      </c>
      <c r="B632" t="str">
        <f>IFERROR(__xludf.DUMMYFUNCTION("""COMPUTED_VALUE"""),"arg")</f>
        <v>arg</v>
      </c>
      <c r="C632" t="str">
        <f>IFERROR(__xludf.DUMMYFUNCTION("""COMPUTED_VALUE"""),"Argentina")</f>
        <v>Argentina</v>
      </c>
      <c r="D632">
        <f>IFERROR(__xludf.DUMMYFUNCTION("""COMPUTED_VALUE"""),2032.0)</f>
        <v>2032</v>
      </c>
      <c r="E632">
        <f>IFERROR(__xludf.DUMMYFUNCTION("""COMPUTED_VALUE"""),5.0022276E7)</f>
        <v>50022276</v>
      </c>
    </row>
    <row r="633">
      <c r="A633" t="str">
        <f t="shared" si="1"/>
        <v>arg#2033</v>
      </c>
      <c r="B633" t="str">
        <f>IFERROR(__xludf.DUMMYFUNCTION("""COMPUTED_VALUE"""),"arg")</f>
        <v>arg</v>
      </c>
      <c r="C633" t="str">
        <f>IFERROR(__xludf.DUMMYFUNCTION("""COMPUTED_VALUE"""),"Argentina")</f>
        <v>Argentina</v>
      </c>
      <c r="D633">
        <f>IFERROR(__xludf.DUMMYFUNCTION("""COMPUTED_VALUE"""),2033.0)</f>
        <v>2033</v>
      </c>
      <c r="E633">
        <f>IFERROR(__xludf.DUMMYFUNCTION("""COMPUTED_VALUE"""),5.036321E7)</f>
        <v>50363210</v>
      </c>
    </row>
    <row r="634">
      <c r="A634" t="str">
        <f t="shared" si="1"/>
        <v>arg#2034</v>
      </c>
      <c r="B634" t="str">
        <f>IFERROR(__xludf.DUMMYFUNCTION("""COMPUTED_VALUE"""),"arg")</f>
        <v>arg</v>
      </c>
      <c r="C634" t="str">
        <f>IFERROR(__xludf.DUMMYFUNCTION("""COMPUTED_VALUE"""),"Argentina")</f>
        <v>Argentina</v>
      </c>
      <c r="D634">
        <f>IFERROR(__xludf.DUMMYFUNCTION("""COMPUTED_VALUE"""),2034.0)</f>
        <v>2034</v>
      </c>
      <c r="E634">
        <f>IFERROR(__xludf.DUMMYFUNCTION("""COMPUTED_VALUE"""),5.0698399E7)</f>
        <v>50698399</v>
      </c>
    </row>
    <row r="635">
      <c r="A635" t="str">
        <f t="shared" si="1"/>
        <v>arg#2035</v>
      </c>
      <c r="B635" t="str">
        <f>IFERROR(__xludf.DUMMYFUNCTION("""COMPUTED_VALUE"""),"arg")</f>
        <v>arg</v>
      </c>
      <c r="C635" t="str">
        <f>IFERROR(__xludf.DUMMYFUNCTION("""COMPUTED_VALUE"""),"Argentina")</f>
        <v>Argentina</v>
      </c>
      <c r="D635">
        <f>IFERROR(__xludf.DUMMYFUNCTION("""COMPUTED_VALUE"""),2035.0)</f>
        <v>2035</v>
      </c>
      <c r="E635">
        <f>IFERROR(__xludf.DUMMYFUNCTION("""COMPUTED_VALUE"""),5.1027807E7)</f>
        <v>51027807</v>
      </c>
    </row>
    <row r="636">
      <c r="A636" t="str">
        <f t="shared" si="1"/>
        <v>arg#2036</v>
      </c>
      <c r="B636" t="str">
        <f>IFERROR(__xludf.DUMMYFUNCTION("""COMPUTED_VALUE"""),"arg")</f>
        <v>arg</v>
      </c>
      <c r="C636" t="str">
        <f>IFERROR(__xludf.DUMMYFUNCTION("""COMPUTED_VALUE"""),"Argentina")</f>
        <v>Argentina</v>
      </c>
      <c r="D636">
        <f>IFERROR(__xludf.DUMMYFUNCTION("""COMPUTED_VALUE"""),2036.0)</f>
        <v>2036</v>
      </c>
      <c r="E636">
        <f>IFERROR(__xludf.DUMMYFUNCTION("""COMPUTED_VALUE"""),5.1351362E7)</f>
        <v>51351362</v>
      </c>
    </row>
    <row r="637">
      <c r="A637" t="str">
        <f t="shared" si="1"/>
        <v>arg#2037</v>
      </c>
      <c r="B637" t="str">
        <f>IFERROR(__xludf.DUMMYFUNCTION("""COMPUTED_VALUE"""),"arg")</f>
        <v>arg</v>
      </c>
      <c r="C637" t="str">
        <f>IFERROR(__xludf.DUMMYFUNCTION("""COMPUTED_VALUE"""),"Argentina")</f>
        <v>Argentina</v>
      </c>
      <c r="D637">
        <f>IFERROR(__xludf.DUMMYFUNCTION("""COMPUTED_VALUE"""),2037.0)</f>
        <v>2037</v>
      </c>
      <c r="E637">
        <f>IFERROR(__xludf.DUMMYFUNCTION("""COMPUTED_VALUE"""),5.1669E7)</f>
        <v>51669000</v>
      </c>
    </row>
    <row r="638">
      <c r="A638" t="str">
        <f t="shared" si="1"/>
        <v>arg#2038</v>
      </c>
      <c r="B638" t="str">
        <f>IFERROR(__xludf.DUMMYFUNCTION("""COMPUTED_VALUE"""),"arg")</f>
        <v>arg</v>
      </c>
      <c r="C638" t="str">
        <f>IFERROR(__xludf.DUMMYFUNCTION("""COMPUTED_VALUE"""),"Argentina")</f>
        <v>Argentina</v>
      </c>
      <c r="D638">
        <f>IFERROR(__xludf.DUMMYFUNCTION("""COMPUTED_VALUE"""),2038.0)</f>
        <v>2038</v>
      </c>
      <c r="E638">
        <f>IFERROR(__xludf.DUMMYFUNCTION("""COMPUTED_VALUE"""),5.1980643E7)</f>
        <v>51980643</v>
      </c>
    </row>
    <row r="639">
      <c r="A639" t="str">
        <f t="shared" si="1"/>
        <v>arg#2039</v>
      </c>
      <c r="B639" t="str">
        <f>IFERROR(__xludf.DUMMYFUNCTION("""COMPUTED_VALUE"""),"arg")</f>
        <v>arg</v>
      </c>
      <c r="C639" t="str">
        <f>IFERROR(__xludf.DUMMYFUNCTION("""COMPUTED_VALUE"""),"Argentina")</f>
        <v>Argentina</v>
      </c>
      <c r="D639">
        <f>IFERROR(__xludf.DUMMYFUNCTION("""COMPUTED_VALUE"""),2039.0)</f>
        <v>2039</v>
      </c>
      <c r="E639">
        <f>IFERROR(__xludf.DUMMYFUNCTION("""COMPUTED_VALUE"""),5.2286212E7)</f>
        <v>52286212</v>
      </c>
    </row>
    <row r="640">
      <c r="A640" t="str">
        <f t="shared" si="1"/>
        <v>arg#2040</v>
      </c>
      <c r="B640" t="str">
        <f>IFERROR(__xludf.DUMMYFUNCTION("""COMPUTED_VALUE"""),"arg")</f>
        <v>arg</v>
      </c>
      <c r="C640" t="str">
        <f>IFERROR(__xludf.DUMMYFUNCTION("""COMPUTED_VALUE"""),"Argentina")</f>
        <v>Argentina</v>
      </c>
      <c r="D640">
        <f>IFERROR(__xludf.DUMMYFUNCTION("""COMPUTED_VALUE"""),2040.0)</f>
        <v>2040</v>
      </c>
      <c r="E640">
        <f>IFERROR(__xludf.DUMMYFUNCTION("""COMPUTED_VALUE"""),5.2585643E7)</f>
        <v>52585643</v>
      </c>
    </row>
    <row r="641">
      <c r="A641" t="str">
        <f t="shared" si="1"/>
        <v>arm#1950</v>
      </c>
      <c r="B641" t="str">
        <f>IFERROR(__xludf.DUMMYFUNCTION("""COMPUTED_VALUE"""),"arm")</f>
        <v>arm</v>
      </c>
      <c r="C641" t="str">
        <f>IFERROR(__xludf.DUMMYFUNCTION("""COMPUTED_VALUE"""),"Armenia")</f>
        <v>Armenia</v>
      </c>
      <c r="D641">
        <f>IFERROR(__xludf.DUMMYFUNCTION("""COMPUTED_VALUE"""),1950.0)</f>
        <v>1950</v>
      </c>
      <c r="E641">
        <f>IFERROR(__xludf.DUMMYFUNCTION("""COMPUTED_VALUE"""),1353510.0)</f>
        <v>1353510</v>
      </c>
    </row>
    <row r="642">
      <c r="A642" t="str">
        <f t="shared" si="1"/>
        <v>arm#1951</v>
      </c>
      <c r="B642" t="str">
        <f>IFERROR(__xludf.DUMMYFUNCTION("""COMPUTED_VALUE"""),"arm")</f>
        <v>arm</v>
      </c>
      <c r="C642" t="str">
        <f>IFERROR(__xludf.DUMMYFUNCTION("""COMPUTED_VALUE"""),"Armenia")</f>
        <v>Armenia</v>
      </c>
      <c r="D642">
        <f>IFERROR(__xludf.DUMMYFUNCTION("""COMPUTED_VALUE"""),1951.0)</f>
        <v>1951</v>
      </c>
      <c r="E642">
        <f>IFERROR(__xludf.DUMMYFUNCTION("""COMPUTED_VALUE"""),1381872.0)</f>
        <v>1381872</v>
      </c>
    </row>
    <row r="643">
      <c r="A643" t="str">
        <f t="shared" si="1"/>
        <v>arm#1952</v>
      </c>
      <c r="B643" t="str">
        <f>IFERROR(__xludf.DUMMYFUNCTION("""COMPUTED_VALUE"""),"arm")</f>
        <v>arm</v>
      </c>
      <c r="C643" t="str">
        <f>IFERROR(__xludf.DUMMYFUNCTION("""COMPUTED_VALUE"""),"Armenia")</f>
        <v>Armenia</v>
      </c>
      <c r="D643">
        <f>IFERROR(__xludf.DUMMYFUNCTION("""COMPUTED_VALUE"""),1952.0)</f>
        <v>1952</v>
      </c>
      <c r="E643">
        <f>IFERROR(__xludf.DUMMYFUNCTION("""COMPUTED_VALUE"""),1418276.0)</f>
        <v>1418276</v>
      </c>
    </row>
    <row r="644">
      <c r="A644" t="str">
        <f t="shared" si="1"/>
        <v>arm#1953</v>
      </c>
      <c r="B644" t="str">
        <f>IFERROR(__xludf.DUMMYFUNCTION("""COMPUTED_VALUE"""),"arm")</f>
        <v>arm</v>
      </c>
      <c r="C644" t="str">
        <f>IFERROR(__xludf.DUMMYFUNCTION("""COMPUTED_VALUE"""),"Armenia")</f>
        <v>Armenia</v>
      </c>
      <c r="D644">
        <f>IFERROR(__xludf.DUMMYFUNCTION("""COMPUTED_VALUE"""),1953.0)</f>
        <v>1953</v>
      </c>
      <c r="E644">
        <f>IFERROR(__xludf.DUMMYFUNCTION("""COMPUTED_VALUE"""),1461424.0)</f>
        <v>1461424</v>
      </c>
    </row>
    <row r="645">
      <c r="A645" t="str">
        <f t="shared" si="1"/>
        <v>arm#1954</v>
      </c>
      <c r="B645" t="str">
        <f>IFERROR(__xludf.DUMMYFUNCTION("""COMPUTED_VALUE"""),"arm")</f>
        <v>arm</v>
      </c>
      <c r="C645" t="str">
        <f>IFERROR(__xludf.DUMMYFUNCTION("""COMPUTED_VALUE"""),"Armenia")</f>
        <v>Armenia</v>
      </c>
      <c r="D645">
        <f>IFERROR(__xludf.DUMMYFUNCTION("""COMPUTED_VALUE"""),1954.0)</f>
        <v>1954</v>
      </c>
      <c r="E645">
        <f>IFERROR(__xludf.DUMMYFUNCTION("""COMPUTED_VALUE"""),1510171.0)</f>
        <v>1510171</v>
      </c>
    </row>
    <row r="646">
      <c r="A646" t="str">
        <f t="shared" si="1"/>
        <v>arm#1955</v>
      </c>
      <c r="B646" t="str">
        <f>IFERROR(__xludf.DUMMYFUNCTION("""COMPUTED_VALUE"""),"arm")</f>
        <v>arm</v>
      </c>
      <c r="C646" t="str">
        <f>IFERROR(__xludf.DUMMYFUNCTION("""COMPUTED_VALUE"""),"Armenia")</f>
        <v>Armenia</v>
      </c>
      <c r="D646">
        <f>IFERROR(__xludf.DUMMYFUNCTION("""COMPUTED_VALUE"""),1955.0)</f>
        <v>1955</v>
      </c>
      <c r="E646">
        <f>IFERROR(__xludf.DUMMYFUNCTION("""COMPUTED_VALUE"""),1563505.0)</f>
        <v>1563505</v>
      </c>
    </row>
    <row r="647">
      <c r="A647" t="str">
        <f t="shared" si="1"/>
        <v>arm#1956</v>
      </c>
      <c r="B647" t="str">
        <f>IFERROR(__xludf.DUMMYFUNCTION("""COMPUTED_VALUE"""),"arm")</f>
        <v>arm</v>
      </c>
      <c r="C647" t="str">
        <f>IFERROR(__xludf.DUMMYFUNCTION("""COMPUTED_VALUE"""),"Armenia")</f>
        <v>Armenia</v>
      </c>
      <c r="D647">
        <f>IFERROR(__xludf.DUMMYFUNCTION("""COMPUTED_VALUE"""),1956.0)</f>
        <v>1956</v>
      </c>
      <c r="E647">
        <f>IFERROR(__xludf.DUMMYFUNCTION("""COMPUTED_VALUE"""),1620593.0)</f>
        <v>1620593</v>
      </c>
    </row>
    <row r="648">
      <c r="A648" t="str">
        <f t="shared" si="1"/>
        <v>arm#1957</v>
      </c>
      <c r="B648" t="str">
        <f>IFERROR(__xludf.DUMMYFUNCTION("""COMPUTED_VALUE"""),"arm")</f>
        <v>arm</v>
      </c>
      <c r="C648" t="str">
        <f>IFERROR(__xludf.DUMMYFUNCTION("""COMPUTED_VALUE"""),"Armenia")</f>
        <v>Armenia</v>
      </c>
      <c r="D648">
        <f>IFERROR(__xludf.DUMMYFUNCTION("""COMPUTED_VALUE"""),1957.0)</f>
        <v>1957</v>
      </c>
      <c r="E648">
        <f>IFERROR(__xludf.DUMMYFUNCTION("""COMPUTED_VALUE"""),1680714.0)</f>
        <v>1680714</v>
      </c>
    </row>
    <row r="649">
      <c r="A649" t="str">
        <f t="shared" si="1"/>
        <v>arm#1958</v>
      </c>
      <c r="B649" t="str">
        <f>IFERROR(__xludf.DUMMYFUNCTION("""COMPUTED_VALUE"""),"arm")</f>
        <v>arm</v>
      </c>
      <c r="C649" t="str">
        <f>IFERROR(__xludf.DUMMYFUNCTION("""COMPUTED_VALUE"""),"Armenia")</f>
        <v>Armenia</v>
      </c>
      <c r="D649">
        <f>IFERROR(__xludf.DUMMYFUNCTION("""COMPUTED_VALUE"""),1958.0)</f>
        <v>1958</v>
      </c>
      <c r="E649">
        <f>IFERROR(__xludf.DUMMYFUNCTION("""COMPUTED_VALUE"""),1743303.0)</f>
        <v>1743303</v>
      </c>
    </row>
    <row r="650">
      <c r="A650" t="str">
        <f t="shared" si="1"/>
        <v>arm#1959</v>
      </c>
      <c r="B650" t="str">
        <f>IFERROR(__xludf.DUMMYFUNCTION("""COMPUTED_VALUE"""),"arm")</f>
        <v>arm</v>
      </c>
      <c r="C650" t="str">
        <f>IFERROR(__xludf.DUMMYFUNCTION("""COMPUTED_VALUE"""),"Armenia")</f>
        <v>Armenia</v>
      </c>
      <c r="D650">
        <f>IFERROR(__xludf.DUMMYFUNCTION("""COMPUTED_VALUE"""),1959.0)</f>
        <v>1959</v>
      </c>
      <c r="E650">
        <f>IFERROR(__xludf.DUMMYFUNCTION("""COMPUTED_VALUE"""),1807917.0)</f>
        <v>1807917</v>
      </c>
    </row>
    <row r="651">
      <c r="A651" t="str">
        <f t="shared" si="1"/>
        <v>arm#1960</v>
      </c>
      <c r="B651" t="str">
        <f>IFERROR(__xludf.DUMMYFUNCTION("""COMPUTED_VALUE"""),"arm")</f>
        <v>arm</v>
      </c>
      <c r="C651" t="str">
        <f>IFERROR(__xludf.DUMMYFUNCTION("""COMPUTED_VALUE"""),"Armenia")</f>
        <v>Armenia</v>
      </c>
      <c r="D651">
        <f>IFERROR(__xludf.DUMMYFUNCTION("""COMPUTED_VALUE"""),1960.0)</f>
        <v>1960</v>
      </c>
      <c r="E651">
        <f>IFERROR(__xludf.DUMMYFUNCTION("""COMPUTED_VALUE"""),1874120.0)</f>
        <v>1874120</v>
      </c>
    </row>
    <row r="652">
      <c r="A652" t="str">
        <f t="shared" si="1"/>
        <v>arm#1961</v>
      </c>
      <c r="B652" t="str">
        <f>IFERROR(__xludf.DUMMYFUNCTION("""COMPUTED_VALUE"""),"arm")</f>
        <v>arm</v>
      </c>
      <c r="C652" t="str">
        <f>IFERROR(__xludf.DUMMYFUNCTION("""COMPUTED_VALUE"""),"Armenia")</f>
        <v>Armenia</v>
      </c>
      <c r="D652">
        <f>IFERROR(__xludf.DUMMYFUNCTION("""COMPUTED_VALUE"""),1961.0)</f>
        <v>1961</v>
      </c>
      <c r="E652">
        <f>IFERROR(__xludf.DUMMYFUNCTION("""COMPUTED_VALUE"""),1941491.0)</f>
        <v>1941491</v>
      </c>
    </row>
    <row r="653">
      <c r="A653" t="str">
        <f t="shared" si="1"/>
        <v>arm#1962</v>
      </c>
      <c r="B653" t="str">
        <f>IFERROR(__xludf.DUMMYFUNCTION("""COMPUTED_VALUE"""),"arm")</f>
        <v>arm</v>
      </c>
      <c r="C653" t="str">
        <f>IFERROR(__xludf.DUMMYFUNCTION("""COMPUTED_VALUE"""),"Armenia")</f>
        <v>Armenia</v>
      </c>
      <c r="D653">
        <f>IFERROR(__xludf.DUMMYFUNCTION("""COMPUTED_VALUE"""),1962.0)</f>
        <v>1962</v>
      </c>
      <c r="E653">
        <f>IFERROR(__xludf.DUMMYFUNCTION("""COMPUTED_VALUE"""),2009526.0)</f>
        <v>2009526</v>
      </c>
    </row>
    <row r="654">
      <c r="A654" t="str">
        <f t="shared" si="1"/>
        <v>arm#1963</v>
      </c>
      <c r="B654" t="str">
        <f>IFERROR(__xludf.DUMMYFUNCTION("""COMPUTED_VALUE"""),"arm")</f>
        <v>arm</v>
      </c>
      <c r="C654" t="str">
        <f>IFERROR(__xludf.DUMMYFUNCTION("""COMPUTED_VALUE"""),"Armenia")</f>
        <v>Armenia</v>
      </c>
      <c r="D654">
        <f>IFERROR(__xludf.DUMMYFUNCTION("""COMPUTED_VALUE"""),1963.0)</f>
        <v>1963</v>
      </c>
      <c r="E654">
        <f>IFERROR(__xludf.DUMMYFUNCTION("""COMPUTED_VALUE"""),2077575.0)</f>
        <v>2077575</v>
      </c>
    </row>
    <row r="655">
      <c r="A655" t="str">
        <f t="shared" si="1"/>
        <v>arm#1964</v>
      </c>
      <c r="B655" t="str">
        <f>IFERROR(__xludf.DUMMYFUNCTION("""COMPUTED_VALUE"""),"arm")</f>
        <v>arm</v>
      </c>
      <c r="C655" t="str">
        <f>IFERROR(__xludf.DUMMYFUNCTION("""COMPUTED_VALUE"""),"Armenia")</f>
        <v>Armenia</v>
      </c>
      <c r="D655">
        <f>IFERROR(__xludf.DUMMYFUNCTION("""COMPUTED_VALUE"""),1964.0)</f>
        <v>1964</v>
      </c>
      <c r="E655">
        <f>IFERROR(__xludf.DUMMYFUNCTION("""COMPUTED_VALUE"""),2144998.0)</f>
        <v>2144998</v>
      </c>
    </row>
    <row r="656">
      <c r="A656" t="str">
        <f t="shared" si="1"/>
        <v>arm#1965</v>
      </c>
      <c r="B656" t="str">
        <f>IFERROR(__xludf.DUMMYFUNCTION("""COMPUTED_VALUE"""),"arm")</f>
        <v>arm</v>
      </c>
      <c r="C656" t="str">
        <f>IFERROR(__xludf.DUMMYFUNCTION("""COMPUTED_VALUE"""),"Armenia")</f>
        <v>Armenia</v>
      </c>
      <c r="D656">
        <f>IFERROR(__xludf.DUMMYFUNCTION("""COMPUTED_VALUE"""),1965.0)</f>
        <v>1965</v>
      </c>
      <c r="E656">
        <f>IFERROR(__xludf.DUMMYFUNCTION("""COMPUTED_VALUE"""),2211316.0)</f>
        <v>2211316</v>
      </c>
    </row>
    <row r="657">
      <c r="A657" t="str">
        <f t="shared" si="1"/>
        <v>arm#1966</v>
      </c>
      <c r="B657" t="str">
        <f>IFERROR(__xludf.DUMMYFUNCTION("""COMPUTED_VALUE"""),"arm")</f>
        <v>arm</v>
      </c>
      <c r="C657" t="str">
        <f>IFERROR(__xludf.DUMMYFUNCTION("""COMPUTED_VALUE"""),"Armenia")</f>
        <v>Armenia</v>
      </c>
      <c r="D657">
        <f>IFERROR(__xludf.DUMMYFUNCTION("""COMPUTED_VALUE"""),1966.0)</f>
        <v>1966</v>
      </c>
      <c r="E657">
        <f>IFERROR(__xludf.DUMMYFUNCTION("""COMPUTED_VALUE"""),2276031.0)</f>
        <v>2276031</v>
      </c>
    </row>
    <row r="658">
      <c r="A658" t="str">
        <f t="shared" si="1"/>
        <v>arm#1967</v>
      </c>
      <c r="B658" t="str">
        <f>IFERROR(__xludf.DUMMYFUNCTION("""COMPUTED_VALUE"""),"arm")</f>
        <v>arm</v>
      </c>
      <c r="C658" t="str">
        <f>IFERROR(__xludf.DUMMYFUNCTION("""COMPUTED_VALUE"""),"Armenia")</f>
        <v>Armenia</v>
      </c>
      <c r="D658">
        <f>IFERROR(__xludf.DUMMYFUNCTION("""COMPUTED_VALUE"""),1967.0)</f>
        <v>1967</v>
      </c>
      <c r="E658">
        <f>IFERROR(__xludf.DUMMYFUNCTION("""COMPUTED_VALUE"""),2339124.0)</f>
        <v>2339124</v>
      </c>
    </row>
    <row r="659">
      <c r="A659" t="str">
        <f t="shared" si="1"/>
        <v>arm#1968</v>
      </c>
      <c r="B659" t="str">
        <f>IFERROR(__xludf.DUMMYFUNCTION("""COMPUTED_VALUE"""),"arm")</f>
        <v>arm</v>
      </c>
      <c r="C659" t="str">
        <f>IFERROR(__xludf.DUMMYFUNCTION("""COMPUTED_VALUE"""),"Armenia")</f>
        <v>Armenia</v>
      </c>
      <c r="D659">
        <f>IFERROR(__xludf.DUMMYFUNCTION("""COMPUTED_VALUE"""),1968.0)</f>
        <v>1968</v>
      </c>
      <c r="E659">
        <f>IFERROR(__xludf.DUMMYFUNCTION("""COMPUTED_VALUE"""),2401140.0)</f>
        <v>2401140</v>
      </c>
    </row>
    <row r="660">
      <c r="A660" t="str">
        <f t="shared" si="1"/>
        <v>arm#1969</v>
      </c>
      <c r="B660" t="str">
        <f>IFERROR(__xludf.DUMMYFUNCTION("""COMPUTED_VALUE"""),"arm")</f>
        <v>arm</v>
      </c>
      <c r="C660" t="str">
        <f>IFERROR(__xludf.DUMMYFUNCTION("""COMPUTED_VALUE"""),"Armenia")</f>
        <v>Armenia</v>
      </c>
      <c r="D660">
        <f>IFERROR(__xludf.DUMMYFUNCTION("""COMPUTED_VALUE"""),1969.0)</f>
        <v>1969</v>
      </c>
      <c r="E660">
        <f>IFERROR(__xludf.DUMMYFUNCTION("""COMPUTED_VALUE"""),2462925.0)</f>
        <v>2462925</v>
      </c>
    </row>
    <row r="661">
      <c r="A661" t="str">
        <f t="shared" si="1"/>
        <v>arm#1970</v>
      </c>
      <c r="B661" t="str">
        <f>IFERROR(__xludf.DUMMYFUNCTION("""COMPUTED_VALUE"""),"arm")</f>
        <v>arm</v>
      </c>
      <c r="C661" t="str">
        <f>IFERROR(__xludf.DUMMYFUNCTION("""COMPUTED_VALUE"""),"Armenia")</f>
        <v>Armenia</v>
      </c>
      <c r="D661">
        <f>IFERROR(__xludf.DUMMYFUNCTION("""COMPUTED_VALUE"""),1970.0)</f>
        <v>1970</v>
      </c>
      <c r="E661">
        <f>IFERROR(__xludf.DUMMYFUNCTION("""COMPUTED_VALUE"""),2525065.0)</f>
        <v>2525065</v>
      </c>
    </row>
    <row r="662">
      <c r="A662" t="str">
        <f t="shared" si="1"/>
        <v>arm#1971</v>
      </c>
      <c r="B662" t="str">
        <f>IFERROR(__xludf.DUMMYFUNCTION("""COMPUTED_VALUE"""),"arm")</f>
        <v>arm</v>
      </c>
      <c r="C662" t="str">
        <f>IFERROR(__xludf.DUMMYFUNCTION("""COMPUTED_VALUE"""),"Armenia")</f>
        <v>Armenia</v>
      </c>
      <c r="D662">
        <f>IFERROR(__xludf.DUMMYFUNCTION("""COMPUTED_VALUE"""),1971.0)</f>
        <v>1971</v>
      </c>
      <c r="E662">
        <f>IFERROR(__xludf.DUMMYFUNCTION("""COMPUTED_VALUE"""),2587706.0)</f>
        <v>2587706</v>
      </c>
    </row>
    <row r="663">
      <c r="A663" t="str">
        <f t="shared" si="1"/>
        <v>arm#1972</v>
      </c>
      <c r="B663" t="str">
        <f>IFERROR(__xludf.DUMMYFUNCTION("""COMPUTED_VALUE"""),"arm")</f>
        <v>arm</v>
      </c>
      <c r="C663" t="str">
        <f>IFERROR(__xludf.DUMMYFUNCTION("""COMPUTED_VALUE"""),"Armenia")</f>
        <v>Armenia</v>
      </c>
      <c r="D663">
        <f>IFERROR(__xludf.DUMMYFUNCTION("""COMPUTED_VALUE"""),1972.0)</f>
        <v>1972</v>
      </c>
      <c r="E663">
        <f>IFERROR(__xludf.DUMMYFUNCTION("""COMPUTED_VALUE"""),2650484.0)</f>
        <v>2650484</v>
      </c>
    </row>
    <row r="664">
      <c r="A664" t="str">
        <f t="shared" si="1"/>
        <v>arm#1973</v>
      </c>
      <c r="B664" t="str">
        <f>IFERROR(__xludf.DUMMYFUNCTION("""COMPUTED_VALUE"""),"arm")</f>
        <v>arm</v>
      </c>
      <c r="C664" t="str">
        <f>IFERROR(__xludf.DUMMYFUNCTION("""COMPUTED_VALUE"""),"Armenia")</f>
        <v>Armenia</v>
      </c>
      <c r="D664">
        <f>IFERROR(__xludf.DUMMYFUNCTION("""COMPUTED_VALUE"""),1973.0)</f>
        <v>1973</v>
      </c>
      <c r="E664">
        <f>IFERROR(__xludf.DUMMYFUNCTION("""COMPUTED_VALUE"""),2712781.0)</f>
        <v>2712781</v>
      </c>
    </row>
    <row r="665">
      <c r="A665" t="str">
        <f t="shared" si="1"/>
        <v>arm#1974</v>
      </c>
      <c r="B665" t="str">
        <f>IFERROR(__xludf.DUMMYFUNCTION("""COMPUTED_VALUE"""),"arm")</f>
        <v>arm</v>
      </c>
      <c r="C665" t="str">
        <f>IFERROR(__xludf.DUMMYFUNCTION("""COMPUTED_VALUE"""),"Armenia")</f>
        <v>Armenia</v>
      </c>
      <c r="D665">
        <f>IFERROR(__xludf.DUMMYFUNCTION("""COMPUTED_VALUE"""),1974.0)</f>
        <v>1974</v>
      </c>
      <c r="E665">
        <f>IFERROR(__xludf.DUMMYFUNCTION("""COMPUTED_VALUE"""),2773747.0)</f>
        <v>2773747</v>
      </c>
    </row>
    <row r="666">
      <c r="A666" t="str">
        <f t="shared" si="1"/>
        <v>arm#1975</v>
      </c>
      <c r="B666" t="str">
        <f>IFERROR(__xludf.DUMMYFUNCTION("""COMPUTED_VALUE"""),"arm")</f>
        <v>arm</v>
      </c>
      <c r="C666" t="str">
        <f>IFERROR(__xludf.DUMMYFUNCTION("""COMPUTED_VALUE"""),"Armenia")</f>
        <v>Armenia</v>
      </c>
      <c r="D666">
        <f>IFERROR(__xludf.DUMMYFUNCTION("""COMPUTED_VALUE"""),1975.0)</f>
        <v>1975</v>
      </c>
      <c r="E666">
        <f>IFERROR(__xludf.DUMMYFUNCTION("""COMPUTED_VALUE"""),2832757.0)</f>
        <v>2832757</v>
      </c>
    </row>
    <row r="667">
      <c r="A667" t="str">
        <f t="shared" si="1"/>
        <v>arm#1976</v>
      </c>
      <c r="B667" t="str">
        <f>IFERROR(__xludf.DUMMYFUNCTION("""COMPUTED_VALUE"""),"arm")</f>
        <v>arm</v>
      </c>
      <c r="C667" t="str">
        <f>IFERROR(__xludf.DUMMYFUNCTION("""COMPUTED_VALUE"""),"Armenia")</f>
        <v>Armenia</v>
      </c>
      <c r="D667">
        <f>IFERROR(__xludf.DUMMYFUNCTION("""COMPUTED_VALUE"""),1976.0)</f>
        <v>1976</v>
      </c>
      <c r="E667">
        <f>IFERROR(__xludf.DUMMYFUNCTION("""COMPUTED_VALUE"""),2889579.0)</f>
        <v>2889579</v>
      </c>
    </row>
    <row r="668">
      <c r="A668" t="str">
        <f t="shared" si="1"/>
        <v>arm#1977</v>
      </c>
      <c r="B668" t="str">
        <f>IFERROR(__xludf.DUMMYFUNCTION("""COMPUTED_VALUE"""),"arm")</f>
        <v>arm</v>
      </c>
      <c r="C668" t="str">
        <f>IFERROR(__xludf.DUMMYFUNCTION("""COMPUTED_VALUE"""),"Armenia")</f>
        <v>Armenia</v>
      </c>
      <c r="D668">
        <f>IFERROR(__xludf.DUMMYFUNCTION("""COMPUTED_VALUE"""),1977.0)</f>
        <v>1977</v>
      </c>
      <c r="E668">
        <f>IFERROR(__xludf.DUMMYFUNCTION("""COMPUTED_VALUE"""),2944379.0)</f>
        <v>2944379</v>
      </c>
    </row>
    <row r="669">
      <c r="A669" t="str">
        <f t="shared" si="1"/>
        <v>arm#1978</v>
      </c>
      <c r="B669" t="str">
        <f>IFERROR(__xludf.DUMMYFUNCTION("""COMPUTED_VALUE"""),"arm")</f>
        <v>arm</v>
      </c>
      <c r="C669" t="str">
        <f>IFERROR(__xludf.DUMMYFUNCTION("""COMPUTED_VALUE"""),"Armenia")</f>
        <v>Armenia</v>
      </c>
      <c r="D669">
        <f>IFERROR(__xludf.DUMMYFUNCTION("""COMPUTED_VALUE"""),1978.0)</f>
        <v>1978</v>
      </c>
      <c r="E669">
        <f>IFERROR(__xludf.DUMMYFUNCTION("""COMPUTED_VALUE"""),2997411.0)</f>
        <v>2997411</v>
      </c>
    </row>
    <row r="670">
      <c r="A670" t="str">
        <f t="shared" si="1"/>
        <v>arm#1979</v>
      </c>
      <c r="B670" t="str">
        <f>IFERROR(__xludf.DUMMYFUNCTION("""COMPUTED_VALUE"""),"arm")</f>
        <v>arm</v>
      </c>
      <c r="C670" t="str">
        <f>IFERROR(__xludf.DUMMYFUNCTION("""COMPUTED_VALUE"""),"Armenia")</f>
        <v>Armenia</v>
      </c>
      <c r="D670">
        <f>IFERROR(__xludf.DUMMYFUNCTION("""COMPUTED_VALUE"""),1979.0)</f>
        <v>1979</v>
      </c>
      <c r="E670">
        <f>IFERROR(__xludf.DUMMYFUNCTION("""COMPUTED_VALUE"""),3049105.0)</f>
        <v>3049105</v>
      </c>
    </row>
    <row r="671">
      <c r="A671" t="str">
        <f t="shared" si="1"/>
        <v>arm#1980</v>
      </c>
      <c r="B671" t="str">
        <f>IFERROR(__xludf.DUMMYFUNCTION("""COMPUTED_VALUE"""),"arm")</f>
        <v>arm</v>
      </c>
      <c r="C671" t="str">
        <f>IFERROR(__xludf.DUMMYFUNCTION("""COMPUTED_VALUE"""),"Armenia")</f>
        <v>Armenia</v>
      </c>
      <c r="D671">
        <f>IFERROR(__xludf.DUMMYFUNCTION("""COMPUTED_VALUE"""),1980.0)</f>
        <v>1980</v>
      </c>
      <c r="E671">
        <f>IFERROR(__xludf.DUMMYFUNCTION("""COMPUTED_VALUE"""),3099751.0)</f>
        <v>3099751</v>
      </c>
    </row>
    <row r="672">
      <c r="A672" t="str">
        <f t="shared" si="1"/>
        <v>arm#1981</v>
      </c>
      <c r="B672" t="str">
        <f>IFERROR(__xludf.DUMMYFUNCTION("""COMPUTED_VALUE"""),"arm")</f>
        <v>arm</v>
      </c>
      <c r="C672" t="str">
        <f>IFERROR(__xludf.DUMMYFUNCTION("""COMPUTED_VALUE"""),"Armenia")</f>
        <v>Armenia</v>
      </c>
      <c r="D672">
        <f>IFERROR(__xludf.DUMMYFUNCTION("""COMPUTED_VALUE"""),1981.0)</f>
        <v>1981</v>
      </c>
      <c r="E672">
        <f>IFERROR(__xludf.DUMMYFUNCTION("""COMPUTED_VALUE"""),3148092.0)</f>
        <v>3148092</v>
      </c>
    </row>
    <row r="673">
      <c r="A673" t="str">
        <f t="shared" si="1"/>
        <v>arm#1982</v>
      </c>
      <c r="B673" t="str">
        <f>IFERROR(__xludf.DUMMYFUNCTION("""COMPUTED_VALUE"""),"arm")</f>
        <v>arm</v>
      </c>
      <c r="C673" t="str">
        <f>IFERROR(__xludf.DUMMYFUNCTION("""COMPUTED_VALUE"""),"Armenia")</f>
        <v>Armenia</v>
      </c>
      <c r="D673">
        <f>IFERROR(__xludf.DUMMYFUNCTION("""COMPUTED_VALUE"""),1982.0)</f>
        <v>1982</v>
      </c>
      <c r="E673">
        <f>IFERROR(__xludf.DUMMYFUNCTION("""COMPUTED_VALUE"""),3193686.0)</f>
        <v>3193686</v>
      </c>
    </row>
    <row r="674">
      <c r="A674" t="str">
        <f t="shared" si="1"/>
        <v>arm#1983</v>
      </c>
      <c r="B674" t="str">
        <f>IFERROR(__xludf.DUMMYFUNCTION("""COMPUTED_VALUE"""),"arm")</f>
        <v>arm</v>
      </c>
      <c r="C674" t="str">
        <f>IFERROR(__xludf.DUMMYFUNCTION("""COMPUTED_VALUE"""),"Armenia")</f>
        <v>Armenia</v>
      </c>
      <c r="D674">
        <f>IFERROR(__xludf.DUMMYFUNCTION("""COMPUTED_VALUE"""),1983.0)</f>
        <v>1983</v>
      </c>
      <c r="E674">
        <f>IFERROR(__xludf.DUMMYFUNCTION("""COMPUTED_VALUE"""),3238594.0)</f>
        <v>3238594</v>
      </c>
    </row>
    <row r="675">
      <c r="A675" t="str">
        <f t="shared" si="1"/>
        <v>arm#1984</v>
      </c>
      <c r="B675" t="str">
        <f>IFERROR(__xludf.DUMMYFUNCTION("""COMPUTED_VALUE"""),"arm")</f>
        <v>arm</v>
      </c>
      <c r="C675" t="str">
        <f>IFERROR(__xludf.DUMMYFUNCTION("""COMPUTED_VALUE"""),"Armenia")</f>
        <v>Armenia</v>
      </c>
      <c r="D675">
        <f>IFERROR(__xludf.DUMMYFUNCTION("""COMPUTED_VALUE"""),1984.0)</f>
        <v>1984</v>
      </c>
      <c r="E675">
        <f>IFERROR(__xludf.DUMMYFUNCTION("""COMPUTED_VALUE"""),3285595.0)</f>
        <v>3285595</v>
      </c>
    </row>
    <row r="676">
      <c r="A676" t="str">
        <f t="shared" si="1"/>
        <v>arm#1985</v>
      </c>
      <c r="B676" t="str">
        <f>IFERROR(__xludf.DUMMYFUNCTION("""COMPUTED_VALUE"""),"arm")</f>
        <v>arm</v>
      </c>
      <c r="C676" t="str">
        <f>IFERROR(__xludf.DUMMYFUNCTION("""COMPUTED_VALUE"""),"Armenia")</f>
        <v>Armenia</v>
      </c>
      <c r="D676">
        <f>IFERROR(__xludf.DUMMYFUNCTION("""COMPUTED_VALUE"""),1985.0)</f>
        <v>1985</v>
      </c>
      <c r="E676">
        <f>IFERROR(__xludf.DUMMYFUNCTION("""COMPUTED_VALUE"""),3335935.0)</f>
        <v>3335935</v>
      </c>
    </row>
    <row r="677">
      <c r="A677" t="str">
        <f t="shared" si="1"/>
        <v>arm#1986</v>
      </c>
      <c r="B677" t="str">
        <f>IFERROR(__xludf.DUMMYFUNCTION("""COMPUTED_VALUE"""),"arm")</f>
        <v>arm</v>
      </c>
      <c r="C677" t="str">
        <f>IFERROR(__xludf.DUMMYFUNCTION("""COMPUTED_VALUE"""),"Armenia")</f>
        <v>Armenia</v>
      </c>
      <c r="D677">
        <f>IFERROR(__xludf.DUMMYFUNCTION("""COMPUTED_VALUE"""),1986.0)</f>
        <v>1986</v>
      </c>
      <c r="E677">
        <f>IFERROR(__xludf.DUMMYFUNCTION("""COMPUTED_VALUE"""),3392256.0)</f>
        <v>3392256</v>
      </c>
    </row>
    <row r="678">
      <c r="A678" t="str">
        <f t="shared" si="1"/>
        <v>arm#1987</v>
      </c>
      <c r="B678" t="str">
        <f>IFERROR(__xludf.DUMMYFUNCTION("""COMPUTED_VALUE"""),"arm")</f>
        <v>arm</v>
      </c>
      <c r="C678" t="str">
        <f>IFERROR(__xludf.DUMMYFUNCTION("""COMPUTED_VALUE"""),"Armenia")</f>
        <v>Armenia</v>
      </c>
      <c r="D678">
        <f>IFERROR(__xludf.DUMMYFUNCTION("""COMPUTED_VALUE"""),1987.0)</f>
        <v>1987</v>
      </c>
      <c r="E678">
        <f>IFERROR(__xludf.DUMMYFUNCTION("""COMPUTED_VALUE"""),3451942.0)</f>
        <v>3451942</v>
      </c>
    </row>
    <row r="679">
      <c r="A679" t="str">
        <f t="shared" si="1"/>
        <v>arm#1988</v>
      </c>
      <c r="B679" t="str">
        <f>IFERROR(__xludf.DUMMYFUNCTION("""COMPUTED_VALUE"""),"arm")</f>
        <v>arm</v>
      </c>
      <c r="C679" t="str">
        <f>IFERROR(__xludf.DUMMYFUNCTION("""COMPUTED_VALUE"""),"Armenia")</f>
        <v>Armenia</v>
      </c>
      <c r="D679">
        <f>IFERROR(__xludf.DUMMYFUNCTION("""COMPUTED_VALUE"""),1988.0)</f>
        <v>1988</v>
      </c>
      <c r="E679">
        <f>IFERROR(__xludf.DUMMYFUNCTION("""COMPUTED_VALUE"""),3504651.0)</f>
        <v>3504651</v>
      </c>
    </row>
    <row r="680">
      <c r="A680" t="str">
        <f t="shared" si="1"/>
        <v>arm#1989</v>
      </c>
      <c r="B680" t="str">
        <f>IFERROR(__xludf.DUMMYFUNCTION("""COMPUTED_VALUE"""),"arm")</f>
        <v>arm</v>
      </c>
      <c r="C680" t="str">
        <f>IFERROR(__xludf.DUMMYFUNCTION("""COMPUTED_VALUE"""),"Armenia")</f>
        <v>Armenia</v>
      </c>
      <c r="D680">
        <f>IFERROR(__xludf.DUMMYFUNCTION("""COMPUTED_VALUE"""),1989.0)</f>
        <v>1989</v>
      </c>
      <c r="E680">
        <f>IFERROR(__xludf.DUMMYFUNCTION("""COMPUTED_VALUE"""),3536469.0)</f>
        <v>3536469</v>
      </c>
    </row>
    <row r="681">
      <c r="A681" t="str">
        <f t="shared" si="1"/>
        <v>arm#1990</v>
      </c>
      <c r="B681" t="str">
        <f>IFERROR(__xludf.DUMMYFUNCTION("""COMPUTED_VALUE"""),"arm")</f>
        <v>arm</v>
      </c>
      <c r="C681" t="str">
        <f>IFERROR(__xludf.DUMMYFUNCTION("""COMPUTED_VALUE"""),"Armenia")</f>
        <v>Armenia</v>
      </c>
      <c r="D681">
        <f>IFERROR(__xludf.DUMMYFUNCTION("""COMPUTED_VALUE"""),1990.0)</f>
        <v>1990</v>
      </c>
      <c r="E681">
        <f>IFERROR(__xludf.DUMMYFUNCTION("""COMPUTED_VALUE"""),3538165.0)</f>
        <v>3538165</v>
      </c>
    </row>
    <row r="682">
      <c r="A682" t="str">
        <f t="shared" si="1"/>
        <v>arm#1991</v>
      </c>
      <c r="B682" t="str">
        <f>IFERROR(__xludf.DUMMYFUNCTION("""COMPUTED_VALUE"""),"arm")</f>
        <v>arm</v>
      </c>
      <c r="C682" t="str">
        <f>IFERROR(__xludf.DUMMYFUNCTION("""COMPUTED_VALUE"""),"Armenia")</f>
        <v>Armenia</v>
      </c>
      <c r="D682">
        <f>IFERROR(__xludf.DUMMYFUNCTION("""COMPUTED_VALUE"""),1991.0)</f>
        <v>1991</v>
      </c>
      <c r="E682">
        <f>IFERROR(__xludf.DUMMYFUNCTION("""COMPUTED_VALUE"""),3505251.0)</f>
        <v>3505251</v>
      </c>
    </row>
    <row r="683">
      <c r="A683" t="str">
        <f t="shared" si="1"/>
        <v>arm#1992</v>
      </c>
      <c r="B683" t="str">
        <f>IFERROR(__xludf.DUMMYFUNCTION("""COMPUTED_VALUE"""),"arm")</f>
        <v>arm</v>
      </c>
      <c r="C683" t="str">
        <f>IFERROR(__xludf.DUMMYFUNCTION("""COMPUTED_VALUE"""),"Armenia")</f>
        <v>Armenia</v>
      </c>
      <c r="D683">
        <f>IFERROR(__xludf.DUMMYFUNCTION("""COMPUTED_VALUE"""),1992.0)</f>
        <v>1992</v>
      </c>
      <c r="E683">
        <f>IFERROR(__xludf.DUMMYFUNCTION("""COMPUTED_VALUE"""),3442810.0)</f>
        <v>3442810</v>
      </c>
    </row>
    <row r="684">
      <c r="A684" t="str">
        <f t="shared" si="1"/>
        <v>arm#1993</v>
      </c>
      <c r="B684" t="str">
        <f>IFERROR(__xludf.DUMMYFUNCTION("""COMPUTED_VALUE"""),"arm")</f>
        <v>arm</v>
      </c>
      <c r="C684" t="str">
        <f>IFERROR(__xludf.DUMMYFUNCTION("""COMPUTED_VALUE"""),"Armenia")</f>
        <v>Armenia</v>
      </c>
      <c r="D684">
        <f>IFERROR(__xludf.DUMMYFUNCTION("""COMPUTED_VALUE"""),1993.0)</f>
        <v>1993</v>
      </c>
      <c r="E684">
        <f>IFERROR(__xludf.DUMMYFUNCTION("""COMPUTED_VALUE"""),3363098.0)</f>
        <v>3363098</v>
      </c>
    </row>
    <row r="685">
      <c r="A685" t="str">
        <f t="shared" si="1"/>
        <v>arm#1994</v>
      </c>
      <c r="B685" t="str">
        <f>IFERROR(__xludf.DUMMYFUNCTION("""COMPUTED_VALUE"""),"arm")</f>
        <v>arm</v>
      </c>
      <c r="C685" t="str">
        <f>IFERROR(__xludf.DUMMYFUNCTION("""COMPUTED_VALUE"""),"Armenia")</f>
        <v>Armenia</v>
      </c>
      <c r="D685">
        <f>IFERROR(__xludf.DUMMYFUNCTION("""COMPUTED_VALUE"""),1994.0)</f>
        <v>1994</v>
      </c>
      <c r="E685">
        <f>IFERROR(__xludf.DUMMYFUNCTION("""COMPUTED_VALUE"""),3283660.0)</f>
        <v>3283660</v>
      </c>
    </row>
    <row r="686">
      <c r="A686" t="str">
        <f t="shared" si="1"/>
        <v>arm#1995</v>
      </c>
      <c r="B686" t="str">
        <f>IFERROR(__xludf.DUMMYFUNCTION("""COMPUTED_VALUE"""),"arm")</f>
        <v>arm</v>
      </c>
      <c r="C686" t="str">
        <f>IFERROR(__xludf.DUMMYFUNCTION("""COMPUTED_VALUE"""),"Armenia")</f>
        <v>Armenia</v>
      </c>
      <c r="D686">
        <f>IFERROR(__xludf.DUMMYFUNCTION("""COMPUTED_VALUE"""),1995.0)</f>
        <v>1995</v>
      </c>
      <c r="E686">
        <f>IFERROR(__xludf.DUMMYFUNCTION("""COMPUTED_VALUE"""),3217342.0)</f>
        <v>3217342</v>
      </c>
    </row>
    <row r="687">
      <c r="A687" t="str">
        <f t="shared" si="1"/>
        <v>arm#1996</v>
      </c>
      <c r="B687" t="str">
        <f>IFERROR(__xludf.DUMMYFUNCTION("""COMPUTED_VALUE"""),"arm")</f>
        <v>arm</v>
      </c>
      <c r="C687" t="str">
        <f>IFERROR(__xludf.DUMMYFUNCTION("""COMPUTED_VALUE"""),"Armenia")</f>
        <v>Armenia</v>
      </c>
      <c r="D687">
        <f>IFERROR(__xludf.DUMMYFUNCTION("""COMPUTED_VALUE"""),1996.0)</f>
        <v>1996</v>
      </c>
      <c r="E687">
        <f>IFERROR(__xludf.DUMMYFUNCTION("""COMPUTED_VALUE"""),3168215.0)</f>
        <v>3168215</v>
      </c>
    </row>
    <row r="688">
      <c r="A688" t="str">
        <f t="shared" si="1"/>
        <v>arm#1997</v>
      </c>
      <c r="B688" t="str">
        <f>IFERROR(__xludf.DUMMYFUNCTION("""COMPUTED_VALUE"""),"arm")</f>
        <v>arm</v>
      </c>
      <c r="C688" t="str">
        <f>IFERROR(__xludf.DUMMYFUNCTION("""COMPUTED_VALUE"""),"Armenia")</f>
        <v>Armenia</v>
      </c>
      <c r="D688">
        <f>IFERROR(__xludf.DUMMYFUNCTION("""COMPUTED_VALUE"""),1997.0)</f>
        <v>1997</v>
      </c>
      <c r="E688">
        <f>IFERROR(__xludf.DUMMYFUNCTION("""COMPUTED_VALUE"""),3133086.0)</f>
        <v>3133086</v>
      </c>
    </row>
    <row r="689">
      <c r="A689" t="str">
        <f t="shared" si="1"/>
        <v>arm#1998</v>
      </c>
      <c r="B689" t="str">
        <f>IFERROR(__xludf.DUMMYFUNCTION("""COMPUTED_VALUE"""),"arm")</f>
        <v>arm</v>
      </c>
      <c r="C689" t="str">
        <f>IFERROR(__xludf.DUMMYFUNCTION("""COMPUTED_VALUE"""),"Armenia")</f>
        <v>Armenia</v>
      </c>
      <c r="D689">
        <f>IFERROR(__xludf.DUMMYFUNCTION("""COMPUTED_VALUE"""),1998.0)</f>
        <v>1998</v>
      </c>
      <c r="E689">
        <f>IFERROR(__xludf.DUMMYFUNCTION("""COMPUTED_VALUE"""),3108684.0)</f>
        <v>3108684</v>
      </c>
    </row>
    <row r="690">
      <c r="A690" t="str">
        <f t="shared" si="1"/>
        <v>arm#1999</v>
      </c>
      <c r="B690" t="str">
        <f>IFERROR(__xludf.DUMMYFUNCTION("""COMPUTED_VALUE"""),"arm")</f>
        <v>arm</v>
      </c>
      <c r="C690" t="str">
        <f>IFERROR(__xludf.DUMMYFUNCTION("""COMPUTED_VALUE"""),"Armenia")</f>
        <v>Armenia</v>
      </c>
      <c r="D690">
        <f>IFERROR(__xludf.DUMMYFUNCTION("""COMPUTED_VALUE"""),1999.0)</f>
        <v>1999</v>
      </c>
      <c r="E690">
        <f>IFERROR(__xludf.DUMMYFUNCTION("""COMPUTED_VALUE"""),3089017.0)</f>
        <v>3089017</v>
      </c>
    </row>
    <row r="691">
      <c r="A691" t="str">
        <f t="shared" si="1"/>
        <v>arm#2000</v>
      </c>
      <c r="B691" t="str">
        <f>IFERROR(__xludf.DUMMYFUNCTION("""COMPUTED_VALUE"""),"arm")</f>
        <v>arm</v>
      </c>
      <c r="C691" t="str">
        <f>IFERROR(__xludf.DUMMYFUNCTION("""COMPUTED_VALUE"""),"Armenia")</f>
        <v>Armenia</v>
      </c>
      <c r="D691">
        <f>IFERROR(__xludf.DUMMYFUNCTION("""COMPUTED_VALUE"""),2000.0)</f>
        <v>2000</v>
      </c>
      <c r="E691">
        <f>IFERROR(__xludf.DUMMYFUNCTION("""COMPUTED_VALUE"""),3069588.0)</f>
        <v>3069588</v>
      </c>
    </row>
    <row r="692">
      <c r="A692" t="str">
        <f t="shared" si="1"/>
        <v>arm#2001</v>
      </c>
      <c r="B692" t="str">
        <f>IFERROR(__xludf.DUMMYFUNCTION("""COMPUTED_VALUE"""),"arm")</f>
        <v>arm</v>
      </c>
      <c r="C692" t="str">
        <f>IFERROR(__xludf.DUMMYFUNCTION("""COMPUTED_VALUE"""),"Armenia")</f>
        <v>Armenia</v>
      </c>
      <c r="D692">
        <f>IFERROR(__xludf.DUMMYFUNCTION("""COMPUTED_VALUE"""),2001.0)</f>
        <v>2001</v>
      </c>
      <c r="E692">
        <f>IFERROR(__xludf.DUMMYFUNCTION("""COMPUTED_VALUE"""),3050655.0)</f>
        <v>3050655</v>
      </c>
    </row>
    <row r="693">
      <c r="A693" t="str">
        <f t="shared" si="1"/>
        <v>arm#2002</v>
      </c>
      <c r="B693" t="str">
        <f>IFERROR(__xludf.DUMMYFUNCTION("""COMPUTED_VALUE"""),"arm")</f>
        <v>arm</v>
      </c>
      <c r="C693" t="str">
        <f>IFERROR(__xludf.DUMMYFUNCTION("""COMPUTED_VALUE"""),"Armenia")</f>
        <v>Armenia</v>
      </c>
      <c r="D693">
        <f>IFERROR(__xludf.DUMMYFUNCTION("""COMPUTED_VALUE"""),2002.0)</f>
        <v>2002</v>
      </c>
      <c r="E693">
        <f>IFERROR(__xludf.DUMMYFUNCTION("""COMPUTED_VALUE"""),3033897.0)</f>
        <v>3033897</v>
      </c>
    </row>
    <row r="694">
      <c r="A694" t="str">
        <f t="shared" si="1"/>
        <v>arm#2003</v>
      </c>
      <c r="B694" t="str">
        <f>IFERROR(__xludf.DUMMYFUNCTION("""COMPUTED_VALUE"""),"arm")</f>
        <v>arm</v>
      </c>
      <c r="C694" t="str">
        <f>IFERROR(__xludf.DUMMYFUNCTION("""COMPUTED_VALUE"""),"Armenia")</f>
        <v>Armenia</v>
      </c>
      <c r="D694">
        <f>IFERROR(__xludf.DUMMYFUNCTION("""COMPUTED_VALUE"""),2003.0)</f>
        <v>2003</v>
      </c>
      <c r="E694">
        <f>IFERROR(__xludf.DUMMYFUNCTION("""COMPUTED_VALUE"""),3017806.0)</f>
        <v>3017806</v>
      </c>
    </row>
    <row r="695">
      <c r="A695" t="str">
        <f t="shared" si="1"/>
        <v>arm#2004</v>
      </c>
      <c r="B695" t="str">
        <f>IFERROR(__xludf.DUMMYFUNCTION("""COMPUTED_VALUE"""),"arm")</f>
        <v>arm</v>
      </c>
      <c r="C695" t="str">
        <f>IFERROR(__xludf.DUMMYFUNCTION("""COMPUTED_VALUE"""),"Armenia")</f>
        <v>Armenia</v>
      </c>
      <c r="D695">
        <f>IFERROR(__xludf.DUMMYFUNCTION("""COMPUTED_VALUE"""),2004.0)</f>
        <v>2004</v>
      </c>
      <c r="E695">
        <f>IFERROR(__xludf.DUMMYFUNCTION("""COMPUTED_VALUE"""),3000612.0)</f>
        <v>3000612</v>
      </c>
    </row>
    <row r="696">
      <c r="A696" t="str">
        <f t="shared" si="1"/>
        <v>arm#2005</v>
      </c>
      <c r="B696" t="str">
        <f>IFERROR(__xludf.DUMMYFUNCTION("""COMPUTED_VALUE"""),"arm")</f>
        <v>arm</v>
      </c>
      <c r="C696" t="str">
        <f>IFERROR(__xludf.DUMMYFUNCTION("""COMPUTED_VALUE"""),"Armenia")</f>
        <v>Armenia</v>
      </c>
      <c r="D696">
        <f>IFERROR(__xludf.DUMMYFUNCTION("""COMPUTED_VALUE"""),2005.0)</f>
        <v>2005</v>
      </c>
      <c r="E696">
        <f>IFERROR(__xludf.DUMMYFUNCTION("""COMPUTED_VALUE"""),2981259.0)</f>
        <v>2981259</v>
      </c>
    </row>
    <row r="697">
      <c r="A697" t="str">
        <f t="shared" si="1"/>
        <v>arm#2006</v>
      </c>
      <c r="B697" t="str">
        <f>IFERROR(__xludf.DUMMYFUNCTION("""COMPUTED_VALUE"""),"arm")</f>
        <v>arm</v>
      </c>
      <c r="C697" t="str">
        <f>IFERROR(__xludf.DUMMYFUNCTION("""COMPUTED_VALUE"""),"Armenia")</f>
        <v>Armenia</v>
      </c>
      <c r="D697">
        <f>IFERROR(__xludf.DUMMYFUNCTION("""COMPUTED_VALUE"""),2006.0)</f>
        <v>2006</v>
      </c>
      <c r="E697">
        <f>IFERROR(__xludf.DUMMYFUNCTION("""COMPUTED_VALUE"""),2958500.0)</f>
        <v>2958500</v>
      </c>
    </row>
    <row r="698">
      <c r="A698" t="str">
        <f t="shared" si="1"/>
        <v>arm#2007</v>
      </c>
      <c r="B698" t="str">
        <f>IFERROR(__xludf.DUMMYFUNCTION("""COMPUTED_VALUE"""),"arm")</f>
        <v>arm</v>
      </c>
      <c r="C698" t="str">
        <f>IFERROR(__xludf.DUMMYFUNCTION("""COMPUTED_VALUE"""),"Armenia")</f>
        <v>Armenia</v>
      </c>
      <c r="D698">
        <f>IFERROR(__xludf.DUMMYFUNCTION("""COMPUTED_VALUE"""),2007.0)</f>
        <v>2007</v>
      </c>
      <c r="E698">
        <f>IFERROR(__xludf.DUMMYFUNCTION("""COMPUTED_VALUE"""),2933056.0)</f>
        <v>2933056</v>
      </c>
    </row>
    <row r="699">
      <c r="A699" t="str">
        <f t="shared" si="1"/>
        <v>arm#2008</v>
      </c>
      <c r="B699" t="str">
        <f>IFERROR(__xludf.DUMMYFUNCTION("""COMPUTED_VALUE"""),"arm")</f>
        <v>arm</v>
      </c>
      <c r="C699" t="str">
        <f>IFERROR(__xludf.DUMMYFUNCTION("""COMPUTED_VALUE"""),"Armenia")</f>
        <v>Armenia</v>
      </c>
      <c r="D699">
        <f>IFERROR(__xludf.DUMMYFUNCTION("""COMPUTED_VALUE"""),2008.0)</f>
        <v>2008</v>
      </c>
      <c r="E699">
        <f>IFERROR(__xludf.DUMMYFUNCTION("""COMPUTED_VALUE"""),2908220.0)</f>
        <v>2908220</v>
      </c>
    </row>
    <row r="700">
      <c r="A700" t="str">
        <f t="shared" si="1"/>
        <v>arm#2009</v>
      </c>
      <c r="B700" t="str">
        <f>IFERROR(__xludf.DUMMYFUNCTION("""COMPUTED_VALUE"""),"arm")</f>
        <v>arm</v>
      </c>
      <c r="C700" t="str">
        <f>IFERROR(__xludf.DUMMYFUNCTION("""COMPUTED_VALUE"""),"Armenia")</f>
        <v>Armenia</v>
      </c>
      <c r="D700">
        <f>IFERROR(__xludf.DUMMYFUNCTION("""COMPUTED_VALUE"""),2009.0)</f>
        <v>2009</v>
      </c>
      <c r="E700">
        <f>IFERROR(__xludf.DUMMYFUNCTION("""COMPUTED_VALUE"""),2888584.0)</f>
        <v>2888584</v>
      </c>
    </row>
    <row r="701">
      <c r="A701" t="str">
        <f t="shared" si="1"/>
        <v>arm#2010</v>
      </c>
      <c r="B701" t="str">
        <f>IFERROR(__xludf.DUMMYFUNCTION("""COMPUTED_VALUE"""),"arm")</f>
        <v>arm</v>
      </c>
      <c r="C701" t="str">
        <f>IFERROR(__xludf.DUMMYFUNCTION("""COMPUTED_VALUE"""),"Armenia")</f>
        <v>Armenia</v>
      </c>
      <c r="D701">
        <f>IFERROR(__xludf.DUMMYFUNCTION("""COMPUTED_VALUE"""),2010.0)</f>
        <v>2010</v>
      </c>
      <c r="E701">
        <f>IFERROR(__xludf.DUMMYFUNCTION("""COMPUTED_VALUE"""),2877311.0)</f>
        <v>2877311</v>
      </c>
    </row>
    <row r="702">
      <c r="A702" t="str">
        <f t="shared" si="1"/>
        <v>arm#2011</v>
      </c>
      <c r="B702" t="str">
        <f>IFERROR(__xludf.DUMMYFUNCTION("""COMPUTED_VALUE"""),"arm")</f>
        <v>arm</v>
      </c>
      <c r="C702" t="str">
        <f>IFERROR(__xludf.DUMMYFUNCTION("""COMPUTED_VALUE"""),"Armenia")</f>
        <v>Armenia</v>
      </c>
      <c r="D702">
        <f>IFERROR(__xludf.DUMMYFUNCTION("""COMPUTED_VALUE"""),2011.0)</f>
        <v>2011</v>
      </c>
      <c r="E702">
        <f>IFERROR(__xludf.DUMMYFUNCTION("""COMPUTED_VALUE"""),2875581.0)</f>
        <v>2875581</v>
      </c>
    </row>
    <row r="703">
      <c r="A703" t="str">
        <f t="shared" si="1"/>
        <v>arm#2012</v>
      </c>
      <c r="B703" t="str">
        <f>IFERROR(__xludf.DUMMYFUNCTION("""COMPUTED_VALUE"""),"arm")</f>
        <v>arm</v>
      </c>
      <c r="C703" t="str">
        <f>IFERROR(__xludf.DUMMYFUNCTION("""COMPUTED_VALUE"""),"Armenia")</f>
        <v>Armenia</v>
      </c>
      <c r="D703">
        <f>IFERROR(__xludf.DUMMYFUNCTION("""COMPUTED_VALUE"""),2012.0)</f>
        <v>2012</v>
      </c>
      <c r="E703">
        <f>IFERROR(__xludf.DUMMYFUNCTION("""COMPUTED_VALUE"""),2881922.0)</f>
        <v>2881922</v>
      </c>
    </row>
    <row r="704">
      <c r="A704" t="str">
        <f t="shared" si="1"/>
        <v>arm#2013</v>
      </c>
      <c r="B704" t="str">
        <f>IFERROR(__xludf.DUMMYFUNCTION("""COMPUTED_VALUE"""),"arm")</f>
        <v>arm</v>
      </c>
      <c r="C704" t="str">
        <f>IFERROR(__xludf.DUMMYFUNCTION("""COMPUTED_VALUE"""),"Armenia")</f>
        <v>Armenia</v>
      </c>
      <c r="D704">
        <f>IFERROR(__xludf.DUMMYFUNCTION("""COMPUTED_VALUE"""),2013.0)</f>
        <v>2013</v>
      </c>
      <c r="E704">
        <f>IFERROR(__xludf.DUMMYFUNCTION("""COMPUTED_VALUE"""),2893509.0)</f>
        <v>2893509</v>
      </c>
    </row>
    <row r="705">
      <c r="A705" t="str">
        <f t="shared" si="1"/>
        <v>arm#2014</v>
      </c>
      <c r="B705" t="str">
        <f>IFERROR(__xludf.DUMMYFUNCTION("""COMPUTED_VALUE"""),"arm")</f>
        <v>arm</v>
      </c>
      <c r="C705" t="str">
        <f>IFERROR(__xludf.DUMMYFUNCTION("""COMPUTED_VALUE"""),"Armenia")</f>
        <v>Armenia</v>
      </c>
      <c r="D705">
        <f>IFERROR(__xludf.DUMMYFUNCTION("""COMPUTED_VALUE"""),2014.0)</f>
        <v>2014</v>
      </c>
      <c r="E705">
        <f>IFERROR(__xludf.DUMMYFUNCTION("""COMPUTED_VALUE"""),2906220.0)</f>
        <v>2906220</v>
      </c>
    </row>
    <row r="706">
      <c r="A706" t="str">
        <f t="shared" si="1"/>
        <v>arm#2015</v>
      </c>
      <c r="B706" t="str">
        <f>IFERROR(__xludf.DUMMYFUNCTION("""COMPUTED_VALUE"""),"arm")</f>
        <v>arm</v>
      </c>
      <c r="C706" t="str">
        <f>IFERROR(__xludf.DUMMYFUNCTION("""COMPUTED_VALUE"""),"Armenia")</f>
        <v>Armenia</v>
      </c>
      <c r="D706">
        <f>IFERROR(__xludf.DUMMYFUNCTION("""COMPUTED_VALUE"""),2015.0)</f>
        <v>2015</v>
      </c>
      <c r="E706">
        <f>IFERROR(__xludf.DUMMYFUNCTION("""COMPUTED_VALUE"""),2916950.0)</f>
        <v>2916950</v>
      </c>
    </row>
    <row r="707">
      <c r="A707" t="str">
        <f t="shared" si="1"/>
        <v>arm#2016</v>
      </c>
      <c r="B707" t="str">
        <f>IFERROR(__xludf.DUMMYFUNCTION("""COMPUTED_VALUE"""),"arm")</f>
        <v>arm</v>
      </c>
      <c r="C707" t="str">
        <f>IFERROR(__xludf.DUMMYFUNCTION("""COMPUTED_VALUE"""),"Armenia")</f>
        <v>Armenia</v>
      </c>
      <c r="D707">
        <f>IFERROR(__xludf.DUMMYFUNCTION("""COMPUTED_VALUE"""),2016.0)</f>
        <v>2016</v>
      </c>
      <c r="E707">
        <f>IFERROR(__xludf.DUMMYFUNCTION("""COMPUTED_VALUE"""),2924816.0)</f>
        <v>2924816</v>
      </c>
    </row>
    <row r="708">
      <c r="A708" t="str">
        <f t="shared" si="1"/>
        <v>arm#2017</v>
      </c>
      <c r="B708" t="str">
        <f>IFERROR(__xludf.DUMMYFUNCTION("""COMPUTED_VALUE"""),"arm")</f>
        <v>arm</v>
      </c>
      <c r="C708" t="str">
        <f>IFERROR(__xludf.DUMMYFUNCTION("""COMPUTED_VALUE"""),"Armenia")</f>
        <v>Armenia</v>
      </c>
      <c r="D708">
        <f>IFERROR(__xludf.DUMMYFUNCTION("""COMPUTED_VALUE"""),2017.0)</f>
        <v>2017</v>
      </c>
      <c r="E708">
        <f>IFERROR(__xludf.DUMMYFUNCTION("""COMPUTED_VALUE"""),2930450.0)</f>
        <v>2930450</v>
      </c>
    </row>
    <row r="709">
      <c r="A709" t="str">
        <f t="shared" si="1"/>
        <v>arm#2018</v>
      </c>
      <c r="B709" t="str">
        <f>IFERROR(__xludf.DUMMYFUNCTION("""COMPUTED_VALUE"""),"arm")</f>
        <v>arm</v>
      </c>
      <c r="C709" t="str">
        <f>IFERROR(__xludf.DUMMYFUNCTION("""COMPUTED_VALUE"""),"Armenia")</f>
        <v>Armenia</v>
      </c>
      <c r="D709">
        <f>IFERROR(__xludf.DUMMYFUNCTION("""COMPUTED_VALUE"""),2018.0)</f>
        <v>2018</v>
      </c>
      <c r="E709">
        <f>IFERROR(__xludf.DUMMYFUNCTION("""COMPUTED_VALUE"""),2934152.0)</f>
        <v>2934152</v>
      </c>
    </row>
    <row r="710">
      <c r="A710" t="str">
        <f t="shared" si="1"/>
        <v>arm#2019</v>
      </c>
      <c r="B710" t="str">
        <f>IFERROR(__xludf.DUMMYFUNCTION("""COMPUTED_VALUE"""),"arm")</f>
        <v>arm</v>
      </c>
      <c r="C710" t="str">
        <f>IFERROR(__xludf.DUMMYFUNCTION("""COMPUTED_VALUE"""),"Armenia")</f>
        <v>Armenia</v>
      </c>
      <c r="D710">
        <f>IFERROR(__xludf.DUMMYFUNCTION("""COMPUTED_VALUE"""),2019.0)</f>
        <v>2019</v>
      </c>
      <c r="E710">
        <f>IFERROR(__xludf.DUMMYFUNCTION("""COMPUTED_VALUE"""),2936706.0)</f>
        <v>2936706</v>
      </c>
    </row>
    <row r="711">
      <c r="A711" t="str">
        <f t="shared" si="1"/>
        <v>arm#2020</v>
      </c>
      <c r="B711" t="str">
        <f>IFERROR(__xludf.DUMMYFUNCTION("""COMPUTED_VALUE"""),"arm")</f>
        <v>arm</v>
      </c>
      <c r="C711" t="str">
        <f>IFERROR(__xludf.DUMMYFUNCTION("""COMPUTED_VALUE"""),"Armenia")</f>
        <v>Armenia</v>
      </c>
      <c r="D711">
        <f>IFERROR(__xludf.DUMMYFUNCTION("""COMPUTED_VALUE"""),2020.0)</f>
        <v>2020</v>
      </c>
      <c r="E711">
        <f>IFERROR(__xludf.DUMMYFUNCTION("""COMPUTED_VALUE"""),2938679.0)</f>
        <v>2938679</v>
      </c>
    </row>
    <row r="712">
      <c r="A712" t="str">
        <f t="shared" si="1"/>
        <v>arm#2021</v>
      </c>
      <c r="B712" t="str">
        <f>IFERROR(__xludf.DUMMYFUNCTION("""COMPUTED_VALUE"""),"arm")</f>
        <v>arm</v>
      </c>
      <c r="C712" t="str">
        <f>IFERROR(__xludf.DUMMYFUNCTION("""COMPUTED_VALUE"""),"Armenia")</f>
        <v>Armenia</v>
      </c>
      <c r="D712">
        <f>IFERROR(__xludf.DUMMYFUNCTION("""COMPUTED_VALUE"""),2021.0)</f>
        <v>2021</v>
      </c>
      <c r="E712">
        <f>IFERROR(__xludf.DUMMYFUNCTION("""COMPUTED_VALUE"""),2939944.0)</f>
        <v>2939944</v>
      </c>
    </row>
    <row r="713">
      <c r="A713" t="str">
        <f t="shared" si="1"/>
        <v>arm#2022</v>
      </c>
      <c r="B713" t="str">
        <f>IFERROR(__xludf.DUMMYFUNCTION("""COMPUTED_VALUE"""),"arm")</f>
        <v>arm</v>
      </c>
      <c r="C713" t="str">
        <f>IFERROR(__xludf.DUMMYFUNCTION("""COMPUTED_VALUE"""),"Armenia")</f>
        <v>Armenia</v>
      </c>
      <c r="D713">
        <f>IFERROR(__xludf.DUMMYFUNCTION("""COMPUTED_VALUE"""),2022.0)</f>
        <v>2022</v>
      </c>
      <c r="E713">
        <f>IFERROR(__xludf.DUMMYFUNCTION("""COMPUTED_VALUE"""),2940089.0)</f>
        <v>2940089</v>
      </c>
    </row>
    <row r="714">
      <c r="A714" t="str">
        <f t="shared" si="1"/>
        <v>arm#2023</v>
      </c>
      <c r="B714" t="str">
        <f>IFERROR(__xludf.DUMMYFUNCTION("""COMPUTED_VALUE"""),"arm")</f>
        <v>arm</v>
      </c>
      <c r="C714" t="str">
        <f>IFERROR(__xludf.DUMMYFUNCTION("""COMPUTED_VALUE"""),"Armenia")</f>
        <v>Armenia</v>
      </c>
      <c r="D714">
        <f>IFERROR(__xludf.DUMMYFUNCTION("""COMPUTED_VALUE"""),2023.0)</f>
        <v>2023</v>
      </c>
      <c r="E714">
        <f>IFERROR(__xludf.DUMMYFUNCTION("""COMPUTED_VALUE"""),2939169.0)</f>
        <v>2939169</v>
      </c>
    </row>
    <row r="715">
      <c r="A715" t="str">
        <f t="shared" si="1"/>
        <v>arm#2024</v>
      </c>
      <c r="B715" t="str">
        <f>IFERROR(__xludf.DUMMYFUNCTION("""COMPUTED_VALUE"""),"arm")</f>
        <v>arm</v>
      </c>
      <c r="C715" t="str">
        <f>IFERROR(__xludf.DUMMYFUNCTION("""COMPUTED_VALUE"""),"Armenia")</f>
        <v>Armenia</v>
      </c>
      <c r="D715">
        <f>IFERROR(__xludf.DUMMYFUNCTION("""COMPUTED_VALUE"""),2024.0)</f>
        <v>2024</v>
      </c>
      <c r="E715">
        <f>IFERROR(__xludf.DUMMYFUNCTION("""COMPUTED_VALUE"""),2937237.0)</f>
        <v>2937237</v>
      </c>
    </row>
    <row r="716">
      <c r="A716" t="str">
        <f t="shared" si="1"/>
        <v>arm#2025</v>
      </c>
      <c r="B716" t="str">
        <f>IFERROR(__xludf.DUMMYFUNCTION("""COMPUTED_VALUE"""),"arm")</f>
        <v>arm</v>
      </c>
      <c r="C716" t="str">
        <f>IFERROR(__xludf.DUMMYFUNCTION("""COMPUTED_VALUE"""),"Armenia")</f>
        <v>Armenia</v>
      </c>
      <c r="D716">
        <f>IFERROR(__xludf.DUMMYFUNCTION("""COMPUTED_VALUE"""),2025.0)</f>
        <v>2025</v>
      </c>
      <c r="E716">
        <f>IFERROR(__xludf.DUMMYFUNCTION("""COMPUTED_VALUE"""),2934370.0)</f>
        <v>2934370</v>
      </c>
    </row>
    <row r="717">
      <c r="A717" t="str">
        <f t="shared" si="1"/>
        <v>arm#2026</v>
      </c>
      <c r="B717" t="str">
        <f>IFERROR(__xludf.DUMMYFUNCTION("""COMPUTED_VALUE"""),"arm")</f>
        <v>arm</v>
      </c>
      <c r="C717" t="str">
        <f>IFERROR(__xludf.DUMMYFUNCTION("""COMPUTED_VALUE"""),"Armenia")</f>
        <v>Armenia</v>
      </c>
      <c r="D717">
        <f>IFERROR(__xludf.DUMMYFUNCTION("""COMPUTED_VALUE"""),2026.0)</f>
        <v>2026</v>
      </c>
      <c r="E717">
        <f>IFERROR(__xludf.DUMMYFUNCTION("""COMPUTED_VALUE"""),2930588.0)</f>
        <v>2930588</v>
      </c>
    </row>
    <row r="718">
      <c r="A718" t="str">
        <f t="shared" si="1"/>
        <v>arm#2027</v>
      </c>
      <c r="B718" t="str">
        <f>IFERROR(__xludf.DUMMYFUNCTION("""COMPUTED_VALUE"""),"arm")</f>
        <v>arm</v>
      </c>
      <c r="C718" t="str">
        <f>IFERROR(__xludf.DUMMYFUNCTION("""COMPUTED_VALUE"""),"Armenia")</f>
        <v>Armenia</v>
      </c>
      <c r="D718">
        <f>IFERROR(__xludf.DUMMYFUNCTION("""COMPUTED_VALUE"""),2027.0)</f>
        <v>2027</v>
      </c>
      <c r="E718">
        <f>IFERROR(__xludf.DUMMYFUNCTION("""COMPUTED_VALUE"""),2925921.0)</f>
        <v>2925921</v>
      </c>
    </row>
    <row r="719">
      <c r="A719" t="str">
        <f t="shared" si="1"/>
        <v>arm#2028</v>
      </c>
      <c r="B719" t="str">
        <f>IFERROR(__xludf.DUMMYFUNCTION("""COMPUTED_VALUE"""),"arm")</f>
        <v>arm</v>
      </c>
      <c r="C719" t="str">
        <f>IFERROR(__xludf.DUMMYFUNCTION("""COMPUTED_VALUE"""),"Armenia")</f>
        <v>Armenia</v>
      </c>
      <c r="D719">
        <f>IFERROR(__xludf.DUMMYFUNCTION("""COMPUTED_VALUE"""),2028.0)</f>
        <v>2028</v>
      </c>
      <c r="E719">
        <f>IFERROR(__xludf.DUMMYFUNCTION("""COMPUTED_VALUE"""),2920450.0)</f>
        <v>2920450</v>
      </c>
    </row>
    <row r="720">
      <c r="A720" t="str">
        <f t="shared" si="1"/>
        <v>arm#2029</v>
      </c>
      <c r="B720" t="str">
        <f>IFERROR(__xludf.DUMMYFUNCTION("""COMPUTED_VALUE"""),"arm")</f>
        <v>arm</v>
      </c>
      <c r="C720" t="str">
        <f>IFERROR(__xludf.DUMMYFUNCTION("""COMPUTED_VALUE"""),"Armenia")</f>
        <v>Armenia</v>
      </c>
      <c r="D720">
        <f>IFERROR(__xludf.DUMMYFUNCTION("""COMPUTED_VALUE"""),2029.0)</f>
        <v>2029</v>
      </c>
      <c r="E720">
        <f>IFERROR(__xludf.DUMMYFUNCTION("""COMPUTED_VALUE"""),2914268.0)</f>
        <v>2914268</v>
      </c>
    </row>
    <row r="721">
      <c r="A721" t="str">
        <f t="shared" si="1"/>
        <v>arm#2030</v>
      </c>
      <c r="B721" t="str">
        <f>IFERROR(__xludf.DUMMYFUNCTION("""COMPUTED_VALUE"""),"arm")</f>
        <v>arm</v>
      </c>
      <c r="C721" t="str">
        <f>IFERROR(__xludf.DUMMYFUNCTION("""COMPUTED_VALUE"""),"Armenia")</f>
        <v>Armenia</v>
      </c>
      <c r="D721">
        <f>IFERROR(__xludf.DUMMYFUNCTION("""COMPUTED_VALUE"""),2030.0)</f>
        <v>2030</v>
      </c>
      <c r="E721">
        <f>IFERROR(__xludf.DUMMYFUNCTION("""COMPUTED_VALUE"""),2907463.0)</f>
        <v>2907463</v>
      </c>
    </row>
    <row r="722">
      <c r="A722" t="str">
        <f t="shared" si="1"/>
        <v>arm#2031</v>
      </c>
      <c r="B722" t="str">
        <f>IFERROR(__xludf.DUMMYFUNCTION("""COMPUTED_VALUE"""),"arm")</f>
        <v>arm</v>
      </c>
      <c r="C722" t="str">
        <f>IFERROR(__xludf.DUMMYFUNCTION("""COMPUTED_VALUE"""),"Armenia")</f>
        <v>Armenia</v>
      </c>
      <c r="D722">
        <f>IFERROR(__xludf.DUMMYFUNCTION("""COMPUTED_VALUE"""),2031.0)</f>
        <v>2031</v>
      </c>
      <c r="E722">
        <f>IFERROR(__xludf.DUMMYFUNCTION("""COMPUTED_VALUE"""),2900079.0)</f>
        <v>2900079</v>
      </c>
    </row>
    <row r="723">
      <c r="A723" t="str">
        <f t="shared" si="1"/>
        <v>arm#2032</v>
      </c>
      <c r="B723" t="str">
        <f>IFERROR(__xludf.DUMMYFUNCTION("""COMPUTED_VALUE"""),"arm")</f>
        <v>arm</v>
      </c>
      <c r="C723" t="str">
        <f>IFERROR(__xludf.DUMMYFUNCTION("""COMPUTED_VALUE"""),"Armenia")</f>
        <v>Armenia</v>
      </c>
      <c r="D723">
        <f>IFERROR(__xludf.DUMMYFUNCTION("""COMPUTED_VALUE"""),2032.0)</f>
        <v>2032</v>
      </c>
      <c r="E723">
        <f>IFERROR(__xludf.DUMMYFUNCTION("""COMPUTED_VALUE"""),2892154.0)</f>
        <v>2892154</v>
      </c>
    </row>
    <row r="724">
      <c r="A724" t="str">
        <f t="shared" si="1"/>
        <v>arm#2033</v>
      </c>
      <c r="B724" t="str">
        <f>IFERROR(__xludf.DUMMYFUNCTION("""COMPUTED_VALUE"""),"arm")</f>
        <v>arm</v>
      </c>
      <c r="C724" t="str">
        <f>IFERROR(__xludf.DUMMYFUNCTION("""COMPUTED_VALUE"""),"Armenia")</f>
        <v>Armenia</v>
      </c>
      <c r="D724">
        <f>IFERROR(__xludf.DUMMYFUNCTION("""COMPUTED_VALUE"""),2033.0)</f>
        <v>2033</v>
      </c>
      <c r="E724">
        <f>IFERROR(__xludf.DUMMYFUNCTION("""COMPUTED_VALUE"""),2883791.0)</f>
        <v>2883791</v>
      </c>
    </row>
    <row r="725">
      <c r="A725" t="str">
        <f t="shared" si="1"/>
        <v>arm#2034</v>
      </c>
      <c r="B725" t="str">
        <f>IFERROR(__xludf.DUMMYFUNCTION("""COMPUTED_VALUE"""),"arm")</f>
        <v>arm</v>
      </c>
      <c r="C725" t="str">
        <f>IFERROR(__xludf.DUMMYFUNCTION("""COMPUTED_VALUE"""),"Armenia")</f>
        <v>Armenia</v>
      </c>
      <c r="D725">
        <f>IFERROR(__xludf.DUMMYFUNCTION("""COMPUTED_VALUE"""),2034.0)</f>
        <v>2034</v>
      </c>
      <c r="E725">
        <f>IFERROR(__xludf.DUMMYFUNCTION("""COMPUTED_VALUE"""),2875096.0)</f>
        <v>2875096</v>
      </c>
    </row>
    <row r="726">
      <c r="A726" t="str">
        <f t="shared" si="1"/>
        <v>arm#2035</v>
      </c>
      <c r="B726" t="str">
        <f>IFERROR(__xludf.DUMMYFUNCTION("""COMPUTED_VALUE"""),"arm")</f>
        <v>arm</v>
      </c>
      <c r="C726" t="str">
        <f>IFERROR(__xludf.DUMMYFUNCTION("""COMPUTED_VALUE"""),"Armenia")</f>
        <v>Armenia</v>
      </c>
      <c r="D726">
        <f>IFERROR(__xludf.DUMMYFUNCTION("""COMPUTED_VALUE"""),2035.0)</f>
        <v>2035</v>
      </c>
      <c r="E726">
        <f>IFERROR(__xludf.DUMMYFUNCTION("""COMPUTED_VALUE"""),2866150.0)</f>
        <v>2866150</v>
      </c>
    </row>
    <row r="727">
      <c r="A727" t="str">
        <f t="shared" si="1"/>
        <v>arm#2036</v>
      </c>
      <c r="B727" t="str">
        <f>IFERROR(__xludf.DUMMYFUNCTION("""COMPUTED_VALUE"""),"arm")</f>
        <v>arm</v>
      </c>
      <c r="C727" t="str">
        <f>IFERROR(__xludf.DUMMYFUNCTION("""COMPUTED_VALUE"""),"Armenia")</f>
        <v>Armenia</v>
      </c>
      <c r="D727">
        <f>IFERROR(__xludf.DUMMYFUNCTION("""COMPUTED_VALUE"""),2036.0)</f>
        <v>2036</v>
      </c>
      <c r="E727">
        <f>IFERROR(__xludf.DUMMYFUNCTION("""COMPUTED_VALUE"""),2856998.0)</f>
        <v>2856998</v>
      </c>
    </row>
    <row r="728">
      <c r="A728" t="str">
        <f t="shared" si="1"/>
        <v>arm#2037</v>
      </c>
      <c r="B728" t="str">
        <f>IFERROR(__xludf.DUMMYFUNCTION("""COMPUTED_VALUE"""),"arm")</f>
        <v>arm</v>
      </c>
      <c r="C728" t="str">
        <f>IFERROR(__xludf.DUMMYFUNCTION("""COMPUTED_VALUE"""),"Armenia")</f>
        <v>Armenia</v>
      </c>
      <c r="D728">
        <f>IFERROR(__xludf.DUMMYFUNCTION("""COMPUTED_VALUE"""),2037.0)</f>
        <v>2037</v>
      </c>
      <c r="E728">
        <f>IFERROR(__xludf.DUMMYFUNCTION("""COMPUTED_VALUE"""),2847657.0)</f>
        <v>2847657</v>
      </c>
    </row>
    <row r="729">
      <c r="A729" t="str">
        <f t="shared" si="1"/>
        <v>arm#2038</v>
      </c>
      <c r="B729" t="str">
        <f>IFERROR(__xludf.DUMMYFUNCTION("""COMPUTED_VALUE"""),"arm")</f>
        <v>arm</v>
      </c>
      <c r="C729" t="str">
        <f>IFERROR(__xludf.DUMMYFUNCTION("""COMPUTED_VALUE"""),"Armenia")</f>
        <v>Armenia</v>
      </c>
      <c r="D729">
        <f>IFERROR(__xludf.DUMMYFUNCTION("""COMPUTED_VALUE"""),2038.0)</f>
        <v>2038</v>
      </c>
      <c r="E729">
        <f>IFERROR(__xludf.DUMMYFUNCTION("""COMPUTED_VALUE"""),2838113.0)</f>
        <v>2838113</v>
      </c>
    </row>
    <row r="730">
      <c r="A730" t="str">
        <f t="shared" si="1"/>
        <v>arm#2039</v>
      </c>
      <c r="B730" t="str">
        <f>IFERROR(__xludf.DUMMYFUNCTION("""COMPUTED_VALUE"""),"arm")</f>
        <v>arm</v>
      </c>
      <c r="C730" t="str">
        <f>IFERROR(__xludf.DUMMYFUNCTION("""COMPUTED_VALUE"""),"Armenia")</f>
        <v>Armenia</v>
      </c>
      <c r="D730">
        <f>IFERROR(__xludf.DUMMYFUNCTION("""COMPUTED_VALUE"""),2039.0)</f>
        <v>2039</v>
      </c>
      <c r="E730">
        <f>IFERROR(__xludf.DUMMYFUNCTION("""COMPUTED_VALUE"""),2828360.0)</f>
        <v>2828360</v>
      </c>
    </row>
    <row r="731">
      <c r="A731" t="str">
        <f t="shared" si="1"/>
        <v>arm#2040</v>
      </c>
      <c r="B731" t="str">
        <f>IFERROR(__xludf.DUMMYFUNCTION("""COMPUTED_VALUE"""),"arm")</f>
        <v>arm</v>
      </c>
      <c r="C731" t="str">
        <f>IFERROR(__xludf.DUMMYFUNCTION("""COMPUTED_VALUE"""),"Armenia")</f>
        <v>Armenia</v>
      </c>
      <c r="D731">
        <f>IFERROR(__xludf.DUMMYFUNCTION("""COMPUTED_VALUE"""),2040.0)</f>
        <v>2040</v>
      </c>
      <c r="E731">
        <f>IFERROR(__xludf.DUMMYFUNCTION("""COMPUTED_VALUE"""),2818399.0)</f>
        <v>2818399</v>
      </c>
    </row>
    <row r="732">
      <c r="A732" t="str">
        <f t="shared" si="1"/>
        <v>aus#1950</v>
      </c>
      <c r="B732" t="str">
        <f>IFERROR(__xludf.DUMMYFUNCTION("""COMPUTED_VALUE"""),"aus")</f>
        <v>aus</v>
      </c>
      <c r="C732" t="str">
        <f>IFERROR(__xludf.DUMMYFUNCTION("""COMPUTED_VALUE"""),"Australia")</f>
        <v>Australia</v>
      </c>
      <c r="D732">
        <f>IFERROR(__xludf.DUMMYFUNCTION("""COMPUTED_VALUE"""),1950.0)</f>
        <v>1950</v>
      </c>
      <c r="E732">
        <f>IFERROR(__xludf.DUMMYFUNCTION("""COMPUTED_VALUE"""),8177342.0)</f>
        <v>8177342</v>
      </c>
    </row>
    <row r="733">
      <c r="A733" t="str">
        <f t="shared" si="1"/>
        <v>aus#1951</v>
      </c>
      <c r="B733" t="str">
        <f>IFERROR(__xludf.DUMMYFUNCTION("""COMPUTED_VALUE"""),"aus")</f>
        <v>aus</v>
      </c>
      <c r="C733" t="str">
        <f>IFERROR(__xludf.DUMMYFUNCTION("""COMPUTED_VALUE"""),"Australia")</f>
        <v>Australia</v>
      </c>
      <c r="D733">
        <f>IFERROR(__xludf.DUMMYFUNCTION("""COMPUTED_VALUE"""),1951.0)</f>
        <v>1951</v>
      </c>
      <c r="E733">
        <f>IFERROR(__xludf.DUMMYFUNCTION("""COMPUTED_VALUE"""),8412604.0)</f>
        <v>8412604</v>
      </c>
    </row>
    <row r="734">
      <c r="A734" t="str">
        <f t="shared" si="1"/>
        <v>aus#1952</v>
      </c>
      <c r="B734" t="str">
        <f>IFERROR(__xludf.DUMMYFUNCTION("""COMPUTED_VALUE"""),"aus")</f>
        <v>aus</v>
      </c>
      <c r="C734" t="str">
        <f>IFERROR(__xludf.DUMMYFUNCTION("""COMPUTED_VALUE"""),"Australia")</f>
        <v>Australia</v>
      </c>
      <c r="D734">
        <f>IFERROR(__xludf.DUMMYFUNCTION("""COMPUTED_VALUE"""),1952.0)</f>
        <v>1952</v>
      </c>
      <c r="E734">
        <f>IFERROR(__xludf.DUMMYFUNCTION("""COMPUTED_VALUE"""),8620970.0)</f>
        <v>8620970</v>
      </c>
    </row>
    <row r="735">
      <c r="A735" t="str">
        <f t="shared" si="1"/>
        <v>aus#1953</v>
      </c>
      <c r="B735" t="str">
        <f>IFERROR(__xludf.DUMMYFUNCTION("""COMPUTED_VALUE"""),"aus")</f>
        <v>aus</v>
      </c>
      <c r="C735" t="str">
        <f>IFERROR(__xludf.DUMMYFUNCTION("""COMPUTED_VALUE"""),"Australia")</f>
        <v>Australia</v>
      </c>
      <c r="D735">
        <f>IFERROR(__xludf.DUMMYFUNCTION("""COMPUTED_VALUE"""),1953.0)</f>
        <v>1953</v>
      </c>
      <c r="E735">
        <f>IFERROR(__xludf.DUMMYFUNCTION("""COMPUTED_VALUE"""),8816902.0)</f>
        <v>8816902</v>
      </c>
    </row>
    <row r="736">
      <c r="A736" t="str">
        <f t="shared" si="1"/>
        <v>aus#1954</v>
      </c>
      <c r="B736" t="str">
        <f>IFERROR(__xludf.DUMMYFUNCTION("""COMPUTED_VALUE"""),"aus")</f>
        <v>aus</v>
      </c>
      <c r="C736" t="str">
        <f>IFERROR(__xludf.DUMMYFUNCTION("""COMPUTED_VALUE"""),"Australia")</f>
        <v>Australia</v>
      </c>
      <c r="D736">
        <f>IFERROR(__xludf.DUMMYFUNCTION("""COMPUTED_VALUE"""),1954.0)</f>
        <v>1954</v>
      </c>
      <c r="E736">
        <f>IFERROR(__xludf.DUMMYFUNCTION("""COMPUTED_VALUE"""),9011190.0)</f>
        <v>9011190</v>
      </c>
    </row>
    <row r="737">
      <c r="A737" t="str">
        <f t="shared" si="1"/>
        <v>aus#1955</v>
      </c>
      <c r="B737" t="str">
        <f>IFERROR(__xludf.DUMMYFUNCTION("""COMPUTED_VALUE"""),"aus")</f>
        <v>aus</v>
      </c>
      <c r="C737" t="str">
        <f>IFERROR(__xludf.DUMMYFUNCTION("""COMPUTED_VALUE"""),"Australia")</f>
        <v>Australia</v>
      </c>
      <c r="D737">
        <f>IFERROR(__xludf.DUMMYFUNCTION("""COMPUTED_VALUE"""),1955.0)</f>
        <v>1955</v>
      </c>
      <c r="E737">
        <f>IFERROR(__xludf.DUMMYFUNCTION("""COMPUTED_VALUE"""),9210908.0)</f>
        <v>9210908</v>
      </c>
    </row>
    <row r="738">
      <c r="A738" t="str">
        <f t="shared" si="1"/>
        <v>aus#1956</v>
      </c>
      <c r="B738" t="str">
        <f>IFERROR(__xludf.DUMMYFUNCTION("""COMPUTED_VALUE"""),"aus")</f>
        <v>aus</v>
      </c>
      <c r="C738" t="str">
        <f>IFERROR(__xludf.DUMMYFUNCTION("""COMPUTED_VALUE"""),"Australia")</f>
        <v>Australia</v>
      </c>
      <c r="D738">
        <f>IFERROR(__xludf.DUMMYFUNCTION("""COMPUTED_VALUE"""),1956.0)</f>
        <v>1956</v>
      </c>
      <c r="E738">
        <f>IFERROR(__xludf.DUMMYFUNCTION("""COMPUTED_VALUE"""),9419268.0)</f>
        <v>9419268</v>
      </c>
    </row>
    <row r="739">
      <c r="A739" t="str">
        <f t="shared" si="1"/>
        <v>aus#1957</v>
      </c>
      <c r="B739" t="str">
        <f>IFERROR(__xludf.DUMMYFUNCTION("""COMPUTED_VALUE"""),"aus")</f>
        <v>aus</v>
      </c>
      <c r="C739" t="str">
        <f>IFERROR(__xludf.DUMMYFUNCTION("""COMPUTED_VALUE"""),"Australia")</f>
        <v>Australia</v>
      </c>
      <c r="D739">
        <f>IFERROR(__xludf.DUMMYFUNCTION("""COMPUTED_VALUE"""),1957.0)</f>
        <v>1957</v>
      </c>
      <c r="E739">
        <f>IFERROR(__xludf.DUMMYFUNCTION("""COMPUTED_VALUE"""),9635828.0)</f>
        <v>9635828</v>
      </c>
    </row>
    <row r="740">
      <c r="A740" t="str">
        <f t="shared" si="1"/>
        <v>aus#1958</v>
      </c>
      <c r="B740" t="str">
        <f>IFERROR(__xludf.DUMMYFUNCTION("""COMPUTED_VALUE"""),"aus")</f>
        <v>aus</v>
      </c>
      <c r="C740" t="str">
        <f>IFERROR(__xludf.DUMMYFUNCTION("""COMPUTED_VALUE"""),"Australia")</f>
        <v>Australia</v>
      </c>
      <c r="D740">
        <f>IFERROR(__xludf.DUMMYFUNCTION("""COMPUTED_VALUE"""),1958.0)</f>
        <v>1958</v>
      </c>
      <c r="E740">
        <f>IFERROR(__xludf.DUMMYFUNCTION("""COMPUTED_VALUE"""),9856949.0)</f>
        <v>9856949</v>
      </c>
    </row>
    <row r="741">
      <c r="A741" t="str">
        <f t="shared" si="1"/>
        <v>aus#1959</v>
      </c>
      <c r="B741" t="str">
        <f>IFERROR(__xludf.DUMMYFUNCTION("""COMPUTED_VALUE"""),"aus")</f>
        <v>aus</v>
      </c>
      <c r="C741" t="str">
        <f>IFERROR(__xludf.DUMMYFUNCTION("""COMPUTED_VALUE"""),"Australia")</f>
        <v>Australia</v>
      </c>
      <c r="D741">
        <f>IFERROR(__xludf.DUMMYFUNCTION("""COMPUTED_VALUE"""),1959.0)</f>
        <v>1959</v>
      </c>
      <c r="E741">
        <f>IFERROR(__xludf.DUMMYFUNCTION("""COMPUTED_VALUE"""),1.0076741E7)</f>
        <v>10076741</v>
      </c>
    </row>
    <row r="742">
      <c r="A742" t="str">
        <f t="shared" si="1"/>
        <v>aus#1960</v>
      </c>
      <c r="B742" t="str">
        <f>IFERROR(__xludf.DUMMYFUNCTION("""COMPUTED_VALUE"""),"aus")</f>
        <v>aus</v>
      </c>
      <c r="C742" t="str">
        <f>IFERROR(__xludf.DUMMYFUNCTION("""COMPUTED_VALUE"""),"Australia")</f>
        <v>Australia</v>
      </c>
      <c r="D742">
        <f>IFERROR(__xludf.DUMMYFUNCTION("""COMPUTED_VALUE"""),1960.0)</f>
        <v>1960</v>
      </c>
      <c r="E742">
        <f>IFERROR(__xludf.DUMMYFUNCTION("""COMPUTED_VALUE"""),1.0289707E7)</f>
        <v>10289707</v>
      </c>
    </row>
    <row r="743">
      <c r="A743" t="str">
        <f t="shared" si="1"/>
        <v>aus#1961</v>
      </c>
      <c r="B743" t="str">
        <f>IFERROR(__xludf.DUMMYFUNCTION("""COMPUTED_VALUE"""),"aus")</f>
        <v>aus</v>
      </c>
      <c r="C743" t="str">
        <f>IFERROR(__xludf.DUMMYFUNCTION("""COMPUTED_VALUE"""),"Australia")</f>
        <v>Australia</v>
      </c>
      <c r="D743">
        <f>IFERROR(__xludf.DUMMYFUNCTION("""COMPUTED_VALUE"""),1961.0)</f>
        <v>1961</v>
      </c>
      <c r="E743">
        <f>IFERROR(__xludf.DUMMYFUNCTION("""COMPUTED_VALUE"""),1.0493555E7)</f>
        <v>10493555</v>
      </c>
    </row>
    <row r="744">
      <c r="A744" t="str">
        <f t="shared" si="1"/>
        <v>aus#1962</v>
      </c>
      <c r="B744" t="str">
        <f>IFERROR(__xludf.DUMMYFUNCTION("""COMPUTED_VALUE"""),"aus")</f>
        <v>aus</v>
      </c>
      <c r="C744" t="str">
        <f>IFERROR(__xludf.DUMMYFUNCTION("""COMPUTED_VALUE"""),"Australia")</f>
        <v>Australia</v>
      </c>
      <c r="D744">
        <f>IFERROR(__xludf.DUMMYFUNCTION("""COMPUTED_VALUE"""),1962.0)</f>
        <v>1962</v>
      </c>
      <c r="E744">
        <f>IFERROR(__xludf.DUMMYFUNCTION("""COMPUTED_VALUE"""),1.0691689E7)</f>
        <v>10691689</v>
      </c>
    </row>
    <row r="745">
      <c r="A745" t="str">
        <f t="shared" si="1"/>
        <v>aus#1963</v>
      </c>
      <c r="B745" t="str">
        <f>IFERROR(__xludf.DUMMYFUNCTION("""COMPUTED_VALUE"""),"aus")</f>
        <v>aus</v>
      </c>
      <c r="C745" t="str">
        <f>IFERROR(__xludf.DUMMYFUNCTION("""COMPUTED_VALUE"""),"Australia")</f>
        <v>Australia</v>
      </c>
      <c r="D745">
        <f>IFERROR(__xludf.DUMMYFUNCTION("""COMPUTED_VALUE"""),1963.0)</f>
        <v>1963</v>
      </c>
      <c r="E745">
        <f>IFERROR(__xludf.DUMMYFUNCTION("""COMPUTED_VALUE"""),1.089427E7)</f>
        <v>10894270</v>
      </c>
    </row>
    <row r="746">
      <c r="A746" t="str">
        <f t="shared" si="1"/>
        <v>aus#1964</v>
      </c>
      <c r="B746" t="str">
        <f>IFERROR(__xludf.DUMMYFUNCTION("""COMPUTED_VALUE"""),"aus")</f>
        <v>aus</v>
      </c>
      <c r="C746" t="str">
        <f>IFERROR(__xludf.DUMMYFUNCTION("""COMPUTED_VALUE"""),"Australia")</f>
        <v>Australia</v>
      </c>
      <c r="D746">
        <f>IFERROR(__xludf.DUMMYFUNCTION("""COMPUTED_VALUE"""),1964.0)</f>
        <v>1964</v>
      </c>
      <c r="E746">
        <f>IFERROR(__xludf.DUMMYFUNCTION("""COMPUTED_VALUE"""),1.1115211E7)</f>
        <v>11115211</v>
      </c>
    </row>
    <row r="747">
      <c r="A747" t="str">
        <f t="shared" si="1"/>
        <v>aus#1965</v>
      </c>
      <c r="B747" t="str">
        <f>IFERROR(__xludf.DUMMYFUNCTION("""COMPUTED_VALUE"""),"aus")</f>
        <v>aus</v>
      </c>
      <c r="C747" t="str">
        <f>IFERROR(__xludf.DUMMYFUNCTION("""COMPUTED_VALUE"""),"Australia")</f>
        <v>Australia</v>
      </c>
      <c r="D747">
        <f>IFERROR(__xludf.DUMMYFUNCTION("""COMPUTED_VALUE"""),1965.0)</f>
        <v>1965</v>
      </c>
      <c r="E747">
        <f>IFERROR(__xludf.DUMMYFUNCTION("""COMPUTED_VALUE"""),1.1363313E7)</f>
        <v>11363313</v>
      </c>
    </row>
    <row r="748">
      <c r="A748" t="str">
        <f t="shared" si="1"/>
        <v>aus#1966</v>
      </c>
      <c r="B748" t="str">
        <f>IFERROR(__xludf.DUMMYFUNCTION("""COMPUTED_VALUE"""),"aus")</f>
        <v>aus</v>
      </c>
      <c r="C748" t="str">
        <f>IFERROR(__xludf.DUMMYFUNCTION("""COMPUTED_VALUE"""),"Australia")</f>
        <v>Australia</v>
      </c>
      <c r="D748">
        <f>IFERROR(__xludf.DUMMYFUNCTION("""COMPUTED_VALUE"""),1966.0)</f>
        <v>1966</v>
      </c>
      <c r="E748">
        <f>IFERROR(__xludf.DUMMYFUNCTION("""COMPUTED_VALUE"""),1.1643451E7)</f>
        <v>11643451</v>
      </c>
    </row>
    <row r="749">
      <c r="A749" t="str">
        <f t="shared" si="1"/>
        <v>aus#1967</v>
      </c>
      <c r="B749" t="str">
        <f>IFERROR(__xludf.DUMMYFUNCTION("""COMPUTED_VALUE"""),"aus")</f>
        <v>aus</v>
      </c>
      <c r="C749" t="str">
        <f>IFERROR(__xludf.DUMMYFUNCTION("""COMPUTED_VALUE"""),"Australia")</f>
        <v>Australia</v>
      </c>
      <c r="D749">
        <f>IFERROR(__xludf.DUMMYFUNCTION("""COMPUTED_VALUE"""),1967.0)</f>
        <v>1967</v>
      </c>
      <c r="E749">
        <f>IFERROR(__xludf.DUMMYFUNCTION("""COMPUTED_VALUE"""),1.1949357E7)</f>
        <v>11949357</v>
      </c>
    </row>
    <row r="750">
      <c r="A750" t="str">
        <f t="shared" si="1"/>
        <v>aus#1968</v>
      </c>
      <c r="B750" t="str">
        <f>IFERROR(__xludf.DUMMYFUNCTION("""COMPUTED_VALUE"""),"aus")</f>
        <v>aus</v>
      </c>
      <c r="C750" t="str">
        <f>IFERROR(__xludf.DUMMYFUNCTION("""COMPUTED_VALUE"""),"Australia")</f>
        <v>Australia</v>
      </c>
      <c r="D750">
        <f>IFERROR(__xludf.DUMMYFUNCTION("""COMPUTED_VALUE"""),1968.0)</f>
        <v>1968</v>
      </c>
      <c r="E750">
        <f>IFERROR(__xludf.DUMMYFUNCTION("""COMPUTED_VALUE"""),1.2265087E7)</f>
        <v>12265087</v>
      </c>
    </row>
    <row r="751">
      <c r="A751" t="str">
        <f t="shared" si="1"/>
        <v>aus#1969</v>
      </c>
      <c r="B751" t="str">
        <f>IFERROR(__xludf.DUMMYFUNCTION("""COMPUTED_VALUE"""),"aus")</f>
        <v>aus</v>
      </c>
      <c r="C751" t="str">
        <f>IFERROR(__xludf.DUMMYFUNCTION("""COMPUTED_VALUE"""),"Australia")</f>
        <v>Australia</v>
      </c>
      <c r="D751">
        <f>IFERROR(__xludf.DUMMYFUNCTION("""COMPUTED_VALUE"""),1969.0)</f>
        <v>1969</v>
      </c>
      <c r="E751">
        <f>IFERROR(__xludf.DUMMYFUNCTION("""COMPUTED_VALUE"""),1.25683E7)</f>
        <v>12568300</v>
      </c>
    </row>
    <row r="752">
      <c r="A752" t="str">
        <f t="shared" si="1"/>
        <v>aus#1970</v>
      </c>
      <c r="B752" t="str">
        <f>IFERROR(__xludf.DUMMYFUNCTION("""COMPUTED_VALUE"""),"aus")</f>
        <v>aus</v>
      </c>
      <c r="C752" t="str">
        <f>IFERROR(__xludf.DUMMYFUNCTION("""COMPUTED_VALUE"""),"Australia")</f>
        <v>Australia</v>
      </c>
      <c r="D752">
        <f>IFERROR(__xludf.DUMMYFUNCTION("""COMPUTED_VALUE"""),1970.0)</f>
        <v>1970</v>
      </c>
      <c r="E752">
        <f>IFERROR(__xludf.DUMMYFUNCTION("""COMPUTED_VALUE"""),1.2842907E7)</f>
        <v>12842907</v>
      </c>
    </row>
    <row r="753">
      <c r="A753" t="str">
        <f t="shared" si="1"/>
        <v>aus#1971</v>
      </c>
      <c r="B753" t="str">
        <f>IFERROR(__xludf.DUMMYFUNCTION("""COMPUTED_VALUE"""),"aus")</f>
        <v>aus</v>
      </c>
      <c r="C753" t="str">
        <f>IFERROR(__xludf.DUMMYFUNCTION("""COMPUTED_VALUE"""),"Australia")</f>
        <v>Australia</v>
      </c>
      <c r="D753">
        <f>IFERROR(__xludf.DUMMYFUNCTION("""COMPUTED_VALUE"""),1971.0)</f>
        <v>1971</v>
      </c>
      <c r="E753">
        <f>IFERROR(__xludf.DUMMYFUNCTION("""COMPUTED_VALUE"""),1.3084157E7)</f>
        <v>13084157</v>
      </c>
    </row>
    <row r="754">
      <c r="A754" t="str">
        <f t="shared" si="1"/>
        <v>aus#1972</v>
      </c>
      <c r="B754" t="str">
        <f>IFERROR(__xludf.DUMMYFUNCTION("""COMPUTED_VALUE"""),"aus")</f>
        <v>aus</v>
      </c>
      <c r="C754" t="str">
        <f>IFERROR(__xludf.DUMMYFUNCTION("""COMPUTED_VALUE"""),"Australia")</f>
        <v>Australia</v>
      </c>
      <c r="D754">
        <f>IFERROR(__xludf.DUMMYFUNCTION("""COMPUTED_VALUE"""),1972.0)</f>
        <v>1972</v>
      </c>
      <c r="E754">
        <f>IFERROR(__xludf.DUMMYFUNCTION("""COMPUTED_VALUE"""),1.3296872E7)</f>
        <v>13296872</v>
      </c>
    </row>
    <row r="755">
      <c r="A755" t="str">
        <f t="shared" si="1"/>
        <v>aus#1973</v>
      </c>
      <c r="B755" t="str">
        <f>IFERROR(__xludf.DUMMYFUNCTION("""COMPUTED_VALUE"""),"aus")</f>
        <v>aus</v>
      </c>
      <c r="C755" t="str">
        <f>IFERROR(__xludf.DUMMYFUNCTION("""COMPUTED_VALUE"""),"Australia")</f>
        <v>Australia</v>
      </c>
      <c r="D755">
        <f>IFERROR(__xludf.DUMMYFUNCTION("""COMPUTED_VALUE"""),1973.0)</f>
        <v>1973</v>
      </c>
      <c r="E755">
        <f>IFERROR(__xludf.DUMMYFUNCTION("""COMPUTED_VALUE"""),1.3486438E7)</f>
        <v>13486438</v>
      </c>
    </row>
    <row r="756">
      <c r="A756" t="str">
        <f t="shared" si="1"/>
        <v>aus#1974</v>
      </c>
      <c r="B756" t="str">
        <f>IFERROR(__xludf.DUMMYFUNCTION("""COMPUTED_VALUE"""),"aus")</f>
        <v>aus</v>
      </c>
      <c r="C756" t="str">
        <f>IFERROR(__xludf.DUMMYFUNCTION("""COMPUTED_VALUE"""),"Australia")</f>
        <v>Australia</v>
      </c>
      <c r="D756">
        <f>IFERROR(__xludf.DUMMYFUNCTION("""COMPUTED_VALUE"""),1974.0)</f>
        <v>1974</v>
      </c>
      <c r="E756">
        <f>IFERROR(__xludf.DUMMYFUNCTION("""COMPUTED_VALUE"""),1.3662048E7)</f>
        <v>13662048</v>
      </c>
    </row>
    <row r="757">
      <c r="A757" t="str">
        <f t="shared" si="1"/>
        <v>aus#1975</v>
      </c>
      <c r="B757" t="str">
        <f>IFERROR(__xludf.DUMMYFUNCTION("""COMPUTED_VALUE"""),"aus")</f>
        <v>aus</v>
      </c>
      <c r="C757" t="str">
        <f>IFERROR(__xludf.DUMMYFUNCTION("""COMPUTED_VALUE"""),"Australia")</f>
        <v>Australia</v>
      </c>
      <c r="D757">
        <f>IFERROR(__xludf.DUMMYFUNCTION("""COMPUTED_VALUE"""),1975.0)</f>
        <v>1975</v>
      </c>
      <c r="E757">
        <f>IFERROR(__xludf.DUMMYFUNCTION("""COMPUTED_VALUE"""),1.3831206E7)</f>
        <v>13831206</v>
      </c>
    </row>
    <row r="758">
      <c r="A758" t="str">
        <f t="shared" si="1"/>
        <v>aus#1976</v>
      </c>
      <c r="B758" t="str">
        <f>IFERROR(__xludf.DUMMYFUNCTION("""COMPUTED_VALUE"""),"aus")</f>
        <v>aus</v>
      </c>
      <c r="C758" t="str">
        <f>IFERROR(__xludf.DUMMYFUNCTION("""COMPUTED_VALUE"""),"Australia")</f>
        <v>Australia</v>
      </c>
      <c r="D758">
        <f>IFERROR(__xludf.DUMMYFUNCTION("""COMPUTED_VALUE"""),1976.0)</f>
        <v>1976</v>
      </c>
      <c r="E758">
        <f>IFERROR(__xludf.DUMMYFUNCTION("""COMPUTED_VALUE"""),1.3994623E7)</f>
        <v>13994623</v>
      </c>
    </row>
    <row r="759">
      <c r="A759" t="str">
        <f t="shared" si="1"/>
        <v>aus#1977</v>
      </c>
      <c r="B759" t="str">
        <f>IFERROR(__xludf.DUMMYFUNCTION("""COMPUTED_VALUE"""),"aus")</f>
        <v>aus</v>
      </c>
      <c r="C759" t="str">
        <f>IFERROR(__xludf.DUMMYFUNCTION("""COMPUTED_VALUE"""),"Australia")</f>
        <v>Australia</v>
      </c>
      <c r="D759">
        <f>IFERROR(__xludf.DUMMYFUNCTION("""COMPUTED_VALUE"""),1977.0)</f>
        <v>1977</v>
      </c>
      <c r="E759">
        <f>IFERROR(__xludf.DUMMYFUNCTION("""COMPUTED_VALUE"""),1.4152065E7)</f>
        <v>14152065</v>
      </c>
    </row>
    <row r="760">
      <c r="A760" t="str">
        <f t="shared" si="1"/>
        <v>aus#1978</v>
      </c>
      <c r="B760" t="str">
        <f>IFERROR(__xludf.DUMMYFUNCTION("""COMPUTED_VALUE"""),"aus")</f>
        <v>aus</v>
      </c>
      <c r="C760" t="str">
        <f>IFERROR(__xludf.DUMMYFUNCTION("""COMPUTED_VALUE"""),"Australia")</f>
        <v>Australia</v>
      </c>
      <c r="D760">
        <f>IFERROR(__xludf.DUMMYFUNCTION("""COMPUTED_VALUE"""),1978.0)</f>
        <v>1978</v>
      </c>
      <c r="E760">
        <f>IFERROR(__xludf.DUMMYFUNCTION("""COMPUTED_VALUE"""),1.4309298E7)</f>
        <v>14309298</v>
      </c>
    </row>
    <row r="761">
      <c r="A761" t="str">
        <f t="shared" si="1"/>
        <v>aus#1979</v>
      </c>
      <c r="B761" t="str">
        <f>IFERROR(__xludf.DUMMYFUNCTION("""COMPUTED_VALUE"""),"aus")</f>
        <v>aus</v>
      </c>
      <c r="C761" t="str">
        <f>IFERROR(__xludf.DUMMYFUNCTION("""COMPUTED_VALUE"""),"Australia")</f>
        <v>Australia</v>
      </c>
      <c r="D761">
        <f>IFERROR(__xludf.DUMMYFUNCTION("""COMPUTED_VALUE"""),1979.0)</f>
        <v>1979</v>
      </c>
      <c r="E761">
        <f>IFERROR(__xludf.DUMMYFUNCTION("""COMPUTED_VALUE"""),1.4473242E7)</f>
        <v>14473242</v>
      </c>
    </row>
    <row r="762">
      <c r="A762" t="str">
        <f t="shared" si="1"/>
        <v>aus#1980</v>
      </c>
      <c r="B762" t="str">
        <f>IFERROR(__xludf.DUMMYFUNCTION("""COMPUTED_VALUE"""),"aus")</f>
        <v>aus</v>
      </c>
      <c r="C762" t="str">
        <f>IFERROR(__xludf.DUMMYFUNCTION("""COMPUTED_VALUE"""),"Australia")</f>
        <v>Australia</v>
      </c>
      <c r="D762">
        <f>IFERROR(__xludf.DUMMYFUNCTION("""COMPUTED_VALUE"""),1980.0)</f>
        <v>1980</v>
      </c>
      <c r="E762">
        <f>IFERROR(__xludf.DUMMYFUNCTION("""COMPUTED_VALUE"""),1.4649114E7)</f>
        <v>14649114</v>
      </c>
    </row>
    <row r="763">
      <c r="A763" t="str">
        <f t="shared" si="1"/>
        <v>aus#1981</v>
      </c>
      <c r="B763" t="str">
        <f>IFERROR(__xludf.DUMMYFUNCTION("""COMPUTED_VALUE"""),"aus")</f>
        <v>aus</v>
      </c>
      <c r="C763" t="str">
        <f>IFERROR(__xludf.DUMMYFUNCTION("""COMPUTED_VALUE"""),"Australia")</f>
        <v>Australia</v>
      </c>
      <c r="D763">
        <f>IFERROR(__xludf.DUMMYFUNCTION("""COMPUTED_VALUE"""),1981.0)</f>
        <v>1981</v>
      </c>
      <c r="E763">
        <f>IFERROR(__xludf.DUMMYFUNCTION("""COMPUTED_VALUE"""),1.4838494E7)</f>
        <v>14838494</v>
      </c>
    </row>
    <row r="764">
      <c r="A764" t="str">
        <f t="shared" si="1"/>
        <v>aus#1982</v>
      </c>
      <c r="B764" t="str">
        <f>IFERROR(__xludf.DUMMYFUNCTION("""COMPUTED_VALUE"""),"aus")</f>
        <v>aus</v>
      </c>
      <c r="C764" t="str">
        <f>IFERROR(__xludf.DUMMYFUNCTION("""COMPUTED_VALUE"""),"Australia")</f>
        <v>Australia</v>
      </c>
      <c r="D764">
        <f>IFERROR(__xludf.DUMMYFUNCTION("""COMPUTED_VALUE"""),1982.0)</f>
        <v>1982</v>
      </c>
      <c r="E764">
        <f>IFERROR(__xludf.DUMMYFUNCTION("""COMPUTED_VALUE"""),1.5041065E7)</f>
        <v>15041065</v>
      </c>
    </row>
    <row r="765">
      <c r="A765" t="str">
        <f t="shared" si="1"/>
        <v>aus#1983</v>
      </c>
      <c r="B765" t="str">
        <f>IFERROR(__xludf.DUMMYFUNCTION("""COMPUTED_VALUE"""),"aus")</f>
        <v>aus</v>
      </c>
      <c r="C765" t="str">
        <f>IFERROR(__xludf.DUMMYFUNCTION("""COMPUTED_VALUE"""),"Australia")</f>
        <v>Australia</v>
      </c>
      <c r="D765">
        <f>IFERROR(__xludf.DUMMYFUNCTION("""COMPUTED_VALUE"""),1983.0)</f>
        <v>1983</v>
      </c>
      <c r="E765">
        <f>IFERROR(__xludf.DUMMYFUNCTION("""COMPUTED_VALUE"""),1.5257358E7)</f>
        <v>15257358</v>
      </c>
    </row>
    <row r="766">
      <c r="A766" t="str">
        <f t="shared" si="1"/>
        <v>aus#1984</v>
      </c>
      <c r="B766" t="str">
        <f>IFERROR(__xludf.DUMMYFUNCTION("""COMPUTED_VALUE"""),"aus")</f>
        <v>aus</v>
      </c>
      <c r="C766" t="str">
        <f>IFERROR(__xludf.DUMMYFUNCTION("""COMPUTED_VALUE"""),"Australia")</f>
        <v>Australia</v>
      </c>
      <c r="D766">
        <f>IFERROR(__xludf.DUMMYFUNCTION("""COMPUTED_VALUE"""),1984.0)</f>
        <v>1984</v>
      </c>
      <c r="E766">
        <f>IFERROR(__xludf.DUMMYFUNCTION("""COMPUTED_VALUE"""),1.5487214E7)</f>
        <v>15487214</v>
      </c>
    </row>
    <row r="767">
      <c r="A767" t="str">
        <f t="shared" si="1"/>
        <v>aus#1985</v>
      </c>
      <c r="B767" t="str">
        <f>IFERROR(__xludf.DUMMYFUNCTION("""COMPUTED_VALUE"""),"aus")</f>
        <v>aus</v>
      </c>
      <c r="C767" t="str">
        <f>IFERROR(__xludf.DUMMYFUNCTION("""COMPUTED_VALUE"""),"Australia")</f>
        <v>Australia</v>
      </c>
      <c r="D767">
        <f>IFERROR(__xludf.DUMMYFUNCTION("""COMPUTED_VALUE"""),1985.0)</f>
        <v>1985</v>
      </c>
      <c r="E767">
        <f>IFERROR(__xludf.DUMMYFUNCTION("""COMPUTED_VALUE"""),1.5729643E7)</f>
        <v>15729643</v>
      </c>
    </row>
    <row r="768">
      <c r="A768" t="str">
        <f t="shared" si="1"/>
        <v>aus#1986</v>
      </c>
      <c r="B768" t="str">
        <f>IFERROR(__xludf.DUMMYFUNCTION("""COMPUTED_VALUE"""),"aus")</f>
        <v>aus</v>
      </c>
      <c r="C768" t="str">
        <f>IFERROR(__xludf.DUMMYFUNCTION("""COMPUTED_VALUE"""),"Australia")</f>
        <v>Australia</v>
      </c>
      <c r="D768">
        <f>IFERROR(__xludf.DUMMYFUNCTION("""COMPUTED_VALUE"""),1986.0)</f>
        <v>1986</v>
      </c>
      <c r="E768">
        <f>IFERROR(__xludf.DUMMYFUNCTION("""COMPUTED_VALUE"""),1.5986164E7)</f>
        <v>15986164</v>
      </c>
    </row>
    <row r="769">
      <c r="A769" t="str">
        <f t="shared" si="1"/>
        <v>aus#1987</v>
      </c>
      <c r="B769" t="str">
        <f>IFERROR(__xludf.DUMMYFUNCTION("""COMPUTED_VALUE"""),"aus")</f>
        <v>aus</v>
      </c>
      <c r="C769" t="str">
        <f>IFERROR(__xludf.DUMMYFUNCTION("""COMPUTED_VALUE"""),"Australia")</f>
        <v>Australia</v>
      </c>
      <c r="D769">
        <f>IFERROR(__xludf.DUMMYFUNCTION("""COMPUTED_VALUE"""),1987.0)</f>
        <v>1987</v>
      </c>
      <c r="E769">
        <f>IFERROR(__xludf.DUMMYFUNCTION("""COMPUTED_VALUE"""),1.6254935E7)</f>
        <v>16254935</v>
      </c>
    </row>
    <row r="770">
      <c r="A770" t="str">
        <f t="shared" si="1"/>
        <v>aus#1988</v>
      </c>
      <c r="B770" t="str">
        <f>IFERROR(__xludf.DUMMYFUNCTION("""COMPUTED_VALUE"""),"aus")</f>
        <v>aus</v>
      </c>
      <c r="C770" t="str">
        <f>IFERROR(__xludf.DUMMYFUNCTION("""COMPUTED_VALUE"""),"Australia")</f>
        <v>Australia</v>
      </c>
      <c r="D770">
        <f>IFERROR(__xludf.DUMMYFUNCTION("""COMPUTED_VALUE"""),1988.0)</f>
        <v>1988</v>
      </c>
      <c r="E770">
        <f>IFERROR(__xludf.DUMMYFUNCTION("""COMPUTED_VALUE"""),1.652743E7)</f>
        <v>16527430</v>
      </c>
    </row>
    <row r="771">
      <c r="A771" t="str">
        <f t="shared" si="1"/>
        <v>aus#1989</v>
      </c>
      <c r="B771" t="str">
        <f>IFERROR(__xludf.DUMMYFUNCTION("""COMPUTED_VALUE"""),"aus")</f>
        <v>aus</v>
      </c>
      <c r="C771" t="str">
        <f>IFERROR(__xludf.DUMMYFUNCTION("""COMPUTED_VALUE"""),"Australia")</f>
        <v>Australia</v>
      </c>
      <c r="D771">
        <f>IFERROR(__xludf.DUMMYFUNCTION("""COMPUTED_VALUE"""),1989.0)</f>
        <v>1989</v>
      </c>
      <c r="E771">
        <f>IFERROR(__xludf.DUMMYFUNCTION("""COMPUTED_VALUE"""),1.6792294E7)</f>
        <v>16792294</v>
      </c>
    </row>
    <row r="772">
      <c r="A772" t="str">
        <f t="shared" si="1"/>
        <v>aus#1990</v>
      </c>
      <c r="B772" t="str">
        <f>IFERROR(__xludf.DUMMYFUNCTION("""COMPUTED_VALUE"""),"aus")</f>
        <v>aus</v>
      </c>
      <c r="C772" t="str">
        <f>IFERROR(__xludf.DUMMYFUNCTION("""COMPUTED_VALUE"""),"Australia")</f>
        <v>Australia</v>
      </c>
      <c r="D772">
        <f>IFERROR(__xludf.DUMMYFUNCTION("""COMPUTED_VALUE"""),1990.0)</f>
        <v>1990</v>
      </c>
      <c r="E772">
        <f>IFERROR(__xludf.DUMMYFUNCTION("""COMPUTED_VALUE"""),1.7041431E7)</f>
        <v>17041431</v>
      </c>
    </row>
    <row r="773">
      <c r="A773" t="str">
        <f t="shared" si="1"/>
        <v>aus#1991</v>
      </c>
      <c r="B773" t="str">
        <f>IFERROR(__xludf.DUMMYFUNCTION("""COMPUTED_VALUE"""),"aus")</f>
        <v>aus</v>
      </c>
      <c r="C773" t="str">
        <f>IFERROR(__xludf.DUMMYFUNCTION("""COMPUTED_VALUE"""),"Australia")</f>
        <v>Australia</v>
      </c>
      <c r="D773">
        <f>IFERROR(__xludf.DUMMYFUNCTION("""COMPUTED_VALUE"""),1991.0)</f>
        <v>1991</v>
      </c>
      <c r="E773">
        <f>IFERROR(__xludf.DUMMYFUNCTION("""COMPUTED_VALUE"""),1.7271874E7)</f>
        <v>17271874</v>
      </c>
    </row>
    <row r="774">
      <c r="A774" t="str">
        <f t="shared" si="1"/>
        <v>aus#1992</v>
      </c>
      <c r="B774" t="str">
        <f>IFERROR(__xludf.DUMMYFUNCTION("""COMPUTED_VALUE"""),"aus")</f>
        <v>aus</v>
      </c>
      <c r="C774" t="str">
        <f>IFERROR(__xludf.DUMMYFUNCTION("""COMPUTED_VALUE"""),"Australia")</f>
        <v>Australia</v>
      </c>
      <c r="D774">
        <f>IFERROR(__xludf.DUMMYFUNCTION("""COMPUTED_VALUE"""),1992.0)</f>
        <v>1992</v>
      </c>
      <c r="E774">
        <f>IFERROR(__xludf.DUMMYFUNCTION("""COMPUTED_VALUE"""),1.7485948E7)</f>
        <v>17485948</v>
      </c>
    </row>
    <row r="775">
      <c r="A775" t="str">
        <f t="shared" si="1"/>
        <v>aus#1993</v>
      </c>
      <c r="B775" t="str">
        <f>IFERROR(__xludf.DUMMYFUNCTION("""COMPUTED_VALUE"""),"aus")</f>
        <v>aus</v>
      </c>
      <c r="C775" t="str">
        <f>IFERROR(__xludf.DUMMYFUNCTION("""COMPUTED_VALUE"""),"Australia")</f>
        <v>Australia</v>
      </c>
      <c r="D775">
        <f>IFERROR(__xludf.DUMMYFUNCTION("""COMPUTED_VALUE"""),1993.0)</f>
        <v>1993</v>
      </c>
      <c r="E775">
        <f>IFERROR(__xludf.DUMMYFUNCTION("""COMPUTED_VALUE"""),1.7687479E7)</f>
        <v>17687479</v>
      </c>
    </row>
    <row r="776">
      <c r="A776" t="str">
        <f t="shared" si="1"/>
        <v>aus#1994</v>
      </c>
      <c r="B776" t="str">
        <f>IFERROR(__xludf.DUMMYFUNCTION("""COMPUTED_VALUE"""),"aus")</f>
        <v>aus</v>
      </c>
      <c r="C776" t="str">
        <f>IFERROR(__xludf.DUMMYFUNCTION("""COMPUTED_VALUE"""),"Australia")</f>
        <v>Australia</v>
      </c>
      <c r="D776">
        <f>IFERROR(__xludf.DUMMYFUNCTION("""COMPUTED_VALUE"""),1994.0)</f>
        <v>1994</v>
      </c>
      <c r="E776">
        <f>IFERROR(__xludf.DUMMYFUNCTION("""COMPUTED_VALUE"""),1.7882737E7)</f>
        <v>17882737</v>
      </c>
    </row>
    <row r="777">
      <c r="A777" t="str">
        <f t="shared" si="1"/>
        <v>aus#1995</v>
      </c>
      <c r="B777" t="str">
        <f>IFERROR(__xludf.DUMMYFUNCTION("""COMPUTED_VALUE"""),"aus")</f>
        <v>aus</v>
      </c>
      <c r="C777" t="str">
        <f>IFERROR(__xludf.DUMMYFUNCTION("""COMPUTED_VALUE"""),"Australia")</f>
        <v>Australia</v>
      </c>
      <c r="D777">
        <f>IFERROR(__xludf.DUMMYFUNCTION("""COMPUTED_VALUE"""),1995.0)</f>
        <v>1995</v>
      </c>
      <c r="E777">
        <f>IFERROR(__xludf.DUMMYFUNCTION("""COMPUTED_VALUE"""),1.8076743E7)</f>
        <v>18076743</v>
      </c>
    </row>
    <row r="778">
      <c r="A778" t="str">
        <f t="shared" si="1"/>
        <v>aus#1996</v>
      </c>
      <c r="B778" t="str">
        <f>IFERROR(__xludf.DUMMYFUNCTION("""COMPUTED_VALUE"""),"aus")</f>
        <v>aus</v>
      </c>
      <c r="C778" t="str">
        <f>IFERROR(__xludf.DUMMYFUNCTION("""COMPUTED_VALUE"""),"Australia")</f>
        <v>Australia</v>
      </c>
      <c r="D778">
        <f>IFERROR(__xludf.DUMMYFUNCTION("""COMPUTED_VALUE"""),1996.0)</f>
        <v>1996</v>
      </c>
      <c r="E778">
        <f>IFERROR(__xludf.DUMMYFUNCTION("""COMPUTED_VALUE"""),1.8271685E7)</f>
        <v>18271685</v>
      </c>
    </row>
    <row r="779">
      <c r="A779" t="str">
        <f t="shared" si="1"/>
        <v>aus#1997</v>
      </c>
      <c r="B779" t="str">
        <f>IFERROR(__xludf.DUMMYFUNCTION("""COMPUTED_VALUE"""),"aus")</f>
        <v>aus</v>
      </c>
      <c r="C779" t="str">
        <f>IFERROR(__xludf.DUMMYFUNCTION("""COMPUTED_VALUE"""),"Australia")</f>
        <v>Australia</v>
      </c>
      <c r="D779">
        <f>IFERROR(__xludf.DUMMYFUNCTION("""COMPUTED_VALUE"""),1997.0)</f>
        <v>1997</v>
      </c>
      <c r="E779">
        <f>IFERROR(__xludf.DUMMYFUNCTION("""COMPUTED_VALUE"""),1.8467588E7)</f>
        <v>18467588</v>
      </c>
    </row>
    <row r="780">
      <c r="A780" t="str">
        <f t="shared" si="1"/>
        <v>aus#1998</v>
      </c>
      <c r="B780" t="str">
        <f>IFERROR(__xludf.DUMMYFUNCTION("""COMPUTED_VALUE"""),"aus")</f>
        <v>aus</v>
      </c>
      <c r="C780" t="str">
        <f>IFERROR(__xludf.DUMMYFUNCTION("""COMPUTED_VALUE"""),"Australia")</f>
        <v>Australia</v>
      </c>
      <c r="D780">
        <f>IFERROR(__xludf.DUMMYFUNCTION("""COMPUTED_VALUE"""),1998.0)</f>
        <v>1998</v>
      </c>
      <c r="E780">
        <f>IFERROR(__xludf.DUMMYFUNCTION("""COMPUTED_VALUE"""),1.8665045E7)</f>
        <v>18665045</v>
      </c>
    </row>
    <row r="781">
      <c r="A781" t="str">
        <f t="shared" si="1"/>
        <v>aus#1999</v>
      </c>
      <c r="B781" t="str">
        <f>IFERROR(__xludf.DUMMYFUNCTION("""COMPUTED_VALUE"""),"aus")</f>
        <v>aus</v>
      </c>
      <c r="C781" t="str">
        <f>IFERROR(__xludf.DUMMYFUNCTION("""COMPUTED_VALUE"""),"Australia")</f>
        <v>Australia</v>
      </c>
      <c r="D781">
        <f>IFERROR(__xludf.DUMMYFUNCTION("""COMPUTED_VALUE"""),1999.0)</f>
        <v>1999</v>
      </c>
      <c r="E781">
        <f>IFERROR(__xludf.DUMMYFUNCTION("""COMPUTED_VALUE"""),1.8864112E7)</f>
        <v>18864112</v>
      </c>
    </row>
    <row r="782">
      <c r="A782" t="str">
        <f t="shared" si="1"/>
        <v>aus#2000</v>
      </c>
      <c r="B782" t="str">
        <f>IFERROR(__xludf.DUMMYFUNCTION("""COMPUTED_VALUE"""),"aus")</f>
        <v>aus</v>
      </c>
      <c r="C782" t="str">
        <f>IFERROR(__xludf.DUMMYFUNCTION("""COMPUTED_VALUE"""),"Australia")</f>
        <v>Australia</v>
      </c>
      <c r="D782">
        <f>IFERROR(__xludf.DUMMYFUNCTION("""COMPUTED_VALUE"""),2000.0)</f>
        <v>2000</v>
      </c>
      <c r="E782">
        <f>IFERROR(__xludf.DUMMYFUNCTION("""COMPUTED_VALUE"""),1.9065837E7)</f>
        <v>19065837</v>
      </c>
    </row>
    <row r="783">
      <c r="A783" t="str">
        <f t="shared" si="1"/>
        <v>aus#2001</v>
      </c>
      <c r="B783" t="str">
        <f>IFERROR(__xludf.DUMMYFUNCTION("""COMPUTED_VALUE"""),"aus")</f>
        <v>aus</v>
      </c>
      <c r="C783" t="str">
        <f>IFERROR(__xludf.DUMMYFUNCTION("""COMPUTED_VALUE"""),"Australia")</f>
        <v>Australia</v>
      </c>
      <c r="D783">
        <f>IFERROR(__xludf.DUMMYFUNCTION("""COMPUTED_VALUE"""),2001.0)</f>
        <v>2001</v>
      </c>
      <c r="E783">
        <f>IFERROR(__xludf.DUMMYFUNCTION("""COMPUTED_VALUE"""),1.9268533E7)</f>
        <v>19268533</v>
      </c>
    </row>
    <row r="784">
      <c r="A784" t="str">
        <f t="shared" si="1"/>
        <v>aus#2002</v>
      </c>
      <c r="B784" t="str">
        <f>IFERROR(__xludf.DUMMYFUNCTION("""COMPUTED_VALUE"""),"aus")</f>
        <v>aus</v>
      </c>
      <c r="C784" t="str">
        <f>IFERROR(__xludf.DUMMYFUNCTION("""COMPUTED_VALUE"""),"Australia")</f>
        <v>Australia</v>
      </c>
      <c r="D784">
        <f>IFERROR(__xludf.DUMMYFUNCTION("""COMPUTED_VALUE"""),2002.0)</f>
        <v>2002</v>
      </c>
      <c r="E784">
        <f>IFERROR(__xludf.DUMMYFUNCTION("""COMPUTED_VALUE"""),1.9475191E7)</f>
        <v>19475191</v>
      </c>
    </row>
    <row r="785">
      <c r="A785" t="str">
        <f t="shared" si="1"/>
        <v>aus#2003</v>
      </c>
      <c r="B785" t="str">
        <f>IFERROR(__xludf.DUMMYFUNCTION("""COMPUTED_VALUE"""),"aus")</f>
        <v>aus</v>
      </c>
      <c r="C785" t="str">
        <f>IFERROR(__xludf.DUMMYFUNCTION("""COMPUTED_VALUE"""),"Australia")</f>
        <v>Australia</v>
      </c>
      <c r="D785">
        <f>IFERROR(__xludf.DUMMYFUNCTION("""COMPUTED_VALUE"""),2003.0)</f>
        <v>2003</v>
      </c>
      <c r="E785">
        <f>IFERROR(__xludf.DUMMYFUNCTION("""COMPUTED_VALUE"""),1.9696972E7)</f>
        <v>19696972</v>
      </c>
    </row>
    <row r="786">
      <c r="A786" t="str">
        <f t="shared" si="1"/>
        <v>aus#2004</v>
      </c>
      <c r="B786" t="str">
        <f>IFERROR(__xludf.DUMMYFUNCTION("""COMPUTED_VALUE"""),"aus")</f>
        <v>aus</v>
      </c>
      <c r="C786" t="str">
        <f>IFERROR(__xludf.DUMMYFUNCTION("""COMPUTED_VALUE"""),"Australia")</f>
        <v>Australia</v>
      </c>
      <c r="D786">
        <f>IFERROR(__xludf.DUMMYFUNCTION("""COMPUTED_VALUE"""),2004.0)</f>
        <v>2004</v>
      </c>
      <c r="E786">
        <f>IFERROR(__xludf.DUMMYFUNCTION("""COMPUTED_VALUE"""),1.9948429E7)</f>
        <v>19948429</v>
      </c>
    </row>
    <row r="787">
      <c r="A787" t="str">
        <f t="shared" si="1"/>
        <v>aus#2005</v>
      </c>
      <c r="B787" t="str">
        <f>IFERROR(__xludf.DUMMYFUNCTION("""COMPUTED_VALUE"""),"aus")</f>
        <v>aus</v>
      </c>
      <c r="C787" t="str">
        <f>IFERROR(__xludf.DUMMYFUNCTION("""COMPUTED_VALUE"""),"Australia")</f>
        <v>Australia</v>
      </c>
      <c r="D787">
        <f>IFERROR(__xludf.DUMMYFUNCTION("""COMPUTED_VALUE"""),2005.0)</f>
        <v>2005</v>
      </c>
      <c r="E787">
        <f>IFERROR(__xludf.DUMMYFUNCTION("""COMPUTED_VALUE"""),2.0238903E7)</f>
        <v>20238903</v>
      </c>
    </row>
    <row r="788">
      <c r="A788" t="str">
        <f t="shared" si="1"/>
        <v>aus#2006</v>
      </c>
      <c r="B788" t="str">
        <f>IFERROR(__xludf.DUMMYFUNCTION("""COMPUTED_VALUE"""),"aus")</f>
        <v>aus</v>
      </c>
      <c r="C788" t="str">
        <f>IFERROR(__xludf.DUMMYFUNCTION("""COMPUTED_VALUE"""),"Australia")</f>
        <v>Australia</v>
      </c>
      <c r="D788">
        <f>IFERROR(__xludf.DUMMYFUNCTION("""COMPUTED_VALUE"""),2006.0)</f>
        <v>2006</v>
      </c>
      <c r="E788">
        <f>IFERROR(__xludf.DUMMYFUNCTION("""COMPUTED_VALUE"""),2.0573606E7)</f>
        <v>20573606</v>
      </c>
    </row>
    <row r="789">
      <c r="A789" t="str">
        <f t="shared" si="1"/>
        <v>aus#2007</v>
      </c>
      <c r="B789" t="str">
        <f>IFERROR(__xludf.DUMMYFUNCTION("""COMPUTED_VALUE"""),"aus")</f>
        <v>aus</v>
      </c>
      <c r="C789" t="str">
        <f>IFERROR(__xludf.DUMMYFUNCTION("""COMPUTED_VALUE"""),"Australia")</f>
        <v>Australia</v>
      </c>
      <c r="D789">
        <f>IFERROR(__xludf.DUMMYFUNCTION("""COMPUTED_VALUE"""),2007.0)</f>
        <v>2007</v>
      </c>
      <c r="E789">
        <f>IFERROR(__xludf.DUMMYFUNCTION("""COMPUTED_VALUE"""),2.0946664E7)</f>
        <v>20946664</v>
      </c>
    </row>
    <row r="790">
      <c r="A790" t="str">
        <f t="shared" si="1"/>
        <v>aus#2008</v>
      </c>
      <c r="B790" t="str">
        <f>IFERROR(__xludf.DUMMYFUNCTION("""COMPUTED_VALUE"""),"aus")</f>
        <v>aus</v>
      </c>
      <c r="C790" t="str">
        <f>IFERROR(__xludf.DUMMYFUNCTION("""COMPUTED_VALUE"""),"Australia")</f>
        <v>Australia</v>
      </c>
      <c r="D790">
        <f>IFERROR(__xludf.DUMMYFUNCTION("""COMPUTED_VALUE"""),2008.0)</f>
        <v>2008</v>
      </c>
      <c r="E790">
        <f>IFERROR(__xludf.DUMMYFUNCTION("""COMPUTED_VALUE"""),2.1342493E7)</f>
        <v>21342493</v>
      </c>
    </row>
    <row r="791">
      <c r="A791" t="str">
        <f t="shared" si="1"/>
        <v>aus#2009</v>
      </c>
      <c r="B791" t="str">
        <f>IFERROR(__xludf.DUMMYFUNCTION("""COMPUTED_VALUE"""),"aus")</f>
        <v>aus</v>
      </c>
      <c r="C791" t="str">
        <f>IFERROR(__xludf.DUMMYFUNCTION("""COMPUTED_VALUE"""),"Australia")</f>
        <v>Australia</v>
      </c>
      <c r="D791">
        <f>IFERROR(__xludf.DUMMYFUNCTION("""COMPUTED_VALUE"""),2009.0)</f>
        <v>2009</v>
      </c>
      <c r="E791">
        <f>IFERROR(__xludf.DUMMYFUNCTION("""COMPUTED_VALUE"""),2.173904E7)</f>
        <v>21739040</v>
      </c>
    </row>
    <row r="792">
      <c r="A792" t="str">
        <f t="shared" si="1"/>
        <v>aus#2010</v>
      </c>
      <c r="B792" t="str">
        <f>IFERROR(__xludf.DUMMYFUNCTION("""COMPUTED_VALUE"""),"aus")</f>
        <v>aus</v>
      </c>
      <c r="C792" t="str">
        <f>IFERROR(__xludf.DUMMYFUNCTION("""COMPUTED_VALUE"""),"Australia")</f>
        <v>Australia</v>
      </c>
      <c r="D792">
        <f>IFERROR(__xludf.DUMMYFUNCTION("""COMPUTED_VALUE"""),2010.0)</f>
        <v>2010</v>
      </c>
      <c r="E792">
        <f>IFERROR(__xludf.DUMMYFUNCTION("""COMPUTED_VALUE"""),2.2120064E7)</f>
        <v>22120064</v>
      </c>
    </row>
    <row r="793">
      <c r="A793" t="str">
        <f t="shared" si="1"/>
        <v>aus#2011</v>
      </c>
      <c r="B793" t="str">
        <f>IFERROR(__xludf.DUMMYFUNCTION("""COMPUTED_VALUE"""),"aus")</f>
        <v>aus</v>
      </c>
      <c r="C793" t="str">
        <f>IFERROR(__xludf.DUMMYFUNCTION("""COMPUTED_VALUE"""),"Australia")</f>
        <v>Australia</v>
      </c>
      <c r="D793">
        <f>IFERROR(__xludf.DUMMYFUNCTION("""COMPUTED_VALUE"""),2011.0)</f>
        <v>2011</v>
      </c>
      <c r="E793">
        <f>IFERROR(__xludf.DUMMYFUNCTION("""COMPUTED_VALUE"""),2.2479799E7)</f>
        <v>22479799</v>
      </c>
    </row>
    <row r="794">
      <c r="A794" t="str">
        <f t="shared" si="1"/>
        <v>aus#2012</v>
      </c>
      <c r="B794" t="str">
        <f>IFERROR(__xludf.DUMMYFUNCTION("""COMPUTED_VALUE"""),"aus")</f>
        <v>aus</v>
      </c>
      <c r="C794" t="str">
        <f>IFERROR(__xludf.DUMMYFUNCTION("""COMPUTED_VALUE"""),"Australia")</f>
        <v>Australia</v>
      </c>
      <c r="D794">
        <f>IFERROR(__xludf.DUMMYFUNCTION("""COMPUTED_VALUE"""),2012.0)</f>
        <v>2012</v>
      </c>
      <c r="E794">
        <f>IFERROR(__xludf.DUMMYFUNCTION("""COMPUTED_VALUE"""),2.2821849E7)</f>
        <v>22821849</v>
      </c>
    </row>
    <row r="795">
      <c r="A795" t="str">
        <f t="shared" si="1"/>
        <v>aus#2013</v>
      </c>
      <c r="B795" t="str">
        <f>IFERROR(__xludf.DUMMYFUNCTION("""COMPUTED_VALUE"""),"aus")</f>
        <v>aus</v>
      </c>
      <c r="C795" t="str">
        <f>IFERROR(__xludf.DUMMYFUNCTION("""COMPUTED_VALUE"""),"Australia")</f>
        <v>Australia</v>
      </c>
      <c r="D795">
        <f>IFERROR(__xludf.DUMMYFUNCTION("""COMPUTED_VALUE"""),2013.0)</f>
        <v>2013</v>
      </c>
      <c r="E795">
        <f>IFERROR(__xludf.DUMMYFUNCTION("""COMPUTED_VALUE"""),2.3150729E7)</f>
        <v>23150729</v>
      </c>
    </row>
    <row r="796">
      <c r="A796" t="str">
        <f t="shared" si="1"/>
        <v>aus#2014</v>
      </c>
      <c r="B796" t="str">
        <f>IFERROR(__xludf.DUMMYFUNCTION("""COMPUTED_VALUE"""),"aus")</f>
        <v>aus</v>
      </c>
      <c r="C796" t="str">
        <f>IFERROR(__xludf.DUMMYFUNCTION("""COMPUTED_VALUE"""),"Australia")</f>
        <v>Australia</v>
      </c>
      <c r="D796">
        <f>IFERROR(__xludf.DUMMYFUNCTION("""COMPUTED_VALUE"""),2014.0)</f>
        <v>2014</v>
      </c>
      <c r="E796">
        <f>IFERROR(__xludf.DUMMYFUNCTION("""COMPUTED_VALUE"""),2.3474668E7)</f>
        <v>23474668</v>
      </c>
    </row>
    <row r="797">
      <c r="A797" t="str">
        <f t="shared" si="1"/>
        <v>aus#2015</v>
      </c>
      <c r="B797" t="str">
        <f>IFERROR(__xludf.DUMMYFUNCTION("""COMPUTED_VALUE"""),"aus")</f>
        <v>aus</v>
      </c>
      <c r="C797" t="str">
        <f>IFERROR(__xludf.DUMMYFUNCTION("""COMPUTED_VALUE"""),"Australia")</f>
        <v>Australia</v>
      </c>
      <c r="D797">
        <f>IFERROR(__xludf.DUMMYFUNCTION("""COMPUTED_VALUE"""),2015.0)</f>
        <v>2015</v>
      </c>
      <c r="E797">
        <f>IFERROR(__xludf.DUMMYFUNCTION("""COMPUTED_VALUE"""),2.3799556E7)</f>
        <v>23799556</v>
      </c>
    </row>
    <row r="798">
      <c r="A798" t="str">
        <f t="shared" si="1"/>
        <v>aus#2016</v>
      </c>
      <c r="B798" t="str">
        <f>IFERROR(__xludf.DUMMYFUNCTION("""COMPUTED_VALUE"""),"aus")</f>
        <v>aus</v>
      </c>
      <c r="C798" t="str">
        <f>IFERROR(__xludf.DUMMYFUNCTION("""COMPUTED_VALUE"""),"Australia")</f>
        <v>Australia</v>
      </c>
      <c r="D798">
        <f>IFERROR(__xludf.DUMMYFUNCTION("""COMPUTED_VALUE"""),2016.0)</f>
        <v>2016</v>
      </c>
      <c r="E798">
        <f>IFERROR(__xludf.DUMMYFUNCTION("""COMPUTED_VALUE"""),2.4125848E7)</f>
        <v>24125848</v>
      </c>
    </row>
    <row r="799">
      <c r="A799" t="str">
        <f t="shared" si="1"/>
        <v>aus#2017</v>
      </c>
      <c r="B799" t="str">
        <f>IFERROR(__xludf.DUMMYFUNCTION("""COMPUTED_VALUE"""),"aus")</f>
        <v>aus</v>
      </c>
      <c r="C799" t="str">
        <f>IFERROR(__xludf.DUMMYFUNCTION("""COMPUTED_VALUE"""),"Australia")</f>
        <v>Australia</v>
      </c>
      <c r="D799">
        <f>IFERROR(__xludf.DUMMYFUNCTION("""COMPUTED_VALUE"""),2017.0)</f>
        <v>2017</v>
      </c>
      <c r="E799">
        <f>IFERROR(__xludf.DUMMYFUNCTION("""COMPUTED_VALUE"""),2.4450561E7)</f>
        <v>24450561</v>
      </c>
    </row>
    <row r="800">
      <c r="A800" t="str">
        <f t="shared" si="1"/>
        <v>aus#2018</v>
      </c>
      <c r="B800" t="str">
        <f>IFERROR(__xludf.DUMMYFUNCTION("""COMPUTED_VALUE"""),"aus")</f>
        <v>aus</v>
      </c>
      <c r="C800" t="str">
        <f>IFERROR(__xludf.DUMMYFUNCTION("""COMPUTED_VALUE"""),"Australia")</f>
        <v>Australia</v>
      </c>
      <c r="D800">
        <f>IFERROR(__xludf.DUMMYFUNCTION("""COMPUTED_VALUE"""),2018.0)</f>
        <v>2018</v>
      </c>
      <c r="E800">
        <f>IFERROR(__xludf.DUMMYFUNCTION("""COMPUTED_VALUE"""),2.4772247E7)</f>
        <v>24772247</v>
      </c>
    </row>
    <row r="801">
      <c r="A801" t="str">
        <f t="shared" si="1"/>
        <v>aus#2019</v>
      </c>
      <c r="B801" t="str">
        <f>IFERROR(__xludf.DUMMYFUNCTION("""COMPUTED_VALUE"""),"aus")</f>
        <v>aus</v>
      </c>
      <c r="C801" t="str">
        <f>IFERROR(__xludf.DUMMYFUNCTION("""COMPUTED_VALUE"""),"Australia")</f>
        <v>Australia</v>
      </c>
      <c r="D801">
        <f>IFERROR(__xludf.DUMMYFUNCTION("""COMPUTED_VALUE"""),2019.0)</f>
        <v>2019</v>
      </c>
      <c r="E801">
        <f>IFERROR(__xludf.DUMMYFUNCTION("""COMPUTED_VALUE"""),2.5088636E7)</f>
        <v>25088636</v>
      </c>
    </row>
    <row r="802">
      <c r="A802" t="str">
        <f t="shared" si="1"/>
        <v>aus#2020</v>
      </c>
      <c r="B802" t="str">
        <f>IFERROR(__xludf.DUMMYFUNCTION("""COMPUTED_VALUE"""),"aus")</f>
        <v>aus</v>
      </c>
      <c r="C802" t="str">
        <f>IFERROR(__xludf.DUMMYFUNCTION("""COMPUTED_VALUE"""),"Australia")</f>
        <v>Australia</v>
      </c>
      <c r="D802">
        <f>IFERROR(__xludf.DUMMYFUNCTION("""COMPUTED_VALUE"""),2020.0)</f>
        <v>2020</v>
      </c>
      <c r="E802">
        <f>IFERROR(__xludf.DUMMYFUNCTION("""COMPUTED_VALUE"""),2.5398177E7)</f>
        <v>25398177</v>
      </c>
    </row>
    <row r="803">
      <c r="A803" t="str">
        <f t="shared" si="1"/>
        <v>aus#2021</v>
      </c>
      <c r="B803" t="str">
        <f>IFERROR(__xludf.DUMMYFUNCTION("""COMPUTED_VALUE"""),"aus")</f>
        <v>aus</v>
      </c>
      <c r="C803" t="str">
        <f>IFERROR(__xludf.DUMMYFUNCTION("""COMPUTED_VALUE"""),"Australia")</f>
        <v>Australia</v>
      </c>
      <c r="D803">
        <f>IFERROR(__xludf.DUMMYFUNCTION("""COMPUTED_VALUE"""),2021.0)</f>
        <v>2021</v>
      </c>
      <c r="E803">
        <f>IFERROR(__xludf.DUMMYFUNCTION("""COMPUTED_VALUE"""),2.5700455E7)</f>
        <v>25700455</v>
      </c>
    </row>
    <row r="804">
      <c r="A804" t="str">
        <f t="shared" si="1"/>
        <v>aus#2022</v>
      </c>
      <c r="B804" t="str">
        <f>IFERROR(__xludf.DUMMYFUNCTION("""COMPUTED_VALUE"""),"aus")</f>
        <v>aus</v>
      </c>
      <c r="C804" t="str">
        <f>IFERROR(__xludf.DUMMYFUNCTION("""COMPUTED_VALUE"""),"Australia")</f>
        <v>Australia</v>
      </c>
      <c r="D804">
        <f>IFERROR(__xludf.DUMMYFUNCTION("""COMPUTED_VALUE"""),2022.0)</f>
        <v>2022</v>
      </c>
      <c r="E804">
        <f>IFERROR(__xludf.DUMMYFUNCTION("""COMPUTED_VALUE"""),2.5996287E7)</f>
        <v>25996287</v>
      </c>
    </row>
    <row r="805">
      <c r="A805" t="str">
        <f t="shared" si="1"/>
        <v>aus#2023</v>
      </c>
      <c r="B805" t="str">
        <f>IFERROR(__xludf.DUMMYFUNCTION("""COMPUTED_VALUE"""),"aus")</f>
        <v>aus</v>
      </c>
      <c r="C805" t="str">
        <f>IFERROR(__xludf.DUMMYFUNCTION("""COMPUTED_VALUE"""),"Australia")</f>
        <v>Australia</v>
      </c>
      <c r="D805">
        <f>IFERROR(__xludf.DUMMYFUNCTION("""COMPUTED_VALUE"""),2023.0)</f>
        <v>2023</v>
      </c>
      <c r="E805">
        <f>IFERROR(__xludf.DUMMYFUNCTION("""COMPUTED_VALUE"""),2.6286687E7)</f>
        <v>26286687</v>
      </c>
    </row>
    <row r="806">
      <c r="A806" t="str">
        <f t="shared" si="1"/>
        <v>aus#2024</v>
      </c>
      <c r="B806" t="str">
        <f>IFERROR(__xludf.DUMMYFUNCTION("""COMPUTED_VALUE"""),"aus")</f>
        <v>aus</v>
      </c>
      <c r="C806" t="str">
        <f>IFERROR(__xludf.DUMMYFUNCTION("""COMPUTED_VALUE"""),"Australia")</f>
        <v>Australia</v>
      </c>
      <c r="D806">
        <f>IFERROR(__xludf.DUMMYFUNCTION("""COMPUTED_VALUE"""),2024.0)</f>
        <v>2024</v>
      </c>
      <c r="E806">
        <f>IFERROR(__xludf.DUMMYFUNCTION("""COMPUTED_VALUE"""),2.6573232E7)</f>
        <v>26573232</v>
      </c>
    </row>
    <row r="807">
      <c r="A807" t="str">
        <f t="shared" si="1"/>
        <v>aus#2025</v>
      </c>
      <c r="B807" t="str">
        <f>IFERROR(__xludf.DUMMYFUNCTION("""COMPUTED_VALUE"""),"aus")</f>
        <v>aus</v>
      </c>
      <c r="C807" t="str">
        <f>IFERROR(__xludf.DUMMYFUNCTION("""COMPUTED_VALUE"""),"Australia")</f>
        <v>Australia</v>
      </c>
      <c r="D807">
        <f>IFERROR(__xludf.DUMMYFUNCTION("""COMPUTED_VALUE"""),2025.0)</f>
        <v>2025</v>
      </c>
      <c r="E807">
        <f>IFERROR(__xludf.DUMMYFUNCTION("""COMPUTED_VALUE"""),2.6857068E7)</f>
        <v>26857068</v>
      </c>
    </row>
    <row r="808">
      <c r="A808" t="str">
        <f t="shared" si="1"/>
        <v>aus#2026</v>
      </c>
      <c r="B808" t="str">
        <f>IFERROR(__xludf.DUMMYFUNCTION("""COMPUTED_VALUE"""),"aus")</f>
        <v>aus</v>
      </c>
      <c r="C808" t="str">
        <f>IFERROR(__xludf.DUMMYFUNCTION("""COMPUTED_VALUE"""),"Australia")</f>
        <v>Australia</v>
      </c>
      <c r="D808">
        <f>IFERROR(__xludf.DUMMYFUNCTION("""COMPUTED_VALUE"""),2026.0)</f>
        <v>2026</v>
      </c>
      <c r="E808">
        <f>IFERROR(__xludf.DUMMYFUNCTION("""COMPUTED_VALUE"""),2.713861E7)</f>
        <v>27138610</v>
      </c>
    </row>
    <row r="809">
      <c r="A809" t="str">
        <f t="shared" si="1"/>
        <v>aus#2027</v>
      </c>
      <c r="B809" t="str">
        <f>IFERROR(__xludf.DUMMYFUNCTION("""COMPUTED_VALUE"""),"aus")</f>
        <v>aus</v>
      </c>
      <c r="C809" t="str">
        <f>IFERROR(__xludf.DUMMYFUNCTION("""COMPUTED_VALUE"""),"Australia")</f>
        <v>Australia</v>
      </c>
      <c r="D809">
        <f>IFERROR(__xludf.DUMMYFUNCTION("""COMPUTED_VALUE"""),2027.0)</f>
        <v>2027</v>
      </c>
      <c r="E809">
        <f>IFERROR(__xludf.DUMMYFUNCTION("""COMPUTED_VALUE"""),2.7417603E7)</f>
        <v>27417603</v>
      </c>
    </row>
    <row r="810">
      <c r="A810" t="str">
        <f t="shared" si="1"/>
        <v>aus#2028</v>
      </c>
      <c r="B810" t="str">
        <f>IFERROR(__xludf.DUMMYFUNCTION("""COMPUTED_VALUE"""),"aus")</f>
        <v>aus</v>
      </c>
      <c r="C810" t="str">
        <f>IFERROR(__xludf.DUMMYFUNCTION("""COMPUTED_VALUE"""),"Australia")</f>
        <v>Australia</v>
      </c>
      <c r="D810">
        <f>IFERROR(__xludf.DUMMYFUNCTION("""COMPUTED_VALUE"""),2028.0)</f>
        <v>2028</v>
      </c>
      <c r="E810">
        <f>IFERROR(__xludf.DUMMYFUNCTION("""COMPUTED_VALUE"""),2.769368E7)</f>
        <v>27693680</v>
      </c>
    </row>
    <row r="811">
      <c r="A811" t="str">
        <f t="shared" si="1"/>
        <v>aus#2029</v>
      </c>
      <c r="B811" t="str">
        <f>IFERROR(__xludf.DUMMYFUNCTION("""COMPUTED_VALUE"""),"aus")</f>
        <v>aus</v>
      </c>
      <c r="C811" t="str">
        <f>IFERROR(__xludf.DUMMYFUNCTION("""COMPUTED_VALUE"""),"Australia")</f>
        <v>Australia</v>
      </c>
      <c r="D811">
        <f>IFERROR(__xludf.DUMMYFUNCTION("""COMPUTED_VALUE"""),2029.0)</f>
        <v>2029</v>
      </c>
      <c r="E811">
        <f>IFERROR(__xludf.DUMMYFUNCTION("""COMPUTED_VALUE"""),2.7966193E7)</f>
        <v>27966193</v>
      </c>
    </row>
    <row r="812">
      <c r="A812" t="str">
        <f t="shared" si="1"/>
        <v>aus#2030</v>
      </c>
      <c r="B812" t="str">
        <f>IFERROR(__xludf.DUMMYFUNCTION("""COMPUTED_VALUE"""),"aus")</f>
        <v>aus</v>
      </c>
      <c r="C812" t="str">
        <f>IFERROR(__xludf.DUMMYFUNCTION("""COMPUTED_VALUE"""),"Australia")</f>
        <v>Australia</v>
      </c>
      <c r="D812">
        <f>IFERROR(__xludf.DUMMYFUNCTION("""COMPUTED_VALUE"""),2030.0)</f>
        <v>2030</v>
      </c>
      <c r="E812">
        <f>IFERROR(__xludf.DUMMYFUNCTION("""COMPUTED_VALUE"""),2.8234742E7)</f>
        <v>28234742</v>
      </c>
    </row>
    <row r="813">
      <c r="A813" t="str">
        <f t="shared" si="1"/>
        <v>aus#2031</v>
      </c>
      <c r="B813" t="str">
        <f>IFERROR(__xludf.DUMMYFUNCTION("""COMPUTED_VALUE"""),"aus")</f>
        <v>aus</v>
      </c>
      <c r="C813" t="str">
        <f>IFERROR(__xludf.DUMMYFUNCTION("""COMPUTED_VALUE"""),"Australia")</f>
        <v>Australia</v>
      </c>
      <c r="D813">
        <f>IFERROR(__xludf.DUMMYFUNCTION("""COMPUTED_VALUE"""),2031.0)</f>
        <v>2031</v>
      </c>
      <c r="E813">
        <f>IFERROR(__xludf.DUMMYFUNCTION("""COMPUTED_VALUE"""),2.8499354E7)</f>
        <v>28499354</v>
      </c>
    </row>
    <row r="814">
      <c r="A814" t="str">
        <f t="shared" si="1"/>
        <v>aus#2032</v>
      </c>
      <c r="B814" t="str">
        <f>IFERROR(__xludf.DUMMYFUNCTION("""COMPUTED_VALUE"""),"aus")</f>
        <v>aus</v>
      </c>
      <c r="C814" t="str">
        <f>IFERROR(__xludf.DUMMYFUNCTION("""COMPUTED_VALUE"""),"Australia")</f>
        <v>Australia</v>
      </c>
      <c r="D814">
        <f>IFERROR(__xludf.DUMMYFUNCTION("""COMPUTED_VALUE"""),2032.0)</f>
        <v>2032</v>
      </c>
      <c r="E814">
        <f>IFERROR(__xludf.DUMMYFUNCTION("""COMPUTED_VALUE"""),2.8760433E7)</f>
        <v>28760433</v>
      </c>
    </row>
    <row r="815">
      <c r="A815" t="str">
        <f t="shared" si="1"/>
        <v>aus#2033</v>
      </c>
      <c r="B815" t="str">
        <f>IFERROR(__xludf.DUMMYFUNCTION("""COMPUTED_VALUE"""),"aus")</f>
        <v>aus</v>
      </c>
      <c r="C815" t="str">
        <f>IFERROR(__xludf.DUMMYFUNCTION("""COMPUTED_VALUE"""),"Australia")</f>
        <v>Australia</v>
      </c>
      <c r="D815">
        <f>IFERROR(__xludf.DUMMYFUNCTION("""COMPUTED_VALUE"""),2033.0)</f>
        <v>2033</v>
      </c>
      <c r="E815">
        <f>IFERROR(__xludf.DUMMYFUNCTION("""COMPUTED_VALUE"""),2.9018332E7)</f>
        <v>29018332</v>
      </c>
    </row>
    <row r="816">
      <c r="A816" t="str">
        <f t="shared" si="1"/>
        <v>aus#2034</v>
      </c>
      <c r="B816" t="str">
        <f>IFERROR(__xludf.DUMMYFUNCTION("""COMPUTED_VALUE"""),"aus")</f>
        <v>aus</v>
      </c>
      <c r="C816" t="str">
        <f>IFERROR(__xludf.DUMMYFUNCTION("""COMPUTED_VALUE"""),"Australia")</f>
        <v>Australia</v>
      </c>
      <c r="D816">
        <f>IFERROR(__xludf.DUMMYFUNCTION("""COMPUTED_VALUE"""),2034.0)</f>
        <v>2034</v>
      </c>
      <c r="E816">
        <f>IFERROR(__xludf.DUMMYFUNCTION("""COMPUTED_VALUE"""),2.9273531E7)</f>
        <v>29273531</v>
      </c>
    </row>
    <row r="817">
      <c r="A817" t="str">
        <f t="shared" si="1"/>
        <v>aus#2035</v>
      </c>
      <c r="B817" t="str">
        <f>IFERROR(__xludf.DUMMYFUNCTION("""COMPUTED_VALUE"""),"aus")</f>
        <v>aus</v>
      </c>
      <c r="C817" t="str">
        <f>IFERROR(__xludf.DUMMYFUNCTION("""COMPUTED_VALUE"""),"Australia")</f>
        <v>Australia</v>
      </c>
      <c r="D817">
        <f>IFERROR(__xludf.DUMMYFUNCTION("""COMPUTED_VALUE"""),2035.0)</f>
        <v>2035</v>
      </c>
      <c r="E817">
        <f>IFERROR(__xludf.DUMMYFUNCTION("""COMPUTED_VALUE"""),2.9526448E7)</f>
        <v>29526448</v>
      </c>
    </row>
    <row r="818">
      <c r="A818" t="str">
        <f t="shared" si="1"/>
        <v>aus#2036</v>
      </c>
      <c r="B818" t="str">
        <f>IFERROR(__xludf.DUMMYFUNCTION("""COMPUTED_VALUE"""),"aus")</f>
        <v>aus</v>
      </c>
      <c r="C818" t="str">
        <f>IFERROR(__xludf.DUMMYFUNCTION("""COMPUTED_VALUE"""),"Australia")</f>
        <v>Australia</v>
      </c>
      <c r="D818">
        <f>IFERROR(__xludf.DUMMYFUNCTION("""COMPUTED_VALUE"""),2036.0)</f>
        <v>2036</v>
      </c>
      <c r="E818">
        <f>IFERROR(__xludf.DUMMYFUNCTION("""COMPUTED_VALUE"""),2.9777258E7)</f>
        <v>29777258</v>
      </c>
    </row>
    <row r="819">
      <c r="A819" t="str">
        <f t="shared" si="1"/>
        <v>aus#2037</v>
      </c>
      <c r="B819" t="str">
        <f>IFERROR(__xludf.DUMMYFUNCTION("""COMPUTED_VALUE"""),"aus")</f>
        <v>aus</v>
      </c>
      <c r="C819" t="str">
        <f>IFERROR(__xludf.DUMMYFUNCTION("""COMPUTED_VALUE"""),"Australia")</f>
        <v>Australia</v>
      </c>
      <c r="D819">
        <f>IFERROR(__xludf.DUMMYFUNCTION("""COMPUTED_VALUE"""),2037.0)</f>
        <v>2037</v>
      </c>
      <c r="E819">
        <f>IFERROR(__xludf.DUMMYFUNCTION("""COMPUTED_VALUE"""),3.0026101E7)</f>
        <v>30026101</v>
      </c>
    </row>
    <row r="820">
      <c r="A820" t="str">
        <f t="shared" si="1"/>
        <v>aus#2038</v>
      </c>
      <c r="B820" t="str">
        <f>IFERROR(__xludf.DUMMYFUNCTION("""COMPUTED_VALUE"""),"aus")</f>
        <v>aus</v>
      </c>
      <c r="C820" t="str">
        <f>IFERROR(__xludf.DUMMYFUNCTION("""COMPUTED_VALUE"""),"Australia")</f>
        <v>Australia</v>
      </c>
      <c r="D820">
        <f>IFERROR(__xludf.DUMMYFUNCTION("""COMPUTED_VALUE"""),2038.0)</f>
        <v>2038</v>
      </c>
      <c r="E820">
        <f>IFERROR(__xludf.DUMMYFUNCTION("""COMPUTED_VALUE"""),3.0273354E7)</f>
        <v>30273354</v>
      </c>
    </row>
    <row r="821">
      <c r="A821" t="str">
        <f t="shared" si="1"/>
        <v>aus#2039</v>
      </c>
      <c r="B821" t="str">
        <f>IFERROR(__xludf.DUMMYFUNCTION("""COMPUTED_VALUE"""),"aus")</f>
        <v>aus</v>
      </c>
      <c r="C821" t="str">
        <f>IFERROR(__xludf.DUMMYFUNCTION("""COMPUTED_VALUE"""),"Australia")</f>
        <v>Australia</v>
      </c>
      <c r="D821">
        <f>IFERROR(__xludf.DUMMYFUNCTION("""COMPUTED_VALUE"""),2039.0)</f>
        <v>2039</v>
      </c>
      <c r="E821">
        <f>IFERROR(__xludf.DUMMYFUNCTION("""COMPUTED_VALUE"""),3.051942E7)</f>
        <v>30519420</v>
      </c>
    </row>
    <row r="822">
      <c r="A822" t="str">
        <f t="shared" si="1"/>
        <v>aus#2040</v>
      </c>
      <c r="B822" t="str">
        <f>IFERROR(__xludf.DUMMYFUNCTION("""COMPUTED_VALUE"""),"aus")</f>
        <v>aus</v>
      </c>
      <c r="C822" t="str">
        <f>IFERROR(__xludf.DUMMYFUNCTION("""COMPUTED_VALUE"""),"Australia")</f>
        <v>Australia</v>
      </c>
      <c r="D822">
        <f>IFERROR(__xludf.DUMMYFUNCTION("""COMPUTED_VALUE"""),2040.0)</f>
        <v>2040</v>
      </c>
      <c r="E822">
        <f>IFERROR(__xludf.DUMMYFUNCTION("""COMPUTED_VALUE"""),3.0764641E7)</f>
        <v>30764641</v>
      </c>
    </row>
    <row r="823">
      <c r="A823" t="str">
        <f t="shared" si="1"/>
        <v>aut#1950</v>
      </c>
      <c r="B823" t="str">
        <f>IFERROR(__xludf.DUMMYFUNCTION("""COMPUTED_VALUE"""),"aut")</f>
        <v>aut</v>
      </c>
      <c r="C823" t="str">
        <f>IFERROR(__xludf.DUMMYFUNCTION("""COMPUTED_VALUE"""),"Austria")</f>
        <v>Austria</v>
      </c>
      <c r="D823">
        <f>IFERROR(__xludf.DUMMYFUNCTION("""COMPUTED_VALUE"""),1950.0)</f>
        <v>1950</v>
      </c>
      <c r="E823">
        <f>IFERROR(__xludf.DUMMYFUNCTION("""COMPUTED_VALUE"""),6936439.0)</f>
        <v>6936439</v>
      </c>
    </row>
    <row r="824">
      <c r="A824" t="str">
        <f t="shared" si="1"/>
        <v>aut#1951</v>
      </c>
      <c r="B824" t="str">
        <f>IFERROR(__xludf.DUMMYFUNCTION("""COMPUTED_VALUE"""),"aut")</f>
        <v>aut</v>
      </c>
      <c r="C824" t="str">
        <f>IFERROR(__xludf.DUMMYFUNCTION("""COMPUTED_VALUE"""),"Austria")</f>
        <v>Austria</v>
      </c>
      <c r="D824">
        <f>IFERROR(__xludf.DUMMYFUNCTION("""COMPUTED_VALUE"""),1951.0)</f>
        <v>1951</v>
      </c>
      <c r="E824">
        <f>IFERROR(__xludf.DUMMYFUNCTION("""COMPUTED_VALUE"""),6931338.0)</f>
        <v>6931338</v>
      </c>
    </row>
    <row r="825">
      <c r="A825" t="str">
        <f t="shared" si="1"/>
        <v>aut#1952</v>
      </c>
      <c r="B825" t="str">
        <f>IFERROR(__xludf.DUMMYFUNCTION("""COMPUTED_VALUE"""),"aut")</f>
        <v>aut</v>
      </c>
      <c r="C825" t="str">
        <f>IFERROR(__xludf.DUMMYFUNCTION("""COMPUTED_VALUE"""),"Austria")</f>
        <v>Austria</v>
      </c>
      <c r="D825">
        <f>IFERROR(__xludf.DUMMYFUNCTION("""COMPUTED_VALUE"""),1952.0)</f>
        <v>1952</v>
      </c>
      <c r="E825">
        <f>IFERROR(__xludf.DUMMYFUNCTION("""COMPUTED_VALUE"""),6931196.0)</f>
        <v>6931196</v>
      </c>
    </row>
    <row r="826">
      <c r="A826" t="str">
        <f t="shared" si="1"/>
        <v>aut#1953</v>
      </c>
      <c r="B826" t="str">
        <f>IFERROR(__xludf.DUMMYFUNCTION("""COMPUTED_VALUE"""),"aut")</f>
        <v>aut</v>
      </c>
      <c r="C826" t="str">
        <f>IFERROR(__xludf.DUMMYFUNCTION("""COMPUTED_VALUE"""),"Austria")</f>
        <v>Austria</v>
      </c>
      <c r="D826">
        <f>IFERROR(__xludf.DUMMYFUNCTION("""COMPUTED_VALUE"""),1953.0)</f>
        <v>1953</v>
      </c>
      <c r="E826">
        <f>IFERROR(__xludf.DUMMYFUNCTION("""COMPUTED_VALUE"""),6935142.0)</f>
        <v>6935142</v>
      </c>
    </row>
    <row r="827">
      <c r="A827" t="str">
        <f t="shared" si="1"/>
        <v>aut#1954</v>
      </c>
      <c r="B827" t="str">
        <f>IFERROR(__xludf.DUMMYFUNCTION("""COMPUTED_VALUE"""),"aut")</f>
        <v>aut</v>
      </c>
      <c r="C827" t="str">
        <f>IFERROR(__xludf.DUMMYFUNCTION("""COMPUTED_VALUE"""),"Austria")</f>
        <v>Austria</v>
      </c>
      <c r="D827">
        <f>IFERROR(__xludf.DUMMYFUNCTION("""COMPUTED_VALUE"""),1954.0)</f>
        <v>1954</v>
      </c>
      <c r="E827">
        <f>IFERROR(__xludf.DUMMYFUNCTION("""COMPUTED_VALUE"""),6942619.0)</f>
        <v>6942619</v>
      </c>
    </row>
    <row r="828">
      <c r="A828" t="str">
        <f t="shared" si="1"/>
        <v>aut#1955</v>
      </c>
      <c r="B828" t="str">
        <f>IFERROR(__xludf.DUMMYFUNCTION("""COMPUTED_VALUE"""),"aut")</f>
        <v>aut</v>
      </c>
      <c r="C828" t="str">
        <f>IFERROR(__xludf.DUMMYFUNCTION("""COMPUTED_VALUE"""),"Austria")</f>
        <v>Austria</v>
      </c>
      <c r="D828">
        <f>IFERROR(__xludf.DUMMYFUNCTION("""COMPUTED_VALUE"""),1955.0)</f>
        <v>1955</v>
      </c>
      <c r="E828">
        <f>IFERROR(__xludf.DUMMYFUNCTION("""COMPUTED_VALUE"""),6953406.0)</f>
        <v>6953406</v>
      </c>
    </row>
    <row r="829">
      <c r="A829" t="str">
        <f t="shared" si="1"/>
        <v>aut#1956</v>
      </c>
      <c r="B829" t="str">
        <f>IFERROR(__xludf.DUMMYFUNCTION("""COMPUTED_VALUE"""),"aut")</f>
        <v>aut</v>
      </c>
      <c r="C829" t="str">
        <f>IFERROR(__xludf.DUMMYFUNCTION("""COMPUTED_VALUE"""),"Austria")</f>
        <v>Austria</v>
      </c>
      <c r="D829">
        <f>IFERROR(__xludf.DUMMYFUNCTION("""COMPUTED_VALUE"""),1956.0)</f>
        <v>1956</v>
      </c>
      <c r="E829">
        <f>IFERROR(__xludf.DUMMYFUNCTION("""COMPUTED_VALUE"""),6967625.0)</f>
        <v>6967625</v>
      </c>
    </row>
    <row r="830">
      <c r="A830" t="str">
        <f t="shared" si="1"/>
        <v>aut#1957</v>
      </c>
      <c r="B830" t="str">
        <f>IFERROR(__xludf.DUMMYFUNCTION("""COMPUTED_VALUE"""),"aut")</f>
        <v>aut</v>
      </c>
      <c r="C830" t="str">
        <f>IFERROR(__xludf.DUMMYFUNCTION("""COMPUTED_VALUE"""),"Austria")</f>
        <v>Austria</v>
      </c>
      <c r="D830">
        <f>IFERROR(__xludf.DUMMYFUNCTION("""COMPUTED_VALUE"""),1957.0)</f>
        <v>1957</v>
      </c>
      <c r="E830">
        <f>IFERROR(__xludf.DUMMYFUNCTION("""COMPUTED_VALUE"""),6985724.0)</f>
        <v>6985724</v>
      </c>
    </row>
    <row r="831">
      <c r="A831" t="str">
        <f t="shared" si="1"/>
        <v>aut#1958</v>
      </c>
      <c r="B831" t="str">
        <f>IFERROR(__xludf.DUMMYFUNCTION("""COMPUTED_VALUE"""),"aut")</f>
        <v>aut</v>
      </c>
      <c r="C831" t="str">
        <f>IFERROR(__xludf.DUMMYFUNCTION("""COMPUTED_VALUE"""),"Austria")</f>
        <v>Austria</v>
      </c>
      <c r="D831">
        <f>IFERROR(__xludf.DUMMYFUNCTION("""COMPUTED_VALUE"""),1958.0)</f>
        <v>1958</v>
      </c>
      <c r="E831">
        <f>IFERROR(__xludf.DUMMYFUNCTION("""COMPUTED_VALUE"""),7008424.0)</f>
        <v>7008424</v>
      </c>
    </row>
    <row r="832">
      <c r="A832" t="str">
        <f t="shared" si="1"/>
        <v>aut#1959</v>
      </c>
      <c r="B832" t="str">
        <f>IFERROR(__xludf.DUMMYFUNCTION("""COMPUTED_VALUE"""),"aut")</f>
        <v>aut</v>
      </c>
      <c r="C832" t="str">
        <f>IFERROR(__xludf.DUMMYFUNCTION("""COMPUTED_VALUE"""),"Austria")</f>
        <v>Austria</v>
      </c>
      <c r="D832">
        <f>IFERROR(__xludf.DUMMYFUNCTION("""COMPUTED_VALUE"""),1959.0)</f>
        <v>1959</v>
      </c>
      <c r="E832">
        <f>IFERROR(__xludf.DUMMYFUNCTION("""COMPUTED_VALUE"""),7036550.0)</f>
        <v>7036550</v>
      </c>
    </row>
    <row r="833">
      <c r="A833" t="str">
        <f t="shared" si="1"/>
        <v>aut#1960</v>
      </c>
      <c r="B833" t="str">
        <f>IFERROR(__xludf.DUMMYFUNCTION("""COMPUTED_VALUE"""),"aut")</f>
        <v>aut</v>
      </c>
      <c r="C833" t="str">
        <f>IFERROR(__xludf.DUMMYFUNCTION("""COMPUTED_VALUE"""),"Austria")</f>
        <v>Austria</v>
      </c>
      <c r="D833">
        <f>IFERROR(__xludf.DUMMYFUNCTION("""COMPUTED_VALUE"""),1960.0)</f>
        <v>1960</v>
      </c>
      <c r="E833">
        <f>IFERROR(__xludf.DUMMYFUNCTION("""COMPUTED_VALUE"""),7070766.0)</f>
        <v>7070766</v>
      </c>
    </row>
    <row r="834">
      <c r="A834" t="str">
        <f t="shared" si="1"/>
        <v>aut#1961</v>
      </c>
      <c r="B834" t="str">
        <f>IFERROR(__xludf.DUMMYFUNCTION("""COMPUTED_VALUE"""),"aut")</f>
        <v>aut</v>
      </c>
      <c r="C834" t="str">
        <f>IFERROR(__xludf.DUMMYFUNCTION("""COMPUTED_VALUE"""),"Austria")</f>
        <v>Austria</v>
      </c>
      <c r="D834">
        <f>IFERROR(__xludf.DUMMYFUNCTION("""COMPUTED_VALUE"""),1961.0)</f>
        <v>1961</v>
      </c>
      <c r="E834">
        <f>IFERROR(__xludf.DUMMYFUNCTION("""COMPUTED_VALUE"""),7111142.0)</f>
        <v>7111142</v>
      </c>
    </row>
    <row r="835">
      <c r="A835" t="str">
        <f t="shared" si="1"/>
        <v>aut#1962</v>
      </c>
      <c r="B835" t="str">
        <f>IFERROR(__xludf.DUMMYFUNCTION("""COMPUTED_VALUE"""),"aut")</f>
        <v>aut</v>
      </c>
      <c r="C835" t="str">
        <f>IFERROR(__xludf.DUMMYFUNCTION("""COMPUTED_VALUE"""),"Austria")</f>
        <v>Austria</v>
      </c>
      <c r="D835">
        <f>IFERROR(__xludf.DUMMYFUNCTION("""COMPUTED_VALUE"""),1962.0)</f>
        <v>1962</v>
      </c>
      <c r="E835">
        <f>IFERROR(__xludf.DUMMYFUNCTION("""COMPUTED_VALUE"""),7156833.0)</f>
        <v>7156833</v>
      </c>
    </row>
    <row r="836">
      <c r="A836" t="str">
        <f t="shared" si="1"/>
        <v>aut#1963</v>
      </c>
      <c r="B836" t="str">
        <f>IFERROR(__xludf.DUMMYFUNCTION("""COMPUTED_VALUE"""),"aut")</f>
        <v>aut</v>
      </c>
      <c r="C836" t="str">
        <f>IFERROR(__xludf.DUMMYFUNCTION("""COMPUTED_VALUE"""),"Austria")</f>
        <v>Austria</v>
      </c>
      <c r="D836">
        <f>IFERROR(__xludf.DUMMYFUNCTION("""COMPUTED_VALUE"""),1963.0)</f>
        <v>1963</v>
      </c>
      <c r="E836">
        <f>IFERROR(__xludf.DUMMYFUNCTION("""COMPUTED_VALUE"""),7205994.0)</f>
        <v>7205994</v>
      </c>
    </row>
    <row r="837">
      <c r="A837" t="str">
        <f t="shared" si="1"/>
        <v>aut#1964</v>
      </c>
      <c r="B837" t="str">
        <f>IFERROR(__xludf.DUMMYFUNCTION("""COMPUTED_VALUE"""),"aut")</f>
        <v>aut</v>
      </c>
      <c r="C837" t="str">
        <f>IFERROR(__xludf.DUMMYFUNCTION("""COMPUTED_VALUE"""),"Austria")</f>
        <v>Austria</v>
      </c>
      <c r="D837">
        <f>IFERROR(__xludf.DUMMYFUNCTION("""COMPUTED_VALUE"""),1964.0)</f>
        <v>1964</v>
      </c>
      <c r="E837">
        <f>IFERROR(__xludf.DUMMYFUNCTION("""COMPUTED_VALUE"""),7256091.0)</f>
        <v>7256091</v>
      </c>
    </row>
    <row r="838">
      <c r="A838" t="str">
        <f t="shared" si="1"/>
        <v>aut#1965</v>
      </c>
      <c r="B838" t="str">
        <f>IFERROR(__xludf.DUMMYFUNCTION("""COMPUTED_VALUE"""),"aut")</f>
        <v>aut</v>
      </c>
      <c r="C838" t="str">
        <f>IFERROR(__xludf.DUMMYFUNCTION("""COMPUTED_VALUE"""),"Austria")</f>
        <v>Austria</v>
      </c>
      <c r="D838">
        <f>IFERROR(__xludf.DUMMYFUNCTION("""COMPUTED_VALUE"""),1965.0)</f>
        <v>1965</v>
      </c>
      <c r="E838">
        <f>IFERROR(__xludf.DUMMYFUNCTION("""COMPUTED_VALUE"""),7305158.0)</f>
        <v>7305158</v>
      </c>
    </row>
    <row r="839">
      <c r="A839" t="str">
        <f t="shared" si="1"/>
        <v>aut#1966</v>
      </c>
      <c r="B839" t="str">
        <f>IFERROR(__xludf.DUMMYFUNCTION("""COMPUTED_VALUE"""),"aut")</f>
        <v>aut</v>
      </c>
      <c r="C839" t="str">
        <f>IFERROR(__xludf.DUMMYFUNCTION("""COMPUTED_VALUE"""),"Austria")</f>
        <v>Austria</v>
      </c>
      <c r="D839">
        <f>IFERROR(__xludf.DUMMYFUNCTION("""COMPUTED_VALUE"""),1966.0)</f>
        <v>1966</v>
      </c>
      <c r="E839">
        <f>IFERROR(__xludf.DUMMYFUNCTION("""COMPUTED_VALUE"""),7352240.0)</f>
        <v>7352240</v>
      </c>
    </row>
    <row r="840">
      <c r="A840" t="str">
        <f t="shared" si="1"/>
        <v>aut#1967</v>
      </c>
      <c r="B840" t="str">
        <f>IFERROR(__xludf.DUMMYFUNCTION("""COMPUTED_VALUE"""),"aut")</f>
        <v>aut</v>
      </c>
      <c r="C840" t="str">
        <f>IFERROR(__xludf.DUMMYFUNCTION("""COMPUTED_VALUE"""),"Austria")</f>
        <v>Austria</v>
      </c>
      <c r="D840">
        <f>IFERROR(__xludf.DUMMYFUNCTION("""COMPUTED_VALUE"""),1967.0)</f>
        <v>1967</v>
      </c>
      <c r="E840">
        <f>IFERROR(__xludf.DUMMYFUNCTION("""COMPUTED_VALUE"""),7397171.0)</f>
        <v>7397171</v>
      </c>
    </row>
    <row r="841">
      <c r="A841" t="str">
        <f t="shared" si="1"/>
        <v>aut#1968</v>
      </c>
      <c r="B841" t="str">
        <f>IFERROR(__xludf.DUMMYFUNCTION("""COMPUTED_VALUE"""),"aut")</f>
        <v>aut</v>
      </c>
      <c r="C841" t="str">
        <f>IFERROR(__xludf.DUMMYFUNCTION("""COMPUTED_VALUE"""),"Austria")</f>
        <v>Austria</v>
      </c>
      <c r="D841">
        <f>IFERROR(__xludf.DUMMYFUNCTION("""COMPUTED_VALUE"""),1968.0)</f>
        <v>1968</v>
      </c>
      <c r="E841">
        <f>IFERROR(__xludf.DUMMYFUNCTION("""COMPUTED_VALUE"""),7439579.0)</f>
        <v>7439579</v>
      </c>
    </row>
    <row r="842">
      <c r="A842" t="str">
        <f t="shared" si="1"/>
        <v>aut#1969</v>
      </c>
      <c r="B842" t="str">
        <f>IFERROR(__xludf.DUMMYFUNCTION("""COMPUTED_VALUE"""),"aut")</f>
        <v>aut</v>
      </c>
      <c r="C842" t="str">
        <f>IFERROR(__xludf.DUMMYFUNCTION("""COMPUTED_VALUE"""),"Austria")</f>
        <v>Austria</v>
      </c>
      <c r="D842">
        <f>IFERROR(__xludf.DUMMYFUNCTION("""COMPUTED_VALUE"""),1969.0)</f>
        <v>1969</v>
      </c>
      <c r="E842">
        <f>IFERROR(__xludf.DUMMYFUNCTION("""COMPUTED_VALUE"""),7479346.0)</f>
        <v>7479346</v>
      </c>
    </row>
    <row r="843">
      <c r="A843" t="str">
        <f t="shared" si="1"/>
        <v>aut#1970</v>
      </c>
      <c r="B843" t="str">
        <f>IFERROR(__xludf.DUMMYFUNCTION("""COMPUTED_VALUE"""),"aut")</f>
        <v>aut</v>
      </c>
      <c r="C843" t="str">
        <f>IFERROR(__xludf.DUMMYFUNCTION("""COMPUTED_VALUE"""),"Austria")</f>
        <v>Austria</v>
      </c>
      <c r="D843">
        <f>IFERROR(__xludf.DUMMYFUNCTION("""COMPUTED_VALUE"""),1970.0)</f>
        <v>1970</v>
      </c>
      <c r="E843">
        <f>IFERROR(__xludf.DUMMYFUNCTION("""COMPUTED_VALUE"""),7516239.0)</f>
        <v>7516239</v>
      </c>
    </row>
    <row r="844">
      <c r="A844" t="str">
        <f t="shared" si="1"/>
        <v>aut#1971</v>
      </c>
      <c r="B844" t="str">
        <f>IFERROR(__xludf.DUMMYFUNCTION("""COMPUTED_VALUE"""),"aut")</f>
        <v>aut</v>
      </c>
      <c r="C844" t="str">
        <f>IFERROR(__xludf.DUMMYFUNCTION("""COMPUTED_VALUE"""),"Austria")</f>
        <v>Austria</v>
      </c>
      <c r="D844">
        <f>IFERROR(__xludf.DUMMYFUNCTION("""COMPUTED_VALUE"""),1971.0)</f>
        <v>1971</v>
      </c>
      <c r="E844">
        <f>IFERROR(__xludf.DUMMYFUNCTION("""COMPUTED_VALUE"""),7550340.0)</f>
        <v>7550340</v>
      </c>
    </row>
    <row r="845">
      <c r="A845" t="str">
        <f t="shared" si="1"/>
        <v>aut#1972</v>
      </c>
      <c r="B845" t="str">
        <f>IFERROR(__xludf.DUMMYFUNCTION("""COMPUTED_VALUE"""),"aut")</f>
        <v>aut</v>
      </c>
      <c r="C845" t="str">
        <f>IFERROR(__xludf.DUMMYFUNCTION("""COMPUTED_VALUE"""),"Austria")</f>
        <v>Austria</v>
      </c>
      <c r="D845">
        <f>IFERROR(__xludf.DUMMYFUNCTION("""COMPUTED_VALUE"""),1972.0)</f>
        <v>1972</v>
      </c>
      <c r="E845">
        <f>IFERROR(__xludf.DUMMYFUNCTION("""COMPUTED_VALUE"""),7581117.0)</f>
        <v>7581117</v>
      </c>
    </row>
    <row r="846">
      <c r="A846" t="str">
        <f t="shared" si="1"/>
        <v>aut#1973</v>
      </c>
      <c r="B846" t="str">
        <f>IFERROR(__xludf.DUMMYFUNCTION("""COMPUTED_VALUE"""),"aut")</f>
        <v>aut</v>
      </c>
      <c r="C846" t="str">
        <f>IFERROR(__xludf.DUMMYFUNCTION("""COMPUTED_VALUE"""),"Austria")</f>
        <v>Austria</v>
      </c>
      <c r="D846">
        <f>IFERROR(__xludf.DUMMYFUNCTION("""COMPUTED_VALUE"""),1973.0)</f>
        <v>1973</v>
      </c>
      <c r="E846">
        <f>IFERROR(__xludf.DUMMYFUNCTION("""COMPUTED_VALUE"""),7607065.0)</f>
        <v>7607065</v>
      </c>
    </row>
    <row r="847">
      <c r="A847" t="str">
        <f t="shared" si="1"/>
        <v>aut#1974</v>
      </c>
      <c r="B847" t="str">
        <f>IFERROR(__xludf.DUMMYFUNCTION("""COMPUTED_VALUE"""),"aut")</f>
        <v>aut</v>
      </c>
      <c r="C847" t="str">
        <f>IFERROR(__xludf.DUMMYFUNCTION("""COMPUTED_VALUE"""),"Austria")</f>
        <v>Austria</v>
      </c>
      <c r="D847">
        <f>IFERROR(__xludf.DUMMYFUNCTION("""COMPUTED_VALUE"""),1974.0)</f>
        <v>1974</v>
      </c>
      <c r="E847">
        <f>IFERROR(__xludf.DUMMYFUNCTION("""COMPUTED_VALUE"""),7626290.0)</f>
        <v>7626290</v>
      </c>
    </row>
    <row r="848">
      <c r="A848" t="str">
        <f t="shared" si="1"/>
        <v>aut#1975</v>
      </c>
      <c r="B848" t="str">
        <f>IFERROR(__xludf.DUMMYFUNCTION("""COMPUTED_VALUE"""),"aut")</f>
        <v>aut</v>
      </c>
      <c r="C848" t="str">
        <f>IFERROR(__xludf.DUMMYFUNCTION("""COMPUTED_VALUE"""),"Austria")</f>
        <v>Austria</v>
      </c>
      <c r="D848">
        <f>IFERROR(__xludf.DUMMYFUNCTION("""COMPUTED_VALUE"""),1975.0)</f>
        <v>1975</v>
      </c>
      <c r="E848">
        <f>IFERROR(__xludf.DUMMYFUNCTION("""COMPUTED_VALUE"""),7637689.0)</f>
        <v>7637689</v>
      </c>
    </row>
    <row r="849">
      <c r="A849" t="str">
        <f t="shared" si="1"/>
        <v>aut#1976</v>
      </c>
      <c r="B849" t="str">
        <f>IFERROR(__xludf.DUMMYFUNCTION("""COMPUTED_VALUE"""),"aut")</f>
        <v>aut</v>
      </c>
      <c r="C849" t="str">
        <f>IFERROR(__xludf.DUMMYFUNCTION("""COMPUTED_VALUE"""),"Austria")</f>
        <v>Austria</v>
      </c>
      <c r="D849">
        <f>IFERROR(__xludf.DUMMYFUNCTION("""COMPUTED_VALUE"""),1976.0)</f>
        <v>1976</v>
      </c>
      <c r="E849">
        <f>IFERROR(__xludf.DUMMYFUNCTION("""COMPUTED_VALUE"""),7640749.0)</f>
        <v>7640749</v>
      </c>
    </row>
    <row r="850">
      <c r="A850" t="str">
        <f t="shared" si="1"/>
        <v>aut#1977</v>
      </c>
      <c r="B850" t="str">
        <f>IFERROR(__xludf.DUMMYFUNCTION("""COMPUTED_VALUE"""),"aut")</f>
        <v>aut</v>
      </c>
      <c r="C850" t="str">
        <f>IFERROR(__xludf.DUMMYFUNCTION("""COMPUTED_VALUE"""),"Austria")</f>
        <v>Austria</v>
      </c>
      <c r="D850">
        <f>IFERROR(__xludf.DUMMYFUNCTION("""COMPUTED_VALUE"""),1977.0)</f>
        <v>1977</v>
      </c>
      <c r="E850">
        <f>IFERROR(__xludf.DUMMYFUNCTION("""COMPUTED_VALUE"""),7636576.0)</f>
        <v>7636576</v>
      </c>
    </row>
    <row r="851">
      <c r="A851" t="str">
        <f t="shared" si="1"/>
        <v>aut#1978</v>
      </c>
      <c r="B851" t="str">
        <f>IFERROR(__xludf.DUMMYFUNCTION("""COMPUTED_VALUE"""),"aut")</f>
        <v>aut</v>
      </c>
      <c r="C851" t="str">
        <f>IFERROR(__xludf.DUMMYFUNCTION("""COMPUTED_VALUE"""),"Austria")</f>
        <v>Austria</v>
      </c>
      <c r="D851">
        <f>IFERROR(__xludf.DUMMYFUNCTION("""COMPUTED_VALUE"""),1978.0)</f>
        <v>1978</v>
      </c>
      <c r="E851">
        <f>IFERROR(__xludf.DUMMYFUNCTION("""COMPUTED_VALUE"""),7627759.0)</f>
        <v>7627759</v>
      </c>
    </row>
    <row r="852">
      <c r="A852" t="str">
        <f t="shared" si="1"/>
        <v>aut#1979</v>
      </c>
      <c r="B852" t="str">
        <f>IFERROR(__xludf.DUMMYFUNCTION("""COMPUTED_VALUE"""),"aut")</f>
        <v>aut</v>
      </c>
      <c r="C852" t="str">
        <f>IFERROR(__xludf.DUMMYFUNCTION("""COMPUTED_VALUE"""),"Austria")</f>
        <v>Austria</v>
      </c>
      <c r="D852">
        <f>IFERROR(__xludf.DUMMYFUNCTION("""COMPUTED_VALUE"""),1979.0)</f>
        <v>1979</v>
      </c>
      <c r="E852">
        <f>IFERROR(__xludf.DUMMYFUNCTION("""COMPUTED_VALUE"""),7617884.0)</f>
        <v>7617884</v>
      </c>
    </row>
    <row r="853">
      <c r="A853" t="str">
        <f t="shared" si="1"/>
        <v>aut#1980</v>
      </c>
      <c r="B853" t="str">
        <f>IFERROR(__xludf.DUMMYFUNCTION("""COMPUTED_VALUE"""),"aut")</f>
        <v>aut</v>
      </c>
      <c r="C853" t="str">
        <f>IFERROR(__xludf.DUMMYFUNCTION("""COMPUTED_VALUE"""),"Austria")</f>
        <v>Austria</v>
      </c>
      <c r="D853">
        <f>IFERROR(__xludf.DUMMYFUNCTION("""COMPUTED_VALUE"""),1980.0)</f>
        <v>1980</v>
      </c>
      <c r="E853">
        <f>IFERROR(__xludf.DUMMYFUNCTION("""COMPUTED_VALUE"""),7609752.0)</f>
        <v>7609752</v>
      </c>
    </row>
    <row r="854">
      <c r="A854" t="str">
        <f t="shared" si="1"/>
        <v>aut#1981</v>
      </c>
      <c r="B854" t="str">
        <f>IFERROR(__xludf.DUMMYFUNCTION("""COMPUTED_VALUE"""),"aut")</f>
        <v>aut</v>
      </c>
      <c r="C854" t="str">
        <f>IFERROR(__xludf.DUMMYFUNCTION("""COMPUTED_VALUE"""),"Austria")</f>
        <v>Austria</v>
      </c>
      <c r="D854">
        <f>IFERROR(__xludf.DUMMYFUNCTION("""COMPUTED_VALUE"""),1981.0)</f>
        <v>1981</v>
      </c>
      <c r="E854">
        <f>IFERROR(__xludf.DUMMYFUNCTION("""COMPUTED_VALUE"""),7604513.0)</f>
        <v>7604513</v>
      </c>
    </row>
    <row r="855">
      <c r="A855" t="str">
        <f t="shared" si="1"/>
        <v>aut#1982</v>
      </c>
      <c r="B855" t="str">
        <f>IFERROR(__xludf.DUMMYFUNCTION("""COMPUTED_VALUE"""),"aut")</f>
        <v>aut</v>
      </c>
      <c r="C855" t="str">
        <f>IFERROR(__xludf.DUMMYFUNCTION("""COMPUTED_VALUE"""),"Austria")</f>
        <v>Austria</v>
      </c>
      <c r="D855">
        <f>IFERROR(__xludf.DUMMYFUNCTION("""COMPUTED_VALUE"""),1982.0)</f>
        <v>1982</v>
      </c>
      <c r="E855">
        <f>IFERROR(__xludf.DUMMYFUNCTION("""COMPUTED_VALUE"""),7602181.0)</f>
        <v>7602181</v>
      </c>
    </row>
    <row r="856">
      <c r="A856" t="str">
        <f t="shared" si="1"/>
        <v>aut#1983</v>
      </c>
      <c r="B856" t="str">
        <f>IFERROR(__xludf.DUMMYFUNCTION("""COMPUTED_VALUE"""),"aut")</f>
        <v>aut</v>
      </c>
      <c r="C856" t="str">
        <f>IFERROR(__xludf.DUMMYFUNCTION("""COMPUTED_VALUE"""),"Austria")</f>
        <v>Austria</v>
      </c>
      <c r="D856">
        <f>IFERROR(__xludf.DUMMYFUNCTION("""COMPUTED_VALUE"""),1983.0)</f>
        <v>1983</v>
      </c>
      <c r="E856">
        <f>IFERROR(__xludf.DUMMYFUNCTION("""COMPUTED_VALUE"""),7603102.0)</f>
        <v>7603102</v>
      </c>
    </row>
    <row r="857">
      <c r="A857" t="str">
        <f t="shared" si="1"/>
        <v>aut#1984</v>
      </c>
      <c r="B857" t="str">
        <f>IFERROR(__xludf.DUMMYFUNCTION("""COMPUTED_VALUE"""),"aut")</f>
        <v>aut</v>
      </c>
      <c r="C857" t="str">
        <f>IFERROR(__xludf.DUMMYFUNCTION("""COMPUTED_VALUE"""),"Austria")</f>
        <v>Austria</v>
      </c>
      <c r="D857">
        <f>IFERROR(__xludf.DUMMYFUNCTION("""COMPUTED_VALUE"""),1984.0)</f>
        <v>1984</v>
      </c>
      <c r="E857">
        <f>IFERROR(__xludf.DUMMYFUNCTION("""COMPUTED_VALUE"""),7607293.0)</f>
        <v>7607293</v>
      </c>
    </row>
    <row r="858">
      <c r="A858" t="str">
        <f t="shared" si="1"/>
        <v>aut#1985</v>
      </c>
      <c r="B858" t="str">
        <f>IFERROR(__xludf.DUMMYFUNCTION("""COMPUTED_VALUE"""),"aut")</f>
        <v>aut</v>
      </c>
      <c r="C858" t="str">
        <f>IFERROR(__xludf.DUMMYFUNCTION("""COMPUTED_VALUE"""),"Austria")</f>
        <v>Austria</v>
      </c>
      <c r="D858">
        <f>IFERROR(__xludf.DUMMYFUNCTION("""COMPUTED_VALUE"""),1985.0)</f>
        <v>1985</v>
      </c>
      <c r="E858">
        <f>IFERROR(__xludf.DUMMYFUNCTION("""COMPUTED_VALUE"""),7614868.0)</f>
        <v>7614868</v>
      </c>
    </row>
    <row r="859">
      <c r="A859" t="str">
        <f t="shared" si="1"/>
        <v>aut#1986</v>
      </c>
      <c r="B859" t="str">
        <f>IFERROR(__xludf.DUMMYFUNCTION("""COMPUTED_VALUE"""),"aut")</f>
        <v>aut</v>
      </c>
      <c r="C859" t="str">
        <f>IFERROR(__xludf.DUMMYFUNCTION("""COMPUTED_VALUE"""),"Austria")</f>
        <v>Austria</v>
      </c>
      <c r="D859">
        <f>IFERROR(__xludf.DUMMYFUNCTION("""COMPUTED_VALUE"""),1986.0)</f>
        <v>1986</v>
      </c>
      <c r="E859">
        <f>IFERROR(__xludf.DUMMYFUNCTION("""COMPUTED_VALUE"""),7625393.0)</f>
        <v>7625393</v>
      </c>
    </row>
    <row r="860">
      <c r="A860" t="str">
        <f t="shared" si="1"/>
        <v>aut#1987</v>
      </c>
      <c r="B860" t="str">
        <f>IFERROR(__xludf.DUMMYFUNCTION("""COMPUTED_VALUE"""),"aut")</f>
        <v>aut</v>
      </c>
      <c r="C860" t="str">
        <f>IFERROR(__xludf.DUMMYFUNCTION("""COMPUTED_VALUE"""),"Austria")</f>
        <v>Austria</v>
      </c>
      <c r="D860">
        <f>IFERROR(__xludf.DUMMYFUNCTION("""COMPUTED_VALUE"""),1987.0)</f>
        <v>1987</v>
      </c>
      <c r="E860">
        <f>IFERROR(__xludf.DUMMYFUNCTION("""COMPUTED_VALUE"""),7639352.0)</f>
        <v>7639352</v>
      </c>
    </row>
    <row r="861">
      <c r="A861" t="str">
        <f t="shared" si="1"/>
        <v>aut#1988</v>
      </c>
      <c r="B861" t="str">
        <f>IFERROR(__xludf.DUMMYFUNCTION("""COMPUTED_VALUE"""),"aut")</f>
        <v>aut</v>
      </c>
      <c r="C861" t="str">
        <f>IFERROR(__xludf.DUMMYFUNCTION("""COMPUTED_VALUE"""),"Austria")</f>
        <v>Austria</v>
      </c>
      <c r="D861">
        <f>IFERROR(__xludf.DUMMYFUNCTION("""COMPUTED_VALUE"""),1988.0)</f>
        <v>1988</v>
      </c>
      <c r="E861">
        <f>IFERROR(__xludf.DUMMYFUNCTION("""COMPUTED_VALUE"""),7658840.0)</f>
        <v>7658840</v>
      </c>
    </row>
    <row r="862">
      <c r="A862" t="str">
        <f t="shared" si="1"/>
        <v>aut#1989</v>
      </c>
      <c r="B862" t="str">
        <f>IFERROR(__xludf.DUMMYFUNCTION("""COMPUTED_VALUE"""),"aut")</f>
        <v>aut</v>
      </c>
      <c r="C862" t="str">
        <f>IFERROR(__xludf.DUMMYFUNCTION("""COMPUTED_VALUE"""),"Austria")</f>
        <v>Austria</v>
      </c>
      <c r="D862">
        <f>IFERROR(__xludf.DUMMYFUNCTION("""COMPUTED_VALUE"""),1989.0)</f>
        <v>1989</v>
      </c>
      <c r="E862">
        <f>IFERROR(__xludf.DUMMYFUNCTION("""COMPUTED_VALUE"""),7686572.0)</f>
        <v>7686572</v>
      </c>
    </row>
    <row r="863">
      <c r="A863" t="str">
        <f t="shared" si="1"/>
        <v>aut#1990</v>
      </c>
      <c r="B863" t="str">
        <f>IFERROR(__xludf.DUMMYFUNCTION("""COMPUTED_VALUE"""),"aut")</f>
        <v>aut</v>
      </c>
      <c r="C863" t="str">
        <f>IFERROR(__xludf.DUMMYFUNCTION("""COMPUTED_VALUE"""),"Austria")</f>
        <v>Austria</v>
      </c>
      <c r="D863">
        <f>IFERROR(__xludf.DUMMYFUNCTION("""COMPUTED_VALUE"""),1990.0)</f>
        <v>1990</v>
      </c>
      <c r="E863">
        <f>IFERROR(__xludf.DUMMYFUNCTION("""COMPUTED_VALUE"""),7723949.0)</f>
        <v>7723949</v>
      </c>
    </row>
    <row r="864">
      <c r="A864" t="str">
        <f t="shared" si="1"/>
        <v>aut#1991</v>
      </c>
      <c r="B864" t="str">
        <f>IFERROR(__xludf.DUMMYFUNCTION("""COMPUTED_VALUE"""),"aut")</f>
        <v>aut</v>
      </c>
      <c r="C864" t="str">
        <f>IFERROR(__xludf.DUMMYFUNCTION("""COMPUTED_VALUE"""),"Austria")</f>
        <v>Austria</v>
      </c>
      <c r="D864">
        <f>IFERROR(__xludf.DUMMYFUNCTION("""COMPUTED_VALUE"""),1991.0)</f>
        <v>1991</v>
      </c>
      <c r="E864">
        <f>IFERROR(__xludf.DUMMYFUNCTION("""COMPUTED_VALUE"""),7772701.0)</f>
        <v>7772701</v>
      </c>
    </row>
    <row r="865">
      <c r="A865" t="str">
        <f t="shared" si="1"/>
        <v>aut#1992</v>
      </c>
      <c r="B865" t="str">
        <f>IFERROR(__xludf.DUMMYFUNCTION("""COMPUTED_VALUE"""),"aut")</f>
        <v>aut</v>
      </c>
      <c r="C865" t="str">
        <f>IFERROR(__xludf.DUMMYFUNCTION("""COMPUTED_VALUE"""),"Austria")</f>
        <v>Austria</v>
      </c>
      <c r="D865">
        <f>IFERROR(__xludf.DUMMYFUNCTION("""COMPUTED_VALUE"""),1992.0)</f>
        <v>1992</v>
      </c>
      <c r="E865">
        <f>IFERROR(__xludf.DUMMYFUNCTION("""COMPUTED_VALUE"""),7830933.0)</f>
        <v>7830933</v>
      </c>
    </row>
    <row r="866">
      <c r="A866" t="str">
        <f t="shared" si="1"/>
        <v>aut#1993</v>
      </c>
      <c r="B866" t="str">
        <f>IFERROR(__xludf.DUMMYFUNCTION("""COMPUTED_VALUE"""),"aut")</f>
        <v>aut</v>
      </c>
      <c r="C866" t="str">
        <f>IFERROR(__xludf.DUMMYFUNCTION("""COMPUTED_VALUE"""),"Austria")</f>
        <v>Austria</v>
      </c>
      <c r="D866">
        <f>IFERROR(__xludf.DUMMYFUNCTION("""COMPUTED_VALUE"""),1993.0)</f>
        <v>1993</v>
      </c>
      <c r="E866">
        <f>IFERROR(__xludf.DUMMYFUNCTION("""COMPUTED_VALUE"""),7892086.0)</f>
        <v>7892086</v>
      </c>
    </row>
    <row r="867">
      <c r="A867" t="str">
        <f t="shared" si="1"/>
        <v>aut#1994</v>
      </c>
      <c r="B867" t="str">
        <f>IFERROR(__xludf.DUMMYFUNCTION("""COMPUTED_VALUE"""),"aut")</f>
        <v>aut</v>
      </c>
      <c r="C867" t="str">
        <f>IFERROR(__xludf.DUMMYFUNCTION("""COMPUTED_VALUE"""),"Austria")</f>
        <v>Austria</v>
      </c>
      <c r="D867">
        <f>IFERROR(__xludf.DUMMYFUNCTION("""COMPUTED_VALUE"""),1994.0)</f>
        <v>1994</v>
      </c>
      <c r="E867">
        <f>IFERROR(__xludf.DUMMYFUNCTION("""COMPUTED_VALUE"""),7947209.0)</f>
        <v>7947209</v>
      </c>
    </row>
    <row r="868">
      <c r="A868" t="str">
        <f t="shared" si="1"/>
        <v>aut#1995</v>
      </c>
      <c r="B868" t="str">
        <f>IFERROR(__xludf.DUMMYFUNCTION("""COMPUTED_VALUE"""),"aut")</f>
        <v>aut</v>
      </c>
      <c r="C868" t="str">
        <f>IFERROR(__xludf.DUMMYFUNCTION("""COMPUTED_VALUE"""),"Austria")</f>
        <v>Austria</v>
      </c>
      <c r="D868">
        <f>IFERROR(__xludf.DUMMYFUNCTION("""COMPUTED_VALUE"""),1995.0)</f>
        <v>1995</v>
      </c>
      <c r="E868">
        <f>IFERROR(__xludf.DUMMYFUNCTION("""COMPUTED_VALUE"""),7990121.0)</f>
        <v>7990121</v>
      </c>
    </row>
    <row r="869">
      <c r="A869" t="str">
        <f t="shared" si="1"/>
        <v>aut#1996</v>
      </c>
      <c r="B869" t="str">
        <f>IFERROR(__xludf.DUMMYFUNCTION("""COMPUTED_VALUE"""),"aut")</f>
        <v>aut</v>
      </c>
      <c r="C869" t="str">
        <f>IFERROR(__xludf.DUMMYFUNCTION("""COMPUTED_VALUE"""),"Austria")</f>
        <v>Austria</v>
      </c>
      <c r="D869">
        <f>IFERROR(__xludf.DUMMYFUNCTION("""COMPUTED_VALUE"""),1996.0)</f>
        <v>1996</v>
      </c>
      <c r="E869">
        <f>IFERROR(__xludf.DUMMYFUNCTION("""COMPUTED_VALUE"""),8017863.0)</f>
        <v>8017863</v>
      </c>
    </row>
    <row r="870">
      <c r="A870" t="str">
        <f t="shared" si="1"/>
        <v>aut#1997</v>
      </c>
      <c r="B870" t="str">
        <f>IFERROR(__xludf.DUMMYFUNCTION("""COMPUTED_VALUE"""),"aut")</f>
        <v>aut</v>
      </c>
      <c r="C870" t="str">
        <f>IFERROR(__xludf.DUMMYFUNCTION("""COMPUTED_VALUE"""),"Austria")</f>
        <v>Austria</v>
      </c>
      <c r="D870">
        <f>IFERROR(__xludf.DUMMYFUNCTION("""COMPUTED_VALUE"""),1997.0)</f>
        <v>1997</v>
      </c>
      <c r="E870">
        <f>IFERROR(__xludf.DUMMYFUNCTION("""COMPUTED_VALUE"""),8032876.0)</f>
        <v>8032876</v>
      </c>
    </row>
    <row r="871">
      <c r="A871" t="str">
        <f t="shared" si="1"/>
        <v>aut#1998</v>
      </c>
      <c r="B871" t="str">
        <f>IFERROR(__xludf.DUMMYFUNCTION("""COMPUTED_VALUE"""),"aut")</f>
        <v>aut</v>
      </c>
      <c r="C871" t="str">
        <f>IFERROR(__xludf.DUMMYFUNCTION("""COMPUTED_VALUE"""),"Austria")</f>
        <v>Austria</v>
      </c>
      <c r="D871">
        <f>IFERROR(__xludf.DUMMYFUNCTION("""COMPUTED_VALUE"""),1998.0)</f>
        <v>1998</v>
      </c>
      <c r="E871">
        <f>IFERROR(__xludf.DUMMYFUNCTION("""COMPUTED_VALUE"""),8041050.0)</f>
        <v>8041050</v>
      </c>
    </row>
    <row r="872">
      <c r="A872" t="str">
        <f t="shared" si="1"/>
        <v>aut#1999</v>
      </c>
      <c r="B872" t="str">
        <f>IFERROR(__xludf.DUMMYFUNCTION("""COMPUTED_VALUE"""),"aut")</f>
        <v>aut</v>
      </c>
      <c r="C872" t="str">
        <f>IFERROR(__xludf.DUMMYFUNCTION("""COMPUTED_VALUE"""),"Austria")</f>
        <v>Austria</v>
      </c>
      <c r="D872">
        <f>IFERROR(__xludf.DUMMYFUNCTION("""COMPUTED_VALUE"""),1999.0)</f>
        <v>1999</v>
      </c>
      <c r="E872">
        <f>IFERROR(__xludf.DUMMYFUNCTION("""COMPUTED_VALUE"""),8051113.0)</f>
        <v>8051113</v>
      </c>
    </row>
    <row r="873">
      <c r="A873" t="str">
        <f t="shared" si="1"/>
        <v>aut#2000</v>
      </c>
      <c r="B873" t="str">
        <f>IFERROR(__xludf.DUMMYFUNCTION("""COMPUTED_VALUE"""),"aut")</f>
        <v>aut</v>
      </c>
      <c r="C873" t="str">
        <f>IFERROR(__xludf.DUMMYFUNCTION("""COMPUTED_VALUE"""),"Austria")</f>
        <v>Austria</v>
      </c>
      <c r="D873">
        <f>IFERROR(__xludf.DUMMYFUNCTION("""COMPUTED_VALUE"""),2000.0)</f>
        <v>2000</v>
      </c>
      <c r="E873">
        <f>IFERROR(__xludf.DUMMYFUNCTION("""COMPUTED_VALUE"""),8069276.0)</f>
        <v>8069276</v>
      </c>
    </row>
    <row r="874">
      <c r="A874" t="str">
        <f t="shared" si="1"/>
        <v>aut#2001</v>
      </c>
      <c r="B874" t="str">
        <f>IFERROR(__xludf.DUMMYFUNCTION("""COMPUTED_VALUE"""),"aut")</f>
        <v>aut</v>
      </c>
      <c r="C874" t="str">
        <f>IFERROR(__xludf.DUMMYFUNCTION("""COMPUTED_VALUE"""),"Austria")</f>
        <v>Austria</v>
      </c>
      <c r="D874">
        <f>IFERROR(__xludf.DUMMYFUNCTION("""COMPUTED_VALUE"""),2001.0)</f>
        <v>2001</v>
      </c>
      <c r="E874">
        <f>IFERROR(__xludf.DUMMYFUNCTION("""COMPUTED_VALUE"""),8097748.0)</f>
        <v>8097748</v>
      </c>
    </row>
    <row r="875">
      <c r="A875" t="str">
        <f t="shared" si="1"/>
        <v>aut#2002</v>
      </c>
      <c r="B875" t="str">
        <f>IFERROR(__xludf.DUMMYFUNCTION("""COMPUTED_VALUE"""),"aut")</f>
        <v>aut</v>
      </c>
      <c r="C875" t="str">
        <f>IFERROR(__xludf.DUMMYFUNCTION("""COMPUTED_VALUE"""),"Austria")</f>
        <v>Austria</v>
      </c>
      <c r="D875">
        <f>IFERROR(__xludf.DUMMYFUNCTION("""COMPUTED_VALUE"""),2002.0)</f>
        <v>2002</v>
      </c>
      <c r="E875">
        <f>IFERROR(__xludf.DUMMYFUNCTION("""COMPUTED_VALUE"""),8134412.0)</f>
        <v>8134412</v>
      </c>
    </row>
    <row r="876">
      <c r="A876" t="str">
        <f t="shared" si="1"/>
        <v>aut#2003</v>
      </c>
      <c r="B876" t="str">
        <f>IFERROR(__xludf.DUMMYFUNCTION("""COMPUTED_VALUE"""),"aut")</f>
        <v>aut</v>
      </c>
      <c r="C876" t="str">
        <f>IFERROR(__xludf.DUMMYFUNCTION("""COMPUTED_VALUE"""),"Austria")</f>
        <v>Austria</v>
      </c>
      <c r="D876">
        <f>IFERROR(__xludf.DUMMYFUNCTION("""COMPUTED_VALUE"""),2003.0)</f>
        <v>2003</v>
      </c>
      <c r="E876">
        <f>IFERROR(__xludf.DUMMYFUNCTION("""COMPUTED_VALUE"""),8175852.0)</f>
        <v>8175852</v>
      </c>
    </row>
    <row r="877">
      <c r="A877" t="str">
        <f t="shared" si="1"/>
        <v>aut#2004</v>
      </c>
      <c r="B877" t="str">
        <f>IFERROR(__xludf.DUMMYFUNCTION("""COMPUTED_VALUE"""),"aut")</f>
        <v>aut</v>
      </c>
      <c r="C877" t="str">
        <f>IFERROR(__xludf.DUMMYFUNCTION("""COMPUTED_VALUE"""),"Austria")</f>
        <v>Austria</v>
      </c>
      <c r="D877">
        <f>IFERROR(__xludf.DUMMYFUNCTION("""COMPUTED_VALUE"""),2004.0)</f>
        <v>2004</v>
      </c>
      <c r="E877">
        <f>IFERROR(__xludf.DUMMYFUNCTION("""COMPUTED_VALUE"""),8216805.0)</f>
        <v>8216805</v>
      </c>
    </row>
    <row r="878">
      <c r="A878" t="str">
        <f t="shared" si="1"/>
        <v>aut#2005</v>
      </c>
      <c r="B878" t="str">
        <f>IFERROR(__xludf.DUMMYFUNCTION("""COMPUTED_VALUE"""),"aut")</f>
        <v>aut</v>
      </c>
      <c r="C878" t="str">
        <f>IFERROR(__xludf.DUMMYFUNCTION("""COMPUTED_VALUE"""),"Austria")</f>
        <v>Austria</v>
      </c>
      <c r="D878">
        <f>IFERROR(__xludf.DUMMYFUNCTION("""COMPUTED_VALUE"""),2005.0)</f>
        <v>2005</v>
      </c>
      <c r="E878">
        <f>IFERROR(__xludf.DUMMYFUNCTION("""COMPUTED_VALUE"""),8253650.0)</f>
        <v>8253650</v>
      </c>
    </row>
    <row r="879">
      <c r="A879" t="str">
        <f t="shared" si="1"/>
        <v>aut#2006</v>
      </c>
      <c r="B879" t="str">
        <f>IFERROR(__xludf.DUMMYFUNCTION("""COMPUTED_VALUE"""),"aut")</f>
        <v>aut</v>
      </c>
      <c r="C879" t="str">
        <f>IFERROR(__xludf.DUMMYFUNCTION("""COMPUTED_VALUE"""),"Austria")</f>
        <v>Austria</v>
      </c>
      <c r="D879">
        <f>IFERROR(__xludf.DUMMYFUNCTION("""COMPUTED_VALUE"""),2006.0)</f>
        <v>2006</v>
      </c>
      <c r="E879">
        <f>IFERROR(__xludf.DUMMYFUNCTION("""COMPUTED_VALUE"""),8284735.0)</f>
        <v>8284735</v>
      </c>
    </row>
    <row r="880">
      <c r="A880" t="str">
        <f t="shared" si="1"/>
        <v>aut#2007</v>
      </c>
      <c r="B880" t="str">
        <f>IFERROR(__xludf.DUMMYFUNCTION("""COMPUTED_VALUE"""),"aut")</f>
        <v>aut</v>
      </c>
      <c r="C880" t="str">
        <f>IFERROR(__xludf.DUMMYFUNCTION("""COMPUTED_VALUE"""),"Austria")</f>
        <v>Austria</v>
      </c>
      <c r="D880">
        <f>IFERROR(__xludf.DUMMYFUNCTION("""COMPUTED_VALUE"""),2007.0)</f>
        <v>2007</v>
      </c>
      <c r="E880">
        <f>IFERROR(__xludf.DUMMYFUNCTION("""COMPUTED_VALUE"""),8311783.0)</f>
        <v>8311783</v>
      </c>
    </row>
    <row r="881">
      <c r="A881" t="str">
        <f t="shared" si="1"/>
        <v>aut#2008</v>
      </c>
      <c r="B881" t="str">
        <f>IFERROR(__xludf.DUMMYFUNCTION("""COMPUTED_VALUE"""),"aut")</f>
        <v>aut</v>
      </c>
      <c r="C881" t="str">
        <f>IFERROR(__xludf.DUMMYFUNCTION("""COMPUTED_VALUE"""),"Austria")</f>
        <v>Austria</v>
      </c>
      <c r="D881">
        <f>IFERROR(__xludf.DUMMYFUNCTION("""COMPUTED_VALUE"""),2008.0)</f>
        <v>2008</v>
      </c>
      <c r="E881">
        <f>IFERROR(__xludf.DUMMYFUNCTION("""COMPUTED_VALUE"""),8338453.0)</f>
        <v>8338453</v>
      </c>
    </row>
    <row r="882">
      <c r="A882" t="str">
        <f t="shared" si="1"/>
        <v>aut#2009</v>
      </c>
      <c r="B882" t="str">
        <f>IFERROR(__xludf.DUMMYFUNCTION("""COMPUTED_VALUE"""),"aut")</f>
        <v>aut</v>
      </c>
      <c r="C882" t="str">
        <f>IFERROR(__xludf.DUMMYFUNCTION("""COMPUTED_VALUE"""),"Austria")</f>
        <v>Austria</v>
      </c>
      <c r="D882">
        <f>IFERROR(__xludf.DUMMYFUNCTION("""COMPUTED_VALUE"""),2009.0)</f>
        <v>2009</v>
      </c>
      <c r="E882">
        <f>IFERROR(__xludf.DUMMYFUNCTION("""COMPUTED_VALUE"""),8370038.0)</f>
        <v>8370038</v>
      </c>
    </row>
    <row r="883">
      <c r="A883" t="str">
        <f t="shared" si="1"/>
        <v>aut#2010</v>
      </c>
      <c r="B883" t="str">
        <f>IFERROR(__xludf.DUMMYFUNCTION("""COMPUTED_VALUE"""),"aut")</f>
        <v>aut</v>
      </c>
      <c r="C883" t="str">
        <f>IFERROR(__xludf.DUMMYFUNCTION("""COMPUTED_VALUE"""),"Austria")</f>
        <v>Austria</v>
      </c>
      <c r="D883">
        <f>IFERROR(__xludf.DUMMYFUNCTION("""COMPUTED_VALUE"""),2010.0)</f>
        <v>2010</v>
      </c>
      <c r="E883">
        <f>IFERROR(__xludf.DUMMYFUNCTION("""COMPUTED_VALUE"""),8409949.0)</f>
        <v>8409949</v>
      </c>
    </row>
    <row r="884">
      <c r="A884" t="str">
        <f t="shared" si="1"/>
        <v>aut#2011</v>
      </c>
      <c r="B884" t="str">
        <f>IFERROR(__xludf.DUMMYFUNCTION("""COMPUTED_VALUE"""),"aut")</f>
        <v>aut</v>
      </c>
      <c r="C884" t="str">
        <f>IFERROR(__xludf.DUMMYFUNCTION("""COMPUTED_VALUE"""),"Austria")</f>
        <v>Austria</v>
      </c>
      <c r="D884">
        <f>IFERROR(__xludf.DUMMYFUNCTION("""COMPUTED_VALUE"""),2011.0)</f>
        <v>2011</v>
      </c>
      <c r="E884">
        <f>IFERROR(__xludf.DUMMYFUNCTION("""COMPUTED_VALUE"""),8459864.0)</f>
        <v>8459864</v>
      </c>
    </row>
    <row r="885">
      <c r="A885" t="str">
        <f t="shared" si="1"/>
        <v>aut#2012</v>
      </c>
      <c r="B885" t="str">
        <f>IFERROR(__xludf.DUMMYFUNCTION("""COMPUTED_VALUE"""),"aut")</f>
        <v>aut</v>
      </c>
      <c r="C885" t="str">
        <f>IFERROR(__xludf.DUMMYFUNCTION("""COMPUTED_VALUE"""),"Austria")</f>
        <v>Austria</v>
      </c>
      <c r="D885">
        <f>IFERROR(__xludf.DUMMYFUNCTION("""COMPUTED_VALUE"""),2012.0)</f>
        <v>2012</v>
      </c>
      <c r="E885">
        <f>IFERROR(__xludf.DUMMYFUNCTION("""COMPUTED_VALUE"""),8517548.0)</f>
        <v>8517548</v>
      </c>
    </row>
    <row r="886">
      <c r="A886" t="str">
        <f t="shared" si="1"/>
        <v>aut#2013</v>
      </c>
      <c r="B886" t="str">
        <f>IFERROR(__xludf.DUMMYFUNCTION("""COMPUTED_VALUE"""),"aut")</f>
        <v>aut</v>
      </c>
      <c r="C886" t="str">
        <f>IFERROR(__xludf.DUMMYFUNCTION("""COMPUTED_VALUE"""),"Austria")</f>
        <v>Austria</v>
      </c>
      <c r="D886">
        <f>IFERROR(__xludf.DUMMYFUNCTION("""COMPUTED_VALUE"""),2013.0)</f>
        <v>2013</v>
      </c>
      <c r="E886">
        <f>IFERROR(__xludf.DUMMYFUNCTION("""COMPUTED_VALUE"""),8577782.0)</f>
        <v>8577782</v>
      </c>
    </row>
    <row r="887">
      <c r="A887" t="str">
        <f t="shared" si="1"/>
        <v>aut#2014</v>
      </c>
      <c r="B887" t="str">
        <f>IFERROR(__xludf.DUMMYFUNCTION("""COMPUTED_VALUE"""),"aut")</f>
        <v>aut</v>
      </c>
      <c r="C887" t="str">
        <f>IFERROR(__xludf.DUMMYFUNCTION("""COMPUTED_VALUE"""),"Austria")</f>
        <v>Austria</v>
      </c>
      <c r="D887">
        <f>IFERROR(__xludf.DUMMYFUNCTION("""COMPUTED_VALUE"""),2014.0)</f>
        <v>2014</v>
      </c>
      <c r="E887">
        <f>IFERROR(__xludf.DUMMYFUNCTION("""COMPUTED_VALUE"""),8633220.0)</f>
        <v>8633220</v>
      </c>
    </row>
    <row r="888">
      <c r="A888" t="str">
        <f t="shared" si="1"/>
        <v>aut#2015</v>
      </c>
      <c r="B888" t="str">
        <f>IFERROR(__xludf.DUMMYFUNCTION("""COMPUTED_VALUE"""),"aut")</f>
        <v>aut</v>
      </c>
      <c r="C888" t="str">
        <f>IFERROR(__xludf.DUMMYFUNCTION("""COMPUTED_VALUE"""),"Austria")</f>
        <v>Austria</v>
      </c>
      <c r="D888">
        <f>IFERROR(__xludf.DUMMYFUNCTION("""COMPUTED_VALUE"""),2015.0)</f>
        <v>2015</v>
      </c>
      <c r="E888">
        <f>IFERROR(__xludf.DUMMYFUNCTION("""COMPUTED_VALUE"""),8678657.0)</f>
        <v>8678657</v>
      </c>
    </row>
    <row r="889">
      <c r="A889" t="str">
        <f t="shared" si="1"/>
        <v>aut#2016</v>
      </c>
      <c r="B889" t="str">
        <f>IFERROR(__xludf.DUMMYFUNCTION("""COMPUTED_VALUE"""),"aut")</f>
        <v>aut</v>
      </c>
      <c r="C889" t="str">
        <f>IFERROR(__xludf.DUMMYFUNCTION("""COMPUTED_VALUE"""),"Austria")</f>
        <v>Austria</v>
      </c>
      <c r="D889">
        <f>IFERROR(__xludf.DUMMYFUNCTION("""COMPUTED_VALUE"""),2016.0)</f>
        <v>2016</v>
      </c>
      <c r="E889">
        <f>IFERROR(__xludf.DUMMYFUNCTION("""COMPUTED_VALUE"""),8712137.0)</f>
        <v>8712137</v>
      </c>
    </row>
    <row r="890">
      <c r="A890" t="str">
        <f t="shared" si="1"/>
        <v>aut#2017</v>
      </c>
      <c r="B890" t="str">
        <f>IFERROR(__xludf.DUMMYFUNCTION("""COMPUTED_VALUE"""),"aut")</f>
        <v>aut</v>
      </c>
      <c r="C890" t="str">
        <f>IFERROR(__xludf.DUMMYFUNCTION("""COMPUTED_VALUE"""),"Austria")</f>
        <v>Austria</v>
      </c>
      <c r="D890">
        <f>IFERROR(__xludf.DUMMYFUNCTION("""COMPUTED_VALUE"""),2017.0)</f>
        <v>2017</v>
      </c>
      <c r="E890">
        <f>IFERROR(__xludf.DUMMYFUNCTION("""COMPUTED_VALUE"""),8735453.0)</f>
        <v>8735453</v>
      </c>
    </row>
    <row r="891">
      <c r="A891" t="str">
        <f t="shared" si="1"/>
        <v>aut#2018</v>
      </c>
      <c r="B891" t="str">
        <f>IFERROR(__xludf.DUMMYFUNCTION("""COMPUTED_VALUE"""),"aut")</f>
        <v>aut</v>
      </c>
      <c r="C891" t="str">
        <f>IFERROR(__xludf.DUMMYFUNCTION("""COMPUTED_VALUE"""),"Austria")</f>
        <v>Austria</v>
      </c>
      <c r="D891">
        <f>IFERROR(__xludf.DUMMYFUNCTION("""COMPUTED_VALUE"""),2018.0)</f>
        <v>2018</v>
      </c>
      <c r="E891">
        <f>IFERROR(__xludf.DUMMYFUNCTION("""COMPUTED_VALUE"""),8751820.0)</f>
        <v>8751820</v>
      </c>
    </row>
    <row r="892">
      <c r="A892" t="str">
        <f t="shared" si="1"/>
        <v>aut#2019</v>
      </c>
      <c r="B892" t="str">
        <f>IFERROR(__xludf.DUMMYFUNCTION("""COMPUTED_VALUE"""),"aut")</f>
        <v>aut</v>
      </c>
      <c r="C892" t="str">
        <f>IFERROR(__xludf.DUMMYFUNCTION("""COMPUTED_VALUE"""),"Austria")</f>
        <v>Austria</v>
      </c>
      <c r="D892">
        <f>IFERROR(__xludf.DUMMYFUNCTION("""COMPUTED_VALUE"""),2019.0)</f>
        <v>2019</v>
      </c>
      <c r="E892">
        <f>IFERROR(__xludf.DUMMYFUNCTION("""COMPUTED_VALUE"""),8766201.0)</f>
        <v>8766201</v>
      </c>
    </row>
    <row r="893">
      <c r="A893" t="str">
        <f t="shared" si="1"/>
        <v>aut#2020</v>
      </c>
      <c r="B893" t="str">
        <f>IFERROR(__xludf.DUMMYFUNCTION("""COMPUTED_VALUE"""),"aut")</f>
        <v>aut</v>
      </c>
      <c r="C893" t="str">
        <f>IFERROR(__xludf.DUMMYFUNCTION("""COMPUTED_VALUE"""),"Austria")</f>
        <v>Austria</v>
      </c>
      <c r="D893">
        <f>IFERROR(__xludf.DUMMYFUNCTION("""COMPUTED_VALUE"""),2020.0)</f>
        <v>2020</v>
      </c>
      <c r="E893">
        <f>IFERROR(__xludf.DUMMYFUNCTION("""COMPUTED_VALUE"""),8782210.0)</f>
        <v>8782210</v>
      </c>
    </row>
    <row r="894">
      <c r="A894" t="str">
        <f t="shared" si="1"/>
        <v>aut#2021</v>
      </c>
      <c r="B894" t="str">
        <f>IFERROR(__xludf.DUMMYFUNCTION("""COMPUTED_VALUE"""),"aut")</f>
        <v>aut</v>
      </c>
      <c r="C894" t="str">
        <f>IFERROR(__xludf.DUMMYFUNCTION("""COMPUTED_VALUE"""),"Austria")</f>
        <v>Austria</v>
      </c>
      <c r="D894">
        <f>IFERROR(__xludf.DUMMYFUNCTION("""COMPUTED_VALUE"""),2021.0)</f>
        <v>2021</v>
      </c>
      <c r="E894">
        <f>IFERROR(__xludf.DUMMYFUNCTION("""COMPUTED_VALUE"""),8800683.0)</f>
        <v>8800683</v>
      </c>
    </row>
    <row r="895">
      <c r="A895" t="str">
        <f t="shared" si="1"/>
        <v>aut#2022</v>
      </c>
      <c r="B895" t="str">
        <f>IFERROR(__xludf.DUMMYFUNCTION("""COMPUTED_VALUE"""),"aut")</f>
        <v>aut</v>
      </c>
      <c r="C895" t="str">
        <f>IFERROR(__xludf.DUMMYFUNCTION("""COMPUTED_VALUE"""),"Austria")</f>
        <v>Austria</v>
      </c>
      <c r="D895">
        <f>IFERROR(__xludf.DUMMYFUNCTION("""COMPUTED_VALUE"""),2022.0)</f>
        <v>2022</v>
      </c>
      <c r="E895">
        <f>IFERROR(__xludf.DUMMYFUNCTION("""COMPUTED_VALUE"""),8820467.0)</f>
        <v>8820467</v>
      </c>
    </row>
    <row r="896">
      <c r="A896" t="str">
        <f t="shared" si="1"/>
        <v>aut#2023</v>
      </c>
      <c r="B896" t="str">
        <f>IFERROR(__xludf.DUMMYFUNCTION("""COMPUTED_VALUE"""),"aut")</f>
        <v>aut</v>
      </c>
      <c r="C896" t="str">
        <f>IFERROR(__xludf.DUMMYFUNCTION("""COMPUTED_VALUE"""),"Austria")</f>
        <v>Austria</v>
      </c>
      <c r="D896">
        <f>IFERROR(__xludf.DUMMYFUNCTION("""COMPUTED_VALUE"""),2023.0)</f>
        <v>2023</v>
      </c>
      <c r="E896">
        <f>IFERROR(__xludf.DUMMYFUNCTION("""COMPUTED_VALUE"""),8840866.0)</f>
        <v>8840866</v>
      </c>
    </row>
    <row r="897">
      <c r="A897" t="str">
        <f t="shared" si="1"/>
        <v>aut#2024</v>
      </c>
      <c r="B897" t="str">
        <f>IFERROR(__xludf.DUMMYFUNCTION("""COMPUTED_VALUE"""),"aut")</f>
        <v>aut</v>
      </c>
      <c r="C897" t="str">
        <f>IFERROR(__xludf.DUMMYFUNCTION("""COMPUTED_VALUE"""),"Austria")</f>
        <v>Austria</v>
      </c>
      <c r="D897">
        <f>IFERROR(__xludf.DUMMYFUNCTION("""COMPUTED_VALUE"""),2024.0)</f>
        <v>2024</v>
      </c>
      <c r="E897">
        <f>IFERROR(__xludf.DUMMYFUNCTION("""COMPUTED_VALUE"""),8860572.0)</f>
        <v>8860572</v>
      </c>
    </row>
    <row r="898">
      <c r="A898" t="str">
        <f t="shared" si="1"/>
        <v>aut#2025</v>
      </c>
      <c r="B898" t="str">
        <f>IFERROR(__xludf.DUMMYFUNCTION("""COMPUTED_VALUE"""),"aut")</f>
        <v>aut</v>
      </c>
      <c r="C898" t="str">
        <f>IFERROR(__xludf.DUMMYFUNCTION("""COMPUTED_VALUE"""),"Austria")</f>
        <v>Austria</v>
      </c>
      <c r="D898">
        <f>IFERROR(__xludf.DUMMYFUNCTION("""COMPUTED_VALUE"""),2025.0)</f>
        <v>2025</v>
      </c>
      <c r="E898">
        <f>IFERROR(__xludf.DUMMYFUNCTION("""COMPUTED_VALUE"""),8878617.0)</f>
        <v>8878617</v>
      </c>
    </row>
    <row r="899">
      <c r="A899" t="str">
        <f t="shared" si="1"/>
        <v>aut#2026</v>
      </c>
      <c r="B899" t="str">
        <f>IFERROR(__xludf.DUMMYFUNCTION("""COMPUTED_VALUE"""),"aut")</f>
        <v>aut</v>
      </c>
      <c r="C899" t="str">
        <f>IFERROR(__xludf.DUMMYFUNCTION("""COMPUTED_VALUE"""),"Austria")</f>
        <v>Austria</v>
      </c>
      <c r="D899">
        <f>IFERROR(__xludf.DUMMYFUNCTION("""COMPUTED_VALUE"""),2026.0)</f>
        <v>2026</v>
      </c>
      <c r="E899">
        <f>IFERROR(__xludf.DUMMYFUNCTION("""COMPUTED_VALUE"""),8895000.0)</f>
        <v>8895000</v>
      </c>
    </row>
    <row r="900">
      <c r="A900" t="str">
        <f t="shared" si="1"/>
        <v>aut#2027</v>
      </c>
      <c r="B900" t="str">
        <f>IFERROR(__xludf.DUMMYFUNCTION("""COMPUTED_VALUE"""),"aut")</f>
        <v>aut</v>
      </c>
      <c r="C900" t="str">
        <f>IFERROR(__xludf.DUMMYFUNCTION("""COMPUTED_VALUE"""),"Austria")</f>
        <v>Austria</v>
      </c>
      <c r="D900">
        <f>IFERROR(__xludf.DUMMYFUNCTION("""COMPUTED_VALUE"""),2027.0)</f>
        <v>2027</v>
      </c>
      <c r="E900">
        <f>IFERROR(__xludf.DUMMYFUNCTION("""COMPUTED_VALUE"""),8910093.0)</f>
        <v>8910093</v>
      </c>
    </row>
    <row r="901">
      <c r="A901" t="str">
        <f t="shared" si="1"/>
        <v>aut#2028</v>
      </c>
      <c r="B901" t="str">
        <f>IFERROR(__xludf.DUMMYFUNCTION("""COMPUTED_VALUE"""),"aut")</f>
        <v>aut</v>
      </c>
      <c r="C901" t="str">
        <f>IFERROR(__xludf.DUMMYFUNCTION("""COMPUTED_VALUE"""),"Austria")</f>
        <v>Austria</v>
      </c>
      <c r="D901">
        <f>IFERROR(__xludf.DUMMYFUNCTION("""COMPUTED_VALUE"""),2028.0)</f>
        <v>2028</v>
      </c>
      <c r="E901">
        <f>IFERROR(__xludf.DUMMYFUNCTION("""COMPUTED_VALUE"""),8923730.0)</f>
        <v>8923730</v>
      </c>
    </row>
    <row r="902">
      <c r="A902" t="str">
        <f t="shared" si="1"/>
        <v>aut#2029</v>
      </c>
      <c r="B902" t="str">
        <f>IFERROR(__xludf.DUMMYFUNCTION("""COMPUTED_VALUE"""),"aut")</f>
        <v>aut</v>
      </c>
      <c r="C902" t="str">
        <f>IFERROR(__xludf.DUMMYFUNCTION("""COMPUTED_VALUE"""),"Austria")</f>
        <v>Austria</v>
      </c>
      <c r="D902">
        <f>IFERROR(__xludf.DUMMYFUNCTION("""COMPUTED_VALUE"""),2029.0)</f>
        <v>2029</v>
      </c>
      <c r="E902">
        <f>IFERROR(__xludf.DUMMYFUNCTION("""COMPUTED_VALUE"""),8935707.0)</f>
        <v>8935707</v>
      </c>
    </row>
    <row r="903">
      <c r="A903" t="str">
        <f t="shared" si="1"/>
        <v>aut#2030</v>
      </c>
      <c r="B903" t="str">
        <f>IFERROR(__xludf.DUMMYFUNCTION("""COMPUTED_VALUE"""),"aut")</f>
        <v>aut</v>
      </c>
      <c r="C903" t="str">
        <f>IFERROR(__xludf.DUMMYFUNCTION("""COMPUTED_VALUE"""),"Austria")</f>
        <v>Austria</v>
      </c>
      <c r="D903">
        <f>IFERROR(__xludf.DUMMYFUNCTION("""COMPUTED_VALUE"""),2030.0)</f>
        <v>2030</v>
      </c>
      <c r="E903">
        <f>IFERROR(__xludf.DUMMYFUNCTION("""COMPUTED_VALUE"""),8945882.0)</f>
        <v>8945882</v>
      </c>
    </row>
    <row r="904">
      <c r="A904" t="str">
        <f t="shared" si="1"/>
        <v>aut#2031</v>
      </c>
      <c r="B904" t="str">
        <f>IFERROR(__xludf.DUMMYFUNCTION("""COMPUTED_VALUE"""),"aut")</f>
        <v>aut</v>
      </c>
      <c r="C904" t="str">
        <f>IFERROR(__xludf.DUMMYFUNCTION("""COMPUTED_VALUE"""),"Austria")</f>
        <v>Austria</v>
      </c>
      <c r="D904">
        <f>IFERROR(__xludf.DUMMYFUNCTION("""COMPUTED_VALUE"""),2031.0)</f>
        <v>2031</v>
      </c>
      <c r="E904">
        <f>IFERROR(__xludf.DUMMYFUNCTION("""COMPUTED_VALUE"""),8954175.0)</f>
        <v>8954175</v>
      </c>
    </row>
    <row r="905">
      <c r="A905" t="str">
        <f t="shared" si="1"/>
        <v>aut#2032</v>
      </c>
      <c r="B905" t="str">
        <f>IFERROR(__xludf.DUMMYFUNCTION("""COMPUTED_VALUE"""),"aut")</f>
        <v>aut</v>
      </c>
      <c r="C905" t="str">
        <f>IFERROR(__xludf.DUMMYFUNCTION("""COMPUTED_VALUE"""),"Austria")</f>
        <v>Austria</v>
      </c>
      <c r="D905">
        <f>IFERROR(__xludf.DUMMYFUNCTION("""COMPUTED_VALUE"""),2032.0)</f>
        <v>2032</v>
      </c>
      <c r="E905">
        <f>IFERROR(__xludf.DUMMYFUNCTION("""COMPUTED_VALUE"""),8960620.0)</f>
        <v>8960620</v>
      </c>
    </row>
    <row r="906">
      <c r="A906" t="str">
        <f t="shared" si="1"/>
        <v>aut#2033</v>
      </c>
      <c r="B906" t="str">
        <f>IFERROR(__xludf.DUMMYFUNCTION("""COMPUTED_VALUE"""),"aut")</f>
        <v>aut</v>
      </c>
      <c r="C906" t="str">
        <f>IFERROR(__xludf.DUMMYFUNCTION("""COMPUTED_VALUE"""),"Austria")</f>
        <v>Austria</v>
      </c>
      <c r="D906">
        <f>IFERROR(__xludf.DUMMYFUNCTION("""COMPUTED_VALUE"""),2033.0)</f>
        <v>2033</v>
      </c>
      <c r="E906">
        <f>IFERROR(__xludf.DUMMYFUNCTION("""COMPUTED_VALUE"""),8965350.0)</f>
        <v>8965350</v>
      </c>
    </row>
    <row r="907">
      <c r="A907" t="str">
        <f t="shared" si="1"/>
        <v>aut#2034</v>
      </c>
      <c r="B907" t="str">
        <f>IFERROR(__xludf.DUMMYFUNCTION("""COMPUTED_VALUE"""),"aut")</f>
        <v>aut</v>
      </c>
      <c r="C907" t="str">
        <f>IFERROR(__xludf.DUMMYFUNCTION("""COMPUTED_VALUE"""),"Austria")</f>
        <v>Austria</v>
      </c>
      <c r="D907">
        <f>IFERROR(__xludf.DUMMYFUNCTION("""COMPUTED_VALUE"""),2034.0)</f>
        <v>2034</v>
      </c>
      <c r="E907">
        <f>IFERROR(__xludf.DUMMYFUNCTION("""COMPUTED_VALUE"""),8968574.0)</f>
        <v>8968574</v>
      </c>
    </row>
    <row r="908">
      <c r="A908" t="str">
        <f t="shared" si="1"/>
        <v>aut#2035</v>
      </c>
      <c r="B908" t="str">
        <f>IFERROR(__xludf.DUMMYFUNCTION("""COMPUTED_VALUE"""),"aut")</f>
        <v>aut</v>
      </c>
      <c r="C908" t="str">
        <f>IFERROR(__xludf.DUMMYFUNCTION("""COMPUTED_VALUE"""),"Austria")</f>
        <v>Austria</v>
      </c>
      <c r="D908">
        <f>IFERROR(__xludf.DUMMYFUNCTION("""COMPUTED_VALUE"""),2035.0)</f>
        <v>2035</v>
      </c>
      <c r="E908">
        <f>IFERROR(__xludf.DUMMYFUNCTION("""COMPUTED_VALUE"""),8970477.0)</f>
        <v>8970477</v>
      </c>
    </row>
    <row r="909">
      <c r="A909" t="str">
        <f t="shared" si="1"/>
        <v>aut#2036</v>
      </c>
      <c r="B909" t="str">
        <f>IFERROR(__xludf.DUMMYFUNCTION("""COMPUTED_VALUE"""),"aut")</f>
        <v>aut</v>
      </c>
      <c r="C909" t="str">
        <f>IFERROR(__xludf.DUMMYFUNCTION("""COMPUTED_VALUE"""),"Austria")</f>
        <v>Austria</v>
      </c>
      <c r="D909">
        <f>IFERROR(__xludf.DUMMYFUNCTION("""COMPUTED_VALUE"""),2036.0)</f>
        <v>2036</v>
      </c>
      <c r="E909">
        <f>IFERROR(__xludf.DUMMYFUNCTION("""COMPUTED_VALUE"""),8971097.0)</f>
        <v>8971097</v>
      </c>
    </row>
    <row r="910">
      <c r="A910" t="str">
        <f t="shared" si="1"/>
        <v>aut#2037</v>
      </c>
      <c r="B910" t="str">
        <f>IFERROR(__xludf.DUMMYFUNCTION("""COMPUTED_VALUE"""),"aut")</f>
        <v>aut</v>
      </c>
      <c r="C910" t="str">
        <f>IFERROR(__xludf.DUMMYFUNCTION("""COMPUTED_VALUE"""),"Austria")</f>
        <v>Austria</v>
      </c>
      <c r="D910">
        <f>IFERROR(__xludf.DUMMYFUNCTION("""COMPUTED_VALUE"""),2037.0)</f>
        <v>2037</v>
      </c>
      <c r="E910">
        <f>IFERROR(__xludf.DUMMYFUNCTION("""COMPUTED_VALUE"""),8970431.0)</f>
        <v>8970431</v>
      </c>
    </row>
    <row r="911">
      <c r="A911" t="str">
        <f t="shared" si="1"/>
        <v>aut#2038</v>
      </c>
      <c r="B911" t="str">
        <f>IFERROR(__xludf.DUMMYFUNCTION("""COMPUTED_VALUE"""),"aut")</f>
        <v>aut</v>
      </c>
      <c r="C911" t="str">
        <f>IFERROR(__xludf.DUMMYFUNCTION("""COMPUTED_VALUE"""),"Austria")</f>
        <v>Austria</v>
      </c>
      <c r="D911">
        <f>IFERROR(__xludf.DUMMYFUNCTION("""COMPUTED_VALUE"""),2038.0)</f>
        <v>2038</v>
      </c>
      <c r="E911">
        <f>IFERROR(__xludf.DUMMYFUNCTION("""COMPUTED_VALUE"""),8968620.0)</f>
        <v>8968620</v>
      </c>
    </row>
    <row r="912">
      <c r="A912" t="str">
        <f t="shared" si="1"/>
        <v>aut#2039</v>
      </c>
      <c r="B912" t="str">
        <f>IFERROR(__xludf.DUMMYFUNCTION("""COMPUTED_VALUE"""),"aut")</f>
        <v>aut</v>
      </c>
      <c r="C912" t="str">
        <f>IFERROR(__xludf.DUMMYFUNCTION("""COMPUTED_VALUE"""),"Austria")</f>
        <v>Austria</v>
      </c>
      <c r="D912">
        <f>IFERROR(__xludf.DUMMYFUNCTION("""COMPUTED_VALUE"""),2039.0)</f>
        <v>2039</v>
      </c>
      <c r="E912">
        <f>IFERROR(__xludf.DUMMYFUNCTION("""COMPUTED_VALUE"""),8965812.0)</f>
        <v>8965812</v>
      </c>
    </row>
    <row r="913">
      <c r="A913" t="str">
        <f t="shared" si="1"/>
        <v>aut#2040</v>
      </c>
      <c r="B913" t="str">
        <f>IFERROR(__xludf.DUMMYFUNCTION("""COMPUTED_VALUE"""),"aut")</f>
        <v>aut</v>
      </c>
      <c r="C913" t="str">
        <f>IFERROR(__xludf.DUMMYFUNCTION("""COMPUTED_VALUE"""),"Austria")</f>
        <v>Austria</v>
      </c>
      <c r="D913">
        <f>IFERROR(__xludf.DUMMYFUNCTION("""COMPUTED_VALUE"""),2040.0)</f>
        <v>2040</v>
      </c>
      <c r="E913">
        <f>IFERROR(__xludf.DUMMYFUNCTION("""COMPUTED_VALUE"""),8962110.0)</f>
        <v>8962110</v>
      </c>
    </row>
    <row r="914">
      <c r="A914" t="str">
        <f t="shared" si="1"/>
        <v>aze#1950</v>
      </c>
      <c r="B914" t="str">
        <f>IFERROR(__xludf.DUMMYFUNCTION("""COMPUTED_VALUE"""),"aze")</f>
        <v>aze</v>
      </c>
      <c r="C914" t="str">
        <f>IFERROR(__xludf.DUMMYFUNCTION("""COMPUTED_VALUE"""),"Azerbaijan")</f>
        <v>Azerbaijan</v>
      </c>
      <c r="D914">
        <f>IFERROR(__xludf.DUMMYFUNCTION("""COMPUTED_VALUE"""),1950.0)</f>
        <v>1950</v>
      </c>
      <c r="E914">
        <f>IFERROR(__xludf.DUMMYFUNCTION("""COMPUTED_VALUE"""),2927921.0)</f>
        <v>2927921</v>
      </c>
    </row>
    <row r="915">
      <c r="A915" t="str">
        <f t="shared" si="1"/>
        <v>aze#1951</v>
      </c>
      <c r="B915" t="str">
        <f>IFERROR(__xludf.DUMMYFUNCTION("""COMPUTED_VALUE"""),"aze")</f>
        <v>aze</v>
      </c>
      <c r="C915" t="str">
        <f>IFERROR(__xludf.DUMMYFUNCTION("""COMPUTED_VALUE"""),"Azerbaijan")</f>
        <v>Azerbaijan</v>
      </c>
      <c r="D915">
        <f>IFERROR(__xludf.DUMMYFUNCTION("""COMPUTED_VALUE"""),1951.0)</f>
        <v>1951</v>
      </c>
      <c r="E915">
        <f>IFERROR(__xludf.DUMMYFUNCTION("""COMPUTED_VALUE"""),2987267.0)</f>
        <v>2987267</v>
      </c>
    </row>
    <row r="916">
      <c r="A916" t="str">
        <f t="shared" si="1"/>
        <v>aze#1952</v>
      </c>
      <c r="B916" t="str">
        <f>IFERROR(__xludf.DUMMYFUNCTION("""COMPUTED_VALUE"""),"aze")</f>
        <v>aze</v>
      </c>
      <c r="C916" t="str">
        <f>IFERROR(__xludf.DUMMYFUNCTION("""COMPUTED_VALUE"""),"Azerbaijan")</f>
        <v>Azerbaijan</v>
      </c>
      <c r="D916">
        <f>IFERROR(__xludf.DUMMYFUNCTION("""COMPUTED_VALUE"""),1952.0)</f>
        <v>1952</v>
      </c>
      <c r="E916">
        <f>IFERROR(__xludf.DUMMYFUNCTION("""COMPUTED_VALUE"""),3060011.0)</f>
        <v>3060011</v>
      </c>
    </row>
    <row r="917">
      <c r="A917" t="str">
        <f t="shared" si="1"/>
        <v>aze#1953</v>
      </c>
      <c r="B917" t="str">
        <f>IFERROR(__xludf.DUMMYFUNCTION("""COMPUTED_VALUE"""),"aze")</f>
        <v>aze</v>
      </c>
      <c r="C917" t="str">
        <f>IFERROR(__xludf.DUMMYFUNCTION("""COMPUTED_VALUE"""),"Azerbaijan")</f>
        <v>Azerbaijan</v>
      </c>
      <c r="D917">
        <f>IFERROR(__xludf.DUMMYFUNCTION("""COMPUTED_VALUE"""),1953.0)</f>
        <v>1953</v>
      </c>
      <c r="E917">
        <f>IFERROR(__xludf.DUMMYFUNCTION("""COMPUTED_VALUE"""),3142813.0)</f>
        <v>3142813</v>
      </c>
    </row>
    <row r="918">
      <c r="A918" t="str">
        <f t="shared" si="1"/>
        <v>aze#1954</v>
      </c>
      <c r="B918" t="str">
        <f>IFERROR(__xludf.DUMMYFUNCTION("""COMPUTED_VALUE"""),"aze")</f>
        <v>aze</v>
      </c>
      <c r="C918" t="str">
        <f>IFERROR(__xludf.DUMMYFUNCTION("""COMPUTED_VALUE"""),"Azerbaijan")</f>
        <v>Azerbaijan</v>
      </c>
      <c r="D918">
        <f>IFERROR(__xludf.DUMMYFUNCTION("""COMPUTED_VALUE"""),1954.0)</f>
        <v>1954</v>
      </c>
      <c r="E918">
        <f>IFERROR(__xludf.DUMMYFUNCTION("""COMPUTED_VALUE"""),3233166.0)</f>
        <v>3233166</v>
      </c>
    </row>
    <row r="919">
      <c r="A919" t="str">
        <f t="shared" si="1"/>
        <v>aze#1955</v>
      </c>
      <c r="B919" t="str">
        <f>IFERROR(__xludf.DUMMYFUNCTION("""COMPUTED_VALUE"""),"aze")</f>
        <v>aze</v>
      </c>
      <c r="C919" t="str">
        <f>IFERROR(__xludf.DUMMYFUNCTION("""COMPUTED_VALUE"""),"Azerbaijan")</f>
        <v>Azerbaijan</v>
      </c>
      <c r="D919">
        <f>IFERROR(__xludf.DUMMYFUNCTION("""COMPUTED_VALUE"""),1955.0)</f>
        <v>1955</v>
      </c>
      <c r="E919">
        <f>IFERROR(__xludf.DUMMYFUNCTION("""COMPUTED_VALUE"""),3329387.0)</f>
        <v>3329387</v>
      </c>
    </row>
    <row r="920">
      <c r="A920" t="str">
        <f t="shared" si="1"/>
        <v>aze#1956</v>
      </c>
      <c r="B920" t="str">
        <f>IFERROR(__xludf.DUMMYFUNCTION("""COMPUTED_VALUE"""),"aze")</f>
        <v>aze</v>
      </c>
      <c r="C920" t="str">
        <f>IFERROR(__xludf.DUMMYFUNCTION("""COMPUTED_VALUE"""),"Azerbaijan")</f>
        <v>Azerbaijan</v>
      </c>
      <c r="D920">
        <f>IFERROR(__xludf.DUMMYFUNCTION("""COMPUTED_VALUE"""),1956.0)</f>
        <v>1956</v>
      </c>
      <c r="E920">
        <f>IFERROR(__xludf.DUMMYFUNCTION("""COMPUTED_VALUE"""),3430660.0)</f>
        <v>3430660</v>
      </c>
    </row>
    <row r="921">
      <c r="A921" t="str">
        <f t="shared" si="1"/>
        <v>aze#1957</v>
      </c>
      <c r="B921" t="str">
        <f>IFERROR(__xludf.DUMMYFUNCTION("""COMPUTED_VALUE"""),"aze")</f>
        <v>aze</v>
      </c>
      <c r="C921" t="str">
        <f>IFERROR(__xludf.DUMMYFUNCTION("""COMPUTED_VALUE"""),"Azerbaijan")</f>
        <v>Azerbaijan</v>
      </c>
      <c r="D921">
        <f>IFERROR(__xludf.DUMMYFUNCTION("""COMPUTED_VALUE"""),1957.0)</f>
        <v>1957</v>
      </c>
      <c r="E921">
        <f>IFERROR(__xludf.DUMMYFUNCTION("""COMPUTED_VALUE"""),3537027.0)</f>
        <v>3537027</v>
      </c>
    </row>
    <row r="922">
      <c r="A922" t="str">
        <f t="shared" si="1"/>
        <v>aze#1958</v>
      </c>
      <c r="B922" t="str">
        <f>IFERROR(__xludf.DUMMYFUNCTION("""COMPUTED_VALUE"""),"aze")</f>
        <v>aze</v>
      </c>
      <c r="C922" t="str">
        <f>IFERROR(__xludf.DUMMYFUNCTION("""COMPUTED_VALUE"""),"Azerbaijan")</f>
        <v>Azerbaijan</v>
      </c>
      <c r="D922">
        <f>IFERROR(__xludf.DUMMYFUNCTION("""COMPUTED_VALUE"""),1958.0)</f>
        <v>1958</v>
      </c>
      <c r="E922">
        <f>IFERROR(__xludf.DUMMYFUNCTION("""COMPUTED_VALUE"""),3649191.0)</f>
        <v>3649191</v>
      </c>
    </row>
    <row r="923">
      <c r="A923" t="str">
        <f t="shared" si="1"/>
        <v>aze#1959</v>
      </c>
      <c r="B923" t="str">
        <f>IFERROR(__xludf.DUMMYFUNCTION("""COMPUTED_VALUE"""),"aze")</f>
        <v>aze</v>
      </c>
      <c r="C923" t="str">
        <f>IFERROR(__xludf.DUMMYFUNCTION("""COMPUTED_VALUE"""),"Azerbaijan")</f>
        <v>Azerbaijan</v>
      </c>
      <c r="D923">
        <f>IFERROR(__xludf.DUMMYFUNCTION("""COMPUTED_VALUE"""),1959.0)</f>
        <v>1959</v>
      </c>
      <c r="E923">
        <f>IFERROR(__xludf.DUMMYFUNCTION("""COMPUTED_VALUE"""),3768331.0)</f>
        <v>3768331</v>
      </c>
    </row>
    <row r="924">
      <c r="A924" t="str">
        <f t="shared" si="1"/>
        <v>aze#1960</v>
      </c>
      <c r="B924" t="str">
        <f>IFERROR(__xludf.DUMMYFUNCTION("""COMPUTED_VALUE"""),"aze")</f>
        <v>aze</v>
      </c>
      <c r="C924" t="str">
        <f>IFERROR(__xludf.DUMMYFUNCTION("""COMPUTED_VALUE"""),"Azerbaijan")</f>
        <v>Azerbaijan</v>
      </c>
      <c r="D924">
        <f>IFERROR(__xludf.DUMMYFUNCTION("""COMPUTED_VALUE"""),1960.0)</f>
        <v>1960</v>
      </c>
      <c r="E924">
        <f>IFERROR(__xludf.DUMMYFUNCTION("""COMPUTED_VALUE"""),3895396.0)</f>
        <v>3895396</v>
      </c>
    </row>
    <row r="925">
      <c r="A925" t="str">
        <f t="shared" si="1"/>
        <v>aze#1961</v>
      </c>
      <c r="B925" t="str">
        <f>IFERROR(__xludf.DUMMYFUNCTION("""COMPUTED_VALUE"""),"aze")</f>
        <v>aze</v>
      </c>
      <c r="C925" t="str">
        <f>IFERROR(__xludf.DUMMYFUNCTION("""COMPUTED_VALUE"""),"Azerbaijan")</f>
        <v>Azerbaijan</v>
      </c>
      <c r="D925">
        <f>IFERROR(__xludf.DUMMYFUNCTION("""COMPUTED_VALUE"""),1961.0)</f>
        <v>1961</v>
      </c>
      <c r="E925">
        <f>IFERROR(__xludf.DUMMYFUNCTION("""COMPUTED_VALUE"""),4030320.0)</f>
        <v>4030320</v>
      </c>
    </row>
    <row r="926">
      <c r="A926" t="str">
        <f t="shared" si="1"/>
        <v>aze#1962</v>
      </c>
      <c r="B926" t="str">
        <f>IFERROR(__xludf.DUMMYFUNCTION("""COMPUTED_VALUE"""),"aze")</f>
        <v>aze</v>
      </c>
      <c r="C926" t="str">
        <f>IFERROR(__xludf.DUMMYFUNCTION("""COMPUTED_VALUE"""),"Azerbaijan")</f>
        <v>Azerbaijan</v>
      </c>
      <c r="D926">
        <f>IFERROR(__xludf.DUMMYFUNCTION("""COMPUTED_VALUE"""),1962.0)</f>
        <v>1962</v>
      </c>
      <c r="E926">
        <f>IFERROR(__xludf.DUMMYFUNCTION("""COMPUTED_VALUE"""),4171425.0)</f>
        <v>4171425</v>
      </c>
    </row>
    <row r="927">
      <c r="A927" t="str">
        <f t="shared" si="1"/>
        <v>aze#1963</v>
      </c>
      <c r="B927" t="str">
        <f>IFERROR(__xludf.DUMMYFUNCTION("""COMPUTED_VALUE"""),"aze")</f>
        <v>aze</v>
      </c>
      <c r="C927" t="str">
        <f>IFERROR(__xludf.DUMMYFUNCTION("""COMPUTED_VALUE"""),"Azerbaijan")</f>
        <v>Azerbaijan</v>
      </c>
      <c r="D927">
        <f>IFERROR(__xludf.DUMMYFUNCTION("""COMPUTED_VALUE"""),1963.0)</f>
        <v>1963</v>
      </c>
      <c r="E927">
        <f>IFERROR(__xludf.DUMMYFUNCTION("""COMPUTED_VALUE"""),4315128.0)</f>
        <v>4315128</v>
      </c>
    </row>
    <row r="928">
      <c r="A928" t="str">
        <f t="shared" si="1"/>
        <v>aze#1964</v>
      </c>
      <c r="B928" t="str">
        <f>IFERROR(__xludf.DUMMYFUNCTION("""COMPUTED_VALUE"""),"aze")</f>
        <v>aze</v>
      </c>
      <c r="C928" t="str">
        <f>IFERROR(__xludf.DUMMYFUNCTION("""COMPUTED_VALUE"""),"Azerbaijan")</f>
        <v>Azerbaijan</v>
      </c>
      <c r="D928">
        <f>IFERROR(__xludf.DUMMYFUNCTION("""COMPUTED_VALUE"""),1964.0)</f>
        <v>1964</v>
      </c>
      <c r="E928">
        <f>IFERROR(__xludf.DUMMYFUNCTION("""COMPUTED_VALUE"""),4456689.0)</f>
        <v>4456689</v>
      </c>
    </row>
    <row r="929">
      <c r="A929" t="str">
        <f t="shared" si="1"/>
        <v>aze#1965</v>
      </c>
      <c r="B929" t="str">
        <f>IFERROR(__xludf.DUMMYFUNCTION("""COMPUTED_VALUE"""),"aze")</f>
        <v>aze</v>
      </c>
      <c r="C929" t="str">
        <f>IFERROR(__xludf.DUMMYFUNCTION("""COMPUTED_VALUE"""),"Azerbaijan")</f>
        <v>Azerbaijan</v>
      </c>
      <c r="D929">
        <f>IFERROR(__xludf.DUMMYFUNCTION("""COMPUTED_VALUE"""),1965.0)</f>
        <v>1965</v>
      </c>
      <c r="E929">
        <f>IFERROR(__xludf.DUMMYFUNCTION("""COMPUTED_VALUE"""),4592610.0)</f>
        <v>4592610</v>
      </c>
    </row>
    <row r="930">
      <c r="A930" t="str">
        <f t="shared" si="1"/>
        <v>aze#1966</v>
      </c>
      <c r="B930" t="str">
        <f>IFERROR(__xludf.DUMMYFUNCTION("""COMPUTED_VALUE"""),"aze")</f>
        <v>aze</v>
      </c>
      <c r="C930" t="str">
        <f>IFERROR(__xludf.DUMMYFUNCTION("""COMPUTED_VALUE"""),"Azerbaijan")</f>
        <v>Azerbaijan</v>
      </c>
      <c r="D930">
        <f>IFERROR(__xludf.DUMMYFUNCTION("""COMPUTED_VALUE"""),1966.0)</f>
        <v>1966</v>
      </c>
      <c r="E930">
        <f>IFERROR(__xludf.DUMMYFUNCTION("""COMPUTED_VALUE"""),4721525.0)</f>
        <v>4721525</v>
      </c>
    </row>
    <row r="931">
      <c r="A931" t="str">
        <f t="shared" si="1"/>
        <v>aze#1967</v>
      </c>
      <c r="B931" t="str">
        <f>IFERROR(__xludf.DUMMYFUNCTION("""COMPUTED_VALUE"""),"aze")</f>
        <v>aze</v>
      </c>
      <c r="C931" t="str">
        <f>IFERROR(__xludf.DUMMYFUNCTION("""COMPUTED_VALUE"""),"Azerbaijan")</f>
        <v>Azerbaijan</v>
      </c>
      <c r="D931">
        <f>IFERROR(__xludf.DUMMYFUNCTION("""COMPUTED_VALUE"""),1967.0)</f>
        <v>1967</v>
      </c>
      <c r="E931">
        <f>IFERROR(__xludf.DUMMYFUNCTION("""COMPUTED_VALUE"""),4843870.0)</f>
        <v>4843870</v>
      </c>
    </row>
    <row r="932">
      <c r="A932" t="str">
        <f t="shared" si="1"/>
        <v>aze#1968</v>
      </c>
      <c r="B932" t="str">
        <f>IFERROR(__xludf.DUMMYFUNCTION("""COMPUTED_VALUE"""),"aze")</f>
        <v>aze</v>
      </c>
      <c r="C932" t="str">
        <f>IFERROR(__xludf.DUMMYFUNCTION("""COMPUTED_VALUE"""),"Azerbaijan")</f>
        <v>Azerbaijan</v>
      </c>
      <c r="D932">
        <f>IFERROR(__xludf.DUMMYFUNCTION("""COMPUTED_VALUE"""),1968.0)</f>
        <v>1968</v>
      </c>
      <c r="E932">
        <f>IFERROR(__xludf.DUMMYFUNCTION("""COMPUTED_VALUE"""),4960235.0)</f>
        <v>4960235</v>
      </c>
    </row>
    <row r="933">
      <c r="A933" t="str">
        <f t="shared" si="1"/>
        <v>aze#1969</v>
      </c>
      <c r="B933" t="str">
        <f>IFERROR(__xludf.DUMMYFUNCTION("""COMPUTED_VALUE"""),"aze")</f>
        <v>aze</v>
      </c>
      <c r="C933" t="str">
        <f>IFERROR(__xludf.DUMMYFUNCTION("""COMPUTED_VALUE"""),"Azerbaijan")</f>
        <v>Azerbaijan</v>
      </c>
      <c r="D933">
        <f>IFERROR(__xludf.DUMMYFUNCTION("""COMPUTED_VALUE"""),1969.0)</f>
        <v>1969</v>
      </c>
      <c r="E933">
        <f>IFERROR(__xludf.DUMMYFUNCTION("""COMPUTED_VALUE"""),5071930.0)</f>
        <v>5071930</v>
      </c>
    </row>
    <row r="934">
      <c r="A934" t="str">
        <f t="shared" si="1"/>
        <v>aze#1970</v>
      </c>
      <c r="B934" t="str">
        <f>IFERROR(__xludf.DUMMYFUNCTION("""COMPUTED_VALUE"""),"aze")</f>
        <v>aze</v>
      </c>
      <c r="C934" t="str">
        <f>IFERROR(__xludf.DUMMYFUNCTION("""COMPUTED_VALUE"""),"Azerbaijan")</f>
        <v>Azerbaijan</v>
      </c>
      <c r="D934">
        <f>IFERROR(__xludf.DUMMYFUNCTION("""COMPUTED_VALUE"""),1970.0)</f>
        <v>1970</v>
      </c>
      <c r="E934">
        <f>IFERROR(__xludf.DUMMYFUNCTION("""COMPUTED_VALUE"""),5180025.0)</f>
        <v>5180025</v>
      </c>
    </row>
    <row r="935">
      <c r="A935" t="str">
        <f t="shared" si="1"/>
        <v>aze#1971</v>
      </c>
      <c r="B935" t="str">
        <f>IFERROR(__xludf.DUMMYFUNCTION("""COMPUTED_VALUE"""),"aze")</f>
        <v>aze</v>
      </c>
      <c r="C935" t="str">
        <f>IFERROR(__xludf.DUMMYFUNCTION("""COMPUTED_VALUE"""),"Azerbaijan")</f>
        <v>Azerbaijan</v>
      </c>
      <c r="D935">
        <f>IFERROR(__xludf.DUMMYFUNCTION("""COMPUTED_VALUE"""),1971.0)</f>
        <v>1971</v>
      </c>
      <c r="E935">
        <f>IFERROR(__xludf.DUMMYFUNCTION("""COMPUTED_VALUE"""),5284532.0)</f>
        <v>5284532</v>
      </c>
    </row>
    <row r="936">
      <c r="A936" t="str">
        <f t="shared" si="1"/>
        <v>aze#1972</v>
      </c>
      <c r="B936" t="str">
        <f>IFERROR(__xludf.DUMMYFUNCTION("""COMPUTED_VALUE"""),"aze")</f>
        <v>aze</v>
      </c>
      <c r="C936" t="str">
        <f>IFERROR(__xludf.DUMMYFUNCTION("""COMPUTED_VALUE"""),"Azerbaijan")</f>
        <v>Azerbaijan</v>
      </c>
      <c r="D936">
        <f>IFERROR(__xludf.DUMMYFUNCTION("""COMPUTED_VALUE"""),1972.0)</f>
        <v>1972</v>
      </c>
      <c r="E936">
        <f>IFERROR(__xludf.DUMMYFUNCTION("""COMPUTED_VALUE"""),5385267.0)</f>
        <v>5385267</v>
      </c>
    </row>
    <row r="937">
      <c r="A937" t="str">
        <f t="shared" si="1"/>
        <v>aze#1973</v>
      </c>
      <c r="B937" t="str">
        <f>IFERROR(__xludf.DUMMYFUNCTION("""COMPUTED_VALUE"""),"aze")</f>
        <v>aze</v>
      </c>
      <c r="C937" t="str">
        <f>IFERROR(__xludf.DUMMYFUNCTION("""COMPUTED_VALUE"""),"Azerbaijan")</f>
        <v>Azerbaijan</v>
      </c>
      <c r="D937">
        <f>IFERROR(__xludf.DUMMYFUNCTION("""COMPUTED_VALUE"""),1973.0)</f>
        <v>1973</v>
      </c>
      <c r="E937">
        <f>IFERROR(__xludf.DUMMYFUNCTION("""COMPUTED_VALUE"""),5483084.0)</f>
        <v>5483084</v>
      </c>
    </row>
    <row r="938">
      <c r="A938" t="str">
        <f t="shared" si="1"/>
        <v>aze#1974</v>
      </c>
      <c r="B938" t="str">
        <f>IFERROR(__xludf.DUMMYFUNCTION("""COMPUTED_VALUE"""),"aze")</f>
        <v>aze</v>
      </c>
      <c r="C938" t="str">
        <f>IFERROR(__xludf.DUMMYFUNCTION("""COMPUTED_VALUE"""),"Azerbaijan")</f>
        <v>Azerbaijan</v>
      </c>
      <c r="D938">
        <f>IFERROR(__xludf.DUMMYFUNCTION("""COMPUTED_VALUE"""),1974.0)</f>
        <v>1974</v>
      </c>
      <c r="E938">
        <f>IFERROR(__xludf.DUMMYFUNCTION("""COMPUTED_VALUE"""),5579077.0)</f>
        <v>5579077</v>
      </c>
    </row>
    <row r="939">
      <c r="A939" t="str">
        <f t="shared" si="1"/>
        <v>aze#1975</v>
      </c>
      <c r="B939" t="str">
        <f>IFERROR(__xludf.DUMMYFUNCTION("""COMPUTED_VALUE"""),"aze")</f>
        <v>aze</v>
      </c>
      <c r="C939" t="str">
        <f>IFERROR(__xludf.DUMMYFUNCTION("""COMPUTED_VALUE"""),"Azerbaijan")</f>
        <v>Azerbaijan</v>
      </c>
      <c r="D939">
        <f>IFERROR(__xludf.DUMMYFUNCTION("""COMPUTED_VALUE"""),1975.0)</f>
        <v>1975</v>
      </c>
      <c r="E939">
        <f>IFERROR(__xludf.DUMMYFUNCTION("""COMPUTED_VALUE"""),5674137.0)</f>
        <v>5674137</v>
      </c>
    </row>
    <row r="940">
      <c r="A940" t="str">
        <f t="shared" si="1"/>
        <v>aze#1976</v>
      </c>
      <c r="B940" t="str">
        <f>IFERROR(__xludf.DUMMYFUNCTION("""COMPUTED_VALUE"""),"aze")</f>
        <v>aze</v>
      </c>
      <c r="C940" t="str">
        <f>IFERROR(__xludf.DUMMYFUNCTION("""COMPUTED_VALUE"""),"Azerbaijan")</f>
        <v>Azerbaijan</v>
      </c>
      <c r="D940">
        <f>IFERROR(__xludf.DUMMYFUNCTION("""COMPUTED_VALUE"""),1976.0)</f>
        <v>1976</v>
      </c>
      <c r="E940">
        <f>IFERROR(__xludf.DUMMYFUNCTION("""COMPUTED_VALUE"""),5768724.0)</f>
        <v>5768724</v>
      </c>
    </row>
    <row r="941">
      <c r="A941" t="str">
        <f t="shared" si="1"/>
        <v>aze#1977</v>
      </c>
      <c r="B941" t="str">
        <f>IFERROR(__xludf.DUMMYFUNCTION("""COMPUTED_VALUE"""),"aze")</f>
        <v>aze</v>
      </c>
      <c r="C941" t="str">
        <f>IFERROR(__xludf.DUMMYFUNCTION("""COMPUTED_VALUE"""),"Azerbaijan")</f>
        <v>Azerbaijan</v>
      </c>
      <c r="D941">
        <f>IFERROR(__xludf.DUMMYFUNCTION("""COMPUTED_VALUE"""),1977.0)</f>
        <v>1977</v>
      </c>
      <c r="E941">
        <f>IFERROR(__xludf.DUMMYFUNCTION("""COMPUTED_VALUE"""),5863134.0)</f>
        <v>5863134</v>
      </c>
    </row>
    <row r="942">
      <c r="A942" t="str">
        <f t="shared" si="1"/>
        <v>aze#1978</v>
      </c>
      <c r="B942" t="str">
        <f>IFERROR(__xludf.DUMMYFUNCTION("""COMPUTED_VALUE"""),"aze")</f>
        <v>aze</v>
      </c>
      <c r="C942" t="str">
        <f>IFERROR(__xludf.DUMMYFUNCTION("""COMPUTED_VALUE"""),"Azerbaijan")</f>
        <v>Azerbaijan</v>
      </c>
      <c r="D942">
        <f>IFERROR(__xludf.DUMMYFUNCTION("""COMPUTED_VALUE"""),1978.0)</f>
        <v>1978</v>
      </c>
      <c r="E942">
        <f>IFERROR(__xludf.DUMMYFUNCTION("""COMPUTED_VALUE"""),5957929.0)</f>
        <v>5957929</v>
      </c>
    </row>
    <row r="943">
      <c r="A943" t="str">
        <f t="shared" si="1"/>
        <v>aze#1979</v>
      </c>
      <c r="B943" t="str">
        <f>IFERROR(__xludf.DUMMYFUNCTION("""COMPUTED_VALUE"""),"aze")</f>
        <v>aze</v>
      </c>
      <c r="C943" t="str">
        <f>IFERROR(__xludf.DUMMYFUNCTION("""COMPUTED_VALUE"""),"Azerbaijan")</f>
        <v>Azerbaijan</v>
      </c>
      <c r="D943">
        <f>IFERROR(__xludf.DUMMYFUNCTION("""COMPUTED_VALUE"""),1979.0)</f>
        <v>1979</v>
      </c>
      <c r="E943">
        <f>IFERROR(__xludf.DUMMYFUNCTION("""COMPUTED_VALUE"""),6053645.0)</f>
        <v>6053645</v>
      </c>
    </row>
    <row r="944">
      <c r="A944" t="str">
        <f t="shared" si="1"/>
        <v>aze#1980</v>
      </c>
      <c r="B944" t="str">
        <f>IFERROR(__xludf.DUMMYFUNCTION("""COMPUTED_VALUE"""),"aze")</f>
        <v>aze</v>
      </c>
      <c r="C944" t="str">
        <f>IFERROR(__xludf.DUMMYFUNCTION("""COMPUTED_VALUE"""),"Azerbaijan")</f>
        <v>Azerbaijan</v>
      </c>
      <c r="D944">
        <f>IFERROR(__xludf.DUMMYFUNCTION("""COMPUTED_VALUE"""),1980.0)</f>
        <v>1980</v>
      </c>
      <c r="E944">
        <f>IFERROR(__xludf.DUMMYFUNCTION("""COMPUTED_VALUE"""),6150738.0)</f>
        <v>6150738</v>
      </c>
    </row>
    <row r="945">
      <c r="A945" t="str">
        <f t="shared" si="1"/>
        <v>aze#1981</v>
      </c>
      <c r="B945" t="str">
        <f>IFERROR(__xludf.DUMMYFUNCTION("""COMPUTED_VALUE"""),"aze")</f>
        <v>aze</v>
      </c>
      <c r="C945" t="str">
        <f>IFERROR(__xludf.DUMMYFUNCTION("""COMPUTED_VALUE"""),"Azerbaijan")</f>
        <v>Azerbaijan</v>
      </c>
      <c r="D945">
        <f>IFERROR(__xludf.DUMMYFUNCTION("""COMPUTED_VALUE"""),1981.0)</f>
        <v>1981</v>
      </c>
      <c r="E945">
        <f>IFERROR(__xludf.DUMMYFUNCTION("""COMPUTED_VALUE"""),6249320.0)</f>
        <v>6249320</v>
      </c>
    </row>
    <row r="946">
      <c r="A946" t="str">
        <f t="shared" si="1"/>
        <v>aze#1982</v>
      </c>
      <c r="B946" t="str">
        <f>IFERROR(__xludf.DUMMYFUNCTION("""COMPUTED_VALUE"""),"aze")</f>
        <v>aze</v>
      </c>
      <c r="C946" t="str">
        <f>IFERROR(__xludf.DUMMYFUNCTION("""COMPUTED_VALUE"""),"Azerbaijan")</f>
        <v>Azerbaijan</v>
      </c>
      <c r="D946">
        <f>IFERROR(__xludf.DUMMYFUNCTION("""COMPUTED_VALUE"""),1982.0)</f>
        <v>1982</v>
      </c>
      <c r="E946">
        <f>IFERROR(__xludf.DUMMYFUNCTION("""COMPUTED_VALUE"""),6349558.0)</f>
        <v>6349558</v>
      </c>
    </row>
    <row r="947">
      <c r="A947" t="str">
        <f t="shared" si="1"/>
        <v>aze#1983</v>
      </c>
      <c r="B947" t="str">
        <f>IFERROR(__xludf.DUMMYFUNCTION("""COMPUTED_VALUE"""),"aze")</f>
        <v>aze</v>
      </c>
      <c r="C947" t="str">
        <f>IFERROR(__xludf.DUMMYFUNCTION("""COMPUTED_VALUE"""),"Azerbaijan")</f>
        <v>Azerbaijan</v>
      </c>
      <c r="D947">
        <f>IFERROR(__xludf.DUMMYFUNCTION("""COMPUTED_VALUE"""),1983.0)</f>
        <v>1983</v>
      </c>
      <c r="E947">
        <f>IFERROR(__xludf.DUMMYFUNCTION("""COMPUTED_VALUE"""),6452076.0)</f>
        <v>6452076</v>
      </c>
    </row>
    <row r="948">
      <c r="A948" t="str">
        <f t="shared" si="1"/>
        <v>aze#1984</v>
      </c>
      <c r="B948" t="str">
        <f>IFERROR(__xludf.DUMMYFUNCTION("""COMPUTED_VALUE"""),"aze")</f>
        <v>aze</v>
      </c>
      <c r="C948" t="str">
        <f>IFERROR(__xludf.DUMMYFUNCTION("""COMPUTED_VALUE"""),"Azerbaijan")</f>
        <v>Azerbaijan</v>
      </c>
      <c r="D948">
        <f>IFERROR(__xludf.DUMMYFUNCTION("""COMPUTED_VALUE"""),1984.0)</f>
        <v>1984</v>
      </c>
      <c r="E948">
        <f>IFERROR(__xludf.DUMMYFUNCTION("""COMPUTED_VALUE"""),6557585.0)</f>
        <v>6557585</v>
      </c>
    </row>
    <row r="949">
      <c r="A949" t="str">
        <f t="shared" si="1"/>
        <v>aze#1985</v>
      </c>
      <c r="B949" t="str">
        <f>IFERROR(__xludf.DUMMYFUNCTION("""COMPUTED_VALUE"""),"aze")</f>
        <v>aze</v>
      </c>
      <c r="C949" t="str">
        <f>IFERROR(__xludf.DUMMYFUNCTION("""COMPUTED_VALUE"""),"Azerbaijan")</f>
        <v>Azerbaijan</v>
      </c>
      <c r="D949">
        <f>IFERROR(__xludf.DUMMYFUNCTION("""COMPUTED_VALUE"""),1985.0)</f>
        <v>1985</v>
      </c>
      <c r="E949">
        <f>IFERROR(__xludf.DUMMYFUNCTION("""COMPUTED_VALUE"""),6666455.0)</f>
        <v>6666455</v>
      </c>
    </row>
    <row r="950">
      <c r="A950" t="str">
        <f t="shared" si="1"/>
        <v>aze#1986</v>
      </c>
      <c r="B950" t="str">
        <f>IFERROR(__xludf.DUMMYFUNCTION("""COMPUTED_VALUE"""),"aze")</f>
        <v>aze</v>
      </c>
      <c r="C950" t="str">
        <f>IFERROR(__xludf.DUMMYFUNCTION("""COMPUTED_VALUE"""),"Azerbaijan")</f>
        <v>Azerbaijan</v>
      </c>
      <c r="D950">
        <f>IFERROR(__xludf.DUMMYFUNCTION("""COMPUTED_VALUE"""),1986.0)</f>
        <v>1986</v>
      </c>
      <c r="E950">
        <f>IFERROR(__xludf.DUMMYFUNCTION("""COMPUTED_VALUE"""),6778633.0)</f>
        <v>6778633</v>
      </c>
    </row>
    <row r="951">
      <c r="A951" t="str">
        <f t="shared" si="1"/>
        <v>aze#1987</v>
      </c>
      <c r="B951" t="str">
        <f>IFERROR(__xludf.DUMMYFUNCTION("""COMPUTED_VALUE"""),"aze")</f>
        <v>aze</v>
      </c>
      <c r="C951" t="str">
        <f>IFERROR(__xludf.DUMMYFUNCTION("""COMPUTED_VALUE"""),"Azerbaijan")</f>
        <v>Azerbaijan</v>
      </c>
      <c r="D951">
        <f>IFERROR(__xludf.DUMMYFUNCTION("""COMPUTED_VALUE"""),1987.0)</f>
        <v>1987</v>
      </c>
      <c r="E951">
        <f>IFERROR(__xludf.DUMMYFUNCTION("""COMPUTED_VALUE"""),6893500.0)</f>
        <v>6893500</v>
      </c>
    </row>
    <row r="952">
      <c r="A952" t="str">
        <f t="shared" si="1"/>
        <v>aze#1988</v>
      </c>
      <c r="B952" t="str">
        <f>IFERROR(__xludf.DUMMYFUNCTION("""COMPUTED_VALUE"""),"aze")</f>
        <v>aze</v>
      </c>
      <c r="C952" t="str">
        <f>IFERROR(__xludf.DUMMYFUNCTION("""COMPUTED_VALUE"""),"Azerbaijan")</f>
        <v>Azerbaijan</v>
      </c>
      <c r="D952">
        <f>IFERROR(__xludf.DUMMYFUNCTION("""COMPUTED_VALUE"""),1988.0)</f>
        <v>1988</v>
      </c>
      <c r="E952">
        <f>IFERROR(__xludf.DUMMYFUNCTION("""COMPUTED_VALUE"""),7010036.0)</f>
        <v>7010036</v>
      </c>
    </row>
    <row r="953">
      <c r="A953" t="str">
        <f t="shared" si="1"/>
        <v>aze#1989</v>
      </c>
      <c r="B953" t="str">
        <f>IFERROR(__xludf.DUMMYFUNCTION("""COMPUTED_VALUE"""),"aze")</f>
        <v>aze</v>
      </c>
      <c r="C953" t="str">
        <f>IFERROR(__xludf.DUMMYFUNCTION("""COMPUTED_VALUE"""),"Azerbaijan")</f>
        <v>Azerbaijan</v>
      </c>
      <c r="D953">
        <f>IFERROR(__xludf.DUMMYFUNCTION("""COMPUTED_VALUE"""),1989.0)</f>
        <v>1989</v>
      </c>
      <c r="E953">
        <f>IFERROR(__xludf.DUMMYFUNCTION("""COMPUTED_VALUE"""),7126891.0)</f>
        <v>7126891</v>
      </c>
    </row>
    <row r="954">
      <c r="A954" t="str">
        <f t="shared" si="1"/>
        <v>aze#1990</v>
      </c>
      <c r="B954" t="str">
        <f>IFERROR(__xludf.DUMMYFUNCTION("""COMPUTED_VALUE"""),"aze")</f>
        <v>aze</v>
      </c>
      <c r="C954" t="str">
        <f>IFERROR(__xludf.DUMMYFUNCTION("""COMPUTED_VALUE"""),"Azerbaijan")</f>
        <v>Azerbaijan</v>
      </c>
      <c r="D954">
        <f>IFERROR(__xludf.DUMMYFUNCTION("""COMPUTED_VALUE"""),1990.0)</f>
        <v>1990</v>
      </c>
      <c r="E954">
        <f>IFERROR(__xludf.DUMMYFUNCTION("""COMPUTED_VALUE"""),7242770.0)</f>
        <v>7242770</v>
      </c>
    </row>
    <row r="955">
      <c r="A955" t="str">
        <f t="shared" si="1"/>
        <v>aze#1991</v>
      </c>
      <c r="B955" t="str">
        <f>IFERROR(__xludf.DUMMYFUNCTION("""COMPUTED_VALUE"""),"aze")</f>
        <v>aze</v>
      </c>
      <c r="C955" t="str">
        <f>IFERROR(__xludf.DUMMYFUNCTION("""COMPUTED_VALUE"""),"Azerbaijan")</f>
        <v>Azerbaijan</v>
      </c>
      <c r="D955">
        <f>IFERROR(__xludf.DUMMYFUNCTION("""COMPUTED_VALUE"""),1991.0)</f>
        <v>1991</v>
      </c>
      <c r="E955">
        <f>IFERROR(__xludf.DUMMYFUNCTION("""COMPUTED_VALUE"""),7357956.0)</f>
        <v>7357956</v>
      </c>
    </row>
    <row r="956">
      <c r="A956" t="str">
        <f t="shared" si="1"/>
        <v>aze#1992</v>
      </c>
      <c r="B956" t="str">
        <f>IFERROR(__xludf.DUMMYFUNCTION("""COMPUTED_VALUE"""),"aze")</f>
        <v>aze</v>
      </c>
      <c r="C956" t="str">
        <f>IFERROR(__xludf.DUMMYFUNCTION("""COMPUTED_VALUE"""),"Azerbaijan")</f>
        <v>Azerbaijan</v>
      </c>
      <c r="D956">
        <f>IFERROR(__xludf.DUMMYFUNCTION("""COMPUTED_VALUE"""),1992.0)</f>
        <v>1992</v>
      </c>
      <c r="E956">
        <f>IFERROR(__xludf.DUMMYFUNCTION("""COMPUTED_VALUE"""),7471933.0)</f>
        <v>7471933</v>
      </c>
    </row>
    <row r="957">
      <c r="A957" t="str">
        <f t="shared" si="1"/>
        <v>aze#1993</v>
      </c>
      <c r="B957" t="str">
        <f>IFERROR(__xludf.DUMMYFUNCTION("""COMPUTED_VALUE"""),"aze")</f>
        <v>aze</v>
      </c>
      <c r="C957" t="str">
        <f>IFERROR(__xludf.DUMMYFUNCTION("""COMPUTED_VALUE"""),"Azerbaijan")</f>
        <v>Azerbaijan</v>
      </c>
      <c r="D957">
        <f>IFERROR(__xludf.DUMMYFUNCTION("""COMPUTED_VALUE"""),1993.0)</f>
        <v>1993</v>
      </c>
      <c r="E957">
        <f>IFERROR(__xludf.DUMMYFUNCTION("""COMPUTED_VALUE"""),7581761.0)</f>
        <v>7581761</v>
      </c>
    </row>
    <row r="958">
      <c r="A958" t="str">
        <f t="shared" si="1"/>
        <v>aze#1994</v>
      </c>
      <c r="B958" t="str">
        <f>IFERROR(__xludf.DUMMYFUNCTION("""COMPUTED_VALUE"""),"aze")</f>
        <v>aze</v>
      </c>
      <c r="C958" t="str">
        <f>IFERROR(__xludf.DUMMYFUNCTION("""COMPUTED_VALUE"""),"Azerbaijan")</f>
        <v>Azerbaijan</v>
      </c>
      <c r="D958">
        <f>IFERROR(__xludf.DUMMYFUNCTION("""COMPUTED_VALUE"""),1994.0)</f>
        <v>1994</v>
      </c>
      <c r="E958">
        <f>IFERROR(__xludf.DUMMYFUNCTION("""COMPUTED_VALUE"""),7683709.0)</f>
        <v>7683709</v>
      </c>
    </row>
    <row r="959">
      <c r="A959" t="str">
        <f t="shared" si="1"/>
        <v>aze#1995</v>
      </c>
      <c r="B959" t="str">
        <f>IFERROR(__xludf.DUMMYFUNCTION("""COMPUTED_VALUE"""),"aze")</f>
        <v>aze</v>
      </c>
      <c r="C959" t="str">
        <f>IFERROR(__xludf.DUMMYFUNCTION("""COMPUTED_VALUE"""),"Azerbaijan")</f>
        <v>Azerbaijan</v>
      </c>
      <c r="D959">
        <f>IFERROR(__xludf.DUMMYFUNCTION("""COMPUTED_VALUE"""),1995.0)</f>
        <v>1995</v>
      </c>
      <c r="E959">
        <f>IFERROR(__xludf.DUMMYFUNCTION("""COMPUTED_VALUE"""),7775426.0)</f>
        <v>7775426</v>
      </c>
    </row>
    <row r="960">
      <c r="A960" t="str">
        <f t="shared" si="1"/>
        <v>aze#1996</v>
      </c>
      <c r="B960" t="str">
        <f>IFERROR(__xludf.DUMMYFUNCTION("""COMPUTED_VALUE"""),"aze")</f>
        <v>aze</v>
      </c>
      <c r="C960" t="str">
        <f>IFERROR(__xludf.DUMMYFUNCTION("""COMPUTED_VALUE"""),"Azerbaijan")</f>
        <v>Azerbaijan</v>
      </c>
      <c r="D960">
        <f>IFERROR(__xludf.DUMMYFUNCTION("""COMPUTED_VALUE"""),1996.0)</f>
        <v>1996</v>
      </c>
      <c r="E960">
        <f>IFERROR(__xludf.DUMMYFUNCTION("""COMPUTED_VALUE"""),7855553.0)</f>
        <v>7855553</v>
      </c>
    </row>
    <row r="961">
      <c r="A961" t="str">
        <f t="shared" si="1"/>
        <v>aze#1997</v>
      </c>
      <c r="B961" t="str">
        <f>IFERROR(__xludf.DUMMYFUNCTION("""COMPUTED_VALUE"""),"aze")</f>
        <v>aze</v>
      </c>
      <c r="C961" t="str">
        <f>IFERROR(__xludf.DUMMYFUNCTION("""COMPUTED_VALUE"""),"Azerbaijan")</f>
        <v>Azerbaijan</v>
      </c>
      <c r="D961">
        <f>IFERROR(__xludf.DUMMYFUNCTION("""COMPUTED_VALUE"""),1997.0)</f>
        <v>1997</v>
      </c>
      <c r="E961">
        <f>IFERROR(__xludf.DUMMYFUNCTION("""COMPUTED_VALUE"""),7925669.0)</f>
        <v>7925669</v>
      </c>
    </row>
    <row r="962">
      <c r="A962" t="str">
        <f t="shared" si="1"/>
        <v>aze#1998</v>
      </c>
      <c r="B962" t="str">
        <f>IFERROR(__xludf.DUMMYFUNCTION("""COMPUTED_VALUE"""),"aze")</f>
        <v>aze</v>
      </c>
      <c r="C962" t="str">
        <f>IFERROR(__xludf.DUMMYFUNCTION("""COMPUTED_VALUE"""),"Azerbaijan")</f>
        <v>Azerbaijan</v>
      </c>
      <c r="D962">
        <f>IFERROR(__xludf.DUMMYFUNCTION("""COMPUTED_VALUE"""),1998.0)</f>
        <v>1998</v>
      </c>
      <c r="E962">
        <f>IFERROR(__xludf.DUMMYFUNCTION("""COMPUTED_VALUE"""),7989904.0)</f>
        <v>7989904</v>
      </c>
    </row>
    <row r="963">
      <c r="A963" t="str">
        <f t="shared" si="1"/>
        <v>aze#1999</v>
      </c>
      <c r="B963" t="str">
        <f>IFERROR(__xludf.DUMMYFUNCTION("""COMPUTED_VALUE"""),"aze")</f>
        <v>aze</v>
      </c>
      <c r="C963" t="str">
        <f>IFERROR(__xludf.DUMMYFUNCTION("""COMPUTED_VALUE"""),"Azerbaijan")</f>
        <v>Azerbaijan</v>
      </c>
      <c r="D963">
        <f>IFERROR(__xludf.DUMMYFUNCTION("""COMPUTED_VALUE"""),1999.0)</f>
        <v>1999</v>
      </c>
      <c r="E963">
        <f>IFERROR(__xludf.DUMMYFUNCTION("""COMPUTED_VALUE"""),8054125.0)</f>
        <v>8054125</v>
      </c>
    </row>
    <row r="964">
      <c r="A964" t="str">
        <f t="shared" si="1"/>
        <v>aze#2000</v>
      </c>
      <c r="B964" t="str">
        <f>IFERROR(__xludf.DUMMYFUNCTION("""COMPUTED_VALUE"""),"aze")</f>
        <v>aze</v>
      </c>
      <c r="C964" t="str">
        <f>IFERROR(__xludf.DUMMYFUNCTION("""COMPUTED_VALUE"""),"Azerbaijan")</f>
        <v>Azerbaijan</v>
      </c>
      <c r="D964">
        <f>IFERROR(__xludf.DUMMYFUNCTION("""COMPUTED_VALUE"""),2000.0)</f>
        <v>2000</v>
      </c>
      <c r="E964">
        <f>IFERROR(__xludf.DUMMYFUNCTION("""COMPUTED_VALUE"""),8122741.0)</f>
        <v>8122741</v>
      </c>
    </row>
    <row r="965">
      <c r="A965" t="str">
        <f t="shared" si="1"/>
        <v>aze#2001</v>
      </c>
      <c r="B965" t="str">
        <f>IFERROR(__xludf.DUMMYFUNCTION("""COMPUTED_VALUE"""),"aze")</f>
        <v>aze</v>
      </c>
      <c r="C965" t="str">
        <f>IFERROR(__xludf.DUMMYFUNCTION("""COMPUTED_VALUE"""),"Azerbaijan")</f>
        <v>Azerbaijan</v>
      </c>
      <c r="D965">
        <f>IFERROR(__xludf.DUMMYFUNCTION("""COMPUTED_VALUE"""),2001.0)</f>
        <v>2001</v>
      </c>
      <c r="E965">
        <f>IFERROR(__xludf.DUMMYFUNCTION("""COMPUTED_VALUE"""),8197279.0)</f>
        <v>8197279</v>
      </c>
    </row>
    <row r="966">
      <c r="A966" t="str">
        <f t="shared" si="1"/>
        <v>aze#2002</v>
      </c>
      <c r="B966" t="str">
        <f>IFERROR(__xludf.DUMMYFUNCTION("""COMPUTED_VALUE"""),"aze")</f>
        <v>aze</v>
      </c>
      <c r="C966" t="str">
        <f>IFERROR(__xludf.DUMMYFUNCTION("""COMPUTED_VALUE"""),"Azerbaijan")</f>
        <v>Azerbaijan</v>
      </c>
      <c r="D966">
        <f>IFERROR(__xludf.DUMMYFUNCTION("""COMPUTED_VALUE"""),2002.0)</f>
        <v>2002</v>
      </c>
      <c r="E966">
        <f>IFERROR(__xludf.DUMMYFUNCTION("""COMPUTED_VALUE"""),8277015.0)</f>
        <v>8277015</v>
      </c>
    </row>
    <row r="967">
      <c r="A967" t="str">
        <f t="shared" si="1"/>
        <v>aze#2003</v>
      </c>
      <c r="B967" t="str">
        <f>IFERROR(__xludf.DUMMYFUNCTION("""COMPUTED_VALUE"""),"aze")</f>
        <v>aze</v>
      </c>
      <c r="C967" t="str">
        <f>IFERROR(__xludf.DUMMYFUNCTION("""COMPUTED_VALUE"""),"Azerbaijan")</f>
        <v>Azerbaijan</v>
      </c>
      <c r="D967">
        <f>IFERROR(__xludf.DUMMYFUNCTION("""COMPUTED_VALUE"""),2003.0)</f>
        <v>2003</v>
      </c>
      <c r="E967">
        <f>IFERROR(__xludf.DUMMYFUNCTION("""COMPUTED_VALUE"""),8361359.0)</f>
        <v>8361359</v>
      </c>
    </row>
    <row r="968">
      <c r="A968" t="str">
        <f t="shared" si="1"/>
        <v>aze#2004</v>
      </c>
      <c r="B968" t="str">
        <f>IFERROR(__xludf.DUMMYFUNCTION("""COMPUTED_VALUE"""),"aze")</f>
        <v>aze</v>
      </c>
      <c r="C968" t="str">
        <f>IFERROR(__xludf.DUMMYFUNCTION("""COMPUTED_VALUE"""),"Azerbaijan")</f>
        <v>Azerbaijan</v>
      </c>
      <c r="D968">
        <f>IFERROR(__xludf.DUMMYFUNCTION("""COMPUTED_VALUE"""),2004.0)</f>
        <v>2004</v>
      </c>
      <c r="E968">
        <f>IFERROR(__xludf.DUMMYFUNCTION("""COMPUTED_VALUE"""),8448882.0)</f>
        <v>8448882</v>
      </c>
    </row>
    <row r="969">
      <c r="A969" t="str">
        <f t="shared" si="1"/>
        <v>aze#2005</v>
      </c>
      <c r="B969" t="str">
        <f>IFERROR(__xludf.DUMMYFUNCTION("""COMPUTED_VALUE"""),"aze")</f>
        <v>aze</v>
      </c>
      <c r="C969" t="str">
        <f>IFERROR(__xludf.DUMMYFUNCTION("""COMPUTED_VALUE"""),"Azerbaijan")</f>
        <v>Azerbaijan</v>
      </c>
      <c r="D969">
        <f>IFERROR(__xludf.DUMMYFUNCTION("""COMPUTED_VALUE"""),2005.0)</f>
        <v>2005</v>
      </c>
      <c r="E969">
        <f>IFERROR(__xludf.DUMMYFUNCTION("""COMPUTED_VALUE"""),8538606.0)</f>
        <v>8538606</v>
      </c>
    </row>
    <row r="970">
      <c r="A970" t="str">
        <f t="shared" si="1"/>
        <v>aze#2006</v>
      </c>
      <c r="B970" t="str">
        <f>IFERROR(__xludf.DUMMYFUNCTION("""COMPUTED_VALUE"""),"aze")</f>
        <v>aze</v>
      </c>
      <c r="C970" t="str">
        <f>IFERROR(__xludf.DUMMYFUNCTION("""COMPUTED_VALUE"""),"Azerbaijan")</f>
        <v>Azerbaijan</v>
      </c>
      <c r="D970">
        <f>IFERROR(__xludf.DUMMYFUNCTION("""COMPUTED_VALUE"""),2006.0)</f>
        <v>2006</v>
      </c>
      <c r="E970">
        <f>IFERROR(__xludf.DUMMYFUNCTION("""COMPUTED_VALUE"""),8630195.0)</f>
        <v>8630195</v>
      </c>
    </row>
    <row r="971">
      <c r="A971" t="str">
        <f t="shared" si="1"/>
        <v>aze#2007</v>
      </c>
      <c r="B971" t="str">
        <f>IFERROR(__xludf.DUMMYFUNCTION("""COMPUTED_VALUE"""),"aze")</f>
        <v>aze</v>
      </c>
      <c r="C971" t="str">
        <f>IFERROR(__xludf.DUMMYFUNCTION("""COMPUTED_VALUE"""),"Azerbaijan")</f>
        <v>Azerbaijan</v>
      </c>
      <c r="D971">
        <f>IFERROR(__xludf.DUMMYFUNCTION("""COMPUTED_VALUE"""),2007.0)</f>
        <v>2007</v>
      </c>
      <c r="E971">
        <f>IFERROR(__xludf.DUMMYFUNCTION("""COMPUTED_VALUE"""),8724304.0)</f>
        <v>8724304</v>
      </c>
    </row>
    <row r="972">
      <c r="A972" t="str">
        <f t="shared" si="1"/>
        <v>aze#2008</v>
      </c>
      <c r="B972" t="str">
        <f>IFERROR(__xludf.DUMMYFUNCTION("""COMPUTED_VALUE"""),"aze")</f>
        <v>aze</v>
      </c>
      <c r="C972" t="str">
        <f>IFERROR(__xludf.DUMMYFUNCTION("""COMPUTED_VALUE"""),"Azerbaijan")</f>
        <v>Azerbaijan</v>
      </c>
      <c r="D972">
        <f>IFERROR(__xludf.DUMMYFUNCTION("""COMPUTED_VALUE"""),2008.0)</f>
        <v>2008</v>
      </c>
      <c r="E972">
        <f>IFERROR(__xludf.DUMMYFUNCTION("""COMPUTED_VALUE"""),8821908.0)</f>
        <v>8821908</v>
      </c>
    </row>
    <row r="973">
      <c r="A973" t="str">
        <f t="shared" si="1"/>
        <v>aze#2009</v>
      </c>
      <c r="B973" t="str">
        <f>IFERROR(__xludf.DUMMYFUNCTION("""COMPUTED_VALUE"""),"aze")</f>
        <v>aze</v>
      </c>
      <c r="C973" t="str">
        <f>IFERROR(__xludf.DUMMYFUNCTION("""COMPUTED_VALUE"""),"Azerbaijan")</f>
        <v>Azerbaijan</v>
      </c>
      <c r="D973">
        <f>IFERROR(__xludf.DUMMYFUNCTION("""COMPUTED_VALUE"""),2009.0)</f>
        <v>2009</v>
      </c>
      <c r="E973">
        <f>IFERROR(__xludf.DUMMYFUNCTION("""COMPUTED_VALUE"""),8924407.0)</f>
        <v>8924407</v>
      </c>
    </row>
    <row r="974">
      <c r="A974" t="str">
        <f t="shared" si="1"/>
        <v>aze#2010</v>
      </c>
      <c r="B974" t="str">
        <f>IFERROR(__xludf.DUMMYFUNCTION("""COMPUTED_VALUE"""),"aze")</f>
        <v>aze</v>
      </c>
      <c r="C974" t="str">
        <f>IFERROR(__xludf.DUMMYFUNCTION("""COMPUTED_VALUE"""),"Azerbaijan")</f>
        <v>Azerbaijan</v>
      </c>
      <c r="D974">
        <f>IFERROR(__xludf.DUMMYFUNCTION("""COMPUTED_VALUE"""),2010.0)</f>
        <v>2010</v>
      </c>
      <c r="E974">
        <f>IFERROR(__xludf.DUMMYFUNCTION("""COMPUTED_VALUE"""),9032457.0)</f>
        <v>9032457</v>
      </c>
    </row>
    <row r="975">
      <c r="A975" t="str">
        <f t="shared" si="1"/>
        <v>aze#2011</v>
      </c>
      <c r="B975" t="str">
        <f>IFERROR(__xludf.DUMMYFUNCTION("""COMPUTED_VALUE"""),"aze")</f>
        <v>aze</v>
      </c>
      <c r="C975" t="str">
        <f>IFERROR(__xludf.DUMMYFUNCTION("""COMPUTED_VALUE"""),"Azerbaijan")</f>
        <v>Azerbaijan</v>
      </c>
      <c r="D975">
        <f>IFERROR(__xludf.DUMMYFUNCTION("""COMPUTED_VALUE"""),2011.0)</f>
        <v>2011</v>
      </c>
      <c r="E975">
        <f>IFERROR(__xludf.DUMMYFUNCTION("""COMPUTED_VALUE"""),9146379.0)</f>
        <v>9146379</v>
      </c>
    </row>
    <row r="976">
      <c r="A976" t="str">
        <f t="shared" si="1"/>
        <v>aze#2012</v>
      </c>
      <c r="B976" t="str">
        <f>IFERROR(__xludf.DUMMYFUNCTION("""COMPUTED_VALUE"""),"aze")</f>
        <v>aze</v>
      </c>
      <c r="C976" t="str">
        <f>IFERROR(__xludf.DUMMYFUNCTION("""COMPUTED_VALUE"""),"Azerbaijan")</f>
        <v>Azerbaijan</v>
      </c>
      <c r="D976">
        <f>IFERROR(__xludf.DUMMYFUNCTION("""COMPUTED_VALUE"""),2012.0)</f>
        <v>2012</v>
      </c>
      <c r="E976">
        <f>IFERROR(__xludf.DUMMYFUNCTION("""COMPUTED_VALUE"""),9264917.0)</f>
        <v>9264917</v>
      </c>
    </row>
    <row r="977">
      <c r="A977" t="str">
        <f t="shared" si="1"/>
        <v>aze#2013</v>
      </c>
      <c r="B977" t="str">
        <f>IFERROR(__xludf.DUMMYFUNCTION("""COMPUTED_VALUE"""),"aze")</f>
        <v>aze</v>
      </c>
      <c r="C977" t="str">
        <f>IFERROR(__xludf.DUMMYFUNCTION("""COMPUTED_VALUE"""),"Azerbaijan")</f>
        <v>Azerbaijan</v>
      </c>
      <c r="D977">
        <f>IFERROR(__xludf.DUMMYFUNCTION("""COMPUTED_VALUE"""),2013.0)</f>
        <v>2013</v>
      </c>
      <c r="E977">
        <f>IFERROR(__xludf.DUMMYFUNCTION("""COMPUTED_VALUE"""),9385293.0)</f>
        <v>9385293</v>
      </c>
    </row>
    <row r="978">
      <c r="A978" t="str">
        <f t="shared" si="1"/>
        <v>aze#2014</v>
      </c>
      <c r="B978" t="str">
        <f>IFERROR(__xludf.DUMMYFUNCTION("""COMPUTED_VALUE"""),"aze")</f>
        <v>aze</v>
      </c>
      <c r="C978" t="str">
        <f>IFERROR(__xludf.DUMMYFUNCTION("""COMPUTED_VALUE"""),"Azerbaijan")</f>
        <v>Azerbaijan</v>
      </c>
      <c r="D978">
        <f>IFERROR(__xludf.DUMMYFUNCTION("""COMPUTED_VALUE"""),2014.0)</f>
        <v>2014</v>
      </c>
      <c r="E978">
        <f>IFERROR(__xludf.DUMMYFUNCTION("""COMPUTED_VALUE"""),9503771.0)</f>
        <v>9503771</v>
      </c>
    </row>
    <row r="979">
      <c r="A979" t="str">
        <f t="shared" si="1"/>
        <v>aze#2015</v>
      </c>
      <c r="B979" t="str">
        <f>IFERROR(__xludf.DUMMYFUNCTION("""COMPUTED_VALUE"""),"aze")</f>
        <v>aze</v>
      </c>
      <c r="C979" t="str">
        <f>IFERROR(__xludf.DUMMYFUNCTION("""COMPUTED_VALUE"""),"Azerbaijan")</f>
        <v>Azerbaijan</v>
      </c>
      <c r="D979">
        <f>IFERROR(__xludf.DUMMYFUNCTION("""COMPUTED_VALUE"""),2015.0)</f>
        <v>2015</v>
      </c>
      <c r="E979">
        <f>IFERROR(__xludf.DUMMYFUNCTION("""COMPUTED_VALUE"""),9617484.0)</f>
        <v>9617484</v>
      </c>
    </row>
    <row r="980">
      <c r="A980" t="str">
        <f t="shared" si="1"/>
        <v>aze#2016</v>
      </c>
      <c r="B980" t="str">
        <f>IFERROR(__xludf.DUMMYFUNCTION("""COMPUTED_VALUE"""),"aze")</f>
        <v>aze</v>
      </c>
      <c r="C980" t="str">
        <f>IFERROR(__xludf.DUMMYFUNCTION("""COMPUTED_VALUE"""),"Azerbaijan")</f>
        <v>Azerbaijan</v>
      </c>
      <c r="D980">
        <f>IFERROR(__xludf.DUMMYFUNCTION("""COMPUTED_VALUE"""),2016.0)</f>
        <v>2016</v>
      </c>
      <c r="E980">
        <f>IFERROR(__xludf.DUMMYFUNCTION("""COMPUTED_VALUE"""),9725376.0)</f>
        <v>9725376</v>
      </c>
    </row>
    <row r="981">
      <c r="A981" t="str">
        <f t="shared" si="1"/>
        <v>aze#2017</v>
      </c>
      <c r="B981" t="str">
        <f>IFERROR(__xludf.DUMMYFUNCTION("""COMPUTED_VALUE"""),"aze")</f>
        <v>aze</v>
      </c>
      <c r="C981" t="str">
        <f>IFERROR(__xludf.DUMMYFUNCTION("""COMPUTED_VALUE"""),"Azerbaijan")</f>
        <v>Azerbaijan</v>
      </c>
      <c r="D981">
        <f>IFERROR(__xludf.DUMMYFUNCTION("""COMPUTED_VALUE"""),2017.0)</f>
        <v>2017</v>
      </c>
      <c r="E981">
        <f>IFERROR(__xludf.DUMMYFUNCTION("""COMPUTED_VALUE"""),9827589.0)</f>
        <v>9827589</v>
      </c>
    </row>
    <row r="982">
      <c r="A982" t="str">
        <f t="shared" si="1"/>
        <v>aze#2018</v>
      </c>
      <c r="B982" t="str">
        <f>IFERROR(__xludf.DUMMYFUNCTION("""COMPUTED_VALUE"""),"aze")</f>
        <v>aze</v>
      </c>
      <c r="C982" t="str">
        <f>IFERROR(__xludf.DUMMYFUNCTION("""COMPUTED_VALUE"""),"Azerbaijan")</f>
        <v>Azerbaijan</v>
      </c>
      <c r="D982">
        <f>IFERROR(__xludf.DUMMYFUNCTION("""COMPUTED_VALUE"""),2018.0)</f>
        <v>2018</v>
      </c>
      <c r="E982">
        <f>IFERROR(__xludf.DUMMYFUNCTION("""COMPUTED_VALUE"""),9923914.0)</f>
        <v>9923914</v>
      </c>
    </row>
    <row r="983">
      <c r="A983" t="str">
        <f t="shared" si="1"/>
        <v>aze#2019</v>
      </c>
      <c r="B983" t="str">
        <f>IFERROR(__xludf.DUMMYFUNCTION("""COMPUTED_VALUE"""),"aze")</f>
        <v>aze</v>
      </c>
      <c r="C983" t="str">
        <f>IFERROR(__xludf.DUMMYFUNCTION("""COMPUTED_VALUE"""),"Azerbaijan")</f>
        <v>Azerbaijan</v>
      </c>
      <c r="D983">
        <f>IFERROR(__xludf.DUMMYFUNCTION("""COMPUTED_VALUE"""),2019.0)</f>
        <v>2019</v>
      </c>
      <c r="E983">
        <f>IFERROR(__xludf.DUMMYFUNCTION("""COMPUTED_VALUE"""),1.0014575E7)</f>
        <v>10014575</v>
      </c>
    </row>
    <row r="984">
      <c r="A984" t="str">
        <f t="shared" si="1"/>
        <v>aze#2020</v>
      </c>
      <c r="B984" t="str">
        <f>IFERROR(__xludf.DUMMYFUNCTION("""COMPUTED_VALUE"""),"aze")</f>
        <v>aze</v>
      </c>
      <c r="C984" t="str">
        <f>IFERROR(__xludf.DUMMYFUNCTION("""COMPUTED_VALUE"""),"Azerbaijan")</f>
        <v>Azerbaijan</v>
      </c>
      <c r="D984">
        <f>IFERROR(__xludf.DUMMYFUNCTION("""COMPUTED_VALUE"""),2020.0)</f>
        <v>2020</v>
      </c>
      <c r="E984">
        <f>IFERROR(__xludf.DUMMYFUNCTION("""COMPUTED_VALUE"""),1.0099743E7)</f>
        <v>10099743</v>
      </c>
    </row>
    <row r="985">
      <c r="A985" t="str">
        <f t="shared" si="1"/>
        <v>aze#2021</v>
      </c>
      <c r="B985" t="str">
        <f>IFERROR(__xludf.DUMMYFUNCTION("""COMPUTED_VALUE"""),"aze")</f>
        <v>aze</v>
      </c>
      <c r="C985" t="str">
        <f>IFERROR(__xludf.DUMMYFUNCTION("""COMPUTED_VALUE"""),"Azerbaijan")</f>
        <v>Azerbaijan</v>
      </c>
      <c r="D985">
        <f>IFERROR(__xludf.DUMMYFUNCTION("""COMPUTED_VALUE"""),2021.0)</f>
        <v>2021</v>
      </c>
      <c r="E985">
        <f>IFERROR(__xludf.DUMMYFUNCTION("""COMPUTED_VALUE"""),1.0179146E7)</f>
        <v>10179146</v>
      </c>
    </row>
    <row r="986">
      <c r="A986" t="str">
        <f t="shared" si="1"/>
        <v>aze#2022</v>
      </c>
      <c r="B986" t="str">
        <f>IFERROR(__xludf.DUMMYFUNCTION("""COMPUTED_VALUE"""),"aze")</f>
        <v>aze</v>
      </c>
      <c r="C986" t="str">
        <f>IFERROR(__xludf.DUMMYFUNCTION("""COMPUTED_VALUE"""),"Azerbaijan")</f>
        <v>Azerbaijan</v>
      </c>
      <c r="D986">
        <f>IFERROR(__xludf.DUMMYFUNCTION("""COMPUTED_VALUE"""),2022.0)</f>
        <v>2022</v>
      </c>
      <c r="E986">
        <f>IFERROR(__xludf.DUMMYFUNCTION("""COMPUTED_VALUE"""),1.0252564E7)</f>
        <v>10252564</v>
      </c>
    </row>
    <row r="987">
      <c r="A987" t="str">
        <f t="shared" si="1"/>
        <v>aze#2023</v>
      </c>
      <c r="B987" t="str">
        <f>IFERROR(__xludf.DUMMYFUNCTION("""COMPUTED_VALUE"""),"aze")</f>
        <v>aze</v>
      </c>
      <c r="C987" t="str">
        <f>IFERROR(__xludf.DUMMYFUNCTION("""COMPUTED_VALUE"""),"Azerbaijan")</f>
        <v>Azerbaijan</v>
      </c>
      <c r="D987">
        <f>IFERROR(__xludf.DUMMYFUNCTION("""COMPUTED_VALUE"""),2023.0)</f>
        <v>2023</v>
      </c>
      <c r="E987">
        <f>IFERROR(__xludf.DUMMYFUNCTION("""COMPUTED_VALUE"""),1.0320433E7)</f>
        <v>10320433</v>
      </c>
    </row>
    <row r="988">
      <c r="A988" t="str">
        <f t="shared" si="1"/>
        <v>aze#2024</v>
      </c>
      <c r="B988" t="str">
        <f>IFERROR(__xludf.DUMMYFUNCTION("""COMPUTED_VALUE"""),"aze")</f>
        <v>aze</v>
      </c>
      <c r="C988" t="str">
        <f>IFERROR(__xludf.DUMMYFUNCTION("""COMPUTED_VALUE"""),"Azerbaijan")</f>
        <v>Azerbaijan</v>
      </c>
      <c r="D988">
        <f>IFERROR(__xludf.DUMMYFUNCTION("""COMPUTED_VALUE"""),2024.0)</f>
        <v>2024</v>
      </c>
      <c r="E988">
        <f>IFERROR(__xludf.DUMMYFUNCTION("""COMPUTED_VALUE"""),1.0383416E7)</f>
        <v>10383416</v>
      </c>
    </row>
    <row r="989">
      <c r="A989" t="str">
        <f t="shared" si="1"/>
        <v>aze#2025</v>
      </c>
      <c r="B989" t="str">
        <f>IFERROR(__xludf.DUMMYFUNCTION("""COMPUTED_VALUE"""),"aze")</f>
        <v>aze</v>
      </c>
      <c r="C989" t="str">
        <f>IFERROR(__xludf.DUMMYFUNCTION("""COMPUTED_VALUE"""),"Azerbaijan")</f>
        <v>Azerbaijan</v>
      </c>
      <c r="D989">
        <f>IFERROR(__xludf.DUMMYFUNCTION("""COMPUTED_VALUE"""),2025.0)</f>
        <v>2025</v>
      </c>
      <c r="E989">
        <f>IFERROR(__xludf.DUMMYFUNCTION("""COMPUTED_VALUE"""),1.0442074E7)</f>
        <v>10442074</v>
      </c>
    </row>
    <row r="990">
      <c r="A990" t="str">
        <f t="shared" si="1"/>
        <v>aze#2026</v>
      </c>
      <c r="B990" t="str">
        <f>IFERROR(__xludf.DUMMYFUNCTION("""COMPUTED_VALUE"""),"aze")</f>
        <v>aze</v>
      </c>
      <c r="C990" t="str">
        <f>IFERROR(__xludf.DUMMYFUNCTION("""COMPUTED_VALUE"""),"Azerbaijan")</f>
        <v>Azerbaijan</v>
      </c>
      <c r="D990">
        <f>IFERROR(__xludf.DUMMYFUNCTION("""COMPUTED_VALUE"""),2026.0)</f>
        <v>2026</v>
      </c>
      <c r="E990">
        <f>IFERROR(__xludf.DUMMYFUNCTION("""COMPUTED_VALUE"""),1.0496551E7)</f>
        <v>10496551</v>
      </c>
    </row>
    <row r="991">
      <c r="A991" t="str">
        <f t="shared" si="1"/>
        <v>aze#2027</v>
      </c>
      <c r="B991" t="str">
        <f>IFERROR(__xludf.DUMMYFUNCTION("""COMPUTED_VALUE"""),"aze")</f>
        <v>aze</v>
      </c>
      <c r="C991" t="str">
        <f>IFERROR(__xludf.DUMMYFUNCTION("""COMPUTED_VALUE"""),"Azerbaijan")</f>
        <v>Azerbaijan</v>
      </c>
      <c r="D991">
        <f>IFERROR(__xludf.DUMMYFUNCTION("""COMPUTED_VALUE"""),2027.0)</f>
        <v>2027</v>
      </c>
      <c r="E991">
        <f>IFERROR(__xludf.DUMMYFUNCTION("""COMPUTED_VALUE"""),1.0546995E7)</f>
        <v>10546995</v>
      </c>
    </row>
    <row r="992">
      <c r="A992" t="str">
        <f t="shared" si="1"/>
        <v>aze#2028</v>
      </c>
      <c r="B992" t="str">
        <f>IFERROR(__xludf.DUMMYFUNCTION("""COMPUTED_VALUE"""),"aze")</f>
        <v>aze</v>
      </c>
      <c r="C992" t="str">
        <f>IFERROR(__xludf.DUMMYFUNCTION("""COMPUTED_VALUE"""),"Azerbaijan")</f>
        <v>Azerbaijan</v>
      </c>
      <c r="D992">
        <f>IFERROR(__xludf.DUMMYFUNCTION("""COMPUTED_VALUE"""),2028.0)</f>
        <v>2028</v>
      </c>
      <c r="E992">
        <f>IFERROR(__xludf.DUMMYFUNCTION("""COMPUTED_VALUE"""),1.0593977E7)</f>
        <v>10593977</v>
      </c>
    </row>
    <row r="993">
      <c r="A993" t="str">
        <f t="shared" si="1"/>
        <v>aze#2029</v>
      </c>
      <c r="B993" t="str">
        <f>IFERROR(__xludf.DUMMYFUNCTION("""COMPUTED_VALUE"""),"aze")</f>
        <v>aze</v>
      </c>
      <c r="C993" t="str">
        <f>IFERROR(__xludf.DUMMYFUNCTION("""COMPUTED_VALUE"""),"Azerbaijan")</f>
        <v>Azerbaijan</v>
      </c>
      <c r="D993">
        <f>IFERROR(__xludf.DUMMYFUNCTION("""COMPUTED_VALUE"""),2029.0)</f>
        <v>2029</v>
      </c>
      <c r="E993">
        <f>IFERROR(__xludf.DUMMYFUNCTION("""COMPUTED_VALUE"""),1.0638202E7)</f>
        <v>10638202</v>
      </c>
    </row>
    <row r="994">
      <c r="A994" t="str">
        <f t="shared" si="1"/>
        <v>aze#2030</v>
      </c>
      <c r="B994" t="str">
        <f>IFERROR(__xludf.DUMMYFUNCTION("""COMPUTED_VALUE"""),"aze")</f>
        <v>aze</v>
      </c>
      <c r="C994" t="str">
        <f>IFERROR(__xludf.DUMMYFUNCTION("""COMPUTED_VALUE"""),"Azerbaijan")</f>
        <v>Azerbaijan</v>
      </c>
      <c r="D994">
        <f>IFERROR(__xludf.DUMMYFUNCTION("""COMPUTED_VALUE"""),2030.0)</f>
        <v>2030</v>
      </c>
      <c r="E994">
        <f>IFERROR(__xludf.DUMMYFUNCTION("""COMPUTED_VALUE"""),1.0680202E7)</f>
        <v>10680202</v>
      </c>
    </row>
    <row r="995">
      <c r="A995" t="str">
        <f t="shared" si="1"/>
        <v>aze#2031</v>
      </c>
      <c r="B995" t="str">
        <f>IFERROR(__xludf.DUMMYFUNCTION("""COMPUTED_VALUE"""),"aze")</f>
        <v>aze</v>
      </c>
      <c r="C995" t="str">
        <f>IFERROR(__xludf.DUMMYFUNCTION("""COMPUTED_VALUE"""),"Azerbaijan")</f>
        <v>Azerbaijan</v>
      </c>
      <c r="D995">
        <f>IFERROR(__xludf.DUMMYFUNCTION("""COMPUTED_VALUE"""),2031.0)</f>
        <v>2031</v>
      </c>
      <c r="E995">
        <f>IFERROR(__xludf.DUMMYFUNCTION("""COMPUTED_VALUE"""),1.0720233E7)</f>
        <v>10720233</v>
      </c>
    </row>
    <row r="996">
      <c r="A996" t="str">
        <f t="shared" si="1"/>
        <v>aze#2032</v>
      </c>
      <c r="B996" t="str">
        <f>IFERROR(__xludf.DUMMYFUNCTION("""COMPUTED_VALUE"""),"aze")</f>
        <v>aze</v>
      </c>
      <c r="C996" t="str">
        <f>IFERROR(__xludf.DUMMYFUNCTION("""COMPUTED_VALUE"""),"Azerbaijan")</f>
        <v>Azerbaijan</v>
      </c>
      <c r="D996">
        <f>IFERROR(__xludf.DUMMYFUNCTION("""COMPUTED_VALUE"""),2032.0)</f>
        <v>2032</v>
      </c>
      <c r="E996">
        <f>IFERROR(__xludf.DUMMYFUNCTION("""COMPUTED_VALUE"""),1.0758354E7)</f>
        <v>10758354</v>
      </c>
    </row>
    <row r="997">
      <c r="A997" t="str">
        <f t="shared" si="1"/>
        <v>aze#2033</v>
      </c>
      <c r="B997" t="str">
        <f>IFERROR(__xludf.DUMMYFUNCTION("""COMPUTED_VALUE"""),"aze")</f>
        <v>aze</v>
      </c>
      <c r="C997" t="str">
        <f>IFERROR(__xludf.DUMMYFUNCTION("""COMPUTED_VALUE"""),"Azerbaijan")</f>
        <v>Azerbaijan</v>
      </c>
      <c r="D997">
        <f>IFERROR(__xludf.DUMMYFUNCTION("""COMPUTED_VALUE"""),2033.0)</f>
        <v>2033</v>
      </c>
      <c r="E997">
        <f>IFERROR(__xludf.DUMMYFUNCTION("""COMPUTED_VALUE"""),1.0794574E7)</f>
        <v>10794574</v>
      </c>
    </row>
    <row r="998">
      <c r="A998" t="str">
        <f t="shared" si="1"/>
        <v>aze#2034</v>
      </c>
      <c r="B998" t="str">
        <f>IFERROR(__xludf.DUMMYFUNCTION("""COMPUTED_VALUE"""),"aze")</f>
        <v>aze</v>
      </c>
      <c r="C998" t="str">
        <f>IFERROR(__xludf.DUMMYFUNCTION("""COMPUTED_VALUE"""),"Azerbaijan")</f>
        <v>Azerbaijan</v>
      </c>
      <c r="D998">
        <f>IFERROR(__xludf.DUMMYFUNCTION("""COMPUTED_VALUE"""),2034.0)</f>
        <v>2034</v>
      </c>
      <c r="E998">
        <f>IFERROR(__xludf.DUMMYFUNCTION("""COMPUTED_VALUE"""),1.0828788E7)</f>
        <v>10828788</v>
      </c>
    </row>
    <row r="999">
      <c r="A999" t="str">
        <f t="shared" si="1"/>
        <v>aze#2035</v>
      </c>
      <c r="B999" t="str">
        <f>IFERROR(__xludf.DUMMYFUNCTION("""COMPUTED_VALUE"""),"aze")</f>
        <v>aze</v>
      </c>
      <c r="C999" t="str">
        <f>IFERROR(__xludf.DUMMYFUNCTION("""COMPUTED_VALUE"""),"Azerbaijan")</f>
        <v>Azerbaijan</v>
      </c>
      <c r="D999">
        <f>IFERROR(__xludf.DUMMYFUNCTION("""COMPUTED_VALUE"""),2035.0)</f>
        <v>2035</v>
      </c>
      <c r="E999">
        <f>IFERROR(__xludf.DUMMYFUNCTION("""COMPUTED_VALUE"""),1.0860905E7)</f>
        <v>10860905</v>
      </c>
    </row>
    <row r="1000">
      <c r="A1000" t="str">
        <f t="shared" si="1"/>
        <v>aze#2036</v>
      </c>
      <c r="B1000" t="str">
        <f>IFERROR(__xludf.DUMMYFUNCTION("""COMPUTED_VALUE"""),"aze")</f>
        <v>aze</v>
      </c>
      <c r="C1000" t="str">
        <f>IFERROR(__xludf.DUMMYFUNCTION("""COMPUTED_VALUE"""),"Azerbaijan")</f>
        <v>Azerbaijan</v>
      </c>
      <c r="D1000">
        <f>IFERROR(__xludf.DUMMYFUNCTION("""COMPUTED_VALUE"""),2036.0)</f>
        <v>2036</v>
      </c>
      <c r="E1000">
        <f>IFERROR(__xludf.DUMMYFUNCTION("""COMPUTED_VALUE"""),1.0891006E7)</f>
        <v>10891006</v>
      </c>
    </row>
    <row r="1001">
      <c r="A1001" t="str">
        <f t="shared" si="1"/>
        <v>aze#2037</v>
      </c>
      <c r="B1001" t="str">
        <f>IFERROR(__xludf.DUMMYFUNCTION("""COMPUTED_VALUE"""),"aze")</f>
        <v>aze</v>
      </c>
      <c r="C1001" t="str">
        <f>IFERROR(__xludf.DUMMYFUNCTION("""COMPUTED_VALUE"""),"Azerbaijan")</f>
        <v>Azerbaijan</v>
      </c>
      <c r="D1001">
        <f>IFERROR(__xludf.DUMMYFUNCTION("""COMPUTED_VALUE"""),2037.0)</f>
        <v>2037</v>
      </c>
      <c r="E1001">
        <f>IFERROR(__xludf.DUMMYFUNCTION("""COMPUTED_VALUE"""),1.09191E7)</f>
        <v>10919100</v>
      </c>
    </row>
    <row r="1002">
      <c r="A1002" t="str">
        <f t="shared" si="1"/>
        <v>aze#2038</v>
      </c>
      <c r="B1002" t="str">
        <f>IFERROR(__xludf.DUMMYFUNCTION("""COMPUTED_VALUE"""),"aze")</f>
        <v>aze</v>
      </c>
      <c r="C1002" t="str">
        <f>IFERROR(__xludf.DUMMYFUNCTION("""COMPUTED_VALUE"""),"Azerbaijan")</f>
        <v>Azerbaijan</v>
      </c>
      <c r="D1002">
        <f>IFERROR(__xludf.DUMMYFUNCTION("""COMPUTED_VALUE"""),2038.0)</f>
        <v>2038</v>
      </c>
      <c r="E1002">
        <f>IFERROR(__xludf.DUMMYFUNCTION("""COMPUTED_VALUE"""),1.0944978E7)</f>
        <v>10944978</v>
      </c>
    </row>
    <row r="1003">
      <c r="A1003" t="str">
        <f t="shared" si="1"/>
        <v>aze#2039</v>
      </c>
      <c r="B1003" t="str">
        <f>IFERROR(__xludf.DUMMYFUNCTION("""COMPUTED_VALUE"""),"aze")</f>
        <v>aze</v>
      </c>
      <c r="C1003" t="str">
        <f>IFERROR(__xludf.DUMMYFUNCTION("""COMPUTED_VALUE"""),"Azerbaijan")</f>
        <v>Azerbaijan</v>
      </c>
      <c r="D1003">
        <f>IFERROR(__xludf.DUMMYFUNCTION("""COMPUTED_VALUE"""),2039.0)</f>
        <v>2039</v>
      </c>
      <c r="E1003">
        <f>IFERROR(__xludf.DUMMYFUNCTION("""COMPUTED_VALUE"""),1.0968335E7)</f>
        <v>10968335</v>
      </c>
    </row>
    <row r="1004">
      <c r="A1004" t="str">
        <f t="shared" si="1"/>
        <v>aze#2040</v>
      </c>
      <c r="B1004" t="str">
        <f>IFERROR(__xludf.DUMMYFUNCTION("""COMPUTED_VALUE"""),"aze")</f>
        <v>aze</v>
      </c>
      <c r="C1004" t="str">
        <f>IFERROR(__xludf.DUMMYFUNCTION("""COMPUTED_VALUE"""),"Azerbaijan")</f>
        <v>Azerbaijan</v>
      </c>
      <c r="D1004">
        <f>IFERROR(__xludf.DUMMYFUNCTION("""COMPUTED_VALUE"""),2040.0)</f>
        <v>2040</v>
      </c>
      <c r="E1004">
        <f>IFERROR(__xludf.DUMMYFUNCTION("""COMPUTED_VALUE"""),1.098892E7)</f>
        <v>10988920</v>
      </c>
    </row>
    <row r="1005">
      <c r="A1005" t="str">
        <f t="shared" si="1"/>
        <v>bhs#1950</v>
      </c>
      <c r="B1005" t="str">
        <f>IFERROR(__xludf.DUMMYFUNCTION("""COMPUTED_VALUE"""),"bhs")</f>
        <v>bhs</v>
      </c>
      <c r="C1005" t="str">
        <f>IFERROR(__xludf.DUMMYFUNCTION("""COMPUTED_VALUE"""),"Bahamas")</f>
        <v>Bahamas</v>
      </c>
      <c r="D1005">
        <f>IFERROR(__xludf.DUMMYFUNCTION("""COMPUTED_VALUE"""),1950.0)</f>
        <v>1950</v>
      </c>
      <c r="E1005">
        <f>IFERROR(__xludf.DUMMYFUNCTION("""COMPUTED_VALUE"""),79085.0)</f>
        <v>79085</v>
      </c>
    </row>
    <row r="1006">
      <c r="A1006" t="str">
        <f t="shared" si="1"/>
        <v>bhs#1951</v>
      </c>
      <c r="B1006" t="str">
        <f>IFERROR(__xludf.DUMMYFUNCTION("""COMPUTED_VALUE"""),"bhs")</f>
        <v>bhs</v>
      </c>
      <c r="C1006" t="str">
        <f>IFERROR(__xludf.DUMMYFUNCTION("""COMPUTED_VALUE"""),"Bahamas")</f>
        <v>Bahamas</v>
      </c>
      <c r="D1006">
        <f>IFERROR(__xludf.DUMMYFUNCTION("""COMPUTED_VALUE"""),1951.0)</f>
        <v>1951</v>
      </c>
      <c r="E1006">
        <f>IFERROR(__xludf.DUMMYFUNCTION("""COMPUTED_VALUE"""),79985.0)</f>
        <v>79985</v>
      </c>
    </row>
    <row r="1007">
      <c r="A1007" t="str">
        <f t="shared" si="1"/>
        <v>bhs#1952</v>
      </c>
      <c r="B1007" t="str">
        <f>IFERROR(__xludf.DUMMYFUNCTION("""COMPUTED_VALUE"""),"bhs")</f>
        <v>bhs</v>
      </c>
      <c r="C1007" t="str">
        <f>IFERROR(__xludf.DUMMYFUNCTION("""COMPUTED_VALUE"""),"Bahamas")</f>
        <v>Bahamas</v>
      </c>
      <c r="D1007">
        <f>IFERROR(__xludf.DUMMYFUNCTION("""COMPUTED_VALUE"""),1952.0)</f>
        <v>1952</v>
      </c>
      <c r="E1007">
        <f>IFERROR(__xludf.DUMMYFUNCTION("""COMPUTED_VALUE"""),81426.0)</f>
        <v>81426</v>
      </c>
    </row>
    <row r="1008">
      <c r="A1008" t="str">
        <f t="shared" si="1"/>
        <v>bhs#1953</v>
      </c>
      <c r="B1008" t="str">
        <f>IFERROR(__xludf.DUMMYFUNCTION("""COMPUTED_VALUE"""),"bhs")</f>
        <v>bhs</v>
      </c>
      <c r="C1008" t="str">
        <f>IFERROR(__xludf.DUMMYFUNCTION("""COMPUTED_VALUE"""),"Bahamas")</f>
        <v>Bahamas</v>
      </c>
      <c r="D1008">
        <f>IFERROR(__xludf.DUMMYFUNCTION("""COMPUTED_VALUE"""),1953.0)</f>
        <v>1953</v>
      </c>
      <c r="E1008">
        <f>IFERROR(__xludf.DUMMYFUNCTION("""COMPUTED_VALUE"""),83371.0)</f>
        <v>83371</v>
      </c>
    </row>
    <row r="1009">
      <c r="A1009" t="str">
        <f t="shared" si="1"/>
        <v>bhs#1954</v>
      </c>
      <c r="B1009" t="str">
        <f>IFERROR(__xludf.DUMMYFUNCTION("""COMPUTED_VALUE"""),"bhs")</f>
        <v>bhs</v>
      </c>
      <c r="C1009" t="str">
        <f>IFERROR(__xludf.DUMMYFUNCTION("""COMPUTED_VALUE"""),"Bahamas")</f>
        <v>Bahamas</v>
      </c>
      <c r="D1009">
        <f>IFERROR(__xludf.DUMMYFUNCTION("""COMPUTED_VALUE"""),1954.0)</f>
        <v>1954</v>
      </c>
      <c r="E1009">
        <f>IFERROR(__xludf.DUMMYFUNCTION("""COMPUTED_VALUE"""),85773.0)</f>
        <v>85773</v>
      </c>
    </row>
    <row r="1010">
      <c r="A1010" t="str">
        <f t="shared" si="1"/>
        <v>bhs#1955</v>
      </c>
      <c r="B1010" t="str">
        <f>IFERROR(__xludf.DUMMYFUNCTION("""COMPUTED_VALUE"""),"bhs")</f>
        <v>bhs</v>
      </c>
      <c r="C1010" t="str">
        <f>IFERROR(__xludf.DUMMYFUNCTION("""COMPUTED_VALUE"""),"Bahamas")</f>
        <v>Bahamas</v>
      </c>
      <c r="D1010">
        <f>IFERROR(__xludf.DUMMYFUNCTION("""COMPUTED_VALUE"""),1955.0)</f>
        <v>1955</v>
      </c>
      <c r="E1010">
        <f>IFERROR(__xludf.DUMMYFUNCTION("""COMPUTED_VALUE"""),88617.0)</f>
        <v>88617</v>
      </c>
    </row>
    <row r="1011">
      <c r="A1011" t="str">
        <f t="shared" si="1"/>
        <v>bhs#1956</v>
      </c>
      <c r="B1011" t="str">
        <f>IFERROR(__xludf.DUMMYFUNCTION("""COMPUTED_VALUE"""),"bhs")</f>
        <v>bhs</v>
      </c>
      <c r="C1011" t="str">
        <f>IFERROR(__xludf.DUMMYFUNCTION("""COMPUTED_VALUE"""),"Bahamas")</f>
        <v>Bahamas</v>
      </c>
      <c r="D1011">
        <f>IFERROR(__xludf.DUMMYFUNCTION("""COMPUTED_VALUE"""),1956.0)</f>
        <v>1956</v>
      </c>
      <c r="E1011">
        <f>IFERROR(__xludf.DUMMYFUNCTION("""COMPUTED_VALUE"""),91897.0)</f>
        <v>91897</v>
      </c>
    </row>
    <row r="1012">
      <c r="A1012" t="str">
        <f t="shared" si="1"/>
        <v>bhs#1957</v>
      </c>
      <c r="B1012" t="str">
        <f>IFERROR(__xludf.DUMMYFUNCTION("""COMPUTED_VALUE"""),"bhs")</f>
        <v>bhs</v>
      </c>
      <c r="C1012" t="str">
        <f>IFERROR(__xludf.DUMMYFUNCTION("""COMPUTED_VALUE"""),"Bahamas")</f>
        <v>Bahamas</v>
      </c>
      <c r="D1012">
        <f>IFERROR(__xludf.DUMMYFUNCTION("""COMPUTED_VALUE"""),1957.0)</f>
        <v>1957</v>
      </c>
      <c r="E1012">
        <f>IFERROR(__xludf.DUMMYFUNCTION("""COMPUTED_VALUE"""),95603.0)</f>
        <v>95603</v>
      </c>
    </row>
    <row r="1013">
      <c r="A1013" t="str">
        <f t="shared" si="1"/>
        <v>bhs#1958</v>
      </c>
      <c r="B1013" t="str">
        <f>IFERROR(__xludf.DUMMYFUNCTION("""COMPUTED_VALUE"""),"bhs")</f>
        <v>bhs</v>
      </c>
      <c r="C1013" t="str">
        <f>IFERROR(__xludf.DUMMYFUNCTION("""COMPUTED_VALUE"""),"Bahamas")</f>
        <v>Bahamas</v>
      </c>
      <c r="D1013">
        <f>IFERROR(__xludf.DUMMYFUNCTION("""COMPUTED_VALUE"""),1958.0)</f>
        <v>1958</v>
      </c>
      <c r="E1013">
        <f>IFERROR(__xludf.DUMMYFUNCTION("""COMPUTED_VALUE"""),99769.0)</f>
        <v>99769</v>
      </c>
    </row>
    <row r="1014">
      <c r="A1014" t="str">
        <f t="shared" si="1"/>
        <v>bhs#1959</v>
      </c>
      <c r="B1014" t="str">
        <f>IFERROR(__xludf.DUMMYFUNCTION("""COMPUTED_VALUE"""),"bhs")</f>
        <v>bhs</v>
      </c>
      <c r="C1014" t="str">
        <f>IFERROR(__xludf.DUMMYFUNCTION("""COMPUTED_VALUE"""),"Bahamas")</f>
        <v>Bahamas</v>
      </c>
      <c r="D1014">
        <f>IFERROR(__xludf.DUMMYFUNCTION("""COMPUTED_VALUE"""),1959.0)</f>
        <v>1959</v>
      </c>
      <c r="E1014">
        <f>IFERROR(__xludf.DUMMYFUNCTION("""COMPUTED_VALUE"""),104405.0)</f>
        <v>104405</v>
      </c>
    </row>
    <row r="1015">
      <c r="A1015" t="str">
        <f t="shared" si="1"/>
        <v>bhs#1960</v>
      </c>
      <c r="B1015" t="str">
        <f>IFERROR(__xludf.DUMMYFUNCTION("""COMPUTED_VALUE"""),"bhs")</f>
        <v>bhs</v>
      </c>
      <c r="C1015" t="str">
        <f>IFERROR(__xludf.DUMMYFUNCTION("""COMPUTED_VALUE"""),"Bahamas")</f>
        <v>Bahamas</v>
      </c>
      <c r="D1015">
        <f>IFERROR(__xludf.DUMMYFUNCTION("""COMPUTED_VALUE"""),1960.0)</f>
        <v>1960</v>
      </c>
      <c r="E1015">
        <f>IFERROR(__xludf.DUMMYFUNCTION("""COMPUTED_VALUE"""),109528.0)</f>
        <v>109528</v>
      </c>
    </row>
    <row r="1016">
      <c r="A1016" t="str">
        <f t="shared" si="1"/>
        <v>bhs#1961</v>
      </c>
      <c r="B1016" t="str">
        <f>IFERROR(__xludf.DUMMYFUNCTION("""COMPUTED_VALUE"""),"bhs")</f>
        <v>bhs</v>
      </c>
      <c r="C1016" t="str">
        <f>IFERROR(__xludf.DUMMYFUNCTION("""COMPUTED_VALUE"""),"Bahamas")</f>
        <v>Bahamas</v>
      </c>
      <c r="D1016">
        <f>IFERROR(__xludf.DUMMYFUNCTION("""COMPUTED_VALUE"""),1961.0)</f>
        <v>1961</v>
      </c>
      <c r="E1016">
        <f>IFERROR(__xludf.DUMMYFUNCTION("""COMPUTED_VALUE"""),115108.0)</f>
        <v>115108</v>
      </c>
    </row>
    <row r="1017">
      <c r="A1017" t="str">
        <f t="shared" si="1"/>
        <v>bhs#1962</v>
      </c>
      <c r="B1017" t="str">
        <f>IFERROR(__xludf.DUMMYFUNCTION("""COMPUTED_VALUE"""),"bhs")</f>
        <v>bhs</v>
      </c>
      <c r="C1017" t="str">
        <f>IFERROR(__xludf.DUMMYFUNCTION("""COMPUTED_VALUE"""),"Bahamas")</f>
        <v>Bahamas</v>
      </c>
      <c r="D1017">
        <f>IFERROR(__xludf.DUMMYFUNCTION("""COMPUTED_VALUE"""),1962.0)</f>
        <v>1962</v>
      </c>
      <c r="E1017">
        <f>IFERROR(__xludf.DUMMYFUNCTION("""COMPUTED_VALUE"""),121083.0)</f>
        <v>121083</v>
      </c>
    </row>
    <row r="1018">
      <c r="A1018" t="str">
        <f t="shared" si="1"/>
        <v>bhs#1963</v>
      </c>
      <c r="B1018" t="str">
        <f>IFERROR(__xludf.DUMMYFUNCTION("""COMPUTED_VALUE"""),"bhs")</f>
        <v>bhs</v>
      </c>
      <c r="C1018" t="str">
        <f>IFERROR(__xludf.DUMMYFUNCTION("""COMPUTED_VALUE"""),"Bahamas")</f>
        <v>Bahamas</v>
      </c>
      <c r="D1018">
        <f>IFERROR(__xludf.DUMMYFUNCTION("""COMPUTED_VALUE"""),1963.0)</f>
        <v>1963</v>
      </c>
      <c r="E1018">
        <f>IFERROR(__xludf.DUMMYFUNCTION("""COMPUTED_VALUE"""),127333.0)</f>
        <v>127333</v>
      </c>
    </row>
    <row r="1019">
      <c r="A1019" t="str">
        <f t="shared" si="1"/>
        <v>bhs#1964</v>
      </c>
      <c r="B1019" t="str">
        <f>IFERROR(__xludf.DUMMYFUNCTION("""COMPUTED_VALUE"""),"bhs")</f>
        <v>bhs</v>
      </c>
      <c r="C1019" t="str">
        <f>IFERROR(__xludf.DUMMYFUNCTION("""COMPUTED_VALUE"""),"Bahamas")</f>
        <v>Bahamas</v>
      </c>
      <c r="D1019">
        <f>IFERROR(__xludf.DUMMYFUNCTION("""COMPUTED_VALUE"""),1964.0)</f>
        <v>1964</v>
      </c>
      <c r="E1019">
        <f>IFERROR(__xludf.DUMMYFUNCTION("""COMPUTED_VALUE"""),133698.0)</f>
        <v>133698</v>
      </c>
    </row>
    <row r="1020">
      <c r="A1020" t="str">
        <f t="shared" si="1"/>
        <v>bhs#1965</v>
      </c>
      <c r="B1020" t="str">
        <f>IFERROR(__xludf.DUMMYFUNCTION("""COMPUTED_VALUE"""),"bhs")</f>
        <v>bhs</v>
      </c>
      <c r="C1020" t="str">
        <f>IFERROR(__xludf.DUMMYFUNCTION("""COMPUTED_VALUE"""),"Bahamas")</f>
        <v>Bahamas</v>
      </c>
      <c r="D1020">
        <f>IFERROR(__xludf.DUMMYFUNCTION("""COMPUTED_VALUE"""),1965.0)</f>
        <v>1965</v>
      </c>
      <c r="E1020">
        <f>IFERROR(__xludf.DUMMYFUNCTION("""COMPUTED_VALUE"""),140054.0)</f>
        <v>140054</v>
      </c>
    </row>
    <row r="1021">
      <c r="A1021" t="str">
        <f t="shared" si="1"/>
        <v>bhs#1966</v>
      </c>
      <c r="B1021" t="str">
        <f>IFERROR(__xludf.DUMMYFUNCTION("""COMPUTED_VALUE"""),"bhs")</f>
        <v>bhs</v>
      </c>
      <c r="C1021" t="str">
        <f>IFERROR(__xludf.DUMMYFUNCTION("""COMPUTED_VALUE"""),"Bahamas")</f>
        <v>Bahamas</v>
      </c>
      <c r="D1021">
        <f>IFERROR(__xludf.DUMMYFUNCTION("""COMPUTED_VALUE"""),1966.0)</f>
        <v>1966</v>
      </c>
      <c r="E1021">
        <f>IFERROR(__xludf.DUMMYFUNCTION("""COMPUTED_VALUE"""),146366.0)</f>
        <v>146366</v>
      </c>
    </row>
    <row r="1022">
      <c r="A1022" t="str">
        <f t="shared" si="1"/>
        <v>bhs#1967</v>
      </c>
      <c r="B1022" t="str">
        <f>IFERROR(__xludf.DUMMYFUNCTION("""COMPUTED_VALUE"""),"bhs")</f>
        <v>bhs</v>
      </c>
      <c r="C1022" t="str">
        <f>IFERROR(__xludf.DUMMYFUNCTION("""COMPUTED_VALUE"""),"Bahamas")</f>
        <v>Bahamas</v>
      </c>
      <c r="D1022">
        <f>IFERROR(__xludf.DUMMYFUNCTION("""COMPUTED_VALUE"""),1967.0)</f>
        <v>1967</v>
      </c>
      <c r="E1022">
        <f>IFERROR(__xludf.DUMMYFUNCTION("""COMPUTED_VALUE"""),152609.0)</f>
        <v>152609</v>
      </c>
    </row>
    <row r="1023">
      <c r="A1023" t="str">
        <f t="shared" si="1"/>
        <v>bhs#1968</v>
      </c>
      <c r="B1023" t="str">
        <f>IFERROR(__xludf.DUMMYFUNCTION("""COMPUTED_VALUE"""),"bhs")</f>
        <v>bhs</v>
      </c>
      <c r="C1023" t="str">
        <f>IFERROR(__xludf.DUMMYFUNCTION("""COMPUTED_VALUE"""),"Bahamas")</f>
        <v>Bahamas</v>
      </c>
      <c r="D1023">
        <f>IFERROR(__xludf.DUMMYFUNCTION("""COMPUTED_VALUE"""),1968.0)</f>
        <v>1968</v>
      </c>
      <c r="E1023">
        <f>IFERROR(__xludf.DUMMYFUNCTION("""COMPUTED_VALUE"""),158627.0)</f>
        <v>158627</v>
      </c>
    </row>
    <row r="1024">
      <c r="A1024" t="str">
        <f t="shared" si="1"/>
        <v>bhs#1969</v>
      </c>
      <c r="B1024" t="str">
        <f>IFERROR(__xludf.DUMMYFUNCTION("""COMPUTED_VALUE"""),"bhs")</f>
        <v>bhs</v>
      </c>
      <c r="C1024" t="str">
        <f>IFERROR(__xludf.DUMMYFUNCTION("""COMPUTED_VALUE"""),"Bahamas")</f>
        <v>Bahamas</v>
      </c>
      <c r="D1024">
        <f>IFERROR(__xludf.DUMMYFUNCTION("""COMPUTED_VALUE"""),1969.0)</f>
        <v>1969</v>
      </c>
      <c r="E1024">
        <f>IFERROR(__xludf.DUMMYFUNCTION("""COMPUTED_VALUE"""),164248.0)</f>
        <v>164248</v>
      </c>
    </row>
    <row r="1025">
      <c r="A1025" t="str">
        <f t="shared" si="1"/>
        <v>bhs#1970</v>
      </c>
      <c r="B1025" t="str">
        <f>IFERROR(__xludf.DUMMYFUNCTION("""COMPUTED_VALUE"""),"bhs")</f>
        <v>bhs</v>
      </c>
      <c r="C1025" t="str">
        <f>IFERROR(__xludf.DUMMYFUNCTION("""COMPUTED_VALUE"""),"Bahamas")</f>
        <v>Bahamas</v>
      </c>
      <c r="D1025">
        <f>IFERROR(__xludf.DUMMYFUNCTION("""COMPUTED_VALUE"""),1970.0)</f>
        <v>1970</v>
      </c>
      <c r="E1025">
        <f>IFERROR(__xludf.DUMMYFUNCTION("""COMPUTED_VALUE"""),169354.0)</f>
        <v>169354</v>
      </c>
    </row>
    <row r="1026">
      <c r="A1026" t="str">
        <f t="shared" si="1"/>
        <v>bhs#1971</v>
      </c>
      <c r="B1026" t="str">
        <f>IFERROR(__xludf.DUMMYFUNCTION("""COMPUTED_VALUE"""),"bhs")</f>
        <v>bhs</v>
      </c>
      <c r="C1026" t="str">
        <f>IFERROR(__xludf.DUMMYFUNCTION("""COMPUTED_VALUE"""),"Bahamas")</f>
        <v>Bahamas</v>
      </c>
      <c r="D1026">
        <f>IFERROR(__xludf.DUMMYFUNCTION("""COMPUTED_VALUE"""),1971.0)</f>
        <v>1971</v>
      </c>
      <c r="E1026">
        <f>IFERROR(__xludf.DUMMYFUNCTION("""COMPUTED_VALUE"""),173863.0)</f>
        <v>173863</v>
      </c>
    </row>
    <row r="1027">
      <c r="A1027" t="str">
        <f t="shared" si="1"/>
        <v>bhs#1972</v>
      </c>
      <c r="B1027" t="str">
        <f>IFERROR(__xludf.DUMMYFUNCTION("""COMPUTED_VALUE"""),"bhs")</f>
        <v>bhs</v>
      </c>
      <c r="C1027" t="str">
        <f>IFERROR(__xludf.DUMMYFUNCTION("""COMPUTED_VALUE"""),"Bahamas")</f>
        <v>Bahamas</v>
      </c>
      <c r="D1027">
        <f>IFERROR(__xludf.DUMMYFUNCTION("""COMPUTED_VALUE"""),1972.0)</f>
        <v>1972</v>
      </c>
      <c r="E1027">
        <f>IFERROR(__xludf.DUMMYFUNCTION("""COMPUTED_VALUE"""),177839.0)</f>
        <v>177839</v>
      </c>
    </row>
    <row r="1028">
      <c r="A1028" t="str">
        <f t="shared" si="1"/>
        <v>bhs#1973</v>
      </c>
      <c r="B1028" t="str">
        <f>IFERROR(__xludf.DUMMYFUNCTION("""COMPUTED_VALUE"""),"bhs")</f>
        <v>bhs</v>
      </c>
      <c r="C1028" t="str">
        <f>IFERROR(__xludf.DUMMYFUNCTION("""COMPUTED_VALUE"""),"Bahamas")</f>
        <v>Bahamas</v>
      </c>
      <c r="D1028">
        <f>IFERROR(__xludf.DUMMYFUNCTION("""COMPUTED_VALUE"""),1973.0)</f>
        <v>1973</v>
      </c>
      <c r="E1028">
        <f>IFERROR(__xludf.DUMMYFUNCTION("""COMPUTED_VALUE"""),181488.0)</f>
        <v>181488</v>
      </c>
    </row>
    <row r="1029">
      <c r="A1029" t="str">
        <f t="shared" si="1"/>
        <v>bhs#1974</v>
      </c>
      <c r="B1029" t="str">
        <f>IFERROR(__xludf.DUMMYFUNCTION("""COMPUTED_VALUE"""),"bhs")</f>
        <v>bhs</v>
      </c>
      <c r="C1029" t="str">
        <f>IFERROR(__xludf.DUMMYFUNCTION("""COMPUTED_VALUE"""),"Bahamas")</f>
        <v>Bahamas</v>
      </c>
      <c r="D1029">
        <f>IFERROR(__xludf.DUMMYFUNCTION("""COMPUTED_VALUE"""),1974.0)</f>
        <v>1974</v>
      </c>
      <c r="E1029">
        <f>IFERROR(__xludf.DUMMYFUNCTION("""COMPUTED_VALUE"""),185099.0)</f>
        <v>185099</v>
      </c>
    </row>
    <row r="1030">
      <c r="A1030" t="str">
        <f t="shared" si="1"/>
        <v>bhs#1975</v>
      </c>
      <c r="B1030" t="str">
        <f>IFERROR(__xludf.DUMMYFUNCTION("""COMPUTED_VALUE"""),"bhs")</f>
        <v>bhs</v>
      </c>
      <c r="C1030" t="str">
        <f>IFERROR(__xludf.DUMMYFUNCTION("""COMPUTED_VALUE"""),"Bahamas")</f>
        <v>Bahamas</v>
      </c>
      <c r="D1030">
        <f>IFERROR(__xludf.DUMMYFUNCTION("""COMPUTED_VALUE"""),1975.0)</f>
        <v>1975</v>
      </c>
      <c r="E1030">
        <f>IFERROR(__xludf.DUMMYFUNCTION("""COMPUTED_VALUE"""),188882.0)</f>
        <v>188882</v>
      </c>
    </row>
    <row r="1031">
      <c r="A1031" t="str">
        <f t="shared" si="1"/>
        <v>bhs#1976</v>
      </c>
      <c r="B1031" t="str">
        <f>IFERROR(__xludf.DUMMYFUNCTION("""COMPUTED_VALUE"""),"bhs")</f>
        <v>bhs</v>
      </c>
      <c r="C1031" t="str">
        <f>IFERROR(__xludf.DUMMYFUNCTION("""COMPUTED_VALUE"""),"Bahamas")</f>
        <v>Bahamas</v>
      </c>
      <c r="D1031">
        <f>IFERROR(__xludf.DUMMYFUNCTION("""COMPUTED_VALUE"""),1976.0)</f>
        <v>1976</v>
      </c>
      <c r="E1031">
        <f>IFERROR(__xludf.DUMMYFUNCTION("""COMPUTED_VALUE"""),192902.0)</f>
        <v>192902</v>
      </c>
    </row>
    <row r="1032">
      <c r="A1032" t="str">
        <f t="shared" si="1"/>
        <v>bhs#1977</v>
      </c>
      <c r="B1032" t="str">
        <f>IFERROR(__xludf.DUMMYFUNCTION("""COMPUTED_VALUE"""),"bhs")</f>
        <v>bhs</v>
      </c>
      <c r="C1032" t="str">
        <f>IFERROR(__xludf.DUMMYFUNCTION("""COMPUTED_VALUE"""),"Bahamas")</f>
        <v>Bahamas</v>
      </c>
      <c r="D1032">
        <f>IFERROR(__xludf.DUMMYFUNCTION("""COMPUTED_VALUE"""),1977.0)</f>
        <v>1977</v>
      </c>
      <c r="E1032">
        <f>IFERROR(__xludf.DUMMYFUNCTION("""COMPUTED_VALUE"""),197111.0)</f>
        <v>197111</v>
      </c>
    </row>
    <row r="1033">
      <c r="A1033" t="str">
        <f t="shared" si="1"/>
        <v>bhs#1978</v>
      </c>
      <c r="B1033" t="str">
        <f>IFERROR(__xludf.DUMMYFUNCTION("""COMPUTED_VALUE"""),"bhs")</f>
        <v>bhs</v>
      </c>
      <c r="C1033" t="str">
        <f>IFERROR(__xludf.DUMMYFUNCTION("""COMPUTED_VALUE"""),"Bahamas")</f>
        <v>Bahamas</v>
      </c>
      <c r="D1033">
        <f>IFERROR(__xludf.DUMMYFUNCTION("""COMPUTED_VALUE"""),1978.0)</f>
        <v>1978</v>
      </c>
      <c r="E1033">
        <f>IFERROR(__xludf.DUMMYFUNCTION("""COMPUTED_VALUE"""),201513.0)</f>
        <v>201513</v>
      </c>
    </row>
    <row r="1034">
      <c r="A1034" t="str">
        <f t="shared" si="1"/>
        <v>bhs#1979</v>
      </c>
      <c r="B1034" t="str">
        <f>IFERROR(__xludf.DUMMYFUNCTION("""COMPUTED_VALUE"""),"bhs")</f>
        <v>bhs</v>
      </c>
      <c r="C1034" t="str">
        <f>IFERROR(__xludf.DUMMYFUNCTION("""COMPUTED_VALUE"""),"Bahamas")</f>
        <v>Bahamas</v>
      </c>
      <c r="D1034">
        <f>IFERROR(__xludf.DUMMYFUNCTION("""COMPUTED_VALUE"""),1979.0)</f>
        <v>1979</v>
      </c>
      <c r="E1034">
        <f>IFERROR(__xludf.DUMMYFUNCTION("""COMPUTED_VALUE"""),206032.0)</f>
        <v>206032</v>
      </c>
    </row>
    <row r="1035">
      <c r="A1035" t="str">
        <f t="shared" si="1"/>
        <v>bhs#1980</v>
      </c>
      <c r="B1035" t="str">
        <f>IFERROR(__xludf.DUMMYFUNCTION("""COMPUTED_VALUE"""),"bhs")</f>
        <v>bhs</v>
      </c>
      <c r="C1035" t="str">
        <f>IFERROR(__xludf.DUMMYFUNCTION("""COMPUTED_VALUE"""),"Bahamas")</f>
        <v>Bahamas</v>
      </c>
      <c r="D1035">
        <f>IFERROR(__xludf.DUMMYFUNCTION("""COMPUTED_VALUE"""),1980.0)</f>
        <v>1980</v>
      </c>
      <c r="E1035">
        <f>IFERROR(__xludf.DUMMYFUNCTION("""COMPUTED_VALUE"""),210661.0)</f>
        <v>210661</v>
      </c>
    </row>
    <row r="1036">
      <c r="A1036" t="str">
        <f t="shared" si="1"/>
        <v>bhs#1981</v>
      </c>
      <c r="B1036" t="str">
        <f>IFERROR(__xludf.DUMMYFUNCTION("""COMPUTED_VALUE"""),"bhs")</f>
        <v>bhs</v>
      </c>
      <c r="C1036" t="str">
        <f>IFERROR(__xludf.DUMMYFUNCTION("""COMPUTED_VALUE"""),"Bahamas")</f>
        <v>Bahamas</v>
      </c>
      <c r="D1036">
        <f>IFERROR(__xludf.DUMMYFUNCTION("""COMPUTED_VALUE"""),1981.0)</f>
        <v>1981</v>
      </c>
      <c r="E1036">
        <f>IFERROR(__xludf.DUMMYFUNCTION("""COMPUTED_VALUE"""),215396.0)</f>
        <v>215396</v>
      </c>
    </row>
    <row r="1037">
      <c r="A1037" t="str">
        <f t="shared" si="1"/>
        <v>bhs#1982</v>
      </c>
      <c r="B1037" t="str">
        <f>IFERROR(__xludf.DUMMYFUNCTION("""COMPUTED_VALUE"""),"bhs")</f>
        <v>bhs</v>
      </c>
      <c r="C1037" t="str">
        <f>IFERROR(__xludf.DUMMYFUNCTION("""COMPUTED_VALUE"""),"Bahamas")</f>
        <v>Bahamas</v>
      </c>
      <c r="D1037">
        <f>IFERROR(__xludf.DUMMYFUNCTION("""COMPUTED_VALUE"""),1982.0)</f>
        <v>1982</v>
      </c>
      <c r="E1037">
        <f>IFERROR(__xludf.DUMMYFUNCTION("""COMPUTED_VALUE"""),220275.0)</f>
        <v>220275</v>
      </c>
    </row>
    <row r="1038">
      <c r="A1038" t="str">
        <f t="shared" si="1"/>
        <v>bhs#1983</v>
      </c>
      <c r="B1038" t="str">
        <f>IFERROR(__xludf.DUMMYFUNCTION("""COMPUTED_VALUE"""),"bhs")</f>
        <v>bhs</v>
      </c>
      <c r="C1038" t="str">
        <f>IFERROR(__xludf.DUMMYFUNCTION("""COMPUTED_VALUE"""),"Bahamas")</f>
        <v>Bahamas</v>
      </c>
      <c r="D1038">
        <f>IFERROR(__xludf.DUMMYFUNCTION("""COMPUTED_VALUE"""),1983.0)</f>
        <v>1983</v>
      </c>
      <c r="E1038">
        <f>IFERROR(__xludf.DUMMYFUNCTION("""COMPUTED_VALUE"""),225187.0)</f>
        <v>225187</v>
      </c>
    </row>
    <row r="1039">
      <c r="A1039" t="str">
        <f t="shared" si="1"/>
        <v>bhs#1984</v>
      </c>
      <c r="B1039" t="str">
        <f>IFERROR(__xludf.DUMMYFUNCTION("""COMPUTED_VALUE"""),"bhs")</f>
        <v>bhs</v>
      </c>
      <c r="C1039" t="str">
        <f>IFERROR(__xludf.DUMMYFUNCTION("""COMPUTED_VALUE"""),"Bahamas")</f>
        <v>Bahamas</v>
      </c>
      <c r="D1039">
        <f>IFERROR(__xludf.DUMMYFUNCTION("""COMPUTED_VALUE"""),1984.0)</f>
        <v>1984</v>
      </c>
      <c r="E1039">
        <f>IFERROR(__xludf.DUMMYFUNCTION("""COMPUTED_VALUE"""),230015.0)</f>
        <v>230015</v>
      </c>
    </row>
    <row r="1040">
      <c r="A1040" t="str">
        <f t="shared" si="1"/>
        <v>bhs#1985</v>
      </c>
      <c r="B1040" t="str">
        <f>IFERROR(__xludf.DUMMYFUNCTION("""COMPUTED_VALUE"""),"bhs")</f>
        <v>bhs</v>
      </c>
      <c r="C1040" t="str">
        <f>IFERROR(__xludf.DUMMYFUNCTION("""COMPUTED_VALUE"""),"Bahamas")</f>
        <v>Bahamas</v>
      </c>
      <c r="D1040">
        <f>IFERROR(__xludf.DUMMYFUNCTION("""COMPUTED_VALUE"""),1985.0)</f>
        <v>1985</v>
      </c>
      <c r="E1040">
        <f>IFERROR(__xludf.DUMMYFUNCTION("""COMPUTED_VALUE"""),234687.0)</f>
        <v>234687</v>
      </c>
    </row>
    <row r="1041">
      <c r="A1041" t="str">
        <f t="shared" si="1"/>
        <v>bhs#1986</v>
      </c>
      <c r="B1041" t="str">
        <f>IFERROR(__xludf.DUMMYFUNCTION("""COMPUTED_VALUE"""),"bhs")</f>
        <v>bhs</v>
      </c>
      <c r="C1041" t="str">
        <f>IFERROR(__xludf.DUMMYFUNCTION("""COMPUTED_VALUE"""),"Bahamas")</f>
        <v>Bahamas</v>
      </c>
      <c r="D1041">
        <f>IFERROR(__xludf.DUMMYFUNCTION("""COMPUTED_VALUE"""),1986.0)</f>
        <v>1986</v>
      </c>
      <c r="E1041">
        <f>IFERROR(__xludf.DUMMYFUNCTION("""COMPUTED_VALUE"""),239131.0)</f>
        <v>239131</v>
      </c>
    </row>
    <row r="1042">
      <c r="A1042" t="str">
        <f t="shared" si="1"/>
        <v>bhs#1987</v>
      </c>
      <c r="B1042" t="str">
        <f>IFERROR(__xludf.DUMMYFUNCTION("""COMPUTED_VALUE"""),"bhs")</f>
        <v>bhs</v>
      </c>
      <c r="C1042" t="str">
        <f>IFERROR(__xludf.DUMMYFUNCTION("""COMPUTED_VALUE"""),"Bahamas")</f>
        <v>Bahamas</v>
      </c>
      <c r="D1042">
        <f>IFERROR(__xludf.DUMMYFUNCTION("""COMPUTED_VALUE"""),1987.0)</f>
        <v>1987</v>
      </c>
      <c r="E1042">
        <f>IFERROR(__xludf.DUMMYFUNCTION("""COMPUTED_VALUE"""),243393.0)</f>
        <v>243393</v>
      </c>
    </row>
    <row r="1043">
      <c r="A1043" t="str">
        <f t="shared" si="1"/>
        <v>bhs#1988</v>
      </c>
      <c r="B1043" t="str">
        <f>IFERROR(__xludf.DUMMYFUNCTION("""COMPUTED_VALUE"""),"bhs")</f>
        <v>bhs</v>
      </c>
      <c r="C1043" t="str">
        <f>IFERROR(__xludf.DUMMYFUNCTION("""COMPUTED_VALUE"""),"Bahamas")</f>
        <v>Bahamas</v>
      </c>
      <c r="D1043">
        <f>IFERROR(__xludf.DUMMYFUNCTION("""COMPUTED_VALUE"""),1988.0)</f>
        <v>1988</v>
      </c>
      <c r="E1043">
        <f>IFERROR(__xludf.DUMMYFUNCTION("""COMPUTED_VALUE"""),247579.0)</f>
        <v>247579</v>
      </c>
    </row>
    <row r="1044">
      <c r="A1044" t="str">
        <f t="shared" si="1"/>
        <v>bhs#1989</v>
      </c>
      <c r="B1044" t="str">
        <f>IFERROR(__xludf.DUMMYFUNCTION("""COMPUTED_VALUE"""),"bhs")</f>
        <v>bhs</v>
      </c>
      <c r="C1044" t="str">
        <f>IFERROR(__xludf.DUMMYFUNCTION("""COMPUTED_VALUE"""),"Bahamas")</f>
        <v>Bahamas</v>
      </c>
      <c r="D1044">
        <f>IFERROR(__xludf.DUMMYFUNCTION("""COMPUTED_VALUE"""),1989.0)</f>
        <v>1989</v>
      </c>
      <c r="E1044">
        <f>IFERROR(__xludf.DUMMYFUNCTION("""COMPUTED_VALUE"""),251849.0)</f>
        <v>251849</v>
      </c>
    </row>
    <row r="1045">
      <c r="A1045" t="str">
        <f t="shared" si="1"/>
        <v>bhs#1990</v>
      </c>
      <c r="B1045" t="str">
        <f>IFERROR(__xludf.DUMMYFUNCTION("""COMPUTED_VALUE"""),"bhs")</f>
        <v>bhs</v>
      </c>
      <c r="C1045" t="str">
        <f>IFERROR(__xludf.DUMMYFUNCTION("""COMPUTED_VALUE"""),"Bahamas")</f>
        <v>Bahamas</v>
      </c>
      <c r="D1045">
        <f>IFERROR(__xludf.DUMMYFUNCTION("""COMPUTED_VALUE"""),1990.0)</f>
        <v>1990</v>
      </c>
      <c r="E1045">
        <f>IFERROR(__xludf.DUMMYFUNCTION("""COMPUTED_VALUE"""),256336.0)</f>
        <v>256336</v>
      </c>
    </row>
    <row r="1046">
      <c r="A1046" t="str">
        <f t="shared" si="1"/>
        <v>bhs#1991</v>
      </c>
      <c r="B1046" t="str">
        <f>IFERROR(__xludf.DUMMYFUNCTION("""COMPUTED_VALUE"""),"bhs")</f>
        <v>bhs</v>
      </c>
      <c r="C1046" t="str">
        <f>IFERROR(__xludf.DUMMYFUNCTION("""COMPUTED_VALUE"""),"Bahamas")</f>
        <v>Bahamas</v>
      </c>
      <c r="D1046">
        <f>IFERROR(__xludf.DUMMYFUNCTION("""COMPUTED_VALUE"""),1991.0)</f>
        <v>1991</v>
      </c>
      <c r="E1046">
        <f>IFERROR(__xludf.DUMMYFUNCTION("""COMPUTED_VALUE"""),261116.0)</f>
        <v>261116</v>
      </c>
    </row>
    <row r="1047">
      <c r="A1047" t="str">
        <f t="shared" si="1"/>
        <v>bhs#1992</v>
      </c>
      <c r="B1047" t="str">
        <f>IFERROR(__xludf.DUMMYFUNCTION("""COMPUTED_VALUE"""),"bhs")</f>
        <v>bhs</v>
      </c>
      <c r="C1047" t="str">
        <f>IFERROR(__xludf.DUMMYFUNCTION("""COMPUTED_VALUE"""),"Bahamas")</f>
        <v>Bahamas</v>
      </c>
      <c r="D1047">
        <f>IFERROR(__xludf.DUMMYFUNCTION("""COMPUTED_VALUE"""),1992.0)</f>
        <v>1992</v>
      </c>
      <c r="E1047">
        <f>IFERROR(__xludf.DUMMYFUNCTION("""COMPUTED_VALUE"""),266134.0)</f>
        <v>266134</v>
      </c>
    </row>
    <row r="1048">
      <c r="A1048" t="str">
        <f t="shared" si="1"/>
        <v>bhs#1993</v>
      </c>
      <c r="B1048" t="str">
        <f>IFERROR(__xludf.DUMMYFUNCTION("""COMPUTED_VALUE"""),"bhs")</f>
        <v>bhs</v>
      </c>
      <c r="C1048" t="str">
        <f>IFERROR(__xludf.DUMMYFUNCTION("""COMPUTED_VALUE"""),"Bahamas")</f>
        <v>Bahamas</v>
      </c>
      <c r="D1048">
        <f>IFERROR(__xludf.DUMMYFUNCTION("""COMPUTED_VALUE"""),1993.0)</f>
        <v>1993</v>
      </c>
      <c r="E1048">
        <f>IFERROR(__xludf.DUMMYFUNCTION("""COMPUTED_VALUE"""),271165.0)</f>
        <v>271165</v>
      </c>
    </row>
    <row r="1049">
      <c r="A1049" t="str">
        <f t="shared" si="1"/>
        <v>bhs#1994</v>
      </c>
      <c r="B1049" t="str">
        <f>IFERROR(__xludf.DUMMYFUNCTION("""COMPUTED_VALUE"""),"bhs")</f>
        <v>bhs</v>
      </c>
      <c r="C1049" t="str">
        <f>IFERROR(__xludf.DUMMYFUNCTION("""COMPUTED_VALUE"""),"Bahamas")</f>
        <v>Bahamas</v>
      </c>
      <c r="D1049">
        <f>IFERROR(__xludf.DUMMYFUNCTION("""COMPUTED_VALUE"""),1994.0)</f>
        <v>1994</v>
      </c>
      <c r="E1049">
        <f>IFERROR(__xludf.DUMMYFUNCTION("""COMPUTED_VALUE"""),275895.0)</f>
        <v>275895</v>
      </c>
    </row>
    <row r="1050">
      <c r="A1050" t="str">
        <f t="shared" si="1"/>
        <v>bhs#1995</v>
      </c>
      <c r="B1050" t="str">
        <f>IFERROR(__xludf.DUMMYFUNCTION("""COMPUTED_VALUE"""),"bhs")</f>
        <v>bhs</v>
      </c>
      <c r="C1050" t="str">
        <f>IFERROR(__xludf.DUMMYFUNCTION("""COMPUTED_VALUE"""),"Bahamas")</f>
        <v>Bahamas</v>
      </c>
      <c r="D1050">
        <f>IFERROR(__xludf.DUMMYFUNCTION("""COMPUTED_VALUE"""),1995.0)</f>
        <v>1995</v>
      </c>
      <c r="E1050">
        <f>IFERROR(__xludf.DUMMYFUNCTION("""COMPUTED_VALUE"""),280150.0)</f>
        <v>280150</v>
      </c>
    </row>
    <row r="1051">
      <c r="A1051" t="str">
        <f t="shared" si="1"/>
        <v>bhs#1996</v>
      </c>
      <c r="B1051" t="str">
        <f>IFERROR(__xludf.DUMMYFUNCTION("""COMPUTED_VALUE"""),"bhs")</f>
        <v>bhs</v>
      </c>
      <c r="C1051" t="str">
        <f>IFERROR(__xludf.DUMMYFUNCTION("""COMPUTED_VALUE"""),"Bahamas")</f>
        <v>Bahamas</v>
      </c>
      <c r="D1051">
        <f>IFERROR(__xludf.DUMMYFUNCTION("""COMPUTED_VALUE"""),1996.0)</f>
        <v>1996</v>
      </c>
      <c r="E1051">
        <f>IFERROR(__xludf.DUMMYFUNCTION("""COMPUTED_VALUE"""),283790.0)</f>
        <v>283790</v>
      </c>
    </row>
    <row r="1052">
      <c r="A1052" t="str">
        <f t="shared" si="1"/>
        <v>bhs#1997</v>
      </c>
      <c r="B1052" t="str">
        <f>IFERROR(__xludf.DUMMYFUNCTION("""COMPUTED_VALUE"""),"bhs")</f>
        <v>bhs</v>
      </c>
      <c r="C1052" t="str">
        <f>IFERROR(__xludf.DUMMYFUNCTION("""COMPUTED_VALUE"""),"Bahamas")</f>
        <v>Bahamas</v>
      </c>
      <c r="D1052">
        <f>IFERROR(__xludf.DUMMYFUNCTION("""COMPUTED_VALUE"""),1997.0)</f>
        <v>1997</v>
      </c>
      <c r="E1052">
        <f>IFERROR(__xludf.DUMMYFUNCTION("""COMPUTED_VALUE"""),286970.0)</f>
        <v>286970</v>
      </c>
    </row>
    <row r="1053">
      <c r="A1053" t="str">
        <f t="shared" si="1"/>
        <v>bhs#1998</v>
      </c>
      <c r="B1053" t="str">
        <f>IFERROR(__xludf.DUMMYFUNCTION("""COMPUTED_VALUE"""),"bhs")</f>
        <v>bhs</v>
      </c>
      <c r="C1053" t="str">
        <f>IFERROR(__xludf.DUMMYFUNCTION("""COMPUTED_VALUE"""),"Bahamas")</f>
        <v>Bahamas</v>
      </c>
      <c r="D1053">
        <f>IFERROR(__xludf.DUMMYFUNCTION("""COMPUTED_VALUE"""),1998.0)</f>
        <v>1998</v>
      </c>
      <c r="E1053">
        <f>IFERROR(__xludf.DUMMYFUNCTION("""COMPUTED_VALUE"""),290060.0)</f>
        <v>290060</v>
      </c>
    </row>
    <row r="1054">
      <c r="A1054" t="str">
        <f t="shared" si="1"/>
        <v>bhs#1999</v>
      </c>
      <c r="B1054" t="str">
        <f>IFERROR(__xludf.DUMMYFUNCTION("""COMPUTED_VALUE"""),"bhs")</f>
        <v>bhs</v>
      </c>
      <c r="C1054" t="str">
        <f>IFERROR(__xludf.DUMMYFUNCTION("""COMPUTED_VALUE"""),"Bahamas")</f>
        <v>Bahamas</v>
      </c>
      <c r="D1054">
        <f>IFERROR(__xludf.DUMMYFUNCTION("""COMPUTED_VALUE"""),1999.0)</f>
        <v>1999</v>
      </c>
      <c r="E1054">
        <f>IFERROR(__xludf.DUMMYFUNCTION("""COMPUTED_VALUE"""),293572.0)</f>
        <v>293572</v>
      </c>
    </row>
    <row r="1055">
      <c r="A1055" t="str">
        <f t="shared" si="1"/>
        <v>bhs#2000</v>
      </c>
      <c r="B1055" t="str">
        <f>IFERROR(__xludf.DUMMYFUNCTION("""COMPUTED_VALUE"""),"bhs")</f>
        <v>bhs</v>
      </c>
      <c r="C1055" t="str">
        <f>IFERROR(__xludf.DUMMYFUNCTION("""COMPUTED_VALUE"""),"Bahamas")</f>
        <v>Bahamas</v>
      </c>
      <c r="D1055">
        <f>IFERROR(__xludf.DUMMYFUNCTION("""COMPUTED_VALUE"""),2000.0)</f>
        <v>2000</v>
      </c>
      <c r="E1055">
        <f>IFERROR(__xludf.DUMMYFUNCTION("""COMPUTED_VALUE"""),297890.0)</f>
        <v>297890</v>
      </c>
    </row>
    <row r="1056">
      <c r="A1056" t="str">
        <f t="shared" si="1"/>
        <v>bhs#2001</v>
      </c>
      <c r="B1056" t="str">
        <f>IFERROR(__xludf.DUMMYFUNCTION("""COMPUTED_VALUE"""),"bhs")</f>
        <v>bhs</v>
      </c>
      <c r="C1056" t="str">
        <f>IFERROR(__xludf.DUMMYFUNCTION("""COMPUTED_VALUE"""),"Bahamas")</f>
        <v>Bahamas</v>
      </c>
      <c r="D1056">
        <f>IFERROR(__xludf.DUMMYFUNCTION("""COMPUTED_VALUE"""),2001.0)</f>
        <v>2001</v>
      </c>
      <c r="E1056">
        <f>IFERROR(__xludf.DUMMYFUNCTION("""COMPUTED_VALUE"""),303135.0)</f>
        <v>303135</v>
      </c>
    </row>
    <row r="1057">
      <c r="A1057" t="str">
        <f t="shared" si="1"/>
        <v>bhs#2002</v>
      </c>
      <c r="B1057" t="str">
        <f>IFERROR(__xludf.DUMMYFUNCTION("""COMPUTED_VALUE"""),"bhs")</f>
        <v>bhs</v>
      </c>
      <c r="C1057" t="str">
        <f>IFERROR(__xludf.DUMMYFUNCTION("""COMPUTED_VALUE"""),"Bahamas")</f>
        <v>Bahamas</v>
      </c>
      <c r="D1057">
        <f>IFERROR(__xludf.DUMMYFUNCTION("""COMPUTED_VALUE"""),2002.0)</f>
        <v>2002</v>
      </c>
      <c r="E1057">
        <f>IFERROR(__xludf.DUMMYFUNCTION("""COMPUTED_VALUE"""),309157.0)</f>
        <v>309157</v>
      </c>
    </row>
    <row r="1058">
      <c r="A1058" t="str">
        <f t="shared" si="1"/>
        <v>bhs#2003</v>
      </c>
      <c r="B1058" t="str">
        <f>IFERROR(__xludf.DUMMYFUNCTION("""COMPUTED_VALUE"""),"bhs")</f>
        <v>bhs</v>
      </c>
      <c r="C1058" t="str">
        <f>IFERROR(__xludf.DUMMYFUNCTION("""COMPUTED_VALUE"""),"Bahamas")</f>
        <v>Bahamas</v>
      </c>
      <c r="D1058">
        <f>IFERROR(__xludf.DUMMYFUNCTION("""COMPUTED_VALUE"""),2003.0)</f>
        <v>2003</v>
      </c>
      <c r="E1058">
        <f>IFERROR(__xludf.DUMMYFUNCTION("""COMPUTED_VALUE"""),315746.0)</f>
        <v>315746</v>
      </c>
    </row>
    <row r="1059">
      <c r="A1059" t="str">
        <f t="shared" si="1"/>
        <v>bhs#2004</v>
      </c>
      <c r="B1059" t="str">
        <f>IFERROR(__xludf.DUMMYFUNCTION("""COMPUTED_VALUE"""),"bhs")</f>
        <v>bhs</v>
      </c>
      <c r="C1059" t="str">
        <f>IFERROR(__xludf.DUMMYFUNCTION("""COMPUTED_VALUE"""),"Bahamas")</f>
        <v>Bahamas</v>
      </c>
      <c r="D1059">
        <f>IFERROR(__xludf.DUMMYFUNCTION("""COMPUTED_VALUE"""),2004.0)</f>
        <v>2004</v>
      </c>
      <c r="E1059">
        <f>IFERROR(__xludf.DUMMYFUNCTION("""COMPUTED_VALUE"""),322526.0)</f>
        <v>322526</v>
      </c>
    </row>
    <row r="1060">
      <c r="A1060" t="str">
        <f t="shared" si="1"/>
        <v>bhs#2005</v>
      </c>
      <c r="B1060" t="str">
        <f>IFERROR(__xludf.DUMMYFUNCTION("""COMPUTED_VALUE"""),"bhs")</f>
        <v>bhs</v>
      </c>
      <c r="C1060" t="str">
        <f>IFERROR(__xludf.DUMMYFUNCTION("""COMPUTED_VALUE"""),"Bahamas")</f>
        <v>Bahamas</v>
      </c>
      <c r="D1060">
        <f>IFERROR(__xludf.DUMMYFUNCTION("""COMPUTED_VALUE"""),2005.0)</f>
        <v>2005</v>
      </c>
      <c r="E1060">
        <f>IFERROR(__xludf.DUMMYFUNCTION("""COMPUTED_VALUE"""),329249.0)</f>
        <v>329249</v>
      </c>
    </row>
    <row r="1061">
      <c r="A1061" t="str">
        <f t="shared" si="1"/>
        <v>bhs#2006</v>
      </c>
      <c r="B1061" t="str">
        <f>IFERROR(__xludf.DUMMYFUNCTION("""COMPUTED_VALUE"""),"bhs")</f>
        <v>bhs</v>
      </c>
      <c r="C1061" t="str">
        <f>IFERROR(__xludf.DUMMYFUNCTION("""COMPUTED_VALUE"""),"Bahamas")</f>
        <v>Bahamas</v>
      </c>
      <c r="D1061">
        <f>IFERROR(__xludf.DUMMYFUNCTION("""COMPUTED_VALUE"""),2006.0)</f>
        <v>2006</v>
      </c>
      <c r="E1061">
        <f>IFERROR(__xludf.DUMMYFUNCTION("""COMPUTED_VALUE"""),335830.0)</f>
        <v>335830</v>
      </c>
    </row>
    <row r="1062">
      <c r="A1062" t="str">
        <f t="shared" si="1"/>
        <v>bhs#2007</v>
      </c>
      <c r="B1062" t="str">
        <f>IFERROR(__xludf.DUMMYFUNCTION("""COMPUTED_VALUE"""),"bhs")</f>
        <v>bhs</v>
      </c>
      <c r="C1062" t="str">
        <f>IFERROR(__xludf.DUMMYFUNCTION("""COMPUTED_VALUE"""),"Bahamas")</f>
        <v>Bahamas</v>
      </c>
      <c r="D1062">
        <f>IFERROR(__xludf.DUMMYFUNCTION("""COMPUTED_VALUE"""),2007.0)</f>
        <v>2007</v>
      </c>
      <c r="E1062">
        <f>IFERROR(__xludf.DUMMYFUNCTION("""COMPUTED_VALUE"""),342328.0)</f>
        <v>342328</v>
      </c>
    </row>
    <row r="1063">
      <c r="A1063" t="str">
        <f t="shared" si="1"/>
        <v>bhs#2008</v>
      </c>
      <c r="B1063" t="str">
        <f>IFERROR(__xludf.DUMMYFUNCTION("""COMPUTED_VALUE"""),"bhs")</f>
        <v>bhs</v>
      </c>
      <c r="C1063" t="str">
        <f>IFERROR(__xludf.DUMMYFUNCTION("""COMPUTED_VALUE"""),"Bahamas")</f>
        <v>Bahamas</v>
      </c>
      <c r="D1063">
        <f>IFERROR(__xludf.DUMMYFUNCTION("""COMPUTED_VALUE"""),2008.0)</f>
        <v>2008</v>
      </c>
      <c r="E1063">
        <f>IFERROR(__xludf.DUMMYFUNCTION("""COMPUTED_VALUE"""),348676.0)</f>
        <v>348676</v>
      </c>
    </row>
    <row r="1064">
      <c r="A1064" t="str">
        <f t="shared" si="1"/>
        <v>bhs#2009</v>
      </c>
      <c r="B1064" t="str">
        <f>IFERROR(__xludf.DUMMYFUNCTION("""COMPUTED_VALUE"""),"bhs")</f>
        <v>bhs</v>
      </c>
      <c r="C1064" t="str">
        <f>IFERROR(__xludf.DUMMYFUNCTION("""COMPUTED_VALUE"""),"Bahamas")</f>
        <v>Bahamas</v>
      </c>
      <c r="D1064">
        <f>IFERROR(__xludf.DUMMYFUNCTION("""COMPUTED_VALUE"""),2009.0)</f>
        <v>2009</v>
      </c>
      <c r="E1064">
        <f>IFERROR(__xludf.DUMMYFUNCTION("""COMPUTED_VALUE"""),354856.0)</f>
        <v>354856</v>
      </c>
    </row>
    <row r="1065">
      <c r="A1065" t="str">
        <f t="shared" si="1"/>
        <v>bhs#2010</v>
      </c>
      <c r="B1065" t="str">
        <f>IFERROR(__xludf.DUMMYFUNCTION("""COMPUTED_VALUE"""),"bhs")</f>
        <v>bhs</v>
      </c>
      <c r="C1065" t="str">
        <f>IFERROR(__xludf.DUMMYFUNCTION("""COMPUTED_VALUE"""),"Bahamas")</f>
        <v>Bahamas</v>
      </c>
      <c r="D1065">
        <f>IFERROR(__xludf.DUMMYFUNCTION("""COMPUTED_VALUE"""),2010.0)</f>
        <v>2010</v>
      </c>
      <c r="E1065">
        <f>IFERROR(__xludf.DUMMYFUNCTION("""COMPUTED_VALUE"""),360832.0)</f>
        <v>360832</v>
      </c>
    </row>
    <row r="1066">
      <c r="A1066" t="str">
        <f t="shared" si="1"/>
        <v>bhs#2011</v>
      </c>
      <c r="B1066" t="str">
        <f>IFERROR(__xludf.DUMMYFUNCTION("""COMPUTED_VALUE"""),"bhs")</f>
        <v>bhs</v>
      </c>
      <c r="C1066" t="str">
        <f>IFERROR(__xludf.DUMMYFUNCTION("""COMPUTED_VALUE"""),"Bahamas")</f>
        <v>Bahamas</v>
      </c>
      <c r="D1066">
        <f>IFERROR(__xludf.DUMMYFUNCTION("""COMPUTED_VALUE"""),2011.0)</f>
        <v>2011</v>
      </c>
      <c r="E1066">
        <f>IFERROR(__xludf.DUMMYFUNCTION("""COMPUTED_VALUE"""),366568.0)</f>
        <v>366568</v>
      </c>
    </row>
    <row r="1067">
      <c r="A1067" t="str">
        <f t="shared" si="1"/>
        <v>bhs#2012</v>
      </c>
      <c r="B1067" t="str">
        <f>IFERROR(__xludf.DUMMYFUNCTION("""COMPUTED_VALUE"""),"bhs")</f>
        <v>bhs</v>
      </c>
      <c r="C1067" t="str">
        <f>IFERROR(__xludf.DUMMYFUNCTION("""COMPUTED_VALUE"""),"Bahamas")</f>
        <v>Bahamas</v>
      </c>
      <c r="D1067">
        <f>IFERROR(__xludf.DUMMYFUNCTION("""COMPUTED_VALUE"""),2012.0)</f>
        <v>2012</v>
      </c>
      <c r="E1067">
        <f>IFERROR(__xludf.DUMMYFUNCTION("""COMPUTED_VALUE"""),372039.0)</f>
        <v>372039</v>
      </c>
    </row>
    <row r="1068">
      <c r="A1068" t="str">
        <f t="shared" si="1"/>
        <v>bhs#2013</v>
      </c>
      <c r="B1068" t="str">
        <f>IFERROR(__xludf.DUMMYFUNCTION("""COMPUTED_VALUE"""),"bhs")</f>
        <v>bhs</v>
      </c>
      <c r="C1068" t="str">
        <f>IFERROR(__xludf.DUMMYFUNCTION("""COMPUTED_VALUE"""),"Bahamas")</f>
        <v>Bahamas</v>
      </c>
      <c r="D1068">
        <f>IFERROR(__xludf.DUMMYFUNCTION("""COMPUTED_VALUE"""),2013.0)</f>
        <v>2013</v>
      </c>
      <c r="E1068">
        <f>IFERROR(__xludf.DUMMYFUNCTION("""COMPUTED_VALUE"""),377240.0)</f>
        <v>377240</v>
      </c>
    </row>
    <row r="1069">
      <c r="A1069" t="str">
        <f t="shared" si="1"/>
        <v>bhs#2014</v>
      </c>
      <c r="B1069" t="str">
        <f>IFERROR(__xludf.DUMMYFUNCTION("""COMPUTED_VALUE"""),"bhs")</f>
        <v>bhs</v>
      </c>
      <c r="C1069" t="str">
        <f>IFERROR(__xludf.DUMMYFUNCTION("""COMPUTED_VALUE"""),"Bahamas")</f>
        <v>Bahamas</v>
      </c>
      <c r="D1069">
        <f>IFERROR(__xludf.DUMMYFUNCTION("""COMPUTED_VALUE"""),2014.0)</f>
        <v>2014</v>
      </c>
      <c r="E1069">
        <f>IFERROR(__xludf.DUMMYFUNCTION("""COMPUTED_VALUE"""),382169.0)</f>
        <v>382169</v>
      </c>
    </row>
    <row r="1070">
      <c r="A1070" t="str">
        <f t="shared" si="1"/>
        <v>bhs#2015</v>
      </c>
      <c r="B1070" t="str">
        <f>IFERROR(__xludf.DUMMYFUNCTION("""COMPUTED_VALUE"""),"bhs")</f>
        <v>bhs</v>
      </c>
      <c r="C1070" t="str">
        <f>IFERROR(__xludf.DUMMYFUNCTION("""COMPUTED_VALUE"""),"Bahamas")</f>
        <v>Bahamas</v>
      </c>
      <c r="D1070">
        <f>IFERROR(__xludf.DUMMYFUNCTION("""COMPUTED_VALUE"""),2015.0)</f>
        <v>2015</v>
      </c>
      <c r="E1070">
        <f>IFERROR(__xludf.DUMMYFUNCTION("""COMPUTED_VALUE"""),386838.0)</f>
        <v>386838</v>
      </c>
    </row>
    <row r="1071">
      <c r="A1071" t="str">
        <f t="shared" si="1"/>
        <v>bhs#2016</v>
      </c>
      <c r="B1071" t="str">
        <f>IFERROR(__xludf.DUMMYFUNCTION("""COMPUTED_VALUE"""),"bhs")</f>
        <v>bhs</v>
      </c>
      <c r="C1071" t="str">
        <f>IFERROR(__xludf.DUMMYFUNCTION("""COMPUTED_VALUE"""),"Bahamas")</f>
        <v>Bahamas</v>
      </c>
      <c r="D1071">
        <f>IFERROR(__xludf.DUMMYFUNCTION("""COMPUTED_VALUE"""),2016.0)</f>
        <v>2016</v>
      </c>
      <c r="E1071">
        <f>IFERROR(__xludf.DUMMYFUNCTION("""COMPUTED_VALUE"""),391232.0)</f>
        <v>391232</v>
      </c>
    </row>
    <row r="1072">
      <c r="A1072" t="str">
        <f t="shared" si="1"/>
        <v>bhs#2017</v>
      </c>
      <c r="B1072" t="str">
        <f>IFERROR(__xludf.DUMMYFUNCTION("""COMPUTED_VALUE"""),"bhs")</f>
        <v>bhs</v>
      </c>
      <c r="C1072" t="str">
        <f>IFERROR(__xludf.DUMMYFUNCTION("""COMPUTED_VALUE"""),"Bahamas")</f>
        <v>Bahamas</v>
      </c>
      <c r="D1072">
        <f>IFERROR(__xludf.DUMMYFUNCTION("""COMPUTED_VALUE"""),2017.0)</f>
        <v>2017</v>
      </c>
      <c r="E1072">
        <f>IFERROR(__xludf.DUMMYFUNCTION("""COMPUTED_VALUE"""),395361.0)</f>
        <v>395361</v>
      </c>
    </row>
    <row r="1073">
      <c r="A1073" t="str">
        <f t="shared" si="1"/>
        <v>bhs#2018</v>
      </c>
      <c r="B1073" t="str">
        <f>IFERROR(__xludf.DUMMYFUNCTION("""COMPUTED_VALUE"""),"bhs")</f>
        <v>bhs</v>
      </c>
      <c r="C1073" t="str">
        <f>IFERROR(__xludf.DUMMYFUNCTION("""COMPUTED_VALUE"""),"Bahamas")</f>
        <v>Bahamas</v>
      </c>
      <c r="D1073">
        <f>IFERROR(__xludf.DUMMYFUNCTION("""COMPUTED_VALUE"""),2018.0)</f>
        <v>2018</v>
      </c>
      <c r="E1073">
        <f>IFERROR(__xludf.DUMMYFUNCTION("""COMPUTED_VALUE"""),399285.0)</f>
        <v>399285</v>
      </c>
    </row>
    <row r="1074">
      <c r="A1074" t="str">
        <f t="shared" si="1"/>
        <v>bhs#2019</v>
      </c>
      <c r="B1074" t="str">
        <f>IFERROR(__xludf.DUMMYFUNCTION("""COMPUTED_VALUE"""),"bhs")</f>
        <v>bhs</v>
      </c>
      <c r="C1074" t="str">
        <f>IFERROR(__xludf.DUMMYFUNCTION("""COMPUTED_VALUE"""),"Bahamas")</f>
        <v>Bahamas</v>
      </c>
      <c r="D1074">
        <f>IFERROR(__xludf.DUMMYFUNCTION("""COMPUTED_VALUE"""),2019.0)</f>
        <v>2019</v>
      </c>
      <c r="E1074">
        <f>IFERROR(__xludf.DUMMYFUNCTION("""COMPUTED_VALUE"""),403095.0)</f>
        <v>403095</v>
      </c>
    </row>
    <row r="1075">
      <c r="A1075" t="str">
        <f t="shared" si="1"/>
        <v>bhs#2020</v>
      </c>
      <c r="B1075" t="str">
        <f>IFERROR(__xludf.DUMMYFUNCTION("""COMPUTED_VALUE"""),"bhs")</f>
        <v>bhs</v>
      </c>
      <c r="C1075" t="str">
        <f>IFERROR(__xludf.DUMMYFUNCTION("""COMPUTED_VALUE"""),"Bahamas")</f>
        <v>Bahamas</v>
      </c>
      <c r="D1075">
        <f>IFERROR(__xludf.DUMMYFUNCTION("""COMPUTED_VALUE"""),2020.0)</f>
        <v>2020</v>
      </c>
      <c r="E1075">
        <f>IFERROR(__xludf.DUMMYFUNCTION("""COMPUTED_VALUE"""),406839.0)</f>
        <v>406839</v>
      </c>
    </row>
    <row r="1076">
      <c r="A1076" t="str">
        <f t="shared" si="1"/>
        <v>bhs#2021</v>
      </c>
      <c r="B1076" t="str">
        <f>IFERROR(__xludf.DUMMYFUNCTION("""COMPUTED_VALUE"""),"bhs")</f>
        <v>bhs</v>
      </c>
      <c r="C1076" t="str">
        <f>IFERROR(__xludf.DUMMYFUNCTION("""COMPUTED_VALUE"""),"Bahamas")</f>
        <v>Bahamas</v>
      </c>
      <c r="D1076">
        <f>IFERROR(__xludf.DUMMYFUNCTION("""COMPUTED_VALUE"""),2021.0)</f>
        <v>2021</v>
      </c>
      <c r="E1076">
        <f>IFERROR(__xludf.DUMMYFUNCTION("""COMPUTED_VALUE"""),410556.0)</f>
        <v>410556</v>
      </c>
    </row>
    <row r="1077">
      <c r="A1077" t="str">
        <f t="shared" si="1"/>
        <v>bhs#2022</v>
      </c>
      <c r="B1077" t="str">
        <f>IFERROR(__xludf.DUMMYFUNCTION("""COMPUTED_VALUE"""),"bhs")</f>
        <v>bhs</v>
      </c>
      <c r="C1077" t="str">
        <f>IFERROR(__xludf.DUMMYFUNCTION("""COMPUTED_VALUE"""),"Bahamas")</f>
        <v>Bahamas</v>
      </c>
      <c r="D1077">
        <f>IFERROR(__xludf.DUMMYFUNCTION("""COMPUTED_VALUE"""),2022.0)</f>
        <v>2022</v>
      </c>
      <c r="E1077">
        <f>IFERROR(__xludf.DUMMYFUNCTION("""COMPUTED_VALUE"""),414225.0)</f>
        <v>414225</v>
      </c>
    </row>
    <row r="1078">
      <c r="A1078" t="str">
        <f t="shared" si="1"/>
        <v>bhs#2023</v>
      </c>
      <c r="B1078" t="str">
        <f>IFERROR(__xludf.DUMMYFUNCTION("""COMPUTED_VALUE"""),"bhs")</f>
        <v>bhs</v>
      </c>
      <c r="C1078" t="str">
        <f>IFERROR(__xludf.DUMMYFUNCTION("""COMPUTED_VALUE"""),"Bahamas")</f>
        <v>Bahamas</v>
      </c>
      <c r="D1078">
        <f>IFERROR(__xludf.DUMMYFUNCTION("""COMPUTED_VALUE"""),2023.0)</f>
        <v>2023</v>
      </c>
      <c r="E1078">
        <f>IFERROR(__xludf.DUMMYFUNCTION("""COMPUTED_VALUE"""),417836.0)</f>
        <v>417836</v>
      </c>
    </row>
    <row r="1079">
      <c r="A1079" t="str">
        <f t="shared" si="1"/>
        <v>bhs#2024</v>
      </c>
      <c r="B1079" t="str">
        <f>IFERROR(__xludf.DUMMYFUNCTION("""COMPUTED_VALUE"""),"bhs")</f>
        <v>bhs</v>
      </c>
      <c r="C1079" t="str">
        <f>IFERROR(__xludf.DUMMYFUNCTION("""COMPUTED_VALUE"""),"Bahamas")</f>
        <v>Bahamas</v>
      </c>
      <c r="D1079">
        <f>IFERROR(__xludf.DUMMYFUNCTION("""COMPUTED_VALUE"""),2024.0)</f>
        <v>2024</v>
      </c>
      <c r="E1079">
        <f>IFERROR(__xludf.DUMMYFUNCTION("""COMPUTED_VALUE"""),421345.0)</f>
        <v>421345</v>
      </c>
    </row>
    <row r="1080">
      <c r="A1080" t="str">
        <f t="shared" si="1"/>
        <v>bhs#2025</v>
      </c>
      <c r="B1080" t="str">
        <f>IFERROR(__xludf.DUMMYFUNCTION("""COMPUTED_VALUE"""),"bhs")</f>
        <v>bhs</v>
      </c>
      <c r="C1080" t="str">
        <f>IFERROR(__xludf.DUMMYFUNCTION("""COMPUTED_VALUE"""),"Bahamas")</f>
        <v>Bahamas</v>
      </c>
      <c r="D1080">
        <f>IFERROR(__xludf.DUMMYFUNCTION("""COMPUTED_VALUE"""),2025.0)</f>
        <v>2025</v>
      </c>
      <c r="E1080">
        <f>IFERROR(__xludf.DUMMYFUNCTION("""COMPUTED_VALUE"""),424732.0)</f>
        <v>424732</v>
      </c>
    </row>
    <row r="1081">
      <c r="A1081" t="str">
        <f t="shared" si="1"/>
        <v>bhs#2026</v>
      </c>
      <c r="B1081" t="str">
        <f>IFERROR(__xludf.DUMMYFUNCTION("""COMPUTED_VALUE"""),"bhs")</f>
        <v>bhs</v>
      </c>
      <c r="C1081" t="str">
        <f>IFERROR(__xludf.DUMMYFUNCTION("""COMPUTED_VALUE"""),"Bahamas")</f>
        <v>Bahamas</v>
      </c>
      <c r="D1081">
        <f>IFERROR(__xludf.DUMMYFUNCTION("""COMPUTED_VALUE"""),2026.0)</f>
        <v>2026</v>
      </c>
      <c r="E1081">
        <f>IFERROR(__xludf.DUMMYFUNCTION("""COMPUTED_VALUE"""),427995.0)</f>
        <v>427995</v>
      </c>
    </row>
    <row r="1082">
      <c r="A1082" t="str">
        <f t="shared" si="1"/>
        <v>bhs#2027</v>
      </c>
      <c r="B1082" t="str">
        <f>IFERROR(__xludf.DUMMYFUNCTION("""COMPUTED_VALUE"""),"bhs")</f>
        <v>bhs</v>
      </c>
      <c r="C1082" t="str">
        <f>IFERROR(__xludf.DUMMYFUNCTION("""COMPUTED_VALUE"""),"Bahamas")</f>
        <v>Bahamas</v>
      </c>
      <c r="D1082">
        <f>IFERROR(__xludf.DUMMYFUNCTION("""COMPUTED_VALUE"""),2027.0)</f>
        <v>2027</v>
      </c>
      <c r="E1082">
        <f>IFERROR(__xludf.DUMMYFUNCTION("""COMPUTED_VALUE"""),431152.0)</f>
        <v>431152</v>
      </c>
    </row>
    <row r="1083">
      <c r="A1083" t="str">
        <f t="shared" si="1"/>
        <v>bhs#2028</v>
      </c>
      <c r="B1083" t="str">
        <f>IFERROR(__xludf.DUMMYFUNCTION("""COMPUTED_VALUE"""),"bhs")</f>
        <v>bhs</v>
      </c>
      <c r="C1083" t="str">
        <f>IFERROR(__xludf.DUMMYFUNCTION("""COMPUTED_VALUE"""),"Bahamas")</f>
        <v>Bahamas</v>
      </c>
      <c r="D1083">
        <f>IFERROR(__xludf.DUMMYFUNCTION("""COMPUTED_VALUE"""),2028.0)</f>
        <v>2028</v>
      </c>
      <c r="E1083">
        <f>IFERROR(__xludf.DUMMYFUNCTION("""COMPUTED_VALUE"""),434193.0)</f>
        <v>434193</v>
      </c>
    </row>
    <row r="1084">
      <c r="A1084" t="str">
        <f t="shared" si="1"/>
        <v>bhs#2029</v>
      </c>
      <c r="B1084" t="str">
        <f>IFERROR(__xludf.DUMMYFUNCTION("""COMPUTED_VALUE"""),"bhs")</f>
        <v>bhs</v>
      </c>
      <c r="C1084" t="str">
        <f>IFERROR(__xludf.DUMMYFUNCTION("""COMPUTED_VALUE"""),"Bahamas")</f>
        <v>Bahamas</v>
      </c>
      <c r="D1084">
        <f>IFERROR(__xludf.DUMMYFUNCTION("""COMPUTED_VALUE"""),2029.0)</f>
        <v>2029</v>
      </c>
      <c r="E1084">
        <f>IFERROR(__xludf.DUMMYFUNCTION("""COMPUTED_VALUE"""),437109.0)</f>
        <v>437109</v>
      </c>
    </row>
    <row r="1085">
      <c r="A1085" t="str">
        <f t="shared" si="1"/>
        <v>bhs#2030</v>
      </c>
      <c r="B1085" t="str">
        <f>IFERROR(__xludf.DUMMYFUNCTION("""COMPUTED_VALUE"""),"bhs")</f>
        <v>bhs</v>
      </c>
      <c r="C1085" t="str">
        <f>IFERROR(__xludf.DUMMYFUNCTION("""COMPUTED_VALUE"""),"Bahamas")</f>
        <v>Bahamas</v>
      </c>
      <c r="D1085">
        <f>IFERROR(__xludf.DUMMYFUNCTION("""COMPUTED_VALUE"""),2030.0)</f>
        <v>2030</v>
      </c>
      <c r="E1085">
        <f>IFERROR(__xludf.DUMMYFUNCTION("""COMPUTED_VALUE"""),439896.0)</f>
        <v>439896</v>
      </c>
    </row>
    <row r="1086">
      <c r="A1086" t="str">
        <f t="shared" si="1"/>
        <v>bhs#2031</v>
      </c>
      <c r="B1086" t="str">
        <f>IFERROR(__xludf.DUMMYFUNCTION("""COMPUTED_VALUE"""),"bhs")</f>
        <v>bhs</v>
      </c>
      <c r="C1086" t="str">
        <f>IFERROR(__xludf.DUMMYFUNCTION("""COMPUTED_VALUE"""),"Bahamas")</f>
        <v>Bahamas</v>
      </c>
      <c r="D1086">
        <f>IFERROR(__xludf.DUMMYFUNCTION("""COMPUTED_VALUE"""),2031.0)</f>
        <v>2031</v>
      </c>
      <c r="E1086">
        <f>IFERROR(__xludf.DUMMYFUNCTION("""COMPUTED_VALUE"""),442558.0)</f>
        <v>442558</v>
      </c>
    </row>
    <row r="1087">
      <c r="A1087" t="str">
        <f t="shared" si="1"/>
        <v>bhs#2032</v>
      </c>
      <c r="B1087" t="str">
        <f>IFERROR(__xludf.DUMMYFUNCTION("""COMPUTED_VALUE"""),"bhs")</f>
        <v>bhs</v>
      </c>
      <c r="C1087" t="str">
        <f>IFERROR(__xludf.DUMMYFUNCTION("""COMPUTED_VALUE"""),"Bahamas")</f>
        <v>Bahamas</v>
      </c>
      <c r="D1087">
        <f>IFERROR(__xludf.DUMMYFUNCTION("""COMPUTED_VALUE"""),2032.0)</f>
        <v>2032</v>
      </c>
      <c r="E1087">
        <f>IFERROR(__xludf.DUMMYFUNCTION("""COMPUTED_VALUE"""),445094.0)</f>
        <v>445094</v>
      </c>
    </row>
    <row r="1088">
      <c r="A1088" t="str">
        <f t="shared" si="1"/>
        <v>bhs#2033</v>
      </c>
      <c r="B1088" t="str">
        <f>IFERROR(__xludf.DUMMYFUNCTION("""COMPUTED_VALUE"""),"bhs")</f>
        <v>bhs</v>
      </c>
      <c r="C1088" t="str">
        <f>IFERROR(__xludf.DUMMYFUNCTION("""COMPUTED_VALUE"""),"Bahamas")</f>
        <v>Bahamas</v>
      </c>
      <c r="D1088">
        <f>IFERROR(__xludf.DUMMYFUNCTION("""COMPUTED_VALUE"""),2033.0)</f>
        <v>2033</v>
      </c>
      <c r="E1088">
        <f>IFERROR(__xludf.DUMMYFUNCTION("""COMPUTED_VALUE"""),447498.0)</f>
        <v>447498</v>
      </c>
    </row>
    <row r="1089">
      <c r="A1089" t="str">
        <f t="shared" si="1"/>
        <v>bhs#2034</v>
      </c>
      <c r="B1089" t="str">
        <f>IFERROR(__xludf.DUMMYFUNCTION("""COMPUTED_VALUE"""),"bhs")</f>
        <v>bhs</v>
      </c>
      <c r="C1089" t="str">
        <f>IFERROR(__xludf.DUMMYFUNCTION("""COMPUTED_VALUE"""),"Bahamas")</f>
        <v>Bahamas</v>
      </c>
      <c r="D1089">
        <f>IFERROR(__xludf.DUMMYFUNCTION("""COMPUTED_VALUE"""),2034.0)</f>
        <v>2034</v>
      </c>
      <c r="E1089">
        <f>IFERROR(__xludf.DUMMYFUNCTION("""COMPUTED_VALUE"""),449791.0)</f>
        <v>449791</v>
      </c>
    </row>
    <row r="1090">
      <c r="A1090" t="str">
        <f t="shared" si="1"/>
        <v>bhs#2035</v>
      </c>
      <c r="B1090" t="str">
        <f>IFERROR(__xludf.DUMMYFUNCTION("""COMPUTED_VALUE"""),"bhs")</f>
        <v>bhs</v>
      </c>
      <c r="C1090" t="str">
        <f>IFERROR(__xludf.DUMMYFUNCTION("""COMPUTED_VALUE"""),"Bahamas")</f>
        <v>Bahamas</v>
      </c>
      <c r="D1090">
        <f>IFERROR(__xludf.DUMMYFUNCTION("""COMPUTED_VALUE"""),2035.0)</f>
        <v>2035</v>
      </c>
      <c r="E1090">
        <f>IFERROR(__xludf.DUMMYFUNCTION("""COMPUTED_VALUE"""),451970.0)</f>
        <v>451970</v>
      </c>
    </row>
    <row r="1091">
      <c r="A1091" t="str">
        <f t="shared" si="1"/>
        <v>bhs#2036</v>
      </c>
      <c r="B1091" t="str">
        <f>IFERROR(__xludf.DUMMYFUNCTION("""COMPUTED_VALUE"""),"bhs")</f>
        <v>bhs</v>
      </c>
      <c r="C1091" t="str">
        <f>IFERROR(__xludf.DUMMYFUNCTION("""COMPUTED_VALUE"""),"Bahamas")</f>
        <v>Bahamas</v>
      </c>
      <c r="D1091">
        <f>IFERROR(__xludf.DUMMYFUNCTION("""COMPUTED_VALUE"""),2036.0)</f>
        <v>2036</v>
      </c>
      <c r="E1091">
        <f>IFERROR(__xludf.DUMMYFUNCTION("""COMPUTED_VALUE"""),454048.0)</f>
        <v>454048</v>
      </c>
    </row>
    <row r="1092">
      <c r="A1092" t="str">
        <f t="shared" si="1"/>
        <v>bhs#2037</v>
      </c>
      <c r="B1092" t="str">
        <f>IFERROR(__xludf.DUMMYFUNCTION("""COMPUTED_VALUE"""),"bhs")</f>
        <v>bhs</v>
      </c>
      <c r="C1092" t="str">
        <f>IFERROR(__xludf.DUMMYFUNCTION("""COMPUTED_VALUE"""),"Bahamas")</f>
        <v>Bahamas</v>
      </c>
      <c r="D1092">
        <f>IFERROR(__xludf.DUMMYFUNCTION("""COMPUTED_VALUE"""),2037.0)</f>
        <v>2037</v>
      </c>
      <c r="E1092">
        <f>IFERROR(__xludf.DUMMYFUNCTION("""COMPUTED_VALUE"""),456009.0)</f>
        <v>456009</v>
      </c>
    </row>
    <row r="1093">
      <c r="A1093" t="str">
        <f t="shared" si="1"/>
        <v>bhs#2038</v>
      </c>
      <c r="B1093" t="str">
        <f>IFERROR(__xludf.DUMMYFUNCTION("""COMPUTED_VALUE"""),"bhs")</f>
        <v>bhs</v>
      </c>
      <c r="C1093" t="str">
        <f>IFERROR(__xludf.DUMMYFUNCTION("""COMPUTED_VALUE"""),"Bahamas")</f>
        <v>Bahamas</v>
      </c>
      <c r="D1093">
        <f>IFERROR(__xludf.DUMMYFUNCTION("""COMPUTED_VALUE"""),2038.0)</f>
        <v>2038</v>
      </c>
      <c r="E1093">
        <f>IFERROR(__xludf.DUMMYFUNCTION("""COMPUTED_VALUE"""),457876.0)</f>
        <v>457876</v>
      </c>
    </row>
    <row r="1094">
      <c r="A1094" t="str">
        <f t="shared" si="1"/>
        <v>bhs#2039</v>
      </c>
      <c r="B1094" t="str">
        <f>IFERROR(__xludf.DUMMYFUNCTION("""COMPUTED_VALUE"""),"bhs")</f>
        <v>bhs</v>
      </c>
      <c r="C1094" t="str">
        <f>IFERROR(__xludf.DUMMYFUNCTION("""COMPUTED_VALUE"""),"Bahamas")</f>
        <v>Bahamas</v>
      </c>
      <c r="D1094">
        <f>IFERROR(__xludf.DUMMYFUNCTION("""COMPUTED_VALUE"""),2039.0)</f>
        <v>2039</v>
      </c>
      <c r="E1094">
        <f>IFERROR(__xludf.DUMMYFUNCTION("""COMPUTED_VALUE"""),459657.0)</f>
        <v>459657</v>
      </c>
    </row>
    <row r="1095">
      <c r="A1095" t="str">
        <f t="shared" si="1"/>
        <v>bhs#2040</v>
      </c>
      <c r="B1095" t="str">
        <f>IFERROR(__xludf.DUMMYFUNCTION("""COMPUTED_VALUE"""),"bhs")</f>
        <v>bhs</v>
      </c>
      <c r="C1095" t="str">
        <f>IFERROR(__xludf.DUMMYFUNCTION("""COMPUTED_VALUE"""),"Bahamas")</f>
        <v>Bahamas</v>
      </c>
      <c r="D1095">
        <f>IFERROR(__xludf.DUMMYFUNCTION("""COMPUTED_VALUE"""),2040.0)</f>
        <v>2040</v>
      </c>
      <c r="E1095">
        <f>IFERROR(__xludf.DUMMYFUNCTION("""COMPUTED_VALUE"""),461356.0)</f>
        <v>461356</v>
      </c>
    </row>
    <row r="1096">
      <c r="A1096" t="str">
        <f t="shared" si="1"/>
        <v>bhr#1950</v>
      </c>
      <c r="B1096" t="str">
        <f>IFERROR(__xludf.DUMMYFUNCTION("""COMPUTED_VALUE"""),"bhr")</f>
        <v>bhr</v>
      </c>
      <c r="C1096" t="str">
        <f>IFERROR(__xludf.DUMMYFUNCTION("""COMPUTED_VALUE"""),"Bahrain")</f>
        <v>Bahrain</v>
      </c>
      <c r="D1096">
        <f>IFERROR(__xludf.DUMMYFUNCTION("""COMPUTED_VALUE"""),1950.0)</f>
        <v>1950</v>
      </c>
      <c r="E1096">
        <f>IFERROR(__xludf.DUMMYFUNCTION("""COMPUTED_VALUE"""),115611.0)</f>
        <v>115611</v>
      </c>
    </row>
    <row r="1097">
      <c r="A1097" t="str">
        <f t="shared" si="1"/>
        <v>bhr#1951</v>
      </c>
      <c r="B1097" t="str">
        <f>IFERROR(__xludf.DUMMYFUNCTION("""COMPUTED_VALUE"""),"bhr")</f>
        <v>bhr</v>
      </c>
      <c r="C1097" t="str">
        <f>IFERROR(__xludf.DUMMYFUNCTION("""COMPUTED_VALUE"""),"Bahrain")</f>
        <v>Bahrain</v>
      </c>
      <c r="D1097">
        <f>IFERROR(__xludf.DUMMYFUNCTION("""COMPUTED_VALUE"""),1951.0)</f>
        <v>1951</v>
      </c>
      <c r="E1097">
        <f>IFERROR(__xludf.DUMMYFUNCTION("""COMPUTED_VALUE"""),116832.0)</f>
        <v>116832</v>
      </c>
    </row>
    <row r="1098">
      <c r="A1098" t="str">
        <f t="shared" si="1"/>
        <v>bhr#1952</v>
      </c>
      <c r="B1098" t="str">
        <f>IFERROR(__xludf.DUMMYFUNCTION("""COMPUTED_VALUE"""),"bhr")</f>
        <v>bhr</v>
      </c>
      <c r="C1098" t="str">
        <f>IFERROR(__xludf.DUMMYFUNCTION("""COMPUTED_VALUE"""),"Bahrain")</f>
        <v>Bahrain</v>
      </c>
      <c r="D1098">
        <f>IFERROR(__xludf.DUMMYFUNCTION("""COMPUTED_VALUE"""),1952.0)</f>
        <v>1952</v>
      </c>
      <c r="E1098">
        <f>IFERROR(__xludf.DUMMYFUNCTION("""COMPUTED_VALUE"""),119586.0)</f>
        <v>119586</v>
      </c>
    </row>
    <row r="1099">
      <c r="A1099" t="str">
        <f t="shared" si="1"/>
        <v>bhr#1953</v>
      </c>
      <c r="B1099" t="str">
        <f>IFERROR(__xludf.DUMMYFUNCTION("""COMPUTED_VALUE"""),"bhr")</f>
        <v>bhr</v>
      </c>
      <c r="C1099" t="str">
        <f>IFERROR(__xludf.DUMMYFUNCTION("""COMPUTED_VALUE"""),"Bahrain")</f>
        <v>Bahrain</v>
      </c>
      <c r="D1099">
        <f>IFERROR(__xludf.DUMMYFUNCTION("""COMPUTED_VALUE"""),1953.0)</f>
        <v>1953</v>
      </c>
      <c r="E1099">
        <f>IFERROR(__xludf.DUMMYFUNCTION("""COMPUTED_VALUE"""),123489.0)</f>
        <v>123489</v>
      </c>
    </row>
    <row r="1100">
      <c r="A1100" t="str">
        <f t="shared" si="1"/>
        <v>bhr#1954</v>
      </c>
      <c r="B1100" t="str">
        <f>IFERROR(__xludf.DUMMYFUNCTION("""COMPUTED_VALUE"""),"bhr")</f>
        <v>bhr</v>
      </c>
      <c r="C1100" t="str">
        <f>IFERROR(__xludf.DUMMYFUNCTION("""COMPUTED_VALUE"""),"Bahrain")</f>
        <v>Bahrain</v>
      </c>
      <c r="D1100">
        <f>IFERROR(__xludf.DUMMYFUNCTION("""COMPUTED_VALUE"""),1954.0)</f>
        <v>1954</v>
      </c>
      <c r="E1100">
        <f>IFERROR(__xludf.DUMMYFUNCTION("""COMPUTED_VALUE"""),128253.0)</f>
        <v>128253</v>
      </c>
    </row>
    <row r="1101">
      <c r="A1101" t="str">
        <f t="shared" si="1"/>
        <v>bhr#1955</v>
      </c>
      <c r="B1101" t="str">
        <f>IFERROR(__xludf.DUMMYFUNCTION("""COMPUTED_VALUE"""),"bhr")</f>
        <v>bhr</v>
      </c>
      <c r="C1101" t="str">
        <f>IFERROR(__xludf.DUMMYFUNCTION("""COMPUTED_VALUE"""),"Bahrain")</f>
        <v>Bahrain</v>
      </c>
      <c r="D1101">
        <f>IFERROR(__xludf.DUMMYFUNCTION("""COMPUTED_VALUE"""),1955.0)</f>
        <v>1955</v>
      </c>
      <c r="E1101">
        <f>IFERROR(__xludf.DUMMYFUNCTION("""COMPUTED_VALUE"""),133585.0)</f>
        <v>133585</v>
      </c>
    </row>
    <row r="1102">
      <c r="A1102" t="str">
        <f t="shared" si="1"/>
        <v>bhr#1956</v>
      </c>
      <c r="B1102" t="str">
        <f>IFERROR(__xludf.DUMMYFUNCTION("""COMPUTED_VALUE"""),"bhr")</f>
        <v>bhr</v>
      </c>
      <c r="C1102" t="str">
        <f>IFERROR(__xludf.DUMMYFUNCTION("""COMPUTED_VALUE"""),"Bahrain")</f>
        <v>Bahrain</v>
      </c>
      <c r="D1102">
        <f>IFERROR(__xludf.DUMMYFUNCTION("""COMPUTED_VALUE"""),1956.0)</f>
        <v>1956</v>
      </c>
      <c r="E1102">
        <f>IFERROR(__xludf.DUMMYFUNCTION("""COMPUTED_VALUE"""),139268.0)</f>
        <v>139268</v>
      </c>
    </row>
    <row r="1103">
      <c r="A1103" t="str">
        <f t="shared" si="1"/>
        <v>bhr#1957</v>
      </c>
      <c r="B1103" t="str">
        <f>IFERROR(__xludf.DUMMYFUNCTION("""COMPUTED_VALUE"""),"bhr")</f>
        <v>bhr</v>
      </c>
      <c r="C1103" t="str">
        <f>IFERROR(__xludf.DUMMYFUNCTION("""COMPUTED_VALUE"""),"Bahrain")</f>
        <v>Bahrain</v>
      </c>
      <c r="D1103">
        <f>IFERROR(__xludf.DUMMYFUNCTION("""COMPUTED_VALUE"""),1957.0)</f>
        <v>1957</v>
      </c>
      <c r="E1103">
        <f>IFERROR(__xludf.DUMMYFUNCTION("""COMPUTED_VALUE"""),145109.0)</f>
        <v>145109</v>
      </c>
    </row>
    <row r="1104">
      <c r="A1104" t="str">
        <f t="shared" si="1"/>
        <v>bhr#1958</v>
      </c>
      <c r="B1104" t="str">
        <f>IFERROR(__xludf.DUMMYFUNCTION("""COMPUTED_VALUE"""),"bhr")</f>
        <v>bhr</v>
      </c>
      <c r="C1104" t="str">
        <f>IFERROR(__xludf.DUMMYFUNCTION("""COMPUTED_VALUE"""),"Bahrain")</f>
        <v>Bahrain</v>
      </c>
      <c r="D1104">
        <f>IFERROR(__xludf.DUMMYFUNCTION("""COMPUTED_VALUE"""),1958.0)</f>
        <v>1958</v>
      </c>
      <c r="E1104">
        <f>IFERROR(__xludf.DUMMYFUNCTION("""COMPUTED_VALUE"""),150982.0)</f>
        <v>150982</v>
      </c>
    </row>
    <row r="1105">
      <c r="A1105" t="str">
        <f t="shared" si="1"/>
        <v>bhr#1959</v>
      </c>
      <c r="B1105" t="str">
        <f>IFERROR(__xludf.DUMMYFUNCTION("""COMPUTED_VALUE"""),"bhr")</f>
        <v>bhr</v>
      </c>
      <c r="C1105" t="str">
        <f>IFERROR(__xludf.DUMMYFUNCTION("""COMPUTED_VALUE"""),"Bahrain")</f>
        <v>Bahrain</v>
      </c>
      <c r="D1105">
        <f>IFERROR(__xludf.DUMMYFUNCTION("""COMPUTED_VALUE"""),1959.0)</f>
        <v>1959</v>
      </c>
      <c r="E1105">
        <f>IFERROR(__xludf.DUMMYFUNCTION("""COMPUTED_VALUE"""),156777.0)</f>
        <v>156777</v>
      </c>
    </row>
    <row r="1106">
      <c r="A1106" t="str">
        <f t="shared" si="1"/>
        <v>bhr#1960</v>
      </c>
      <c r="B1106" t="str">
        <f>IFERROR(__xludf.DUMMYFUNCTION("""COMPUTED_VALUE"""),"bhr")</f>
        <v>bhr</v>
      </c>
      <c r="C1106" t="str">
        <f>IFERROR(__xludf.DUMMYFUNCTION("""COMPUTED_VALUE"""),"Bahrain")</f>
        <v>Bahrain</v>
      </c>
      <c r="D1106">
        <f>IFERROR(__xludf.DUMMYFUNCTION("""COMPUTED_VALUE"""),1960.0)</f>
        <v>1960</v>
      </c>
      <c r="E1106">
        <f>IFERROR(__xludf.DUMMYFUNCTION("""COMPUTED_VALUE"""),162427.0)</f>
        <v>162427</v>
      </c>
    </row>
    <row r="1107">
      <c r="A1107" t="str">
        <f t="shared" si="1"/>
        <v>bhr#1961</v>
      </c>
      <c r="B1107" t="str">
        <f>IFERROR(__xludf.DUMMYFUNCTION("""COMPUTED_VALUE"""),"bhr")</f>
        <v>bhr</v>
      </c>
      <c r="C1107" t="str">
        <f>IFERROR(__xludf.DUMMYFUNCTION("""COMPUTED_VALUE"""),"Bahrain")</f>
        <v>Bahrain</v>
      </c>
      <c r="D1107">
        <f>IFERROR(__xludf.DUMMYFUNCTION("""COMPUTED_VALUE"""),1961.0)</f>
        <v>1961</v>
      </c>
      <c r="E1107">
        <f>IFERROR(__xludf.DUMMYFUNCTION("""COMPUTED_VALUE"""),167894.0)</f>
        <v>167894</v>
      </c>
    </row>
    <row r="1108">
      <c r="A1108" t="str">
        <f t="shared" si="1"/>
        <v>bhr#1962</v>
      </c>
      <c r="B1108" t="str">
        <f>IFERROR(__xludf.DUMMYFUNCTION("""COMPUTED_VALUE"""),"bhr")</f>
        <v>bhr</v>
      </c>
      <c r="C1108" t="str">
        <f>IFERROR(__xludf.DUMMYFUNCTION("""COMPUTED_VALUE"""),"Bahrain")</f>
        <v>Bahrain</v>
      </c>
      <c r="D1108">
        <f>IFERROR(__xludf.DUMMYFUNCTION("""COMPUTED_VALUE"""),1962.0)</f>
        <v>1962</v>
      </c>
      <c r="E1108">
        <f>IFERROR(__xludf.DUMMYFUNCTION("""COMPUTED_VALUE"""),173144.0)</f>
        <v>173144</v>
      </c>
    </row>
    <row r="1109">
      <c r="A1109" t="str">
        <f t="shared" si="1"/>
        <v>bhr#1963</v>
      </c>
      <c r="B1109" t="str">
        <f>IFERROR(__xludf.DUMMYFUNCTION("""COMPUTED_VALUE"""),"bhr")</f>
        <v>bhr</v>
      </c>
      <c r="C1109" t="str">
        <f>IFERROR(__xludf.DUMMYFUNCTION("""COMPUTED_VALUE"""),"Bahrain")</f>
        <v>Bahrain</v>
      </c>
      <c r="D1109">
        <f>IFERROR(__xludf.DUMMYFUNCTION("""COMPUTED_VALUE"""),1963.0)</f>
        <v>1963</v>
      </c>
      <c r="E1109">
        <f>IFERROR(__xludf.DUMMYFUNCTION("""COMPUTED_VALUE"""),178140.0)</f>
        <v>178140</v>
      </c>
    </row>
    <row r="1110">
      <c r="A1110" t="str">
        <f t="shared" si="1"/>
        <v>bhr#1964</v>
      </c>
      <c r="B1110" t="str">
        <f>IFERROR(__xludf.DUMMYFUNCTION("""COMPUTED_VALUE"""),"bhr")</f>
        <v>bhr</v>
      </c>
      <c r="C1110" t="str">
        <f>IFERROR(__xludf.DUMMYFUNCTION("""COMPUTED_VALUE"""),"Bahrain")</f>
        <v>Bahrain</v>
      </c>
      <c r="D1110">
        <f>IFERROR(__xludf.DUMMYFUNCTION("""COMPUTED_VALUE"""),1964.0)</f>
        <v>1964</v>
      </c>
      <c r="E1110">
        <f>IFERROR(__xludf.DUMMYFUNCTION("""COMPUTED_VALUE"""),182887.0)</f>
        <v>182887</v>
      </c>
    </row>
    <row r="1111">
      <c r="A1111" t="str">
        <f t="shared" si="1"/>
        <v>bhr#1965</v>
      </c>
      <c r="B1111" t="str">
        <f>IFERROR(__xludf.DUMMYFUNCTION("""COMPUTED_VALUE"""),"bhr")</f>
        <v>bhr</v>
      </c>
      <c r="C1111" t="str">
        <f>IFERROR(__xludf.DUMMYFUNCTION("""COMPUTED_VALUE"""),"Bahrain")</f>
        <v>Bahrain</v>
      </c>
      <c r="D1111">
        <f>IFERROR(__xludf.DUMMYFUNCTION("""COMPUTED_VALUE"""),1965.0)</f>
        <v>1965</v>
      </c>
      <c r="E1111">
        <f>IFERROR(__xludf.DUMMYFUNCTION("""COMPUTED_VALUE"""),187431.0)</f>
        <v>187431</v>
      </c>
    </row>
    <row r="1112">
      <c r="A1112" t="str">
        <f t="shared" si="1"/>
        <v>bhr#1966</v>
      </c>
      <c r="B1112" t="str">
        <f>IFERROR(__xludf.DUMMYFUNCTION("""COMPUTED_VALUE"""),"bhr")</f>
        <v>bhr</v>
      </c>
      <c r="C1112" t="str">
        <f>IFERROR(__xludf.DUMMYFUNCTION("""COMPUTED_VALUE"""),"Bahrain")</f>
        <v>Bahrain</v>
      </c>
      <c r="D1112">
        <f>IFERROR(__xludf.DUMMYFUNCTION("""COMPUTED_VALUE"""),1966.0)</f>
        <v>1966</v>
      </c>
      <c r="E1112">
        <f>IFERROR(__xludf.DUMMYFUNCTION("""COMPUTED_VALUE"""),191780.0)</f>
        <v>191780</v>
      </c>
    </row>
    <row r="1113">
      <c r="A1113" t="str">
        <f t="shared" si="1"/>
        <v>bhr#1967</v>
      </c>
      <c r="B1113" t="str">
        <f>IFERROR(__xludf.DUMMYFUNCTION("""COMPUTED_VALUE"""),"bhr")</f>
        <v>bhr</v>
      </c>
      <c r="C1113" t="str">
        <f>IFERROR(__xludf.DUMMYFUNCTION("""COMPUTED_VALUE"""),"Bahrain")</f>
        <v>Bahrain</v>
      </c>
      <c r="D1113">
        <f>IFERROR(__xludf.DUMMYFUNCTION("""COMPUTED_VALUE"""),1967.0)</f>
        <v>1967</v>
      </c>
      <c r="E1113">
        <f>IFERROR(__xludf.DUMMYFUNCTION("""COMPUTED_VALUE"""),196063.0)</f>
        <v>196063</v>
      </c>
    </row>
    <row r="1114">
      <c r="A1114" t="str">
        <f t="shared" si="1"/>
        <v>bhr#1968</v>
      </c>
      <c r="B1114" t="str">
        <f>IFERROR(__xludf.DUMMYFUNCTION("""COMPUTED_VALUE"""),"bhr")</f>
        <v>bhr</v>
      </c>
      <c r="C1114" t="str">
        <f>IFERROR(__xludf.DUMMYFUNCTION("""COMPUTED_VALUE"""),"Bahrain")</f>
        <v>Bahrain</v>
      </c>
      <c r="D1114">
        <f>IFERROR(__xludf.DUMMYFUNCTION("""COMPUTED_VALUE"""),1968.0)</f>
        <v>1968</v>
      </c>
      <c r="E1114">
        <f>IFERROR(__xludf.DUMMYFUNCTION("""COMPUTED_VALUE"""),200653.0)</f>
        <v>200653</v>
      </c>
    </row>
    <row r="1115">
      <c r="A1115" t="str">
        <f t="shared" si="1"/>
        <v>bhr#1969</v>
      </c>
      <c r="B1115" t="str">
        <f>IFERROR(__xludf.DUMMYFUNCTION("""COMPUTED_VALUE"""),"bhr")</f>
        <v>bhr</v>
      </c>
      <c r="C1115" t="str">
        <f>IFERROR(__xludf.DUMMYFUNCTION("""COMPUTED_VALUE"""),"Bahrain")</f>
        <v>Bahrain</v>
      </c>
      <c r="D1115">
        <f>IFERROR(__xludf.DUMMYFUNCTION("""COMPUTED_VALUE"""),1969.0)</f>
        <v>1969</v>
      </c>
      <c r="E1115">
        <f>IFERROR(__xludf.DUMMYFUNCTION("""COMPUTED_VALUE"""),206043.0)</f>
        <v>206043</v>
      </c>
    </row>
    <row r="1116">
      <c r="A1116" t="str">
        <f t="shared" si="1"/>
        <v>bhr#1970</v>
      </c>
      <c r="B1116" t="str">
        <f>IFERROR(__xludf.DUMMYFUNCTION("""COMPUTED_VALUE"""),"bhr")</f>
        <v>bhr</v>
      </c>
      <c r="C1116" t="str">
        <f>IFERROR(__xludf.DUMMYFUNCTION("""COMPUTED_VALUE"""),"Bahrain")</f>
        <v>Bahrain</v>
      </c>
      <c r="D1116">
        <f>IFERROR(__xludf.DUMMYFUNCTION("""COMPUTED_VALUE"""),1970.0)</f>
        <v>1970</v>
      </c>
      <c r="E1116">
        <f>IFERROR(__xludf.DUMMYFUNCTION("""COMPUTED_VALUE"""),212605.0)</f>
        <v>212605</v>
      </c>
    </row>
    <row r="1117">
      <c r="A1117" t="str">
        <f t="shared" si="1"/>
        <v>bhr#1971</v>
      </c>
      <c r="B1117" t="str">
        <f>IFERROR(__xludf.DUMMYFUNCTION("""COMPUTED_VALUE"""),"bhr")</f>
        <v>bhr</v>
      </c>
      <c r="C1117" t="str">
        <f>IFERROR(__xludf.DUMMYFUNCTION("""COMPUTED_VALUE"""),"Bahrain")</f>
        <v>Bahrain</v>
      </c>
      <c r="D1117">
        <f>IFERROR(__xludf.DUMMYFUNCTION("""COMPUTED_VALUE"""),1971.0)</f>
        <v>1971</v>
      </c>
      <c r="E1117">
        <f>IFERROR(__xludf.DUMMYFUNCTION("""COMPUTED_VALUE"""),220312.0)</f>
        <v>220312</v>
      </c>
    </row>
    <row r="1118">
      <c r="A1118" t="str">
        <f t="shared" si="1"/>
        <v>bhr#1972</v>
      </c>
      <c r="B1118" t="str">
        <f>IFERROR(__xludf.DUMMYFUNCTION("""COMPUTED_VALUE"""),"bhr")</f>
        <v>bhr</v>
      </c>
      <c r="C1118" t="str">
        <f>IFERROR(__xludf.DUMMYFUNCTION("""COMPUTED_VALUE"""),"Bahrain")</f>
        <v>Bahrain</v>
      </c>
      <c r="D1118">
        <f>IFERROR(__xludf.DUMMYFUNCTION("""COMPUTED_VALUE"""),1972.0)</f>
        <v>1972</v>
      </c>
      <c r="E1118">
        <f>IFERROR(__xludf.DUMMYFUNCTION("""COMPUTED_VALUE"""),229155.0)</f>
        <v>229155</v>
      </c>
    </row>
    <row r="1119">
      <c r="A1119" t="str">
        <f t="shared" si="1"/>
        <v>bhr#1973</v>
      </c>
      <c r="B1119" t="str">
        <f>IFERROR(__xludf.DUMMYFUNCTION("""COMPUTED_VALUE"""),"bhr")</f>
        <v>bhr</v>
      </c>
      <c r="C1119" t="str">
        <f>IFERROR(__xludf.DUMMYFUNCTION("""COMPUTED_VALUE"""),"Bahrain")</f>
        <v>Bahrain</v>
      </c>
      <c r="D1119">
        <f>IFERROR(__xludf.DUMMYFUNCTION("""COMPUTED_VALUE"""),1973.0)</f>
        <v>1973</v>
      </c>
      <c r="E1119">
        <f>IFERROR(__xludf.DUMMYFUNCTION("""COMPUTED_VALUE"""),239527.0)</f>
        <v>239527</v>
      </c>
    </row>
    <row r="1120">
      <c r="A1120" t="str">
        <f t="shared" si="1"/>
        <v>bhr#1974</v>
      </c>
      <c r="B1120" t="str">
        <f>IFERROR(__xludf.DUMMYFUNCTION("""COMPUTED_VALUE"""),"bhr")</f>
        <v>bhr</v>
      </c>
      <c r="C1120" t="str">
        <f>IFERROR(__xludf.DUMMYFUNCTION("""COMPUTED_VALUE"""),"Bahrain")</f>
        <v>Bahrain</v>
      </c>
      <c r="D1120">
        <f>IFERROR(__xludf.DUMMYFUNCTION("""COMPUTED_VALUE"""),1974.0)</f>
        <v>1974</v>
      </c>
      <c r="E1120">
        <f>IFERROR(__xludf.DUMMYFUNCTION("""COMPUTED_VALUE"""),251911.0)</f>
        <v>251911</v>
      </c>
    </row>
    <row r="1121">
      <c r="A1121" t="str">
        <f t="shared" si="1"/>
        <v>bhr#1975</v>
      </c>
      <c r="B1121" t="str">
        <f>IFERROR(__xludf.DUMMYFUNCTION("""COMPUTED_VALUE"""),"bhr")</f>
        <v>bhr</v>
      </c>
      <c r="C1121" t="str">
        <f>IFERROR(__xludf.DUMMYFUNCTION("""COMPUTED_VALUE"""),"Bahrain")</f>
        <v>Bahrain</v>
      </c>
      <c r="D1121">
        <f>IFERROR(__xludf.DUMMYFUNCTION("""COMPUTED_VALUE"""),1975.0)</f>
        <v>1975</v>
      </c>
      <c r="E1121">
        <f>IFERROR(__xludf.DUMMYFUNCTION("""COMPUTED_VALUE"""),266543.0)</f>
        <v>266543</v>
      </c>
    </row>
    <row r="1122">
      <c r="A1122" t="str">
        <f t="shared" si="1"/>
        <v>bhr#1976</v>
      </c>
      <c r="B1122" t="str">
        <f>IFERROR(__xludf.DUMMYFUNCTION("""COMPUTED_VALUE"""),"bhr")</f>
        <v>bhr</v>
      </c>
      <c r="C1122" t="str">
        <f>IFERROR(__xludf.DUMMYFUNCTION("""COMPUTED_VALUE"""),"Bahrain")</f>
        <v>Bahrain</v>
      </c>
      <c r="D1122">
        <f>IFERROR(__xludf.DUMMYFUNCTION("""COMPUTED_VALUE"""),1976.0)</f>
        <v>1976</v>
      </c>
      <c r="E1122">
        <f>IFERROR(__xludf.DUMMYFUNCTION("""COMPUTED_VALUE"""),283752.0)</f>
        <v>283752</v>
      </c>
    </row>
    <row r="1123">
      <c r="A1123" t="str">
        <f t="shared" si="1"/>
        <v>bhr#1977</v>
      </c>
      <c r="B1123" t="str">
        <f>IFERROR(__xludf.DUMMYFUNCTION("""COMPUTED_VALUE"""),"bhr")</f>
        <v>bhr</v>
      </c>
      <c r="C1123" t="str">
        <f>IFERROR(__xludf.DUMMYFUNCTION("""COMPUTED_VALUE"""),"Bahrain")</f>
        <v>Bahrain</v>
      </c>
      <c r="D1123">
        <f>IFERROR(__xludf.DUMMYFUNCTION("""COMPUTED_VALUE"""),1977.0)</f>
        <v>1977</v>
      </c>
      <c r="E1123">
        <f>IFERROR(__xludf.DUMMYFUNCTION("""COMPUTED_VALUE"""),303175.0)</f>
        <v>303175</v>
      </c>
    </row>
    <row r="1124">
      <c r="A1124" t="str">
        <f t="shared" si="1"/>
        <v>bhr#1978</v>
      </c>
      <c r="B1124" t="str">
        <f>IFERROR(__xludf.DUMMYFUNCTION("""COMPUTED_VALUE"""),"bhr")</f>
        <v>bhr</v>
      </c>
      <c r="C1124" t="str">
        <f>IFERROR(__xludf.DUMMYFUNCTION("""COMPUTED_VALUE"""),"Bahrain")</f>
        <v>Bahrain</v>
      </c>
      <c r="D1124">
        <f>IFERROR(__xludf.DUMMYFUNCTION("""COMPUTED_VALUE"""),1978.0)</f>
        <v>1978</v>
      </c>
      <c r="E1124">
        <f>IFERROR(__xludf.DUMMYFUNCTION("""COMPUTED_VALUE"""),323473.0)</f>
        <v>323473</v>
      </c>
    </row>
    <row r="1125">
      <c r="A1125" t="str">
        <f t="shared" si="1"/>
        <v>bhr#1979</v>
      </c>
      <c r="B1125" t="str">
        <f>IFERROR(__xludf.DUMMYFUNCTION("""COMPUTED_VALUE"""),"bhr")</f>
        <v>bhr</v>
      </c>
      <c r="C1125" t="str">
        <f>IFERROR(__xludf.DUMMYFUNCTION("""COMPUTED_VALUE"""),"Bahrain")</f>
        <v>Bahrain</v>
      </c>
      <c r="D1125">
        <f>IFERROR(__xludf.DUMMYFUNCTION("""COMPUTED_VALUE"""),1979.0)</f>
        <v>1979</v>
      </c>
      <c r="E1125">
        <f>IFERROR(__xludf.DUMMYFUNCTION("""COMPUTED_VALUE"""),342798.0)</f>
        <v>342798</v>
      </c>
    </row>
    <row r="1126">
      <c r="A1126" t="str">
        <f t="shared" si="1"/>
        <v>bhr#1980</v>
      </c>
      <c r="B1126" t="str">
        <f>IFERROR(__xludf.DUMMYFUNCTION("""COMPUTED_VALUE"""),"bhr")</f>
        <v>bhr</v>
      </c>
      <c r="C1126" t="str">
        <f>IFERROR(__xludf.DUMMYFUNCTION("""COMPUTED_VALUE"""),"Bahrain")</f>
        <v>Bahrain</v>
      </c>
      <c r="D1126">
        <f>IFERROR(__xludf.DUMMYFUNCTION("""COMPUTED_VALUE"""),1980.0)</f>
        <v>1980</v>
      </c>
      <c r="E1126">
        <f>IFERROR(__xludf.DUMMYFUNCTION("""COMPUTED_VALUE"""),359888.0)</f>
        <v>359888</v>
      </c>
    </row>
    <row r="1127">
      <c r="A1127" t="str">
        <f t="shared" si="1"/>
        <v>bhr#1981</v>
      </c>
      <c r="B1127" t="str">
        <f>IFERROR(__xludf.DUMMYFUNCTION("""COMPUTED_VALUE"""),"bhr")</f>
        <v>bhr</v>
      </c>
      <c r="C1127" t="str">
        <f>IFERROR(__xludf.DUMMYFUNCTION("""COMPUTED_VALUE"""),"Bahrain")</f>
        <v>Bahrain</v>
      </c>
      <c r="D1127">
        <f>IFERROR(__xludf.DUMMYFUNCTION("""COMPUTED_VALUE"""),1981.0)</f>
        <v>1981</v>
      </c>
      <c r="E1127">
        <f>IFERROR(__xludf.DUMMYFUNCTION("""COMPUTED_VALUE"""),374120.0)</f>
        <v>374120</v>
      </c>
    </row>
    <row r="1128">
      <c r="A1128" t="str">
        <f t="shared" si="1"/>
        <v>bhr#1982</v>
      </c>
      <c r="B1128" t="str">
        <f>IFERROR(__xludf.DUMMYFUNCTION("""COMPUTED_VALUE"""),"bhr")</f>
        <v>bhr</v>
      </c>
      <c r="C1128" t="str">
        <f>IFERROR(__xludf.DUMMYFUNCTION("""COMPUTED_VALUE"""),"Bahrain")</f>
        <v>Bahrain</v>
      </c>
      <c r="D1128">
        <f>IFERROR(__xludf.DUMMYFUNCTION("""COMPUTED_VALUE"""),1982.0)</f>
        <v>1982</v>
      </c>
      <c r="E1128">
        <f>IFERROR(__xludf.DUMMYFUNCTION("""COMPUTED_VALUE"""),385950.0)</f>
        <v>385950</v>
      </c>
    </row>
    <row r="1129">
      <c r="A1129" t="str">
        <f t="shared" si="1"/>
        <v>bhr#1983</v>
      </c>
      <c r="B1129" t="str">
        <f>IFERROR(__xludf.DUMMYFUNCTION("""COMPUTED_VALUE"""),"bhr")</f>
        <v>bhr</v>
      </c>
      <c r="C1129" t="str">
        <f>IFERROR(__xludf.DUMMYFUNCTION("""COMPUTED_VALUE"""),"Bahrain")</f>
        <v>Bahrain</v>
      </c>
      <c r="D1129">
        <f>IFERROR(__xludf.DUMMYFUNCTION("""COMPUTED_VALUE"""),1983.0)</f>
        <v>1983</v>
      </c>
      <c r="E1129">
        <f>IFERROR(__xludf.DUMMYFUNCTION("""COMPUTED_VALUE"""),396454.0)</f>
        <v>396454</v>
      </c>
    </row>
    <row r="1130">
      <c r="A1130" t="str">
        <f t="shared" si="1"/>
        <v>bhr#1984</v>
      </c>
      <c r="B1130" t="str">
        <f>IFERROR(__xludf.DUMMYFUNCTION("""COMPUTED_VALUE"""),"bhr")</f>
        <v>bhr</v>
      </c>
      <c r="C1130" t="str">
        <f>IFERROR(__xludf.DUMMYFUNCTION("""COMPUTED_VALUE"""),"Bahrain")</f>
        <v>Bahrain</v>
      </c>
      <c r="D1130">
        <f>IFERROR(__xludf.DUMMYFUNCTION("""COMPUTED_VALUE"""),1984.0)</f>
        <v>1984</v>
      </c>
      <c r="E1130">
        <f>IFERROR(__xludf.DUMMYFUNCTION("""COMPUTED_VALUE"""),407227.0)</f>
        <v>407227</v>
      </c>
    </row>
    <row r="1131">
      <c r="A1131" t="str">
        <f t="shared" si="1"/>
        <v>bhr#1985</v>
      </c>
      <c r="B1131" t="str">
        <f>IFERROR(__xludf.DUMMYFUNCTION("""COMPUTED_VALUE"""),"bhr")</f>
        <v>bhr</v>
      </c>
      <c r="C1131" t="str">
        <f>IFERROR(__xludf.DUMMYFUNCTION("""COMPUTED_VALUE"""),"Bahrain")</f>
        <v>Bahrain</v>
      </c>
      <c r="D1131">
        <f>IFERROR(__xludf.DUMMYFUNCTION("""COMPUTED_VALUE"""),1985.0)</f>
        <v>1985</v>
      </c>
      <c r="E1131">
        <f>IFERROR(__xludf.DUMMYFUNCTION("""COMPUTED_VALUE"""),419430.0)</f>
        <v>419430</v>
      </c>
    </row>
    <row r="1132">
      <c r="A1132" t="str">
        <f t="shared" si="1"/>
        <v>bhr#1986</v>
      </c>
      <c r="B1132" t="str">
        <f>IFERROR(__xludf.DUMMYFUNCTION("""COMPUTED_VALUE"""),"bhr")</f>
        <v>bhr</v>
      </c>
      <c r="C1132" t="str">
        <f>IFERROR(__xludf.DUMMYFUNCTION("""COMPUTED_VALUE"""),"Bahrain")</f>
        <v>Bahrain</v>
      </c>
      <c r="D1132">
        <f>IFERROR(__xludf.DUMMYFUNCTION("""COMPUTED_VALUE"""),1986.0)</f>
        <v>1986</v>
      </c>
      <c r="E1132">
        <f>IFERROR(__xludf.DUMMYFUNCTION("""COMPUTED_VALUE"""),433482.0)</f>
        <v>433482</v>
      </c>
    </row>
    <row r="1133">
      <c r="A1133" t="str">
        <f t="shared" si="1"/>
        <v>bhr#1987</v>
      </c>
      <c r="B1133" t="str">
        <f>IFERROR(__xludf.DUMMYFUNCTION("""COMPUTED_VALUE"""),"bhr")</f>
        <v>bhr</v>
      </c>
      <c r="C1133" t="str">
        <f>IFERROR(__xludf.DUMMYFUNCTION("""COMPUTED_VALUE"""),"Bahrain")</f>
        <v>Bahrain</v>
      </c>
      <c r="D1133">
        <f>IFERROR(__xludf.DUMMYFUNCTION("""COMPUTED_VALUE"""),1987.0)</f>
        <v>1987</v>
      </c>
      <c r="E1133">
        <f>IFERROR(__xludf.DUMMYFUNCTION("""COMPUTED_VALUE"""),448973.0)</f>
        <v>448973</v>
      </c>
    </row>
    <row r="1134">
      <c r="A1134" t="str">
        <f t="shared" si="1"/>
        <v>bhr#1988</v>
      </c>
      <c r="B1134" t="str">
        <f>IFERROR(__xludf.DUMMYFUNCTION("""COMPUTED_VALUE"""),"bhr")</f>
        <v>bhr</v>
      </c>
      <c r="C1134" t="str">
        <f>IFERROR(__xludf.DUMMYFUNCTION("""COMPUTED_VALUE"""),"Bahrain")</f>
        <v>Bahrain</v>
      </c>
      <c r="D1134">
        <f>IFERROR(__xludf.DUMMYFUNCTION("""COMPUTED_VALUE"""),1988.0)</f>
        <v>1988</v>
      </c>
      <c r="E1134">
        <f>IFERROR(__xludf.DUMMYFUNCTION("""COMPUTED_VALUE"""),465202.0)</f>
        <v>465202</v>
      </c>
    </row>
    <row r="1135">
      <c r="A1135" t="str">
        <f t="shared" si="1"/>
        <v>bhr#1989</v>
      </c>
      <c r="B1135" t="str">
        <f>IFERROR(__xludf.DUMMYFUNCTION("""COMPUTED_VALUE"""),"bhr")</f>
        <v>bhr</v>
      </c>
      <c r="C1135" t="str">
        <f>IFERROR(__xludf.DUMMYFUNCTION("""COMPUTED_VALUE"""),"Bahrain")</f>
        <v>Bahrain</v>
      </c>
      <c r="D1135">
        <f>IFERROR(__xludf.DUMMYFUNCTION("""COMPUTED_VALUE"""),1989.0)</f>
        <v>1989</v>
      </c>
      <c r="E1135">
        <f>IFERROR(__xludf.DUMMYFUNCTION("""COMPUTED_VALUE"""),481090.0)</f>
        <v>481090</v>
      </c>
    </row>
    <row r="1136">
      <c r="A1136" t="str">
        <f t="shared" si="1"/>
        <v>bhr#1990</v>
      </c>
      <c r="B1136" t="str">
        <f>IFERROR(__xludf.DUMMYFUNCTION("""COMPUTED_VALUE"""),"bhr")</f>
        <v>bhr</v>
      </c>
      <c r="C1136" t="str">
        <f>IFERROR(__xludf.DUMMYFUNCTION("""COMPUTED_VALUE"""),"Bahrain")</f>
        <v>Bahrain</v>
      </c>
      <c r="D1136">
        <f>IFERROR(__xludf.DUMMYFUNCTION("""COMPUTED_VALUE"""),1990.0)</f>
        <v>1990</v>
      </c>
      <c r="E1136">
        <f>IFERROR(__xludf.DUMMYFUNCTION("""COMPUTED_VALUE"""),495931.0)</f>
        <v>495931</v>
      </c>
    </row>
    <row r="1137">
      <c r="A1137" t="str">
        <f t="shared" si="1"/>
        <v>bhr#1991</v>
      </c>
      <c r="B1137" t="str">
        <f>IFERROR(__xludf.DUMMYFUNCTION("""COMPUTED_VALUE"""),"bhr")</f>
        <v>bhr</v>
      </c>
      <c r="C1137" t="str">
        <f>IFERROR(__xludf.DUMMYFUNCTION("""COMPUTED_VALUE"""),"Bahrain")</f>
        <v>Bahrain</v>
      </c>
      <c r="D1137">
        <f>IFERROR(__xludf.DUMMYFUNCTION("""COMPUTED_VALUE"""),1991.0)</f>
        <v>1991</v>
      </c>
      <c r="E1137">
        <f>IFERROR(__xludf.DUMMYFUNCTION("""COMPUTED_VALUE"""),509765.0)</f>
        <v>509765</v>
      </c>
    </row>
    <row r="1138">
      <c r="A1138" t="str">
        <f t="shared" si="1"/>
        <v>bhr#1992</v>
      </c>
      <c r="B1138" t="str">
        <f>IFERROR(__xludf.DUMMYFUNCTION("""COMPUTED_VALUE"""),"bhr")</f>
        <v>bhr</v>
      </c>
      <c r="C1138" t="str">
        <f>IFERROR(__xludf.DUMMYFUNCTION("""COMPUTED_VALUE"""),"Bahrain")</f>
        <v>Bahrain</v>
      </c>
      <c r="D1138">
        <f>IFERROR(__xludf.DUMMYFUNCTION("""COMPUTED_VALUE"""),1992.0)</f>
        <v>1992</v>
      </c>
      <c r="E1138">
        <f>IFERROR(__xludf.DUMMYFUNCTION("""COMPUTED_VALUE"""),523087.0)</f>
        <v>523087</v>
      </c>
    </row>
    <row r="1139">
      <c r="A1139" t="str">
        <f t="shared" si="1"/>
        <v>bhr#1993</v>
      </c>
      <c r="B1139" t="str">
        <f>IFERROR(__xludf.DUMMYFUNCTION("""COMPUTED_VALUE"""),"bhr")</f>
        <v>bhr</v>
      </c>
      <c r="C1139" t="str">
        <f>IFERROR(__xludf.DUMMYFUNCTION("""COMPUTED_VALUE"""),"Bahrain")</f>
        <v>Bahrain</v>
      </c>
      <c r="D1139">
        <f>IFERROR(__xludf.DUMMYFUNCTION("""COMPUTED_VALUE"""),1993.0)</f>
        <v>1993</v>
      </c>
      <c r="E1139">
        <f>IFERROR(__xludf.DUMMYFUNCTION("""COMPUTED_VALUE"""),536213.0)</f>
        <v>536213</v>
      </c>
    </row>
    <row r="1140">
      <c r="A1140" t="str">
        <f t="shared" si="1"/>
        <v>bhr#1994</v>
      </c>
      <c r="B1140" t="str">
        <f>IFERROR(__xludf.DUMMYFUNCTION("""COMPUTED_VALUE"""),"bhr")</f>
        <v>bhr</v>
      </c>
      <c r="C1140" t="str">
        <f>IFERROR(__xludf.DUMMYFUNCTION("""COMPUTED_VALUE"""),"Bahrain")</f>
        <v>Bahrain</v>
      </c>
      <c r="D1140">
        <f>IFERROR(__xludf.DUMMYFUNCTION("""COMPUTED_VALUE"""),1994.0)</f>
        <v>1994</v>
      </c>
      <c r="E1140">
        <f>IFERROR(__xludf.DUMMYFUNCTION("""COMPUTED_VALUE"""),549588.0)</f>
        <v>549588</v>
      </c>
    </row>
    <row r="1141">
      <c r="A1141" t="str">
        <f t="shared" si="1"/>
        <v>bhr#1995</v>
      </c>
      <c r="B1141" t="str">
        <f>IFERROR(__xludf.DUMMYFUNCTION("""COMPUTED_VALUE"""),"bhr")</f>
        <v>bhr</v>
      </c>
      <c r="C1141" t="str">
        <f>IFERROR(__xludf.DUMMYFUNCTION("""COMPUTED_VALUE"""),"Bahrain")</f>
        <v>Bahrain</v>
      </c>
      <c r="D1141">
        <f>IFERROR(__xludf.DUMMYFUNCTION("""COMPUTED_VALUE"""),1995.0)</f>
        <v>1995</v>
      </c>
      <c r="E1141">
        <f>IFERROR(__xludf.DUMMYFUNCTION("""COMPUTED_VALUE"""),563699.0)</f>
        <v>563699</v>
      </c>
    </row>
    <row r="1142">
      <c r="A1142" t="str">
        <f t="shared" si="1"/>
        <v>bhr#1996</v>
      </c>
      <c r="B1142" t="str">
        <f>IFERROR(__xludf.DUMMYFUNCTION("""COMPUTED_VALUE"""),"bhr")</f>
        <v>bhr</v>
      </c>
      <c r="C1142" t="str">
        <f>IFERROR(__xludf.DUMMYFUNCTION("""COMPUTED_VALUE"""),"Bahrain")</f>
        <v>Bahrain</v>
      </c>
      <c r="D1142">
        <f>IFERROR(__xludf.DUMMYFUNCTION("""COMPUTED_VALUE"""),1996.0)</f>
        <v>1996</v>
      </c>
      <c r="E1142">
        <f>IFERROR(__xludf.DUMMYFUNCTION("""COMPUTED_VALUE"""),578668.0)</f>
        <v>578668</v>
      </c>
    </row>
    <row r="1143">
      <c r="A1143" t="str">
        <f t="shared" si="1"/>
        <v>bhr#1997</v>
      </c>
      <c r="B1143" t="str">
        <f>IFERROR(__xludf.DUMMYFUNCTION("""COMPUTED_VALUE"""),"bhr")</f>
        <v>bhr</v>
      </c>
      <c r="C1143" t="str">
        <f>IFERROR(__xludf.DUMMYFUNCTION("""COMPUTED_VALUE"""),"Bahrain")</f>
        <v>Bahrain</v>
      </c>
      <c r="D1143">
        <f>IFERROR(__xludf.DUMMYFUNCTION("""COMPUTED_VALUE"""),1997.0)</f>
        <v>1997</v>
      </c>
      <c r="E1143">
        <f>IFERROR(__xludf.DUMMYFUNCTION("""COMPUTED_VALUE"""),594930.0)</f>
        <v>594930</v>
      </c>
    </row>
    <row r="1144">
      <c r="A1144" t="str">
        <f t="shared" si="1"/>
        <v>bhr#1998</v>
      </c>
      <c r="B1144" t="str">
        <f>IFERROR(__xludf.DUMMYFUNCTION("""COMPUTED_VALUE"""),"bhr")</f>
        <v>bhr</v>
      </c>
      <c r="C1144" t="str">
        <f>IFERROR(__xludf.DUMMYFUNCTION("""COMPUTED_VALUE"""),"Bahrain")</f>
        <v>Bahrain</v>
      </c>
      <c r="D1144">
        <f>IFERROR(__xludf.DUMMYFUNCTION("""COMPUTED_VALUE"""),1998.0)</f>
        <v>1998</v>
      </c>
      <c r="E1144">
        <f>IFERROR(__xludf.DUMMYFUNCTION("""COMPUTED_VALUE"""),613702.0)</f>
        <v>613702</v>
      </c>
    </row>
    <row r="1145">
      <c r="A1145" t="str">
        <f t="shared" si="1"/>
        <v>bhr#1999</v>
      </c>
      <c r="B1145" t="str">
        <f>IFERROR(__xludf.DUMMYFUNCTION("""COMPUTED_VALUE"""),"bhr")</f>
        <v>bhr</v>
      </c>
      <c r="C1145" t="str">
        <f>IFERROR(__xludf.DUMMYFUNCTION("""COMPUTED_VALUE"""),"Bahrain")</f>
        <v>Bahrain</v>
      </c>
      <c r="D1145">
        <f>IFERROR(__xludf.DUMMYFUNCTION("""COMPUTED_VALUE"""),1999.0)</f>
        <v>1999</v>
      </c>
      <c r="E1145">
        <f>IFERROR(__xludf.DUMMYFUNCTION("""COMPUTED_VALUE"""),636545.0)</f>
        <v>636545</v>
      </c>
    </row>
    <row r="1146">
      <c r="A1146" t="str">
        <f t="shared" si="1"/>
        <v>bhr#2000</v>
      </c>
      <c r="B1146" t="str">
        <f>IFERROR(__xludf.DUMMYFUNCTION("""COMPUTED_VALUE"""),"bhr")</f>
        <v>bhr</v>
      </c>
      <c r="C1146" t="str">
        <f>IFERROR(__xludf.DUMMYFUNCTION("""COMPUTED_VALUE"""),"Bahrain")</f>
        <v>Bahrain</v>
      </c>
      <c r="D1146">
        <f>IFERROR(__xludf.DUMMYFUNCTION("""COMPUTED_VALUE"""),2000.0)</f>
        <v>2000</v>
      </c>
      <c r="E1146">
        <f>IFERROR(__xludf.DUMMYFUNCTION("""COMPUTED_VALUE"""),664614.0)</f>
        <v>664614</v>
      </c>
    </row>
    <row r="1147">
      <c r="A1147" t="str">
        <f t="shared" si="1"/>
        <v>bhr#2001</v>
      </c>
      <c r="B1147" t="str">
        <f>IFERROR(__xludf.DUMMYFUNCTION("""COMPUTED_VALUE"""),"bhr")</f>
        <v>bhr</v>
      </c>
      <c r="C1147" t="str">
        <f>IFERROR(__xludf.DUMMYFUNCTION("""COMPUTED_VALUE"""),"Bahrain")</f>
        <v>Bahrain</v>
      </c>
      <c r="D1147">
        <f>IFERROR(__xludf.DUMMYFUNCTION("""COMPUTED_VALUE"""),2001.0)</f>
        <v>2001</v>
      </c>
      <c r="E1147">
        <f>IFERROR(__xludf.DUMMYFUNCTION("""COMPUTED_VALUE"""),697549.0)</f>
        <v>697549</v>
      </c>
    </row>
    <row r="1148">
      <c r="A1148" t="str">
        <f t="shared" si="1"/>
        <v>bhr#2002</v>
      </c>
      <c r="B1148" t="str">
        <f>IFERROR(__xludf.DUMMYFUNCTION("""COMPUTED_VALUE"""),"bhr")</f>
        <v>bhr</v>
      </c>
      <c r="C1148" t="str">
        <f>IFERROR(__xludf.DUMMYFUNCTION("""COMPUTED_VALUE"""),"Bahrain")</f>
        <v>Bahrain</v>
      </c>
      <c r="D1148">
        <f>IFERROR(__xludf.DUMMYFUNCTION("""COMPUTED_VALUE"""),2002.0)</f>
        <v>2002</v>
      </c>
      <c r="E1148">
        <f>IFERROR(__xludf.DUMMYFUNCTION("""COMPUTED_VALUE"""),735148.0)</f>
        <v>735148</v>
      </c>
    </row>
    <row r="1149">
      <c r="A1149" t="str">
        <f t="shared" si="1"/>
        <v>bhr#2003</v>
      </c>
      <c r="B1149" t="str">
        <f>IFERROR(__xludf.DUMMYFUNCTION("""COMPUTED_VALUE"""),"bhr")</f>
        <v>bhr</v>
      </c>
      <c r="C1149" t="str">
        <f>IFERROR(__xludf.DUMMYFUNCTION("""COMPUTED_VALUE"""),"Bahrain")</f>
        <v>Bahrain</v>
      </c>
      <c r="D1149">
        <f>IFERROR(__xludf.DUMMYFUNCTION("""COMPUTED_VALUE"""),2003.0)</f>
        <v>2003</v>
      </c>
      <c r="E1149">
        <f>IFERROR(__xludf.DUMMYFUNCTION("""COMPUTED_VALUE"""),778711.0)</f>
        <v>778711</v>
      </c>
    </row>
    <row r="1150">
      <c r="A1150" t="str">
        <f t="shared" si="1"/>
        <v>bhr#2004</v>
      </c>
      <c r="B1150" t="str">
        <f>IFERROR(__xludf.DUMMYFUNCTION("""COMPUTED_VALUE"""),"bhr")</f>
        <v>bhr</v>
      </c>
      <c r="C1150" t="str">
        <f>IFERROR(__xludf.DUMMYFUNCTION("""COMPUTED_VALUE"""),"Bahrain")</f>
        <v>Bahrain</v>
      </c>
      <c r="D1150">
        <f>IFERROR(__xludf.DUMMYFUNCTION("""COMPUTED_VALUE"""),2004.0)</f>
        <v>2004</v>
      </c>
      <c r="E1150">
        <f>IFERROR(__xludf.DUMMYFUNCTION("""COMPUTED_VALUE"""),829848.0)</f>
        <v>829848</v>
      </c>
    </row>
    <row r="1151">
      <c r="A1151" t="str">
        <f t="shared" si="1"/>
        <v>bhr#2005</v>
      </c>
      <c r="B1151" t="str">
        <f>IFERROR(__xludf.DUMMYFUNCTION("""COMPUTED_VALUE"""),"bhr")</f>
        <v>bhr</v>
      </c>
      <c r="C1151" t="str">
        <f>IFERROR(__xludf.DUMMYFUNCTION("""COMPUTED_VALUE"""),"Bahrain")</f>
        <v>Bahrain</v>
      </c>
      <c r="D1151">
        <f>IFERROR(__xludf.DUMMYFUNCTION("""COMPUTED_VALUE"""),2005.0)</f>
        <v>2005</v>
      </c>
      <c r="E1151">
        <f>IFERROR(__xludf.DUMMYFUNCTION("""COMPUTED_VALUE"""),889168.0)</f>
        <v>889168</v>
      </c>
    </row>
    <row r="1152">
      <c r="A1152" t="str">
        <f t="shared" si="1"/>
        <v>bhr#2006</v>
      </c>
      <c r="B1152" t="str">
        <f>IFERROR(__xludf.DUMMYFUNCTION("""COMPUTED_VALUE"""),"bhr")</f>
        <v>bhr</v>
      </c>
      <c r="C1152" t="str">
        <f>IFERROR(__xludf.DUMMYFUNCTION("""COMPUTED_VALUE"""),"Bahrain")</f>
        <v>Bahrain</v>
      </c>
      <c r="D1152">
        <f>IFERROR(__xludf.DUMMYFUNCTION("""COMPUTED_VALUE"""),2006.0)</f>
        <v>2006</v>
      </c>
      <c r="E1152">
        <f>IFERROR(__xludf.DUMMYFUNCTION("""COMPUTED_VALUE"""),958414.0)</f>
        <v>958414</v>
      </c>
    </row>
    <row r="1153">
      <c r="A1153" t="str">
        <f t="shared" si="1"/>
        <v>bhr#2007</v>
      </c>
      <c r="B1153" t="str">
        <f>IFERROR(__xludf.DUMMYFUNCTION("""COMPUTED_VALUE"""),"bhr")</f>
        <v>bhr</v>
      </c>
      <c r="C1153" t="str">
        <f>IFERROR(__xludf.DUMMYFUNCTION("""COMPUTED_VALUE"""),"Bahrain")</f>
        <v>Bahrain</v>
      </c>
      <c r="D1153">
        <f>IFERROR(__xludf.DUMMYFUNCTION("""COMPUTED_VALUE"""),2007.0)</f>
        <v>2007</v>
      </c>
      <c r="E1153">
        <f>IFERROR(__xludf.DUMMYFUNCTION("""COMPUTED_VALUE"""),1035891.0)</f>
        <v>1035891</v>
      </c>
    </row>
    <row r="1154">
      <c r="A1154" t="str">
        <f t="shared" si="1"/>
        <v>bhr#2008</v>
      </c>
      <c r="B1154" t="str">
        <f>IFERROR(__xludf.DUMMYFUNCTION("""COMPUTED_VALUE"""),"bhr")</f>
        <v>bhr</v>
      </c>
      <c r="C1154" t="str">
        <f>IFERROR(__xludf.DUMMYFUNCTION("""COMPUTED_VALUE"""),"Bahrain")</f>
        <v>Bahrain</v>
      </c>
      <c r="D1154">
        <f>IFERROR(__xludf.DUMMYFUNCTION("""COMPUTED_VALUE"""),2008.0)</f>
        <v>2008</v>
      </c>
      <c r="E1154">
        <f>IFERROR(__xludf.DUMMYFUNCTION("""COMPUTED_VALUE"""),1114590.0)</f>
        <v>1114590</v>
      </c>
    </row>
    <row r="1155">
      <c r="A1155" t="str">
        <f t="shared" si="1"/>
        <v>bhr#2009</v>
      </c>
      <c r="B1155" t="str">
        <f>IFERROR(__xludf.DUMMYFUNCTION("""COMPUTED_VALUE"""),"bhr")</f>
        <v>bhr</v>
      </c>
      <c r="C1155" t="str">
        <f>IFERROR(__xludf.DUMMYFUNCTION("""COMPUTED_VALUE"""),"Bahrain")</f>
        <v>Bahrain</v>
      </c>
      <c r="D1155">
        <f>IFERROR(__xludf.DUMMYFUNCTION("""COMPUTED_VALUE"""),2009.0)</f>
        <v>2009</v>
      </c>
      <c r="E1155">
        <f>IFERROR(__xludf.DUMMYFUNCTION("""COMPUTED_VALUE"""),1185029.0)</f>
        <v>1185029</v>
      </c>
    </row>
    <row r="1156">
      <c r="A1156" t="str">
        <f t="shared" si="1"/>
        <v>bhr#2010</v>
      </c>
      <c r="B1156" t="str">
        <f>IFERROR(__xludf.DUMMYFUNCTION("""COMPUTED_VALUE"""),"bhr")</f>
        <v>bhr</v>
      </c>
      <c r="C1156" t="str">
        <f>IFERROR(__xludf.DUMMYFUNCTION("""COMPUTED_VALUE"""),"Bahrain")</f>
        <v>Bahrain</v>
      </c>
      <c r="D1156">
        <f>IFERROR(__xludf.DUMMYFUNCTION("""COMPUTED_VALUE"""),2010.0)</f>
        <v>2010</v>
      </c>
      <c r="E1156">
        <f>IFERROR(__xludf.DUMMYFUNCTION("""COMPUTED_VALUE"""),1240862.0)</f>
        <v>1240862</v>
      </c>
    </row>
    <row r="1157">
      <c r="A1157" t="str">
        <f t="shared" si="1"/>
        <v>bhr#2011</v>
      </c>
      <c r="B1157" t="str">
        <f>IFERROR(__xludf.DUMMYFUNCTION("""COMPUTED_VALUE"""),"bhr")</f>
        <v>bhr</v>
      </c>
      <c r="C1157" t="str">
        <f>IFERROR(__xludf.DUMMYFUNCTION("""COMPUTED_VALUE"""),"Bahrain")</f>
        <v>Bahrain</v>
      </c>
      <c r="D1157">
        <f>IFERROR(__xludf.DUMMYFUNCTION("""COMPUTED_VALUE"""),2011.0)</f>
        <v>2011</v>
      </c>
      <c r="E1157">
        <f>IFERROR(__xludf.DUMMYFUNCTION("""COMPUTED_VALUE"""),1278269.0)</f>
        <v>1278269</v>
      </c>
    </row>
    <row r="1158">
      <c r="A1158" t="str">
        <f t="shared" si="1"/>
        <v>bhr#2012</v>
      </c>
      <c r="B1158" t="str">
        <f>IFERROR(__xludf.DUMMYFUNCTION("""COMPUTED_VALUE"""),"bhr")</f>
        <v>bhr</v>
      </c>
      <c r="C1158" t="str">
        <f>IFERROR(__xludf.DUMMYFUNCTION("""COMPUTED_VALUE"""),"Bahrain")</f>
        <v>Bahrain</v>
      </c>
      <c r="D1158">
        <f>IFERROR(__xludf.DUMMYFUNCTION("""COMPUTED_VALUE"""),2012.0)</f>
        <v>2012</v>
      </c>
      <c r="E1158">
        <f>IFERROR(__xludf.DUMMYFUNCTION("""COMPUTED_VALUE"""),1300217.0)</f>
        <v>1300217</v>
      </c>
    </row>
    <row r="1159">
      <c r="A1159" t="str">
        <f t="shared" si="1"/>
        <v>bhr#2013</v>
      </c>
      <c r="B1159" t="str">
        <f>IFERROR(__xludf.DUMMYFUNCTION("""COMPUTED_VALUE"""),"bhr")</f>
        <v>bhr</v>
      </c>
      <c r="C1159" t="str">
        <f>IFERROR(__xludf.DUMMYFUNCTION("""COMPUTED_VALUE"""),"Bahrain")</f>
        <v>Bahrain</v>
      </c>
      <c r="D1159">
        <f>IFERROR(__xludf.DUMMYFUNCTION("""COMPUTED_VALUE"""),2013.0)</f>
        <v>2013</v>
      </c>
      <c r="E1159">
        <f>IFERROR(__xludf.DUMMYFUNCTION("""COMPUTED_VALUE"""),1315411.0)</f>
        <v>1315411</v>
      </c>
    </row>
    <row r="1160">
      <c r="A1160" t="str">
        <f t="shared" si="1"/>
        <v>bhr#2014</v>
      </c>
      <c r="B1160" t="str">
        <f>IFERROR(__xludf.DUMMYFUNCTION("""COMPUTED_VALUE"""),"bhr")</f>
        <v>bhr</v>
      </c>
      <c r="C1160" t="str">
        <f>IFERROR(__xludf.DUMMYFUNCTION("""COMPUTED_VALUE"""),"Bahrain")</f>
        <v>Bahrain</v>
      </c>
      <c r="D1160">
        <f>IFERROR(__xludf.DUMMYFUNCTION("""COMPUTED_VALUE"""),2014.0)</f>
        <v>2014</v>
      </c>
      <c r="E1160">
        <f>IFERROR(__xludf.DUMMYFUNCTION("""COMPUTED_VALUE"""),1336397.0)</f>
        <v>1336397</v>
      </c>
    </row>
    <row r="1161">
      <c r="A1161" t="str">
        <f t="shared" si="1"/>
        <v>bhr#2015</v>
      </c>
      <c r="B1161" t="str">
        <f>IFERROR(__xludf.DUMMYFUNCTION("""COMPUTED_VALUE"""),"bhr")</f>
        <v>bhr</v>
      </c>
      <c r="C1161" t="str">
        <f>IFERROR(__xludf.DUMMYFUNCTION("""COMPUTED_VALUE"""),"Bahrain")</f>
        <v>Bahrain</v>
      </c>
      <c r="D1161">
        <f>IFERROR(__xludf.DUMMYFUNCTION("""COMPUTED_VALUE"""),2015.0)</f>
        <v>2015</v>
      </c>
      <c r="E1161">
        <f>IFERROR(__xludf.DUMMYFUNCTION("""COMPUTED_VALUE"""),1371855.0)</f>
        <v>1371855</v>
      </c>
    </row>
    <row r="1162">
      <c r="A1162" t="str">
        <f t="shared" si="1"/>
        <v>bhr#2016</v>
      </c>
      <c r="B1162" t="str">
        <f>IFERROR(__xludf.DUMMYFUNCTION("""COMPUTED_VALUE"""),"bhr")</f>
        <v>bhr</v>
      </c>
      <c r="C1162" t="str">
        <f>IFERROR(__xludf.DUMMYFUNCTION("""COMPUTED_VALUE"""),"Bahrain")</f>
        <v>Bahrain</v>
      </c>
      <c r="D1162">
        <f>IFERROR(__xludf.DUMMYFUNCTION("""COMPUTED_VALUE"""),2016.0)</f>
        <v>2016</v>
      </c>
      <c r="E1162">
        <f>IFERROR(__xludf.DUMMYFUNCTION("""COMPUTED_VALUE"""),1425171.0)</f>
        <v>1425171</v>
      </c>
    </row>
    <row r="1163">
      <c r="A1163" t="str">
        <f t="shared" si="1"/>
        <v>bhr#2017</v>
      </c>
      <c r="B1163" t="str">
        <f>IFERROR(__xludf.DUMMYFUNCTION("""COMPUTED_VALUE"""),"bhr")</f>
        <v>bhr</v>
      </c>
      <c r="C1163" t="str">
        <f>IFERROR(__xludf.DUMMYFUNCTION("""COMPUTED_VALUE"""),"Bahrain")</f>
        <v>Bahrain</v>
      </c>
      <c r="D1163">
        <f>IFERROR(__xludf.DUMMYFUNCTION("""COMPUTED_VALUE"""),2017.0)</f>
        <v>2017</v>
      </c>
      <c r="E1163">
        <f>IFERROR(__xludf.DUMMYFUNCTION("""COMPUTED_VALUE"""),1492584.0)</f>
        <v>1492584</v>
      </c>
    </row>
    <row r="1164">
      <c r="A1164" t="str">
        <f t="shared" si="1"/>
        <v>bhr#2018</v>
      </c>
      <c r="B1164" t="str">
        <f>IFERROR(__xludf.DUMMYFUNCTION("""COMPUTED_VALUE"""),"bhr")</f>
        <v>bhr</v>
      </c>
      <c r="C1164" t="str">
        <f>IFERROR(__xludf.DUMMYFUNCTION("""COMPUTED_VALUE"""),"Bahrain")</f>
        <v>Bahrain</v>
      </c>
      <c r="D1164">
        <f>IFERROR(__xludf.DUMMYFUNCTION("""COMPUTED_VALUE"""),2018.0)</f>
        <v>2018</v>
      </c>
      <c r="E1164">
        <f>IFERROR(__xludf.DUMMYFUNCTION("""COMPUTED_VALUE"""),1566993.0)</f>
        <v>1566993</v>
      </c>
    </row>
    <row r="1165">
      <c r="A1165" t="str">
        <f t="shared" si="1"/>
        <v>bhr#2019</v>
      </c>
      <c r="B1165" t="str">
        <f>IFERROR(__xludf.DUMMYFUNCTION("""COMPUTED_VALUE"""),"bhr")</f>
        <v>bhr</v>
      </c>
      <c r="C1165" t="str">
        <f>IFERROR(__xludf.DUMMYFUNCTION("""COMPUTED_VALUE"""),"Bahrain")</f>
        <v>Bahrain</v>
      </c>
      <c r="D1165">
        <f>IFERROR(__xludf.DUMMYFUNCTION("""COMPUTED_VALUE"""),2019.0)</f>
        <v>2019</v>
      </c>
      <c r="E1165">
        <f>IFERROR(__xludf.DUMMYFUNCTION("""COMPUTED_VALUE"""),1637896.0)</f>
        <v>1637896</v>
      </c>
    </row>
    <row r="1166">
      <c r="A1166" t="str">
        <f t="shared" si="1"/>
        <v>bhr#2020</v>
      </c>
      <c r="B1166" t="str">
        <f>IFERROR(__xludf.DUMMYFUNCTION("""COMPUTED_VALUE"""),"bhr")</f>
        <v>bhr</v>
      </c>
      <c r="C1166" t="str">
        <f>IFERROR(__xludf.DUMMYFUNCTION("""COMPUTED_VALUE"""),"Bahrain")</f>
        <v>Bahrain</v>
      </c>
      <c r="D1166">
        <f>IFERROR(__xludf.DUMMYFUNCTION("""COMPUTED_VALUE"""),2020.0)</f>
        <v>2020</v>
      </c>
      <c r="E1166">
        <f>IFERROR(__xludf.DUMMYFUNCTION("""COMPUTED_VALUE"""),1697765.0)</f>
        <v>1697765</v>
      </c>
    </row>
    <row r="1167">
      <c r="A1167" t="str">
        <f t="shared" si="1"/>
        <v>bhr#2021</v>
      </c>
      <c r="B1167" t="str">
        <f>IFERROR(__xludf.DUMMYFUNCTION("""COMPUTED_VALUE"""),"bhr")</f>
        <v>bhr</v>
      </c>
      <c r="C1167" t="str">
        <f>IFERROR(__xludf.DUMMYFUNCTION("""COMPUTED_VALUE"""),"Bahrain")</f>
        <v>Bahrain</v>
      </c>
      <c r="D1167">
        <f>IFERROR(__xludf.DUMMYFUNCTION("""COMPUTED_VALUE"""),2021.0)</f>
        <v>2021</v>
      </c>
      <c r="E1167">
        <f>IFERROR(__xludf.DUMMYFUNCTION("""COMPUTED_VALUE"""),1744295.0)</f>
        <v>1744295</v>
      </c>
    </row>
    <row r="1168">
      <c r="A1168" t="str">
        <f t="shared" si="1"/>
        <v>bhr#2022</v>
      </c>
      <c r="B1168" t="str">
        <f>IFERROR(__xludf.DUMMYFUNCTION("""COMPUTED_VALUE"""),"bhr")</f>
        <v>bhr</v>
      </c>
      <c r="C1168" t="str">
        <f>IFERROR(__xludf.DUMMYFUNCTION("""COMPUTED_VALUE"""),"Bahrain")</f>
        <v>Bahrain</v>
      </c>
      <c r="D1168">
        <f>IFERROR(__xludf.DUMMYFUNCTION("""COMPUTED_VALUE"""),2022.0)</f>
        <v>2022</v>
      </c>
      <c r="E1168">
        <f>IFERROR(__xludf.DUMMYFUNCTION("""COMPUTED_VALUE"""),1780088.0)</f>
        <v>1780088</v>
      </c>
    </row>
    <row r="1169">
      <c r="A1169" t="str">
        <f t="shared" si="1"/>
        <v>bhr#2023</v>
      </c>
      <c r="B1169" t="str">
        <f>IFERROR(__xludf.DUMMYFUNCTION("""COMPUTED_VALUE"""),"bhr")</f>
        <v>bhr</v>
      </c>
      <c r="C1169" t="str">
        <f>IFERROR(__xludf.DUMMYFUNCTION("""COMPUTED_VALUE"""),"Bahrain")</f>
        <v>Bahrain</v>
      </c>
      <c r="D1169">
        <f>IFERROR(__xludf.DUMMYFUNCTION("""COMPUTED_VALUE"""),2023.0)</f>
        <v>2023</v>
      </c>
      <c r="E1169">
        <f>IFERROR(__xludf.DUMMYFUNCTION("""COMPUTED_VALUE"""),1808443.0)</f>
        <v>1808443</v>
      </c>
    </row>
    <row r="1170">
      <c r="A1170" t="str">
        <f t="shared" si="1"/>
        <v>bhr#2024</v>
      </c>
      <c r="B1170" t="str">
        <f>IFERROR(__xludf.DUMMYFUNCTION("""COMPUTED_VALUE"""),"bhr")</f>
        <v>bhr</v>
      </c>
      <c r="C1170" t="str">
        <f>IFERROR(__xludf.DUMMYFUNCTION("""COMPUTED_VALUE"""),"Bahrain")</f>
        <v>Bahrain</v>
      </c>
      <c r="D1170">
        <f>IFERROR(__xludf.DUMMYFUNCTION("""COMPUTED_VALUE"""),2024.0)</f>
        <v>2024</v>
      </c>
      <c r="E1170">
        <f>IFERROR(__xludf.DUMMYFUNCTION("""COMPUTED_VALUE"""),1834610.0)</f>
        <v>1834610</v>
      </c>
    </row>
    <row r="1171">
      <c r="A1171" t="str">
        <f t="shared" si="1"/>
        <v>bhr#2025</v>
      </c>
      <c r="B1171" t="str">
        <f>IFERROR(__xludf.DUMMYFUNCTION("""COMPUTED_VALUE"""),"bhr")</f>
        <v>bhr</v>
      </c>
      <c r="C1171" t="str">
        <f>IFERROR(__xludf.DUMMYFUNCTION("""COMPUTED_VALUE"""),"Bahrain")</f>
        <v>Bahrain</v>
      </c>
      <c r="D1171">
        <f>IFERROR(__xludf.DUMMYFUNCTION("""COMPUTED_VALUE"""),2025.0)</f>
        <v>2025</v>
      </c>
      <c r="E1171">
        <f>IFERROR(__xludf.DUMMYFUNCTION("""COMPUTED_VALUE"""),1862403.0)</f>
        <v>1862403</v>
      </c>
    </row>
    <row r="1172">
      <c r="A1172" t="str">
        <f t="shared" si="1"/>
        <v>bhr#2026</v>
      </c>
      <c r="B1172" t="str">
        <f>IFERROR(__xludf.DUMMYFUNCTION("""COMPUTED_VALUE"""),"bhr")</f>
        <v>bhr</v>
      </c>
      <c r="C1172" t="str">
        <f>IFERROR(__xludf.DUMMYFUNCTION("""COMPUTED_VALUE"""),"Bahrain")</f>
        <v>Bahrain</v>
      </c>
      <c r="D1172">
        <f>IFERROR(__xludf.DUMMYFUNCTION("""COMPUTED_VALUE"""),2026.0)</f>
        <v>2026</v>
      </c>
      <c r="E1172">
        <f>IFERROR(__xludf.DUMMYFUNCTION("""COMPUTED_VALUE"""),1892624.0)</f>
        <v>1892624</v>
      </c>
    </row>
    <row r="1173">
      <c r="A1173" t="str">
        <f t="shared" si="1"/>
        <v>bhr#2027</v>
      </c>
      <c r="B1173" t="str">
        <f>IFERROR(__xludf.DUMMYFUNCTION("""COMPUTED_VALUE"""),"bhr")</f>
        <v>bhr</v>
      </c>
      <c r="C1173" t="str">
        <f>IFERROR(__xludf.DUMMYFUNCTION("""COMPUTED_VALUE"""),"Bahrain")</f>
        <v>Bahrain</v>
      </c>
      <c r="D1173">
        <f>IFERROR(__xludf.DUMMYFUNCTION("""COMPUTED_VALUE"""),2027.0)</f>
        <v>2027</v>
      </c>
      <c r="E1173">
        <f>IFERROR(__xludf.DUMMYFUNCTION("""COMPUTED_VALUE"""),1923911.0)</f>
        <v>1923911</v>
      </c>
    </row>
    <row r="1174">
      <c r="A1174" t="str">
        <f t="shared" si="1"/>
        <v>bhr#2028</v>
      </c>
      <c r="B1174" t="str">
        <f>IFERROR(__xludf.DUMMYFUNCTION("""COMPUTED_VALUE"""),"bhr")</f>
        <v>bhr</v>
      </c>
      <c r="C1174" t="str">
        <f>IFERROR(__xludf.DUMMYFUNCTION("""COMPUTED_VALUE"""),"Bahrain")</f>
        <v>Bahrain</v>
      </c>
      <c r="D1174">
        <f>IFERROR(__xludf.DUMMYFUNCTION("""COMPUTED_VALUE"""),2028.0)</f>
        <v>2028</v>
      </c>
      <c r="E1174">
        <f>IFERROR(__xludf.DUMMYFUNCTION("""COMPUTED_VALUE"""),1955379.0)</f>
        <v>1955379</v>
      </c>
    </row>
    <row r="1175">
      <c r="A1175" t="str">
        <f t="shared" si="1"/>
        <v>bhr#2029</v>
      </c>
      <c r="B1175" t="str">
        <f>IFERROR(__xludf.DUMMYFUNCTION("""COMPUTED_VALUE"""),"bhr")</f>
        <v>bhr</v>
      </c>
      <c r="C1175" t="str">
        <f>IFERROR(__xludf.DUMMYFUNCTION("""COMPUTED_VALUE"""),"Bahrain")</f>
        <v>Bahrain</v>
      </c>
      <c r="D1175">
        <f>IFERROR(__xludf.DUMMYFUNCTION("""COMPUTED_VALUE"""),2029.0)</f>
        <v>2029</v>
      </c>
      <c r="E1175">
        <f>IFERROR(__xludf.DUMMYFUNCTION("""COMPUTED_VALUE"""),1985491.0)</f>
        <v>1985491</v>
      </c>
    </row>
    <row r="1176">
      <c r="A1176" t="str">
        <f t="shared" si="1"/>
        <v>bhr#2030</v>
      </c>
      <c r="B1176" t="str">
        <f>IFERROR(__xludf.DUMMYFUNCTION("""COMPUTED_VALUE"""),"bhr")</f>
        <v>bhr</v>
      </c>
      <c r="C1176" t="str">
        <f>IFERROR(__xludf.DUMMYFUNCTION("""COMPUTED_VALUE"""),"Bahrain")</f>
        <v>Bahrain</v>
      </c>
      <c r="D1176">
        <f>IFERROR(__xludf.DUMMYFUNCTION("""COMPUTED_VALUE"""),2030.0)</f>
        <v>2030</v>
      </c>
      <c r="E1176">
        <f>IFERROR(__xludf.DUMMYFUNCTION("""COMPUTED_VALUE"""),2013135.0)</f>
        <v>2013135</v>
      </c>
    </row>
    <row r="1177">
      <c r="A1177" t="str">
        <f t="shared" si="1"/>
        <v>bhr#2031</v>
      </c>
      <c r="B1177" t="str">
        <f>IFERROR(__xludf.DUMMYFUNCTION("""COMPUTED_VALUE"""),"bhr")</f>
        <v>bhr</v>
      </c>
      <c r="C1177" t="str">
        <f>IFERROR(__xludf.DUMMYFUNCTION("""COMPUTED_VALUE"""),"Bahrain")</f>
        <v>Bahrain</v>
      </c>
      <c r="D1177">
        <f>IFERROR(__xludf.DUMMYFUNCTION("""COMPUTED_VALUE"""),2031.0)</f>
        <v>2031</v>
      </c>
      <c r="E1177">
        <f>IFERROR(__xludf.DUMMYFUNCTION("""COMPUTED_VALUE"""),2038230.0)</f>
        <v>2038230</v>
      </c>
    </row>
    <row r="1178">
      <c r="A1178" t="str">
        <f t="shared" si="1"/>
        <v>bhr#2032</v>
      </c>
      <c r="B1178" t="str">
        <f>IFERROR(__xludf.DUMMYFUNCTION("""COMPUTED_VALUE"""),"bhr")</f>
        <v>bhr</v>
      </c>
      <c r="C1178" t="str">
        <f>IFERROR(__xludf.DUMMYFUNCTION("""COMPUTED_VALUE"""),"Bahrain")</f>
        <v>Bahrain</v>
      </c>
      <c r="D1178">
        <f>IFERROR(__xludf.DUMMYFUNCTION("""COMPUTED_VALUE"""),2032.0)</f>
        <v>2032</v>
      </c>
      <c r="E1178">
        <f>IFERROR(__xludf.DUMMYFUNCTION("""COMPUTED_VALUE"""),2061334.0)</f>
        <v>2061334</v>
      </c>
    </row>
    <row r="1179">
      <c r="A1179" t="str">
        <f t="shared" si="1"/>
        <v>bhr#2033</v>
      </c>
      <c r="B1179" t="str">
        <f>IFERROR(__xludf.DUMMYFUNCTION("""COMPUTED_VALUE"""),"bhr")</f>
        <v>bhr</v>
      </c>
      <c r="C1179" t="str">
        <f>IFERROR(__xludf.DUMMYFUNCTION("""COMPUTED_VALUE"""),"Bahrain")</f>
        <v>Bahrain</v>
      </c>
      <c r="D1179">
        <f>IFERROR(__xludf.DUMMYFUNCTION("""COMPUTED_VALUE"""),2033.0)</f>
        <v>2033</v>
      </c>
      <c r="E1179">
        <f>IFERROR(__xludf.DUMMYFUNCTION("""COMPUTED_VALUE"""),2082715.0)</f>
        <v>2082715</v>
      </c>
    </row>
    <row r="1180">
      <c r="A1180" t="str">
        <f t="shared" si="1"/>
        <v>bhr#2034</v>
      </c>
      <c r="B1180" t="str">
        <f>IFERROR(__xludf.DUMMYFUNCTION("""COMPUTED_VALUE"""),"bhr")</f>
        <v>bhr</v>
      </c>
      <c r="C1180" t="str">
        <f>IFERROR(__xludf.DUMMYFUNCTION("""COMPUTED_VALUE"""),"Bahrain")</f>
        <v>Bahrain</v>
      </c>
      <c r="D1180">
        <f>IFERROR(__xludf.DUMMYFUNCTION("""COMPUTED_VALUE"""),2034.0)</f>
        <v>2034</v>
      </c>
      <c r="E1180">
        <f>IFERROR(__xludf.DUMMYFUNCTION("""COMPUTED_VALUE"""),2102822.0)</f>
        <v>2102822</v>
      </c>
    </row>
    <row r="1181">
      <c r="A1181" t="str">
        <f t="shared" si="1"/>
        <v>bhr#2035</v>
      </c>
      <c r="B1181" t="str">
        <f>IFERROR(__xludf.DUMMYFUNCTION("""COMPUTED_VALUE"""),"bhr")</f>
        <v>bhr</v>
      </c>
      <c r="C1181" t="str">
        <f>IFERROR(__xludf.DUMMYFUNCTION("""COMPUTED_VALUE"""),"Bahrain")</f>
        <v>Bahrain</v>
      </c>
      <c r="D1181">
        <f>IFERROR(__xludf.DUMMYFUNCTION("""COMPUTED_VALUE"""),2035.0)</f>
        <v>2035</v>
      </c>
      <c r="E1181">
        <f>IFERROR(__xludf.DUMMYFUNCTION("""COMPUTED_VALUE"""),2121977.0)</f>
        <v>2121977</v>
      </c>
    </row>
    <row r="1182">
      <c r="A1182" t="str">
        <f t="shared" si="1"/>
        <v>bhr#2036</v>
      </c>
      <c r="B1182" t="str">
        <f>IFERROR(__xludf.DUMMYFUNCTION("""COMPUTED_VALUE"""),"bhr")</f>
        <v>bhr</v>
      </c>
      <c r="C1182" t="str">
        <f>IFERROR(__xludf.DUMMYFUNCTION("""COMPUTED_VALUE"""),"Bahrain")</f>
        <v>Bahrain</v>
      </c>
      <c r="D1182">
        <f>IFERROR(__xludf.DUMMYFUNCTION("""COMPUTED_VALUE"""),2036.0)</f>
        <v>2036</v>
      </c>
      <c r="E1182">
        <f>IFERROR(__xludf.DUMMYFUNCTION("""COMPUTED_VALUE"""),2140273.0)</f>
        <v>2140273</v>
      </c>
    </row>
    <row r="1183">
      <c r="A1183" t="str">
        <f t="shared" si="1"/>
        <v>bhr#2037</v>
      </c>
      <c r="B1183" t="str">
        <f>IFERROR(__xludf.DUMMYFUNCTION("""COMPUTED_VALUE"""),"bhr")</f>
        <v>bhr</v>
      </c>
      <c r="C1183" t="str">
        <f>IFERROR(__xludf.DUMMYFUNCTION("""COMPUTED_VALUE"""),"Bahrain")</f>
        <v>Bahrain</v>
      </c>
      <c r="D1183">
        <f>IFERROR(__xludf.DUMMYFUNCTION("""COMPUTED_VALUE"""),2037.0)</f>
        <v>2037</v>
      </c>
      <c r="E1183">
        <f>IFERROR(__xludf.DUMMYFUNCTION("""COMPUTED_VALUE"""),2157659.0)</f>
        <v>2157659</v>
      </c>
    </row>
    <row r="1184">
      <c r="A1184" t="str">
        <f t="shared" si="1"/>
        <v>bhr#2038</v>
      </c>
      <c r="B1184" t="str">
        <f>IFERROR(__xludf.DUMMYFUNCTION("""COMPUTED_VALUE"""),"bhr")</f>
        <v>bhr</v>
      </c>
      <c r="C1184" t="str">
        <f>IFERROR(__xludf.DUMMYFUNCTION("""COMPUTED_VALUE"""),"Bahrain")</f>
        <v>Bahrain</v>
      </c>
      <c r="D1184">
        <f>IFERROR(__xludf.DUMMYFUNCTION("""COMPUTED_VALUE"""),2038.0)</f>
        <v>2038</v>
      </c>
      <c r="E1184">
        <f>IFERROR(__xludf.DUMMYFUNCTION("""COMPUTED_VALUE"""),2174245.0)</f>
        <v>2174245</v>
      </c>
    </row>
    <row r="1185">
      <c r="A1185" t="str">
        <f t="shared" si="1"/>
        <v>bhr#2039</v>
      </c>
      <c r="B1185" t="str">
        <f>IFERROR(__xludf.DUMMYFUNCTION("""COMPUTED_VALUE"""),"bhr")</f>
        <v>bhr</v>
      </c>
      <c r="C1185" t="str">
        <f>IFERROR(__xludf.DUMMYFUNCTION("""COMPUTED_VALUE"""),"Bahrain")</f>
        <v>Bahrain</v>
      </c>
      <c r="D1185">
        <f>IFERROR(__xludf.DUMMYFUNCTION("""COMPUTED_VALUE"""),2039.0)</f>
        <v>2039</v>
      </c>
      <c r="E1185">
        <f>IFERROR(__xludf.DUMMYFUNCTION("""COMPUTED_VALUE"""),2190078.0)</f>
        <v>2190078</v>
      </c>
    </row>
    <row r="1186">
      <c r="A1186" t="str">
        <f t="shared" si="1"/>
        <v>bhr#2040</v>
      </c>
      <c r="B1186" t="str">
        <f>IFERROR(__xludf.DUMMYFUNCTION("""COMPUTED_VALUE"""),"bhr")</f>
        <v>bhr</v>
      </c>
      <c r="C1186" t="str">
        <f>IFERROR(__xludf.DUMMYFUNCTION("""COMPUTED_VALUE"""),"Bahrain")</f>
        <v>Bahrain</v>
      </c>
      <c r="D1186">
        <f>IFERROR(__xludf.DUMMYFUNCTION("""COMPUTED_VALUE"""),2040.0)</f>
        <v>2040</v>
      </c>
      <c r="E1186">
        <f>IFERROR(__xludf.DUMMYFUNCTION("""COMPUTED_VALUE"""),2205227.0)</f>
        <v>2205227</v>
      </c>
    </row>
    <row r="1187">
      <c r="A1187" t="str">
        <f t="shared" si="1"/>
        <v>bgd#1950</v>
      </c>
      <c r="B1187" t="str">
        <f>IFERROR(__xludf.DUMMYFUNCTION("""COMPUTED_VALUE"""),"bgd")</f>
        <v>bgd</v>
      </c>
      <c r="C1187" t="str">
        <f>IFERROR(__xludf.DUMMYFUNCTION("""COMPUTED_VALUE"""),"Bangladesh")</f>
        <v>Bangladesh</v>
      </c>
      <c r="D1187">
        <f>IFERROR(__xludf.DUMMYFUNCTION("""COMPUTED_VALUE"""),1950.0)</f>
        <v>1950</v>
      </c>
      <c r="E1187">
        <f>IFERROR(__xludf.DUMMYFUNCTION("""COMPUTED_VALUE"""),3.7894681E7)</f>
        <v>37894681</v>
      </c>
    </row>
    <row r="1188">
      <c r="A1188" t="str">
        <f t="shared" si="1"/>
        <v>bgd#1951</v>
      </c>
      <c r="B1188" t="str">
        <f>IFERROR(__xludf.DUMMYFUNCTION("""COMPUTED_VALUE"""),"bgd")</f>
        <v>bgd</v>
      </c>
      <c r="C1188" t="str">
        <f>IFERROR(__xludf.DUMMYFUNCTION("""COMPUTED_VALUE"""),"Bangladesh")</f>
        <v>Bangladesh</v>
      </c>
      <c r="D1188">
        <f>IFERROR(__xludf.DUMMYFUNCTION("""COMPUTED_VALUE"""),1951.0)</f>
        <v>1951</v>
      </c>
      <c r="E1188">
        <f>IFERROR(__xludf.DUMMYFUNCTION("""COMPUTED_VALUE"""),3.8705076E7)</f>
        <v>38705076</v>
      </c>
    </row>
    <row r="1189">
      <c r="A1189" t="str">
        <f t="shared" si="1"/>
        <v>bgd#1952</v>
      </c>
      <c r="B1189" t="str">
        <f>IFERROR(__xludf.DUMMYFUNCTION("""COMPUTED_VALUE"""),"bgd")</f>
        <v>bgd</v>
      </c>
      <c r="C1189" t="str">
        <f>IFERROR(__xludf.DUMMYFUNCTION("""COMPUTED_VALUE"""),"Bangladesh")</f>
        <v>Bangladesh</v>
      </c>
      <c r="D1189">
        <f>IFERROR(__xludf.DUMMYFUNCTION("""COMPUTED_VALUE"""),1952.0)</f>
        <v>1952</v>
      </c>
      <c r="E1189">
        <f>IFERROR(__xludf.DUMMYFUNCTION("""COMPUTED_VALUE"""),3.9491056E7)</f>
        <v>39491056</v>
      </c>
    </row>
    <row r="1190">
      <c r="A1190" t="str">
        <f t="shared" si="1"/>
        <v>bgd#1953</v>
      </c>
      <c r="B1190" t="str">
        <f>IFERROR(__xludf.DUMMYFUNCTION("""COMPUTED_VALUE"""),"bgd")</f>
        <v>bgd</v>
      </c>
      <c r="C1190" t="str">
        <f>IFERROR(__xludf.DUMMYFUNCTION("""COMPUTED_VALUE"""),"Bangladesh")</f>
        <v>Bangladesh</v>
      </c>
      <c r="D1190">
        <f>IFERROR(__xludf.DUMMYFUNCTION("""COMPUTED_VALUE"""),1953.0)</f>
        <v>1953</v>
      </c>
      <c r="E1190">
        <f>IFERROR(__xludf.DUMMYFUNCTION("""COMPUTED_VALUE"""),4.0300362E7)</f>
        <v>40300362</v>
      </c>
    </row>
    <row r="1191">
      <c r="A1191" t="str">
        <f t="shared" si="1"/>
        <v>bgd#1954</v>
      </c>
      <c r="B1191" t="str">
        <f>IFERROR(__xludf.DUMMYFUNCTION("""COMPUTED_VALUE"""),"bgd")</f>
        <v>bgd</v>
      </c>
      <c r="C1191" t="str">
        <f>IFERROR(__xludf.DUMMYFUNCTION("""COMPUTED_VALUE"""),"Bangladesh")</f>
        <v>Bangladesh</v>
      </c>
      <c r="D1191">
        <f>IFERROR(__xludf.DUMMYFUNCTION("""COMPUTED_VALUE"""),1954.0)</f>
        <v>1954</v>
      </c>
      <c r="E1191">
        <f>IFERROR(__xludf.DUMMYFUNCTION("""COMPUTED_VALUE"""),4.1169065E7)</f>
        <v>41169065</v>
      </c>
    </row>
    <row r="1192">
      <c r="A1192" t="str">
        <f t="shared" si="1"/>
        <v>bgd#1955</v>
      </c>
      <c r="B1192" t="str">
        <f>IFERROR(__xludf.DUMMYFUNCTION("""COMPUTED_VALUE"""),"bgd")</f>
        <v>bgd</v>
      </c>
      <c r="C1192" t="str">
        <f>IFERROR(__xludf.DUMMYFUNCTION("""COMPUTED_VALUE"""),"Bangladesh")</f>
        <v>Bangladesh</v>
      </c>
      <c r="D1192">
        <f>IFERROR(__xludf.DUMMYFUNCTION("""COMPUTED_VALUE"""),1955.0)</f>
        <v>1955</v>
      </c>
      <c r="E1192">
        <f>IFERROR(__xludf.DUMMYFUNCTION("""COMPUTED_VALUE"""),4.2121524E7)</f>
        <v>42121524</v>
      </c>
    </row>
    <row r="1193">
      <c r="A1193" t="str">
        <f t="shared" si="1"/>
        <v>bgd#1956</v>
      </c>
      <c r="B1193" t="str">
        <f>IFERROR(__xludf.DUMMYFUNCTION("""COMPUTED_VALUE"""),"bgd")</f>
        <v>bgd</v>
      </c>
      <c r="C1193" t="str">
        <f>IFERROR(__xludf.DUMMYFUNCTION("""COMPUTED_VALUE"""),"Bangladesh")</f>
        <v>Bangladesh</v>
      </c>
      <c r="D1193">
        <f>IFERROR(__xludf.DUMMYFUNCTION("""COMPUTED_VALUE"""),1956.0)</f>
        <v>1956</v>
      </c>
      <c r="E1193">
        <f>IFERROR(__xludf.DUMMYFUNCTION("""COMPUTED_VALUE"""),4.3169927E7)</f>
        <v>43169927</v>
      </c>
    </row>
    <row r="1194">
      <c r="A1194" t="str">
        <f t="shared" si="1"/>
        <v>bgd#1957</v>
      </c>
      <c r="B1194" t="str">
        <f>IFERROR(__xludf.DUMMYFUNCTION("""COMPUTED_VALUE"""),"bgd")</f>
        <v>bgd</v>
      </c>
      <c r="C1194" t="str">
        <f>IFERROR(__xludf.DUMMYFUNCTION("""COMPUTED_VALUE"""),"Bangladesh")</f>
        <v>Bangladesh</v>
      </c>
      <c r="D1194">
        <f>IFERROR(__xludf.DUMMYFUNCTION("""COMPUTED_VALUE"""),1957.0)</f>
        <v>1957</v>
      </c>
      <c r="E1194">
        <f>IFERROR(__xludf.DUMMYFUNCTION("""COMPUTED_VALUE"""),4.4314819E7)</f>
        <v>44314819</v>
      </c>
    </row>
    <row r="1195">
      <c r="A1195" t="str">
        <f t="shared" si="1"/>
        <v>bgd#1958</v>
      </c>
      <c r="B1195" t="str">
        <f>IFERROR(__xludf.DUMMYFUNCTION("""COMPUTED_VALUE"""),"bgd")</f>
        <v>bgd</v>
      </c>
      <c r="C1195" t="str">
        <f>IFERROR(__xludf.DUMMYFUNCTION("""COMPUTED_VALUE"""),"Bangladesh")</f>
        <v>Bangladesh</v>
      </c>
      <c r="D1195">
        <f>IFERROR(__xludf.DUMMYFUNCTION("""COMPUTED_VALUE"""),1958.0)</f>
        <v>1958</v>
      </c>
      <c r="E1195">
        <f>IFERROR(__xludf.DUMMYFUNCTION("""COMPUTED_VALUE"""),4.5546484E7)</f>
        <v>45546484</v>
      </c>
    </row>
    <row r="1196">
      <c r="A1196" t="str">
        <f t="shared" si="1"/>
        <v>bgd#1959</v>
      </c>
      <c r="B1196" t="str">
        <f>IFERROR(__xludf.DUMMYFUNCTION("""COMPUTED_VALUE"""),"bgd")</f>
        <v>bgd</v>
      </c>
      <c r="C1196" t="str">
        <f>IFERROR(__xludf.DUMMYFUNCTION("""COMPUTED_VALUE"""),"Bangladesh")</f>
        <v>Bangladesh</v>
      </c>
      <c r="D1196">
        <f>IFERROR(__xludf.DUMMYFUNCTION("""COMPUTED_VALUE"""),1959.0)</f>
        <v>1959</v>
      </c>
      <c r="E1196">
        <f>IFERROR(__xludf.DUMMYFUNCTION("""COMPUTED_VALUE"""),4.6847445E7)</f>
        <v>46847445</v>
      </c>
    </row>
    <row r="1197">
      <c r="A1197" t="str">
        <f t="shared" si="1"/>
        <v>bgd#1960</v>
      </c>
      <c r="B1197" t="str">
        <f>IFERROR(__xludf.DUMMYFUNCTION("""COMPUTED_VALUE"""),"bgd")</f>
        <v>bgd</v>
      </c>
      <c r="C1197" t="str">
        <f>IFERROR(__xludf.DUMMYFUNCTION("""COMPUTED_VALUE"""),"Bangladesh")</f>
        <v>Bangladesh</v>
      </c>
      <c r="D1197">
        <f>IFERROR(__xludf.DUMMYFUNCTION("""COMPUTED_VALUE"""),1960.0)</f>
        <v>1960</v>
      </c>
      <c r="E1197">
        <f>IFERROR(__xludf.DUMMYFUNCTION("""COMPUTED_VALUE"""),4.8199747E7)</f>
        <v>48199747</v>
      </c>
    </row>
    <row r="1198">
      <c r="A1198" t="str">
        <f t="shared" si="1"/>
        <v>bgd#1961</v>
      </c>
      <c r="B1198" t="str">
        <f>IFERROR(__xludf.DUMMYFUNCTION("""COMPUTED_VALUE"""),"bgd")</f>
        <v>bgd</v>
      </c>
      <c r="C1198" t="str">
        <f>IFERROR(__xludf.DUMMYFUNCTION("""COMPUTED_VALUE"""),"Bangladesh")</f>
        <v>Bangladesh</v>
      </c>
      <c r="D1198">
        <f>IFERROR(__xludf.DUMMYFUNCTION("""COMPUTED_VALUE"""),1961.0)</f>
        <v>1961</v>
      </c>
      <c r="E1198">
        <f>IFERROR(__xludf.DUMMYFUNCTION("""COMPUTED_VALUE"""),4.9592802E7)</f>
        <v>49592802</v>
      </c>
    </row>
    <row r="1199">
      <c r="A1199" t="str">
        <f t="shared" si="1"/>
        <v>bgd#1962</v>
      </c>
      <c r="B1199" t="str">
        <f>IFERROR(__xludf.DUMMYFUNCTION("""COMPUTED_VALUE"""),"bgd")</f>
        <v>bgd</v>
      </c>
      <c r="C1199" t="str">
        <f>IFERROR(__xludf.DUMMYFUNCTION("""COMPUTED_VALUE"""),"Bangladesh")</f>
        <v>Bangladesh</v>
      </c>
      <c r="D1199">
        <f>IFERROR(__xludf.DUMMYFUNCTION("""COMPUTED_VALUE"""),1962.0)</f>
        <v>1962</v>
      </c>
      <c r="E1199">
        <f>IFERROR(__xludf.DUMMYFUNCTION("""COMPUTED_VALUE"""),5.1030137E7)</f>
        <v>51030137</v>
      </c>
    </row>
    <row r="1200">
      <c r="A1200" t="str">
        <f t="shared" si="1"/>
        <v>bgd#1963</v>
      </c>
      <c r="B1200" t="str">
        <f>IFERROR(__xludf.DUMMYFUNCTION("""COMPUTED_VALUE"""),"bgd")</f>
        <v>bgd</v>
      </c>
      <c r="C1200" t="str">
        <f>IFERROR(__xludf.DUMMYFUNCTION("""COMPUTED_VALUE"""),"Bangladesh")</f>
        <v>Bangladesh</v>
      </c>
      <c r="D1200">
        <f>IFERROR(__xludf.DUMMYFUNCTION("""COMPUTED_VALUE"""),1963.0)</f>
        <v>1963</v>
      </c>
      <c r="E1200">
        <f>IFERROR(__xludf.DUMMYFUNCTION("""COMPUTED_VALUE"""),5.2532417E7)</f>
        <v>52532417</v>
      </c>
    </row>
    <row r="1201">
      <c r="A1201" t="str">
        <f t="shared" si="1"/>
        <v>bgd#1964</v>
      </c>
      <c r="B1201" t="str">
        <f>IFERROR(__xludf.DUMMYFUNCTION("""COMPUTED_VALUE"""),"bgd")</f>
        <v>bgd</v>
      </c>
      <c r="C1201" t="str">
        <f>IFERROR(__xludf.DUMMYFUNCTION("""COMPUTED_VALUE"""),"Bangladesh")</f>
        <v>Bangladesh</v>
      </c>
      <c r="D1201">
        <f>IFERROR(__xludf.DUMMYFUNCTION("""COMPUTED_VALUE"""),1964.0)</f>
        <v>1964</v>
      </c>
      <c r="E1201">
        <f>IFERROR(__xludf.DUMMYFUNCTION("""COMPUTED_VALUE"""),5.41291E7)</f>
        <v>54129100</v>
      </c>
    </row>
    <row r="1202">
      <c r="A1202" t="str">
        <f t="shared" si="1"/>
        <v>bgd#1965</v>
      </c>
      <c r="B1202" t="str">
        <f>IFERROR(__xludf.DUMMYFUNCTION("""COMPUTED_VALUE"""),"bgd")</f>
        <v>bgd</v>
      </c>
      <c r="C1202" t="str">
        <f>IFERROR(__xludf.DUMMYFUNCTION("""COMPUTED_VALUE"""),"Bangladesh")</f>
        <v>Bangladesh</v>
      </c>
      <c r="D1202">
        <f>IFERROR(__xludf.DUMMYFUNCTION("""COMPUTED_VALUE"""),1965.0)</f>
        <v>1965</v>
      </c>
      <c r="E1202">
        <f>IFERROR(__xludf.DUMMYFUNCTION("""COMPUTED_VALUE"""),5.5834038E7)</f>
        <v>55834038</v>
      </c>
    </row>
    <row r="1203">
      <c r="A1203" t="str">
        <f t="shared" si="1"/>
        <v>bgd#1966</v>
      </c>
      <c r="B1203" t="str">
        <f>IFERROR(__xludf.DUMMYFUNCTION("""COMPUTED_VALUE"""),"bgd")</f>
        <v>bgd</v>
      </c>
      <c r="C1203" t="str">
        <f>IFERROR(__xludf.DUMMYFUNCTION("""COMPUTED_VALUE"""),"Bangladesh")</f>
        <v>Bangladesh</v>
      </c>
      <c r="D1203">
        <f>IFERROR(__xludf.DUMMYFUNCTION("""COMPUTED_VALUE"""),1966.0)</f>
        <v>1966</v>
      </c>
      <c r="E1203">
        <f>IFERROR(__xludf.DUMMYFUNCTION("""COMPUTED_VALUE"""),5.767299E7)</f>
        <v>57672990</v>
      </c>
    </row>
    <row r="1204">
      <c r="A1204" t="str">
        <f t="shared" si="1"/>
        <v>bgd#1967</v>
      </c>
      <c r="B1204" t="str">
        <f>IFERROR(__xludf.DUMMYFUNCTION("""COMPUTED_VALUE"""),"bgd")</f>
        <v>bgd</v>
      </c>
      <c r="C1204" t="str">
        <f>IFERROR(__xludf.DUMMYFUNCTION("""COMPUTED_VALUE"""),"Bangladesh")</f>
        <v>Bangladesh</v>
      </c>
      <c r="D1204">
        <f>IFERROR(__xludf.DUMMYFUNCTION("""COMPUTED_VALUE"""),1967.0)</f>
        <v>1967</v>
      </c>
      <c r="E1204">
        <f>IFERROR(__xludf.DUMMYFUNCTION("""COMPUTED_VALUE"""),5.9620669E7)</f>
        <v>59620669</v>
      </c>
    </row>
    <row r="1205">
      <c r="A1205" t="str">
        <f t="shared" si="1"/>
        <v>bgd#1968</v>
      </c>
      <c r="B1205" t="str">
        <f>IFERROR(__xludf.DUMMYFUNCTION("""COMPUTED_VALUE"""),"bgd")</f>
        <v>bgd</v>
      </c>
      <c r="C1205" t="str">
        <f>IFERROR(__xludf.DUMMYFUNCTION("""COMPUTED_VALUE"""),"Bangladesh")</f>
        <v>Bangladesh</v>
      </c>
      <c r="D1205">
        <f>IFERROR(__xludf.DUMMYFUNCTION("""COMPUTED_VALUE"""),1968.0)</f>
        <v>1968</v>
      </c>
      <c r="E1205">
        <f>IFERROR(__xludf.DUMMYFUNCTION("""COMPUTED_VALUE"""),6.1579473E7)</f>
        <v>61579473</v>
      </c>
    </row>
    <row r="1206">
      <c r="A1206" t="str">
        <f t="shared" si="1"/>
        <v>bgd#1969</v>
      </c>
      <c r="B1206" t="str">
        <f>IFERROR(__xludf.DUMMYFUNCTION("""COMPUTED_VALUE"""),"bgd")</f>
        <v>bgd</v>
      </c>
      <c r="C1206" t="str">
        <f>IFERROR(__xludf.DUMMYFUNCTION("""COMPUTED_VALUE"""),"Bangladesh")</f>
        <v>Bangladesh</v>
      </c>
      <c r="D1206">
        <f>IFERROR(__xludf.DUMMYFUNCTION("""COMPUTED_VALUE"""),1969.0)</f>
        <v>1969</v>
      </c>
      <c r="E1206">
        <f>IFERROR(__xludf.DUMMYFUNCTION("""COMPUTED_VALUE"""),6.3417394E7)</f>
        <v>63417394</v>
      </c>
    </row>
    <row r="1207">
      <c r="A1207" t="str">
        <f t="shared" si="1"/>
        <v>bgd#1970</v>
      </c>
      <c r="B1207" t="str">
        <f>IFERROR(__xludf.DUMMYFUNCTION("""COMPUTED_VALUE"""),"bgd")</f>
        <v>bgd</v>
      </c>
      <c r="C1207" t="str">
        <f>IFERROR(__xludf.DUMMYFUNCTION("""COMPUTED_VALUE"""),"Bangladesh")</f>
        <v>Bangladesh</v>
      </c>
      <c r="D1207">
        <f>IFERROR(__xludf.DUMMYFUNCTION("""COMPUTED_VALUE"""),1970.0)</f>
        <v>1970</v>
      </c>
      <c r="E1207">
        <f>IFERROR(__xludf.DUMMYFUNCTION("""COMPUTED_VALUE"""),6.504777E7)</f>
        <v>65047770</v>
      </c>
    </row>
    <row r="1208">
      <c r="A1208" t="str">
        <f t="shared" si="1"/>
        <v>bgd#1971</v>
      </c>
      <c r="B1208" t="str">
        <f>IFERROR(__xludf.DUMMYFUNCTION("""COMPUTED_VALUE"""),"bgd")</f>
        <v>bgd</v>
      </c>
      <c r="C1208" t="str">
        <f>IFERROR(__xludf.DUMMYFUNCTION("""COMPUTED_VALUE"""),"Bangladesh")</f>
        <v>Bangladesh</v>
      </c>
      <c r="D1208">
        <f>IFERROR(__xludf.DUMMYFUNCTION("""COMPUTED_VALUE"""),1971.0)</f>
        <v>1971</v>
      </c>
      <c r="E1208">
        <f>IFERROR(__xludf.DUMMYFUNCTION("""COMPUTED_VALUE"""),6.6424744E7)</f>
        <v>66424744</v>
      </c>
    </row>
    <row r="1209">
      <c r="A1209" t="str">
        <f t="shared" si="1"/>
        <v>bgd#1972</v>
      </c>
      <c r="B1209" t="str">
        <f>IFERROR(__xludf.DUMMYFUNCTION("""COMPUTED_VALUE"""),"bgd")</f>
        <v>bgd</v>
      </c>
      <c r="C1209" t="str">
        <f>IFERROR(__xludf.DUMMYFUNCTION("""COMPUTED_VALUE"""),"Bangladesh")</f>
        <v>Bangladesh</v>
      </c>
      <c r="D1209">
        <f>IFERROR(__xludf.DUMMYFUNCTION("""COMPUTED_VALUE"""),1972.0)</f>
        <v>1972</v>
      </c>
      <c r="E1209">
        <f>IFERROR(__xludf.DUMMYFUNCTION("""COMPUTED_VALUE"""),6.759747E7)</f>
        <v>67597470</v>
      </c>
    </row>
    <row r="1210">
      <c r="A1210" t="str">
        <f t="shared" si="1"/>
        <v>bgd#1973</v>
      </c>
      <c r="B1210" t="str">
        <f>IFERROR(__xludf.DUMMYFUNCTION("""COMPUTED_VALUE"""),"bgd")</f>
        <v>bgd</v>
      </c>
      <c r="C1210" t="str">
        <f>IFERROR(__xludf.DUMMYFUNCTION("""COMPUTED_VALUE"""),"Bangladesh")</f>
        <v>Bangladesh</v>
      </c>
      <c r="D1210">
        <f>IFERROR(__xludf.DUMMYFUNCTION("""COMPUTED_VALUE"""),1973.0)</f>
        <v>1973</v>
      </c>
      <c r="E1210">
        <f>IFERROR(__xludf.DUMMYFUNCTION("""COMPUTED_VALUE"""),6.8691185E7)</f>
        <v>68691185</v>
      </c>
    </row>
    <row r="1211">
      <c r="A1211" t="str">
        <f t="shared" si="1"/>
        <v>bgd#1974</v>
      </c>
      <c r="B1211" t="str">
        <f>IFERROR(__xludf.DUMMYFUNCTION("""COMPUTED_VALUE"""),"bgd")</f>
        <v>bgd</v>
      </c>
      <c r="C1211" t="str">
        <f>IFERROR(__xludf.DUMMYFUNCTION("""COMPUTED_VALUE"""),"Bangladesh")</f>
        <v>Bangladesh</v>
      </c>
      <c r="D1211">
        <f>IFERROR(__xludf.DUMMYFUNCTION("""COMPUTED_VALUE"""),1974.0)</f>
        <v>1974</v>
      </c>
      <c r="E1211">
        <f>IFERROR(__xludf.DUMMYFUNCTION("""COMPUTED_VALUE"""),6.988442E7)</f>
        <v>69884420</v>
      </c>
    </row>
    <row r="1212">
      <c r="A1212" t="str">
        <f t="shared" si="1"/>
        <v>bgd#1975</v>
      </c>
      <c r="B1212" t="str">
        <f>IFERROR(__xludf.DUMMYFUNCTION("""COMPUTED_VALUE"""),"bgd")</f>
        <v>bgd</v>
      </c>
      <c r="C1212" t="str">
        <f>IFERROR(__xludf.DUMMYFUNCTION("""COMPUTED_VALUE"""),"Bangladesh")</f>
        <v>Bangladesh</v>
      </c>
      <c r="D1212">
        <f>IFERROR(__xludf.DUMMYFUNCTION("""COMPUTED_VALUE"""),1975.0)</f>
        <v>1975</v>
      </c>
      <c r="E1212">
        <f>IFERROR(__xludf.DUMMYFUNCTION("""COMPUTED_VALUE"""),7.1305923E7)</f>
        <v>71305923</v>
      </c>
    </row>
    <row r="1213">
      <c r="A1213" t="str">
        <f t="shared" si="1"/>
        <v>bgd#1976</v>
      </c>
      <c r="B1213" t="str">
        <f>IFERROR(__xludf.DUMMYFUNCTION("""COMPUTED_VALUE"""),"bgd")</f>
        <v>bgd</v>
      </c>
      <c r="C1213" t="str">
        <f>IFERROR(__xludf.DUMMYFUNCTION("""COMPUTED_VALUE"""),"Bangladesh")</f>
        <v>Bangladesh</v>
      </c>
      <c r="D1213">
        <f>IFERROR(__xludf.DUMMYFUNCTION("""COMPUTED_VALUE"""),1976.0)</f>
        <v>1976</v>
      </c>
      <c r="E1213">
        <f>IFERROR(__xludf.DUMMYFUNCTION("""COMPUTED_VALUE"""),7.2999136E7)</f>
        <v>72999136</v>
      </c>
    </row>
    <row r="1214">
      <c r="A1214" t="str">
        <f t="shared" si="1"/>
        <v>bgd#1977</v>
      </c>
      <c r="B1214" t="str">
        <f>IFERROR(__xludf.DUMMYFUNCTION("""COMPUTED_VALUE"""),"bgd")</f>
        <v>bgd</v>
      </c>
      <c r="C1214" t="str">
        <f>IFERROR(__xludf.DUMMYFUNCTION("""COMPUTED_VALUE"""),"Bangladesh")</f>
        <v>Bangladesh</v>
      </c>
      <c r="D1214">
        <f>IFERROR(__xludf.DUMMYFUNCTION("""COMPUTED_VALUE"""),1977.0)</f>
        <v>1977</v>
      </c>
      <c r="E1214">
        <f>IFERROR(__xludf.DUMMYFUNCTION("""COMPUTED_VALUE"""),7.4925896E7)</f>
        <v>74925896</v>
      </c>
    </row>
    <row r="1215">
      <c r="A1215" t="str">
        <f t="shared" si="1"/>
        <v>bgd#1978</v>
      </c>
      <c r="B1215" t="str">
        <f>IFERROR(__xludf.DUMMYFUNCTION("""COMPUTED_VALUE"""),"bgd")</f>
        <v>bgd</v>
      </c>
      <c r="C1215" t="str">
        <f>IFERROR(__xludf.DUMMYFUNCTION("""COMPUTED_VALUE"""),"Bangladesh")</f>
        <v>Bangladesh</v>
      </c>
      <c r="D1215">
        <f>IFERROR(__xludf.DUMMYFUNCTION("""COMPUTED_VALUE"""),1978.0)</f>
        <v>1978</v>
      </c>
      <c r="E1215">
        <f>IFERROR(__xludf.DUMMYFUNCTION("""COMPUTED_VALUE"""),7.7033846E7)</f>
        <v>77033846</v>
      </c>
    </row>
    <row r="1216">
      <c r="A1216" t="str">
        <f t="shared" si="1"/>
        <v>bgd#1979</v>
      </c>
      <c r="B1216" t="str">
        <f>IFERROR(__xludf.DUMMYFUNCTION("""COMPUTED_VALUE"""),"bgd")</f>
        <v>bgd</v>
      </c>
      <c r="C1216" t="str">
        <f>IFERROR(__xludf.DUMMYFUNCTION("""COMPUTED_VALUE"""),"Bangladesh")</f>
        <v>Bangladesh</v>
      </c>
      <c r="D1216">
        <f>IFERROR(__xludf.DUMMYFUNCTION("""COMPUTED_VALUE"""),1979.0)</f>
        <v>1979</v>
      </c>
      <c r="E1216">
        <f>IFERROR(__xludf.DUMMYFUNCTION("""COMPUTED_VALUE"""),7.9236776E7)</f>
        <v>79236776</v>
      </c>
    </row>
    <row r="1217">
      <c r="A1217" t="str">
        <f t="shared" si="1"/>
        <v>bgd#1980</v>
      </c>
      <c r="B1217" t="str">
        <f>IFERROR(__xludf.DUMMYFUNCTION("""COMPUTED_VALUE"""),"bgd")</f>
        <v>bgd</v>
      </c>
      <c r="C1217" t="str">
        <f>IFERROR(__xludf.DUMMYFUNCTION("""COMPUTED_VALUE"""),"Bangladesh")</f>
        <v>Bangladesh</v>
      </c>
      <c r="D1217">
        <f>IFERROR(__xludf.DUMMYFUNCTION("""COMPUTED_VALUE"""),1980.0)</f>
        <v>1980</v>
      </c>
      <c r="E1217">
        <f>IFERROR(__xludf.DUMMYFUNCTION("""COMPUTED_VALUE"""),8.147086E7)</f>
        <v>81470860</v>
      </c>
    </row>
    <row r="1218">
      <c r="A1218" t="str">
        <f t="shared" si="1"/>
        <v>bgd#1981</v>
      </c>
      <c r="B1218" t="str">
        <f>IFERROR(__xludf.DUMMYFUNCTION("""COMPUTED_VALUE"""),"bgd")</f>
        <v>bgd</v>
      </c>
      <c r="C1218" t="str">
        <f>IFERROR(__xludf.DUMMYFUNCTION("""COMPUTED_VALUE"""),"Bangladesh")</f>
        <v>Bangladesh</v>
      </c>
      <c r="D1218">
        <f>IFERROR(__xludf.DUMMYFUNCTION("""COMPUTED_VALUE"""),1981.0)</f>
        <v>1981</v>
      </c>
      <c r="E1218">
        <f>IFERROR(__xludf.DUMMYFUNCTION("""COMPUTED_VALUE"""),8.3721268E7)</f>
        <v>83721268</v>
      </c>
    </row>
    <row r="1219">
      <c r="A1219" t="str">
        <f t="shared" si="1"/>
        <v>bgd#1982</v>
      </c>
      <c r="B1219" t="str">
        <f>IFERROR(__xludf.DUMMYFUNCTION("""COMPUTED_VALUE"""),"bgd")</f>
        <v>bgd</v>
      </c>
      <c r="C1219" t="str">
        <f>IFERROR(__xludf.DUMMYFUNCTION("""COMPUTED_VALUE"""),"Bangladesh")</f>
        <v>Bangladesh</v>
      </c>
      <c r="D1219">
        <f>IFERROR(__xludf.DUMMYFUNCTION("""COMPUTED_VALUE"""),1982.0)</f>
        <v>1982</v>
      </c>
      <c r="E1219">
        <f>IFERROR(__xludf.DUMMYFUNCTION("""COMPUTED_VALUE"""),8.6007331E7)</f>
        <v>86007331</v>
      </c>
    </row>
    <row r="1220">
      <c r="A1220" t="str">
        <f t="shared" si="1"/>
        <v>bgd#1983</v>
      </c>
      <c r="B1220" t="str">
        <f>IFERROR(__xludf.DUMMYFUNCTION("""COMPUTED_VALUE"""),"bgd")</f>
        <v>bgd</v>
      </c>
      <c r="C1220" t="str">
        <f>IFERROR(__xludf.DUMMYFUNCTION("""COMPUTED_VALUE"""),"Bangladesh")</f>
        <v>Bangladesh</v>
      </c>
      <c r="D1220">
        <f>IFERROR(__xludf.DUMMYFUNCTION("""COMPUTED_VALUE"""),1983.0)</f>
        <v>1983</v>
      </c>
      <c r="E1220">
        <f>IFERROR(__xludf.DUMMYFUNCTION("""COMPUTED_VALUE"""),8.8338242E7)</f>
        <v>88338242</v>
      </c>
    </row>
    <row r="1221">
      <c r="A1221" t="str">
        <f t="shared" si="1"/>
        <v>bgd#1984</v>
      </c>
      <c r="B1221" t="str">
        <f>IFERROR(__xludf.DUMMYFUNCTION("""COMPUTED_VALUE"""),"bgd")</f>
        <v>bgd</v>
      </c>
      <c r="C1221" t="str">
        <f>IFERROR(__xludf.DUMMYFUNCTION("""COMPUTED_VALUE"""),"Bangladesh")</f>
        <v>Bangladesh</v>
      </c>
      <c r="D1221">
        <f>IFERROR(__xludf.DUMMYFUNCTION("""COMPUTED_VALUE"""),1984.0)</f>
        <v>1984</v>
      </c>
      <c r="E1221">
        <f>IFERROR(__xludf.DUMMYFUNCTION("""COMPUTED_VALUE"""),9.0732362E7)</f>
        <v>90732362</v>
      </c>
    </row>
    <row r="1222">
      <c r="A1222" t="str">
        <f t="shared" si="1"/>
        <v>bgd#1985</v>
      </c>
      <c r="B1222" t="str">
        <f>IFERROR(__xludf.DUMMYFUNCTION("""COMPUTED_VALUE"""),"bgd")</f>
        <v>bgd</v>
      </c>
      <c r="C1222" t="str">
        <f>IFERROR(__xludf.DUMMYFUNCTION("""COMPUTED_VALUE"""),"Bangladesh")</f>
        <v>Bangladesh</v>
      </c>
      <c r="D1222">
        <f>IFERROR(__xludf.DUMMYFUNCTION("""COMPUTED_VALUE"""),1985.0)</f>
        <v>1985</v>
      </c>
      <c r="E1222">
        <f>IFERROR(__xludf.DUMMYFUNCTION("""COMPUTED_VALUE"""),9.3199865E7)</f>
        <v>93199865</v>
      </c>
    </row>
    <row r="1223">
      <c r="A1223" t="str">
        <f t="shared" si="1"/>
        <v>bgd#1986</v>
      </c>
      <c r="B1223" t="str">
        <f>IFERROR(__xludf.DUMMYFUNCTION("""COMPUTED_VALUE"""),"bgd")</f>
        <v>bgd</v>
      </c>
      <c r="C1223" t="str">
        <f>IFERROR(__xludf.DUMMYFUNCTION("""COMPUTED_VALUE"""),"Bangladesh")</f>
        <v>Bangladesh</v>
      </c>
      <c r="D1223">
        <f>IFERROR(__xludf.DUMMYFUNCTION("""COMPUTED_VALUE"""),1986.0)</f>
        <v>1986</v>
      </c>
      <c r="E1223">
        <f>IFERROR(__xludf.DUMMYFUNCTION("""COMPUTED_VALUE"""),9.5742431E7)</f>
        <v>95742431</v>
      </c>
    </row>
    <row r="1224">
      <c r="A1224" t="str">
        <f t="shared" si="1"/>
        <v>bgd#1987</v>
      </c>
      <c r="B1224" t="str">
        <f>IFERROR(__xludf.DUMMYFUNCTION("""COMPUTED_VALUE"""),"bgd")</f>
        <v>bgd</v>
      </c>
      <c r="C1224" t="str">
        <f>IFERROR(__xludf.DUMMYFUNCTION("""COMPUTED_VALUE"""),"Bangladesh")</f>
        <v>Bangladesh</v>
      </c>
      <c r="D1224">
        <f>IFERROR(__xludf.DUMMYFUNCTION("""COMPUTED_VALUE"""),1987.0)</f>
        <v>1987</v>
      </c>
      <c r="E1224">
        <f>IFERROR(__xludf.DUMMYFUNCTION("""COMPUTED_VALUE"""),9.8343809E7)</f>
        <v>98343809</v>
      </c>
    </row>
    <row r="1225">
      <c r="A1225" t="str">
        <f t="shared" si="1"/>
        <v>bgd#1988</v>
      </c>
      <c r="B1225" t="str">
        <f>IFERROR(__xludf.DUMMYFUNCTION("""COMPUTED_VALUE"""),"bgd")</f>
        <v>bgd</v>
      </c>
      <c r="C1225" t="str">
        <f>IFERROR(__xludf.DUMMYFUNCTION("""COMPUTED_VALUE"""),"Bangladesh")</f>
        <v>Bangladesh</v>
      </c>
      <c r="D1225">
        <f>IFERROR(__xludf.DUMMYFUNCTION("""COMPUTED_VALUE"""),1988.0)</f>
        <v>1988</v>
      </c>
      <c r="E1225">
        <f>IFERROR(__xludf.DUMMYFUNCTION("""COMPUTED_VALUE"""),1.00975321E8)</f>
        <v>100975321</v>
      </c>
    </row>
    <row r="1226">
      <c r="A1226" t="str">
        <f t="shared" si="1"/>
        <v>bgd#1989</v>
      </c>
      <c r="B1226" t="str">
        <f>IFERROR(__xludf.DUMMYFUNCTION("""COMPUTED_VALUE"""),"bgd")</f>
        <v>bgd</v>
      </c>
      <c r="C1226" t="str">
        <f>IFERROR(__xludf.DUMMYFUNCTION("""COMPUTED_VALUE"""),"Bangladesh")</f>
        <v>Bangladesh</v>
      </c>
      <c r="D1226">
        <f>IFERROR(__xludf.DUMMYFUNCTION("""COMPUTED_VALUE"""),1989.0)</f>
        <v>1989</v>
      </c>
      <c r="E1226">
        <f>IFERROR(__xludf.DUMMYFUNCTION("""COMPUTED_VALUE"""),1.03599232E8)</f>
        <v>103599232</v>
      </c>
    </row>
    <row r="1227">
      <c r="A1227" t="str">
        <f t="shared" si="1"/>
        <v>bgd#1990</v>
      </c>
      <c r="B1227" t="str">
        <f>IFERROR(__xludf.DUMMYFUNCTION("""COMPUTED_VALUE"""),"bgd")</f>
        <v>bgd</v>
      </c>
      <c r="C1227" t="str">
        <f>IFERROR(__xludf.DUMMYFUNCTION("""COMPUTED_VALUE"""),"Bangladesh")</f>
        <v>Bangladesh</v>
      </c>
      <c r="D1227">
        <f>IFERROR(__xludf.DUMMYFUNCTION("""COMPUTED_VALUE"""),1990.0)</f>
        <v>1990</v>
      </c>
      <c r="E1227">
        <f>IFERROR(__xludf.DUMMYFUNCTION("""COMPUTED_VALUE"""),1.06188642E8)</f>
        <v>106188642</v>
      </c>
    </row>
    <row r="1228">
      <c r="A1228" t="str">
        <f t="shared" si="1"/>
        <v>bgd#1991</v>
      </c>
      <c r="B1228" t="str">
        <f>IFERROR(__xludf.DUMMYFUNCTION("""COMPUTED_VALUE"""),"bgd")</f>
        <v>bgd</v>
      </c>
      <c r="C1228" t="str">
        <f>IFERROR(__xludf.DUMMYFUNCTION("""COMPUTED_VALUE"""),"Bangladesh")</f>
        <v>Bangladesh</v>
      </c>
      <c r="D1228">
        <f>IFERROR(__xludf.DUMMYFUNCTION("""COMPUTED_VALUE"""),1991.0)</f>
        <v>1991</v>
      </c>
      <c r="E1228">
        <f>IFERROR(__xludf.DUMMYFUNCTION("""COMPUTED_VALUE"""),1.08727432E8)</f>
        <v>108727432</v>
      </c>
    </row>
    <row r="1229">
      <c r="A1229" t="str">
        <f t="shared" si="1"/>
        <v>bgd#1992</v>
      </c>
      <c r="B1229" t="str">
        <f>IFERROR(__xludf.DUMMYFUNCTION("""COMPUTED_VALUE"""),"bgd")</f>
        <v>bgd</v>
      </c>
      <c r="C1229" t="str">
        <f>IFERROR(__xludf.DUMMYFUNCTION("""COMPUTED_VALUE"""),"Bangladesh")</f>
        <v>Bangladesh</v>
      </c>
      <c r="D1229">
        <f>IFERROR(__xludf.DUMMYFUNCTION("""COMPUTED_VALUE"""),1992.0)</f>
        <v>1992</v>
      </c>
      <c r="E1229">
        <f>IFERROR(__xludf.DUMMYFUNCTION("""COMPUTED_VALUE"""),1.11221938E8)</f>
        <v>111221938</v>
      </c>
    </row>
    <row r="1230">
      <c r="A1230" t="str">
        <f t="shared" si="1"/>
        <v>bgd#1993</v>
      </c>
      <c r="B1230" t="str">
        <f>IFERROR(__xludf.DUMMYFUNCTION("""COMPUTED_VALUE"""),"bgd")</f>
        <v>bgd</v>
      </c>
      <c r="C1230" t="str">
        <f>IFERROR(__xludf.DUMMYFUNCTION("""COMPUTED_VALUE"""),"Bangladesh")</f>
        <v>Bangladesh</v>
      </c>
      <c r="D1230">
        <f>IFERROR(__xludf.DUMMYFUNCTION("""COMPUTED_VALUE"""),1993.0)</f>
        <v>1993</v>
      </c>
      <c r="E1230">
        <f>IFERROR(__xludf.DUMMYFUNCTION("""COMPUTED_VALUE"""),1.13695139E8)</f>
        <v>113695139</v>
      </c>
    </row>
    <row r="1231">
      <c r="A1231" t="str">
        <f t="shared" si="1"/>
        <v>bgd#1994</v>
      </c>
      <c r="B1231" t="str">
        <f>IFERROR(__xludf.DUMMYFUNCTION("""COMPUTED_VALUE"""),"bgd")</f>
        <v>bgd</v>
      </c>
      <c r="C1231" t="str">
        <f>IFERROR(__xludf.DUMMYFUNCTION("""COMPUTED_VALUE"""),"Bangladesh")</f>
        <v>Bangladesh</v>
      </c>
      <c r="D1231">
        <f>IFERROR(__xludf.DUMMYFUNCTION("""COMPUTED_VALUE"""),1994.0)</f>
        <v>1994</v>
      </c>
      <c r="E1231">
        <f>IFERROR(__xludf.DUMMYFUNCTION("""COMPUTED_VALUE"""),1.16182267E8)</f>
        <v>116182267</v>
      </c>
    </row>
    <row r="1232">
      <c r="A1232" t="str">
        <f t="shared" si="1"/>
        <v>bgd#1995</v>
      </c>
      <c r="B1232" t="str">
        <f>IFERROR(__xludf.DUMMYFUNCTION("""COMPUTED_VALUE"""),"bgd")</f>
        <v>bgd</v>
      </c>
      <c r="C1232" t="str">
        <f>IFERROR(__xludf.DUMMYFUNCTION("""COMPUTED_VALUE"""),"Bangladesh")</f>
        <v>Bangladesh</v>
      </c>
      <c r="D1232">
        <f>IFERROR(__xludf.DUMMYFUNCTION("""COMPUTED_VALUE"""),1995.0)</f>
        <v>1995</v>
      </c>
      <c r="E1232">
        <f>IFERROR(__xludf.DUMMYFUNCTION("""COMPUTED_VALUE"""),1.18706871E8)</f>
        <v>118706871</v>
      </c>
    </row>
    <row r="1233">
      <c r="A1233" t="str">
        <f t="shared" si="1"/>
        <v>bgd#1996</v>
      </c>
      <c r="B1233" t="str">
        <f>IFERROR(__xludf.DUMMYFUNCTION("""COMPUTED_VALUE"""),"bgd")</f>
        <v>bgd</v>
      </c>
      <c r="C1233" t="str">
        <f>IFERROR(__xludf.DUMMYFUNCTION("""COMPUTED_VALUE"""),"Bangladesh")</f>
        <v>Bangladesh</v>
      </c>
      <c r="D1233">
        <f>IFERROR(__xludf.DUMMYFUNCTION("""COMPUTED_VALUE"""),1996.0)</f>
        <v>1996</v>
      </c>
      <c r="E1233">
        <f>IFERROR(__xludf.DUMMYFUNCTION("""COMPUTED_VALUE"""),1.21269645E8)</f>
        <v>121269645</v>
      </c>
    </row>
    <row r="1234">
      <c r="A1234" t="str">
        <f t="shared" si="1"/>
        <v>bgd#1997</v>
      </c>
      <c r="B1234" t="str">
        <f>IFERROR(__xludf.DUMMYFUNCTION("""COMPUTED_VALUE"""),"bgd")</f>
        <v>bgd</v>
      </c>
      <c r="C1234" t="str">
        <f>IFERROR(__xludf.DUMMYFUNCTION("""COMPUTED_VALUE"""),"Bangladesh")</f>
        <v>Bangladesh</v>
      </c>
      <c r="D1234">
        <f>IFERROR(__xludf.DUMMYFUNCTION("""COMPUTED_VALUE"""),1997.0)</f>
        <v>1997</v>
      </c>
      <c r="E1234">
        <f>IFERROR(__xludf.DUMMYFUNCTION("""COMPUTED_VALUE"""),1.2385464E8)</f>
        <v>123854640</v>
      </c>
    </row>
    <row r="1235">
      <c r="A1235" t="str">
        <f t="shared" si="1"/>
        <v>bgd#1998</v>
      </c>
      <c r="B1235" t="str">
        <f>IFERROR(__xludf.DUMMYFUNCTION("""COMPUTED_VALUE"""),"bgd")</f>
        <v>bgd</v>
      </c>
      <c r="C1235" t="str">
        <f>IFERROR(__xludf.DUMMYFUNCTION("""COMPUTED_VALUE"""),"Bangladesh")</f>
        <v>Bangladesh</v>
      </c>
      <c r="D1235">
        <f>IFERROR(__xludf.DUMMYFUNCTION("""COMPUTED_VALUE"""),1998.0)</f>
        <v>1998</v>
      </c>
      <c r="E1235">
        <f>IFERROR(__xludf.DUMMYFUNCTION("""COMPUTED_VALUE"""),1.26447965E8)</f>
        <v>126447965</v>
      </c>
    </row>
    <row r="1236">
      <c r="A1236" t="str">
        <f t="shared" si="1"/>
        <v>bgd#1999</v>
      </c>
      <c r="B1236" t="str">
        <f>IFERROR(__xludf.DUMMYFUNCTION("""COMPUTED_VALUE"""),"bgd")</f>
        <v>bgd</v>
      </c>
      <c r="C1236" t="str">
        <f>IFERROR(__xludf.DUMMYFUNCTION("""COMPUTED_VALUE"""),"Bangladesh")</f>
        <v>Bangladesh</v>
      </c>
      <c r="D1236">
        <f>IFERROR(__xludf.DUMMYFUNCTION("""COMPUTED_VALUE"""),1999.0)</f>
        <v>1999</v>
      </c>
      <c r="E1236">
        <f>IFERROR(__xludf.DUMMYFUNCTION("""COMPUTED_VALUE"""),1.29029691E8)</f>
        <v>129029691</v>
      </c>
    </row>
    <row r="1237">
      <c r="A1237" t="str">
        <f t="shared" si="1"/>
        <v>bgd#2000</v>
      </c>
      <c r="B1237" t="str">
        <f>IFERROR(__xludf.DUMMYFUNCTION("""COMPUTED_VALUE"""),"bgd")</f>
        <v>bgd</v>
      </c>
      <c r="C1237" t="str">
        <f>IFERROR(__xludf.DUMMYFUNCTION("""COMPUTED_VALUE"""),"Bangladesh")</f>
        <v>Bangladesh</v>
      </c>
      <c r="D1237">
        <f>IFERROR(__xludf.DUMMYFUNCTION("""COMPUTED_VALUE"""),2000.0)</f>
        <v>2000</v>
      </c>
      <c r="E1237">
        <f>IFERROR(__xludf.DUMMYFUNCTION("""COMPUTED_VALUE"""),1.31581243E8)</f>
        <v>131581243</v>
      </c>
    </row>
    <row r="1238">
      <c r="A1238" t="str">
        <f t="shared" si="1"/>
        <v>bgd#2001</v>
      </c>
      <c r="B1238" t="str">
        <f>IFERROR(__xludf.DUMMYFUNCTION("""COMPUTED_VALUE"""),"bgd")</f>
        <v>bgd</v>
      </c>
      <c r="C1238" t="str">
        <f>IFERROR(__xludf.DUMMYFUNCTION("""COMPUTED_VALUE"""),"Bangladesh")</f>
        <v>Bangladesh</v>
      </c>
      <c r="D1238">
        <f>IFERROR(__xludf.DUMMYFUNCTION("""COMPUTED_VALUE"""),2001.0)</f>
        <v>2001</v>
      </c>
      <c r="E1238">
        <f>IFERROR(__xludf.DUMMYFUNCTION("""COMPUTED_VALUE"""),1.3410716E8)</f>
        <v>134107160</v>
      </c>
    </row>
    <row r="1239">
      <c r="A1239" t="str">
        <f t="shared" si="1"/>
        <v>bgd#2002</v>
      </c>
      <c r="B1239" t="str">
        <f>IFERROR(__xludf.DUMMYFUNCTION("""COMPUTED_VALUE"""),"bgd")</f>
        <v>bgd</v>
      </c>
      <c r="C1239" t="str">
        <f>IFERROR(__xludf.DUMMYFUNCTION("""COMPUTED_VALUE"""),"Bangladesh")</f>
        <v>Bangladesh</v>
      </c>
      <c r="D1239">
        <f>IFERROR(__xludf.DUMMYFUNCTION("""COMPUTED_VALUE"""),2002.0)</f>
        <v>2002</v>
      </c>
      <c r="E1239">
        <f>IFERROR(__xludf.DUMMYFUNCTION("""COMPUTED_VALUE"""),1.36600667E8)</f>
        <v>136600667</v>
      </c>
    </row>
    <row r="1240">
      <c r="A1240" t="str">
        <f t="shared" si="1"/>
        <v>bgd#2003</v>
      </c>
      <c r="B1240" t="str">
        <f>IFERROR(__xludf.DUMMYFUNCTION("""COMPUTED_VALUE"""),"bgd")</f>
        <v>bgd</v>
      </c>
      <c r="C1240" t="str">
        <f>IFERROR(__xludf.DUMMYFUNCTION("""COMPUTED_VALUE"""),"Bangladesh")</f>
        <v>Bangladesh</v>
      </c>
      <c r="D1240">
        <f>IFERROR(__xludf.DUMMYFUNCTION("""COMPUTED_VALUE"""),2003.0)</f>
        <v>2003</v>
      </c>
      <c r="E1240">
        <f>IFERROR(__xludf.DUMMYFUNCTION("""COMPUTED_VALUE"""),1.39019001E8)</f>
        <v>139019001</v>
      </c>
    </row>
    <row r="1241">
      <c r="A1241" t="str">
        <f t="shared" si="1"/>
        <v>bgd#2004</v>
      </c>
      <c r="B1241" t="str">
        <f>IFERROR(__xludf.DUMMYFUNCTION("""COMPUTED_VALUE"""),"bgd")</f>
        <v>bgd</v>
      </c>
      <c r="C1241" t="str">
        <f>IFERROR(__xludf.DUMMYFUNCTION("""COMPUTED_VALUE"""),"Bangladesh")</f>
        <v>Bangladesh</v>
      </c>
      <c r="D1241">
        <f>IFERROR(__xludf.DUMMYFUNCTION("""COMPUTED_VALUE"""),2004.0)</f>
        <v>2004</v>
      </c>
      <c r="E1241">
        <f>IFERROR(__xludf.DUMMYFUNCTION("""COMPUTED_VALUE"""),1.41307489E8)</f>
        <v>141307489</v>
      </c>
    </row>
    <row r="1242">
      <c r="A1242" t="str">
        <f t="shared" si="1"/>
        <v>bgd#2005</v>
      </c>
      <c r="B1242" t="str">
        <f>IFERROR(__xludf.DUMMYFUNCTION("""COMPUTED_VALUE"""),"bgd")</f>
        <v>bgd</v>
      </c>
      <c r="C1242" t="str">
        <f>IFERROR(__xludf.DUMMYFUNCTION("""COMPUTED_VALUE"""),"Bangladesh")</f>
        <v>Bangladesh</v>
      </c>
      <c r="D1242">
        <f>IFERROR(__xludf.DUMMYFUNCTION("""COMPUTED_VALUE"""),2005.0)</f>
        <v>2005</v>
      </c>
      <c r="E1242">
        <f>IFERROR(__xludf.DUMMYFUNCTION("""COMPUTED_VALUE"""),1.43431101E8)</f>
        <v>143431101</v>
      </c>
    </row>
    <row r="1243">
      <c r="A1243" t="str">
        <f t="shared" si="1"/>
        <v>bgd#2006</v>
      </c>
      <c r="B1243" t="str">
        <f>IFERROR(__xludf.DUMMYFUNCTION("""COMPUTED_VALUE"""),"bgd")</f>
        <v>bgd</v>
      </c>
      <c r="C1243" t="str">
        <f>IFERROR(__xludf.DUMMYFUNCTION("""COMPUTED_VALUE"""),"Bangladesh")</f>
        <v>Bangladesh</v>
      </c>
      <c r="D1243">
        <f>IFERROR(__xludf.DUMMYFUNCTION("""COMPUTED_VALUE"""),2006.0)</f>
        <v>2006</v>
      </c>
      <c r="E1243">
        <f>IFERROR(__xludf.DUMMYFUNCTION("""COMPUTED_VALUE"""),1.45368004E8)</f>
        <v>145368004</v>
      </c>
    </row>
    <row r="1244">
      <c r="A1244" t="str">
        <f t="shared" si="1"/>
        <v>bgd#2007</v>
      </c>
      <c r="B1244" t="str">
        <f>IFERROR(__xludf.DUMMYFUNCTION("""COMPUTED_VALUE"""),"bgd")</f>
        <v>bgd</v>
      </c>
      <c r="C1244" t="str">
        <f>IFERROR(__xludf.DUMMYFUNCTION("""COMPUTED_VALUE"""),"Bangladesh")</f>
        <v>Bangladesh</v>
      </c>
      <c r="D1244">
        <f>IFERROR(__xludf.DUMMYFUNCTION("""COMPUTED_VALUE"""),2007.0)</f>
        <v>2007</v>
      </c>
      <c r="E1244">
        <f>IFERROR(__xludf.DUMMYFUNCTION("""COMPUTED_VALUE"""),1.47139191E8)</f>
        <v>147139191</v>
      </c>
    </row>
    <row r="1245">
      <c r="A1245" t="str">
        <f t="shared" si="1"/>
        <v>bgd#2008</v>
      </c>
      <c r="B1245" t="str">
        <f>IFERROR(__xludf.DUMMYFUNCTION("""COMPUTED_VALUE"""),"bgd")</f>
        <v>bgd</v>
      </c>
      <c r="C1245" t="str">
        <f>IFERROR(__xludf.DUMMYFUNCTION("""COMPUTED_VALUE"""),"Bangladesh")</f>
        <v>Bangladesh</v>
      </c>
      <c r="D1245">
        <f>IFERROR(__xludf.DUMMYFUNCTION("""COMPUTED_VALUE"""),2008.0)</f>
        <v>2008</v>
      </c>
      <c r="E1245">
        <f>IFERROR(__xludf.DUMMYFUNCTION("""COMPUTED_VALUE"""),1.48805814E8)</f>
        <v>148805814</v>
      </c>
    </row>
    <row r="1246">
      <c r="A1246" t="str">
        <f t="shared" si="1"/>
        <v>bgd#2009</v>
      </c>
      <c r="B1246" t="str">
        <f>IFERROR(__xludf.DUMMYFUNCTION("""COMPUTED_VALUE"""),"bgd")</f>
        <v>bgd</v>
      </c>
      <c r="C1246" t="str">
        <f>IFERROR(__xludf.DUMMYFUNCTION("""COMPUTED_VALUE"""),"Bangladesh")</f>
        <v>Bangladesh</v>
      </c>
      <c r="D1246">
        <f>IFERROR(__xludf.DUMMYFUNCTION("""COMPUTED_VALUE"""),2009.0)</f>
        <v>2009</v>
      </c>
      <c r="E1246">
        <f>IFERROR(__xludf.DUMMYFUNCTION("""COMPUTED_VALUE"""),1.50454708E8)</f>
        <v>150454708</v>
      </c>
    </row>
    <row r="1247">
      <c r="A1247" t="str">
        <f t="shared" si="1"/>
        <v>bgd#2010</v>
      </c>
      <c r="B1247" t="str">
        <f>IFERROR(__xludf.DUMMYFUNCTION("""COMPUTED_VALUE"""),"bgd")</f>
        <v>bgd</v>
      </c>
      <c r="C1247" t="str">
        <f>IFERROR(__xludf.DUMMYFUNCTION("""COMPUTED_VALUE"""),"Bangladesh")</f>
        <v>Bangladesh</v>
      </c>
      <c r="D1247">
        <f>IFERROR(__xludf.DUMMYFUNCTION("""COMPUTED_VALUE"""),2010.0)</f>
        <v>2010</v>
      </c>
      <c r="E1247">
        <f>IFERROR(__xludf.DUMMYFUNCTION("""COMPUTED_VALUE"""),1.52149102E8)</f>
        <v>152149102</v>
      </c>
    </row>
    <row r="1248">
      <c r="A1248" t="str">
        <f t="shared" si="1"/>
        <v>bgd#2011</v>
      </c>
      <c r="B1248" t="str">
        <f>IFERROR(__xludf.DUMMYFUNCTION("""COMPUTED_VALUE"""),"bgd")</f>
        <v>bgd</v>
      </c>
      <c r="C1248" t="str">
        <f>IFERROR(__xludf.DUMMYFUNCTION("""COMPUTED_VALUE"""),"Bangladesh")</f>
        <v>Bangladesh</v>
      </c>
      <c r="D1248">
        <f>IFERROR(__xludf.DUMMYFUNCTION("""COMPUTED_VALUE"""),2011.0)</f>
        <v>2011</v>
      </c>
      <c r="E1248">
        <f>IFERROR(__xludf.DUMMYFUNCTION("""COMPUTED_VALUE"""),1.53911916E8)</f>
        <v>153911916</v>
      </c>
    </row>
    <row r="1249">
      <c r="A1249" t="str">
        <f t="shared" si="1"/>
        <v>bgd#2012</v>
      </c>
      <c r="B1249" t="str">
        <f>IFERROR(__xludf.DUMMYFUNCTION("""COMPUTED_VALUE"""),"bgd")</f>
        <v>bgd</v>
      </c>
      <c r="C1249" t="str">
        <f>IFERROR(__xludf.DUMMYFUNCTION("""COMPUTED_VALUE"""),"Bangladesh")</f>
        <v>Bangladesh</v>
      </c>
      <c r="D1249">
        <f>IFERROR(__xludf.DUMMYFUNCTION("""COMPUTED_VALUE"""),2012.0)</f>
        <v>2012</v>
      </c>
      <c r="E1249">
        <f>IFERROR(__xludf.DUMMYFUNCTION("""COMPUTED_VALUE"""),1.55727053E8)</f>
        <v>155727053</v>
      </c>
    </row>
    <row r="1250">
      <c r="A1250" t="str">
        <f t="shared" si="1"/>
        <v>bgd#2013</v>
      </c>
      <c r="B1250" t="str">
        <f>IFERROR(__xludf.DUMMYFUNCTION("""COMPUTED_VALUE"""),"bgd")</f>
        <v>bgd</v>
      </c>
      <c r="C1250" t="str">
        <f>IFERROR(__xludf.DUMMYFUNCTION("""COMPUTED_VALUE"""),"Bangladesh")</f>
        <v>Bangladesh</v>
      </c>
      <c r="D1250">
        <f>IFERROR(__xludf.DUMMYFUNCTION("""COMPUTED_VALUE"""),2013.0)</f>
        <v>2013</v>
      </c>
      <c r="E1250">
        <f>IFERROR(__xludf.DUMMYFUNCTION("""COMPUTED_VALUE"""),1.57571292E8)</f>
        <v>157571292</v>
      </c>
    </row>
    <row r="1251">
      <c r="A1251" t="str">
        <f t="shared" si="1"/>
        <v>bgd#2014</v>
      </c>
      <c r="B1251" t="str">
        <f>IFERROR(__xludf.DUMMYFUNCTION("""COMPUTED_VALUE"""),"bgd")</f>
        <v>bgd</v>
      </c>
      <c r="C1251" t="str">
        <f>IFERROR(__xludf.DUMMYFUNCTION("""COMPUTED_VALUE"""),"Bangladesh")</f>
        <v>Bangladesh</v>
      </c>
      <c r="D1251">
        <f>IFERROR(__xludf.DUMMYFUNCTION("""COMPUTED_VALUE"""),2014.0)</f>
        <v>2014</v>
      </c>
      <c r="E1251">
        <f>IFERROR(__xludf.DUMMYFUNCTION("""COMPUTED_VALUE"""),1.59405279E8)</f>
        <v>159405279</v>
      </c>
    </row>
    <row r="1252">
      <c r="A1252" t="str">
        <f t="shared" si="1"/>
        <v>bgd#2015</v>
      </c>
      <c r="B1252" t="str">
        <f>IFERROR(__xludf.DUMMYFUNCTION("""COMPUTED_VALUE"""),"bgd")</f>
        <v>bgd</v>
      </c>
      <c r="C1252" t="str">
        <f>IFERROR(__xludf.DUMMYFUNCTION("""COMPUTED_VALUE"""),"Bangladesh")</f>
        <v>Bangladesh</v>
      </c>
      <c r="D1252">
        <f>IFERROR(__xludf.DUMMYFUNCTION("""COMPUTED_VALUE"""),2015.0)</f>
        <v>2015</v>
      </c>
      <c r="E1252">
        <f>IFERROR(__xludf.DUMMYFUNCTION("""COMPUTED_VALUE"""),1.61200886E8)</f>
        <v>161200886</v>
      </c>
    </row>
    <row r="1253">
      <c r="A1253" t="str">
        <f t="shared" si="1"/>
        <v>bgd#2016</v>
      </c>
      <c r="B1253" t="str">
        <f>IFERROR(__xludf.DUMMYFUNCTION("""COMPUTED_VALUE"""),"bgd")</f>
        <v>bgd</v>
      </c>
      <c r="C1253" t="str">
        <f>IFERROR(__xludf.DUMMYFUNCTION("""COMPUTED_VALUE"""),"Bangladesh")</f>
        <v>Bangladesh</v>
      </c>
      <c r="D1253">
        <f>IFERROR(__xludf.DUMMYFUNCTION("""COMPUTED_VALUE"""),2016.0)</f>
        <v>2016</v>
      </c>
      <c r="E1253">
        <f>IFERROR(__xludf.DUMMYFUNCTION("""COMPUTED_VALUE"""),1.6295156E8)</f>
        <v>162951560</v>
      </c>
    </row>
    <row r="1254">
      <c r="A1254" t="str">
        <f t="shared" si="1"/>
        <v>bgd#2017</v>
      </c>
      <c r="B1254" t="str">
        <f>IFERROR(__xludf.DUMMYFUNCTION("""COMPUTED_VALUE"""),"bgd")</f>
        <v>bgd</v>
      </c>
      <c r="C1254" t="str">
        <f>IFERROR(__xludf.DUMMYFUNCTION("""COMPUTED_VALUE"""),"Bangladesh")</f>
        <v>Bangladesh</v>
      </c>
      <c r="D1254">
        <f>IFERROR(__xludf.DUMMYFUNCTION("""COMPUTED_VALUE"""),2017.0)</f>
        <v>2017</v>
      </c>
      <c r="E1254">
        <f>IFERROR(__xludf.DUMMYFUNCTION("""COMPUTED_VALUE"""),1.64669751E8)</f>
        <v>164669751</v>
      </c>
    </row>
    <row r="1255">
      <c r="A1255" t="str">
        <f t="shared" si="1"/>
        <v>bgd#2018</v>
      </c>
      <c r="B1255" t="str">
        <f>IFERROR(__xludf.DUMMYFUNCTION("""COMPUTED_VALUE"""),"bgd")</f>
        <v>bgd</v>
      </c>
      <c r="C1255" t="str">
        <f>IFERROR(__xludf.DUMMYFUNCTION("""COMPUTED_VALUE"""),"Bangladesh")</f>
        <v>Bangladesh</v>
      </c>
      <c r="D1255">
        <f>IFERROR(__xludf.DUMMYFUNCTION("""COMPUTED_VALUE"""),2018.0)</f>
        <v>2018</v>
      </c>
      <c r="E1255">
        <f>IFERROR(__xludf.DUMMYFUNCTION("""COMPUTED_VALUE"""),1.66368149E8)</f>
        <v>166368149</v>
      </c>
    </row>
    <row r="1256">
      <c r="A1256" t="str">
        <f t="shared" si="1"/>
        <v>bgd#2019</v>
      </c>
      <c r="B1256" t="str">
        <f>IFERROR(__xludf.DUMMYFUNCTION("""COMPUTED_VALUE"""),"bgd")</f>
        <v>bgd</v>
      </c>
      <c r="C1256" t="str">
        <f>IFERROR(__xludf.DUMMYFUNCTION("""COMPUTED_VALUE"""),"Bangladesh")</f>
        <v>Bangladesh</v>
      </c>
      <c r="D1256">
        <f>IFERROR(__xludf.DUMMYFUNCTION("""COMPUTED_VALUE"""),2019.0)</f>
        <v>2019</v>
      </c>
      <c r="E1256">
        <f>IFERROR(__xludf.DUMMYFUNCTION("""COMPUTED_VALUE"""),1.6806592E8)</f>
        <v>168065920</v>
      </c>
    </row>
    <row r="1257">
      <c r="A1257" t="str">
        <f t="shared" si="1"/>
        <v>bgd#2020</v>
      </c>
      <c r="B1257" t="str">
        <f>IFERROR(__xludf.DUMMYFUNCTION("""COMPUTED_VALUE"""),"bgd")</f>
        <v>bgd</v>
      </c>
      <c r="C1257" t="str">
        <f>IFERROR(__xludf.DUMMYFUNCTION("""COMPUTED_VALUE"""),"Bangladesh")</f>
        <v>Bangladesh</v>
      </c>
      <c r="D1257">
        <f>IFERROR(__xludf.DUMMYFUNCTION("""COMPUTED_VALUE"""),2020.0)</f>
        <v>2020</v>
      </c>
      <c r="E1257">
        <f>IFERROR(__xludf.DUMMYFUNCTION("""COMPUTED_VALUE"""),1.69775309E8)</f>
        <v>169775309</v>
      </c>
    </row>
    <row r="1258">
      <c r="A1258" t="str">
        <f t="shared" si="1"/>
        <v>bgd#2021</v>
      </c>
      <c r="B1258" t="str">
        <f>IFERROR(__xludf.DUMMYFUNCTION("""COMPUTED_VALUE"""),"bgd")</f>
        <v>bgd</v>
      </c>
      <c r="C1258" t="str">
        <f>IFERROR(__xludf.DUMMYFUNCTION("""COMPUTED_VALUE"""),"Bangladesh")</f>
        <v>Bangladesh</v>
      </c>
      <c r="D1258">
        <f>IFERROR(__xludf.DUMMYFUNCTION("""COMPUTED_VALUE"""),2021.0)</f>
        <v>2021</v>
      </c>
      <c r="E1258">
        <f>IFERROR(__xludf.DUMMYFUNCTION("""COMPUTED_VALUE"""),1.71499635E8)</f>
        <v>171499635</v>
      </c>
    </row>
    <row r="1259">
      <c r="A1259" t="str">
        <f t="shared" si="1"/>
        <v>bgd#2022</v>
      </c>
      <c r="B1259" t="str">
        <f>IFERROR(__xludf.DUMMYFUNCTION("""COMPUTED_VALUE"""),"bgd")</f>
        <v>bgd</v>
      </c>
      <c r="C1259" t="str">
        <f>IFERROR(__xludf.DUMMYFUNCTION("""COMPUTED_VALUE"""),"Bangladesh")</f>
        <v>Bangladesh</v>
      </c>
      <c r="D1259">
        <f>IFERROR(__xludf.DUMMYFUNCTION("""COMPUTED_VALUE"""),2022.0)</f>
        <v>2022</v>
      </c>
      <c r="E1259">
        <f>IFERROR(__xludf.DUMMYFUNCTION("""COMPUTED_VALUE"""),1.73229209E8)</f>
        <v>173229209</v>
      </c>
    </row>
    <row r="1260">
      <c r="A1260" t="str">
        <f t="shared" si="1"/>
        <v>bgd#2023</v>
      </c>
      <c r="B1260" t="str">
        <f>IFERROR(__xludf.DUMMYFUNCTION("""COMPUTED_VALUE"""),"bgd")</f>
        <v>bgd</v>
      </c>
      <c r="C1260" t="str">
        <f>IFERROR(__xludf.DUMMYFUNCTION("""COMPUTED_VALUE"""),"Bangladesh")</f>
        <v>Bangladesh</v>
      </c>
      <c r="D1260">
        <f>IFERROR(__xludf.DUMMYFUNCTION("""COMPUTED_VALUE"""),2023.0)</f>
        <v>2023</v>
      </c>
      <c r="E1260">
        <f>IFERROR(__xludf.DUMMYFUNCTION("""COMPUTED_VALUE"""),1.74947406E8)</f>
        <v>174947406</v>
      </c>
    </row>
    <row r="1261">
      <c r="A1261" t="str">
        <f t="shared" si="1"/>
        <v>bgd#2024</v>
      </c>
      <c r="B1261" t="str">
        <f>IFERROR(__xludf.DUMMYFUNCTION("""COMPUTED_VALUE"""),"bgd")</f>
        <v>bgd</v>
      </c>
      <c r="C1261" t="str">
        <f>IFERROR(__xludf.DUMMYFUNCTION("""COMPUTED_VALUE"""),"Bangladesh")</f>
        <v>Bangladesh</v>
      </c>
      <c r="D1261">
        <f>IFERROR(__xludf.DUMMYFUNCTION("""COMPUTED_VALUE"""),2024.0)</f>
        <v>2024</v>
      </c>
      <c r="E1261">
        <f>IFERROR(__xludf.DUMMYFUNCTION("""COMPUTED_VALUE"""),1.76631129E8)</f>
        <v>176631129</v>
      </c>
    </row>
    <row r="1262">
      <c r="A1262" t="str">
        <f t="shared" si="1"/>
        <v>bgd#2025</v>
      </c>
      <c r="B1262" t="str">
        <f>IFERROR(__xludf.DUMMYFUNCTION("""COMPUTED_VALUE"""),"bgd")</f>
        <v>bgd</v>
      </c>
      <c r="C1262" t="str">
        <f>IFERROR(__xludf.DUMMYFUNCTION("""COMPUTED_VALUE"""),"Bangladesh")</f>
        <v>Bangladesh</v>
      </c>
      <c r="D1262">
        <f>IFERROR(__xludf.DUMMYFUNCTION("""COMPUTED_VALUE"""),2025.0)</f>
        <v>2025</v>
      </c>
      <c r="E1262">
        <f>IFERROR(__xludf.DUMMYFUNCTION("""COMPUTED_VALUE"""),1.78262909E8)</f>
        <v>178262909</v>
      </c>
    </row>
    <row r="1263">
      <c r="A1263" t="str">
        <f t="shared" si="1"/>
        <v>bgd#2026</v>
      </c>
      <c r="B1263" t="str">
        <f>IFERROR(__xludf.DUMMYFUNCTION("""COMPUTED_VALUE"""),"bgd")</f>
        <v>bgd</v>
      </c>
      <c r="C1263" t="str">
        <f>IFERROR(__xludf.DUMMYFUNCTION("""COMPUTED_VALUE"""),"Bangladesh")</f>
        <v>Bangladesh</v>
      </c>
      <c r="D1263">
        <f>IFERROR(__xludf.DUMMYFUNCTION("""COMPUTED_VALUE"""),2026.0)</f>
        <v>2026</v>
      </c>
      <c r="E1263">
        <f>IFERROR(__xludf.DUMMYFUNCTION("""COMPUTED_VALUE"""),1.79836355E8)</f>
        <v>179836355</v>
      </c>
    </row>
    <row r="1264">
      <c r="A1264" t="str">
        <f t="shared" si="1"/>
        <v>bgd#2027</v>
      </c>
      <c r="B1264" t="str">
        <f>IFERROR(__xludf.DUMMYFUNCTION("""COMPUTED_VALUE"""),"bgd")</f>
        <v>bgd</v>
      </c>
      <c r="C1264" t="str">
        <f>IFERROR(__xludf.DUMMYFUNCTION("""COMPUTED_VALUE"""),"Bangladesh")</f>
        <v>Bangladesh</v>
      </c>
      <c r="D1264">
        <f>IFERROR(__xludf.DUMMYFUNCTION("""COMPUTED_VALUE"""),2027.0)</f>
        <v>2027</v>
      </c>
      <c r="E1264">
        <f>IFERROR(__xludf.DUMMYFUNCTION("""COMPUTED_VALUE"""),1.81353356E8)</f>
        <v>181353356</v>
      </c>
    </row>
    <row r="1265">
      <c r="A1265" t="str">
        <f t="shared" si="1"/>
        <v>bgd#2028</v>
      </c>
      <c r="B1265" t="str">
        <f>IFERROR(__xludf.DUMMYFUNCTION("""COMPUTED_VALUE"""),"bgd")</f>
        <v>bgd</v>
      </c>
      <c r="C1265" t="str">
        <f>IFERROR(__xludf.DUMMYFUNCTION("""COMPUTED_VALUE"""),"Bangladesh")</f>
        <v>Bangladesh</v>
      </c>
      <c r="D1265">
        <f>IFERROR(__xludf.DUMMYFUNCTION("""COMPUTED_VALUE"""),2028.0)</f>
        <v>2028</v>
      </c>
      <c r="E1265">
        <f>IFERROR(__xludf.DUMMYFUNCTION("""COMPUTED_VALUE"""),1.82814797E8)</f>
        <v>182814797</v>
      </c>
    </row>
    <row r="1266">
      <c r="A1266" t="str">
        <f t="shared" si="1"/>
        <v>bgd#2029</v>
      </c>
      <c r="B1266" t="str">
        <f>IFERROR(__xludf.DUMMYFUNCTION("""COMPUTED_VALUE"""),"bgd")</f>
        <v>bgd</v>
      </c>
      <c r="C1266" t="str">
        <f>IFERROR(__xludf.DUMMYFUNCTION("""COMPUTED_VALUE"""),"Bangladesh")</f>
        <v>Bangladesh</v>
      </c>
      <c r="D1266">
        <f>IFERROR(__xludf.DUMMYFUNCTION("""COMPUTED_VALUE"""),2029.0)</f>
        <v>2029</v>
      </c>
      <c r="E1266">
        <f>IFERROR(__xludf.DUMMYFUNCTION("""COMPUTED_VALUE"""),1.84224428E8)</f>
        <v>184224428</v>
      </c>
    </row>
    <row r="1267">
      <c r="A1267" t="str">
        <f t="shared" si="1"/>
        <v>bgd#2030</v>
      </c>
      <c r="B1267" t="str">
        <f>IFERROR(__xludf.DUMMYFUNCTION("""COMPUTED_VALUE"""),"bgd")</f>
        <v>bgd</v>
      </c>
      <c r="C1267" t="str">
        <f>IFERROR(__xludf.DUMMYFUNCTION("""COMPUTED_VALUE"""),"Bangladesh")</f>
        <v>Bangladesh</v>
      </c>
      <c r="D1267">
        <f>IFERROR(__xludf.DUMMYFUNCTION("""COMPUTED_VALUE"""),2030.0)</f>
        <v>2030</v>
      </c>
      <c r="E1267">
        <f>IFERROR(__xludf.DUMMYFUNCTION("""COMPUTED_VALUE"""),1.85584811E8)</f>
        <v>185584811</v>
      </c>
    </row>
    <row r="1268">
      <c r="A1268" t="str">
        <f t="shared" si="1"/>
        <v>bgd#2031</v>
      </c>
      <c r="B1268" t="str">
        <f>IFERROR(__xludf.DUMMYFUNCTION("""COMPUTED_VALUE"""),"bgd")</f>
        <v>bgd</v>
      </c>
      <c r="C1268" t="str">
        <f>IFERROR(__xludf.DUMMYFUNCTION("""COMPUTED_VALUE"""),"Bangladesh")</f>
        <v>Bangladesh</v>
      </c>
      <c r="D1268">
        <f>IFERROR(__xludf.DUMMYFUNCTION("""COMPUTED_VALUE"""),2031.0)</f>
        <v>2031</v>
      </c>
      <c r="E1268">
        <f>IFERROR(__xludf.DUMMYFUNCTION("""COMPUTED_VALUE"""),1.86894662E8)</f>
        <v>186894662</v>
      </c>
    </row>
    <row r="1269">
      <c r="A1269" t="str">
        <f t="shared" si="1"/>
        <v>bgd#2032</v>
      </c>
      <c r="B1269" t="str">
        <f>IFERROR(__xludf.DUMMYFUNCTION("""COMPUTED_VALUE"""),"bgd")</f>
        <v>bgd</v>
      </c>
      <c r="C1269" t="str">
        <f>IFERROR(__xludf.DUMMYFUNCTION("""COMPUTED_VALUE"""),"Bangladesh")</f>
        <v>Bangladesh</v>
      </c>
      <c r="D1269">
        <f>IFERROR(__xludf.DUMMYFUNCTION("""COMPUTED_VALUE"""),2032.0)</f>
        <v>2032</v>
      </c>
      <c r="E1269">
        <f>IFERROR(__xludf.DUMMYFUNCTION("""COMPUTED_VALUE"""),1.88151243E8)</f>
        <v>188151243</v>
      </c>
    </row>
    <row r="1270">
      <c r="A1270" t="str">
        <f t="shared" si="1"/>
        <v>bgd#2033</v>
      </c>
      <c r="B1270" t="str">
        <f>IFERROR(__xludf.DUMMYFUNCTION("""COMPUTED_VALUE"""),"bgd")</f>
        <v>bgd</v>
      </c>
      <c r="C1270" t="str">
        <f>IFERROR(__xludf.DUMMYFUNCTION("""COMPUTED_VALUE"""),"Bangladesh")</f>
        <v>Bangladesh</v>
      </c>
      <c r="D1270">
        <f>IFERROR(__xludf.DUMMYFUNCTION("""COMPUTED_VALUE"""),2033.0)</f>
        <v>2033</v>
      </c>
      <c r="E1270">
        <f>IFERROR(__xludf.DUMMYFUNCTION("""COMPUTED_VALUE"""),1.89354346E8)</f>
        <v>189354346</v>
      </c>
    </row>
    <row r="1271">
      <c r="A1271" t="str">
        <f t="shared" si="1"/>
        <v>bgd#2034</v>
      </c>
      <c r="B1271" t="str">
        <f>IFERROR(__xludf.DUMMYFUNCTION("""COMPUTED_VALUE"""),"bgd")</f>
        <v>bgd</v>
      </c>
      <c r="C1271" t="str">
        <f>IFERROR(__xludf.DUMMYFUNCTION("""COMPUTED_VALUE"""),"Bangladesh")</f>
        <v>Bangladesh</v>
      </c>
      <c r="D1271">
        <f>IFERROR(__xludf.DUMMYFUNCTION("""COMPUTED_VALUE"""),2034.0)</f>
        <v>2034</v>
      </c>
      <c r="E1271">
        <f>IFERROR(__xludf.DUMMYFUNCTION("""COMPUTED_VALUE"""),1.90504057E8)</f>
        <v>190504057</v>
      </c>
    </row>
    <row r="1272">
      <c r="A1272" t="str">
        <f t="shared" si="1"/>
        <v>bgd#2035</v>
      </c>
      <c r="B1272" t="str">
        <f>IFERROR(__xludf.DUMMYFUNCTION("""COMPUTED_VALUE"""),"bgd")</f>
        <v>bgd</v>
      </c>
      <c r="C1272" t="str">
        <f>IFERROR(__xludf.DUMMYFUNCTION("""COMPUTED_VALUE"""),"Bangladesh")</f>
        <v>Bangladesh</v>
      </c>
      <c r="D1272">
        <f>IFERROR(__xludf.DUMMYFUNCTION("""COMPUTED_VALUE"""),2035.0)</f>
        <v>2035</v>
      </c>
      <c r="E1272">
        <f>IFERROR(__xludf.DUMMYFUNCTION("""COMPUTED_VALUE"""),1.91600525E8)</f>
        <v>191600525</v>
      </c>
    </row>
    <row r="1273">
      <c r="A1273" t="str">
        <f t="shared" si="1"/>
        <v>bgd#2036</v>
      </c>
      <c r="B1273" t="str">
        <f>IFERROR(__xludf.DUMMYFUNCTION("""COMPUTED_VALUE"""),"bgd")</f>
        <v>bgd</v>
      </c>
      <c r="C1273" t="str">
        <f>IFERROR(__xludf.DUMMYFUNCTION("""COMPUTED_VALUE"""),"Bangladesh")</f>
        <v>Bangladesh</v>
      </c>
      <c r="D1273">
        <f>IFERROR(__xludf.DUMMYFUNCTION("""COMPUTED_VALUE"""),2036.0)</f>
        <v>2036</v>
      </c>
      <c r="E1273">
        <f>IFERROR(__xludf.DUMMYFUNCTION("""COMPUTED_VALUE"""),1.92643385E8)</f>
        <v>192643385</v>
      </c>
    </row>
    <row r="1274">
      <c r="A1274" t="str">
        <f t="shared" si="1"/>
        <v>bgd#2037</v>
      </c>
      <c r="B1274" t="str">
        <f>IFERROR(__xludf.DUMMYFUNCTION("""COMPUTED_VALUE"""),"bgd")</f>
        <v>bgd</v>
      </c>
      <c r="C1274" t="str">
        <f>IFERROR(__xludf.DUMMYFUNCTION("""COMPUTED_VALUE"""),"Bangladesh")</f>
        <v>Bangladesh</v>
      </c>
      <c r="D1274">
        <f>IFERROR(__xludf.DUMMYFUNCTION("""COMPUTED_VALUE"""),2037.0)</f>
        <v>2037</v>
      </c>
      <c r="E1274">
        <f>IFERROR(__xludf.DUMMYFUNCTION("""COMPUTED_VALUE"""),1.93632754E8)</f>
        <v>193632754</v>
      </c>
    </row>
    <row r="1275">
      <c r="A1275" t="str">
        <f t="shared" si="1"/>
        <v>bgd#2038</v>
      </c>
      <c r="B1275" t="str">
        <f>IFERROR(__xludf.DUMMYFUNCTION("""COMPUTED_VALUE"""),"bgd")</f>
        <v>bgd</v>
      </c>
      <c r="C1275" t="str">
        <f>IFERROR(__xludf.DUMMYFUNCTION("""COMPUTED_VALUE"""),"Bangladesh")</f>
        <v>Bangladesh</v>
      </c>
      <c r="D1275">
        <f>IFERROR(__xludf.DUMMYFUNCTION("""COMPUTED_VALUE"""),2038.0)</f>
        <v>2038</v>
      </c>
      <c r="E1275">
        <f>IFERROR(__xludf.DUMMYFUNCTION("""COMPUTED_VALUE"""),1.94569933E8)</f>
        <v>194569933</v>
      </c>
    </row>
    <row r="1276">
      <c r="A1276" t="str">
        <f t="shared" si="1"/>
        <v>bgd#2039</v>
      </c>
      <c r="B1276" t="str">
        <f>IFERROR(__xludf.DUMMYFUNCTION("""COMPUTED_VALUE"""),"bgd")</f>
        <v>bgd</v>
      </c>
      <c r="C1276" t="str">
        <f>IFERROR(__xludf.DUMMYFUNCTION("""COMPUTED_VALUE"""),"Bangladesh")</f>
        <v>Bangladesh</v>
      </c>
      <c r="D1276">
        <f>IFERROR(__xludf.DUMMYFUNCTION("""COMPUTED_VALUE"""),2039.0)</f>
        <v>2039</v>
      </c>
      <c r="E1276">
        <f>IFERROR(__xludf.DUMMYFUNCTION("""COMPUTED_VALUE"""),1.95456694E8)</f>
        <v>195456694</v>
      </c>
    </row>
    <row r="1277">
      <c r="A1277" t="str">
        <f t="shared" si="1"/>
        <v>bgd#2040</v>
      </c>
      <c r="B1277" t="str">
        <f>IFERROR(__xludf.DUMMYFUNCTION("""COMPUTED_VALUE"""),"bgd")</f>
        <v>bgd</v>
      </c>
      <c r="C1277" t="str">
        <f>IFERROR(__xludf.DUMMYFUNCTION("""COMPUTED_VALUE"""),"Bangladesh")</f>
        <v>Bangladesh</v>
      </c>
      <c r="D1277">
        <f>IFERROR(__xludf.DUMMYFUNCTION("""COMPUTED_VALUE"""),2040.0)</f>
        <v>2040</v>
      </c>
      <c r="E1277">
        <f>IFERROR(__xludf.DUMMYFUNCTION("""COMPUTED_VALUE"""),1.96294312E8)</f>
        <v>196294312</v>
      </c>
    </row>
    <row r="1278">
      <c r="A1278" t="str">
        <f t="shared" si="1"/>
        <v>brb#1950</v>
      </c>
      <c r="B1278" t="str">
        <f>IFERROR(__xludf.DUMMYFUNCTION("""COMPUTED_VALUE"""),"brb")</f>
        <v>brb</v>
      </c>
      <c r="C1278" t="str">
        <f>IFERROR(__xludf.DUMMYFUNCTION("""COMPUTED_VALUE"""),"Barbados")</f>
        <v>Barbados</v>
      </c>
      <c r="D1278">
        <f>IFERROR(__xludf.DUMMYFUNCTION("""COMPUTED_VALUE"""),1950.0)</f>
        <v>1950</v>
      </c>
      <c r="E1278">
        <f>IFERROR(__xludf.DUMMYFUNCTION("""COMPUTED_VALUE"""),210992.0)</f>
        <v>210992</v>
      </c>
    </row>
    <row r="1279">
      <c r="A1279" t="str">
        <f t="shared" si="1"/>
        <v>brb#1951</v>
      </c>
      <c r="B1279" t="str">
        <f>IFERROR(__xludf.DUMMYFUNCTION("""COMPUTED_VALUE"""),"brb")</f>
        <v>brb</v>
      </c>
      <c r="C1279" t="str">
        <f>IFERROR(__xludf.DUMMYFUNCTION("""COMPUTED_VALUE"""),"Barbados")</f>
        <v>Barbados</v>
      </c>
      <c r="D1279">
        <f>IFERROR(__xludf.DUMMYFUNCTION("""COMPUTED_VALUE"""),1951.0)</f>
        <v>1951</v>
      </c>
      <c r="E1279">
        <f>IFERROR(__xludf.DUMMYFUNCTION("""COMPUTED_VALUE"""),215703.0)</f>
        <v>215703</v>
      </c>
    </row>
    <row r="1280">
      <c r="A1280" t="str">
        <f t="shared" si="1"/>
        <v>brb#1952</v>
      </c>
      <c r="B1280" t="str">
        <f>IFERROR(__xludf.DUMMYFUNCTION("""COMPUTED_VALUE"""),"brb")</f>
        <v>brb</v>
      </c>
      <c r="C1280" t="str">
        <f>IFERROR(__xludf.DUMMYFUNCTION("""COMPUTED_VALUE"""),"Barbados")</f>
        <v>Barbados</v>
      </c>
      <c r="D1280">
        <f>IFERROR(__xludf.DUMMYFUNCTION("""COMPUTED_VALUE"""),1952.0)</f>
        <v>1952</v>
      </c>
      <c r="E1280">
        <f>IFERROR(__xludf.DUMMYFUNCTION("""COMPUTED_VALUE"""),219636.0)</f>
        <v>219636</v>
      </c>
    </row>
    <row r="1281">
      <c r="A1281" t="str">
        <f t="shared" si="1"/>
        <v>brb#1953</v>
      </c>
      <c r="B1281" t="str">
        <f>IFERROR(__xludf.DUMMYFUNCTION("""COMPUTED_VALUE"""),"brb")</f>
        <v>brb</v>
      </c>
      <c r="C1281" t="str">
        <f>IFERROR(__xludf.DUMMYFUNCTION("""COMPUTED_VALUE"""),"Barbados")</f>
        <v>Barbados</v>
      </c>
      <c r="D1281">
        <f>IFERROR(__xludf.DUMMYFUNCTION("""COMPUTED_VALUE"""),1953.0)</f>
        <v>1953</v>
      </c>
      <c r="E1281">
        <f>IFERROR(__xludf.DUMMYFUNCTION("""COMPUTED_VALUE"""),222809.0)</f>
        <v>222809</v>
      </c>
    </row>
    <row r="1282">
      <c r="A1282" t="str">
        <f t="shared" si="1"/>
        <v>brb#1954</v>
      </c>
      <c r="B1282" t="str">
        <f>IFERROR(__xludf.DUMMYFUNCTION("""COMPUTED_VALUE"""),"brb")</f>
        <v>brb</v>
      </c>
      <c r="C1282" t="str">
        <f>IFERROR(__xludf.DUMMYFUNCTION("""COMPUTED_VALUE"""),"Barbados")</f>
        <v>Barbados</v>
      </c>
      <c r="D1282">
        <f>IFERROR(__xludf.DUMMYFUNCTION("""COMPUTED_VALUE"""),1954.0)</f>
        <v>1954</v>
      </c>
      <c r="E1282">
        <f>IFERROR(__xludf.DUMMYFUNCTION("""COMPUTED_VALUE"""),225260.0)</f>
        <v>225260</v>
      </c>
    </row>
    <row r="1283">
      <c r="A1283" t="str">
        <f t="shared" si="1"/>
        <v>brb#1955</v>
      </c>
      <c r="B1283" t="str">
        <f>IFERROR(__xludf.DUMMYFUNCTION("""COMPUTED_VALUE"""),"brb")</f>
        <v>brb</v>
      </c>
      <c r="C1283" t="str">
        <f>IFERROR(__xludf.DUMMYFUNCTION("""COMPUTED_VALUE"""),"Barbados")</f>
        <v>Barbados</v>
      </c>
      <c r="D1283">
        <f>IFERROR(__xludf.DUMMYFUNCTION("""COMPUTED_VALUE"""),1955.0)</f>
        <v>1955</v>
      </c>
      <c r="E1283">
        <f>IFERROR(__xludf.DUMMYFUNCTION("""COMPUTED_VALUE"""),227073.0)</f>
        <v>227073</v>
      </c>
    </row>
    <row r="1284">
      <c r="A1284" t="str">
        <f t="shared" si="1"/>
        <v>brb#1956</v>
      </c>
      <c r="B1284" t="str">
        <f>IFERROR(__xludf.DUMMYFUNCTION("""COMPUTED_VALUE"""),"brb")</f>
        <v>brb</v>
      </c>
      <c r="C1284" t="str">
        <f>IFERROR(__xludf.DUMMYFUNCTION("""COMPUTED_VALUE"""),"Barbados")</f>
        <v>Barbados</v>
      </c>
      <c r="D1284">
        <f>IFERROR(__xludf.DUMMYFUNCTION("""COMPUTED_VALUE"""),1956.0)</f>
        <v>1956</v>
      </c>
      <c r="E1284">
        <f>IFERROR(__xludf.DUMMYFUNCTION("""COMPUTED_VALUE"""),228350.0)</f>
        <v>228350</v>
      </c>
    </row>
    <row r="1285">
      <c r="A1285" t="str">
        <f t="shared" si="1"/>
        <v>brb#1957</v>
      </c>
      <c r="B1285" t="str">
        <f>IFERROR(__xludf.DUMMYFUNCTION("""COMPUTED_VALUE"""),"brb")</f>
        <v>brb</v>
      </c>
      <c r="C1285" t="str">
        <f>IFERROR(__xludf.DUMMYFUNCTION("""COMPUTED_VALUE"""),"Barbados")</f>
        <v>Barbados</v>
      </c>
      <c r="D1285">
        <f>IFERROR(__xludf.DUMMYFUNCTION("""COMPUTED_VALUE"""),1957.0)</f>
        <v>1957</v>
      </c>
      <c r="E1285">
        <f>IFERROR(__xludf.DUMMYFUNCTION("""COMPUTED_VALUE"""),229212.0)</f>
        <v>229212</v>
      </c>
    </row>
    <row r="1286">
      <c r="A1286" t="str">
        <f t="shared" si="1"/>
        <v>brb#1958</v>
      </c>
      <c r="B1286" t="str">
        <f>IFERROR(__xludf.DUMMYFUNCTION("""COMPUTED_VALUE"""),"brb")</f>
        <v>brb</v>
      </c>
      <c r="C1286" t="str">
        <f>IFERROR(__xludf.DUMMYFUNCTION("""COMPUTED_VALUE"""),"Barbados")</f>
        <v>Barbados</v>
      </c>
      <c r="D1286">
        <f>IFERROR(__xludf.DUMMYFUNCTION("""COMPUTED_VALUE"""),1958.0)</f>
        <v>1958</v>
      </c>
      <c r="E1286">
        <f>IFERROR(__xludf.DUMMYFUNCTION("""COMPUTED_VALUE"""),229830.0)</f>
        <v>229830</v>
      </c>
    </row>
    <row r="1287">
      <c r="A1287" t="str">
        <f t="shared" si="1"/>
        <v>brb#1959</v>
      </c>
      <c r="B1287" t="str">
        <f>IFERROR(__xludf.DUMMYFUNCTION("""COMPUTED_VALUE"""),"brb")</f>
        <v>brb</v>
      </c>
      <c r="C1287" t="str">
        <f>IFERROR(__xludf.DUMMYFUNCTION("""COMPUTED_VALUE"""),"Barbados")</f>
        <v>Barbados</v>
      </c>
      <c r="D1287">
        <f>IFERROR(__xludf.DUMMYFUNCTION("""COMPUTED_VALUE"""),1959.0)</f>
        <v>1959</v>
      </c>
      <c r="E1287">
        <f>IFERROR(__xludf.DUMMYFUNCTION("""COMPUTED_VALUE"""),230349.0)</f>
        <v>230349</v>
      </c>
    </row>
    <row r="1288">
      <c r="A1288" t="str">
        <f t="shared" si="1"/>
        <v>brb#1960</v>
      </c>
      <c r="B1288" t="str">
        <f>IFERROR(__xludf.DUMMYFUNCTION("""COMPUTED_VALUE"""),"brb")</f>
        <v>brb</v>
      </c>
      <c r="C1288" t="str">
        <f>IFERROR(__xludf.DUMMYFUNCTION("""COMPUTED_VALUE"""),"Barbados")</f>
        <v>Barbados</v>
      </c>
      <c r="D1288">
        <f>IFERROR(__xludf.DUMMYFUNCTION("""COMPUTED_VALUE"""),1960.0)</f>
        <v>1960</v>
      </c>
      <c r="E1288">
        <f>IFERROR(__xludf.DUMMYFUNCTION("""COMPUTED_VALUE"""),230939.0)</f>
        <v>230939</v>
      </c>
    </row>
    <row r="1289">
      <c r="A1289" t="str">
        <f t="shared" si="1"/>
        <v>brb#1961</v>
      </c>
      <c r="B1289" t="str">
        <f>IFERROR(__xludf.DUMMYFUNCTION("""COMPUTED_VALUE"""),"brb")</f>
        <v>brb</v>
      </c>
      <c r="C1289" t="str">
        <f>IFERROR(__xludf.DUMMYFUNCTION("""COMPUTED_VALUE"""),"Barbados")</f>
        <v>Barbados</v>
      </c>
      <c r="D1289">
        <f>IFERROR(__xludf.DUMMYFUNCTION("""COMPUTED_VALUE"""),1961.0)</f>
        <v>1961</v>
      </c>
      <c r="E1289">
        <f>IFERROR(__xludf.DUMMYFUNCTION("""COMPUTED_VALUE"""),231678.0)</f>
        <v>231678</v>
      </c>
    </row>
    <row r="1290">
      <c r="A1290" t="str">
        <f t="shared" si="1"/>
        <v>brb#1962</v>
      </c>
      <c r="B1290" t="str">
        <f>IFERROR(__xludf.DUMMYFUNCTION("""COMPUTED_VALUE"""),"brb")</f>
        <v>brb</v>
      </c>
      <c r="C1290" t="str">
        <f>IFERROR(__xludf.DUMMYFUNCTION("""COMPUTED_VALUE"""),"Barbados")</f>
        <v>Barbados</v>
      </c>
      <c r="D1290">
        <f>IFERROR(__xludf.DUMMYFUNCTION("""COMPUTED_VALUE"""),1962.0)</f>
        <v>1962</v>
      </c>
      <c r="E1290">
        <f>IFERROR(__xludf.DUMMYFUNCTION("""COMPUTED_VALUE"""),232586.0)</f>
        <v>232586</v>
      </c>
    </row>
    <row r="1291">
      <c r="A1291" t="str">
        <f t="shared" si="1"/>
        <v>brb#1963</v>
      </c>
      <c r="B1291" t="str">
        <f>IFERROR(__xludf.DUMMYFUNCTION("""COMPUTED_VALUE"""),"brb")</f>
        <v>brb</v>
      </c>
      <c r="C1291" t="str">
        <f>IFERROR(__xludf.DUMMYFUNCTION("""COMPUTED_VALUE"""),"Barbados")</f>
        <v>Barbados</v>
      </c>
      <c r="D1291">
        <f>IFERROR(__xludf.DUMMYFUNCTION("""COMPUTED_VALUE"""),1963.0)</f>
        <v>1963</v>
      </c>
      <c r="E1291">
        <f>IFERROR(__xludf.DUMMYFUNCTION("""COMPUTED_VALUE"""),233587.0)</f>
        <v>233587</v>
      </c>
    </row>
    <row r="1292">
      <c r="A1292" t="str">
        <f t="shared" si="1"/>
        <v>brb#1964</v>
      </c>
      <c r="B1292" t="str">
        <f>IFERROR(__xludf.DUMMYFUNCTION("""COMPUTED_VALUE"""),"brb")</f>
        <v>brb</v>
      </c>
      <c r="C1292" t="str">
        <f>IFERROR(__xludf.DUMMYFUNCTION("""COMPUTED_VALUE"""),"Barbados")</f>
        <v>Barbados</v>
      </c>
      <c r="D1292">
        <f>IFERROR(__xludf.DUMMYFUNCTION("""COMPUTED_VALUE"""),1964.0)</f>
        <v>1964</v>
      </c>
      <c r="E1292">
        <f>IFERROR(__xludf.DUMMYFUNCTION("""COMPUTED_VALUE"""),234547.0)</f>
        <v>234547</v>
      </c>
    </row>
    <row r="1293">
      <c r="A1293" t="str">
        <f t="shared" si="1"/>
        <v>brb#1965</v>
      </c>
      <c r="B1293" t="str">
        <f>IFERROR(__xludf.DUMMYFUNCTION("""COMPUTED_VALUE"""),"brb")</f>
        <v>brb</v>
      </c>
      <c r="C1293" t="str">
        <f>IFERROR(__xludf.DUMMYFUNCTION("""COMPUTED_VALUE"""),"Barbados")</f>
        <v>Barbados</v>
      </c>
      <c r="D1293">
        <f>IFERROR(__xludf.DUMMYFUNCTION("""COMPUTED_VALUE"""),1965.0)</f>
        <v>1965</v>
      </c>
      <c r="E1293">
        <f>IFERROR(__xludf.DUMMYFUNCTION("""COMPUTED_VALUE"""),235374.0)</f>
        <v>235374</v>
      </c>
    </row>
    <row r="1294">
      <c r="A1294" t="str">
        <f t="shared" si="1"/>
        <v>brb#1966</v>
      </c>
      <c r="B1294" t="str">
        <f>IFERROR(__xludf.DUMMYFUNCTION("""COMPUTED_VALUE"""),"brb")</f>
        <v>brb</v>
      </c>
      <c r="C1294" t="str">
        <f>IFERROR(__xludf.DUMMYFUNCTION("""COMPUTED_VALUE"""),"Barbados")</f>
        <v>Barbados</v>
      </c>
      <c r="D1294">
        <f>IFERROR(__xludf.DUMMYFUNCTION("""COMPUTED_VALUE"""),1966.0)</f>
        <v>1966</v>
      </c>
      <c r="E1294">
        <f>IFERROR(__xludf.DUMMYFUNCTION("""COMPUTED_VALUE"""),236044.0)</f>
        <v>236044</v>
      </c>
    </row>
    <row r="1295">
      <c r="A1295" t="str">
        <f t="shared" si="1"/>
        <v>brb#1967</v>
      </c>
      <c r="B1295" t="str">
        <f>IFERROR(__xludf.DUMMYFUNCTION("""COMPUTED_VALUE"""),"brb")</f>
        <v>brb</v>
      </c>
      <c r="C1295" t="str">
        <f>IFERROR(__xludf.DUMMYFUNCTION("""COMPUTED_VALUE"""),"Barbados")</f>
        <v>Barbados</v>
      </c>
      <c r="D1295">
        <f>IFERROR(__xludf.DUMMYFUNCTION("""COMPUTED_VALUE"""),1967.0)</f>
        <v>1967</v>
      </c>
      <c r="E1295">
        <f>IFERROR(__xludf.DUMMYFUNCTION("""COMPUTED_VALUE"""),236621.0)</f>
        <v>236621</v>
      </c>
    </row>
    <row r="1296">
      <c r="A1296" t="str">
        <f t="shared" si="1"/>
        <v>brb#1968</v>
      </c>
      <c r="B1296" t="str">
        <f>IFERROR(__xludf.DUMMYFUNCTION("""COMPUTED_VALUE"""),"brb")</f>
        <v>brb</v>
      </c>
      <c r="C1296" t="str">
        <f>IFERROR(__xludf.DUMMYFUNCTION("""COMPUTED_VALUE"""),"Barbados")</f>
        <v>Barbados</v>
      </c>
      <c r="D1296">
        <f>IFERROR(__xludf.DUMMYFUNCTION("""COMPUTED_VALUE"""),1968.0)</f>
        <v>1968</v>
      </c>
      <c r="E1296">
        <f>IFERROR(__xludf.DUMMYFUNCTION("""COMPUTED_VALUE"""),237199.0)</f>
        <v>237199</v>
      </c>
    </row>
    <row r="1297">
      <c r="A1297" t="str">
        <f t="shared" si="1"/>
        <v>brb#1969</v>
      </c>
      <c r="B1297" t="str">
        <f>IFERROR(__xludf.DUMMYFUNCTION("""COMPUTED_VALUE"""),"brb")</f>
        <v>brb</v>
      </c>
      <c r="C1297" t="str">
        <f>IFERROR(__xludf.DUMMYFUNCTION("""COMPUTED_VALUE"""),"Barbados")</f>
        <v>Barbados</v>
      </c>
      <c r="D1297">
        <f>IFERROR(__xludf.DUMMYFUNCTION("""COMPUTED_VALUE"""),1969.0)</f>
        <v>1969</v>
      </c>
      <c r="E1297">
        <f>IFERROR(__xludf.DUMMYFUNCTION("""COMPUTED_VALUE"""),237913.0)</f>
        <v>237913</v>
      </c>
    </row>
    <row r="1298">
      <c r="A1298" t="str">
        <f t="shared" si="1"/>
        <v>brb#1970</v>
      </c>
      <c r="B1298" t="str">
        <f>IFERROR(__xludf.DUMMYFUNCTION("""COMPUTED_VALUE"""),"brb")</f>
        <v>brb</v>
      </c>
      <c r="C1298" t="str">
        <f>IFERROR(__xludf.DUMMYFUNCTION("""COMPUTED_VALUE"""),"Barbados")</f>
        <v>Barbados</v>
      </c>
      <c r="D1298">
        <f>IFERROR(__xludf.DUMMYFUNCTION("""COMPUTED_VALUE"""),1970.0)</f>
        <v>1970</v>
      </c>
      <c r="E1298">
        <f>IFERROR(__xludf.DUMMYFUNCTION("""COMPUTED_VALUE"""),238848.0)</f>
        <v>238848</v>
      </c>
    </row>
    <row r="1299">
      <c r="A1299" t="str">
        <f t="shared" si="1"/>
        <v>brb#1971</v>
      </c>
      <c r="B1299" t="str">
        <f>IFERROR(__xludf.DUMMYFUNCTION("""COMPUTED_VALUE"""),"brb")</f>
        <v>brb</v>
      </c>
      <c r="C1299" t="str">
        <f>IFERROR(__xludf.DUMMYFUNCTION("""COMPUTED_VALUE"""),"Barbados")</f>
        <v>Barbados</v>
      </c>
      <c r="D1299">
        <f>IFERROR(__xludf.DUMMYFUNCTION("""COMPUTED_VALUE"""),1971.0)</f>
        <v>1971</v>
      </c>
      <c r="E1299">
        <f>IFERROR(__xludf.DUMMYFUNCTION("""COMPUTED_VALUE"""),240035.0)</f>
        <v>240035</v>
      </c>
    </row>
    <row r="1300">
      <c r="A1300" t="str">
        <f t="shared" si="1"/>
        <v>brb#1972</v>
      </c>
      <c r="B1300" t="str">
        <f>IFERROR(__xludf.DUMMYFUNCTION("""COMPUTED_VALUE"""),"brb")</f>
        <v>brb</v>
      </c>
      <c r="C1300" t="str">
        <f>IFERROR(__xludf.DUMMYFUNCTION("""COMPUTED_VALUE"""),"Barbados")</f>
        <v>Barbados</v>
      </c>
      <c r="D1300">
        <f>IFERROR(__xludf.DUMMYFUNCTION("""COMPUTED_VALUE"""),1972.0)</f>
        <v>1972</v>
      </c>
      <c r="E1300">
        <f>IFERROR(__xludf.DUMMYFUNCTION("""COMPUTED_VALUE"""),241441.0)</f>
        <v>241441</v>
      </c>
    </row>
    <row r="1301">
      <c r="A1301" t="str">
        <f t="shared" si="1"/>
        <v>brb#1973</v>
      </c>
      <c r="B1301" t="str">
        <f>IFERROR(__xludf.DUMMYFUNCTION("""COMPUTED_VALUE"""),"brb")</f>
        <v>brb</v>
      </c>
      <c r="C1301" t="str">
        <f>IFERROR(__xludf.DUMMYFUNCTION("""COMPUTED_VALUE"""),"Barbados")</f>
        <v>Barbados</v>
      </c>
      <c r="D1301">
        <f>IFERROR(__xludf.DUMMYFUNCTION("""COMPUTED_VALUE"""),1973.0)</f>
        <v>1973</v>
      </c>
      <c r="E1301">
        <f>IFERROR(__xludf.DUMMYFUNCTION("""COMPUTED_VALUE"""),242976.0)</f>
        <v>242976</v>
      </c>
    </row>
    <row r="1302">
      <c r="A1302" t="str">
        <f t="shared" si="1"/>
        <v>brb#1974</v>
      </c>
      <c r="B1302" t="str">
        <f>IFERROR(__xludf.DUMMYFUNCTION("""COMPUTED_VALUE"""),"brb")</f>
        <v>brb</v>
      </c>
      <c r="C1302" t="str">
        <f>IFERROR(__xludf.DUMMYFUNCTION("""COMPUTED_VALUE"""),"Barbados")</f>
        <v>Barbados</v>
      </c>
      <c r="D1302">
        <f>IFERROR(__xludf.DUMMYFUNCTION("""COMPUTED_VALUE"""),1974.0)</f>
        <v>1974</v>
      </c>
      <c r="E1302">
        <f>IFERROR(__xludf.DUMMYFUNCTION("""COMPUTED_VALUE"""),244539.0)</f>
        <v>244539</v>
      </c>
    </row>
    <row r="1303">
      <c r="A1303" t="str">
        <f t="shared" si="1"/>
        <v>brb#1975</v>
      </c>
      <c r="B1303" t="str">
        <f>IFERROR(__xludf.DUMMYFUNCTION("""COMPUTED_VALUE"""),"brb")</f>
        <v>brb</v>
      </c>
      <c r="C1303" t="str">
        <f>IFERROR(__xludf.DUMMYFUNCTION("""COMPUTED_VALUE"""),"Barbados")</f>
        <v>Barbados</v>
      </c>
      <c r="D1303">
        <f>IFERROR(__xludf.DUMMYFUNCTION("""COMPUTED_VALUE"""),1975.0)</f>
        <v>1975</v>
      </c>
      <c r="E1303">
        <f>IFERROR(__xludf.DUMMYFUNCTION("""COMPUTED_VALUE"""),246034.0)</f>
        <v>246034</v>
      </c>
    </row>
    <row r="1304">
      <c r="A1304" t="str">
        <f t="shared" si="1"/>
        <v>brb#1976</v>
      </c>
      <c r="B1304" t="str">
        <f>IFERROR(__xludf.DUMMYFUNCTION("""COMPUTED_VALUE"""),"brb")</f>
        <v>brb</v>
      </c>
      <c r="C1304" t="str">
        <f>IFERROR(__xludf.DUMMYFUNCTION("""COMPUTED_VALUE"""),"Barbados")</f>
        <v>Barbados</v>
      </c>
      <c r="D1304">
        <f>IFERROR(__xludf.DUMMYFUNCTION("""COMPUTED_VALUE"""),1976.0)</f>
        <v>1976</v>
      </c>
      <c r="E1304">
        <f>IFERROR(__xludf.DUMMYFUNCTION("""COMPUTED_VALUE"""),247444.0)</f>
        <v>247444</v>
      </c>
    </row>
    <row r="1305">
      <c r="A1305" t="str">
        <f t="shared" si="1"/>
        <v>brb#1977</v>
      </c>
      <c r="B1305" t="str">
        <f>IFERROR(__xludf.DUMMYFUNCTION("""COMPUTED_VALUE"""),"brb")</f>
        <v>brb</v>
      </c>
      <c r="C1305" t="str">
        <f>IFERROR(__xludf.DUMMYFUNCTION("""COMPUTED_VALUE"""),"Barbados")</f>
        <v>Barbados</v>
      </c>
      <c r="D1305">
        <f>IFERROR(__xludf.DUMMYFUNCTION("""COMPUTED_VALUE"""),1977.0)</f>
        <v>1977</v>
      </c>
      <c r="E1305">
        <f>IFERROR(__xludf.DUMMYFUNCTION("""COMPUTED_VALUE"""),248784.0)</f>
        <v>248784</v>
      </c>
    </row>
    <row r="1306">
      <c r="A1306" t="str">
        <f t="shared" si="1"/>
        <v>brb#1978</v>
      </c>
      <c r="B1306" t="str">
        <f>IFERROR(__xludf.DUMMYFUNCTION("""COMPUTED_VALUE"""),"brb")</f>
        <v>brb</v>
      </c>
      <c r="C1306" t="str">
        <f>IFERROR(__xludf.DUMMYFUNCTION("""COMPUTED_VALUE"""),"Barbados")</f>
        <v>Barbados</v>
      </c>
      <c r="D1306">
        <f>IFERROR(__xludf.DUMMYFUNCTION("""COMPUTED_VALUE"""),1978.0)</f>
        <v>1978</v>
      </c>
      <c r="E1306">
        <f>IFERROR(__xludf.DUMMYFUNCTION("""COMPUTED_VALUE"""),250032.0)</f>
        <v>250032</v>
      </c>
    </row>
    <row r="1307">
      <c r="A1307" t="str">
        <f t="shared" si="1"/>
        <v>brb#1979</v>
      </c>
      <c r="B1307" t="str">
        <f>IFERROR(__xludf.DUMMYFUNCTION("""COMPUTED_VALUE"""),"brb")</f>
        <v>brb</v>
      </c>
      <c r="C1307" t="str">
        <f>IFERROR(__xludf.DUMMYFUNCTION("""COMPUTED_VALUE"""),"Barbados")</f>
        <v>Barbados</v>
      </c>
      <c r="D1307">
        <f>IFERROR(__xludf.DUMMYFUNCTION("""COMPUTED_VALUE"""),1979.0)</f>
        <v>1979</v>
      </c>
      <c r="E1307">
        <f>IFERROR(__xludf.DUMMYFUNCTION("""COMPUTED_VALUE"""),251177.0)</f>
        <v>251177</v>
      </c>
    </row>
    <row r="1308">
      <c r="A1308" t="str">
        <f t="shared" si="1"/>
        <v>brb#1980</v>
      </c>
      <c r="B1308" t="str">
        <f>IFERROR(__xludf.DUMMYFUNCTION("""COMPUTED_VALUE"""),"brb")</f>
        <v>brb</v>
      </c>
      <c r="C1308" t="str">
        <f>IFERROR(__xludf.DUMMYFUNCTION("""COMPUTED_VALUE"""),"Barbados")</f>
        <v>Barbados</v>
      </c>
      <c r="D1308">
        <f>IFERROR(__xludf.DUMMYFUNCTION("""COMPUTED_VALUE"""),1980.0)</f>
        <v>1980</v>
      </c>
      <c r="E1308">
        <f>IFERROR(__xludf.DUMMYFUNCTION("""COMPUTED_VALUE"""),252194.0)</f>
        <v>252194</v>
      </c>
    </row>
    <row r="1309">
      <c r="A1309" t="str">
        <f t="shared" si="1"/>
        <v>brb#1981</v>
      </c>
      <c r="B1309" t="str">
        <f>IFERROR(__xludf.DUMMYFUNCTION("""COMPUTED_VALUE"""),"brb")</f>
        <v>brb</v>
      </c>
      <c r="C1309" t="str">
        <f>IFERROR(__xludf.DUMMYFUNCTION("""COMPUTED_VALUE"""),"Barbados")</f>
        <v>Barbados</v>
      </c>
      <c r="D1309">
        <f>IFERROR(__xludf.DUMMYFUNCTION("""COMPUTED_VALUE"""),1981.0)</f>
        <v>1981</v>
      </c>
      <c r="E1309">
        <f>IFERROR(__xludf.DUMMYFUNCTION("""COMPUTED_VALUE"""),253080.0)</f>
        <v>253080</v>
      </c>
    </row>
    <row r="1310">
      <c r="A1310" t="str">
        <f t="shared" si="1"/>
        <v>brb#1982</v>
      </c>
      <c r="B1310" t="str">
        <f>IFERROR(__xludf.DUMMYFUNCTION("""COMPUTED_VALUE"""),"brb")</f>
        <v>brb</v>
      </c>
      <c r="C1310" t="str">
        <f>IFERROR(__xludf.DUMMYFUNCTION("""COMPUTED_VALUE"""),"Barbados")</f>
        <v>Barbados</v>
      </c>
      <c r="D1310">
        <f>IFERROR(__xludf.DUMMYFUNCTION("""COMPUTED_VALUE"""),1982.0)</f>
        <v>1982</v>
      </c>
      <c r="E1310">
        <f>IFERROR(__xludf.DUMMYFUNCTION("""COMPUTED_VALUE"""),253841.0)</f>
        <v>253841</v>
      </c>
    </row>
    <row r="1311">
      <c r="A1311" t="str">
        <f t="shared" si="1"/>
        <v>brb#1983</v>
      </c>
      <c r="B1311" t="str">
        <f>IFERROR(__xludf.DUMMYFUNCTION("""COMPUTED_VALUE"""),"brb")</f>
        <v>brb</v>
      </c>
      <c r="C1311" t="str">
        <f>IFERROR(__xludf.DUMMYFUNCTION("""COMPUTED_VALUE"""),"Barbados")</f>
        <v>Barbados</v>
      </c>
      <c r="D1311">
        <f>IFERROR(__xludf.DUMMYFUNCTION("""COMPUTED_VALUE"""),1983.0)</f>
        <v>1983</v>
      </c>
      <c r="E1311">
        <f>IFERROR(__xludf.DUMMYFUNCTION("""COMPUTED_VALUE"""),254518.0)</f>
        <v>254518</v>
      </c>
    </row>
    <row r="1312">
      <c r="A1312" t="str">
        <f t="shared" si="1"/>
        <v>brb#1984</v>
      </c>
      <c r="B1312" t="str">
        <f>IFERROR(__xludf.DUMMYFUNCTION("""COMPUTED_VALUE"""),"brb")</f>
        <v>brb</v>
      </c>
      <c r="C1312" t="str">
        <f>IFERROR(__xludf.DUMMYFUNCTION("""COMPUTED_VALUE"""),"Barbados")</f>
        <v>Barbados</v>
      </c>
      <c r="D1312">
        <f>IFERROR(__xludf.DUMMYFUNCTION("""COMPUTED_VALUE"""),1984.0)</f>
        <v>1984</v>
      </c>
      <c r="E1312">
        <f>IFERROR(__xludf.DUMMYFUNCTION("""COMPUTED_VALUE"""),255193.0)</f>
        <v>255193</v>
      </c>
    </row>
    <row r="1313">
      <c r="A1313" t="str">
        <f t="shared" si="1"/>
        <v>brb#1985</v>
      </c>
      <c r="B1313" t="str">
        <f>IFERROR(__xludf.DUMMYFUNCTION("""COMPUTED_VALUE"""),"brb")</f>
        <v>brb</v>
      </c>
      <c r="C1313" t="str">
        <f>IFERROR(__xludf.DUMMYFUNCTION("""COMPUTED_VALUE"""),"Barbados")</f>
        <v>Barbados</v>
      </c>
      <c r="D1313">
        <f>IFERROR(__xludf.DUMMYFUNCTION("""COMPUTED_VALUE"""),1985.0)</f>
        <v>1985</v>
      </c>
      <c r="E1313">
        <f>IFERROR(__xludf.DUMMYFUNCTION("""COMPUTED_VALUE"""),255924.0)</f>
        <v>255924</v>
      </c>
    </row>
    <row r="1314">
      <c r="A1314" t="str">
        <f t="shared" si="1"/>
        <v>brb#1986</v>
      </c>
      <c r="B1314" t="str">
        <f>IFERROR(__xludf.DUMMYFUNCTION("""COMPUTED_VALUE"""),"brb")</f>
        <v>brb</v>
      </c>
      <c r="C1314" t="str">
        <f>IFERROR(__xludf.DUMMYFUNCTION("""COMPUTED_VALUE"""),"Barbados")</f>
        <v>Barbados</v>
      </c>
      <c r="D1314">
        <f>IFERROR(__xludf.DUMMYFUNCTION("""COMPUTED_VALUE"""),1986.0)</f>
        <v>1986</v>
      </c>
      <c r="E1314">
        <f>IFERROR(__xludf.DUMMYFUNCTION("""COMPUTED_VALUE"""),256736.0)</f>
        <v>256736</v>
      </c>
    </row>
    <row r="1315">
      <c r="A1315" t="str">
        <f t="shared" si="1"/>
        <v>brb#1987</v>
      </c>
      <c r="B1315" t="str">
        <f>IFERROR(__xludf.DUMMYFUNCTION("""COMPUTED_VALUE"""),"brb")</f>
        <v>brb</v>
      </c>
      <c r="C1315" t="str">
        <f>IFERROR(__xludf.DUMMYFUNCTION("""COMPUTED_VALUE"""),"Barbados")</f>
        <v>Barbados</v>
      </c>
      <c r="D1315">
        <f>IFERROR(__xludf.DUMMYFUNCTION("""COMPUTED_VALUE"""),1987.0)</f>
        <v>1987</v>
      </c>
      <c r="E1315">
        <f>IFERROR(__xludf.DUMMYFUNCTION("""COMPUTED_VALUE"""),257611.0)</f>
        <v>257611</v>
      </c>
    </row>
    <row r="1316">
      <c r="A1316" t="str">
        <f t="shared" si="1"/>
        <v>brb#1988</v>
      </c>
      <c r="B1316" t="str">
        <f>IFERROR(__xludf.DUMMYFUNCTION("""COMPUTED_VALUE"""),"brb")</f>
        <v>brb</v>
      </c>
      <c r="C1316" t="str">
        <f>IFERROR(__xludf.DUMMYFUNCTION("""COMPUTED_VALUE"""),"Barbados")</f>
        <v>Barbados</v>
      </c>
      <c r="D1316">
        <f>IFERROR(__xludf.DUMMYFUNCTION("""COMPUTED_VALUE"""),1988.0)</f>
        <v>1988</v>
      </c>
      <c r="E1316">
        <f>IFERROR(__xludf.DUMMYFUNCTION("""COMPUTED_VALUE"""),258527.0)</f>
        <v>258527</v>
      </c>
    </row>
    <row r="1317">
      <c r="A1317" t="str">
        <f t="shared" si="1"/>
        <v>brb#1989</v>
      </c>
      <c r="B1317" t="str">
        <f>IFERROR(__xludf.DUMMYFUNCTION("""COMPUTED_VALUE"""),"brb")</f>
        <v>brb</v>
      </c>
      <c r="C1317" t="str">
        <f>IFERROR(__xludf.DUMMYFUNCTION("""COMPUTED_VALUE"""),"Barbados")</f>
        <v>Barbados</v>
      </c>
      <c r="D1317">
        <f>IFERROR(__xludf.DUMMYFUNCTION("""COMPUTED_VALUE"""),1989.0)</f>
        <v>1989</v>
      </c>
      <c r="E1317">
        <f>IFERROR(__xludf.DUMMYFUNCTION("""COMPUTED_VALUE"""),259458.0)</f>
        <v>259458</v>
      </c>
    </row>
    <row r="1318">
      <c r="A1318" t="str">
        <f t="shared" si="1"/>
        <v>brb#1990</v>
      </c>
      <c r="B1318" t="str">
        <f>IFERROR(__xludf.DUMMYFUNCTION("""COMPUTED_VALUE"""),"brb")</f>
        <v>brb</v>
      </c>
      <c r="C1318" t="str">
        <f>IFERROR(__xludf.DUMMYFUNCTION("""COMPUTED_VALUE"""),"Barbados")</f>
        <v>Barbados</v>
      </c>
      <c r="D1318">
        <f>IFERROR(__xludf.DUMMYFUNCTION("""COMPUTED_VALUE"""),1990.0)</f>
        <v>1990</v>
      </c>
      <c r="E1318">
        <f>IFERROR(__xludf.DUMMYFUNCTION("""COMPUTED_VALUE"""),260374.0)</f>
        <v>260374</v>
      </c>
    </row>
    <row r="1319">
      <c r="A1319" t="str">
        <f t="shared" si="1"/>
        <v>brb#1991</v>
      </c>
      <c r="B1319" t="str">
        <f>IFERROR(__xludf.DUMMYFUNCTION("""COMPUTED_VALUE"""),"brb")</f>
        <v>brb</v>
      </c>
      <c r="C1319" t="str">
        <f>IFERROR(__xludf.DUMMYFUNCTION("""COMPUTED_VALUE"""),"Barbados")</f>
        <v>Barbados</v>
      </c>
      <c r="D1319">
        <f>IFERROR(__xludf.DUMMYFUNCTION("""COMPUTED_VALUE"""),1991.0)</f>
        <v>1991</v>
      </c>
      <c r="E1319">
        <f>IFERROR(__xludf.DUMMYFUNCTION("""COMPUTED_VALUE"""),261275.0)</f>
        <v>261275</v>
      </c>
    </row>
    <row r="1320">
      <c r="A1320" t="str">
        <f t="shared" si="1"/>
        <v>brb#1992</v>
      </c>
      <c r="B1320" t="str">
        <f>IFERROR(__xludf.DUMMYFUNCTION("""COMPUTED_VALUE"""),"brb")</f>
        <v>brb</v>
      </c>
      <c r="C1320" t="str">
        <f>IFERROR(__xludf.DUMMYFUNCTION("""COMPUTED_VALUE"""),"Barbados")</f>
        <v>Barbados</v>
      </c>
      <c r="D1320">
        <f>IFERROR(__xludf.DUMMYFUNCTION("""COMPUTED_VALUE"""),1992.0)</f>
        <v>1992</v>
      </c>
      <c r="E1320">
        <f>IFERROR(__xludf.DUMMYFUNCTION("""COMPUTED_VALUE"""),262184.0)</f>
        <v>262184</v>
      </c>
    </row>
    <row r="1321">
      <c r="A1321" t="str">
        <f t="shared" si="1"/>
        <v>brb#1993</v>
      </c>
      <c r="B1321" t="str">
        <f>IFERROR(__xludf.DUMMYFUNCTION("""COMPUTED_VALUE"""),"brb")</f>
        <v>brb</v>
      </c>
      <c r="C1321" t="str">
        <f>IFERROR(__xludf.DUMMYFUNCTION("""COMPUTED_VALUE"""),"Barbados")</f>
        <v>Barbados</v>
      </c>
      <c r="D1321">
        <f>IFERROR(__xludf.DUMMYFUNCTION("""COMPUTED_VALUE"""),1993.0)</f>
        <v>1993</v>
      </c>
      <c r="E1321">
        <f>IFERROR(__xludf.DUMMYFUNCTION("""COMPUTED_VALUE"""),263089.0)</f>
        <v>263089</v>
      </c>
    </row>
    <row r="1322">
      <c r="A1322" t="str">
        <f t="shared" si="1"/>
        <v>brb#1994</v>
      </c>
      <c r="B1322" t="str">
        <f>IFERROR(__xludf.DUMMYFUNCTION("""COMPUTED_VALUE"""),"brb")</f>
        <v>brb</v>
      </c>
      <c r="C1322" t="str">
        <f>IFERROR(__xludf.DUMMYFUNCTION("""COMPUTED_VALUE"""),"Barbados")</f>
        <v>Barbados</v>
      </c>
      <c r="D1322">
        <f>IFERROR(__xludf.DUMMYFUNCTION("""COMPUTED_VALUE"""),1994.0)</f>
        <v>1994</v>
      </c>
      <c r="E1322">
        <f>IFERROR(__xludf.DUMMYFUNCTION("""COMPUTED_VALUE"""),264015.0)</f>
        <v>264015</v>
      </c>
    </row>
    <row r="1323">
      <c r="A1323" t="str">
        <f t="shared" si="1"/>
        <v>brb#1995</v>
      </c>
      <c r="B1323" t="str">
        <f>IFERROR(__xludf.DUMMYFUNCTION("""COMPUTED_VALUE"""),"brb")</f>
        <v>brb</v>
      </c>
      <c r="C1323" t="str">
        <f>IFERROR(__xludf.DUMMYFUNCTION("""COMPUTED_VALUE"""),"Barbados")</f>
        <v>Barbados</v>
      </c>
      <c r="D1323">
        <f>IFERROR(__xludf.DUMMYFUNCTION("""COMPUTED_VALUE"""),1995.0)</f>
        <v>1995</v>
      </c>
      <c r="E1323">
        <f>IFERROR(__xludf.DUMMYFUNCTION("""COMPUTED_VALUE"""),264959.0)</f>
        <v>264959</v>
      </c>
    </row>
    <row r="1324">
      <c r="A1324" t="str">
        <f t="shared" si="1"/>
        <v>brb#1996</v>
      </c>
      <c r="B1324" t="str">
        <f>IFERROR(__xludf.DUMMYFUNCTION("""COMPUTED_VALUE"""),"brb")</f>
        <v>brb</v>
      </c>
      <c r="C1324" t="str">
        <f>IFERROR(__xludf.DUMMYFUNCTION("""COMPUTED_VALUE"""),"Barbados")</f>
        <v>Barbados</v>
      </c>
      <c r="D1324">
        <f>IFERROR(__xludf.DUMMYFUNCTION("""COMPUTED_VALUE"""),1996.0)</f>
        <v>1996</v>
      </c>
      <c r="E1324">
        <f>IFERROR(__xludf.DUMMYFUNCTION("""COMPUTED_VALUE"""),265942.0)</f>
        <v>265942</v>
      </c>
    </row>
    <row r="1325">
      <c r="A1325" t="str">
        <f t="shared" si="1"/>
        <v>brb#1997</v>
      </c>
      <c r="B1325" t="str">
        <f>IFERROR(__xludf.DUMMYFUNCTION("""COMPUTED_VALUE"""),"brb")</f>
        <v>brb</v>
      </c>
      <c r="C1325" t="str">
        <f>IFERROR(__xludf.DUMMYFUNCTION("""COMPUTED_VALUE"""),"Barbados")</f>
        <v>Barbados</v>
      </c>
      <c r="D1325">
        <f>IFERROR(__xludf.DUMMYFUNCTION("""COMPUTED_VALUE"""),1997.0)</f>
        <v>1997</v>
      </c>
      <c r="E1325">
        <f>IFERROR(__xludf.DUMMYFUNCTION("""COMPUTED_VALUE"""),266945.0)</f>
        <v>266945</v>
      </c>
    </row>
    <row r="1326">
      <c r="A1326" t="str">
        <f t="shared" si="1"/>
        <v>brb#1998</v>
      </c>
      <c r="B1326" t="str">
        <f>IFERROR(__xludf.DUMMYFUNCTION("""COMPUTED_VALUE"""),"brb")</f>
        <v>brb</v>
      </c>
      <c r="C1326" t="str">
        <f>IFERROR(__xludf.DUMMYFUNCTION("""COMPUTED_VALUE"""),"Barbados")</f>
        <v>Barbados</v>
      </c>
      <c r="D1326">
        <f>IFERROR(__xludf.DUMMYFUNCTION("""COMPUTED_VALUE"""),1998.0)</f>
        <v>1998</v>
      </c>
      <c r="E1326">
        <f>IFERROR(__xludf.DUMMYFUNCTION("""COMPUTED_VALUE"""),267950.0)</f>
        <v>267950</v>
      </c>
    </row>
    <row r="1327">
      <c r="A1327" t="str">
        <f t="shared" si="1"/>
        <v>brb#1999</v>
      </c>
      <c r="B1327" t="str">
        <f>IFERROR(__xludf.DUMMYFUNCTION("""COMPUTED_VALUE"""),"brb")</f>
        <v>brb</v>
      </c>
      <c r="C1327" t="str">
        <f>IFERROR(__xludf.DUMMYFUNCTION("""COMPUTED_VALUE"""),"Barbados")</f>
        <v>Barbados</v>
      </c>
      <c r="D1327">
        <f>IFERROR(__xludf.DUMMYFUNCTION("""COMPUTED_VALUE"""),1999.0)</f>
        <v>1999</v>
      </c>
      <c r="E1327">
        <f>IFERROR(__xludf.DUMMYFUNCTION("""COMPUTED_VALUE"""),268922.0)</f>
        <v>268922</v>
      </c>
    </row>
    <row r="1328">
      <c r="A1328" t="str">
        <f t="shared" si="1"/>
        <v>brb#2000</v>
      </c>
      <c r="B1328" t="str">
        <f>IFERROR(__xludf.DUMMYFUNCTION("""COMPUTED_VALUE"""),"brb")</f>
        <v>brb</v>
      </c>
      <c r="C1328" t="str">
        <f>IFERROR(__xludf.DUMMYFUNCTION("""COMPUTED_VALUE"""),"Barbados")</f>
        <v>Barbados</v>
      </c>
      <c r="D1328">
        <f>IFERROR(__xludf.DUMMYFUNCTION("""COMPUTED_VALUE"""),2000.0)</f>
        <v>2000</v>
      </c>
      <c r="E1328">
        <f>IFERROR(__xludf.DUMMYFUNCTION("""COMPUTED_VALUE"""),269847.0)</f>
        <v>269847</v>
      </c>
    </row>
    <row r="1329">
      <c r="A1329" t="str">
        <f t="shared" si="1"/>
        <v>brb#2001</v>
      </c>
      <c r="B1329" t="str">
        <f>IFERROR(__xludf.DUMMYFUNCTION("""COMPUTED_VALUE"""),"brb")</f>
        <v>brb</v>
      </c>
      <c r="C1329" t="str">
        <f>IFERROR(__xludf.DUMMYFUNCTION("""COMPUTED_VALUE"""),"Barbados")</f>
        <v>Barbados</v>
      </c>
      <c r="D1329">
        <f>IFERROR(__xludf.DUMMYFUNCTION("""COMPUTED_VALUE"""),2001.0)</f>
        <v>2001</v>
      </c>
      <c r="E1329">
        <f>IFERROR(__xludf.DUMMYFUNCTION("""COMPUTED_VALUE"""),270685.0)</f>
        <v>270685</v>
      </c>
    </row>
    <row r="1330">
      <c r="A1330" t="str">
        <f t="shared" si="1"/>
        <v>brb#2002</v>
      </c>
      <c r="B1330" t="str">
        <f>IFERROR(__xludf.DUMMYFUNCTION("""COMPUTED_VALUE"""),"brb")</f>
        <v>brb</v>
      </c>
      <c r="C1330" t="str">
        <f>IFERROR(__xludf.DUMMYFUNCTION("""COMPUTED_VALUE"""),"Barbados")</f>
        <v>Barbados</v>
      </c>
      <c r="D1330">
        <f>IFERROR(__xludf.DUMMYFUNCTION("""COMPUTED_VALUE"""),2002.0)</f>
        <v>2002</v>
      </c>
      <c r="E1330">
        <f>IFERROR(__xludf.DUMMYFUNCTION("""COMPUTED_VALUE"""),271478.0)</f>
        <v>271478</v>
      </c>
    </row>
    <row r="1331">
      <c r="A1331" t="str">
        <f t="shared" si="1"/>
        <v>brb#2003</v>
      </c>
      <c r="B1331" t="str">
        <f>IFERROR(__xludf.DUMMYFUNCTION("""COMPUTED_VALUE"""),"brb")</f>
        <v>brb</v>
      </c>
      <c r="C1331" t="str">
        <f>IFERROR(__xludf.DUMMYFUNCTION("""COMPUTED_VALUE"""),"Barbados")</f>
        <v>Barbados</v>
      </c>
      <c r="D1331">
        <f>IFERROR(__xludf.DUMMYFUNCTION("""COMPUTED_VALUE"""),2003.0)</f>
        <v>2003</v>
      </c>
      <c r="E1331">
        <f>IFERROR(__xludf.DUMMYFUNCTION("""COMPUTED_VALUE"""),272258.0)</f>
        <v>272258</v>
      </c>
    </row>
    <row r="1332">
      <c r="A1332" t="str">
        <f t="shared" si="1"/>
        <v>brb#2004</v>
      </c>
      <c r="B1332" t="str">
        <f>IFERROR(__xludf.DUMMYFUNCTION("""COMPUTED_VALUE"""),"brb")</f>
        <v>brb</v>
      </c>
      <c r="C1332" t="str">
        <f>IFERROR(__xludf.DUMMYFUNCTION("""COMPUTED_VALUE"""),"Barbados")</f>
        <v>Barbados</v>
      </c>
      <c r="D1332">
        <f>IFERROR(__xludf.DUMMYFUNCTION("""COMPUTED_VALUE"""),2004.0)</f>
        <v>2004</v>
      </c>
      <c r="E1332">
        <f>IFERROR(__xludf.DUMMYFUNCTION("""COMPUTED_VALUE"""),273091.0)</f>
        <v>273091</v>
      </c>
    </row>
    <row r="1333">
      <c r="A1333" t="str">
        <f t="shared" si="1"/>
        <v>brb#2005</v>
      </c>
      <c r="B1333" t="str">
        <f>IFERROR(__xludf.DUMMYFUNCTION("""COMPUTED_VALUE"""),"brb")</f>
        <v>brb</v>
      </c>
      <c r="C1333" t="str">
        <f>IFERROR(__xludf.DUMMYFUNCTION("""COMPUTED_VALUE"""),"Barbados")</f>
        <v>Barbados</v>
      </c>
      <c r="D1333">
        <f>IFERROR(__xludf.DUMMYFUNCTION("""COMPUTED_VALUE"""),2005.0)</f>
        <v>2005</v>
      </c>
      <c r="E1333">
        <f>IFERROR(__xludf.DUMMYFUNCTION("""COMPUTED_VALUE"""),274009.0)</f>
        <v>274009</v>
      </c>
    </row>
    <row r="1334">
      <c r="A1334" t="str">
        <f t="shared" si="1"/>
        <v>brb#2006</v>
      </c>
      <c r="B1334" t="str">
        <f>IFERROR(__xludf.DUMMYFUNCTION("""COMPUTED_VALUE"""),"brb")</f>
        <v>brb</v>
      </c>
      <c r="C1334" t="str">
        <f>IFERROR(__xludf.DUMMYFUNCTION("""COMPUTED_VALUE"""),"Barbados")</f>
        <v>Barbados</v>
      </c>
      <c r="D1334">
        <f>IFERROR(__xludf.DUMMYFUNCTION("""COMPUTED_VALUE"""),2006.0)</f>
        <v>2006</v>
      </c>
      <c r="E1334">
        <f>IFERROR(__xludf.DUMMYFUNCTION("""COMPUTED_VALUE"""),275039.0)</f>
        <v>275039</v>
      </c>
    </row>
    <row r="1335">
      <c r="A1335" t="str">
        <f t="shared" si="1"/>
        <v>brb#2007</v>
      </c>
      <c r="B1335" t="str">
        <f>IFERROR(__xludf.DUMMYFUNCTION("""COMPUTED_VALUE"""),"brb")</f>
        <v>brb</v>
      </c>
      <c r="C1335" t="str">
        <f>IFERROR(__xludf.DUMMYFUNCTION("""COMPUTED_VALUE"""),"Barbados")</f>
        <v>Barbados</v>
      </c>
      <c r="D1335">
        <f>IFERROR(__xludf.DUMMYFUNCTION("""COMPUTED_VALUE"""),2007.0)</f>
        <v>2007</v>
      </c>
      <c r="E1335">
        <f>IFERROR(__xludf.DUMMYFUNCTION("""COMPUTED_VALUE"""),276150.0)</f>
        <v>276150</v>
      </c>
    </row>
    <row r="1336">
      <c r="A1336" t="str">
        <f t="shared" si="1"/>
        <v>brb#2008</v>
      </c>
      <c r="B1336" t="str">
        <f>IFERROR(__xludf.DUMMYFUNCTION("""COMPUTED_VALUE"""),"brb")</f>
        <v>brb</v>
      </c>
      <c r="C1336" t="str">
        <f>IFERROR(__xludf.DUMMYFUNCTION("""COMPUTED_VALUE"""),"Barbados")</f>
        <v>Barbados</v>
      </c>
      <c r="D1336">
        <f>IFERROR(__xludf.DUMMYFUNCTION("""COMPUTED_VALUE"""),2008.0)</f>
        <v>2008</v>
      </c>
      <c r="E1336">
        <f>IFERROR(__xludf.DUMMYFUNCTION("""COMPUTED_VALUE"""),277319.0)</f>
        <v>277319</v>
      </c>
    </row>
    <row r="1337">
      <c r="A1337" t="str">
        <f t="shared" si="1"/>
        <v>brb#2009</v>
      </c>
      <c r="B1337" t="str">
        <f>IFERROR(__xludf.DUMMYFUNCTION("""COMPUTED_VALUE"""),"brb")</f>
        <v>brb</v>
      </c>
      <c r="C1337" t="str">
        <f>IFERROR(__xludf.DUMMYFUNCTION("""COMPUTED_VALUE"""),"Barbados")</f>
        <v>Barbados</v>
      </c>
      <c r="D1337">
        <f>IFERROR(__xludf.DUMMYFUNCTION("""COMPUTED_VALUE"""),2009.0)</f>
        <v>2009</v>
      </c>
      <c r="E1337">
        <f>IFERROR(__xludf.DUMMYFUNCTION("""COMPUTED_VALUE"""),278470.0)</f>
        <v>278470</v>
      </c>
    </row>
    <row r="1338">
      <c r="A1338" t="str">
        <f t="shared" si="1"/>
        <v>brb#2010</v>
      </c>
      <c r="B1338" t="str">
        <f>IFERROR(__xludf.DUMMYFUNCTION("""COMPUTED_VALUE"""),"brb")</f>
        <v>brb</v>
      </c>
      <c r="C1338" t="str">
        <f>IFERROR(__xludf.DUMMYFUNCTION("""COMPUTED_VALUE"""),"Barbados")</f>
        <v>Barbados</v>
      </c>
      <c r="D1338">
        <f>IFERROR(__xludf.DUMMYFUNCTION("""COMPUTED_VALUE"""),2010.0)</f>
        <v>2010</v>
      </c>
      <c r="E1338">
        <f>IFERROR(__xludf.DUMMYFUNCTION("""COMPUTED_VALUE"""),279569.0)</f>
        <v>279569</v>
      </c>
    </row>
    <row r="1339">
      <c r="A1339" t="str">
        <f t="shared" si="1"/>
        <v>brb#2011</v>
      </c>
      <c r="B1339" t="str">
        <f>IFERROR(__xludf.DUMMYFUNCTION("""COMPUTED_VALUE"""),"brb")</f>
        <v>brb</v>
      </c>
      <c r="C1339" t="str">
        <f>IFERROR(__xludf.DUMMYFUNCTION("""COMPUTED_VALUE"""),"Barbados")</f>
        <v>Barbados</v>
      </c>
      <c r="D1339">
        <f>IFERROR(__xludf.DUMMYFUNCTION("""COMPUTED_VALUE"""),2011.0)</f>
        <v>2011</v>
      </c>
      <c r="E1339">
        <f>IFERROR(__xludf.DUMMYFUNCTION("""COMPUTED_VALUE"""),280601.0)</f>
        <v>280601</v>
      </c>
    </row>
    <row r="1340">
      <c r="A1340" t="str">
        <f t="shared" si="1"/>
        <v>brb#2012</v>
      </c>
      <c r="B1340" t="str">
        <f>IFERROR(__xludf.DUMMYFUNCTION("""COMPUTED_VALUE"""),"brb")</f>
        <v>brb</v>
      </c>
      <c r="C1340" t="str">
        <f>IFERROR(__xludf.DUMMYFUNCTION("""COMPUTED_VALUE"""),"Barbados")</f>
        <v>Barbados</v>
      </c>
      <c r="D1340">
        <f>IFERROR(__xludf.DUMMYFUNCTION("""COMPUTED_VALUE"""),2012.0)</f>
        <v>2012</v>
      </c>
      <c r="E1340">
        <f>IFERROR(__xludf.DUMMYFUNCTION("""COMPUTED_VALUE"""),281585.0)</f>
        <v>281585</v>
      </c>
    </row>
    <row r="1341">
      <c r="A1341" t="str">
        <f t="shared" si="1"/>
        <v>brb#2013</v>
      </c>
      <c r="B1341" t="str">
        <f>IFERROR(__xludf.DUMMYFUNCTION("""COMPUTED_VALUE"""),"brb")</f>
        <v>brb</v>
      </c>
      <c r="C1341" t="str">
        <f>IFERROR(__xludf.DUMMYFUNCTION("""COMPUTED_VALUE"""),"Barbados")</f>
        <v>Barbados</v>
      </c>
      <c r="D1341">
        <f>IFERROR(__xludf.DUMMYFUNCTION("""COMPUTED_VALUE"""),2013.0)</f>
        <v>2013</v>
      </c>
      <c r="E1341">
        <f>IFERROR(__xludf.DUMMYFUNCTION("""COMPUTED_VALUE"""),282509.0)</f>
        <v>282509</v>
      </c>
    </row>
    <row r="1342">
      <c r="A1342" t="str">
        <f t="shared" si="1"/>
        <v>brb#2014</v>
      </c>
      <c r="B1342" t="str">
        <f>IFERROR(__xludf.DUMMYFUNCTION("""COMPUTED_VALUE"""),"brb")</f>
        <v>brb</v>
      </c>
      <c r="C1342" t="str">
        <f>IFERROR(__xludf.DUMMYFUNCTION("""COMPUTED_VALUE"""),"Barbados")</f>
        <v>Barbados</v>
      </c>
      <c r="D1342">
        <f>IFERROR(__xludf.DUMMYFUNCTION("""COMPUTED_VALUE"""),2014.0)</f>
        <v>2014</v>
      </c>
      <c r="E1342">
        <f>IFERROR(__xludf.DUMMYFUNCTION("""COMPUTED_VALUE"""),283385.0)</f>
        <v>283385</v>
      </c>
    </row>
    <row r="1343">
      <c r="A1343" t="str">
        <f t="shared" si="1"/>
        <v>brb#2015</v>
      </c>
      <c r="B1343" t="str">
        <f>IFERROR(__xludf.DUMMYFUNCTION("""COMPUTED_VALUE"""),"brb")</f>
        <v>brb</v>
      </c>
      <c r="C1343" t="str">
        <f>IFERROR(__xludf.DUMMYFUNCTION("""COMPUTED_VALUE"""),"Barbados")</f>
        <v>Barbados</v>
      </c>
      <c r="D1343">
        <f>IFERROR(__xludf.DUMMYFUNCTION("""COMPUTED_VALUE"""),2015.0)</f>
        <v>2015</v>
      </c>
      <c r="E1343">
        <f>IFERROR(__xludf.DUMMYFUNCTION("""COMPUTED_VALUE"""),284217.0)</f>
        <v>284217</v>
      </c>
    </row>
    <row r="1344">
      <c r="A1344" t="str">
        <f t="shared" si="1"/>
        <v>brb#2016</v>
      </c>
      <c r="B1344" t="str">
        <f>IFERROR(__xludf.DUMMYFUNCTION("""COMPUTED_VALUE"""),"brb")</f>
        <v>brb</v>
      </c>
      <c r="C1344" t="str">
        <f>IFERROR(__xludf.DUMMYFUNCTION("""COMPUTED_VALUE"""),"Barbados")</f>
        <v>Barbados</v>
      </c>
      <c r="D1344">
        <f>IFERROR(__xludf.DUMMYFUNCTION("""COMPUTED_VALUE"""),2016.0)</f>
        <v>2016</v>
      </c>
      <c r="E1344">
        <f>IFERROR(__xludf.DUMMYFUNCTION("""COMPUTED_VALUE"""),284996.0)</f>
        <v>284996</v>
      </c>
    </row>
    <row r="1345">
      <c r="A1345" t="str">
        <f t="shared" si="1"/>
        <v>brb#2017</v>
      </c>
      <c r="B1345" t="str">
        <f>IFERROR(__xludf.DUMMYFUNCTION("""COMPUTED_VALUE"""),"brb")</f>
        <v>brb</v>
      </c>
      <c r="C1345" t="str">
        <f>IFERROR(__xludf.DUMMYFUNCTION("""COMPUTED_VALUE"""),"Barbados")</f>
        <v>Barbados</v>
      </c>
      <c r="D1345">
        <f>IFERROR(__xludf.DUMMYFUNCTION("""COMPUTED_VALUE"""),2017.0)</f>
        <v>2017</v>
      </c>
      <c r="E1345">
        <f>IFERROR(__xludf.DUMMYFUNCTION("""COMPUTED_VALUE"""),285719.0)</f>
        <v>285719</v>
      </c>
    </row>
    <row r="1346">
      <c r="A1346" t="str">
        <f t="shared" si="1"/>
        <v>brb#2018</v>
      </c>
      <c r="B1346" t="str">
        <f>IFERROR(__xludf.DUMMYFUNCTION("""COMPUTED_VALUE"""),"brb")</f>
        <v>brb</v>
      </c>
      <c r="C1346" t="str">
        <f>IFERROR(__xludf.DUMMYFUNCTION("""COMPUTED_VALUE"""),"Barbados")</f>
        <v>Barbados</v>
      </c>
      <c r="D1346">
        <f>IFERROR(__xludf.DUMMYFUNCTION("""COMPUTED_VALUE"""),2018.0)</f>
        <v>2018</v>
      </c>
      <c r="E1346">
        <f>IFERROR(__xludf.DUMMYFUNCTION("""COMPUTED_VALUE"""),286388.0)</f>
        <v>286388</v>
      </c>
    </row>
    <row r="1347">
      <c r="A1347" t="str">
        <f t="shared" si="1"/>
        <v>brb#2019</v>
      </c>
      <c r="B1347" t="str">
        <f>IFERROR(__xludf.DUMMYFUNCTION("""COMPUTED_VALUE"""),"brb")</f>
        <v>brb</v>
      </c>
      <c r="C1347" t="str">
        <f>IFERROR(__xludf.DUMMYFUNCTION("""COMPUTED_VALUE"""),"Barbados")</f>
        <v>Barbados</v>
      </c>
      <c r="D1347">
        <f>IFERROR(__xludf.DUMMYFUNCTION("""COMPUTED_VALUE"""),2019.0)</f>
        <v>2019</v>
      </c>
      <c r="E1347">
        <f>IFERROR(__xludf.DUMMYFUNCTION("""COMPUTED_VALUE"""),287010.0)</f>
        <v>287010</v>
      </c>
    </row>
    <row r="1348">
      <c r="A1348" t="str">
        <f t="shared" si="1"/>
        <v>brb#2020</v>
      </c>
      <c r="B1348" t="str">
        <f>IFERROR(__xludf.DUMMYFUNCTION("""COMPUTED_VALUE"""),"brb")</f>
        <v>brb</v>
      </c>
      <c r="C1348" t="str">
        <f>IFERROR(__xludf.DUMMYFUNCTION("""COMPUTED_VALUE"""),"Barbados")</f>
        <v>Barbados</v>
      </c>
      <c r="D1348">
        <f>IFERROR(__xludf.DUMMYFUNCTION("""COMPUTED_VALUE"""),2020.0)</f>
        <v>2020</v>
      </c>
      <c r="E1348">
        <f>IFERROR(__xludf.DUMMYFUNCTION("""COMPUTED_VALUE"""),287568.0)</f>
        <v>287568</v>
      </c>
    </row>
    <row r="1349">
      <c r="A1349" t="str">
        <f t="shared" si="1"/>
        <v>brb#2021</v>
      </c>
      <c r="B1349" t="str">
        <f>IFERROR(__xludf.DUMMYFUNCTION("""COMPUTED_VALUE"""),"brb")</f>
        <v>brb</v>
      </c>
      <c r="C1349" t="str">
        <f>IFERROR(__xludf.DUMMYFUNCTION("""COMPUTED_VALUE"""),"Barbados")</f>
        <v>Barbados</v>
      </c>
      <c r="D1349">
        <f>IFERROR(__xludf.DUMMYFUNCTION("""COMPUTED_VALUE"""),2021.0)</f>
        <v>2021</v>
      </c>
      <c r="E1349">
        <f>IFERROR(__xludf.DUMMYFUNCTION("""COMPUTED_VALUE"""),288071.0)</f>
        <v>288071</v>
      </c>
    </row>
    <row r="1350">
      <c r="A1350" t="str">
        <f t="shared" si="1"/>
        <v>brb#2022</v>
      </c>
      <c r="B1350" t="str">
        <f>IFERROR(__xludf.DUMMYFUNCTION("""COMPUTED_VALUE"""),"brb")</f>
        <v>brb</v>
      </c>
      <c r="C1350" t="str">
        <f>IFERROR(__xludf.DUMMYFUNCTION("""COMPUTED_VALUE"""),"Barbados")</f>
        <v>Barbados</v>
      </c>
      <c r="D1350">
        <f>IFERROR(__xludf.DUMMYFUNCTION("""COMPUTED_VALUE"""),2022.0)</f>
        <v>2022</v>
      </c>
      <c r="E1350">
        <f>IFERROR(__xludf.DUMMYFUNCTION("""COMPUTED_VALUE"""),288529.0)</f>
        <v>288529</v>
      </c>
    </row>
    <row r="1351">
      <c r="A1351" t="str">
        <f t="shared" si="1"/>
        <v>brb#2023</v>
      </c>
      <c r="B1351" t="str">
        <f>IFERROR(__xludf.DUMMYFUNCTION("""COMPUTED_VALUE"""),"brb")</f>
        <v>brb</v>
      </c>
      <c r="C1351" t="str">
        <f>IFERROR(__xludf.DUMMYFUNCTION("""COMPUTED_VALUE"""),"Barbados")</f>
        <v>Barbados</v>
      </c>
      <c r="D1351">
        <f>IFERROR(__xludf.DUMMYFUNCTION("""COMPUTED_VALUE"""),2023.0)</f>
        <v>2023</v>
      </c>
      <c r="E1351">
        <f>IFERROR(__xludf.DUMMYFUNCTION("""COMPUTED_VALUE"""),288928.0)</f>
        <v>288928</v>
      </c>
    </row>
    <row r="1352">
      <c r="A1352" t="str">
        <f t="shared" si="1"/>
        <v>brb#2024</v>
      </c>
      <c r="B1352" t="str">
        <f>IFERROR(__xludf.DUMMYFUNCTION("""COMPUTED_VALUE"""),"brb")</f>
        <v>brb</v>
      </c>
      <c r="C1352" t="str">
        <f>IFERROR(__xludf.DUMMYFUNCTION("""COMPUTED_VALUE"""),"Barbados")</f>
        <v>Barbados</v>
      </c>
      <c r="D1352">
        <f>IFERROR(__xludf.DUMMYFUNCTION("""COMPUTED_VALUE"""),2024.0)</f>
        <v>2024</v>
      </c>
      <c r="E1352">
        <f>IFERROR(__xludf.DUMMYFUNCTION("""COMPUTED_VALUE"""),289261.0)</f>
        <v>289261</v>
      </c>
    </row>
    <row r="1353">
      <c r="A1353" t="str">
        <f t="shared" si="1"/>
        <v>brb#2025</v>
      </c>
      <c r="B1353" t="str">
        <f>IFERROR(__xludf.DUMMYFUNCTION("""COMPUTED_VALUE"""),"brb")</f>
        <v>brb</v>
      </c>
      <c r="C1353" t="str">
        <f>IFERROR(__xludf.DUMMYFUNCTION("""COMPUTED_VALUE"""),"Barbados")</f>
        <v>Barbados</v>
      </c>
      <c r="D1353">
        <f>IFERROR(__xludf.DUMMYFUNCTION("""COMPUTED_VALUE"""),2025.0)</f>
        <v>2025</v>
      </c>
      <c r="E1353">
        <f>IFERROR(__xludf.DUMMYFUNCTION("""COMPUTED_VALUE"""),289538.0)</f>
        <v>289538</v>
      </c>
    </row>
    <row r="1354">
      <c r="A1354" t="str">
        <f t="shared" si="1"/>
        <v>brb#2026</v>
      </c>
      <c r="B1354" t="str">
        <f>IFERROR(__xludf.DUMMYFUNCTION("""COMPUTED_VALUE"""),"brb")</f>
        <v>brb</v>
      </c>
      <c r="C1354" t="str">
        <f>IFERROR(__xludf.DUMMYFUNCTION("""COMPUTED_VALUE"""),"Barbados")</f>
        <v>Barbados</v>
      </c>
      <c r="D1354">
        <f>IFERROR(__xludf.DUMMYFUNCTION("""COMPUTED_VALUE"""),2026.0)</f>
        <v>2026</v>
      </c>
      <c r="E1354">
        <f>IFERROR(__xludf.DUMMYFUNCTION("""COMPUTED_VALUE"""),289757.0)</f>
        <v>289757</v>
      </c>
    </row>
    <row r="1355">
      <c r="A1355" t="str">
        <f t="shared" si="1"/>
        <v>brb#2027</v>
      </c>
      <c r="B1355" t="str">
        <f>IFERROR(__xludf.DUMMYFUNCTION("""COMPUTED_VALUE"""),"brb")</f>
        <v>brb</v>
      </c>
      <c r="C1355" t="str">
        <f>IFERROR(__xludf.DUMMYFUNCTION("""COMPUTED_VALUE"""),"Barbados")</f>
        <v>Barbados</v>
      </c>
      <c r="D1355">
        <f>IFERROR(__xludf.DUMMYFUNCTION("""COMPUTED_VALUE"""),2027.0)</f>
        <v>2027</v>
      </c>
      <c r="E1355">
        <f>IFERROR(__xludf.DUMMYFUNCTION("""COMPUTED_VALUE"""),289908.0)</f>
        <v>289908</v>
      </c>
    </row>
    <row r="1356">
      <c r="A1356" t="str">
        <f t="shared" si="1"/>
        <v>brb#2028</v>
      </c>
      <c r="B1356" t="str">
        <f>IFERROR(__xludf.DUMMYFUNCTION("""COMPUTED_VALUE"""),"brb")</f>
        <v>brb</v>
      </c>
      <c r="C1356" t="str">
        <f>IFERROR(__xludf.DUMMYFUNCTION("""COMPUTED_VALUE"""),"Barbados")</f>
        <v>Barbados</v>
      </c>
      <c r="D1356">
        <f>IFERROR(__xludf.DUMMYFUNCTION("""COMPUTED_VALUE"""),2028.0)</f>
        <v>2028</v>
      </c>
      <c r="E1356">
        <f>IFERROR(__xludf.DUMMYFUNCTION("""COMPUTED_VALUE"""),290004.0)</f>
        <v>290004</v>
      </c>
    </row>
    <row r="1357">
      <c r="A1357" t="str">
        <f t="shared" si="1"/>
        <v>brb#2029</v>
      </c>
      <c r="B1357" t="str">
        <f>IFERROR(__xludf.DUMMYFUNCTION("""COMPUTED_VALUE"""),"brb")</f>
        <v>brb</v>
      </c>
      <c r="C1357" t="str">
        <f>IFERROR(__xludf.DUMMYFUNCTION("""COMPUTED_VALUE"""),"Barbados")</f>
        <v>Barbados</v>
      </c>
      <c r="D1357">
        <f>IFERROR(__xludf.DUMMYFUNCTION("""COMPUTED_VALUE"""),2029.0)</f>
        <v>2029</v>
      </c>
      <c r="E1357">
        <f>IFERROR(__xludf.DUMMYFUNCTION("""COMPUTED_VALUE"""),290040.0)</f>
        <v>290040</v>
      </c>
    </row>
    <row r="1358">
      <c r="A1358" t="str">
        <f t="shared" si="1"/>
        <v>brb#2030</v>
      </c>
      <c r="B1358" t="str">
        <f>IFERROR(__xludf.DUMMYFUNCTION("""COMPUTED_VALUE"""),"brb")</f>
        <v>brb</v>
      </c>
      <c r="C1358" t="str">
        <f>IFERROR(__xludf.DUMMYFUNCTION("""COMPUTED_VALUE"""),"Barbados")</f>
        <v>Barbados</v>
      </c>
      <c r="D1358">
        <f>IFERROR(__xludf.DUMMYFUNCTION("""COMPUTED_VALUE"""),2030.0)</f>
        <v>2030</v>
      </c>
      <c r="E1358">
        <f>IFERROR(__xludf.DUMMYFUNCTION("""COMPUTED_VALUE"""),290010.0)</f>
        <v>290010</v>
      </c>
    </row>
    <row r="1359">
      <c r="A1359" t="str">
        <f t="shared" si="1"/>
        <v>brb#2031</v>
      </c>
      <c r="B1359" t="str">
        <f>IFERROR(__xludf.DUMMYFUNCTION("""COMPUTED_VALUE"""),"brb")</f>
        <v>brb</v>
      </c>
      <c r="C1359" t="str">
        <f>IFERROR(__xludf.DUMMYFUNCTION("""COMPUTED_VALUE"""),"Barbados")</f>
        <v>Barbados</v>
      </c>
      <c r="D1359">
        <f>IFERROR(__xludf.DUMMYFUNCTION("""COMPUTED_VALUE"""),2031.0)</f>
        <v>2031</v>
      </c>
      <c r="E1359">
        <f>IFERROR(__xludf.DUMMYFUNCTION("""COMPUTED_VALUE"""),289938.0)</f>
        <v>289938</v>
      </c>
    </row>
    <row r="1360">
      <c r="A1360" t="str">
        <f t="shared" si="1"/>
        <v>brb#2032</v>
      </c>
      <c r="B1360" t="str">
        <f>IFERROR(__xludf.DUMMYFUNCTION("""COMPUTED_VALUE"""),"brb")</f>
        <v>brb</v>
      </c>
      <c r="C1360" t="str">
        <f>IFERROR(__xludf.DUMMYFUNCTION("""COMPUTED_VALUE"""),"Barbados")</f>
        <v>Barbados</v>
      </c>
      <c r="D1360">
        <f>IFERROR(__xludf.DUMMYFUNCTION("""COMPUTED_VALUE"""),2032.0)</f>
        <v>2032</v>
      </c>
      <c r="E1360">
        <f>IFERROR(__xludf.DUMMYFUNCTION("""COMPUTED_VALUE"""),289791.0)</f>
        <v>289791</v>
      </c>
    </row>
    <row r="1361">
      <c r="A1361" t="str">
        <f t="shared" si="1"/>
        <v>brb#2033</v>
      </c>
      <c r="B1361" t="str">
        <f>IFERROR(__xludf.DUMMYFUNCTION("""COMPUTED_VALUE"""),"brb")</f>
        <v>brb</v>
      </c>
      <c r="C1361" t="str">
        <f>IFERROR(__xludf.DUMMYFUNCTION("""COMPUTED_VALUE"""),"Barbados")</f>
        <v>Barbados</v>
      </c>
      <c r="D1361">
        <f>IFERROR(__xludf.DUMMYFUNCTION("""COMPUTED_VALUE"""),2033.0)</f>
        <v>2033</v>
      </c>
      <c r="E1361">
        <f>IFERROR(__xludf.DUMMYFUNCTION("""COMPUTED_VALUE"""),289599.0)</f>
        <v>289599</v>
      </c>
    </row>
    <row r="1362">
      <c r="A1362" t="str">
        <f t="shared" si="1"/>
        <v>brb#2034</v>
      </c>
      <c r="B1362" t="str">
        <f>IFERROR(__xludf.DUMMYFUNCTION("""COMPUTED_VALUE"""),"brb")</f>
        <v>brb</v>
      </c>
      <c r="C1362" t="str">
        <f>IFERROR(__xludf.DUMMYFUNCTION("""COMPUTED_VALUE"""),"Barbados")</f>
        <v>Barbados</v>
      </c>
      <c r="D1362">
        <f>IFERROR(__xludf.DUMMYFUNCTION("""COMPUTED_VALUE"""),2034.0)</f>
        <v>2034</v>
      </c>
      <c r="E1362">
        <f>IFERROR(__xludf.DUMMYFUNCTION("""COMPUTED_VALUE"""),289355.0)</f>
        <v>289355</v>
      </c>
    </row>
    <row r="1363">
      <c r="A1363" t="str">
        <f t="shared" si="1"/>
        <v>brb#2035</v>
      </c>
      <c r="B1363" t="str">
        <f>IFERROR(__xludf.DUMMYFUNCTION("""COMPUTED_VALUE"""),"brb")</f>
        <v>brb</v>
      </c>
      <c r="C1363" t="str">
        <f>IFERROR(__xludf.DUMMYFUNCTION("""COMPUTED_VALUE"""),"Barbados")</f>
        <v>Barbados</v>
      </c>
      <c r="D1363">
        <f>IFERROR(__xludf.DUMMYFUNCTION("""COMPUTED_VALUE"""),2035.0)</f>
        <v>2035</v>
      </c>
      <c r="E1363">
        <f>IFERROR(__xludf.DUMMYFUNCTION("""COMPUTED_VALUE"""),289050.0)</f>
        <v>289050</v>
      </c>
    </row>
    <row r="1364">
      <c r="A1364" t="str">
        <f t="shared" si="1"/>
        <v>brb#2036</v>
      </c>
      <c r="B1364" t="str">
        <f>IFERROR(__xludf.DUMMYFUNCTION("""COMPUTED_VALUE"""),"brb")</f>
        <v>brb</v>
      </c>
      <c r="C1364" t="str">
        <f>IFERROR(__xludf.DUMMYFUNCTION("""COMPUTED_VALUE"""),"Barbados")</f>
        <v>Barbados</v>
      </c>
      <c r="D1364">
        <f>IFERROR(__xludf.DUMMYFUNCTION("""COMPUTED_VALUE"""),2036.0)</f>
        <v>2036</v>
      </c>
      <c r="E1364">
        <f>IFERROR(__xludf.DUMMYFUNCTION("""COMPUTED_VALUE"""),288698.0)</f>
        <v>288698</v>
      </c>
    </row>
    <row r="1365">
      <c r="A1365" t="str">
        <f t="shared" si="1"/>
        <v>brb#2037</v>
      </c>
      <c r="B1365" t="str">
        <f>IFERROR(__xludf.DUMMYFUNCTION("""COMPUTED_VALUE"""),"brb")</f>
        <v>brb</v>
      </c>
      <c r="C1365" t="str">
        <f>IFERROR(__xludf.DUMMYFUNCTION("""COMPUTED_VALUE"""),"Barbados")</f>
        <v>Barbados</v>
      </c>
      <c r="D1365">
        <f>IFERROR(__xludf.DUMMYFUNCTION("""COMPUTED_VALUE"""),2037.0)</f>
        <v>2037</v>
      </c>
      <c r="E1365">
        <f>IFERROR(__xludf.DUMMYFUNCTION("""COMPUTED_VALUE"""),288296.0)</f>
        <v>288296</v>
      </c>
    </row>
    <row r="1366">
      <c r="A1366" t="str">
        <f t="shared" si="1"/>
        <v>brb#2038</v>
      </c>
      <c r="B1366" t="str">
        <f>IFERROR(__xludf.DUMMYFUNCTION("""COMPUTED_VALUE"""),"brb")</f>
        <v>brb</v>
      </c>
      <c r="C1366" t="str">
        <f>IFERROR(__xludf.DUMMYFUNCTION("""COMPUTED_VALUE"""),"Barbados")</f>
        <v>Barbados</v>
      </c>
      <c r="D1366">
        <f>IFERROR(__xludf.DUMMYFUNCTION("""COMPUTED_VALUE"""),2038.0)</f>
        <v>2038</v>
      </c>
      <c r="E1366">
        <f>IFERROR(__xludf.DUMMYFUNCTION("""COMPUTED_VALUE"""),287854.0)</f>
        <v>287854</v>
      </c>
    </row>
    <row r="1367">
      <c r="A1367" t="str">
        <f t="shared" si="1"/>
        <v>brb#2039</v>
      </c>
      <c r="B1367" t="str">
        <f>IFERROR(__xludf.DUMMYFUNCTION("""COMPUTED_VALUE"""),"brb")</f>
        <v>brb</v>
      </c>
      <c r="C1367" t="str">
        <f>IFERROR(__xludf.DUMMYFUNCTION("""COMPUTED_VALUE"""),"Barbados")</f>
        <v>Barbados</v>
      </c>
      <c r="D1367">
        <f>IFERROR(__xludf.DUMMYFUNCTION("""COMPUTED_VALUE"""),2039.0)</f>
        <v>2039</v>
      </c>
      <c r="E1367">
        <f>IFERROR(__xludf.DUMMYFUNCTION("""COMPUTED_VALUE"""),287367.0)</f>
        <v>287367</v>
      </c>
    </row>
    <row r="1368">
      <c r="A1368" t="str">
        <f t="shared" si="1"/>
        <v>brb#2040</v>
      </c>
      <c r="B1368" t="str">
        <f>IFERROR(__xludf.DUMMYFUNCTION("""COMPUTED_VALUE"""),"brb")</f>
        <v>brb</v>
      </c>
      <c r="C1368" t="str">
        <f>IFERROR(__xludf.DUMMYFUNCTION("""COMPUTED_VALUE"""),"Barbados")</f>
        <v>Barbados</v>
      </c>
      <c r="D1368">
        <f>IFERROR(__xludf.DUMMYFUNCTION("""COMPUTED_VALUE"""),2040.0)</f>
        <v>2040</v>
      </c>
      <c r="E1368">
        <f>IFERROR(__xludf.DUMMYFUNCTION("""COMPUTED_VALUE"""),286843.0)</f>
        <v>286843</v>
      </c>
    </row>
    <row r="1369">
      <c r="A1369" t="str">
        <f t="shared" si="1"/>
        <v>blr#1950</v>
      </c>
      <c r="B1369" t="str">
        <f>IFERROR(__xludf.DUMMYFUNCTION("""COMPUTED_VALUE"""),"blr")</f>
        <v>blr</v>
      </c>
      <c r="C1369" t="str">
        <f>IFERROR(__xludf.DUMMYFUNCTION("""COMPUTED_VALUE"""),"Belarus")</f>
        <v>Belarus</v>
      </c>
      <c r="D1369">
        <f>IFERROR(__xludf.DUMMYFUNCTION("""COMPUTED_VALUE"""),1950.0)</f>
        <v>1950</v>
      </c>
      <c r="E1369">
        <f>IFERROR(__xludf.DUMMYFUNCTION("""COMPUTED_VALUE"""),7745002.0)</f>
        <v>7745002</v>
      </c>
    </row>
    <row r="1370">
      <c r="A1370" t="str">
        <f t="shared" si="1"/>
        <v>blr#1951</v>
      </c>
      <c r="B1370" t="str">
        <f>IFERROR(__xludf.DUMMYFUNCTION("""COMPUTED_VALUE"""),"blr")</f>
        <v>blr</v>
      </c>
      <c r="C1370" t="str">
        <f>IFERROR(__xludf.DUMMYFUNCTION("""COMPUTED_VALUE"""),"Belarus")</f>
        <v>Belarus</v>
      </c>
      <c r="D1370">
        <f>IFERROR(__xludf.DUMMYFUNCTION("""COMPUTED_VALUE"""),1951.0)</f>
        <v>1951</v>
      </c>
      <c r="E1370">
        <f>IFERROR(__xludf.DUMMYFUNCTION("""COMPUTED_VALUE"""),7717072.0)</f>
        <v>7717072</v>
      </c>
    </row>
    <row r="1371">
      <c r="A1371" t="str">
        <f t="shared" si="1"/>
        <v>blr#1952</v>
      </c>
      <c r="B1371" t="str">
        <f>IFERROR(__xludf.DUMMYFUNCTION("""COMPUTED_VALUE"""),"blr")</f>
        <v>blr</v>
      </c>
      <c r="C1371" t="str">
        <f>IFERROR(__xludf.DUMMYFUNCTION("""COMPUTED_VALUE"""),"Belarus")</f>
        <v>Belarus</v>
      </c>
      <c r="D1371">
        <f>IFERROR(__xludf.DUMMYFUNCTION("""COMPUTED_VALUE"""),1952.0)</f>
        <v>1952</v>
      </c>
      <c r="E1371">
        <f>IFERROR(__xludf.DUMMYFUNCTION("""COMPUTED_VALUE"""),7710087.0)</f>
        <v>7710087</v>
      </c>
    </row>
    <row r="1372">
      <c r="A1372" t="str">
        <f t="shared" si="1"/>
        <v>blr#1953</v>
      </c>
      <c r="B1372" t="str">
        <f>IFERROR(__xludf.DUMMYFUNCTION("""COMPUTED_VALUE"""),"blr")</f>
        <v>blr</v>
      </c>
      <c r="C1372" t="str">
        <f>IFERROR(__xludf.DUMMYFUNCTION("""COMPUTED_VALUE"""),"Belarus")</f>
        <v>Belarus</v>
      </c>
      <c r="D1372">
        <f>IFERROR(__xludf.DUMMYFUNCTION("""COMPUTED_VALUE"""),1953.0)</f>
        <v>1953</v>
      </c>
      <c r="E1372">
        <f>IFERROR(__xludf.DUMMYFUNCTION("""COMPUTED_VALUE"""),7723232.0)</f>
        <v>7723232</v>
      </c>
    </row>
    <row r="1373">
      <c r="A1373" t="str">
        <f t="shared" si="1"/>
        <v>blr#1954</v>
      </c>
      <c r="B1373" t="str">
        <f>IFERROR(__xludf.DUMMYFUNCTION("""COMPUTED_VALUE"""),"blr")</f>
        <v>blr</v>
      </c>
      <c r="C1373" t="str">
        <f>IFERROR(__xludf.DUMMYFUNCTION("""COMPUTED_VALUE"""),"Belarus")</f>
        <v>Belarus</v>
      </c>
      <c r="D1373">
        <f>IFERROR(__xludf.DUMMYFUNCTION("""COMPUTED_VALUE"""),1954.0)</f>
        <v>1954</v>
      </c>
      <c r="E1373">
        <f>IFERROR(__xludf.DUMMYFUNCTION("""COMPUTED_VALUE"""),7755061.0)</f>
        <v>7755061</v>
      </c>
    </row>
    <row r="1374">
      <c r="A1374" t="str">
        <f t="shared" si="1"/>
        <v>blr#1955</v>
      </c>
      <c r="B1374" t="str">
        <f>IFERROR(__xludf.DUMMYFUNCTION("""COMPUTED_VALUE"""),"blr")</f>
        <v>blr</v>
      </c>
      <c r="C1374" t="str">
        <f>IFERROR(__xludf.DUMMYFUNCTION("""COMPUTED_VALUE"""),"Belarus")</f>
        <v>Belarus</v>
      </c>
      <c r="D1374">
        <f>IFERROR(__xludf.DUMMYFUNCTION("""COMPUTED_VALUE"""),1955.0)</f>
        <v>1955</v>
      </c>
      <c r="E1374">
        <f>IFERROR(__xludf.DUMMYFUNCTION("""COMPUTED_VALUE"""),7803537.0)</f>
        <v>7803537</v>
      </c>
    </row>
    <row r="1375">
      <c r="A1375" t="str">
        <f t="shared" si="1"/>
        <v>blr#1956</v>
      </c>
      <c r="B1375" t="str">
        <f>IFERROR(__xludf.DUMMYFUNCTION("""COMPUTED_VALUE"""),"blr")</f>
        <v>blr</v>
      </c>
      <c r="C1375" t="str">
        <f>IFERROR(__xludf.DUMMYFUNCTION("""COMPUTED_VALUE"""),"Belarus")</f>
        <v>Belarus</v>
      </c>
      <c r="D1375">
        <f>IFERROR(__xludf.DUMMYFUNCTION("""COMPUTED_VALUE"""),1956.0)</f>
        <v>1956</v>
      </c>
      <c r="E1375">
        <f>IFERROR(__xludf.DUMMYFUNCTION("""COMPUTED_VALUE"""),7865984.0)</f>
        <v>7865984</v>
      </c>
    </row>
    <row r="1376">
      <c r="A1376" t="str">
        <f t="shared" si="1"/>
        <v>blr#1957</v>
      </c>
      <c r="B1376" t="str">
        <f>IFERROR(__xludf.DUMMYFUNCTION("""COMPUTED_VALUE"""),"blr")</f>
        <v>blr</v>
      </c>
      <c r="C1376" t="str">
        <f>IFERROR(__xludf.DUMMYFUNCTION("""COMPUTED_VALUE"""),"Belarus")</f>
        <v>Belarus</v>
      </c>
      <c r="D1376">
        <f>IFERROR(__xludf.DUMMYFUNCTION("""COMPUTED_VALUE"""),1957.0)</f>
        <v>1957</v>
      </c>
      <c r="E1376">
        <f>IFERROR(__xludf.DUMMYFUNCTION("""COMPUTED_VALUE"""),7939122.0)</f>
        <v>7939122</v>
      </c>
    </row>
    <row r="1377">
      <c r="A1377" t="str">
        <f t="shared" si="1"/>
        <v>blr#1958</v>
      </c>
      <c r="B1377" t="str">
        <f>IFERROR(__xludf.DUMMYFUNCTION("""COMPUTED_VALUE"""),"blr")</f>
        <v>blr</v>
      </c>
      <c r="C1377" t="str">
        <f>IFERROR(__xludf.DUMMYFUNCTION("""COMPUTED_VALUE"""),"Belarus")</f>
        <v>Belarus</v>
      </c>
      <c r="D1377">
        <f>IFERROR(__xludf.DUMMYFUNCTION("""COMPUTED_VALUE"""),1958.0)</f>
        <v>1958</v>
      </c>
      <c r="E1377">
        <f>IFERROR(__xludf.DUMMYFUNCTION("""COMPUTED_VALUE"""),8019184.0)</f>
        <v>8019184</v>
      </c>
    </row>
    <row r="1378">
      <c r="A1378" t="str">
        <f t="shared" si="1"/>
        <v>blr#1959</v>
      </c>
      <c r="B1378" t="str">
        <f>IFERROR(__xludf.DUMMYFUNCTION("""COMPUTED_VALUE"""),"blr")</f>
        <v>blr</v>
      </c>
      <c r="C1378" t="str">
        <f>IFERROR(__xludf.DUMMYFUNCTION("""COMPUTED_VALUE"""),"Belarus")</f>
        <v>Belarus</v>
      </c>
      <c r="D1378">
        <f>IFERROR(__xludf.DUMMYFUNCTION("""COMPUTED_VALUE"""),1959.0)</f>
        <v>1959</v>
      </c>
      <c r="E1378">
        <f>IFERROR(__xludf.DUMMYFUNCTION("""COMPUTED_VALUE"""),8102198.0)</f>
        <v>8102198</v>
      </c>
    </row>
    <row r="1379">
      <c r="A1379" t="str">
        <f t="shared" si="1"/>
        <v>blr#1960</v>
      </c>
      <c r="B1379" t="str">
        <f>IFERROR(__xludf.DUMMYFUNCTION("""COMPUTED_VALUE"""),"blr")</f>
        <v>blr</v>
      </c>
      <c r="C1379" t="str">
        <f>IFERROR(__xludf.DUMMYFUNCTION("""COMPUTED_VALUE"""),"Belarus")</f>
        <v>Belarus</v>
      </c>
      <c r="D1379">
        <f>IFERROR(__xludf.DUMMYFUNCTION("""COMPUTED_VALUE"""),1960.0)</f>
        <v>1960</v>
      </c>
      <c r="E1379">
        <f>IFERROR(__xludf.DUMMYFUNCTION("""COMPUTED_VALUE"""),8184631.0)</f>
        <v>8184631</v>
      </c>
    </row>
    <row r="1380">
      <c r="A1380" t="str">
        <f t="shared" si="1"/>
        <v>blr#1961</v>
      </c>
      <c r="B1380" t="str">
        <f>IFERROR(__xludf.DUMMYFUNCTION("""COMPUTED_VALUE"""),"blr")</f>
        <v>blr</v>
      </c>
      <c r="C1380" t="str">
        <f>IFERROR(__xludf.DUMMYFUNCTION("""COMPUTED_VALUE"""),"Belarus")</f>
        <v>Belarus</v>
      </c>
      <c r="D1380">
        <f>IFERROR(__xludf.DUMMYFUNCTION("""COMPUTED_VALUE"""),1961.0)</f>
        <v>1961</v>
      </c>
      <c r="E1380">
        <f>IFERROR(__xludf.DUMMYFUNCTION("""COMPUTED_VALUE"""),8264142.0)</f>
        <v>8264142</v>
      </c>
    </row>
    <row r="1381">
      <c r="A1381" t="str">
        <f t="shared" si="1"/>
        <v>blr#1962</v>
      </c>
      <c r="B1381" t="str">
        <f>IFERROR(__xludf.DUMMYFUNCTION("""COMPUTED_VALUE"""),"blr")</f>
        <v>blr</v>
      </c>
      <c r="C1381" t="str">
        <f>IFERROR(__xludf.DUMMYFUNCTION("""COMPUTED_VALUE"""),"Belarus")</f>
        <v>Belarus</v>
      </c>
      <c r="D1381">
        <f>IFERROR(__xludf.DUMMYFUNCTION("""COMPUTED_VALUE"""),1962.0)</f>
        <v>1962</v>
      </c>
      <c r="E1381">
        <f>IFERROR(__xludf.DUMMYFUNCTION("""COMPUTED_VALUE"""),8340236.0)</f>
        <v>8340236</v>
      </c>
    </row>
    <row r="1382">
      <c r="A1382" t="str">
        <f t="shared" si="1"/>
        <v>blr#1963</v>
      </c>
      <c r="B1382" t="str">
        <f>IFERROR(__xludf.DUMMYFUNCTION("""COMPUTED_VALUE"""),"blr")</f>
        <v>blr</v>
      </c>
      <c r="C1382" t="str">
        <f>IFERROR(__xludf.DUMMYFUNCTION("""COMPUTED_VALUE"""),"Belarus")</f>
        <v>Belarus</v>
      </c>
      <c r="D1382">
        <f>IFERROR(__xludf.DUMMYFUNCTION("""COMPUTED_VALUE"""),1963.0)</f>
        <v>1963</v>
      </c>
      <c r="E1382">
        <f>IFERROR(__xludf.DUMMYFUNCTION("""COMPUTED_VALUE"""),8414515.0)</f>
        <v>8414515</v>
      </c>
    </row>
    <row r="1383">
      <c r="A1383" t="str">
        <f t="shared" si="1"/>
        <v>blr#1964</v>
      </c>
      <c r="B1383" t="str">
        <f>IFERROR(__xludf.DUMMYFUNCTION("""COMPUTED_VALUE"""),"blr")</f>
        <v>blr</v>
      </c>
      <c r="C1383" t="str">
        <f>IFERROR(__xludf.DUMMYFUNCTION("""COMPUTED_VALUE"""),"Belarus")</f>
        <v>Belarus</v>
      </c>
      <c r="D1383">
        <f>IFERROR(__xludf.DUMMYFUNCTION("""COMPUTED_VALUE"""),1964.0)</f>
        <v>1964</v>
      </c>
      <c r="E1383">
        <f>IFERROR(__xludf.DUMMYFUNCTION("""COMPUTED_VALUE"""),8489930.0)</f>
        <v>8489930</v>
      </c>
    </row>
    <row r="1384">
      <c r="A1384" t="str">
        <f t="shared" si="1"/>
        <v>blr#1965</v>
      </c>
      <c r="B1384" t="str">
        <f>IFERROR(__xludf.DUMMYFUNCTION("""COMPUTED_VALUE"""),"blr")</f>
        <v>blr</v>
      </c>
      <c r="C1384" t="str">
        <f>IFERROR(__xludf.DUMMYFUNCTION("""COMPUTED_VALUE"""),"Belarus")</f>
        <v>Belarus</v>
      </c>
      <c r="D1384">
        <f>IFERROR(__xludf.DUMMYFUNCTION("""COMPUTED_VALUE"""),1965.0)</f>
        <v>1965</v>
      </c>
      <c r="E1384">
        <f>IFERROR(__xludf.DUMMYFUNCTION("""COMPUTED_VALUE"""),8568454.0)</f>
        <v>8568454</v>
      </c>
    </row>
    <row r="1385">
      <c r="A1385" t="str">
        <f t="shared" si="1"/>
        <v>blr#1966</v>
      </c>
      <c r="B1385" t="str">
        <f>IFERROR(__xludf.DUMMYFUNCTION("""COMPUTED_VALUE"""),"blr")</f>
        <v>blr</v>
      </c>
      <c r="C1385" t="str">
        <f>IFERROR(__xludf.DUMMYFUNCTION("""COMPUTED_VALUE"""),"Belarus")</f>
        <v>Belarus</v>
      </c>
      <c r="D1385">
        <f>IFERROR(__xludf.DUMMYFUNCTION("""COMPUTED_VALUE"""),1966.0)</f>
        <v>1966</v>
      </c>
      <c r="E1385">
        <f>IFERROR(__xludf.DUMMYFUNCTION("""COMPUTED_VALUE"""),8650318.0)</f>
        <v>8650318</v>
      </c>
    </row>
    <row r="1386">
      <c r="A1386" t="str">
        <f t="shared" si="1"/>
        <v>blr#1967</v>
      </c>
      <c r="B1386" t="str">
        <f>IFERROR(__xludf.DUMMYFUNCTION("""COMPUTED_VALUE"""),"blr")</f>
        <v>blr</v>
      </c>
      <c r="C1386" t="str">
        <f>IFERROR(__xludf.DUMMYFUNCTION("""COMPUTED_VALUE"""),"Belarus")</f>
        <v>Belarus</v>
      </c>
      <c r="D1386">
        <f>IFERROR(__xludf.DUMMYFUNCTION("""COMPUTED_VALUE"""),1967.0)</f>
        <v>1967</v>
      </c>
      <c r="E1386">
        <f>IFERROR(__xludf.DUMMYFUNCTION("""COMPUTED_VALUE"""),8734042.0)</f>
        <v>8734042</v>
      </c>
    </row>
    <row r="1387">
      <c r="A1387" t="str">
        <f t="shared" si="1"/>
        <v>blr#1968</v>
      </c>
      <c r="B1387" t="str">
        <f>IFERROR(__xludf.DUMMYFUNCTION("""COMPUTED_VALUE"""),"blr")</f>
        <v>blr</v>
      </c>
      <c r="C1387" t="str">
        <f>IFERROR(__xludf.DUMMYFUNCTION("""COMPUTED_VALUE"""),"Belarus")</f>
        <v>Belarus</v>
      </c>
      <c r="D1387">
        <f>IFERROR(__xludf.DUMMYFUNCTION("""COMPUTED_VALUE"""),1968.0)</f>
        <v>1968</v>
      </c>
      <c r="E1387">
        <f>IFERROR(__xludf.DUMMYFUNCTION("""COMPUTED_VALUE"""),8817942.0)</f>
        <v>8817942</v>
      </c>
    </row>
    <row r="1388">
      <c r="A1388" t="str">
        <f t="shared" si="1"/>
        <v>blr#1969</v>
      </c>
      <c r="B1388" t="str">
        <f>IFERROR(__xludf.DUMMYFUNCTION("""COMPUTED_VALUE"""),"blr")</f>
        <v>blr</v>
      </c>
      <c r="C1388" t="str">
        <f>IFERROR(__xludf.DUMMYFUNCTION("""COMPUTED_VALUE"""),"Belarus")</f>
        <v>Belarus</v>
      </c>
      <c r="D1388">
        <f>IFERROR(__xludf.DUMMYFUNCTION("""COMPUTED_VALUE"""),1969.0)</f>
        <v>1969</v>
      </c>
      <c r="E1388">
        <f>IFERROR(__xludf.DUMMYFUNCTION("""COMPUTED_VALUE"""),8899691.0)</f>
        <v>8899691</v>
      </c>
    </row>
    <row r="1389">
      <c r="A1389" t="str">
        <f t="shared" si="1"/>
        <v>blr#1970</v>
      </c>
      <c r="B1389" t="str">
        <f>IFERROR(__xludf.DUMMYFUNCTION("""COMPUTED_VALUE"""),"blr")</f>
        <v>blr</v>
      </c>
      <c r="C1389" t="str">
        <f>IFERROR(__xludf.DUMMYFUNCTION("""COMPUTED_VALUE"""),"Belarus")</f>
        <v>Belarus</v>
      </c>
      <c r="D1389">
        <f>IFERROR(__xludf.DUMMYFUNCTION("""COMPUTED_VALUE"""),1970.0)</f>
        <v>1970</v>
      </c>
      <c r="E1389">
        <f>IFERROR(__xludf.DUMMYFUNCTION("""COMPUTED_VALUE"""),8977639.0)</f>
        <v>8977639</v>
      </c>
    </row>
    <row r="1390">
      <c r="A1390" t="str">
        <f t="shared" si="1"/>
        <v>blr#1971</v>
      </c>
      <c r="B1390" t="str">
        <f>IFERROR(__xludf.DUMMYFUNCTION("""COMPUTED_VALUE"""),"blr")</f>
        <v>blr</v>
      </c>
      <c r="C1390" t="str">
        <f>IFERROR(__xludf.DUMMYFUNCTION("""COMPUTED_VALUE"""),"Belarus")</f>
        <v>Belarus</v>
      </c>
      <c r="D1390">
        <f>IFERROR(__xludf.DUMMYFUNCTION("""COMPUTED_VALUE"""),1971.0)</f>
        <v>1971</v>
      </c>
      <c r="E1390">
        <f>IFERROR(__xludf.DUMMYFUNCTION("""COMPUTED_VALUE"""),9051218.0)</f>
        <v>9051218</v>
      </c>
    </row>
    <row r="1391">
      <c r="A1391" t="str">
        <f t="shared" si="1"/>
        <v>blr#1972</v>
      </c>
      <c r="B1391" t="str">
        <f>IFERROR(__xludf.DUMMYFUNCTION("""COMPUTED_VALUE"""),"blr")</f>
        <v>blr</v>
      </c>
      <c r="C1391" t="str">
        <f>IFERROR(__xludf.DUMMYFUNCTION("""COMPUTED_VALUE"""),"Belarus")</f>
        <v>Belarus</v>
      </c>
      <c r="D1391">
        <f>IFERROR(__xludf.DUMMYFUNCTION("""COMPUTED_VALUE"""),1972.0)</f>
        <v>1972</v>
      </c>
      <c r="E1391">
        <f>IFERROR(__xludf.DUMMYFUNCTION("""COMPUTED_VALUE"""),9120964.0)</f>
        <v>9120964</v>
      </c>
    </row>
    <row r="1392">
      <c r="A1392" t="str">
        <f t="shared" si="1"/>
        <v>blr#1973</v>
      </c>
      <c r="B1392" t="str">
        <f>IFERROR(__xludf.DUMMYFUNCTION("""COMPUTED_VALUE"""),"blr")</f>
        <v>blr</v>
      </c>
      <c r="C1392" t="str">
        <f>IFERROR(__xludf.DUMMYFUNCTION("""COMPUTED_VALUE"""),"Belarus")</f>
        <v>Belarus</v>
      </c>
      <c r="D1392">
        <f>IFERROR(__xludf.DUMMYFUNCTION("""COMPUTED_VALUE"""),1973.0)</f>
        <v>1973</v>
      </c>
      <c r="E1392">
        <f>IFERROR(__xludf.DUMMYFUNCTION("""COMPUTED_VALUE"""),9187675.0)</f>
        <v>9187675</v>
      </c>
    </row>
    <row r="1393">
      <c r="A1393" t="str">
        <f t="shared" si="1"/>
        <v>blr#1974</v>
      </c>
      <c r="B1393" t="str">
        <f>IFERROR(__xludf.DUMMYFUNCTION("""COMPUTED_VALUE"""),"blr")</f>
        <v>blr</v>
      </c>
      <c r="C1393" t="str">
        <f>IFERROR(__xludf.DUMMYFUNCTION("""COMPUTED_VALUE"""),"Belarus")</f>
        <v>Belarus</v>
      </c>
      <c r="D1393">
        <f>IFERROR(__xludf.DUMMYFUNCTION("""COMPUTED_VALUE"""),1974.0)</f>
        <v>1974</v>
      </c>
      <c r="E1393">
        <f>IFERROR(__xludf.DUMMYFUNCTION("""COMPUTED_VALUE"""),9252678.0)</f>
        <v>9252678</v>
      </c>
    </row>
    <row r="1394">
      <c r="A1394" t="str">
        <f t="shared" si="1"/>
        <v>blr#1975</v>
      </c>
      <c r="B1394" t="str">
        <f>IFERROR(__xludf.DUMMYFUNCTION("""COMPUTED_VALUE"""),"blr")</f>
        <v>blr</v>
      </c>
      <c r="C1394" t="str">
        <f>IFERROR(__xludf.DUMMYFUNCTION("""COMPUTED_VALUE"""),"Belarus")</f>
        <v>Belarus</v>
      </c>
      <c r="D1394">
        <f>IFERROR(__xludf.DUMMYFUNCTION("""COMPUTED_VALUE"""),1975.0)</f>
        <v>1975</v>
      </c>
      <c r="E1394">
        <f>IFERROR(__xludf.DUMMYFUNCTION("""COMPUTED_VALUE"""),9316955.0)</f>
        <v>9316955</v>
      </c>
    </row>
    <row r="1395">
      <c r="A1395" t="str">
        <f t="shared" si="1"/>
        <v>blr#1976</v>
      </c>
      <c r="B1395" t="str">
        <f>IFERROR(__xludf.DUMMYFUNCTION("""COMPUTED_VALUE"""),"blr")</f>
        <v>blr</v>
      </c>
      <c r="C1395" t="str">
        <f>IFERROR(__xludf.DUMMYFUNCTION("""COMPUTED_VALUE"""),"Belarus")</f>
        <v>Belarus</v>
      </c>
      <c r="D1395">
        <f>IFERROR(__xludf.DUMMYFUNCTION("""COMPUTED_VALUE"""),1976.0)</f>
        <v>1976</v>
      </c>
      <c r="E1395">
        <f>IFERROR(__xludf.DUMMYFUNCTION("""COMPUTED_VALUE"""),9380452.0)</f>
        <v>9380452</v>
      </c>
    </row>
    <row r="1396">
      <c r="A1396" t="str">
        <f t="shared" si="1"/>
        <v>blr#1977</v>
      </c>
      <c r="B1396" t="str">
        <f>IFERROR(__xludf.DUMMYFUNCTION("""COMPUTED_VALUE"""),"blr")</f>
        <v>blr</v>
      </c>
      <c r="C1396" t="str">
        <f>IFERROR(__xludf.DUMMYFUNCTION("""COMPUTED_VALUE"""),"Belarus")</f>
        <v>Belarus</v>
      </c>
      <c r="D1396">
        <f>IFERROR(__xludf.DUMMYFUNCTION("""COMPUTED_VALUE"""),1977.0)</f>
        <v>1977</v>
      </c>
      <c r="E1396">
        <f>IFERROR(__xludf.DUMMYFUNCTION("""COMPUTED_VALUE"""),9443001.0)</f>
        <v>9443001</v>
      </c>
    </row>
    <row r="1397">
      <c r="A1397" t="str">
        <f t="shared" si="1"/>
        <v>blr#1978</v>
      </c>
      <c r="B1397" t="str">
        <f>IFERROR(__xludf.DUMMYFUNCTION("""COMPUTED_VALUE"""),"blr")</f>
        <v>blr</v>
      </c>
      <c r="C1397" t="str">
        <f>IFERROR(__xludf.DUMMYFUNCTION("""COMPUTED_VALUE"""),"Belarus")</f>
        <v>Belarus</v>
      </c>
      <c r="D1397">
        <f>IFERROR(__xludf.DUMMYFUNCTION("""COMPUTED_VALUE"""),1978.0)</f>
        <v>1978</v>
      </c>
      <c r="E1397">
        <f>IFERROR(__xludf.DUMMYFUNCTION("""COMPUTED_VALUE"""),9505452.0)</f>
        <v>9505452</v>
      </c>
    </row>
    <row r="1398">
      <c r="A1398" t="str">
        <f t="shared" si="1"/>
        <v>blr#1979</v>
      </c>
      <c r="B1398" t="str">
        <f>IFERROR(__xludf.DUMMYFUNCTION("""COMPUTED_VALUE"""),"blr")</f>
        <v>blr</v>
      </c>
      <c r="C1398" t="str">
        <f>IFERROR(__xludf.DUMMYFUNCTION("""COMPUTED_VALUE"""),"Belarus")</f>
        <v>Belarus</v>
      </c>
      <c r="D1398">
        <f>IFERROR(__xludf.DUMMYFUNCTION("""COMPUTED_VALUE"""),1979.0)</f>
        <v>1979</v>
      </c>
      <c r="E1398">
        <f>IFERROR(__xludf.DUMMYFUNCTION("""COMPUTED_VALUE"""),9568883.0)</f>
        <v>9568883</v>
      </c>
    </row>
    <row r="1399">
      <c r="A1399" t="str">
        <f t="shared" si="1"/>
        <v>blr#1980</v>
      </c>
      <c r="B1399" t="str">
        <f>IFERROR(__xludf.DUMMYFUNCTION("""COMPUTED_VALUE"""),"blr")</f>
        <v>blr</v>
      </c>
      <c r="C1399" t="str">
        <f>IFERROR(__xludf.DUMMYFUNCTION("""COMPUTED_VALUE"""),"Belarus")</f>
        <v>Belarus</v>
      </c>
      <c r="D1399">
        <f>IFERROR(__xludf.DUMMYFUNCTION("""COMPUTED_VALUE"""),1980.0)</f>
        <v>1980</v>
      </c>
      <c r="E1399">
        <f>IFERROR(__xludf.DUMMYFUNCTION("""COMPUTED_VALUE"""),9633888.0)</f>
        <v>9633888</v>
      </c>
    </row>
    <row r="1400">
      <c r="A1400" t="str">
        <f t="shared" si="1"/>
        <v>blr#1981</v>
      </c>
      <c r="B1400" t="str">
        <f>IFERROR(__xludf.DUMMYFUNCTION("""COMPUTED_VALUE"""),"blr")</f>
        <v>blr</v>
      </c>
      <c r="C1400" t="str">
        <f>IFERROR(__xludf.DUMMYFUNCTION("""COMPUTED_VALUE"""),"Belarus")</f>
        <v>Belarus</v>
      </c>
      <c r="D1400">
        <f>IFERROR(__xludf.DUMMYFUNCTION("""COMPUTED_VALUE"""),1981.0)</f>
        <v>1981</v>
      </c>
      <c r="E1400">
        <f>IFERROR(__xludf.DUMMYFUNCTION("""COMPUTED_VALUE"""),9700245.0)</f>
        <v>9700245</v>
      </c>
    </row>
    <row r="1401">
      <c r="A1401" t="str">
        <f t="shared" si="1"/>
        <v>blr#1982</v>
      </c>
      <c r="B1401" t="str">
        <f>IFERROR(__xludf.DUMMYFUNCTION("""COMPUTED_VALUE"""),"blr")</f>
        <v>blr</v>
      </c>
      <c r="C1401" t="str">
        <f>IFERROR(__xludf.DUMMYFUNCTION("""COMPUTED_VALUE"""),"Belarus")</f>
        <v>Belarus</v>
      </c>
      <c r="D1401">
        <f>IFERROR(__xludf.DUMMYFUNCTION("""COMPUTED_VALUE"""),1982.0)</f>
        <v>1982</v>
      </c>
      <c r="E1401">
        <f>IFERROR(__xludf.DUMMYFUNCTION("""COMPUTED_VALUE"""),9767260.0)</f>
        <v>9767260</v>
      </c>
    </row>
    <row r="1402">
      <c r="A1402" t="str">
        <f t="shared" si="1"/>
        <v>blr#1983</v>
      </c>
      <c r="B1402" t="str">
        <f>IFERROR(__xludf.DUMMYFUNCTION("""COMPUTED_VALUE"""),"blr")</f>
        <v>blr</v>
      </c>
      <c r="C1402" t="str">
        <f>IFERROR(__xludf.DUMMYFUNCTION("""COMPUTED_VALUE"""),"Belarus")</f>
        <v>Belarus</v>
      </c>
      <c r="D1402">
        <f>IFERROR(__xludf.DUMMYFUNCTION("""COMPUTED_VALUE"""),1983.0)</f>
        <v>1983</v>
      </c>
      <c r="E1402">
        <f>IFERROR(__xludf.DUMMYFUNCTION("""COMPUTED_VALUE"""),9834424.0)</f>
        <v>9834424</v>
      </c>
    </row>
    <row r="1403">
      <c r="A1403" t="str">
        <f t="shared" si="1"/>
        <v>blr#1984</v>
      </c>
      <c r="B1403" t="str">
        <f>IFERROR(__xludf.DUMMYFUNCTION("""COMPUTED_VALUE"""),"blr")</f>
        <v>blr</v>
      </c>
      <c r="C1403" t="str">
        <f>IFERROR(__xludf.DUMMYFUNCTION("""COMPUTED_VALUE"""),"Belarus")</f>
        <v>Belarus</v>
      </c>
      <c r="D1403">
        <f>IFERROR(__xludf.DUMMYFUNCTION("""COMPUTED_VALUE"""),1984.0)</f>
        <v>1984</v>
      </c>
      <c r="E1403">
        <f>IFERROR(__xludf.DUMMYFUNCTION("""COMPUTED_VALUE"""),9901045.0)</f>
        <v>9901045</v>
      </c>
    </row>
    <row r="1404">
      <c r="A1404" t="str">
        <f t="shared" si="1"/>
        <v>blr#1985</v>
      </c>
      <c r="B1404" t="str">
        <f>IFERROR(__xludf.DUMMYFUNCTION("""COMPUTED_VALUE"""),"blr")</f>
        <v>blr</v>
      </c>
      <c r="C1404" t="str">
        <f>IFERROR(__xludf.DUMMYFUNCTION("""COMPUTED_VALUE"""),"Belarus")</f>
        <v>Belarus</v>
      </c>
      <c r="D1404">
        <f>IFERROR(__xludf.DUMMYFUNCTION("""COMPUTED_VALUE"""),1985.0)</f>
        <v>1985</v>
      </c>
      <c r="E1404">
        <f>IFERROR(__xludf.DUMMYFUNCTION("""COMPUTED_VALUE"""),9966154.0)</f>
        <v>9966154</v>
      </c>
    </row>
    <row r="1405">
      <c r="A1405" t="str">
        <f t="shared" si="1"/>
        <v>blr#1986</v>
      </c>
      <c r="B1405" t="str">
        <f>IFERROR(__xludf.DUMMYFUNCTION("""COMPUTED_VALUE"""),"blr")</f>
        <v>blr</v>
      </c>
      <c r="C1405" t="str">
        <f>IFERROR(__xludf.DUMMYFUNCTION("""COMPUTED_VALUE"""),"Belarus")</f>
        <v>Belarus</v>
      </c>
      <c r="D1405">
        <f>IFERROR(__xludf.DUMMYFUNCTION("""COMPUTED_VALUE"""),1986.0)</f>
        <v>1986</v>
      </c>
      <c r="E1405">
        <f>IFERROR(__xludf.DUMMYFUNCTION("""COMPUTED_VALUE"""),1.0030068E7)</f>
        <v>10030068</v>
      </c>
    </row>
    <row r="1406">
      <c r="A1406" t="str">
        <f t="shared" si="1"/>
        <v>blr#1987</v>
      </c>
      <c r="B1406" t="str">
        <f>IFERROR(__xludf.DUMMYFUNCTION("""COMPUTED_VALUE"""),"blr")</f>
        <v>blr</v>
      </c>
      <c r="C1406" t="str">
        <f>IFERROR(__xludf.DUMMYFUNCTION("""COMPUTED_VALUE"""),"Belarus")</f>
        <v>Belarus</v>
      </c>
      <c r="D1406">
        <f>IFERROR(__xludf.DUMMYFUNCTION("""COMPUTED_VALUE"""),1987.0)</f>
        <v>1987</v>
      </c>
      <c r="E1406">
        <f>IFERROR(__xludf.DUMMYFUNCTION("""COMPUTED_VALUE"""),1.0091633E7)</f>
        <v>10091633</v>
      </c>
    </row>
    <row r="1407">
      <c r="A1407" t="str">
        <f t="shared" si="1"/>
        <v>blr#1988</v>
      </c>
      <c r="B1407" t="str">
        <f>IFERROR(__xludf.DUMMYFUNCTION("""COMPUTED_VALUE"""),"blr")</f>
        <v>blr</v>
      </c>
      <c r="C1407" t="str">
        <f>IFERROR(__xludf.DUMMYFUNCTION("""COMPUTED_VALUE"""),"Belarus")</f>
        <v>Belarus</v>
      </c>
      <c r="D1407">
        <f>IFERROR(__xludf.DUMMYFUNCTION("""COMPUTED_VALUE"""),1988.0)</f>
        <v>1988</v>
      </c>
      <c r="E1407">
        <f>IFERROR(__xludf.DUMMYFUNCTION("""COMPUTED_VALUE"""),1.0146632E7)</f>
        <v>10146632</v>
      </c>
    </row>
    <row r="1408">
      <c r="A1408" t="str">
        <f t="shared" si="1"/>
        <v>blr#1989</v>
      </c>
      <c r="B1408" t="str">
        <f>IFERROR(__xludf.DUMMYFUNCTION("""COMPUTED_VALUE"""),"blr")</f>
        <v>blr</v>
      </c>
      <c r="C1408" t="str">
        <f>IFERROR(__xludf.DUMMYFUNCTION("""COMPUTED_VALUE"""),"Belarus")</f>
        <v>Belarus</v>
      </c>
      <c r="D1408">
        <f>IFERROR(__xludf.DUMMYFUNCTION("""COMPUTED_VALUE"""),1989.0)</f>
        <v>1989</v>
      </c>
      <c r="E1408">
        <f>IFERROR(__xludf.DUMMYFUNCTION("""COMPUTED_VALUE"""),1.0189615E7)</f>
        <v>10189615</v>
      </c>
    </row>
    <row r="1409">
      <c r="A1409" t="str">
        <f t="shared" si="1"/>
        <v>blr#1990</v>
      </c>
      <c r="B1409" t="str">
        <f>IFERROR(__xludf.DUMMYFUNCTION("""COMPUTED_VALUE"""),"blr")</f>
        <v>blr</v>
      </c>
      <c r="C1409" t="str">
        <f>IFERROR(__xludf.DUMMYFUNCTION("""COMPUTED_VALUE"""),"Belarus")</f>
        <v>Belarus</v>
      </c>
      <c r="D1409">
        <f>IFERROR(__xludf.DUMMYFUNCTION("""COMPUTED_VALUE"""),1990.0)</f>
        <v>1990</v>
      </c>
      <c r="E1409">
        <f>IFERROR(__xludf.DUMMYFUNCTION("""COMPUTED_VALUE"""),1.0216846E7)</f>
        <v>10216846</v>
      </c>
    </row>
    <row r="1410">
      <c r="A1410" t="str">
        <f t="shared" si="1"/>
        <v>blr#1991</v>
      </c>
      <c r="B1410" t="str">
        <f>IFERROR(__xludf.DUMMYFUNCTION("""COMPUTED_VALUE"""),"blr")</f>
        <v>blr</v>
      </c>
      <c r="C1410" t="str">
        <f>IFERROR(__xludf.DUMMYFUNCTION("""COMPUTED_VALUE"""),"Belarus")</f>
        <v>Belarus</v>
      </c>
      <c r="D1410">
        <f>IFERROR(__xludf.DUMMYFUNCTION("""COMPUTED_VALUE"""),1991.0)</f>
        <v>1991</v>
      </c>
      <c r="E1410">
        <f>IFERROR(__xludf.DUMMYFUNCTION("""COMPUTED_VALUE"""),1.0226493E7)</f>
        <v>10226493</v>
      </c>
    </row>
    <row r="1411">
      <c r="A1411" t="str">
        <f t="shared" si="1"/>
        <v>blr#1992</v>
      </c>
      <c r="B1411" t="str">
        <f>IFERROR(__xludf.DUMMYFUNCTION("""COMPUTED_VALUE"""),"blr")</f>
        <v>blr</v>
      </c>
      <c r="C1411" t="str">
        <f>IFERROR(__xludf.DUMMYFUNCTION("""COMPUTED_VALUE"""),"Belarus")</f>
        <v>Belarus</v>
      </c>
      <c r="D1411">
        <f>IFERROR(__xludf.DUMMYFUNCTION("""COMPUTED_VALUE"""),1992.0)</f>
        <v>1992</v>
      </c>
      <c r="E1411">
        <f>IFERROR(__xludf.DUMMYFUNCTION("""COMPUTED_VALUE"""),1.0219918E7)</f>
        <v>10219918</v>
      </c>
    </row>
    <row r="1412">
      <c r="A1412" t="str">
        <f t="shared" si="1"/>
        <v>blr#1993</v>
      </c>
      <c r="B1412" t="str">
        <f>IFERROR(__xludf.DUMMYFUNCTION("""COMPUTED_VALUE"""),"blr")</f>
        <v>blr</v>
      </c>
      <c r="C1412" t="str">
        <f>IFERROR(__xludf.DUMMYFUNCTION("""COMPUTED_VALUE"""),"Belarus")</f>
        <v>Belarus</v>
      </c>
      <c r="D1412">
        <f>IFERROR(__xludf.DUMMYFUNCTION("""COMPUTED_VALUE"""),1993.0)</f>
        <v>1993</v>
      </c>
      <c r="E1412">
        <f>IFERROR(__xludf.DUMMYFUNCTION("""COMPUTED_VALUE"""),1.020051E7)</f>
        <v>10200510</v>
      </c>
    </row>
    <row r="1413">
      <c r="A1413" t="str">
        <f t="shared" si="1"/>
        <v>blr#1994</v>
      </c>
      <c r="B1413" t="str">
        <f>IFERROR(__xludf.DUMMYFUNCTION("""COMPUTED_VALUE"""),"blr")</f>
        <v>blr</v>
      </c>
      <c r="C1413" t="str">
        <f>IFERROR(__xludf.DUMMYFUNCTION("""COMPUTED_VALUE"""),"Belarus")</f>
        <v>Belarus</v>
      </c>
      <c r="D1413">
        <f>IFERROR(__xludf.DUMMYFUNCTION("""COMPUTED_VALUE"""),1994.0)</f>
        <v>1994</v>
      </c>
      <c r="E1413">
        <f>IFERROR(__xludf.DUMMYFUNCTION("""COMPUTED_VALUE"""),1.0173355E7)</f>
        <v>10173355</v>
      </c>
    </row>
    <row r="1414">
      <c r="A1414" t="str">
        <f t="shared" si="1"/>
        <v>blr#1995</v>
      </c>
      <c r="B1414" t="str">
        <f>IFERROR(__xludf.DUMMYFUNCTION("""COMPUTED_VALUE"""),"blr")</f>
        <v>blr</v>
      </c>
      <c r="C1414" t="str">
        <f>IFERROR(__xludf.DUMMYFUNCTION("""COMPUTED_VALUE"""),"Belarus")</f>
        <v>Belarus</v>
      </c>
      <c r="D1414">
        <f>IFERROR(__xludf.DUMMYFUNCTION("""COMPUTED_VALUE"""),1995.0)</f>
        <v>1995</v>
      </c>
      <c r="E1414">
        <f>IFERROR(__xludf.DUMMYFUNCTION("""COMPUTED_VALUE"""),1.0142308E7)</f>
        <v>10142308</v>
      </c>
    </row>
    <row r="1415">
      <c r="A1415" t="str">
        <f t="shared" si="1"/>
        <v>blr#1996</v>
      </c>
      <c r="B1415" t="str">
        <f>IFERROR(__xludf.DUMMYFUNCTION("""COMPUTED_VALUE"""),"blr")</f>
        <v>blr</v>
      </c>
      <c r="C1415" t="str">
        <f>IFERROR(__xludf.DUMMYFUNCTION("""COMPUTED_VALUE"""),"Belarus")</f>
        <v>Belarus</v>
      </c>
      <c r="D1415">
        <f>IFERROR(__xludf.DUMMYFUNCTION("""COMPUTED_VALUE"""),1996.0)</f>
        <v>1996</v>
      </c>
      <c r="E1415">
        <f>IFERROR(__xludf.DUMMYFUNCTION("""COMPUTED_VALUE"""),1.0109072E7)</f>
        <v>10109072</v>
      </c>
    </row>
    <row r="1416">
      <c r="A1416" t="str">
        <f t="shared" si="1"/>
        <v>blr#1997</v>
      </c>
      <c r="B1416" t="str">
        <f>IFERROR(__xludf.DUMMYFUNCTION("""COMPUTED_VALUE"""),"blr")</f>
        <v>blr</v>
      </c>
      <c r="C1416" t="str">
        <f>IFERROR(__xludf.DUMMYFUNCTION("""COMPUTED_VALUE"""),"Belarus")</f>
        <v>Belarus</v>
      </c>
      <c r="D1416">
        <f>IFERROR(__xludf.DUMMYFUNCTION("""COMPUTED_VALUE"""),1997.0)</f>
        <v>1997</v>
      </c>
      <c r="E1416">
        <f>IFERROR(__xludf.DUMMYFUNCTION("""COMPUTED_VALUE"""),1.0073061E7)</f>
        <v>10073061</v>
      </c>
    </row>
    <row r="1417">
      <c r="A1417" t="str">
        <f t="shared" si="1"/>
        <v>blr#1998</v>
      </c>
      <c r="B1417" t="str">
        <f>IFERROR(__xludf.DUMMYFUNCTION("""COMPUTED_VALUE"""),"blr")</f>
        <v>blr</v>
      </c>
      <c r="C1417" t="str">
        <f>IFERROR(__xludf.DUMMYFUNCTION("""COMPUTED_VALUE"""),"Belarus")</f>
        <v>Belarus</v>
      </c>
      <c r="D1417">
        <f>IFERROR(__xludf.DUMMYFUNCTION("""COMPUTED_VALUE"""),1998.0)</f>
        <v>1998</v>
      </c>
      <c r="E1417">
        <f>IFERROR(__xludf.DUMMYFUNCTION("""COMPUTED_VALUE"""),1.0033061E7)</f>
        <v>10033061</v>
      </c>
    </row>
    <row r="1418">
      <c r="A1418" t="str">
        <f t="shared" si="1"/>
        <v>blr#1999</v>
      </c>
      <c r="B1418" t="str">
        <f>IFERROR(__xludf.DUMMYFUNCTION("""COMPUTED_VALUE"""),"blr")</f>
        <v>blr</v>
      </c>
      <c r="C1418" t="str">
        <f>IFERROR(__xludf.DUMMYFUNCTION("""COMPUTED_VALUE"""),"Belarus")</f>
        <v>Belarus</v>
      </c>
      <c r="D1418">
        <f>IFERROR(__xludf.DUMMYFUNCTION("""COMPUTED_VALUE"""),1999.0)</f>
        <v>1999</v>
      </c>
      <c r="E1418">
        <f>IFERROR(__xludf.DUMMYFUNCTION("""COMPUTED_VALUE"""),9986933.0)</f>
        <v>9986933</v>
      </c>
    </row>
    <row r="1419">
      <c r="A1419" t="str">
        <f t="shared" si="1"/>
        <v>blr#2000</v>
      </c>
      <c r="B1419" t="str">
        <f>IFERROR(__xludf.DUMMYFUNCTION("""COMPUTED_VALUE"""),"blr")</f>
        <v>blr</v>
      </c>
      <c r="C1419" t="str">
        <f>IFERROR(__xludf.DUMMYFUNCTION("""COMPUTED_VALUE"""),"Belarus")</f>
        <v>Belarus</v>
      </c>
      <c r="D1419">
        <f>IFERROR(__xludf.DUMMYFUNCTION("""COMPUTED_VALUE"""),2000.0)</f>
        <v>2000</v>
      </c>
      <c r="E1419">
        <f>IFERROR(__xludf.DUMMYFUNCTION("""COMPUTED_VALUE"""),9933609.0)</f>
        <v>9933609</v>
      </c>
    </row>
    <row r="1420">
      <c r="A1420" t="str">
        <f t="shared" si="1"/>
        <v>blr#2001</v>
      </c>
      <c r="B1420" t="str">
        <f>IFERROR(__xludf.DUMMYFUNCTION("""COMPUTED_VALUE"""),"blr")</f>
        <v>blr</v>
      </c>
      <c r="C1420" t="str">
        <f>IFERROR(__xludf.DUMMYFUNCTION("""COMPUTED_VALUE"""),"Belarus")</f>
        <v>Belarus</v>
      </c>
      <c r="D1420">
        <f>IFERROR(__xludf.DUMMYFUNCTION("""COMPUTED_VALUE"""),2001.0)</f>
        <v>2001</v>
      </c>
      <c r="E1420">
        <f>IFERROR(__xludf.DUMMYFUNCTION("""COMPUTED_VALUE"""),9872961.0)</f>
        <v>9872961</v>
      </c>
    </row>
    <row r="1421">
      <c r="A1421" t="str">
        <f t="shared" si="1"/>
        <v>blr#2002</v>
      </c>
      <c r="B1421" t="str">
        <f>IFERROR(__xludf.DUMMYFUNCTION("""COMPUTED_VALUE"""),"blr")</f>
        <v>blr</v>
      </c>
      <c r="C1421" t="str">
        <f>IFERROR(__xludf.DUMMYFUNCTION("""COMPUTED_VALUE"""),"Belarus")</f>
        <v>Belarus</v>
      </c>
      <c r="D1421">
        <f>IFERROR(__xludf.DUMMYFUNCTION("""COMPUTED_VALUE"""),2002.0)</f>
        <v>2002</v>
      </c>
      <c r="E1421">
        <f>IFERROR(__xludf.DUMMYFUNCTION("""COMPUTED_VALUE"""),9807132.0)</f>
        <v>9807132</v>
      </c>
    </row>
    <row r="1422">
      <c r="A1422" t="str">
        <f t="shared" si="1"/>
        <v>blr#2003</v>
      </c>
      <c r="B1422" t="str">
        <f>IFERROR(__xludf.DUMMYFUNCTION("""COMPUTED_VALUE"""),"blr")</f>
        <v>blr</v>
      </c>
      <c r="C1422" t="str">
        <f>IFERROR(__xludf.DUMMYFUNCTION("""COMPUTED_VALUE"""),"Belarus")</f>
        <v>Belarus</v>
      </c>
      <c r="D1422">
        <f>IFERROR(__xludf.DUMMYFUNCTION("""COMPUTED_VALUE"""),2003.0)</f>
        <v>2003</v>
      </c>
      <c r="E1422">
        <f>IFERROR(__xludf.DUMMYFUNCTION("""COMPUTED_VALUE"""),9740054.0)</f>
        <v>9740054</v>
      </c>
    </row>
    <row r="1423">
      <c r="A1423" t="str">
        <f t="shared" si="1"/>
        <v>blr#2004</v>
      </c>
      <c r="B1423" t="str">
        <f>IFERROR(__xludf.DUMMYFUNCTION("""COMPUTED_VALUE"""),"blr")</f>
        <v>blr</v>
      </c>
      <c r="C1423" t="str">
        <f>IFERROR(__xludf.DUMMYFUNCTION("""COMPUTED_VALUE"""),"Belarus")</f>
        <v>Belarus</v>
      </c>
      <c r="D1423">
        <f>IFERROR(__xludf.DUMMYFUNCTION("""COMPUTED_VALUE"""),2004.0)</f>
        <v>2004</v>
      </c>
      <c r="E1423">
        <f>IFERROR(__xludf.DUMMYFUNCTION("""COMPUTED_VALUE"""),9676902.0)</f>
        <v>9676902</v>
      </c>
    </row>
    <row r="1424">
      <c r="A1424" t="str">
        <f t="shared" si="1"/>
        <v>blr#2005</v>
      </c>
      <c r="B1424" t="str">
        <f>IFERROR(__xludf.DUMMYFUNCTION("""COMPUTED_VALUE"""),"blr")</f>
        <v>blr</v>
      </c>
      <c r="C1424" t="str">
        <f>IFERROR(__xludf.DUMMYFUNCTION("""COMPUTED_VALUE"""),"Belarus")</f>
        <v>Belarus</v>
      </c>
      <c r="D1424">
        <f>IFERROR(__xludf.DUMMYFUNCTION("""COMPUTED_VALUE"""),2005.0)</f>
        <v>2005</v>
      </c>
      <c r="E1424">
        <f>IFERROR(__xludf.DUMMYFUNCTION("""COMPUTED_VALUE"""),9621543.0)</f>
        <v>9621543</v>
      </c>
    </row>
    <row r="1425">
      <c r="A1425" t="str">
        <f t="shared" si="1"/>
        <v>blr#2006</v>
      </c>
      <c r="B1425" t="str">
        <f>IFERROR(__xludf.DUMMYFUNCTION("""COMPUTED_VALUE"""),"blr")</f>
        <v>blr</v>
      </c>
      <c r="C1425" t="str">
        <f>IFERROR(__xludf.DUMMYFUNCTION("""COMPUTED_VALUE"""),"Belarus")</f>
        <v>Belarus</v>
      </c>
      <c r="D1425">
        <f>IFERROR(__xludf.DUMMYFUNCTION("""COMPUTED_VALUE"""),2006.0)</f>
        <v>2006</v>
      </c>
      <c r="E1425">
        <f>IFERROR(__xludf.DUMMYFUNCTION("""COMPUTED_VALUE"""),9575043.0)</f>
        <v>9575043</v>
      </c>
    </row>
    <row r="1426">
      <c r="A1426" t="str">
        <f t="shared" si="1"/>
        <v>blr#2007</v>
      </c>
      <c r="B1426" t="str">
        <f>IFERROR(__xludf.DUMMYFUNCTION("""COMPUTED_VALUE"""),"blr")</f>
        <v>blr</v>
      </c>
      <c r="C1426" t="str">
        <f>IFERROR(__xludf.DUMMYFUNCTION("""COMPUTED_VALUE"""),"Belarus")</f>
        <v>Belarus</v>
      </c>
      <c r="D1426">
        <f>IFERROR(__xludf.DUMMYFUNCTION("""COMPUTED_VALUE"""),2007.0)</f>
        <v>2007</v>
      </c>
      <c r="E1426">
        <f>IFERROR(__xludf.DUMMYFUNCTION("""COMPUTED_VALUE"""),9536864.0)</f>
        <v>9536864</v>
      </c>
    </row>
    <row r="1427">
      <c r="A1427" t="str">
        <f t="shared" si="1"/>
        <v>blr#2008</v>
      </c>
      <c r="B1427" t="str">
        <f>IFERROR(__xludf.DUMMYFUNCTION("""COMPUTED_VALUE"""),"blr")</f>
        <v>blr</v>
      </c>
      <c r="C1427" t="str">
        <f>IFERROR(__xludf.DUMMYFUNCTION("""COMPUTED_VALUE"""),"Belarus")</f>
        <v>Belarus</v>
      </c>
      <c r="D1427">
        <f>IFERROR(__xludf.DUMMYFUNCTION("""COMPUTED_VALUE"""),2008.0)</f>
        <v>2008</v>
      </c>
      <c r="E1427">
        <f>IFERROR(__xludf.DUMMYFUNCTION("""COMPUTED_VALUE"""),9507331.0)</f>
        <v>9507331</v>
      </c>
    </row>
    <row r="1428">
      <c r="A1428" t="str">
        <f t="shared" si="1"/>
        <v>blr#2009</v>
      </c>
      <c r="B1428" t="str">
        <f>IFERROR(__xludf.DUMMYFUNCTION("""COMPUTED_VALUE"""),"blr")</f>
        <v>blr</v>
      </c>
      <c r="C1428" t="str">
        <f>IFERROR(__xludf.DUMMYFUNCTION("""COMPUTED_VALUE"""),"Belarus")</f>
        <v>Belarus</v>
      </c>
      <c r="D1428">
        <f>IFERROR(__xludf.DUMMYFUNCTION("""COMPUTED_VALUE"""),2009.0)</f>
        <v>2009</v>
      </c>
      <c r="E1428">
        <f>IFERROR(__xludf.DUMMYFUNCTION("""COMPUTED_VALUE"""),9486239.0)</f>
        <v>9486239</v>
      </c>
    </row>
    <row r="1429">
      <c r="A1429" t="str">
        <f t="shared" si="1"/>
        <v>blr#2010</v>
      </c>
      <c r="B1429" t="str">
        <f>IFERROR(__xludf.DUMMYFUNCTION("""COMPUTED_VALUE"""),"blr")</f>
        <v>blr</v>
      </c>
      <c r="C1429" t="str">
        <f>IFERROR(__xludf.DUMMYFUNCTION("""COMPUTED_VALUE"""),"Belarus")</f>
        <v>Belarus</v>
      </c>
      <c r="D1429">
        <f>IFERROR(__xludf.DUMMYFUNCTION("""COMPUTED_VALUE"""),2010.0)</f>
        <v>2010</v>
      </c>
      <c r="E1429">
        <f>IFERROR(__xludf.DUMMYFUNCTION("""COMPUTED_VALUE"""),9473071.0)</f>
        <v>9473071</v>
      </c>
    </row>
    <row r="1430">
      <c r="A1430" t="str">
        <f t="shared" si="1"/>
        <v>blr#2011</v>
      </c>
      <c r="B1430" t="str">
        <f>IFERROR(__xludf.DUMMYFUNCTION("""COMPUTED_VALUE"""),"blr")</f>
        <v>blr</v>
      </c>
      <c r="C1430" t="str">
        <f>IFERROR(__xludf.DUMMYFUNCTION("""COMPUTED_VALUE"""),"Belarus")</f>
        <v>Belarus</v>
      </c>
      <c r="D1430">
        <f>IFERROR(__xludf.DUMMYFUNCTION("""COMPUTED_VALUE"""),2011.0)</f>
        <v>2011</v>
      </c>
      <c r="E1430">
        <f>IFERROR(__xludf.DUMMYFUNCTION("""COMPUTED_VALUE"""),9468500.0)</f>
        <v>9468500</v>
      </c>
    </row>
    <row r="1431">
      <c r="A1431" t="str">
        <f t="shared" si="1"/>
        <v>blr#2012</v>
      </c>
      <c r="B1431" t="str">
        <f>IFERROR(__xludf.DUMMYFUNCTION("""COMPUTED_VALUE"""),"blr")</f>
        <v>blr</v>
      </c>
      <c r="C1431" t="str">
        <f>IFERROR(__xludf.DUMMYFUNCTION("""COMPUTED_VALUE"""),"Belarus")</f>
        <v>Belarus</v>
      </c>
      <c r="D1431">
        <f>IFERROR(__xludf.DUMMYFUNCTION("""COMPUTED_VALUE"""),2012.0)</f>
        <v>2012</v>
      </c>
      <c r="E1431">
        <f>IFERROR(__xludf.DUMMYFUNCTION("""COMPUTED_VALUE"""),9471730.0)</f>
        <v>9471730</v>
      </c>
    </row>
    <row r="1432">
      <c r="A1432" t="str">
        <f t="shared" si="1"/>
        <v>blr#2013</v>
      </c>
      <c r="B1432" t="str">
        <f>IFERROR(__xludf.DUMMYFUNCTION("""COMPUTED_VALUE"""),"blr")</f>
        <v>blr</v>
      </c>
      <c r="C1432" t="str">
        <f>IFERROR(__xludf.DUMMYFUNCTION("""COMPUTED_VALUE"""),"Belarus")</f>
        <v>Belarus</v>
      </c>
      <c r="D1432">
        <f>IFERROR(__xludf.DUMMYFUNCTION("""COMPUTED_VALUE"""),2013.0)</f>
        <v>2013</v>
      </c>
      <c r="E1432">
        <f>IFERROR(__xludf.DUMMYFUNCTION("""COMPUTED_VALUE"""),9478902.0)</f>
        <v>9478902</v>
      </c>
    </row>
    <row r="1433">
      <c r="A1433" t="str">
        <f t="shared" si="1"/>
        <v>blr#2014</v>
      </c>
      <c r="B1433" t="str">
        <f>IFERROR(__xludf.DUMMYFUNCTION("""COMPUTED_VALUE"""),"blr")</f>
        <v>blr</v>
      </c>
      <c r="C1433" t="str">
        <f>IFERROR(__xludf.DUMMYFUNCTION("""COMPUTED_VALUE"""),"Belarus")</f>
        <v>Belarus</v>
      </c>
      <c r="D1433">
        <f>IFERROR(__xludf.DUMMYFUNCTION("""COMPUTED_VALUE"""),2014.0)</f>
        <v>2014</v>
      </c>
      <c r="E1433">
        <f>IFERROR(__xludf.DUMMYFUNCTION("""COMPUTED_VALUE"""),9484851.0)</f>
        <v>9484851</v>
      </c>
    </row>
    <row r="1434">
      <c r="A1434" t="str">
        <f t="shared" si="1"/>
        <v>blr#2015</v>
      </c>
      <c r="B1434" t="str">
        <f>IFERROR(__xludf.DUMMYFUNCTION("""COMPUTED_VALUE"""),"blr")</f>
        <v>blr</v>
      </c>
      <c r="C1434" t="str">
        <f>IFERROR(__xludf.DUMMYFUNCTION("""COMPUTED_VALUE"""),"Belarus")</f>
        <v>Belarus</v>
      </c>
      <c r="D1434">
        <f>IFERROR(__xludf.DUMMYFUNCTION("""COMPUTED_VALUE"""),2015.0)</f>
        <v>2015</v>
      </c>
      <c r="E1434">
        <f>IFERROR(__xludf.DUMMYFUNCTION("""COMPUTED_VALUE"""),9485772.0)</f>
        <v>9485772</v>
      </c>
    </row>
    <row r="1435">
      <c r="A1435" t="str">
        <f t="shared" si="1"/>
        <v>blr#2016</v>
      </c>
      <c r="B1435" t="str">
        <f>IFERROR(__xludf.DUMMYFUNCTION("""COMPUTED_VALUE"""),"blr")</f>
        <v>blr</v>
      </c>
      <c r="C1435" t="str">
        <f>IFERROR(__xludf.DUMMYFUNCTION("""COMPUTED_VALUE"""),"Belarus")</f>
        <v>Belarus</v>
      </c>
      <c r="D1435">
        <f>IFERROR(__xludf.DUMMYFUNCTION("""COMPUTED_VALUE"""),2016.0)</f>
        <v>2016</v>
      </c>
      <c r="E1435">
        <f>IFERROR(__xludf.DUMMYFUNCTION("""COMPUTED_VALUE"""),9480042.0)</f>
        <v>9480042</v>
      </c>
    </row>
    <row r="1436">
      <c r="A1436" t="str">
        <f t="shared" si="1"/>
        <v>blr#2017</v>
      </c>
      <c r="B1436" t="str">
        <f>IFERROR(__xludf.DUMMYFUNCTION("""COMPUTED_VALUE"""),"blr")</f>
        <v>blr</v>
      </c>
      <c r="C1436" t="str">
        <f>IFERROR(__xludf.DUMMYFUNCTION("""COMPUTED_VALUE"""),"Belarus")</f>
        <v>Belarus</v>
      </c>
      <c r="D1436">
        <f>IFERROR(__xludf.DUMMYFUNCTION("""COMPUTED_VALUE"""),2017.0)</f>
        <v>2017</v>
      </c>
      <c r="E1436">
        <f>IFERROR(__xludf.DUMMYFUNCTION("""COMPUTED_VALUE"""),9468338.0)</f>
        <v>9468338</v>
      </c>
    </row>
    <row r="1437">
      <c r="A1437" t="str">
        <f t="shared" si="1"/>
        <v>blr#2018</v>
      </c>
      <c r="B1437" t="str">
        <f>IFERROR(__xludf.DUMMYFUNCTION("""COMPUTED_VALUE"""),"blr")</f>
        <v>blr</v>
      </c>
      <c r="C1437" t="str">
        <f>IFERROR(__xludf.DUMMYFUNCTION("""COMPUTED_VALUE"""),"Belarus")</f>
        <v>Belarus</v>
      </c>
      <c r="D1437">
        <f>IFERROR(__xludf.DUMMYFUNCTION("""COMPUTED_VALUE"""),2018.0)</f>
        <v>2018</v>
      </c>
      <c r="E1437">
        <f>IFERROR(__xludf.DUMMYFUNCTION("""COMPUTED_VALUE"""),9452113.0)</f>
        <v>9452113</v>
      </c>
    </row>
    <row r="1438">
      <c r="A1438" t="str">
        <f t="shared" si="1"/>
        <v>blr#2019</v>
      </c>
      <c r="B1438" t="str">
        <f>IFERROR(__xludf.DUMMYFUNCTION("""COMPUTED_VALUE"""),"blr")</f>
        <v>blr</v>
      </c>
      <c r="C1438" t="str">
        <f>IFERROR(__xludf.DUMMYFUNCTION("""COMPUTED_VALUE"""),"Belarus")</f>
        <v>Belarus</v>
      </c>
      <c r="D1438">
        <f>IFERROR(__xludf.DUMMYFUNCTION("""COMPUTED_VALUE"""),2019.0)</f>
        <v>2019</v>
      </c>
      <c r="E1438">
        <f>IFERROR(__xludf.DUMMYFUNCTION("""COMPUTED_VALUE"""),9433874.0)</f>
        <v>9433874</v>
      </c>
    </row>
    <row r="1439">
      <c r="A1439" t="str">
        <f t="shared" si="1"/>
        <v>blr#2020</v>
      </c>
      <c r="B1439" t="str">
        <f>IFERROR(__xludf.DUMMYFUNCTION("""COMPUTED_VALUE"""),"blr")</f>
        <v>blr</v>
      </c>
      <c r="C1439" t="str">
        <f>IFERROR(__xludf.DUMMYFUNCTION("""COMPUTED_VALUE"""),"Belarus")</f>
        <v>Belarus</v>
      </c>
      <c r="D1439">
        <f>IFERROR(__xludf.DUMMYFUNCTION("""COMPUTED_VALUE"""),2020.0)</f>
        <v>2020</v>
      </c>
      <c r="E1439">
        <f>IFERROR(__xludf.DUMMYFUNCTION("""COMPUTED_VALUE"""),9415431.0)</f>
        <v>9415431</v>
      </c>
    </row>
    <row r="1440">
      <c r="A1440" t="str">
        <f t="shared" si="1"/>
        <v>blr#2021</v>
      </c>
      <c r="B1440" t="str">
        <f>IFERROR(__xludf.DUMMYFUNCTION("""COMPUTED_VALUE"""),"blr")</f>
        <v>blr</v>
      </c>
      <c r="C1440" t="str">
        <f>IFERROR(__xludf.DUMMYFUNCTION("""COMPUTED_VALUE"""),"Belarus")</f>
        <v>Belarus</v>
      </c>
      <c r="D1440">
        <f>IFERROR(__xludf.DUMMYFUNCTION("""COMPUTED_VALUE"""),2021.0)</f>
        <v>2021</v>
      </c>
      <c r="E1440">
        <f>IFERROR(__xludf.DUMMYFUNCTION("""COMPUTED_VALUE"""),9397050.0)</f>
        <v>9397050</v>
      </c>
    </row>
    <row r="1441">
      <c r="A1441" t="str">
        <f t="shared" si="1"/>
        <v>blr#2022</v>
      </c>
      <c r="B1441" t="str">
        <f>IFERROR(__xludf.DUMMYFUNCTION("""COMPUTED_VALUE"""),"blr")</f>
        <v>blr</v>
      </c>
      <c r="C1441" t="str">
        <f>IFERROR(__xludf.DUMMYFUNCTION("""COMPUTED_VALUE"""),"Belarus")</f>
        <v>Belarus</v>
      </c>
      <c r="D1441">
        <f>IFERROR(__xludf.DUMMYFUNCTION("""COMPUTED_VALUE"""),2022.0)</f>
        <v>2022</v>
      </c>
      <c r="E1441">
        <f>IFERROR(__xludf.DUMMYFUNCTION("""COMPUTED_VALUE"""),9377930.0)</f>
        <v>9377930</v>
      </c>
    </row>
    <row r="1442">
      <c r="A1442" t="str">
        <f t="shared" si="1"/>
        <v>blr#2023</v>
      </c>
      <c r="B1442" t="str">
        <f>IFERROR(__xludf.DUMMYFUNCTION("""COMPUTED_VALUE"""),"blr")</f>
        <v>blr</v>
      </c>
      <c r="C1442" t="str">
        <f>IFERROR(__xludf.DUMMYFUNCTION("""COMPUTED_VALUE"""),"Belarus")</f>
        <v>Belarus</v>
      </c>
      <c r="D1442">
        <f>IFERROR(__xludf.DUMMYFUNCTION("""COMPUTED_VALUE"""),2023.0)</f>
        <v>2023</v>
      </c>
      <c r="E1442">
        <f>IFERROR(__xludf.DUMMYFUNCTION("""COMPUTED_VALUE"""),9357681.0)</f>
        <v>9357681</v>
      </c>
    </row>
    <row r="1443">
      <c r="A1443" t="str">
        <f t="shared" si="1"/>
        <v>blr#2024</v>
      </c>
      <c r="B1443" t="str">
        <f>IFERROR(__xludf.DUMMYFUNCTION("""COMPUTED_VALUE"""),"blr")</f>
        <v>blr</v>
      </c>
      <c r="C1443" t="str">
        <f>IFERROR(__xludf.DUMMYFUNCTION("""COMPUTED_VALUE"""),"Belarus")</f>
        <v>Belarus</v>
      </c>
      <c r="D1443">
        <f>IFERROR(__xludf.DUMMYFUNCTION("""COMPUTED_VALUE"""),2024.0)</f>
        <v>2024</v>
      </c>
      <c r="E1443">
        <f>IFERROR(__xludf.DUMMYFUNCTION("""COMPUTED_VALUE"""),9335640.0)</f>
        <v>9335640</v>
      </c>
    </row>
    <row r="1444">
      <c r="A1444" t="str">
        <f t="shared" si="1"/>
        <v>blr#2025</v>
      </c>
      <c r="B1444" t="str">
        <f>IFERROR(__xludf.DUMMYFUNCTION("""COMPUTED_VALUE"""),"blr")</f>
        <v>blr</v>
      </c>
      <c r="C1444" t="str">
        <f>IFERROR(__xludf.DUMMYFUNCTION("""COMPUTED_VALUE"""),"Belarus")</f>
        <v>Belarus</v>
      </c>
      <c r="D1444">
        <f>IFERROR(__xludf.DUMMYFUNCTION("""COMPUTED_VALUE"""),2025.0)</f>
        <v>2025</v>
      </c>
      <c r="E1444">
        <f>IFERROR(__xludf.DUMMYFUNCTION("""COMPUTED_VALUE"""),9311380.0)</f>
        <v>9311380</v>
      </c>
    </row>
    <row r="1445">
      <c r="A1445" t="str">
        <f t="shared" si="1"/>
        <v>blr#2026</v>
      </c>
      <c r="B1445" t="str">
        <f>IFERROR(__xludf.DUMMYFUNCTION("""COMPUTED_VALUE"""),"blr")</f>
        <v>blr</v>
      </c>
      <c r="C1445" t="str">
        <f>IFERROR(__xludf.DUMMYFUNCTION("""COMPUTED_VALUE"""),"Belarus")</f>
        <v>Belarus</v>
      </c>
      <c r="D1445">
        <f>IFERROR(__xludf.DUMMYFUNCTION("""COMPUTED_VALUE"""),2026.0)</f>
        <v>2026</v>
      </c>
      <c r="E1445">
        <f>IFERROR(__xludf.DUMMYFUNCTION("""COMPUTED_VALUE"""),9284893.0)</f>
        <v>9284893</v>
      </c>
    </row>
    <row r="1446">
      <c r="A1446" t="str">
        <f t="shared" si="1"/>
        <v>blr#2027</v>
      </c>
      <c r="B1446" t="str">
        <f>IFERROR(__xludf.DUMMYFUNCTION("""COMPUTED_VALUE"""),"blr")</f>
        <v>blr</v>
      </c>
      <c r="C1446" t="str">
        <f>IFERROR(__xludf.DUMMYFUNCTION("""COMPUTED_VALUE"""),"Belarus")</f>
        <v>Belarus</v>
      </c>
      <c r="D1446">
        <f>IFERROR(__xludf.DUMMYFUNCTION("""COMPUTED_VALUE"""),2027.0)</f>
        <v>2027</v>
      </c>
      <c r="E1446">
        <f>IFERROR(__xludf.DUMMYFUNCTION("""COMPUTED_VALUE"""),9256512.0)</f>
        <v>9256512</v>
      </c>
    </row>
    <row r="1447">
      <c r="A1447" t="str">
        <f t="shared" si="1"/>
        <v>blr#2028</v>
      </c>
      <c r="B1447" t="str">
        <f>IFERROR(__xludf.DUMMYFUNCTION("""COMPUTED_VALUE"""),"blr")</f>
        <v>blr</v>
      </c>
      <c r="C1447" t="str">
        <f>IFERROR(__xludf.DUMMYFUNCTION("""COMPUTED_VALUE"""),"Belarus")</f>
        <v>Belarus</v>
      </c>
      <c r="D1447">
        <f>IFERROR(__xludf.DUMMYFUNCTION("""COMPUTED_VALUE"""),2028.0)</f>
        <v>2028</v>
      </c>
      <c r="E1447">
        <f>IFERROR(__xludf.DUMMYFUNCTION("""COMPUTED_VALUE"""),9226508.0)</f>
        <v>9226508</v>
      </c>
    </row>
    <row r="1448">
      <c r="A1448" t="str">
        <f t="shared" si="1"/>
        <v>blr#2029</v>
      </c>
      <c r="B1448" t="str">
        <f>IFERROR(__xludf.DUMMYFUNCTION("""COMPUTED_VALUE"""),"blr")</f>
        <v>blr</v>
      </c>
      <c r="C1448" t="str">
        <f>IFERROR(__xludf.DUMMYFUNCTION("""COMPUTED_VALUE"""),"Belarus")</f>
        <v>Belarus</v>
      </c>
      <c r="D1448">
        <f>IFERROR(__xludf.DUMMYFUNCTION("""COMPUTED_VALUE"""),2029.0)</f>
        <v>2029</v>
      </c>
      <c r="E1448">
        <f>IFERROR(__xludf.DUMMYFUNCTION("""COMPUTED_VALUE"""),9195266.0)</f>
        <v>9195266</v>
      </c>
    </row>
    <row r="1449">
      <c r="A1449" t="str">
        <f t="shared" si="1"/>
        <v>blr#2030</v>
      </c>
      <c r="B1449" t="str">
        <f>IFERROR(__xludf.DUMMYFUNCTION("""COMPUTED_VALUE"""),"blr")</f>
        <v>blr</v>
      </c>
      <c r="C1449" t="str">
        <f>IFERROR(__xludf.DUMMYFUNCTION("""COMPUTED_VALUE"""),"Belarus")</f>
        <v>Belarus</v>
      </c>
      <c r="D1449">
        <f>IFERROR(__xludf.DUMMYFUNCTION("""COMPUTED_VALUE"""),2030.0)</f>
        <v>2030</v>
      </c>
      <c r="E1449">
        <f>IFERROR(__xludf.DUMMYFUNCTION("""COMPUTED_VALUE"""),9163118.0)</f>
        <v>9163118</v>
      </c>
    </row>
    <row r="1450">
      <c r="A1450" t="str">
        <f t="shared" si="1"/>
        <v>blr#2031</v>
      </c>
      <c r="B1450" t="str">
        <f>IFERROR(__xludf.DUMMYFUNCTION("""COMPUTED_VALUE"""),"blr")</f>
        <v>blr</v>
      </c>
      <c r="C1450" t="str">
        <f>IFERROR(__xludf.DUMMYFUNCTION("""COMPUTED_VALUE"""),"Belarus")</f>
        <v>Belarus</v>
      </c>
      <c r="D1450">
        <f>IFERROR(__xludf.DUMMYFUNCTION("""COMPUTED_VALUE"""),2031.0)</f>
        <v>2031</v>
      </c>
      <c r="E1450">
        <f>IFERROR(__xludf.DUMMYFUNCTION("""COMPUTED_VALUE"""),9130206.0)</f>
        <v>9130206</v>
      </c>
    </row>
    <row r="1451">
      <c r="A1451" t="str">
        <f t="shared" si="1"/>
        <v>blr#2032</v>
      </c>
      <c r="B1451" t="str">
        <f>IFERROR(__xludf.DUMMYFUNCTION("""COMPUTED_VALUE"""),"blr")</f>
        <v>blr</v>
      </c>
      <c r="C1451" t="str">
        <f>IFERROR(__xludf.DUMMYFUNCTION("""COMPUTED_VALUE"""),"Belarus")</f>
        <v>Belarus</v>
      </c>
      <c r="D1451">
        <f>IFERROR(__xludf.DUMMYFUNCTION("""COMPUTED_VALUE"""),2032.0)</f>
        <v>2032</v>
      </c>
      <c r="E1451">
        <f>IFERROR(__xludf.DUMMYFUNCTION("""COMPUTED_VALUE"""),9096649.0)</f>
        <v>9096649</v>
      </c>
    </row>
    <row r="1452">
      <c r="A1452" t="str">
        <f t="shared" si="1"/>
        <v>blr#2033</v>
      </c>
      <c r="B1452" t="str">
        <f>IFERROR(__xludf.DUMMYFUNCTION("""COMPUTED_VALUE"""),"blr")</f>
        <v>blr</v>
      </c>
      <c r="C1452" t="str">
        <f>IFERROR(__xludf.DUMMYFUNCTION("""COMPUTED_VALUE"""),"Belarus")</f>
        <v>Belarus</v>
      </c>
      <c r="D1452">
        <f>IFERROR(__xludf.DUMMYFUNCTION("""COMPUTED_VALUE"""),2033.0)</f>
        <v>2033</v>
      </c>
      <c r="E1452">
        <f>IFERROR(__xludf.DUMMYFUNCTION("""COMPUTED_VALUE"""),9062760.0)</f>
        <v>9062760</v>
      </c>
    </row>
    <row r="1453">
      <c r="A1453" t="str">
        <f t="shared" si="1"/>
        <v>blr#2034</v>
      </c>
      <c r="B1453" t="str">
        <f>IFERROR(__xludf.DUMMYFUNCTION("""COMPUTED_VALUE"""),"blr")</f>
        <v>blr</v>
      </c>
      <c r="C1453" t="str">
        <f>IFERROR(__xludf.DUMMYFUNCTION("""COMPUTED_VALUE"""),"Belarus")</f>
        <v>Belarus</v>
      </c>
      <c r="D1453">
        <f>IFERROR(__xludf.DUMMYFUNCTION("""COMPUTED_VALUE"""),2034.0)</f>
        <v>2034</v>
      </c>
      <c r="E1453">
        <f>IFERROR(__xludf.DUMMYFUNCTION("""COMPUTED_VALUE"""),9028926.0)</f>
        <v>9028926</v>
      </c>
    </row>
    <row r="1454">
      <c r="A1454" t="str">
        <f t="shared" si="1"/>
        <v>blr#2035</v>
      </c>
      <c r="B1454" t="str">
        <f>IFERROR(__xludf.DUMMYFUNCTION("""COMPUTED_VALUE"""),"blr")</f>
        <v>blr</v>
      </c>
      <c r="C1454" t="str">
        <f>IFERROR(__xludf.DUMMYFUNCTION("""COMPUTED_VALUE"""),"Belarus")</f>
        <v>Belarus</v>
      </c>
      <c r="D1454">
        <f>IFERROR(__xludf.DUMMYFUNCTION("""COMPUTED_VALUE"""),2035.0)</f>
        <v>2035</v>
      </c>
      <c r="E1454">
        <f>IFERROR(__xludf.DUMMYFUNCTION("""COMPUTED_VALUE"""),8995426.0)</f>
        <v>8995426</v>
      </c>
    </row>
    <row r="1455">
      <c r="A1455" t="str">
        <f t="shared" si="1"/>
        <v>blr#2036</v>
      </c>
      <c r="B1455" t="str">
        <f>IFERROR(__xludf.DUMMYFUNCTION("""COMPUTED_VALUE"""),"blr")</f>
        <v>blr</v>
      </c>
      <c r="C1455" t="str">
        <f>IFERROR(__xludf.DUMMYFUNCTION("""COMPUTED_VALUE"""),"Belarus")</f>
        <v>Belarus</v>
      </c>
      <c r="D1455">
        <f>IFERROR(__xludf.DUMMYFUNCTION("""COMPUTED_VALUE"""),2036.0)</f>
        <v>2036</v>
      </c>
      <c r="E1455">
        <f>IFERROR(__xludf.DUMMYFUNCTION("""COMPUTED_VALUE"""),8962430.0)</f>
        <v>8962430</v>
      </c>
    </row>
    <row r="1456">
      <c r="A1456" t="str">
        <f t="shared" si="1"/>
        <v>blr#2037</v>
      </c>
      <c r="B1456" t="str">
        <f>IFERROR(__xludf.DUMMYFUNCTION("""COMPUTED_VALUE"""),"blr")</f>
        <v>blr</v>
      </c>
      <c r="C1456" t="str">
        <f>IFERROR(__xludf.DUMMYFUNCTION("""COMPUTED_VALUE"""),"Belarus")</f>
        <v>Belarus</v>
      </c>
      <c r="D1456">
        <f>IFERROR(__xludf.DUMMYFUNCTION("""COMPUTED_VALUE"""),2037.0)</f>
        <v>2037</v>
      </c>
      <c r="E1456">
        <f>IFERROR(__xludf.DUMMYFUNCTION("""COMPUTED_VALUE"""),8930010.0)</f>
        <v>8930010</v>
      </c>
    </row>
    <row r="1457">
      <c r="A1457" t="str">
        <f t="shared" si="1"/>
        <v>blr#2038</v>
      </c>
      <c r="B1457" t="str">
        <f>IFERROR(__xludf.DUMMYFUNCTION("""COMPUTED_VALUE"""),"blr")</f>
        <v>blr</v>
      </c>
      <c r="C1457" t="str">
        <f>IFERROR(__xludf.DUMMYFUNCTION("""COMPUTED_VALUE"""),"Belarus")</f>
        <v>Belarus</v>
      </c>
      <c r="D1457">
        <f>IFERROR(__xludf.DUMMYFUNCTION("""COMPUTED_VALUE"""),2038.0)</f>
        <v>2038</v>
      </c>
      <c r="E1457">
        <f>IFERROR(__xludf.DUMMYFUNCTION("""COMPUTED_VALUE"""),8898297.0)</f>
        <v>8898297</v>
      </c>
    </row>
    <row r="1458">
      <c r="A1458" t="str">
        <f t="shared" si="1"/>
        <v>blr#2039</v>
      </c>
      <c r="B1458" t="str">
        <f>IFERROR(__xludf.DUMMYFUNCTION("""COMPUTED_VALUE"""),"blr")</f>
        <v>blr</v>
      </c>
      <c r="C1458" t="str">
        <f>IFERROR(__xludf.DUMMYFUNCTION("""COMPUTED_VALUE"""),"Belarus")</f>
        <v>Belarus</v>
      </c>
      <c r="D1458">
        <f>IFERROR(__xludf.DUMMYFUNCTION("""COMPUTED_VALUE"""),2039.0)</f>
        <v>2039</v>
      </c>
      <c r="E1458">
        <f>IFERROR(__xludf.DUMMYFUNCTION("""COMPUTED_VALUE"""),8867377.0)</f>
        <v>8867377</v>
      </c>
    </row>
    <row r="1459">
      <c r="A1459" t="str">
        <f t="shared" si="1"/>
        <v>blr#2040</v>
      </c>
      <c r="B1459" t="str">
        <f>IFERROR(__xludf.DUMMYFUNCTION("""COMPUTED_VALUE"""),"blr")</f>
        <v>blr</v>
      </c>
      <c r="C1459" t="str">
        <f>IFERROR(__xludf.DUMMYFUNCTION("""COMPUTED_VALUE"""),"Belarus")</f>
        <v>Belarus</v>
      </c>
      <c r="D1459">
        <f>IFERROR(__xludf.DUMMYFUNCTION("""COMPUTED_VALUE"""),2040.0)</f>
        <v>2040</v>
      </c>
      <c r="E1459">
        <f>IFERROR(__xludf.DUMMYFUNCTION("""COMPUTED_VALUE"""),8837337.0)</f>
        <v>8837337</v>
      </c>
    </row>
    <row r="1460">
      <c r="A1460" t="str">
        <f t="shared" si="1"/>
        <v>bel#1950</v>
      </c>
      <c r="B1460" t="str">
        <f>IFERROR(__xludf.DUMMYFUNCTION("""COMPUTED_VALUE"""),"bel")</f>
        <v>bel</v>
      </c>
      <c r="C1460" t="str">
        <f>IFERROR(__xludf.DUMMYFUNCTION("""COMPUTED_VALUE"""),"Belgium")</f>
        <v>Belgium</v>
      </c>
      <c r="D1460">
        <f>IFERROR(__xludf.DUMMYFUNCTION("""COMPUTED_VALUE"""),1950.0)</f>
        <v>1950</v>
      </c>
      <c r="E1460">
        <f>IFERROR(__xludf.DUMMYFUNCTION("""COMPUTED_VALUE"""),8637519.0)</f>
        <v>8637519</v>
      </c>
    </row>
    <row r="1461">
      <c r="A1461" t="str">
        <f t="shared" si="1"/>
        <v>bel#1951</v>
      </c>
      <c r="B1461" t="str">
        <f>IFERROR(__xludf.DUMMYFUNCTION("""COMPUTED_VALUE"""),"bel")</f>
        <v>bel</v>
      </c>
      <c r="C1461" t="str">
        <f>IFERROR(__xludf.DUMMYFUNCTION("""COMPUTED_VALUE"""),"Belgium")</f>
        <v>Belgium</v>
      </c>
      <c r="D1461">
        <f>IFERROR(__xludf.DUMMYFUNCTION("""COMPUTED_VALUE"""),1951.0)</f>
        <v>1951</v>
      </c>
      <c r="E1461">
        <f>IFERROR(__xludf.DUMMYFUNCTION("""COMPUTED_VALUE"""),8680166.0)</f>
        <v>8680166</v>
      </c>
    </row>
    <row r="1462">
      <c r="A1462" t="str">
        <f t="shared" si="1"/>
        <v>bel#1952</v>
      </c>
      <c r="B1462" t="str">
        <f>IFERROR(__xludf.DUMMYFUNCTION("""COMPUTED_VALUE"""),"bel")</f>
        <v>bel</v>
      </c>
      <c r="C1462" t="str">
        <f>IFERROR(__xludf.DUMMYFUNCTION("""COMPUTED_VALUE"""),"Belgium")</f>
        <v>Belgium</v>
      </c>
      <c r="D1462">
        <f>IFERROR(__xludf.DUMMYFUNCTION("""COMPUTED_VALUE"""),1952.0)</f>
        <v>1952</v>
      </c>
      <c r="E1462">
        <f>IFERROR(__xludf.DUMMYFUNCTION("""COMPUTED_VALUE"""),8727986.0)</f>
        <v>8727986</v>
      </c>
    </row>
    <row r="1463">
      <c r="A1463" t="str">
        <f t="shared" si="1"/>
        <v>bel#1953</v>
      </c>
      <c r="B1463" t="str">
        <f>IFERROR(__xludf.DUMMYFUNCTION("""COMPUTED_VALUE"""),"bel")</f>
        <v>bel</v>
      </c>
      <c r="C1463" t="str">
        <f>IFERROR(__xludf.DUMMYFUNCTION("""COMPUTED_VALUE"""),"Belgium")</f>
        <v>Belgium</v>
      </c>
      <c r="D1463">
        <f>IFERROR(__xludf.DUMMYFUNCTION("""COMPUTED_VALUE"""),1953.0)</f>
        <v>1953</v>
      </c>
      <c r="E1463">
        <f>IFERROR(__xludf.DUMMYFUNCTION("""COMPUTED_VALUE"""),8779273.0)</f>
        <v>8779273</v>
      </c>
    </row>
    <row r="1464">
      <c r="A1464" t="str">
        <f t="shared" si="1"/>
        <v>bel#1954</v>
      </c>
      <c r="B1464" t="str">
        <f>IFERROR(__xludf.DUMMYFUNCTION("""COMPUTED_VALUE"""),"bel")</f>
        <v>bel</v>
      </c>
      <c r="C1464" t="str">
        <f>IFERROR(__xludf.DUMMYFUNCTION("""COMPUTED_VALUE"""),"Belgium")</f>
        <v>Belgium</v>
      </c>
      <c r="D1464">
        <f>IFERROR(__xludf.DUMMYFUNCTION("""COMPUTED_VALUE"""),1954.0)</f>
        <v>1954</v>
      </c>
      <c r="E1464">
        <f>IFERROR(__xludf.DUMMYFUNCTION("""COMPUTED_VALUE"""),8832697.0)</f>
        <v>8832697</v>
      </c>
    </row>
    <row r="1465">
      <c r="A1465" t="str">
        <f t="shared" si="1"/>
        <v>bel#1955</v>
      </c>
      <c r="B1465" t="str">
        <f>IFERROR(__xludf.DUMMYFUNCTION("""COMPUTED_VALUE"""),"bel")</f>
        <v>bel</v>
      </c>
      <c r="C1465" t="str">
        <f>IFERROR(__xludf.DUMMYFUNCTION("""COMPUTED_VALUE"""),"Belgium")</f>
        <v>Belgium</v>
      </c>
      <c r="D1465">
        <f>IFERROR(__xludf.DUMMYFUNCTION("""COMPUTED_VALUE"""),1955.0)</f>
        <v>1955</v>
      </c>
      <c r="E1465">
        <f>IFERROR(__xludf.DUMMYFUNCTION("""COMPUTED_VALUE"""),8887274.0)</f>
        <v>8887274</v>
      </c>
    </row>
    <row r="1466">
      <c r="A1466" t="str">
        <f t="shared" si="1"/>
        <v>bel#1956</v>
      </c>
      <c r="B1466" t="str">
        <f>IFERROR(__xludf.DUMMYFUNCTION("""COMPUTED_VALUE"""),"bel")</f>
        <v>bel</v>
      </c>
      <c r="C1466" t="str">
        <f>IFERROR(__xludf.DUMMYFUNCTION("""COMPUTED_VALUE"""),"Belgium")</f>
        <v>Belgium</v>
      </c>
      <c r="D1466">
        <f>IFERROR(__xludf.DUMMYFUNCTION("""COMPUTED_VALUE"""),1956.0)</f>
        <v>1956</v>
      </c>
      <c r="E1466">
        <f>IFERROR(__xludf.DUMMYFUNCTION("""COMPUTED_VALUE"""),8942404.0)</f>
        <v>8942404</v>
      </c>
    </row>
    <row r="1467">
      <c r="A1467" t="str">
        <f t="shared" si="1"/>
        <v>bel#1957</v>
      </c>
      <c r="B1467" t="str">
        <f>IFERROR(__xludf.DUMMYFUNCTION("""COMPUTED_VALUE"""),"bel")</f>
        <v>bel</v>
      </c>
      <c r="C1467" t="str">
        <f>IFERROR(__xludf.DUMMYFUNCTION("""COMPUTED_VALUE"""),"Belgium")</f>
        <v>Belgium</v>
      </c>
      <c r="D1467">
        <f>IFERROR(__xludf.DUMMYFUNCTION("""COMPUTED_VALUE"""),1957.0)</f>
        <v>1957</v>
      </c>
      <c r="E1467">
        <f>IFERROR(__xludf.DUMMYFUNCTION("""COMPUTED_VALUE"""),8997841.0)</f>
        <v>8997841</v>
      </c>
    </row>
    <row r="1468">
      <c r="A1468" t="str">
        <f t="shared" si="1"/>
        <v>bel#1958</v>
      </c>
      <c r="B1468" t="str">
        <f>IFERROR(__xludf.DUMMYFUNCTION("""COMPUTED_VALUE"""),"bel")</f>
        <v>bel</v>
      </c>
      <c r="C1468" t="str">
        <f>IFERROR(__xludf.DUMMYFUNCTION("""COMPUTED_VALUE"""),"Belgium")</f>
        <v>Belgium</v>
      </c>
      <c r="D1468">
        <f>IFERROR(__xludf.DUMMYFUNCTION("""COMPUTED_VALUE"""),1958.0)</f>
        <v>1958</v>
      </c>
      <c r="E1468">
        <f>IFERROR(__xludf.DUMMYFUNCTION("""COMPUTED_VALUE"""),9053636.0)</f>
        <v>9053636</v>
      </c>
    </row>
    <row r="1469">
      <c r="A1469" t="str">
        <f t="shared" si="1"/>
        <v>bel#1959</v>
      </c>
      <c r="B1469" t="str">
        <f>IFERROR(__xludf.DUMMYFUNCTION("""COMPUTED_VALUE"""),"bel")</f>
        <v>bel</v>
      </c>
      <c r="C1469" t="str">
        <f>IFERROR(__xludf.DUMMYFUNCTION("""COMPUTED_VALUE"""),"Belgium")</f>
        <v>Belgium</v>
      </c>
      <c r="D1469">
        <f>IFERROR(__xludf.DUMMYFUNCTION("""COMPUTED_VALUE"""),1959.0)</f>
        <v>1959</v>
      </c>
      <c r="E1469">
        <f>IFERROR(__xludf.DUMMYFUNCTION("""COMPUTED_VALUE"""),9110067.0)</f>
        <v>9110067</v>
      </c>
    </row>
    <row r="1470">
      <c r="A1470" t="str">
        <f t="shared" si="1"/>
        <v>bel#1960</v>
      </c>
      <c r="B1470" t="str">
        <f>IFERROR(__xludf.DUMMYFUNCTION("""COMPUTED_VALUE"""),"bel")</f>
        <v>bel</v>
      </c>
      <c r="C1470" t="str">
        <f>IFERROR(__xludf.DUMMYFUNCTION("""COMPUTED_VALUE"""),"Belgium")</f>
        <v>Belgium</v>
      </c>
      <c r="D1470">
        <f>IFERROR(__xludf.DUMMYFUNCTION("""COMPUTED_VALUE"""),1960.0)</f>
        <v>1960</v>
      </c>
      <c r="E1470">
        <f>IFERROR(__xludf.DUMMYFUNCTION("""COMPUTED_VALUE"""),9167365.0)</f>
        <v>9167365</v>
      </c>
    </row>
    <row r="1471">
      <c r="A1471" t="str">
        <f t="shared" si="1"/>
        <v>bel#1961</v>
      </c>
      <c r="B1471" t="str">
        <f>IFERROR(__xludf.DUMMYFUNCTION("""COMPUTED_VALUE"""),"bel")</f>
        <v>bel</v>
      </c>
      <c r="C1471" t="str">
        <f>IFERROR(__xludf.DUMMYFUNCTION("""COMPUTED_VALUE"""),"Belgium")</f>
        <v>Belgium</v>
      </c>
      <c r="D1471">
        <f>IFERROR(__xludf.DUMMYFUNCTION("""COMPUTED_VALUE"""),1961.0)</f>
        <v>1961</v>
      </c>
      <c r="E1471">
        <f>IFERROR(__xludf.DUMMYFUNCTION("""COMPUTED_VALUE"""),9225407.0)</f>
        <v>9225407</v>
      </c>
    </row>
    <row r="1472">
      <c r="A1472" t="str">
        <f t="shared" si="1"/>
        <v>bel#1962</v>
      </c>
      <c r="B1472" t="str">
        <f>IFERROR(__xludf.DUMMYFUNCTION("""COMPUTED_VALUE"""),"bel")</f>
        <v>bel</v>
      </c>
      <c r="C1472" t="str">
        <f>IFERROR(__xludf.DUMMYFUNCTION("""COMPUTED_VALUE"""),"Belgium")</f>
        <v>Belgium</v>
      </c>
      <c r="D1472">
        <f>IFERROR(__xludf.DUMMYFUNCTION("""COMPUTED_VALUE"""),1962.0)</f>
        <v>1962</v>
      </c>
      <c r="E1472">
        <f>IFERROR(__xludf.DUMMYFUNCTION("""COMPUTED_VALUE"""),9283540.0)</f>
        <v>9283540</v>
      </c>
    </row>
    <row r="1473">
      <c r="A1473" t="str">
        <f t="shared" si="1"/>
        <v>bel#1963</v>
      </c>
      <c r="B1473" t="str">
        <f>IFERROR(__xludf.DUMMYFUNCTION("""COMPUTED_VALUE"""),"bel")</f>
        <v>bel</v>
      </c>
      <c r="C1473" t="str">
        <f>IFERROR(__xludf.DUMMYFUNCTION("""COMPUTED_VALUE"""),"Belgium")</f>
        <v>Belgium</v>
      </c>
      <c r="D1473">
        <f>IFERROR(__xludf.DUMMYFUNCTION("""COMPUTED_VALUE"""),1963.0)</f>
        <v>1963</v>
      </c>
      <c r="E1473">
        <f>IFERROR(__xludf.DUMMYFUNCTION("""COMPUTED_VALUE"""),9340415.0)</f>
        <v>9340415</v>
      </c>
    </row>
    <row r="1474">
      <c r="A1474" t="str">
        <f t="shared" si="1"/>
        <v>bel#1964</v>
      </c>
      <c r="B1474" t="str">
        <f>IFERROR(__xludf.DUMMYFUNCTION("""COMPUTED_VALUE"""),"bel")</f>
        <v>bel</v>
      </c>
      <c r="C1474" t="str">
        <f>IFERROR(__xludf.DUMMYFUNCTION("""COMPUTED_VALUE"""),"Belgium")</f>
        <v>Belgium</v>
      </c>
      <c r="D1474">
        <f>IFERROR(__xludf.DUMMYFUNCTION("""COMPUTED_VALUE"""),1964.0)</f>
        <v>1964</v>
      </c>
      <c r="E1474">
        <f>IFERROR(__xludf.DUMMYFUNCTION("""COMPUTED_VALUE"""),9394292.0)</f>
        <v>9394292</v>
      </c>
    </row>
    <row r="1475">
      <c r="A1475" t="str">
        <f t="shared" si="1"/>
        <v>bel#1965</v>
      </c>
      <c r="B1475" t="str">
        <f>IFERROR(__xludf.DUMMYFUNCTION("""COMPUTED_VALUE"""),"bel")</f>
        <v>bel</v>
      </c>
      <c r="C1475" t="str">
        <f>IFERROR(__xludf.DUMMYFUNCTION("""COMPUTED_VALUE"""),"Belgium")</f>
        <v>Belgium</v>
      </c>
      <c r="D1475">
        <f>IFERROR(__xludf.DUMMYFUNCTION("""COMPUTED_VALUE"""),1965.0)</f>
        <v>1965</v>
      </c>
      <c r="E1475">
        <f>IFERROR(__xludf.DUMMYFUNCTION("""COMPUTED_VALUE"""),9443939.0)</f>
        <v>9443939</v>
      </c>
    </row>
    <row r="1476">
      <c r="A1476" t="str">
        <f t="shared" si="1"/>
        <v>bel#1966</v>
      </c>
      <c r="B1476" t="str">
        <f>IFERROR(__xludf.DUMMYFUNCTION("""COMPUTED_VALUE"""),"bel")</f>
        <v>bel</v>
      </c>
      <c r="C1476" t="str">
        <f>IFERROR(__xludf.DUMMYFUNCTION("""COMPUTED_VALUE"""),"Belgium")</f>
        <v>Belgium</v>
      </c>
      <c r="D1476">
        <f>IFERROR(__xludf.DUMMYFUNCTION("""COMPUTED_VALUE"""),1966.0)</f>
        <v>1966</v>
      </c>
      <c r="E1476">
        <f>IFERROR(__xludf.DUMMYFUNCTION("""COMPUTED_VALUE"""),9488753.0)</f>
        <v>9488753</v>
      </c>
    </row>
    <row r="1477">
      <c r="A1477" t="str">
        <f t="shared" si="1"/>
        <v>bel#1967</v>
      </c>
      <c r="B1477" t="str">
        <f>IFERROR(__xludf.DUMMYFUNCTION("""COMPUTED_VALUE"""),"bel")</f>
        <v>bel</v>
      </c>
      <c r="C1477" t="str">
        <f>IFERROR(__xludf.DUMMYFUNCTION("""COMPUTED_VALUE"""),"Belgium")</f>
        <v>Belgium</v>
      </c>
      <c r="D1477">
        <f>IFERROR(__xludf.DUMMYFUNCTION("""COMPUTED_VALUE"""),1967.0)</f>
        <v>1967</v>
      </c>
      <c r="E1477">
        <f>IFERROR(__xludf.DUMMYFUNCTION("""COMPUTED_VALUE"""),9529042.0)</f>
        <v>9529042</v>
      </c>
    </row>
    <row r="1478">
      <c r="A1478" t="str">
        <f t="shared" si="1"/>
        <v>bel#1968</v>
      </c>
      <c r="B1478" t="str">
        <f>IFERROR(__xludf.DUMMYFUNCTION("""COMPUTED_VALUE"""),"bel")</f>
        <v>bel</v>
      </c>
      <c r="C1478" t="str">
        <f>IFERROR(__xludf.DUMMYFUNCTION("""COMPUTED_VALUE"""),"Belgium")</f>
        <v>Belgium</v>
      </c>
      <c r="D1478">
        <f>IFERROR(__xludf.DUMMYFUNCTION("""COMPUTED_VALUE"""),1968.0)</f>
        <v>1968</v>
      </c>
      <c r="E1478">
        <f>IFERROR(__xludf.DUMMYFUNCTION("""COMPUTED_VALUE"""),9565595.0)</f>
        <v>9565595</v>
      </c>
    </row>
    <row r="1479">
      <c r="A1479" t="str">
        <f t="shared" si="1"/>
        <v>bel#1969</v>
      </c>
      <c r="B1479" t="str">
        <f>IFERROR(__xludf.DUMMYFUNCTION("""COMPUTED_VALUE"""),"bel")</f>
        <v>bel</v>
      </c>
      <c r="C1479" t="str">
        <f>IFERROR(__xludf.DUMMYFUNCTION("""COMPUTED_VALUE"""),"Belgium")</f>
        <v>Belgium</v>
      </c>
      <c r="D1479">
        <f>IFERROR(__xludf.DUMMYFUNCTION("""COMPUTED_VALUE"""),1969.0)</f>
        <v>1969</v>
      </c>
      <c r="E1479">
        <f>IFERROR(__xludf.DUMMYFUNCTION("""COMPUTED_VALUE"""),9599651.0)</f>
        <v>9599651</v>
      </c>
    </row>
    <row r="1480">
      <c r="A1480" t="str">
        <f t="shared" si="1"/>
        <v>bel#1970</v>
      </c>
      <c r="B1480" t="str">
        <f>IFERROR(__xludf.DUMMYFUNCTION("""COMPUTED_VALUE"""),"bel")</f>
        <v>bel</v>
      </c>
      <c r="C1480" t="str">
        <f>IFERROR(__xludf.DUMMYFUNCTION("""COMPUTED_VALUE"""),"Belgium")</f>
        <v>Belgium</v>
      </c>
      <c r="D1480">
        <f>IFERROR(__xludf.DUMMYFUNCTION("""COMPUTED_VALUE"""),1970.0)</f>
        <v>1970</v>
      </c>
      <c r="E1480">
        <f>IFERROR(__xludf.DUMMYFUNCTION("""COMPUTED_VALUE"""),9632180.0)</f>
        <v>9632180</v>
      </c>
    </row>
    <row r="1481">
      <c r="A1481" t="str">
        <f t="shared" si="1"/>
        <v>bel#1971</v>
      </c>
      <c r="B1481" t="str">
        <f>IFERROR(__xludf.DUMMYFUNCTION("""COMPUTED_VALUE"""),"bel")</f>
        <v>bel</v>
      </c>
      <c r="C1481" t="str">
        <f>IFERROR(__xludf.DUMMYFUNCTION("""COMPUTED_VALUE"""),"Belgium")</f>
        <v>Belgium</v>
      </c>
      <c r="D1481">
        <f>IFERROR(__xludf.DUMMYFUNCTION("""COMPUTED_VALUE"""),1971.0)</f>
        <v>1971</v>
      </c>
      <c r="E1481">
        <f>IFERROR(__xludf.DUMMYFUNCTION("""COMPUTED_VALUE"""),9663324.0)</f>
        <v>9663324</v>
      </c>
    </row>
    <row r="1482">
      <c r="A1482" t="str">
        <f t="shared" si="1"/>
        <v>bel#1972</v>
      </c>
      <c r="B1482" t="str">
        <f>IFERROR(__xludf.DUMMYFUNCTION("""COMPUTED_VALUE"""),"bel")</f>
        <v>bel</v>
      </c>
      <c r="C1482" t="str">
        <f>IFERROR(__xludf.DUMMYFUNCTION("""COMPUTED_VALUE"""),"Belgium")</f>
        <v>Belgium</v>
      </c>
      <c r="D1482">
        <f>IFERROR(__xludf.DUMMYFUNCTION("""COMPUTED_VALUE"""),1972.0)</f>
        <v>1972</v>
      </c>
      <c r="E1482">
        <f>IFERROR(__xludf.DUMMYFUNCTION("""COMPUTED_VALUE"""),9692846.0)</f>
        <v>9692846</v>
      </c>
    </row>
    <row r="1483">
      <c r="A1483" t="str">
        <f t="shared" si="1"/>
        <v>bel#1973</v>
      </c>
      <c r="B1483" t="str">
        <f>IFERROR(__xludf.DUMMYFUNCTION("""COMPUTED_VALUE"""),"bel")</f>
        <v>bel</v>
      </c>
      <c r="C1483" t="str">
        <f>IFERROR(__xludf.DUMMYFUNCTION("""COMPUTED_VALUE"""),"Belgium")</f>
        <v>Belgium</v>
      </c>
      <c r="D1483">
        <f>IFERROR(__xludf.DUMMYFUNCTION("""COMPUTED_VALUE"""),1973.0)</f>
        <v>1973</v>
      </c>
      <c r="E1483">
        <f>IFERROR(__xludf.DUMMYFUNCTION("""COMPUTED_VALUE"""),9720761.0)</f>
        <v>9720761</v>
      </c>
    </row>
    <row r="1484">
      <c r="A1484" t="str">
        <f t="shared" si="1"/>
        <v>bel#1974</v>
      </c>
      <c r="B1484" t="str">
        <f>IFERROR(__xludf.DUMMYFUNCTION("""COMPUTED_VALUE"""),"bel")</f>
        <v>bel</v>
      </c>
      <c r="C1484" t="str">
        <f>IFERROR(__xludf.DUMMYFUNCTION("""COMPUTED_VALUE"""),"Belgium")</f>
        <v>Belgium</v>
      </c>
      <c r="D1484">
        <f>IFERROR(__xludf.DUMMYFUNCTION("""COMPUTED_VALUE"""),1974.0)</f>
        <v>1974</v>
      </c>
      <c r="E1484">
        <f>IFERROR(__xludf.DUMMYFUNCTION("""COMPUTED_VALUE"""),9747020.0)</f>
        <v>9747020</v>
      </c>
    </row>
    <row r="1485">
      <c r="A1485" t="str">
        <f t="shared" si="1"/>
        <v>bel#1975</v>
      </c>
      <c r="B1485" t="str">
        <f>IFERROR(__xludf.DUMMYFUNCTION("""COMPUTED_VALUE"""),"bel")</f>
        <v>bel</v>
      </c>
      <c r="C1485" t="str">
        <f>IFERROR(__xludf.DUMMYFUNCTION("""COMPUTED_VALUE"""),"Belgium")</f>
        <v>Belgium</v>
      </c>
      <c r="D1485">
        <f>IFERROR(__xludf.DUMMYFUNCTION("""COMPUTED_VALUE"""),1975.0)</f>
        <v>1975</v>
      </c>
      <c r="E1485">
        <f>IFERROR(__xludf.DUMMYFUNCTION("""COMPUTED_VALUE"""),9771586.0)</f>
        <v>9771586</v>
      </c>
    </row>
    <row r="1486">
      <c r="A1486" t="str">
        <f t="shared" si="1"/>
        <v>bel#1976</v>
      </c>
      <c r="B1486" t="str">
        <f>IFERROR(__xludf.DUMMYFUNCTION("""COMPUTED_VALUE"""),"bel")</f>
        <v>bel</v>
      </c>
      <c r="C1486" t="str">
        <f>IFERROR(__xludf.DUMMYFUNCTION("""COMPUTED_VALUE"""),"Belgium")</f>
        <v>Belgium</v>
      </c>
      <c r="D1486">
        <f>IFERROR(__xludf.DUMMYFUNCTION("""COMPUTED_VALUE"""),1976.0)</f>
        <v>1976</v>
      </c>
      <c r="E1486">
        <f>IFERROR(__xludf.DUMMYFUNCTION("""COMPUTED_VALUE"""),9794777.0)</f>
        <v>9794777</v>
      </c>
    </row>
    <row r="1487">
      <c r="A1487" t="str">
        <f t="shared" si="1"/>
        <v>bel#1977</v>
      </c>
      <c r="B1487" t="str">
        <f>IFERROR(__xludf.DUMMYFUNCTION("""COMPUTED_VALUE"""),"bel")</f>
        <v>bel</v>
      </c>
      <c r="C1487" t="str">
        <f>IFERROR(__xludf.DUMMYFUNCTION("""COMPUTED_VALUE"""),"Belgium")</f>
        <v>Belgium</v>
      </c>
      <c r="D1487">
        <f>IFERROR(__xludf.DUMMYFUNCTION("""COMPUTED_VALUE"""),1977.0)</f>
        <v>1977</v>
      </c>
      <c r="E1487">
        <f>IFERROR(__xludf.DUMMYFUNCTION("""COMPUTED_VALUE"""),9816696.0)</f>
        <v>9816696</v>
      </c>
    </row>
    <row r="1488">
      <c r="A1488" t="str">
        <f t="shared" si="1"/>
        <v>bel#1978</v>
      </c>
      <c r="B1488" t="str">
        <f>IFERROR(__xludf.DUMMYFUNCTION("""COMPUTED_VALUE"""),"bel")</f>
        <v>bel</v>
      </c>
      <c r="C1488" t="str">
        <f>IFERROR(__xludf.DUMMYFUNCTION("""COMPUTED_VALUE"""),"Belgium")</f>
        <v>Belgium</v>
      </c>
      <c r="D1488">
        <f>IFERROR(__xludf.DUMMYFUNCTION("""COMPUTED_VALUE"""),1978.0)</f>
        <v>1978</v>
      </c>
      <c r="E1488">
        <f>IFERROR(__xludf.DUMMYFUNCTION("""COMPUTED_VALUE"""),9836814.0)</f>
        <v>9836814</v>
      </c>
    </row>
    <row r="1489">
      <c r="A1489" t="str">
        <f t="shared" si="1"/>
        <v>bel#1979</v>
      </c>
      <c r="B1489" t="str">
        <f>IFERROR(__xludf.DUMMYFUNCTION("""COMPUTED_VALUE"""),"bel")</f>
        <v>bel</v>
      </c>
      <c r="C1489" t="str">
        <f>IFERROR(__xludf.DUMMYFUNCTION("""COMPUTED_VALUE"""),"Belgium")</f>
        <v>Belgium</v>
      </c>
      <c r="D1489">
        <f>IFERROR(__xludf.DUMMYFUNCTION("""COMPUTED_VALUE"""),1979.0)</f>
        <v>1979</v>
      </c>
      <c r="E1489">
        <f>IFERROR(__xludf.DUMMYFUNCTION("""COMPUTED_VALUE"""),9854377.0)</f>
        <v>9854377</v>
      </c>
    </row>
    <row r="1490">
      <c r="A1490" t="str">
        <f t="shared" si="1"/>
        <v>bel#1980</v>
      </c>
      <c r="B1490" t="str">
        <f>IFERROR(__xludf.DUMMYFUNCTION("""COMPUTED_VALUE"""),"bel")</f>
        <v>bel</v>
      </c>
      <c r="C1490" t="str">
        <f>IFERROR(__xludf.DUMMYFUNCTION("""COMPUTED_VALUE"""),"Belgium")</f>
        <v>Belgium</v>
      </c>
      <c r="D1490">
        <f>IFERROR(__xludf.DUMMYFUNCTION("""COMPUTED_VALUE"""),1980.0)</f>
        <v>1980</v>
      </c>
      <c r="E1490">
        <f>IFERROR(__xludf.DUMMYFUNCTION("""COMPUTED_VALUE"""),9868995.0)</f>
        <v>9868995</v>
      </c>
    </row>
    <row r="1491">
      <c r="A1491" t="str">
        <f t="shared" si="1"/>
        <v>bel#1981</v>
      </c>
      <c r="B1491" t="str">
        <f>IFERROR(__xludf.DUMMYFUNCTION("""COMPUTED_VALUE"""),"bel")</f>
        <v>bel</v>
      </c>
      <c r="C1491" t="str">
        <f>IFERROR(__xludf.DUMMYFUNCTION("""COMPUTED_VALUE"""),"Belgium")</f>
        <v>Belgium</v>
      </c>
      <c r="D1491">
        <f>IFERROR(__xludf.DUMMYFUNCTION("""COMPUTED_VALUE"""),1981.0)</f>
        <v>1981</v>
      </c>
      <c r="E1491">
        <f>IFERROR(__xludf.DUMMYFUNCTION("""COMPUTED_VALUE"""),9880592.0)</f>
        <v>9880592</v>
      </c>
    </row>
    <row r="1492">
      <c r="A1492" t="str">
        <f t="shared" si="1"/>
        <v>bel#1982</v>
      </c>
      <c r="B1492" t="str">
        <f>IFERROR(__xludf.DUMMYFUNCTION("""COMPUTED_VALUE"""),"bel")</f>
        <v>bel</v>
      </c>
      <c r="C1492" t="str">
        <f>IFERROR(__xludf.DUMMYFUNCTION("""COMPUTED_VALUE"""),"Belgium")</f>
        <v>Belgium</v>
      </c>
      <c r="D1492">
        <f>IFERROR(__xludf.DUMMYFUNCTION("""COMPUTED_VALUE"""),1982.0)</f>
        <v>1982</v>
      </c>
      <c r="E1492">
        <f>IFERROR(__xludf.DUMMYFUNCTION("""COMPUTED_VALUE"""),9889824.0)</f>
        <v>9889824</v>
      </c>
    </row>
    <row r="1493">
      <c r="A1493" t="str">
        <f t="shared" si="1"/>
        <v>bel#1983</v>
      </c>
      <c r="B1493" t="str">
        <f>IFERROR(__xludf.DUMMYFUNCTION("""COMPUTED_VALUE"""),"bel")</f>
        <v>bel</v>
      </c>
      <c r="C1493" t="str">
        <f>IFERROR(__xludf.DUMMYFUNCTION("""COMPUTED_VALUE"""),"Belgium")</f>
        <v>Belgium</v>
      </c>
      <c r="D1493">
        <f>IFERROR(__xludf.DUMMYFUNCTION("""COMPUTED_VALUE"""),1983.0)</f>
        <v>1983</v>
      </c>
      <c r="E1493">
        <f>IFERROR(__xludf.DUMMYFUNCTION("""COMPUTED_VALUE"""),9897880.0)</f>
        <v>9897880</v>
      </c>
    </row>
    <row r="1494">
      <c r="A1494" t="str">
        <f t="shared" si="1"/>
        <v>bel#1984</v>
      </c>
      <c r="B1494" t="str">
        <f>IFERROR(__xludf.DUMMYFUNCTION("""COMPUTED_VALUE"""),"bel")</f>
        <v>bel</v>
      </c>
      <c r="C1494" t="str">
        <f>IFERROR(__xludf.DUMMYFUNCTION("""COMPUTED_VALUE"""),"Belgium")</f>
        <v>Belgium</v>
      </c>
      <c r="D1494">
        <f>IFERROR(__xludf.DUMMYFUNCTION("""COMPUTED_VALUE"""),1984.0)</f>
        <v>1984</v>
      </c>
      <c r="E1494">
        <f>IFERROR(__xludf.DUMMYFUNCTION("""COMPUTED_VALUE"""),9906371.0)</f>
        <v>9906371</v>
      </c>
    </row>
    <row r="1495">
      <c r="A1495" t="str">
        <f t="shared" si="1"/>
        <v>bel#1985</v>
      </c>
      <c r="B1495" t="str">
        <f>IFERROR(__xludf.DUMMYFUNCTION("""COMPUTED_VALUE"""),"bel")</f>
        <v>bel</v>
      </c>
      <c r="C1495" t="str">
        <f>IFERROR(__xludf.DUMMYFUNCTION("""COMPUTED_VALUE"""),"Belgium")</f>
        <v>Belgium</v>
      </c>
      <c r="D1495">
        <f>IFERROR(__xludf.DUMMYFUNCTION("""COMPUTED_VALUE"""),1985.0)</f>
        <v>1985</v>
      </c>
      <c r="E1495">
        <f>IFERROR(__xludf.DUMMYFUNCTION("""COMPUTED_VALUE"""),9916578.0)</f>
        <v>9916578</v>
      </c>
    </row>
    <row r="1496">
      <c r="A1496" t="str">
        <f t="shared" si="1"/>
        <v>bel#1986</v>
      </c>
      <c r="B1496" t="str">
        <f>IFERROR(__xludf.DUMMYFUNCTION("""COMPUTED_VALUE"""),"bel")</f>
        <v>bel</v>
      </c>
      <c r="C1496" t="str">
        <f>IFERROR(__xludf.DUMMYFUNCTION("""COMPUTED_VALUE"""),"Belgium")</f>
        <v>Belgium</v>
      </c>
      <c r="D1496">
        <f>IFERROR(__xludf.DUMMYFUNCTION("""COMPUTED_VALUE"""),1986.0)</f>
        <v>1986</v>
      </c>
      <c r="E1496">
        <f>IFERROR(__xludf.DUMMYFUNCTION("""COMPUTED_VALUE"""),9928542.0)</f>
        <v>9928542</v>
      </c>
    </row>
    <row r="1497">
      <c r="A1497" t="str">
        <f t="shared" si="1"/>
        <v>bel#1987</v>
      </c>
      <c r="B1497" t="str">
        <f>IFERROR(__xludf.DUMMYFUNCTION("""COMPUTED_VALUE"""),"bel")</f>
        <v>bel</v>
      </c>
      <c r="C1497" t="str">
        <f>IFERROR(__xludf.DUMMYFUNCTION("""COMPUTED_VALUE"""),"Belgium")</f>
        <v>Belgium</v>
      </c>
      <c r="D1497">
        <f>IFERROR(__xludf.DUMMYFUNCTION("""COMPUTED_VALUE"""),1987.0)</f>
        <v>1987</v>
      </c>
      <c r="E1497">
        <f>IFERROR(__xludf.DUMMYFUNCTION("""COMPUTED_VALUE"""),9942289.0)</f>
        <v>9942289</v>
      </c>
    </row>
    <row r="1498">
      <c r="A1498" t="str">
        <f t="shared" si="1"/>
        <v>bel#1988</v>
      </c>
      <c r="B1498" t="str">
        <f>IFERROR(__xludf.DUMMYFUNCTION("""COMPUTED_VALUE"""),"bel")</f>
        <v>bel</v>
      </c>
      <c r="C1498" t="str">
        <f>IFERROR(__xludf.DUMMYFUNCTION("""COMPUTED_VALUE"""),"Belgium")</f>
        <v>Belgium</v>
      </c>
      <c r="D1498">
        <f>IFERROR(__xludf.DUMMYFUNCTION("""COMPUTED_VALUE"""),1988.0)</f>
        <v>1988</v>
      </c>
      <c r="E1498">
        <f>IFERROR(__xludf.DUMMYFUNCTION("""COMPUTED_VALUE"""),9959020.0)</f>
        <v>9959020</v>
      </c>
    </row>
    <row r="1499">
      <c r="A1499" t="str">
        <f t="shared" si="1"/>
        <v>bel#1989</v>
      </c>
      <c r="B1499" t="str">
        <f>IFERROR(__xludf.DUMMYFUNCTION("""COMPUTED_VALUE"""),"bel")</f>
        <v>bel</v>
      </c>
      <c r="C1499" t="str">
        <f>IFERROR(__xludf.DUMMYFUNCTION("""COMPUTED_VALUE"""),"Belgium")</f>
        <v>Belgium</v>
      </c>
      <c r="D1499">
        <f>IFERROR(__xludf.DUMMYFUNCTION("""COMPUTED_VALUE"""),1989.0)</f>
        <v>1989</v>
      </c>
      <c r="E1499">
        <f>IFERROR(__xludf.DUMMYFUNCTION("""COMPUTED_VALUE"""),9980176.0)</f>
        <v>9980176</v>
      </c>
    </row>
    <row r="1500">
      <c r="A1500" t="str">
        <f t="shared" si="1"/>
        <v>bel#1990</v>
      </c>
      <c r="B1500" t="str">
        <f>IFERROR(__xludf.DUMMYFUNCTION("""COMPUTED_VALUE"""),"bel")</f>
        <v>bel</v>
      </c>
      <c r="C1500" t="str">
        <f>IFERROR(__xludf.DUMMYFUNCTION("""COMPUTED_VALUE"""),"Belgium")</f>
        <v>Belgium</v>
      </c>
      <c r="D1500">
        <f>IFERROR(__xludf.DUMMYFUNCTION("""COMPUTED_VALUE"""),1990.0)</f>
        <v>1990</v>
      </c>
      <c r="E1500">
        <f>IFERROR(__xludf.DUMMYFUNCTION("""COMPUTED_VALUE"""),1.0006544E7)</f>
        <v>10006544</v>
      </c>
    </row>
    <row r="1501">
      <c r="A1501" t="str">
        <f t="shared" si="1"/>
        <v>bel#1991</v>
      </c>
      <c r="B1501" t="str">
        <f>IFERROR(__xludf.DUMMYFUNCTION("""COMPUTED_VALUE"""),"bel")</f>
        <v>bel</v>
      </c>
      <c r="C1501" t="str">
        <f>IFERROR(__xludf.DUMMYFUNCTION("""COMPUTED_VALUE"""),"Belgium")</f>
        <v>Belgium</v>
      </c>
      <c r="D1501">
        <f>IFERROR(__xludf.DUMMYFUNCTION("""COMPUTED_VALUE"""),1991.0)</f>
        <v>1991</v>
      </c>
      <c r="E1501">
        <f>IFERROR(__xludf.DUMMYFUNCTION("""COMPUTED_VALUE"""),1.0039445E7)</f>
        <v>10039445</v>
      </c>
    </row>
    <row r="1502">
      <c r="A1502" t="str">
        <f t="shared" si="1"/>
        <v>bel#1992</v>
      </c>
      <c r="B1502" t="str">
        <f>IFERROR(__xludf.DUMMYFUNCTION("""COMPUTED_VALUE"""),"bel")</f>
        <v>bel</v>
      </c>
      <c r="C1502" t="str">
        <f>IFERROR(__xludf.DUMMYFUNCTION("""COMPUTED_VALUE"""),"Belgium")</f>
        <v>Belgium</v>
      </c>
      <c r="D1502">
        <f>IFERROR(__xludf.DUMMYFUNCTION("""COMPUTED_VALUE"""),1992.0)</f>
        <v>1992</v>
      </c>
      <c r="E1502">
        <f>IFERROR(__xludf.DUMMYFUNCTION("""COMPUTED_VALUE"""),1.0078101E7)</f>
        <v>10078101</v>
      </c>
    </row>
    <row r="1503">
      <c r="A1503" t="str">
        <f t="shared" si="1"/>
        <v>bel#1993</v>
      </c>
      <c r="B1503" t="str">
        <f>IFERROR(__xludf.DUMMYFUNCTION("""COMPUTED_VALUE"""),"bel")</f>
        <v>bel</v>
      </c>
      <c r="C1503" t="str">
        <f>IFERROR(__xludf.DUMMYFUNCTION("""COMPUTED_VALUE"""),"Belgium")</f>
        <v>Belgium</v>
      </c>
      <c r="D1503">
        <f>IFERROR(__xludf.DUMMYFUNCTION("""COMPUTED_VALUE"""),1993.0)</f>
        <v>1993</v>
      </c>
      <c r="E1503">
        <f>IFERROR(__xludf.DUMMYFUNCTION("""COMPUTED_VALUE"""),1.0118674E7)</f>
        <v>10118674</v>
      </c>
    </row>
    <row r="1504">
      <c r="A1504" t="str">
        <f t="shared" si="1"/>
        <v>bel#1994</v>
      </c>
      <c r="B1504" t="str">
        <f>IFERROR(__xludf.DUMMYFUNCTION("""COMPUTED_VALUE"""),"bel")</f>
        <v>bel</v>
      </c>
      <c r="C1504" t="str">
        <f>IFERROR(__xludf.DUMMYFUNCTION("""COMPUTED_VALUE"""),"Belgium")</f>
        <v>Belgium</v>
      </c>
      <c r="D1504">
        <f>IFERROR(__xludf.DUMMYFUNCTION("""COMPUTED_VALUE"""),1994.0)</f>
        <v>1994</v>
      </c>
      <c r="E1504">
        <f>IFERROR(__xludf.DUMMYFUNCTION("""COMPUTED_VALUE"""),1.0155919E7)</f>
        <v>10155919</v>
      </c>
    </row>
    <row r="1505">
      <c r="A1505" t="str">
        <f t="shared" si="1"/>
        <v>bel#1995</v>
      </c>
      <c r="B1505" t="str">
        <f>IFERROR(__xludf.DUMMYFUNCTION("""COMPUTED_VALUE"""),"bel")</f>
        <v>bel</v>
      </c>
      <c r="C1505" t="str">
        <f>IFERROR(__xludf.DUMMYFUNCTION("""COMPUTED_VALUE"""),"Belgium")</f>
        <v>Belgium</v>
      </c>
      <c r="D1505">
        <f>IFERROR(__xludf.DUMMYFUNCTION("""COMPUTED_VALUE"""),1995.0)</f>
        <v>1995</v>
      </c>
      <c r="E1505">
        <f>IFERROR(__xludf.DUMMYFUNCTION("""COMPUTED_VALUE"""),1.0186305E7)</f>
        <v>10186305</v>
      </c>
    </row>
    <row r="1506">
      <c r="A1506" t="str">
        <f t="shared" si="1"/>
        <v>bel#1996</v>
      </c>
      <c r="B1506" t="str">
        <f>IFERROR(__xludf.DUMMYFUNCTION("""COMPUTED_VALUE"""),"bel")</f>
        <v>bel</v>
      </c>
      <c r="C1506" t="str">
        <f>IFERROR(__xludf.DUMMYFUNCTION("""COMPUTED_VALUE"""),"Belgium")</f>
        <v>Belgium</v>
      </c>
      <c r="D1506">
        <f>IFERROR(__xludf.DUMMYFUNCTION("""COMPUTED_VALUE"""),1996.0)</f>
        <v>1996</v>
      </c>
      <c r="E1506">
        <f>IFERROR(__xludf.DUMMYFUNCTION("""COMPUTED_VALUE"""),1.0208275E7)</f>
        <v>10208275</v>
      </c>
    </row>
    <row r="1507">
      <c r="A1507" t="str">
        <f t="shared" si="1"/>
        <v>bel#1997</v>
      </c>
      <c r="B1507" t="str">
        <f>IFERROR(__xludf.DUMMYFUNCTION("""COMPUTED_VALUE"""),"bel")</f>
        <v>bel</v>
      </c>
      <c r="C1507" t="str">
        <f>IFERROR(__xludf.DUMMYFUNCTION("""COMPUTED_VALUE"""),"Belgium")</f>
        <v>Belgium</v>
      </c>
      <c r="D1507">
        <f>IFERROR(__xludf.DUMMYFUNCTION("""COMPUTED_VALUE"""),1997.0)</f>
        <v>1997</v>
      </c>
      <c r="E1507">
        <f>IFERROR(__xludf.DUMMYFUNCTION("""COMPUTED_VALUE"""),1.0223789E7)</f>
        <v>10223789</v>
      </c>
    </row>
    <row r="1508">
      <c r="A1508" t="str">
        <f t="shared" si="1"/>
        <v>bel#1998</v>
      </c>
      <c r="B1508" t="str">
        <f>IFERROR(__xludf.DUMMYFUNCTION("""COMPUTED_VALUE"""),"bel")</f>
        <v>bel</v>
      </c>
      <c r="C1508" t="str">
        <f>IFERROR(__xludf.DUMMYFUNCTION("""COMPUTED_VALUE"""),"Belgium")</f>
        <v>Belgium</v>
      </c>
      <c r="D1508">
        <f>IFERROR(__xludf.DUMMYFUNCTION("""COMPUTED_VALUE"""),1998.0)</f>
        <v>1998</v>
      </c>
      <c r="E1508">
        <f>IFERROR(__xludf.DUMMYFUNCTION("""COMPUTED_VALUE"""),1.0237299E7)</f>
        <v>10237299</v>
      </c>
    </row>
    <row r="1509">
      <c r="A1509" t="str">
        <f t="shared" si="1"/>
        <v>bel#1999</v>
      </c>
      <c r="B1509" t="str">
        <f>IFERROR(__xludf.DUMMYFUNCTION("""COMPUTED_VALUE"""),"bel")</f>
        <v>bel</v>
      </c>
      <c r="C1509" t="str">
        <f>IFERROR(__xludf.DUMMYFUNCTION("""COMPUTED_VALUE"""),"Belgium")</f>
        <v>Belgium</v>
      </c>
      <c r="D1509">
        <f>IFERROR(__xludf.DUMMYFUNCTION("""COMPUTED_VALUE"""),1999.0)</f>
        <v>1999</v>
      </c>
      <c r="E1509">
        <f>IFERROR(__xludf.DUMMYFUNCTION("""COMPUTED_VALUE"""),1.025516E7)</f>
        <v>10255160</v>
      </c>
    </row>
    <row r="1510">
      <c r="A1510" t="str">
        <f t="shared" si="1"/>
        <v>bel#2000</v>
      </c>
      <c r="B1510" t="str">
        <f>IFERROR(__xludf.DUMMYFUNCTION("""COMPUTED_VALUE"""),"bel")</f>
        <v>bel</v>
      </c>
      <c r="C1510" t="str">
        <f>IFERROR(__xludf.DUMMYFUNCTION("""COMPUTED_VALUE"""),"Belgium")</f>
        <v>Belgium</v>
      </c>
      <c r="D1510">
        <f>IFERROR(__xludf.DUMMYFUNCTION("""COMPUTED_VALUE"""),2000.0)</f>
        <v>2000</v>
      </c>
      <c r="E1510">
        <f>IFERROR(__xludf.DUMMYFUNCTION("""COMPUTED_VALUE"""),1.0282033E7)</f>
        <v>10282033</v>
      </c>
    </row>
    <row r="1511">
      <c r="A1511" t="str">
        <f t="shared" si="1"/>
        <v>bel#2001</v>
      </c>
      <c r="B1511" t="str">
        <f>IFERROR(__xludf.DUMMYFUNCTION("""COMPUTED_VALUE"""),"bel")</f>
        <v>bel</v>
      </c>
      <c r="C1511" t="str">
        <f>IFERROR(__xludf.DUMMYFUNCTION("""COMPUTED_VALUE"""),"Belgium")</f>
        <v>Belgium</v>
      </c>
      <c r="D1511">
        <f>IFERROR(__xludf.DUMMYFUNCTION("""COMPUTED_VALUE"""),2001.0)</f>
        <v>2001</v>
      </c>
      <c r="E1511">
        <f>IFERROR(__xludf.DUMMYFUNCTION("""COMPUTED_VALUE"""),1.0319019E7)</f>
        <v>10319019</v>
      </c>
    </row>
    <row r="1512">
      <c r="A1512" t="str">
        <f t="shared" si="1"/>
        <v>bel#2002</v>
      </c>
      <c r="B1512" t="str">
        <f>IFERROR(__xludf.DUMMYFUNCTION("""COMPUTED_VALUE"""),"bel")</f>
        <v>bel</v>
      </c>
      <c r="C1512" t="str">
        <f>IFERROR(__xludf.DUMMYFUNCTION("""COMPUTED_VALUE"""),"Belgium")</f>
        <v>Belgium</v>
      </c>
      <c r="D1512">
        <f>IFERROR(__xludf.DUMMYFUNCTION("""COMPUTED_VALUE"""),2002.0)</f>
        <v>2002</v>
      </c>
      <c r="E1512">
        <f>IFERROR(__xludf.DUMMYFUNCTION("""COMPUTED_VALUE"""),1.0364885E7)</f>
        <v>10364885</v>
      </c>
    </row>
    <row r="1513">
      <c r="A1513" t="str">
        <f t="shared" si="1"/>
        <v>bel#2003</v>
      </c>
      <c r="B1513" t="str">
        <f>IFERROR(__xludf.DUMMYFUNCTION("""COMPUTED_VALUE"""),"bel")</f>
        <v>bel</v>
      </c>
      <c r="C1513" t="str">
        <f>IFERROR(__xludf.DUMMYFUNCTION("""COMPUTED_VALUE"""),"Belgium")</f>
        <v>Belgium</v>
      </c>
      <c r="D1513">
        <f>IFERROR(__xludf.DUMMYFUNCTION("""COMPUTED_VALUE"""),2003.0)</f>
        <v>2003</v>
      </c>
      <c r="E1513">
        <f>IFERROR(__xludf.DUMMYFUNCTION("""COMPUTED_VALUE"""),1.0419032E7)</f>
        <v>10419032</v>
      </c>
    </row>
    <row r="1514">
      <c r="A1514" t="str">
        <f t="shared" si="1"/>
        <v>bel#2004</v>
      </c>
      <c r="B1514" t="str">
        <f>IFERROR(__xludf.DUMMYFUNCTION("""COMPUTED_VALUE"""),"bel")</f>
        <v>bel</v>
      </c>
      <c r="C1514" t="str">
        <f>IFERROR(__xludf.DUMMYFUNCTION("""COMPUTED_VALUE"""),"Belgium")</f>
        <v>Belgium</v>
      </c>
      <c r="D1514">
        <f>IFERROR(__xludf.DUMMYFUNCTION("""COMPUTED_VALUE"""),2004.0)</f>
        <v>2004</v>
      </c>
      <c r="E1514">
        <f>IFERROR(__xludf.DUMMYFUNCTION("""COMPUTED_VALUE"""),1.0480117E7)</f>
        <v>10480117</v>
      </c>
    </row>
    <row r="1515">
      <c r="A1515" t="str">
        <f t="shared" si="1"/>
        <v>bel#2005</v>
      </c>
      <c r="B1515" t="str">
        <f>IFERROR(__xludf.DUMMYFUNCTION("""COMPUTED_VALUE"""),"bel")</f>
        <v>bel</v>
      </c>
      <c r="C1515" t="str">
        <f>IFERROR(__xludf.DUMMYFUNCTION("""COMPUTED_VALUE"""),"Belgium")</f>
        <v>Belgium</v>
      </c>
      <c r="D1515">
        <f>IFERROR(__xludf.DUMMYFUNCTION("""COMPUTED_VALUE"""),2005.0)</f>
        <v>2005</v>
      </c>
      <c r="E1515">
        <f>IFERROR(__xludf.DUMMYFUNCTION("""COMPUTED_VALUE"""),1.0546886E7)</f>
        <v>10546886</v>
      </c>
    </row>
    <row r="1516">
      <c r="A1516" t="str">
        <f t="shared" si="1"/>
        <v>bel#2006</v>
      </c>
      <c r="B1516" t="str">
        <f>IFERROR(__xludf.DUMMYFUNCTION("""COMPUTED_VALUE"""),"bel")</f>
        <v>bel</v>
      </c>
      <c r="C1516" t="str">
        <f>IFERROR(__xludf.DUMMYFUNCTION("""COMPUTED_VALUE"""),"Belgium")</f>
        <v>Belgium</v>
      </c>
      <c r="D1516">
        <f>IFERROR(__xludf.DUMMYFUNCTION("""COMPUTED_VALUE"""),2006.0)</f>
        <v>2006</v>
      </c>
      <c r="E1516">
        <f>IFERROR(__xludf.DUMMYFUNCTION("""COMPUTED_VALUE"""),1.0619567E7)</f>
        <v>10619567</v>
      </c>
    </row>
    <row r="1517">
      <c r="A1517" t="str">
        <f t="shared" si="1"/>
        <v>bel#2007</v>
      </c>
      <c r="B1517" t="str">
        <f>IFERROR(__xludf.DUMMYFUNCTION("""COMPUTED_VALUE"""),"bel")</f>
        <v>bel</v>
      </c>
      <c r="C1517" t="str">
        <f>IFERROR(__xludf.DUMMYFUNCTION("""COMPUTED_VALUE"""),"Belgium")</f>
        <v>Belgium</v>
      </c>
      <c r="D1517">
        <f>IFERROR(__xludf.DUMMYFUNCTION("""COMPUTED_VALUE"""),2007.0)</f>
        <v>2007</v>
      </c>
      <c r="E1517">
        <f>IFERROR(__xludf.DUMMYFUNCTION("""COMPUTED_VALUE"""),1.0697835E7)</f>
        <v>10697835</v>
      </c>
    </row>
    <row r="1518">
      <c r="A1518" t="str">
        <f t="shared" si="1"/>
        <v>bel#2008</v>
      </c>
      <c r="B1518" t="str">
        <f>IFERROR(__xludf.DUMMYFUNCTION("""COMPUTED_VALUE"""),"bel")</f>
        <v>bel</v>
      </c>
      <c r="C1518" t="str">
        <f>IFERROR(__xludf.DUMMYFUNCTION("""COMPUTED_VALUE"""),"Belgium")</f>
        <v>Belgium</v>
      </c>
      <c r="D1518">
        <f>IFERROR(__xludf.DUMMYFUNCTION("""COMPUTED_VALUE"""),2008.0)</f>
        <v>2008</v>
      </c>
      <c r="E1518">
        <f>IFERROR(__xludf.DUMMYFUNCTION("""COMPUTED_VALUE"""),1.0779173E7)</f>
        <v>10779173</v>
      </c>
    </row>
    <row r="1519">
      <c r="A1519" t="str">
        <f t="shared" si="1"/>
        <v>bel#2009</v>
      </c>
      <c r="B1519" t="str">
        <f>IFERROR(__xludf.DUMMYFUNCTION("""COMPUTED_VALUE"""),"bel")</f>
        <v>bel</v>
      </c>
      <c r="C1519" t="str">
        <f>IFERROR(__xludf.DUMMYFUNCTION("""COMPUTED_VALUE"""),"Belgium")</f>
        <v>Belgium</v>
      </c>
      <c r="D1519">
        <f>IFERROR(__xludf.DUMMYFUNCTION("""COMPUTED_VALUE"""),2009.0)</f>
        <v>2009</v>
      </c>
      <c r="E1519">
        <f>IFERROR(__xludf.DUMMYFUNCTION("""COMPUTED_VALUE"""),1.086029E7)</f>
        <v>10860290</v>
      </c>
    </row>
    <row r="1520">
      <c r="A1520" t="str">
        <f t="shared" si="1"/>
        <v>bel#2010</v>
      </c>
      <c r="B1520" t="str">
        <f>IFERROR(__xludf.DUMMYFUNCTION("""COMPUTED_VALUE"""),"bel")</f>
        <v>bel</v>
      </c>
      <c r="C1520" t="str">
        <f>IFERROR(__xludf.DUMMYFUNCTION("""COMPUTED_VALUE"""),"Belgium")</f>
        <v>Belgium</v>
      </c>
      <c r="D1520">
        <f>IFERROR(__xludf.DUMMYFUNCTION("""COMPUTED_VALUE"""),2010.0)</f>
        <v>2010</v>
      </c>
      <c r="E1520">
        <f>IFERROR(__xludf.DUMMYFUNCTION("""COMPUTED_VALUE"""),1.0938739E7)</f>
        <v>10938739</v>
      </c>
    </row>
    <row r="1521">
      <c r="A1521" t="str">
        <f t="shared" si="1"/>
        <v>bel#2011</v>
      </c>
      <c r="B1521" t="str">
        <f>IFERROR(__xludf.DUMMYFUNCTION("""COMPUTED_VALUE"""),"bel")</f>
        <v>bel</v>
      </c>
      <c r="C1521" t="str">
        <f>IFERROR(__xludf.DUMMYFUNCTION("""COMPUTED_VALUE"""),"Belgium")</f>
        <v>Belgium</v>
      </c>
      <c r="D1521">
        <f>IFERROR(__xludf.DUMMYFUNCTION("""COMPUTED_VALUE"""),2011.0)</f>
        <v>2011</v>
      </c>
      <c r="E1521">
        <f>IFERROR(__xludf.DUMMYFUNCTION("""COMPUTED_VALUE"""),1.1013083E7)</f>
        <v>11013083</v>
      </c>
    </row>
    <row r="1522">
      <c r="A1522" t="str">
        <f t="shared" si="1"/>
        <v>bel#2012</v>
      </c>
      <c r="B1522" t="str">
        <f>IFERROR(__xludf.DUMMYFUNCTION("""COMPUTED_VALUE"""),"bel")</f>
        <v>bel</v>
      </c>
      <c r="C1522" t="str">
        <f>IFERROR(__xludf.DUMMYFUNCTION("""COMPUTED_VALUE"""),"Belgium")</f>
        <v>Belgium</v>
      </c>
      <c r="D1522">
        <f>IFERROR(__xludf.DUMMYFUNCTION("""COMPUTED_VALUE"""),2012.0)</f>
        <v>2012</v>
      </c>
      <c r="E1522">
        <f>IFERROR(__xludf.DUMMYFUNCTION("""COMPUTED_VALUE"""),1.108355E7)</f>
        <v>11083550</v>
      </c>
    </row>
    <row r="1523">
      <c r="A1523" t="str">
        <f t="shared" si="1"/>
        <v>bel#2013</v>
      </c>
      <c r="B1523" t="str">
        <f>IFERROR(__xludf.DUMMYFUNCTION("""COMPUTED_VALUE"""),"bel")</f>
        <v>bel</v>
      </c>
      <c r="C1523" t="str">
        <f>IFERROR(__xludf.DUMMYFUNCTION("""COMPUTED_VALUE"""),"Belgium")</f>
        <v>Belgium</v>
      </c>
      <c r="D1523">
        <f>IFERROR(__xludf.DUMMYFUNCTION("""COMPUTED_VALUE"""),2013.0)</f>
        <v>2013</v>
      </c>
      <c r="E1523">
        <f>IFERROR(__xludf.DUMMYFUNCTION("""COMPUTED_VALUE"""),1.1151512E7)</f>
        <v>11151512</v>
      </c>
    </row>
    <row r="1524">
      <c r="A1524" t="str">
        <f t="shared" si="1"/>
        <v>bel#2014</v>
      </c>
      <c r="B1524" t="str">
        <f>IFERROR(__xludf.DUMMYFUNCTION("""COMPUTED_VALUE"""),"bel")</f>
        <v>bel</v>
      </c>
      <c r="C1524" t="str">
        <f>IFERROR(__xludf.DUMMYFUNCTION("""COMPUTED_VALUE"""),"Belgium")</f>
        <v>Belgium</v>
      </c>
      <c r="D1524">
        <f>IFERROR(__xludf.DUMMYFUNCTION("""COMPUTED_VALUE"""),2014.0)</f>
        <v>2014</v>
      </c>
      <c r="E1524">
        <f>IFERROR(__xludf.DUMMYFUNCTION("""COMPUTED_VALUE"""),1.1219161E7)</f>
        <v>11219161</v>
      </c>
    </row>
    <row r="1525">
      <c r="A1525" t="str">
        <f t="shared" si="1"/>
        <v>bel#2015</v>
      </c>
      <c r="B1525" t="str">
        <f>IFERROR(__xludf.DUMMYFUNCTION("""COMPUTED_VALUE"""),"bel")</f>
        <v>bel</v>
      </c>
      <c r="C1525" t="str">
        <f>IFERROR(__xludf.DUMMYFUNCTION("""COMPUTED_VALUE"""),"Belgium")</f>
        <v>Belgium</v>
      </c>
      <c r="D1525">
        <f>IFERROR(__xludf.DUMMYFUNCTION("""COMPUTED_VALUE"""),2015.0)</f>
        <v>2015</v>
      </c>
      <c r="E1525">
        <f>IFERROR(__xludf.DUMMYFUNCTION("""COMPUTED_VALUE"""),1.128794E7)</f>
        <v>11287940</v>
      </c>
    </row>
    <row r="1526">
      <c r="A1526" t="str">
        <f t="shared" si="1"/>
        <v>bel#2016</v>
      </c>
      <c r="B1526" t="str">
        <f>IFERROR(__xludf.DUMMYFUNCTION("""COMPUTED_VALUE"""),"bel")</f>
        <v>bel</v>
      </c>
      <c r="C1526" t="str">
        <f>IFERROR(__xludf.DUMMYFUNCTION("""COMPUTED_VALUE"""),"Belgium")</f>
        <v>Belgium</v>
      </c>
      <c r="D1526">
        <f>IFERROR(__xludf.DUMMYFUNCTION("""COMPUTED_VALUE"""),2016.0)</f>
        <v>2016</v>
      </c>
      <c r="E1526">
        <f>IFERROR(__xludf.DUMMYFUNCTION("""COMPUTED_VALUE"""),1.1358379E7)</f>
        <v>11358379</v>
      </c>
    </row>
    <row r="1527">
      <c r="A1527" t="str">
        <f t="shared" si="1"/>
        <v>bel#2017</v>
      </c>
      <c r="B1527" t="str">
        <f>IFERROR(__xludf.DUMMYFUNCTION("""COMPUTED_VALUE"""),"bel")</f>
        <v>bel</v>
      </c>
      <c r="C1527" t="str">
        <f>IFERROR(__xludf.DUMMYFUNCTION("""COMPUTED_VALUE"""),"Belgium")</f>
        <v>Belgium</v>
      </c>
      <c r="D1527">
        <f>IFERROR(__xludf.DUMMYFUNCTION("""COMPUTED_VALUE"""),2017.0)</f>
        <v>2017</v>
      </c>
      <c r="E1527">
        <f>IFERROR(__xludf.DUMMYFUNCTION("""COMPUTED_VALUE"""),1.1429336E7)</f>
        <v>11429336</v>
      </c>
    </row>
    <row r="1528">
      <c r="A1528" t="str">
        <f t="shared" si="1"/>
        <v>bel#2018</v>
      </c>
      <c r="B1528" t="str">
        <f>IFERROR(__xludf.DUMMYFUNCTION("""COMPUTED_VALUE"""),"bel")</f>
        <v>bel</v>
      </c>
      <c r="C1528" t="str">
        <f>IFERROR(__xludf.DUMMYFUNCTION("""COMPUTED_VALUE"""),"Belgium")</f>
        <v>Belgium</v>
      </c>
      <c r="D1528">
        <f>IFERROR(__xludf.DUMMYFUNCTION("""COMPUTED_VALUE"""),2018.0)</f>
        <v>2018</v>
      </c>
      <c r="E1528">
        <f>IFERROR(__xludf.DUMMYFUNCTION("""COMPUTED_VALUE"""),1.1498519E7)</f>
        <v>11498519</v>
      </c>
    </row>
    <row r="1529">
      <c r="A1529" t="str">
        <f t="shared" si="1"/>
        <v>bel#2019</v>
      </c>
      <c r="B1529" t="str">
        <f>IFERROR(__xludf.DUMMYFUNCTION("""COMPUTED_VALUE"""),"bel")</f>
        <v>bel</v>
      </c>
      <c r="C1529" t="str">
        <f>IFERROR(__xludf.DUMMYFUNCTION("""COMPUTED_VALUE"""),"Belgium")</f>
        <v>Belgium</v>
      </c>
      <c r="D1529">
        <f>IFERROR(__xludf.DUMMYFUNCTION("""COMPUTED_VALUE"""),2019.0)</f>
        <v>2019</v>
      </c>
      <c r="E1529">
        <f>IFERROR(__xludf.DUMMYFUNCTION("""COMPUTED_VALUE"""),1.1562784E7)</f>
        <v>11562784</v>
      </c>
    </row>
    <row r="1530">
      <c r="A1530" t="str">
        <f t="shared" si="1"/>
        <v>bel#2020</v>
      </c>
      <c r="B1530" t="str">
        <f>IFERROR(__xludf.DUMMYFUNCTION("""COMPUTED_VALUE"""),"bel")</f>
        <v>bel</v>
      </c>
      <c r="C1530" t="str">
        <f>IFERROR(__xludf.DUMMYFUNCTION("""COMPUTED_VALUE"""),"Belgium")</f>
        <v>Belgium</v>
      </c>
      <c r="D1530">
        <f>IFERROR(__xludf.DUMMYFUNCTION("""COMPUTED_VALUE"""),2020.0)</f>
        <v>2020</v>
      </c>
      <c r="E1530">
        <f>IFERROR(__xludf.DUMMYFUNCTION("""COMPUTED_VALUE"""),1.1619972E7)</f>
        <v>11619972</v>
      </c>
    </row>
    <row r="1531">
      <c r="A1531" t="str">
        <f t="shared" si="1"/>
        <v>bel#2021</v>
      </c>
      <c r="B1531" t="str">
        <f>IFERROR(__xludf.DUMMYFUNCTION("""COMPUTED_VALUE"""),"bel")</f>
        <v>bel</v>
      </c>
      <c r="C1531" t="str">
        <f>IFERROR(__xludf.DUMMYFUNCTION("""COMPUTED_VALUE"""),"Belgium")</f>
        <v>Belgium</v>
      </c>
      <c r="D1531">
        <f>IFERROR(__xludf.DUMMYFUNCTION("""COMPUTED_VALUE"""),2021.0)</f>
        <v>2021</v>
      </c>
      <c r="E1531">
        <f>IFERROR(__xludf.DUMMYFUNCTION("""COMPUTED_VALUE"""),1.1669155E7)</f>
        <v>11669155</v>
      </c>
    </row>
    <row r="1532">
      <c r="A1532" t="str">
        <f t="shared" si="1"/>
        <v>bel#2022</v>
      </c>
      <c r="B1532" t="str">
        <f>IFERROR(__xludf.DUMMYFUNCTION("""COMPUTED_VALUE"""),"bel")</f>
        <v>bel</v>
      </c>
      <c r="C1532" t="str">
        <f>IFERROR(__xludf.DUMMYFUNCTION("""COMPUTED_VALUE"""),"Belgium")</f>
        <v>Belgium</v>
      </c>
      <c r="D1532">
        <f>IFERROR(__xludf.DUMMYFUNCTION("""COMPUTED_VALUE"""),2022.0)</f>
        <v>2022</v>
      </c>
      <c r="E1532">
        <f>IFERROR(__xludf.DUMMYFUNCTION("""COMPUTED_VALUE"""),1.1711336E7)</f>
        <v>11711336</v>
      </c>
    </row>
    <row r="1533">
      <c r="A1533" t="str">
        <f t="shared" si="1"/>
        <v>bel#2023</v>
      </c>
      <c r="B1533" t="str">
        <f>IFERROR(__xludf.DUMMYFUNCTION("""COMPUTED_VALUE"""),"bel")</f>
        <v>bel</v>
      </c>
      <c r="C1533" t="str">
        <f>IFERROR(__xludf.DUMMYFUNCTION("""COMPUTED_VALUE"""),"Belgium")</f>
        <v>Belgium</v>
      </c>
      <c r="D1533">
        <f>IFERROR(__xludf.DUMMYFUNCTION("""COMPUTED_VALUE"""),2023.0)</f>
        <v>2023</v>
      </c>
      <c r="E1533">
        <f>IFERROR(__xludf.DUMMYFUNCTION("""COMPUTED_VALUE"""),1.1748557E7)</f>
        <v>11748557</v>
      </c>
    </row>
    <row r="1534">
      <c r="A1534" t="str">
        <f t="shared" si="1"/>
        <v>bel#2024</v>
      </c>
      <c r="B1534" t="str">
        <f>IFERROR(__xludf.DUMMYFUNCTION("""COMPUTED_VALUE"""),"bel")</f>
        <v>bel</v>
      </c>
      <c r="C1534" t="str">
        <f>IFERROR(__xludf.DUMMYFUNCTION("""COMPUTED_VALUE"""),"Belgium")</f>
        <v>Belgium</v>
      </c>
      <c r="D1534">
        <f>IFERROR(__xludf.DUMMYFUNCTION("""COMPUTED_VALUE"""),2024.0)</f>
        <v>2024</v>
      </c>
      <c r="E1534">
        <f>IFERROR(__xludf.DUMMYFUNCTION("""COMPUTED_VALUE"""),1.1783859E7)</f>
        <v>11783859</v>
      </c>
    </row>
    <row r="1535">
      <c r="A1535" t="str">
        <f t="shared" si="1"/>
        <v>bel#2025</v>
      </c>
      <c r="B1535" t="str">
        <f>IFERROR(__xludf.DUMMYFUNCTION("""COMPUTED_VALUE"""),"bel")</f>
        <v>bel</v>
      </c>
      <c r="C1535" t="str">
        <f>IFERROR(__xludf.DUMMYFUNCTION("""COMPUTED_VALUE"""),"Belgium")</f>
        <v>Belgium</v>
      </c>
      <c r="D1535">
        <f>IFERROR(__xludf.DUMMYFUNCTION("""COMPUTED_VALUE"""),2025.0)</f>
        <v>2025</v>
      </c>
      <c r="E1535">
        <f>IFERROR(__xludf.DUMMYFUNCTION("""COMPUTED_VALUE"""),1.1819487E7)</f>
        <v>11819487</v>
      </c>
    </row>
    <row r="1536">
      <c r="A1536" t="str">
        <f t="shared" si="1"/>
        <v>bel#2026</v>
      </c>
      <c r="B1536" t="str">
        <f>IFERROR(__xludf.DUMMYFUNCTION("""COMPUTED_VALUE"""),"bel")</f>
        <v>bel</v>
      </c>
      <c r="C1536" t="str">
        <f>IFERROR(__xludf.DUMMYFUNCTION("""COMPUTED_VALUE"""),"Belgium")</f>
        <v>Belgium</v>
      </c>
      <c r="D1536">
        <f>IFERROR(__xludf.DUMMYFUNCTION("""COMPUTED_VALUE"""),2026.0)</f>
        <v>2026</v>
      </c>
      <c r="E1536">
        <f>IFERROR(__xludf.DUMMYFUNCTION("""COMPUTED_VALUE"""),1.1856107E7)</f>
        <v>11856107</v>
      </c>
    </row>
    <row r="1537">
      <c r="A1537" t="str">
        <f t="shared" si="1"/>
        <v>bel#2027</v>
      </c>
      <c r="B1537" t="str">
        <f>IFERROR(__xludf.DUMMYFUNCTION("""COMPUTED_VALUE"""),"bel")</f>
        <v>bel</v>
      </c>
      <c r="C1537" t="str">
        <f>IFERROR(__xludf.DUMMYFUNCTION("""COMPUTED_VALUE"""),"Belgium")</f>
        <v>Belgium</v>
      </c>
      <c r="D1537">
        <f>IFERROR(__xludf.DUMMYFUNCTION("""COMPUTED_VALUE"""),2027.0)</f>
        <v>2027</v>
      </c>
      <c r="E1537">
        <f>IFERROR(__xludf.DUMMYFUNCTION("""COMPUTED_VALUE"""),1.1893179E7)</f>
        <v>11893179</v>
      </c>
    </row>
    <row r="1538">
      <c r="A1538" t="str">
        <f t="shared" si="1"/>
        <v>bel#2028</v>
      </c>
      <c r="B1538" t="str">
        <f>IFERROR(__xludf.DUMMYFUNCTION("""COMPUTED_VALUE"""),"bel")</f>
        <v>bel</v>
      </c>
      <c r="C1538" t="str">
        <f>IFERROR(__xludf.DUMMYFUNCTION("""COMPUTED_VALUE"""),"Belgium")</f>
        <v>Belgium</v>
      </c>
      <c r="D1538">
        <f>IFERROR(__xludf.DUMMYFUNCTION("""COMPUTED_VALUE"""),2028.0)</f>
        <v>2028</v>
      </c>
      <c r="E1538">
        <f>IFERROR(__xludf.DUMMYFUNCTION("""COMPUTED_VALUE"""),1.1930295E7)</f>
        <v>11930295</v>
      </c>
    </row>
    <row r="1539">
      <c r="A1539" t="str">
        <f t="shared" si="1"/>
        <v>bel#2029</v>
      </c>
      <c r="B1539" t="str">
        <f>IFERROR(__xludf.DUMMYFUNCTION("""COMPUTED_VALUE"""),"bel")</f>
        <v>bel</v>
      </c>
      <c r="C1539" t="str">
        <f>IFERROR(__xludf.DUMMYFUNCTION("""COMPUTED_VALUE"""),"Belgium")</f>
        <v>Belgium</v>
      </c>
      <c r="D1539">
        <f>IFERROR(__xludf.DUMMYFUNCTION("""COMPUTED_VALUE"""),2029.0)</f>
        <v>2029</v>
      </c>
      <c r="E1539">
        <f>IFERROR(__xludf.DUMMYFUNCTION("""COMPUTED_VALUE"""),1.1966633E7)</f>
        <v>11966633</v>
      </c>
    </row>
    <row r="1540">
      <c r="A1540" t="str">
        <f t="shared" si="1"/>
        <v>bel#2030</v>
      </c>
      <c r="B1540" t="str">
        <f>IFERROR(__xludf.DUMMYFUNCTION("""COMPUTED_VALUE"""),"bel")</f>
        <v>bel</v>
      </c>
      <c r="C1540" t="str">
        <f>IFERROR(__xludf.DUMMYFUNCTION("""COMPUTED_VALUE"""),"Belgium")</f>
        <v>Belgium</v>
      </c>
      <c r="D1540">
        <f>IFERROR(__xludf.DUMMYFUNCTION("""COMPUTED_VALUE"""),2030.0)</f>
        <v>2030</v>
      </c>
      <c r="E1540">
        <f>IFERROR(__xludf.DUMMYFUNCTION("""COMPUTED_VALUE"""),1.2001594E7)</f>
        <v>12001594</v>
      </c>
    </row>
    <row r="1541">
      <c r="A1541" t="str">
        <f t="shared" si="1"/>
        <v>bel#2031</v>
      </c>
      <c r="B1541" t="str">
        <f>IFERROR(__xludf.DUMMYFUNCTION("""COMPUTED_VALUE"""),"bel")</f>
        <v>bel</v>
      </c>
      <c r="C1541" t="str">
        <f>IFERROR(__xludf.DUMMYFUNCTION("""COMPUTED_VALUE"""),"Belgium")</f>
        <v>Belgium</v>
      </c>
      <c r="D1541">
        <f>IFERROR(__xludf.DUMMYFUNCTION("""COMPUTED_VALUE"""),2031.0)</f>
        <v>2031</v>
      </c>
      <c r="E1541">
        <f>IFERROR(__xludf.DUMMYFUNCTION("""COMPUTED_VALUE"""),1.20352E7)</f>
        <v>12035200</v>
      </c>
    </row>
    <row r="1542">
      <c r="A1542" t="str">
        <f t="shared" si="1"/>
        <v>bel#2032</v>
      </c>
      <c r="B1542" t="str">
        <f>IFERROR(__xludf.DUMMYFUNCTION("""COMPUTED_VALUE"""),"bel")</f>
        <v>bel</v>
      </c>
      <c r="C1542" t="str">
        <f>IFERROR(__xludf.DUMMYFUNCTION("""COMPUTED_VALUE"""),"Belgium")</f>
        <v>Belgium</v>
      </c>
      <c r="D1542">
        <f>IFERROR(__xludf.DUMMYFUNCTION("""COMPUTED_VALUE"""),2032.0)</f>
        <v>2032</v>
      </c>
      <c r="E1542">
        <f>IFERROR(__xludf.DUMMYFUNCTION("""COMPUTED_VALUE"""),1.2067775E7)</f>
        <v>12067775</v>
      </c>
    </row>
    <row r="1543">
      <c r="A1543" t="str">
        <f t="shared" si="1"/>
        <v>bel#2033</v>
      </c>
      <c r="B1543" t="str">
        <f>IFERROR(__xludf.DUMMYFUNCTION("""COMPUTED_VALUE"""),"bel")</f>
        <v>bel</v>
      </c>
      <c r="C1543" t="str">
        <f>IFERROR(__xludf.DUMMYFUNCTION("""COMPUTED_VALUE"""),"Belgium")</f>
        <v>Belgium</v>
      </c>
      <c r="D1543">
        <f>IFERROR(__xludf.DUMMYFUNCTION("""COMPUTED_VALUE"""),2033.0)</f>
        <v>2033</v>
      </c>
      <c r="E1543">
        <f>IFERROR(__xludf.DUMMYFUNCTION("""COMPUTED_VALUE"""),1.209935E7)</f>
        <v>12099350</v>
      </c>
    </row>
    <row r="1544">
      <c r="A1544" t="str">
        <f t="shared" si="1"/>
        <v>bel#2034</v>
      </c>
      <c r="B1544" t="str">
        <f>IFERROR(__xludf.DUMMYFUNCTION("""COMPUTED_VALUE"""),"bel")</f>
        <v>bel</v>
      </c>
      <c r="C1544" t="str">
        <f>IFERROR(__xludf.DUMMYFUNCTION("""COMPUTED_VALUE"""),"Belgium")</f>
        <v>Belgium</v>
      </c>
      <c r="D1544">
        <f>IFERROR(__xludf.DUMMYFUNCTION("""COMPUTED_VALUE"""),2034.0)</f>
        <v>2034</v>
      </c>
      <c r="E1544">
        <f>IFERROR(__xludf.DUMMYFUNCTION("""COMPUTED_VALUE"""),1.212997E7)</f>
        <v>12129970</v>
      </c>
    </row>
    <row r="1545">
      <c r="A1545" t="str">
        <f t="shared" si="1"/>
        <v>bel#2035</v>
      </c>
      <c r="B1545" t="str">
        <f>IFERROR(__xludf.DUMMYFUNCTION("""COMPUTED_VALUE"""),"bel")</f>
        <v>bel</v>
      </c>
      <c r="C1545" t="str">
        <f>IFERROR(__xludf.DUMMYFUNCTION("""COMPUTED_VALUE"""),"Belgium")</f>
        <v>Belgium</v>
      </c>
      <c r="D1545">
        <f>IFERROR(__xludf.DUMMYFUNCTION("""COMPUTED_VALUE"""),2035.0)</f>
        <v>2035</v>
      </c>
      <c r="E1545">
        <f>IFERROR(__xludf.DUMMYFUNCTION("""COMPUTED_VALUE"""),1.2159663E7)</f>
        <v>12159663</v>
      </c>
    </row>
    <row r="1546">
      <c r="A1546" t="str">
        <f t="shared" si="1"/>
        <v>bel#2036</v>
      </c>
      <c r="B1546" t="str">
        <f>IFERROR(__xludf.DUMMYFUNCTION("""COMPUTED_VALUE"""),"bel")</f>
        <v>bel</v>
      </c>
      <c r="C1546" t="str">
        <f>IFERROR(__xludf.DUMMYFUNCTION("""COMPUTED_VALUE"""),"Belgium")</f>
        <v>Belgium</v>
      </c>
      <c r="D1546">
        <f>IFERROR(__xludf.DUMMYFUNCTION("""COMPUTED_VALUE"""),2036.0)</f>
        <v>2036</v>
      </c>
      <c r="E1546">
        <f>IFERROR(__xludf.DUMMYFUNCTION("""COMPUTED_VALUE"""),1.218844E7)</f>
        <v>12188440</v>
      </c>
    </row>
    <row r="1547">
      <c r="A1547" t="str">
        <f t="shared" si="1"/>
        <v>bel#2037</v>
      </c>
      <c r="B1547" t="str">
        <f>IFERROR(__xludf.DUMMYFUNCTION("""COMPUTED_VALUE"""),"bel")</f>
        <v>bel</v>
      </c>
      <c r="C1547" t="str">
        <f>IFERROR(__xludf.DUMMYFUNCTION("""COMPUTED_VALUE"""),"Belgium")</f>
        <v>Belgium</v>
      </c>
      <c r="D1547">
        <f>IFERROR(__xludf.DUMMYFUNCTION("""COMPUTED_VALUE"""),2037.0)</f>
        <v>2037</v>
      </c>
      <c r="E1547">
        <f>IFERROR(__xludf.DUMMYFUNCTION("""COMPUTED_VALUE"""),1.2216266E7)</f>
        <v>12216266</v>
      </c>
    </row>
    <row r="1548">
      <c r="A1548" t="str">
        <f t="shared" si="1"/>
        <v>bel#2038</v>
      </c>
      <c r="B1548" t="str">
        <f>IFERROR(__xludf.DUMMYFUNCTION("""COMPUTED_VALUE"""),"bel")</f>
        <v>bel</v>
      </c>
      <c r="C1548" t="str">
        <f>IFERROR(__xludf.DUMMYFUNCTION("""COMPUTED_VALUE"""),"Belgium")</f>
        <v>Belgium</v>
      </c>
      <c r="D1548">
        <f>IFERROR(__xludf.DUMMYFUNCTION("""COMPUTED_VALUE"""),2038.0)</f>
        <v>2038</v>
      </c>
      <c r="E1548">
        <f>IFERROR(__xludf.DUMMYFUNCTION("""COMPUTED_VALUE"""),1.2243125E7)</f>
        <v>12243125</v>
      </c>
    </row>
    <row r="1549">
      <c r="A1549" t="str">
        <f t="shared" si="1"/>
        <v>bel#2039</v>
      </c>
      <c r="B1549" t="str">
        <f>IFERROR(__xludf.DUMMYFUNCTION("""COMPUTED_VALUE"""),"bel")</f>
        <v>bel</v>
      </c>
      <c r="C1549" t="str">
        <f>IFERROR(__xludf.DUMMYFUNCTION("""COMPUTED_VALUE"""),"Belgium")</f>
        <v>Belgium</v>
      </c>
      <c r="D1549">
        <f>IFERROR(__xludf.DUMMYFUNCTION("""COMPUTED_VALUE"""),2039.0)</f>
        <v>2039</v>
      </c>
      <c r="E1549">
        <f>IFERROR(__xludf.DUMMYFUNCTION("""COMPUTED_VALUE"""),1.2269006E7)</f>
        <v>12269006</v>
      </c>
    </row>
    <row r="1550">
      <c r="A1550" t="str">
        <f t="shared" si="1"/>
        <v>bel#2040</v>
      </c>
      <c r="B1550" t="str">
        <f>IFERROR(__xludf.DUMMYFUNCTION("""COMPUTED_VALUE"""),"bel")</f>
        <v>bel</v>
      </c>
      <c r="C1550" t="str">
        <f>IFERROR(__xludf.DUMMYFUNCTION("""COMPUTED_VALUE"""),"Belgium")</f>
        <v>Belgium</v>
      </c>
      <c r="D1550">
        <f>IFERROR(__xludf.DUMMYFUNCTION("""COMPUTED_VALUE"""),2040.0)</f>
        <v>2040</v>
      </c>
      <c r="E1550">
        <f>IFERROR(__xludf.DUMMYFUNCTION("""COMPUTED_VALUE"""),1.229388E7)</f>
        <v>12293880</v>
      </c>
    </row>
    <row r="1551">
      <c r="A1551" t="str">
        <f t="shared" si="1"/>
        <v>blz#1950</v>
      </c>
      <c r="B1551" t="str">
        <f>IFERROR(__xludf.DUMMYFUNCTION("""COMPUTED_VALUE"""),"blz")</f>
        <v>blz</v>
      </c>
      <c r="C1551" t="str">
        <f>IFERROR(__xludf.DUMMYFUNCTION("""COMPUTED_VALUE"""),"Belize")</f>
        <v>Belize</v>
      </c>
      <c r="D1551">
        <f>IFERROR(__xludf.DUMMYFUNCTION("""COMPUTED_VALUE"""),1950.0)</f>
        <v>1950</v>
      </c>
      <c r="E1551">
        <f>IFERROR(__xludf.DUMMYFUNCTION("""COMPUTED_VALUE"""),68919.0)</f>
        <v>68919</v>
      </c>
    </row>
    <row r="1552">
      <c r="A1552" t="str">
        <f t="shared" si="1"/>
        <v>blz#1951</v>
      </c>
      <c r="B1552" t="str">
        <f>IFERROR(__xludf.DUMMYFUNCTION("""COMPUTED_VALUE"""),"blz")</f>
        <v>blz</v>
      </c>
      <c r="C1552" t="str">
        <f>IFERROR(__xludf.DUMMYFUNCTION("""COMPUTED_VALUE"""),"Belize")</f>
        <v>Belize</v>
      </c>
      <c r="D1552">
        <f>IFERROR(__xludf.DUMMYFUNCTION("""COMPUTED_VALUE"""),1951.0)</f>
        <v>1951</v>
      </c>
      <c r="E1552">
        <f>IFERROR(__xludf.DUMMYFUNCTION("""COMPUTED_VALUE"""),71241.0)</f>
        <v>71241</v>
      </c>
    </row>
    <row r="1553">
      <c r="A1553" t="str">
        <f t="shared" si="1"/>
        <v>blz#1952</v>
      </c>
      <c r="B1553" t="str">
        <f>IFERROR(__xludf.DUMMYFUNCTION("""COMPUTED_VALUE"""),"blz")</f>
        <v>blz</v>
      </c>
      <c r="C1553" t="str">
        <f>IFERROR(__xludf.DUMMYFUNCTION("""COMPUTED_VALUE"""),"Belize")</f>
        <v>Belize</v>
      </c>
      <c r="D1553">
        <f>IFERROR(__xludf.DUMMYFUNCTION("""COMPUTED_VALUE"""),1952.0)</f>
        <v>1952</v>
      </c>
      <c r="E1553">
        <f>IFERROR(__xludf.DUMMYFUNCTION("""COMPUTED_VALUE"""),73427.0)</f>
        <v>73427</v>
      </c>
    </row>
    <row r="1554">
      <c r="A1554" t="str">
        <f t="shared" si="1"/>
        <v>blz#1953</v>
      </c>
      <c r="B1554" t="str">
        <f>IFERROR(__xludf.DUMMYFUNCTION("""COMPUTED_VALUE"""),"blz")</f>
        <v>blz</v>
      </c>
      <c r="C1554" t="str">
        <f>IFERROR(__xludf.DUMMYFUNCTION("""COMPUTED_VALUE"""),"Belize")</f>
        <v>Belize</v>
      </c>
      <c r="D1554">
        <f>IFERROR(__xludf.DUMMYFUNCTION("""COMPUTED_VALUE"""),1953.0)</f>
        <v>1953</v>
      </c>
      <c r="E1554">
        <f>IFERROR(__xludf.DUMMYFUNCTION("""COMPUTED_VALUE"""),75560.0)</f>
        <v>75560</v>
      </c>
    </row>
    <row r="1555">
      <c r="A1555" t="str">
        <f t="shared" si="1"/>
        <v>blz#1954</v>
      </c>
      <c r="B1555" t="str">
        <f>IFERROR(__xludf.DUMMYFUNCTION("""COMPUTED_VALUE"""),"blz")</f>
        <v>blz</v>
      </c>
      <c r="C1555" t="str">
        <f>IFERROR(__xludf.DUMMYFUNCTION("""COMPUTED_VALUE"""),"Belize")</f>
        <v>Belize</v>
      </c>
      <c r="D1555">
        <f>IFERROR(__xludf.DUMMYFUNCTION("""COMPUTED_VALUE"""),1954.0)</f>
        <v>1954</v>
      </c>
      <c r="E1555">
        <f>IFERROR(__xludf.DUMMYFUNCTION("""COMPUTED_VALUE"""),77687.0)</f>
        <v>77687</v>
      </c>
    </row>
    <row r="1556">
      <c r="A1556" t="str">
        <f t="shared" si="1"/>
        <v>blz#1955</v>
      </c>
      <c r="B1556" t="str">
        <f>IFERROR(__xludf.DUMMYFUNCTION("""COMPUTED_VALUE"""),"blz")</f>
        <v>blz</v>
      </c>
      <c r="C1556" t="str">
        <f>IFERROR(__xludf.DUMMYFUNCTION("""COMPUTED_VALUE"""),"Belize")</f>
        <v>Belize</v>
      </c>
      <c r="D1556">
        <f>IFERROR(__xludf.DUMMYFUNCTION("""COMPUTED_VALUE"""),1955.0)</f>
        <v>1955</v>
      </c>
      <c r="E1556">
        <f>IFERROR(__xludf.DUMMYFUNCTION("""COMPUTED_VALUE"""),79870.0)</f>
        <v>79870</v>
      </c>
    </row>
    <row r="1557">
      <c r="A1557" t="str">
        <f t="shared" si="1"/>
        <v>blz#1956</v>
      </c>
      <c r="B1557" t="str">
        <f>IFERROR(__xludf.DUMMYFUNCTION("""COMPUTED_VALUE"""),"blz")</f>
        <v>blz</v>
      </c>
      <c r="C1557" t="str">
        <f>IFERROR(__xludf.DUMMYFUNCTION("""COMPUTED_VALUE"""),"Belize")</f>
        <v>Belize</v>
      </c>
      <c r="D1557">
        <f>IFERROR(__xludf.DUMMYFUNCTION("""COMPUTED_VALUE"""),1956.0)</f>
        <v>1956</v>
      </c>
      <c r="E1557">
        <f>IFERROR(__xludf.DUMMYFUNCTION("""COMPUTED_VALUE"""),82141.0)</f>
        <v>82141</v>
      </c>
    </row>
    <row r="1558">
      <c r="A1558" t="str">
        <f t="shared" si="1"/>
        <v>blz#1957</v>
      </c>
      <c r="B1558" t="str">
        <f>IFERROR(__xludf.DUMMYFUNCTION("""COMPUTED_VALUE"""),"blz")</f>
        <v>blz</v>
      </c>
      <c r="C1558" t="str">
        <f>IFERROR(__xludf.DUMMYFUNCTION("""COMPUTED_VALUE"""),"Belize")</f>
        <v>Belize</v>
      </c>
      <c r="D1558">
        <f>IFERROR(__xludf.DUMMYFUNCTION("""COMPUTED_VALUE"""),1957.0)</f>
        <v>1957</v>
      </c>
      <c r="E1558">
        <f>IFERROR(__xludf.DUMMYFUNCTION("""COMPUTED_VALUE"""),84509.0)</f>
        <v>84509</v>
      </c>
    </row>
    <row r="1559">
      <c r="A1559" t="str">
        <f t="shared" si="1"/>
        <v>blz#1958</v>
      </c>
      <c r="B1559" t="str">
        <f>IFERROR(__xludf.DUMMYFUNCTION("""COMPUTED_VALUE"""),"blz")</f>
        <v>blz</v>
      </c>
      <c r="C1559" t="str">
        <f>IFERROR(__xludf.DUMMYFUNCTION("""COMPUTED_VALUE"""),"Belize")</f>
        <v>Belize</v>
      </c>
      <c r="D1559">
        <f>IFERROR(__xludf.DUMMYFUNCTION("""COMPUTED_VALUE"""),1958.0)</f>
        <v>1958</v>
      </c>
      <c r="E1559">
        <f>IFERROR(__xludf.DUMMYFUNCTION("""COMPUTED_VALUE"""),86956.0)</f>
        <v>86956</v>
      </c>
    </row>
    <row r="1560">
      <c r="A1560" t="str">
        <f t="shared" si="1"/>
        <v>blz#1959</v>
      </c>
      <c r="B1560" t="str">
        <f>IFERROR(__xludf.DUMMYFUNCTION("""COMPUTED_VALUE"""),"blz")</f>
        <v>blz</v>
      </c>
      <c r="C1560" t="str">
        <f>IFERROR(__xludf.DUMMYFUNCTION("""COMPUTED_VALUE"""),"Belize")</f>
        <v>Belize</v>
      </c>
      <c r="D1560">
        <f>IFERROR(__xludf.DUMMYFUNCTION("""COMPUTED_VALUE"""),1959.0)</f>
        <v>1959</v>
      </c>
      <c r="E1560">
        <f>IFERROR(__xludf.DUMMYFUNCTION("""COMPUTED_VALUE"""),89490.0)</f>
        <v>89490</v>
      </c>
    </row>
    <row r="1561">
      <c r="A1561" t="str">
        <f t="shared" si="1"/>
        <v>blz#1960</v>
      </c>
      <c r="B1561" t="str">
        <f>IFERROR(__xludf.DUMMYFUNCTION("""COMPUTED_VALUE"""),"blz")</f>
        <v>blz</v>
      </c>
      <c r="C1561" t="str">
        <f>IFERROR(__xludf.DUMMYFUNCTION("""COMPUTED_VALUE"""),"Belize")</f>
        <v>Belize</v>
      </c>
      <c r="D1561">
        <f>IFERROR(__xludf.DUMMYFUNCTION("""COMPUTED_VALUE"""),1960.0)</f>
        <v>1960</v>
      </c>
      <c r="E1561">
        <f>IFERROR(__xludf.DUMMYFUNCTION("""COMPUTED_VALUE"""),92064.0)</f>
        <v>92064</v>
      </c>
    </row>
    <row r="1562">
      <c r="A1562" t="str">
        <f t="shared" si="1"/>
        <v>blz#1961</v>
      </c>
      <c r="B1562" t="str">
        <f>IFERROR(__xludf.DUMMYFUNCTION("""COMPUTED_VALUE"""),"blz")</f>
        <v>blz</v>
      </c>
      <c r="C1562" t="str">
        <f>IFERROR(__xludf.DUMMYFUNCTION("""COMPUTED_VALUE"""),"Belize")</f>
        <v>Belize</v>
      </c>
      <c r="D1562">
        <f>IFERROR(__xludf.DUMMYFUNCTION("""COMPUTED_VALUE"""),1961.0)</f>
        <v>1961</v>
      </c>
      <c r="E1562">
        <f>IFERROR(__xludf.DUMMYFUNCTION("""COMPUTED_VALUE"""),94703.0)</f>
        <v>94703</v>
      </c>
    </row>
    <row r="1563">
      <c r="A1563" t="str">
        <f t="shared" si="1"/>
        <v>blz#1962</v>
      </c>
      <c r="B1563" t="str">
        <f>IFERROR(__xludf.DUMMYFUNCTION("""COMPUTED_VALUE"""),"blz")</f>
        <v>blz</v>
      </c>
      <c r="C1563" t="str">
        <f>IFERROR(__xludf.DUMMYFUNCTION("""COMPUTED_VALUE"""),"Belize")</f>
        <v>Belize</v>
      </c>
      <c r="D1563">
        <f>IFERROR(__xludf.DUMMYFUNCTION("""COMPUTED_VALUE"""),1962.0)</f>
        <v>1962</v>
      </c>
      <c r="E1563">
        <f>IFERROR(__xludf.DUMMYFUNCTION("""COMPUTED_VALUE"""),97384.0)</f>
        <v>97384</v>
      </c>
    </row>
    <row r="1564">
      <c r="A1564" t="str">
        <f t="shared" si="1"/>
        <v>blz#1963</v>
      </c>
      <c r="B1564" t="str">
        <f>IFERROR(__xludf.DUMMYFUNCTION("""COMPUTED_VALUE"""),"blz")</f>
        <v>blz</v>
      </c>
      <c r="C1564" t="str">
        <f>IFERROR(__xludf.DUMMYFUNCTION("""COMPUTED_VALUE"""),"Belize")</f>
        <v>Belize</v>
      </c>
      <c r="D1564">
        <f>IFERROR(__xludf.DUMMYFUNCTION("""COMPUTED_VALUE"""),1963.0)</f>
        <v>1963</v>
      </c>
      <c r="E1564">
        <f>IFERROR(__xludf.DUMMYFUNCTION("""COMPUTED_VALUE"""),100164.0)</f>
        <v>100164</v>
      </c>
    </row>
    <row r="1565">
      <c r="A1565" t="str">
        <f t="shared" si="1"/>
        <v>blz#1964</v>
      </c>
      <c r="B1565" t="str">
        <f>IFERROR(__xludf.DUMMYFUNCTION("""COMPUTED_VALUE"""),"blz")</f>
        <v>blz</v>
      </c>
      <c r="C1565" t="str">
        <f>IFERROR(__xludf.DUMMYFUNCTION("""COMPUTED_VALUE"""),"Belize")</f>
        <v>Belize</v>
      </c>
      <c r="D1565">
        <f>IFERROR(__xludf.DUMMYFUNCTION("""COMPUTED_VALUE"""),1964.0)</f>
        <v>1964</v>
      </c>
      <c r="E1565">
        <f>IFERROR(__xludf.DUMMYFUNCTION("""COMPUTED_VALUE"""),103069.0)</f>
        <v>103069</v>
      </c>
    </row>
    <row r="1566">
      <c r="A1566" t="str">
        <f t="shared" si="1"/>
        <v>blz#1965</v>
      </c>
      <c r="B1566" t="str">
        <f>IFERROR(__xludf.DUMMYFUNCTION("""COMPUTED_VALUE"""),"blz")</f>
        <v>blz</v>
      </c>
      <c r="C1566" t="str">
        <f>IFERROR(__xludf.DUMMYFUNCTION("""COMPUTED_VALUE"""),"Belize")</f>
        <v>Belize</v>
      </c>
      <c r="D1566">
        <f>IFERROR(__xludf.DUMMYFUNCTION("""COMPUTED_VALUE"""),1965.0)</f>
        <v>1965</v>
      </c>
      <c r="E1566">
        <f>IFERROR(__xludf.DUMMYFUNCTION("""COMPUTED_VALUE"""),106119.0)</f>
        <v>106119</v>
      </c>
    </row>
    <row r="1567">
      <c r="A1567" t="str">
        <f t="shared" si="1"/>
        <v>blz#1966</v>
      </c>
      <c r="B1567" t="str">
        <f>IFERROR(__xludf.DUMMYFUNCTION("""COMPUTED_VALUE"""),"blz")</f>
        <v>blz</v>
      </c>
      <c r="C1567" t="str">
        <f>IFERROR(__xludf.DUMMYFUNCTION("""COMPUTED_VALUE"""),"Belize")</f>
        <v>Belize</v>
      </c>
      <c r="D1567">
        <f>IFERROR(__xludf.DUMMYFUNCTION("""COMPUTED_VALUE"""),1966.0)</f>
        <v>1966</v>
      </c>
      <c r="E1567">
        <f>IFERROR(__xludf.DUMMYFUNCTION("""COMPUTED_VALUE"""),109347.0)</f>
        <v>109347</v>
      </c>
    </row>
    <row r="1568">
      <c r="A1568" t="str">
        <f t="shared" si="1"/>
        <v>blz#1967</v>
      </c>
      <c r="B1568" t="str">
        <f>IFERROR(__xludf.DUMMYFUNCTION("""COMPUTED_VALUE"""),"blz")</f>
        <v>blz</v>
      </c>
      <c r="C1568" t="str">
        <f>IFERROR(__xludf.DUMMYFUNCTION("""COMPUTED_VALUE"""),"Belize")</f>
        <v>Belize</v>
      </c>
      <c r="D1568">
        <f>IFERROR(__xludf.DUMMYFUNCTION("""COMPUTED_VALUE"""),1967.0)</f>
        <v>1967</v>
      </c>
      <c r="E1568">
        <f>IFERROR(__xludf.DUMMYFUNCTION("""COMPUTED_VALUE"""),112692.0)</f>
        <v>112692</v>
      </c>
    </row>
    <row r="1569">
      <c r="A1569" t="str">
        <f t="shared" si="1"/>
        <v>blz#1968</v>
      </c>
      <c r="B1569" t="str">
        <f>IFERROR(__xludf.DUMMYFUNCTION("""COMPUTED_VALUE"""),"blz")</f>
        <v>blz</v>
      </c>
      <c r="C1569" t="str">
        <f>IFERROR(__xludf.DUMMYFUNCTION("""COMPUTED_VALUE"""),"Belize")</f>
        <v>Belize</v>
      </c>
      <c r="D1569">
        <f>IFERROR(__xludf.DUMMYFUNCTION("""COMPUTED_VALUE"""),1968.0)</f>
        <v>1968</v>
      </c>
      <c r="E1569">
        <f>IFERROR(__xludf.DUMMYFUNCTION("""COMPUTED_VALUE"""),116061.0)</f>
        <v>116061</v>
      </c>
    </row>
    <row r="1570">
      <c r="A1570" t="str">
        <f t="shared" si="1"/>
        <v>blz#1969</v>
      </c>
      <c r="B1570" t="str">
        <f>IFERROR(__xludf.DUMMYFUNCTION("""COMPUTED_VALUE"""),"blz")</f>
        <v>blz</v>
      </c>
      <c r="C1570" t="str">
        <f>IFERROR(__xludf.DUMMYFUNCTION("""COMPUTED_VALUE"""),"Belize")</f>
        <v>Belize</v>
      </c>
      <c r="D1570">
        <f>IFERROR(__xludf.DUMMYFUNCTION("""COMPUTED_VALUE"""),1969.0)</f>
        <v>1969</v>
      </c>
      <c r="E1570">
        <f>IFERROR(__xludf.DUMMYFUNCTION("""COMPUTED_VALUE"""),119261.0)</f>
        <v>119261</v>
      </c>
    </row>
    <row r="1571">
      <c r="A1571" t="str">
        <f t="shared" si="1"/>
        <v>blz#1970</v>
      </c>
      <c r="B1571" t="str">
        <f>IFERROR(__xludf.DUMMYFUNCTION("""COMPUTED_VALUE"""),"blz")</f>
        <v>blz</v>
      </c>
      <c r="C1571" t="str">
        <f>IFERROR(__xludf.DUMMYFUNCTION("""COMPUTED_VALUE"""),"Belize")</f>
        <v>Belize</v>
      </c>
      <c r="D1571">
        <f>IFERROR(__xludf.DUMMYFUNCTION("""COMPUTED_VALUE"""),1970.0)</f>
        <v>1970</v>
      </c>
      <c r="E1571">
        <f>IFERROR(__xludf.DUMMYFUNCTION("""COMPUTED_VALUE"""),122182.0)</f>
        <v>122182</v>
      </c>
    </row>
    <row r="1572">
      <c r="A1572" t="str">
        <f t="shared" si="1"/>
        <v>blz#1971</v>
      </c>
      <c r="B1572" t="str">
        <f>IFERROR(__xludf.DUMMYFUNCTION("""COMPUTED_VALUE"""),"blz")</f>
        <v>blz</v>
      </c>
      <c r="C1572" t="str">
        <f>IFERROR(__xludf.DUMMYFUNCTION("""COMPUTED_VALUE"""),"Belize")</f>
        <v>Belize</v>
      </c>
      <c r="D1572">
        <f>IFERROR(__xludf.DUMMYFUNCTION("""COMPUTED_VALUE"""),1971.0)</f>
        <v>1971</v>
      </c>
      <c r="E1572">
        <f>IFERROR(__xludf.DUMMYFUNCTION("""COMPUTED_VALUE"""),124793.0)</f>
        <v>124793</v>
      </c>
    </row>
    <row r="1573">
      <c r="A1573" t="str">
        <f t="shared" si="1"/>
        <v>blz#1972</v>
      </c>
      <c r="B1573" t="str">
        <f>IFERROR(__xludf.DUMMYFUNCTION("""COMPUTED_VALUE"""),"blz")</f>
        <v>blz</v>
      </c>
      <c r="C1573" t="str">
        <f>IFERROR(__xludf.DUMMYFUNCTION("""COMPUTED_VALUE"""),"Belize")</f>
        <v>Belize</v>
      </c>
      <c r="D1573">
        <f>IFERROR(__xludf.DUMMYFUNCTION("""COMPUTED_VALUE"""),1972.0)</f>
        <v>1972</v>
      </c>
      <c r="E1573">
        <f>IFERROR(__xludf.DUMMYFUNCTION("""COMPUTED_VALUE"""),127150.0)</f>
        <v>127150</v>
      </c>
    </row>
    <row r="1574">
      <c r="A1574" t="str">
        <f t="shared" si="1"/>
        <v>blz#1973</v>
      </c>
      <c r="B1574" t="str">
        <f>IFERROR(__xludf.DUMMYFUNCTION("""COMPUTED_VALUE"""),"blz")</f>
        <v>blz</v>
      </c>
      <c r="C1574" t="str">
        <f>IFERROR(__xludf.DUMMYFUNCTION("""COMPUTED_VALUE"""),"Belize")</f>
        <v>Belize</v>
      </c>
      <c r="D1574">
        <f>IFERROR(__xludf.DUMMYFUNCTION("""COMPUTED_VALUE"""),1973.0)</f>
        <v>1973</v>
      </c>
      <c r="E1574">
        <f>IFERROR(__xludf.DUMMYFUNCTION("""COMPUTED_VALUE"""),129294.0)</f>
        <v>129294</v>
      </c>
    </row>
    <row r="1575">
      <c r="A1575" t="str">
        <f t="shared" si="1"/>
        <v>blz#1974</v>
      </c>
      <c r="B1575" t="str">
        <f>IFERROR(__xludf.DUMMYFUNCTION("""COMPUTED_VALUE"""),"blz")</f>
        <v>blz</v>
      </c>
      <c r="C1575" t="str">
        <f>IFERROR(__xludf.DUMMYFUNCTION("""COMPUTED_VALUE"""),"Belize")</f>
        <v>Belize</v>
      </c>
      <c r="D1575">
        <f>IFERROR(__xludf.DUMMYFUNCTION("""COMPUTED_VALUE"""),1974.0)</f>
        <v>1974</v>
      </c>
      <c r="E1575">
        <f>IFERROR(__xludf.DUMMYFUNCTION("""COMPUTED_VALUE"""),131307.0)</f>
        <v>131307</v>
      </c>
    </row>
    <row r="1576">
      <c r="A1576" t="str">
        <f t="shared" si="1"/>
        <v>blz#1975</v>
      </c>
      <c r="B1576" t="str">
        <f>IFERROR(__xludf.DUMMYFUNCTION("""COMPUTED_VALUE"""),"blz")</f>
        <v>blz</v>
      </c>
      <c r="C1576" t="str">
        <f>IFERROR(__xludf.DUMMYFUNCTION("""COMPUTED_VALUE"""),"Belize")</f>
        <v>Belize</v>
      </c>
      <c r="D1576">
        <f>IFERROR(__xludf.DUMMYFUNCTION("""COMPUTED_VALUE"""),1975.0)</f>
        <v>1975</v>
      </c>
      <c r="E1576">
        <f>IFERROR(__xludf.DUMMYFUNCTION("""COMPUTED_VALUE"""),133260.0)</f>
        <v>133260</v>
      </c>
    </row>
    <row r="1577">
      <c r="A1577" t="str">
        <f t="shared" si="1"/>
        <v>blz#1976</v>
      </c>
      <c r="B1577" t="str">
        <f>IFERROR(__xludf.DUMMYFUNCTION("""COMPUTED_VALUE"""),"blz")</f>
        <v>blz</v>
      </c>
      <c r="C1577" t="str">
        <f>IFERROR(__xludf.DUMMYFUNCTION("""COMPUTED_VALUE"""),"Belize")</f>
        <v>Belize</v>
      </c>
      <c r="D1577">
        <f>IFERROR(__xludf.DUMMYFUNCTION("""COMPUTED_VALUE"""),1976.0)</f>
        <v>1976</v>
      </c>
      <c r="E1577">
        <f>IFERROR(__xludf.DUMMYFUNCTION("""COMPUTED_VALUE"""),135147.0)</f>
        <v>135147</v>
      </c>
    </row>
    <row r="1578">
      <c r="A1578" t="str">
        <f t="shared" si="1"/>
        <v>blz#1977</v>
      </c>
      <c r="B1578" t="str">
        <f>IFERROR(__xludf.DUMMYFUNCTION("""COMPUTED_VALUE"""),"blz")</f>
        <v>blz</v>
      </c>
      <c r="C1578" t="str">
        <f>IFERROR(__xludf.DUMMYFUNCTION("""COMPUTED_VALUE"""),"Belize")</f>
        <v>Belize</v>
      </c>
      <c r="D1578">
        <f>IFERROR(__xludf.DUMMYFUNCTION("""COMPUTED_VALUE"""),1977.0)</f>
        <v>1977</v>
      </c>
      <c r="E1578">
        <f>IFERROR(__xludf.DUMMYFUNCTION("""COMPUTED_VALUE"""),136989.0)</f>
        <v>136989</v>
      </c>
    </row>
    <row r="1579">
      <c r="A1579" t="str">
        <f t="shared" si="1"/>
        <v>blz#1978</v>
      </c>
      <c r="B1579" t="str">
        <f>IFERROR(__xludf.DUMMYFUNCTION("""COMPUTED_VALUE"""),"blz")</f>
        <v>blz</v>
      </c>
      <c r="C1579" t="str">
        <f>IFERROR(__xludf.DUMMYFUNCTION("""COMPUTED_VALUE"""),"Belize")</f>
        <v>Belize</v>
      </c>
      <c r="D1579">
        <f>IFERROR(__xludf.DUMMYFUNCTION("""COMPUTED_VALUE"""),1978.0)</f>
        <v>1978</v>
      </c>
      <c r="E1579">
        <f>IFERROR(__xludf.DUMMYFUNCTION("""COMPUTED_VALUE"""),138965.0)</f>
        <v>138965</v>
      </c>
    </row>
    <row r="1580">
      <c r="A1580" t="str">
        <f t="shared" si="1"/>
        <v>blz#1979</v>
      </c>
      <c r="B1580" t="str">
        <f>IFERROR(__xludf.DUMMYFUNCTION("""COMPUTED_VALUE"""),"blz")</f>
        <v>blz</v>
      </c>
      <c r="C1580" t="str">
        <f>IFERROR(__xludf.DUMMYFUNCTION("""COMPUTED_VALUE"""),"Belize")</f>
        <v>Belize</v>
      </c>
      <c r="D1580">
        <f>IFERROR(__xludf.DUMMYFUNCTION("""COMPUTED_VALUE"""),1979.0)</f>
        <v>1979</v>
      </c>
      <c r="E1580">
        <f>IFERROR(__xludf.DUMMYFUNCTION("""COMPUTED_VALUE"""),141305.0)</f>
        <v>141305</v>
      </c>
    </row>
    <row r="1581">
      <c r="A1581" t="str">
        <f t="shared" si="1"/>
        <v>blz#1980</v>
      </c>
      <c r="B1581" t="str">
        <f>IFERROR(__xludf.DUMMYFUNCTION("""COMPUTED_VALUE"""),"blz")</f>
        <v>blz</v>
      </c>
      <c r="C1581" t="str">
        <f>IFERROR(__xludf.DUMMYFUNCTION("""COMPUTED_VALUE"""),"Belize")</f>
        <v>Belize</v>
      </c>
      <c r="D1581">
        <f>IFERROR(__xludf.DUMMYFUNCTION("""COMPUTED_VALUE"""),1980.0)</f>
        <v>1980</v>
      </c>
      <c r="E1581">
        <f>IFERROR(__xludf.DUMMYFUNCTION("""COMPUTED_VALUE"""),144155.0)</f>
        <v>144155</v>
      </c>
    </row>
    <row r="1582">
      <c r="A1582" t="str">
        <f t="shared" si="1"/>
        <v>blz#1981</v>
      </c>
      <c r="B1582" t="str">
        <f>IFERROR(__xludf.DUMMYFUNCTION("""COMPUTED_VALUE"""),"blz")</f>
        <v>blz</v>
      </c>
      <c r="C1582" t="str">
        <f>IFERROR(__xludf.DUMMYFUNCTION("""COMPUTED_VALUE"""),"Belize")</f>
        <v>Belize</v>
      </c>
      <c r="D1582">
        <f>IFERROR(__xludf.DUMMYFUNCTION("""COMPUTED_VALUE"""),1981.0)</f>
        <v>1981</v>
      </c>
      <c r="E1582">
        <f>IFERROR(__xludf.DUMMYFUNCTION("""COMPUTED_VALUE"""),147566.0)</f>
        <v>147566</v>
      </c>
    </row>
    <row r="1583">
      <c r="A1583" t="str">
        <f t="shared" si="1"/>
        <v>blz#1982</v>
      </c>
      <c r="B1583" t="str">
        <f>IFERROR(__xludf.DUMMYFUNCTION("""COMPUTED_VALUE"""),"blz")</f>
        <v>blz</v>
      </c>
      <c r="C1583" t="str">
        <f>IFERROR(__xludf.DUMMYFUNCTION("""COMPUTED_VALUE"""),"Belize")</f>
        <v>Belize</v>
      </c>
      <c r="D1583">
        <f>IFERROR(__xludf.DUMMYFUNCTION("""COMPUTED_VALUE"""),1982.0)</f>
        <v>1982</v>
      </c>
      <c r="E1583">
        <f>IFERROR(__xludf.DUMMYFUNCTION("""COMPUTED_VALUE"""),151500.0)</f>
        <v>151500</v>
      </c>
    </row>
    <row r="1584">
      <c r="A1584" t="str">
        <f t="shared" si="1"/>
        <v>blz#1983</v>
      </c>
      <c r="B1584" t="str">
        <f>IFERROR(__xludf.DUMMYFUNCTION("""COMPUTED_VALUE"""),"blz")</f>
        <v>blz</v>
      </c>
      <c r="C1584" t="str">
        <f>IFERROR(__xludf.DUMMYFUNCTION("""COMPUTED_VALUE"""),"Belize")</f>
        <v>Belize</v>
      </c>
      <c r="D1584">
        <f>IFERROR(__xludf.DUMMYFUNCTION("""COMPUTED_VALUE"""),1983.0)</f>
        <v>1983</v>
      </c>
      <c r="E1584">
        <f>IFERROR(__xludf.DUMMYFUNCTION("""COMPUTED_VALUE"""),155822.0)</f>
        <v>155822</v>
      </c>
    </row>
    <row r="1585">
      <c r="A1585" t="str">
        <f t="shared" si="1"/>
        <v>blz#1984</v>
      </c>
      <c r="B1585" t="str">
        <f>IFERROR(__xludf.DUMMYFUNCTION("""COMPUTED_VALUE"""),"blz")</f>
        <v>blz</v>
      </c>
      <c r="C1585" t="str">
        <f>IFERROR(__xludf.DUMMYFUNCTION("""COMPUTED_VALUE"""),"Belize")</f>
        <v>Belize</v>
      </c>
      <c r="D1585">
        <f>IFERROR(__xludf.DUMMYFUNCTION("""COMPUTED_VALUE"""),1984.0)</f>
        <v>1984</v>
      </c>
      <c r="E1585">
        <f>IFERROR(__xludf.DUMMYFUNCTION("""COMPUTED_VALUE"""),160347.0)</f>
        <v>160347</v>
      </c>
    </row>
    <row r="1586">
      <c r="A1586" t="str">
        <f t="shared" si="1"/>
        <v>blz#1985</v>
      </c>
      <c r="B1586" t="str">
        <f>IFERROR(__xludf.DUMMYFUNCTION("""COMPUTED_VALUE"""),"blz")</f>
        <v>blz</v>
      </c>
      <c r="C1586" t="str">
        <f>IFERROR(__xludf.DUMMYFUNCTION("""COMPUTED_VALUE"""),"Belize")</f>
        <v>Belize</v>
      </c>
      <c r="D1586">
        <f>IFERROR(__xludf.DUMMYFUNCTION("""COMPUTED_VALUE"""),1985.0)</f>
        <v>1985</v>
      </c>
      <c r="E1586">
        <f>IFERROR(__xludf.DUMMYFUNCTION("""COMPUTED_VALUE"""),164921.0)</f>
        <v>164921</v>
      </c>
    </row>
    <row r="1587">
      <c r="A1587" t="str">
        <f t="shared" si="1"/>
        <v>blz#1986</v>
      </c>
      <c r="B1587" t="str">
        <f>IFERROR(__xludf.DUMMYFUNCTION("""COMPUTED_VALUE"""),"blz")</f>
        <v>blz</v>
      </c>
      <c r="C1587" t="str">
        <f>IFERROR(__xludf.DUMMYFUNCTION("""COMPUTED_VALUE"""),"Belize")</f>
        <v>Belize</v>
      </c>
      <c r="D1587">
        <f>IFERROR(__xludf.DUMMYFUNCTION("""COMPUTED_VALUE"""),1986.0)</f>
        <v>1986</v>
      </c>
      <c r="E1587">
        <f>IFERROR(__xludf.DUMMYFUNCTION("""COMPUTED_VALUE"""),169568.0)</f>
        <v>169568</v>
      </c>
    </row>
    <row r="1588">
      <c r="A1588" t="str">
        <f t="shared" si="1"/>
        <v>blz#1987</v>
      </c>
      <c r="B1588" t="str">
        <f>IFERROR(__xludf.DUMMYFUNCTION("""COMPUTED_VALUE"""),"blz")</f>
        <v>blz</v>
      </c>
      <c r="C1588" t="str">
        <f>IFERROR(__xludf.DUMMYFUNCTION("""COMPUTED_VALUE"""),"Belize")</f>
        <v>Belize</v>
      </c>
      <c r="D1588">
        <f>IFERROR(__xludf.DUMMYFUNCTION("""COMPUTED_VALUE"""),1987.0)</f>
        <v>1987</v>
      </c>
      <c r="E1588">
        <f>IFERROR(__xludf.DUMMYFUNCTION("""COMPUTED_VALUE"""),174320.0)</f>
        <v>174320</v>
      </c>
    </row>
    <row r="1589">
      <c r="A1589" t="str">
        <f t="shared" si="1"/>
        <v>blz#1988</v>
      </c>
      <c r="B1589" t="str">
        <f>IFERROR(__xludf.DUMMYFUNCTION("""COMPUTED_VALUE"""),"blz")</f>
        <v>blz</v>
      </c>
      <c r="C1589" t="str">
        <f>IFERROR(__xludf.DUMMYFUNCTION("""COMPUTED_VALUE"""),"Belize")</f>
        <v>Belize</v>
      </c>
      <c r="D1589">
        <f>IFERROR(__xludf.DUMMYFUNCTION("""COMPUTED_VALUE"""),1988.0)</f>
        <v>1988</v>
      </c>
      <c r="E1589">
        <f>IFERROR(__xludf.DUMMYFUNCTION("""COMPUTED_VALUE"""),179028.0)</f>
        <v>179028</v>
      </c>
    </row>
    <row r="1590">
      <c r="A1590" t="str">
        <f t="shared" si="1"/>
        <v>blz#1989</v>
      </c>
      <c r="B1590" t="str">
        <f>IFERROR(__xludf.DUMMYFUNCTION("""COMPUTED_VALUE"""),"blz")</f>
        <v>blz</v>
      </c>
      <c r="C1590" t="str">
        <f>IFERROR(__xludf.DUMMYFUNCTION("""COMPUTED_VALUE"""),"Belize")</f>
        <v>Belize</v>
      </c>
      <c r="D1590">
        <f>IFERROR(__xludf.DUMMYFUNCTION("""COMPUTED_VALUE"""),1989.0)</f>
        <v>1989</v>
      </c>
      <c r="E1590">
        <f>IFERROR(__xludf.DUMMYFUNCTION("""COMPUTED_VALUE"""),183469.0)</f>
        <v>183469</v>
      </c>
    </row>
    <row r="1591">
      <c r="A1591" t="str">
        <f t="shared" si="1"/>
        <v>blz#1990</v>
      </c>
      <c r="B1591" t="str">
        <f>IFERROR(__xludf.DUMMYFUNCTION("""COMPUTED_VALUE"""),"blz")</f>
        <v>blz</v>
      </c>
      <c r="C1591" t="str">
        <f>IFERROR(__xludf.DUMMYFUNCTION("""COMPUTED_VALUE"""),"Belize")</f>
        <v>Belize</v>
      </c>
      <c r="D1591">
        <f>IFERROR(__xludf.DUMMYFUNCTION("""COMPUTED_VALUE"""),1990.0)</f>
        <v>1990</v>
      </c>
      <c r="E1591">
        <f>IFERROR(__xludf.DUMMYFUNCTION("""COMPUTED_VALUE"""),187552.0)</f>
        <v>187552</v>
      </c>
    </row>
    <row r="1592">
      <c r="A1592" t="str">
        <f t="shared" si="1"/>
        <v>blz#1991</v>
      </c>
      <c r="B1592" t="str">
        <f>IFERROR(__xludf.DUMMYFUNCTION("""COMPUTED_VALUE"""),"blz")</f>
        <v>blz</v>
      </c>
      <c r="C1592" t="str">
        <f>IFERROR(__xludf.DUMMYFUNCTION("""COMPUTED_VALUE"""),"Belize")</f>
        <v>Belize</v>
      </c>
      <c r="D1592">
        <f>IFERROR(__xludf.DUMMYFUNCTION("""COMPUTED_VALUE"""),1991.0)</f>
        <v>1991</v>
      </c>
      <c r="E1592">
        <f>IFERROR(__xludf.DUMMYFUNCTION("""COMPUTED_VALUE"""),191126.0)</f>
        <v>191126</v>
      </c>
    </row>
    <row r="1593">
      <c r="A1593" t="str">
        <f t="shared" si="1"/>
        <v>blz#1992</v>
      </c>
      <c r="B1593" t="str">
        <f>IFERROR(__xludf.DUMMYFUNCTION("""COMPUTED_VALUE"""),"blz")</f>
        <v>blz</v>
      </c>
      <c r="C1593" t="str">
        <f>IFERROR(__xludf.DUMMYFUNCTION("""COMPUTED_VALUE"""),"Belize")</f>
        <v>Belize</v>
      </c>
      <c r="D1593">
        <f>IFERROR(__xludf.DUMMYFUNCTION("""COMPUTED_VALUE"""),1992.0)</f>
        <v>1992</v>
      </c>
      <c r="E1593">
        <f>IFERROR(__xludf.DUMMYFUNCTION("""COMPUTED_VALUE"""),194317.0)</f>
        <v>194317</v>
      </c>
    </row>
    <row r="1594">
      <c r="A1594" t="str">
        <f t="shared" si="1"/>
        <v>blz#1993</v>
      </c>
      <c r="B1594" t="str">
        <f>IFERROR(__xludf.DUMMYFUNCTION("""COMPUTED_VALUE"""),"blz")</f>
        <v>blz</v>
      </c>
      <c r="C1594" t="str">
        <f>IFERROR(__xludf.DUMMYFUNCTION("""COMPUTED_VALUE"""),"Belize")</f>
        <v>Belize</v>
      </c>
      <c r="D1594">
        <f>IFERROR(__xludf.DUMMYFUNCTION("""COMPUTED_VALUE"""),1993.0)</f>
        <v>1993</v>
      </c>
      <c r="E1594">
        <f>IFERROR(__xludf.DUMMYFUNCTION("""COMPUTED_VALUE"""),197616.0)</f>
        <v>197616</v>
      </c>
    </row>
    <row r="1595">
      <c r="A1595" t="str">
        <f t="shared" si="1"/>
        <v>blz#1994</v>
      </c>
      <c r="B1595" t="str">
        <f>IFERROR(__xludf.DUMMYFUNCTION("""COMPUTED_VALUE"""),"blz")</f>
        <v>blz</v>
      </c>
      <c r="C1595" t="str">
        <f>IFERROR(__xludf.DUMMYFUNCTION("""COMPUTED_VALUE"""),"Belize")</f>
        <v>Belize</v>
      </c>
      <c r="D1595">
        <f>IFERROR(__xludf.DUMMYFUNCTION("""COMPUTED_VALUE"""),1994.0)</f>
        <v>1994</v>
      </c>
      <c r="E1595">
        <f>IFERROR(__xludf.DUMMYFUNCTION("""COMPUTED_VALUE"""),201674.0)</f>
        <v>201674</v>
      </c>
    </row>
    <row r="1596">
      <c r="A1596" t="str">
        <f t="shared" si="1"/>
        <v>blz#1995</v>
      </c>
      <c r="B1596" t="str">
        <f>IFERROR(__xludf.DUMMYFUNCTION("""COMPUTED_VALUE"""),"blz")</f>
        <v>blz</v>
      </c>
      <c r="C1596" t="str">
        <f>IFERROR(__xludf.DUMMYFUNCTION("""COMPUTED_VALUE"""),"Belize")</f>
        <v>Belize</v>
      </c>
      <c r="D1596">
        <f>IFERROR(__xludf.DUMMYFUNCTION("""COMPUTED_VALUE"""),1995.0)</f>
        <v>1995</v>
      </c>
      <c r="E1596">
        <f>IFERROR(__xludf.DUMMYFUNCTION("""COMPUTED_VALUE"""),206963.0)</f>
        <v>206963</v>
      </c>
    </row>
    <row r="1597">
      <c r="A1597" t="str">
        <f t="shared" si="1"/>
        <v>blz#1996</v>
      </c>
      <c r="B1597" t="str">
        <f>IFERROR(__xludf.DUMMYFUNCTION("""COMPUTED_VALUE"""),"blz")</f>
        <v>blz</v>
      </c>
      <c r="C1597" t="str">
        <f>IFERROR(__xludf.DUMMYFUNCTION("""COMPUTED_VALUE"""),"Belize")</f>
        <v>Belize</v>
      </c>
      <c r="D1597">
        <f>IFERROR(__xludf.DUMMYFUNCTION("""COMPUTED_VALUE"""),1996.0)</f>
        <v>1996</v>
      </c>
      <c r="E1597">
        <f>IFERROR(__xludf.DUMMYFUNCTION("""COMPUTED_VALUE"""),213676.0)</f>
        <v>213676</v>
      </c>
    </row>
    <row r="1598">
      <c r="A1598" t="str">
        <f t="shared" si="1"/>
        <v>blz#1997</v>
      </c>
      <c r="B1598" t="str">
        <f>IFERROR(__xludf.DUMMYFUNCTION("""COMPUTED_VALUE"""),"blz")</f>
        <v>blz</v>
      </c>
      <c r="C1598" t="str">
        <f>IFERROR(__xludf.DUMMYFUNCTION("""COMPUTED_VALUE"""),"Belize")</f>
        <v>Belize</v>
      </c>
      <c r="D1598">
        <f>IFERROR(__xludf.DUMMYFUNCTION("""COMPUTED_VALUE"""),1997.0)</f>
        <v>1997</v>
      </c>
      <c r="E1598">
        <f>IFERROR(__xludf.DUMMYFUNCTION("""COMPUTED_VALUE"""),221606.0)</f>
        <v>221606</v>
      </c>
    </row>
    <row r="1599">
      <c r="A1599" t="str">
        <f t="shared" si="1"/>
        <v>blz#1998</v>
      </c>
      <c r="B1599" t="str">
        <f>IFERROR(__xludf.DUMMYFUNCTION("""COMPUTED_VALUE"""),"blz")</f>
        <v>blz</v>
      </c>
      <c r="C1599" t="str">
        <f>IFERROR(__xludf.DUMMYFUNCTION("""COMPUTED_VALUE"""),"Belize")</f>
        <v>Belize</v>
      </c>
      <c r="D1599">
        <f>IFERROR(__xludf.DUMMYFUNCTION("""COMPUTED_VALUE"""),1998.0)</f>
        <v>1998</v>
      </c>
      <c r="E1599">
        <f>IFERROR(__xludf.DUMMYFUNCTION("""COMPUTED_VALUE"""),230284.0)</f>
        <v>230284</v>
      </c>
    </row>
    <row r="1600">
      <c r="A1600" t="str">
        <f t="shared" si="1"/>
        <v>blz#1999</v>
      </c>
      <c r="B1600" t="str">
        <f>IFERROR(__xludf.DUMMYFUNCTION("""COMPUTED_VALUE"""),"blz")</f>
        <v>blz</v>
      </c>
      <c r="C1600" t="str">
        <f>IFERROR(__xludf.DUMMYFUNCTION("""COMPUTED_VALUE"""),"Belize")</f>
        <v>Belize</v>
      </c>
      <c r="D1600">
        <f>IFERROR(__xludf.DUMMYFUNCTION("""COMPUTED_VALUE"""),1999.0)</f>
        <v>1999</v>
      </c>
      <c r="E1600">
        <f>IFERROR(__xludf.DUMMYFUNCTION("""COMPUTED_VALUE"""),239026.0)</f>
        <v>239026</v>
      </c>
    </row>
    <row r="1601">
      <c r="A1601" t="str">
        <f t="shared" si="1"/>
        <v>blz#2000</v>
      </c>
      <c r="B1601" t="str">
        <f>IFERROR(__xludf.DUMMYFUNCTION("""COMPUTED_VALUE"""),"blz")</f>
        <v>blz</v>
      </c>
      <c r="C1601" t="str">
        <f>IFERROR(__xludf.DUMMYFUNCTION("""COMPUTED_VALUE"""),"Belize")</f>
        <v>Belize</v>
      </c>
      <c r="D1601">
        <f>IFERROR(__xludf.DUMMYFUNCTION("""COMPUTED_VALUE"""),2000.0)</f>
        <v>2000</v>
      </c>
      <c r="E1601">
        <f>IFERROR(__xludf.DUMMYFUNCTION("""COMPUTED_VALUE"""),247315.0)</f>
        <v>247315</v>
      </c>
    </row>
    <row r="1602">
      <c r="A1602" t="str">
        <f t="shared" si="1"/>
        <v>blz#2001</v>
      </c>
      <c r="B1602" t="str">
        <f>IFERROR(__xludf.DUMMYFUNCTION("""COMPUTED_VALUE"""),"blz")</f>
        <v>blz</v>
      </c>
      <c r="C1602" t="str">
        <f>IFERROR(__xludf.DUMMYFUNCTION("""COMPUTED_VALUE"""),"Belize")</f>
        <v>Belize</v>
      </c>
      <c r="D1602">
        <f>IFERROR(__xludf.DUMMYFUNCTION("""COMPUTED_VALUE"""),2001.0)</f>
        <v>2001</v>
      </c>
      <c r="E1602">
        <f>IFERROR(__xludf.DUMMYFUNCTION("""COMPUTED_VALUE"""),254984.0)</f>
        <v>254984</v>
      </c>
    </row>
    <row r="1603">
      <c r="A1603" t="str">
        <f t="shared" si="1"/>
        <v>blz#2002</v>
      </c>
      <c r="B1603" t="str">
        <f>IFERROR(__xludf.DUMMYFUNCTION("""COMPUTED_VALUE"""),"blz")</f>
        <v>blz</v>
      </c>
      <c r="C1603" t="str">
        <f>IFERROR(__xludf.DUMMYFUNCTION("""COMPUTED_VALUE"""),"Belize")</f>
        <v>Belize</v>
      </c>
      <c r="D1603">
        <f>IFERROR(__xludf.DUMMYFUNCTION("""COMPUTED_VALUE"""),2002.0)</f>
        <v>2002</v>
      </c>
      <c r="E1603">
        <f>IFERROR(__xludf.DUMMYFUNCTION("""COMPUTED_VALUE"""),262206.0)</f>
        <v>262206</v>
      </c>
    </row>
    <row r="1604">
      <c r="A1604" t="str">
        <f t="shared" si="1"/>
        <v>blz#2003</v>
      </c>
      <c r="B1604" t="str">
        <f>IFERROR(__xludf.DUMMYFUNCTION("""COMPUTED_VALUE"""),"blz")</f>
        <v>blz</v>
      </c>
      <c r="C1604" t="str">
        <f>IFERROR(__xludf.DUMMYFUNCTION("""COMPUTED_VALUE"""),"Belize")</f>
        <v>Belize</v>
      </c>
      <c r="D1604">
        <f>IFERROR(__xludf.DUMMYFUNCTION("""COMPUTED_VALUE"""),2003.0)</f>
        <v>2003</v>
      </c>
      <c r="E1604">
        <f>IFERROR(__xludf.DUMMYFUNCTION("""COMPUTED_VALUE"""),269130.0)</f>
        <v>269130</v>
      </c>
    </row>
    <row r="1605">
      <c r="A1605" t="str">
        <f t="shared" si="1"/>
        <v>blz#2004</v>
      </c>
      <c r="B1605" t="str">
        <f>IFERROR(__xludf.DUMMYFUNCTION("""COMPUTED_VALUE"""),"blz")</f>
        <v>blz</v>
      </c>
      <c r="C1605" t="str">
        <f>IFERROR(__xludf.DUMMYFUNCTION("""COMPUTED_VALUE"""),"Belize")</f>
        <v>Belize</v>
      </c>
      <c r="D1605">
        <f>IFERROR(__xludf.DUMMYFUNCTION("""COMPUTED_VALUE"""),2004.0)</f>
        <v>2004</v>
      </c>
      <c r="E1605">
        <f>IFERROR(__xludf.DUMMYFUNCTION("""COMPUTED_VALUE"""),276089.0)</f>
        <v>276089</v>
      </c>
    </row>
    <row r="1606">
      <c r="A1606" t="str">
        <f t="shared" si="1"/>
        <v>blz#2005</v>
      </c>
      <c r="B1606" t="str">
        <f>IFERROR(__xludf.DUMMYFUNCTION("""COMPUTED_VALUE"""),"blz")</f>
        <v>blz</v>
      </c>
      <c r="C1606" t="str">
        <f>IFERROR(__xludf.DUMMYFUNCTION("""COMPUTED_VALUE"""),"Belize")</f>
        <v>Belize</v>
      </c>
      <c r="D1606">
        <f>IFERROR(__xludf.DUMMYFUNCTION("""COMPUTED_VALUE"""),2005.0)</f>
        <v>2005</v>
      </c>
      <c r="E1606">
        <f>IFERROR(__xludf.DUMMYFUNCTION("""COMPUTED_VALUE"""),283277.0)</f>
        <v>283277</v>
      </c>
    </row>
    <row r="1607">
      <c r="A1607" t="str">
        <f t="shared" si="1"/>
        <v>blz#2006</v>
      </c>
      <c r="B1607" t="str">
        <f>IFERROR(__xludf.DUMMYFUNCTION("""COMPUTED_VALUE"""),"blz")</f>
        <v>blz</v>
      </c>
      <c r="C1607" t="str">
        <f>IFERROR(__xludf.DUMMYFUNCTION("""COMPUTED_VALUE"""),"Belize")</f>
        <v>Belize</v>
      </c>
      <c r="D1607">
        <f>IFERROR(__xludf.DUMMYFUNCTION("""COMPUTED_VALUE"""),2006.0)</f>
        <v>2006</v>
      </c>
      <c r="E1607">
        <f>IFERROR(__xludf.DUMMYFUNCTION("""COMPUTED_VALUE"""),290747.0)</f>
        <v>290747</v>
      </c>
    </row>
    <row r="1608">
      <c r="A1608" t="str">
        <f t="shared" si="1"/>
        <v>blz#2007</v>
      </c>
      <c r="B1608" t="str">
        <f>IFERROR(__xludf.DUMMYFUNCTION("""COMPUTED_VALUE"""),"blz")</f>
        <v>blz</v>
      </c>
      <c r="C1608" t="str">
        <f>IFERROR(__xludf.DUMMYFUNCTION("""COMPUTED_VALUE"""),"Belize")</f>
        <v>Belize</v>
      </c>
      <c r="D1608">
        <f>IFERROR(__xludf.DUMMYFUNCTION("""COMPUTED_VALUE"""),2007.0)</f>
        <v>2007</v>
      </c>
      <c r="E1608">
        <f>IFERROR(__xludf.DUMMYFUNCTION("""COMPUTED_VALUE"""),298407.0)</f>
        <v>298407</v>
      </c>
    </row>
    <row r="1609">
      <c r="A1609" t="str">
        <f t="shared" si="1"/>
        <v>blz#2008</v>
      </c>
      <c r="B1609" t="str">
        <f>IFERROR(__xludf.DUMMYFUNCTION("""COMPUTED_VALUE"""),"blz")</f>
        <v>blz</v>
      </c>
      <c r="C1609" t="str">
        <f>IFERROR(__xludf.DUMMYFUNCTION("""COMPUTED_VALUE"""),"Belize")</f>
        <v>Belize</v>
      </c>
      <c r="D1609">
        <f>IFERROR(__xludf.DUMMYFUNCTION("""COMPUTED_VALUE"""),2008.0)</f>
        <v>2008</v>
      </c>
      <c r="E1609">
        <f>IFERROR(__xludf.DUMMYFUNCTION("""COMPUTED_VALUE"""),306165.0)</f>
        <v>306165</v>
      </c>
    </row>
    <row r="1610">
      <c r="A1610" t="str">
        <f t="shared" si="1"/>
        <v>blz#2009</v>
      </c>
      <c r="B1610" t="str">
        <f>IFERROR(__xludf.DUMMYFUNCTION("""COMPUTED_VALUE"""),"blz")</f>
        <v>blz</v>
      </c>
      <c r="C1610" t="str">
        <f>IFERROR(__xludf.DUMMYFUNCTION("""COMPUTED_VALUE"""),"Belize")</f>
        <v>Belize</v>
      </c>
      <c r="D1610">
        <f>IFERROR(__xludf.DUMMYFUNCTION("""COMPUTED_VALUE"""),2009.0)</f>
        <v>2009</v>
      </c>
      <c r="E1610">
        <f>IFERROR(__xludf.DUMMYFUNCTION("""COMPUTED_VALUE"""),313929.0)</f>
        <v>313929</v>
      </c>
    </row>
    <row r="1611">
      <c r="A1611" t="str">
        <f t="shared" si="1"/>
        <v>blz#2010</v>
      </c>
      <c r="B1611" t="str">
        <f>IFERROR(__xludf.DUMMYFUNCTION("""COMPUTED_VALUE"""),"blz")</f>
        <v>blz</v>
      </c>
      <c r="C1611" t="str">
        <f>IFERROR(__xludf.DUMMYFUNCTION("""COMPUTED_VALUE"""),"Belize")</f>
        <v>Belize</v>
      </c>
      <c r="D1611">
        <f>IFERROR(__xludf.DUMMYFUNCTION("""COMPUTED_VALUE"""),2010.0)</f>
        <v>2010</v>
      </c>
      <c r="E1611">
        <f>IFERROR(__xludf.DUMMYFUNCTION("""COMPUTED_VALUE"""),321608.0)</f>
        <v>321608</v>
      </c>
    </row>
    <row r="1612">
      <c r="A1612" t="str">
        <f t="shared" si="1"/>
        <v>blz#2011</v>
      </c>
      <c r="B1612" t="str">
        <f>IFERROR(__xludf.DUMMYFUNCTION("""COMPUTED_VALUE"""),"blz")</f>
        <v>blz</v>
      </c>
      <c r="C1612" t="str">
        <f>IFERROR(__xludf.DUMMYFUNCTION("""COMPUTED_VALUE"""),"Belize")</f>
        <v>Belize</v>
      </c>
      <c r="D1612">
        <f>IFERROR(__xludf.DUMMYFUNCTION("""COMPUTED_VALUE"""),2011.0)</f>
        <v>2011</v>
      </c>
      <c r="E1612">
        <f>IFERROR(__xludf.DUMMYFUNCTION("""COMPUTED_VALUE"""),329192.0)</f>
        <v>329192</v>
      </c>
    </row>
    <row r="1613">
      <c r="A1613" t="str">
        <f t="shared" si="1"/>
        <v>blz#2012</v>
      </c>
      <c r="B1613" t="str">
        <f>IFERROR(__xludf.DUMMYFUNCTION("""COMPUTED_VALUE"""),"blz")</f>
        <v>blz</v>
      </c>
      <c r="C1613" t="str">
        <f>IFERROR(__xludf.DUMMYFUNCTION("""COMPUTED_VALUE"""),"Belize")</f>
        <v>Belize</v>
      </c>
      <c r="D1613">
        <f>IFERROR(__xludf.DUMMYFUNCTION("""COMPUTED_VALUE"""),2012.0)</f>
        <v>2012</v>
      </c>
      <c r="E1613">
        <f>IFERROR(__xludf.DUMMYFUNCTION("""COMPUTED_VALUE"""),336701.0)</f>
        <v>336701</v>
      </c>
    </row>
    <row r="1614">
      <c r="A1614" t="str">
        <f t="shared" si="1"/>
        <v>blz#2013</v>
      </c>
      <c r="B1614" t="str">
        <f>IFERROR(__xludf.DUMMYFUNCTION("""COMPUTED_VALUE"""),"blz")</f>
        <v>blz</v>
      </c>
      <c r="C1614" t="str">
        <f>IFERROR(__xludf.DUMMYFUNCTION("""COMPUTED_VALUE"""),"Belize")</f>
        <v>Belize</v>
      </c>
      <c r="D1614">
        <f>IFERROR(__xludf.DUMMYFUNCTION("""COMPUTED_VALUE"""),2013.0)</f>
        <v>2013</v>
      </c>
      <c r="E1614">
        <f>IFERROR(__xludf.DUMMYFUNCTION("""COMPUTED_VALUE"""),344181.0)</f>
        <v>344181</v>
      </c>
    </row>
    <row r="1615">
      <c r="A1615" t="str">
        <f t="shared" si="1"/>
        <v>blz#2014</v>
      </c>
      <c r="B1615" t="str">
        <f>IFERROR(__xludf.DUMMYFUNCTION("""COMPUTED_VALUE"""),"blz")</f>
        <v>blz</v>
      </c>
      <c r="C1615" t="str">
        <f>IFERROR(__xludf.DUMMYFUNCTION("""COMPUTED_VALUE"""),"Belize")</f>
        <v>Belize</v>
      </c>
      <c r="D1615">
        <f>IFERROR(__xludf.DUMMYFUNCTION("""COMPUTED_VALUE"""),2014.0)</f>
        <v>2014</v>
      </c>
      <c r="E1615">
        <f>IFERROR(__xludf.DUMMYFUNCTION("""COMPUTED_VALUE"""),351694.0)</f>
        <v>351694</v>
      </c>
    </row>
    <row r="1616">
      <c r="A1616" t="str">
        <f t="shared" si="1"/>
        <v>blz#2015</v>
      </c>
      <c r="B1616" t="str">
        <f>IFERROR(__xludf.DUMMYFUNCTION("""COMPUTED_VALUE"""),"blz")</f>
        <v>blz</v>
      </c>
      <c r="C1616" t="str">
        <f>IFERROR(__xludf.DUMMYFUNCTION("""COMPUTED_VALUE"""),"Belize")</f>
        <v>Belize</v>
      </c>
      <c r="D1616">
        <f>IFERROR(__xludf.DUMMYFUNCTION("""COMPUTED_VALUE"""),2015.0)</f>
        <v>2015</v>
      </c>
      <c r="E1616">
        <f>IFERROR(__xludf.DUMMYFUNCTION("""COMPUTED_VALUE"""),359288.0)</f>
        <v>359288</v>
      </c>
    </row>
    <row r="1617">
      <c r="A1617" t="str">
        <f t="shared" si="1"/>
        <v>blz#2016</v>
      </c>
      <c r="B1617" t="str">
        <f>IFERROR(__xludf.DUMMYFUNCTION("""COMPUTED_VALUE"""),"blz")</f>
        <v>blz</v>
      </c>
      <c r="C1617" t="str">
        <f>IFERROR(__xludf.DUMMYFUNCTION("""COMPUTED_VALUE"""),"Belize")</f>
        <v>Belize</v>
      </c>
      <c r="D1617">
        <f>IFERROR(__xludf.DUMMYFUNCTION("""COMPUTED_VALUE"""),2016.0)</f>
        <v>2016</v>
      </c>
      <c r="E1617">
        <f>IFERROR(__xludf.DUMMYFUNCTION("""COMPUTED_VALUE"""),366954.0)</f>
        <v>366954</v>
      </c>
    </row>
    <row r="1618">
      <c r="A1618" t="str">
        <f t="shared" si="1"/>
        <v>blz#2017</v>
      </c>
      <c r="B1618" t="str">
        <f>IFERROR(__xludf.DUMMYFUNCTION("""COMPUTED_VALUE"""),"blz")</f>
        <v>blz</v>
      </c>
      <c r="C1618" t="str">
        <f>IFERROR(__xludf.DUMMYFUNCTION("""COMPUTED_VALUE"""),"Belize")</f>
        <v>Belize</v>
      </c>
      <c r="D1618">
        <f>IFERROR(__xludf.DUMMYFUNCTION("""COMPUTED_VALUE"""),2017.0)</f>
        <v>2017</v>
      </c>
      <c r="E1618">
        <f>IFERROR(__xludf.DUMMYFUNCTION("""COMPUTED_VALUE"""),374681.0)</f>
        <v>374681</v>
      </c>
    </row>
    <row r="1619">
      <c r="A1619" t="str">
        <f t="shared" si="1"/>
        <v>blz#2018</v>
      </c>
      <c r="B1619" t="str">
        <f>IFERROR(__xludf.DUMMYFUNCTION("""COMPUTED_VALUE"""),"blz")</f>
        <v>blz</v>
      </c>
      <c r="C1619" t="str">
        <f>IFERROR(__xludf.DUMMYFUNCTION("""COMPUTED_VALUE"""),"Belize")</f>
        <v>Belize</v>
      </c>
      <c r="D1619">
        <f>IFERROR(__xludf.DUMMYFUNCTION("""COMPUTED_VALUE"""),2018.0)</f>
        <v>2018</v>
      </c>
      <c r="E1619">
        <f>IFERROR(__xludf.DUMMYFUNCTION("""COMPUTED_VALUE"""),382444.0)</f>
        <v>382444</v>
      </c>
    </row>
    <row r="1620">
      <c r="A1620" t="str">
        <f t="shared" si="1"/>
        <v>blz#2019</v>
      </c>
      <c r="B1620" t="str">
        <f>IFERROR(__xludf.DUMMYFUNCTION("""COMPUTED_VALUE"""),"blz")</f>
        <v>blz</v>
      </c>
      <c r="C1620" t="str">
        <f>IFERROR(__xludf.DUMMYFUNCTION("""COMPUTED_VALUE"""),"Belize")</f>
        <v>Belize</v>
      </c>
      <c r="D1620">
        <f>IFERROR(__xludf.DUMMYFUNCTION("""COMPUTED_VALUE"""),2019.0)</f>
        <v>2019</v>
      </c>
      <c r="E1620">
        <f>IFERROR(__xludf.DUMMYFUNCTION("""COMPUTED_VALUE"""),390231.0)</f>
        <v>390231</v>
      </c>
    </row>
    <row r="1621">
      <c r="A1621" t="str">
        <f t="shared" si="1"/>
        <v>blz#2020</v>
      </c>
      <c r="B1621" t="str">
        <f>IFERROR(__xludf.DUMMYFUNCTION("""COMPUTED_VALUE"""),"blz")</f>
        <v>blz</v>
      </c>
      <c r="C1621" t="str">
        <f>IFERROR(__xludf.DUMMYFUNCTION("""COMPUTED_VALUE"""),"Belize")</f>
        <v>Belize</v>
      </c>
      <c r="D1621">
        <f>IFERROR(__xludf.DUMMYFUNCTION("""COMPUTED_VALUE"""),2020.0)</f>
        <v>2020</v>
      </c>
      <c r="E1621">
        <f>IFERROR(__xludf.DUMMYFUNCTION("""COMPUTED_VALUE"""),398007.0)</f>
        <v>398007</v>
      </c>
    </row>
    <row r="1622">
      <c r="A1622" t="str">
        <f t="shared" si="1"/>
        <v>blz#2021</v>
      </c>
      <c r="B1622" t="str">
        <f>IFERROR(__xludf.DUMMYFUNCTION("""COMPUTED_VALUE"""),"blz")</f>
        <v>blz</v>
      </c>
      <c r="C1622" t="str">
        <f>IFERROR(__xludf.DUMMYFUNCTION("""COMPUTED_VALUE"""),"Belize")</f>
        <v>Belize</v>
      </c>
      <c r="D1622">
        <f>IFERROR(__xludf.DUMMYFUNCTION("""COMPUTED_VALUE"""),2021.0)</f>
        <v>2021</v>
      </c>
      <c r="E1622">
        <f>IFERROR(__xludf.DUMMYFUNCTION("""COMPUTED_VALUE"""),405765.0)</f>
        <v>405765</v>
      </c>
    </row>
    <row r="1623">
      <c r="A1623" t="str">
        <f t="shared" si="1"/>
        <v>blz#2022</v>
      </c>
      <c r="B1623" t="str">
        <f>IFERROR(__xludf.DUMMYFUNCTION("""COMPUTED_VALUE"""),"blz")</f>
        <v>blz</v>
      </c>
      <c r="C1623" t="str">
        <f>IFERROR(__xludf.DUMMYFUNCTION("""COMPUTED_VALUE"""),"Belize")</f>
        <v>Belize</v>
      </c>
      <c r="D1623">
        <f>IFERROR(__xludf.DUMMYFUNCTION("""COMPUTED_VALUE"""),2022.0)</f>
        <v>2022</v>
      </c>
      <c r="E1623">
        <f>IFERROR(__xludf.DUMMYFUNCTION("""COMPUTED_VALUE"""),413509.0)</f>
        <v>413509</v>
      </c>
    </row>
    <row r="1624">
      <c r="A1624" t="str">
        <f t="shared" si="1"/>
        <v>blz#2023</v>
      </c>
      <c r="B1624" t="str">
        <f>IFERROR(__xludf.DUMMYFUNCTION("""COMPUTED_VALUE"""),"blz")</f>
        <v>blz</v>
      </c>
      <c r="C1624" t="str">
        <f>IFERROR(__xludf.DUMMYFUNCTION("""COMPUTED_VALUE"""),"Belize")</f>
        <v>Belize</v>
      </c>
      <c r="D1624">
        <f>IFERROR(__xludf.DUMMYFUNCTION("""COMPUTED_VALUE"""),2023.0)</f>
        <v>2023</v>
      </c>
      <c r="E1624">
        <f>IFERROR(__xludf.DUMMYFUNCTION("""COMPUTED_VALUE"""),421210.0)</f>
        <v>421210</v>
      </c>
    </row>
    <row r="1625">
      <c r="A1625" t="str">
        <f t="shared" si="1"/>
        <v>blz#2024</v>
      </c>
      <c r="B1625" t="str">
        <f>IFERROR(__xludf.DUMMYFUNCTION("""COMPUTED_VALUE"""),"blz")</f>
        <v>blz</v>
      </c>
      <c r="C1625" t="str">
        <f>IFERROR(__xludf.DUMMYFUNCTION("""COMPUTED_VALUE"""),"Belize")</f>
        <v>Belize</v>
      </c>
      <c r="D1625">
        <f>IFERROR(__xludf.DUMMYFUNCTION("""COMPUTED_VALUE"""),2024.0)</f>
        <v>2024</v>
      </c>
      <c r="E1625">
        <f>IFERROR(__xludf.DUMMYFUNCTION("""COMPUTED_VALUE"""),428847.0)</f>
        <v>428847</v>
      </c>
    </row>
    <row r="1626">
      <c r="A1626" t="str">
        <f t="shared" si="1"/>
        <v>blz#2025</v>
      </c>
      <c r="B1626" t="str">
        <f>IFERROR(__xludf.DUMMYFUNCTION("""COMPUTED_VALUE"""),"blz")</f>
        <v>blz</v>
      </c>
      <c r="C1626" t="str">
        <f>IFERROR(__xludf.DUMMYFUNCTION("""COMPUTED_VALUE"""),"Belize")</f>
        <v>Belize</v>
      </c>
      <c r="D1626">
        <f>IFERROR(__xludf.DUMMYFUNCTION("""COMPUTED_VALUE"""),2025.0)</f>
        <v>2025</v>
      </c>
      <c r="E1626">
        <f>IFERROR(__xludf.DUMMYFUNCTION("""COMPUTED_VALUE"""),436398.0)</f>
        <v>436398</v>
      </c>
    </row>
    <row r="1627">
      <c r="A1627" t="str">
        <f t="shared" si="1"/>
        <v>blz#2026</v>
      </c>
      <c r="B1627" t="str">
        <f>IFERROR(__xludf.DUMMYFUNCTION("""COMPUTED_VALUE"""),"blz")</f>
        <v>blz</v>
      </c>
      <c r="C1627" t="str">
        <f>IFERROR(__xludf.DUMMYFUNCTION("""COMPUTED_VALUE"""),"Belize")</f>
        <v>Belize</v>
      </c>
      <c r="D1627">
        <f>IFERROR(__xludf.DUMMYFUNCTION("""COMPUTED_VALUE"""),2026.0)</f>
        <v>2026</v>
      </c>
      <c r="E1627">
        <f>IFERROR(__xludf.DUMMYFUNCTION("""COMPUTED_VALUE"""),443865.0)</f>
        <v>443865</v>
      </c>
    </row>
    <row r="1628">
      <c r="A1628" t="str">
        <f t="shared" si="1"/>
        <v>blz#2027</v>
      </c>
      <c r="B1628" t="str">
        <f>IFERROR(__xludf.DUMMYFUNCTION("""COMPUTED_VALUE"""),"blz")</f>
        <v>blz</v>
      </c>
      <c r="C1628" t="str">
        <f>IFERROR(__xludf.DUMMYFUNCTION("""COMPUTED_VALUE"""),"Belize")</f>
        <v>Belize</v>
      </c>
      <c r="D1628">
        <f>IFERROR(__xludf.DUMMYFUNCTION("""COMPUTED_VALUE"""),2027.0)</f>
        <v>2027</v>
      </c>
      <c r="E1628">
        <f>IFERROR(__xludf.DUMMYFUNCTION("""COMPUTED_VALUE"""),451221.0)</f>
        <v>451221</v>
      </c>
    </row>
    <row r="1629">
      <c r="A1629" t="str">
        <f t="shared" si="1"/>
        <v>blz#2028</v>
      </c>
      <c r="B1629" t="str">
        <f>IFERROR(__xludf.DUMMYFUNCTION("""COMPUTED_VALUE"""),"blz")</f>
        <v>blz</v>
      </c>
      <c r="C1629" t="str">
        <f>IFERROR(__xludf.DUMMYFUNCTION("""COMPUTED_VALUE"""),"Belize")</f>
        <v>Belize</v>
      </c>
      <c r="D1629">
        <f>IFERROR(__xludf.DUMMYFUNCTION("""COMPUTED_VALUE"""),2028.0)</f>
        <v>2028</v>
      </c>
      <c r="E1629">
        <f>IFERROR(__xludf.DUMMYFUNCTION("""COMPUTED_VALUE"""),458472.0)</f>
        <v>458472</v>
      </c>
    </row>
    <row r="1630">
      <c r="A1630" t="str">
        <f t="shared" si="1"/>
        <v>blz#2029</v>
      </c>
      <c r="B1630" t="str">
        <f>IFERROR(__xludf.DUMMYFUNCTION("""COMPUTED_VALUE"""),"blz")</f>
        <v>blz</v>
      </c>
      <c r="C1630" t="str">
        <f>IFERROR(__xludf.DUMMYFUNCTION("""COMPUTED_VALUE"""),"Belize")</f>
        <v>Belize</v>
      </c>
      <c r="D1630">
        <f>IFERROR(__xludf.DUMMYFUNCTION("""COMPUTED_VALUE"""),2029.0)</f>
        <v>2029</v>
      </c>
      <c r="E1630">
        <f>IFERROR(__xludf.DUMMYFUNCTION("""COMPUTED_VALUE"""),465640.0)</f>
        <v>465640</v>
      </c>
    </row>
    <row r="1631">
      <c r="A1631" t="str">
        <f t="shared" si="1"/>
        <v>blz#2030</v>
      </c>
      <c r="B1631" t="str">
        <f>IFERROR(__xludf.DUMMYFUNCTION("""COMPUTED_VALUE"""),"blz")</f>
        <v>blz</v>
      </c>
      <c r="C1631" t="str">
        <f>IFERROR(__xludf.DUMMYFUNCTION("""COMPUTED_VALUE"""),"Belize")</f>
        <v>Belize</v>
      </c>
      <c r="D1631">
        <f>IFERROR(__xludf.DUMMYFUNCTION("""COMPUTED_VALUE"""),2030.0)</f>
        <v>2030</v>
      </c>
      <c r="E1631">
        <f>IFERROR(__xludf.DUMMYFUNCTION("""COMPUTED_VALUE"""),472702.0)</f>
        <v>472702</v>
      </c>
    </row>
    <row r="1632">
      <c r="A1632" t="str">
        <f t="shared" si="1"/>
        <v>blz#2031</v>
      </c>
      <c r="B1632" t="str">
        <f>IFERROR(__xludf.DUMMYFUNCTION("""COMPUTED_VALUE"""),"blz")</f>
        <v>blz</v>
      </c>
      <c r="C1632" t="str">
        <f>IFERROR(__xludf.DUMMYFUNCTION("""COMPUTED_VALUE"""),"Belize")</f>
        <v>Belize</v>
      </c>
      <c r="D1632">
        <f>IFERROR(__xludf.DUMMYFUNCTION("""COMPUTED_VALUE"""),2031.0)</f>
        <v>2031</v>
      </c>
      <c r="E1632">
        <f>IFERROR(__xludf.DUMMYFUNCTION("""COMPUTED_VALUE"""),479672.0)</f>
        <v>479672</v>
      </c>
    </row>
    <row r="1633">
      <c r="A1633" t="str">
        <f t="shared" si="1"/>
        <v>blz#2032</v>
      </c>
      <c r="B1633" t="str">
        <f>IFERROR(__xludf.DUMMYFUNCTION("""COMPUTED_VALUE"""),"blz")</f>
        <v>blz</v>
      </c>
      <c r="C1633" t="str">
        <f>IFERROR(__xludf.DUMMYFUNCTION("""COMPUTED_VALUE"""),"Belize")</f>
        <v>Belize</v>
      </c>
      <c r="D1633">
        <f>IFERROR(__xludf.DUMMYFUNCTION("""COMPUTED_VALUE"""),2032.0)</f>
        <v>2032</v>
      </c>
      <c r="E1633">
        <f>IFERROR(__xludf.DUMMYFUNCTION("""COMPUTED_VALUE"""),486544.0)</f>
        <v>486544</v>
      </c>
    </row>
    <row r="1634">
      <c r="A1634" t="str">
        <f t="shared" si="1"/>
        <v>blz#2033</v>
      </c>
      <c r="B1634" t="str">
        <f>IFERROR(__xludf.DUMMYFUNCTION("""COMPUTED_VALUE"""),"blz")</f>
        <v>blz</v>
      </c>
      <c r="C1634" t="str">
        <f>IFERROR(__xludf.DUMMYFUNCTION("""COMPUTED_VALUE"""),"Belize")</f>
        <v>Belize</v>
      </c>
      <c r="D1634">
        <f>IFERROR(__xludf.DUMMYFUNCTION("""COMPUTED_VALUE"""),2033.0)</f>
        <v>2033</v>
      </c>
      <c r="E1634">
        <f>IFERROR(__xludf.DUMMYFUNCTION("""COMPUTED_VALUE"""),493312.0)</f>
        <v>493312</v>
      </c>
    </row>
    <row r="1635">
      <c r="A1635" t="str">
        <f t="shared" si="1"/>
        <v>blz#2034</v>
      </c>
      <c r="B1635" t="str">
        <f>IFERROR(__xludf.DUMMYFUNCTION("""COMPUTED_VALUE"""),"blz")</f>
        <v>blz</v>
      </c>
      <c r="C1635" t="str">
        <f>IFERROR(__xludf.DUMMYFUNCTION("""COMPUTED_VALUE"""),"Belize")</f>
        <v>Belize</v>
      </c>
      <c r="D1635">
        <f>IFERROR(__xludf.DUMMYFUNCTION("""COMPUTED_VALUE"""),2034.0)</f>
        <v>2034</v>
      </c>
      <c r="E1635">
        <f>IFERROR(__xludf.DUMMYFUNCTION("""COMPUTED_VALUE"""),499968.0)</f>
        <v>499968</v>
      </c>
    </row>
    <row r="1636">
      <c r="A1636" t="str">
        <f t="shared" si="1"/>
        <v>blz#2035</v>
      </c>
      <c r="B1636" t="str">
        <f>IFERROR(__xludf.DUMMYFUNCTION("""COMPUTED_VALUE"""),"blz")</f>
        <v>blz</v>
      </c>
      <c r="C1636" t="str">
        <f>IFERROR(__xludf.DUMMYFUNCTION("""COMPUTED_VALUE"""),"Belize")</f>
        <v>Belize</v>
      </c>
      <c r="D1636">
        <f>IFERROR(__xludf.DUMMYFUNCTION("""COMPUTED_VALUE"""),2035.0)</f>
        <v>2035</v>
      </c>
      <c r="E1636">
        <f>IFERROR(__xludf.DUMMYFUNCTION("""COMPUTED_VALUE"""),506511.0)</f>
        <v>506511</v>
      </c>
    </row>
    <row r="1637">
      <c r="A1637" t="str">
        <f t="shared" si="1"/>
        <v>blz#2036</v>
      </c>
      <c r="B1637" t="str">
        <f>IFERROR(__xludf.DUMMYFUNCTION("""COMPUTED_VALUE"""),"blz")</f>
        <v>blz</v>
      </c>
      <c r="C1637" t="str">
        <f>IFERROR(__xludf.DUMMYFUNCTION("""COMPUTED_VALUE"""),"Belize")</f>
        <v>Belize</v>
      </c>
      <c r="D1637">
        <f>IFERROR(__xludf.DUMMYFUNCTION("""COMPUTED_VALUE"""),2036.0)</f>
        <v>2036</v>
      </c>
      <c r="E1637">
        <f>IFERROR(__xludf.DUMMYFUNCTION("""COMPUTED_VALUE"""),512945.0)</f>
        <v>512945</v>
      </c>
    </row>
    <row r="1638">
      <c r="A1638" t="str">
        <f t="shared" si="1"/>
        <v>blz#2037</v>
      </c>
      <c r="B1638" t="str">
        <f>IFERROR(__xludf.DUMMYFUNCTION("""COMPUTED_VALUE"""),"blz")</f>
        <v>blz</v>
      </c>
      <c r="C1638" t="str">
        <f>IFERROR(__xludf.DUMMYFUNCTION("""COMPUTED_VALUE"""),"Belize")</f>
        <v>Belize</v>
      </c>
      <c r="D1638">
        <f>IFERROR(__xludf.DUMMYFUNCTION("""COMPUTED_VALUE"""),2037.0)</f>
        <v>2037</v>
      </c>
      <c r="E1638">
        <f>IFERROR(__xludf.DUMMYFUNCTION("""COMPUTED_VALUE"""),519274.0)</f>
        <v>519274</v>
      </c>
    </row>
    <row r="1639">
      <c r="A1639" t="str">
        <f t="shared" si="1"/>
        <v>blz#2038</v>
      </c>
      <c r="B1639" t="str">
        <f>IFERROR(__xludf.DUMMYFUNCTION("""COMPUTED_VALUE"""),"blz")</f>
        <v>blz</v>
      </c>
      <c r="C1639" t="str">
        <f>IFERROR(__xludf.DUMMYFUNCTION("""COMPUTED_VALUE"""),"Belize")</f>
        <v>Belize</v>
      </c>
      <c r="D1639">
        <f>IFERROR(__xludf.DUMMYFUNCTION("""COMPUTED_VALUE"""),2038.0)</f>
        <v>2038</v>
      </c>
      <c r="E1639">
        <f>IFERROR(__xludf.DUMMYFUNCTION("""COMPUTED_VALUE"""),525489.0)</f>
        <v>525489</v>
      </c>
    </row>
    <row r="1640">
      <c r="A1640" t="str">
        <f t="shared" si="1"/>
        <v>blz#2039</v>
      </c>
      <c r="B1640" t="str">
        <f>IFERROR(__xludf.DUMMYFUNCTION("""COMPUTED_VALUE"""),"blz")</f>
        <v>blz</v>
      </c>
      <c r="C1640" t="str">
        <f>IFERROR(__xludf.DUMMYFUNCTION("""COMPUTED_VALUE"""),"Belize")</f>
        <v>Belize</v>
      </c>
      <c r="D1640">
        <f>IFERROR(__xludf.DUMMYFUNCTION("""COMPUTED_VALUE"""),2039.0)</f>
        <v>2039</v>
      </c>
      <c r="E1640">
        <f>IFERROR(__xludf.DUMMYFUNCTION("""COMPUTED_VALUE"""),531605.0)</f>
        <v>531605</v>
      </c>
    </row>
    <row r="1641">
      <c r="A1641" t="str">
        <f t="shared" si="1"/>
        <v>blz#2040</v>
      </c>
      <c r="B1641" t="str">
        <f>IFERROR(__xludf.DUMMYFUNCTION("""COMPUTED_VALUE"""),"blz")</f>
        <v>blz</v>
      </c>
      <c r="C1641" t="str">
        <f>IFERROR(__xludf.DUMMYFUNCTION("""COMPUTED_VALUE"""),"Belize")</f>
        <v>Belize</v>
      </c>
      <c r="D1641">
        <f>IFERROR(__xludf.DUMMYFUNCTION("""COMPUTED_VALUE"""),2040.0)</f>
        <v>2040</v>
      </c>
      <c r="E1641">
        <f>IFERROR(__xludf.DUMMYFUNCTION("""COMPUTED_VALUE"""),537621.0)</f>
        <v>537621</v>
      </c>
    </row>
    <row r="1642">
      <c r="A1642" t="str">
        <f t="shared" si="1"/>
        <v>ben#1950</v>
      </c>
      <c r="B1642" t="str">
        <f>IFERROR(__xludf.DUMMYFUNCTION("""COMPUTED_VALUE"""),"ben")</f>
        <v>ben</v>
      </c>
      <c r="C1642" t="str">
        <f>IFERROR(__xludf.DUMMYFUNCTION("""COMPUTED_VALUE"""),"Benin")</f>
        <v>Benin</v>
      </c>
      <c r="D1642">
        <f>IFERROR(__xludf.DUMMYFUNCTION("""COMPUTED_VALUE"""),1950.0)</f>
        <v>1950</v>
      </c>
      <c r="E1642">
        <f>IFERROR(__xludf.DUMMYFUNCTION("""COMPUTED_VALUE"""),2255226.0)</f>
        <v>2255226</v>
      </c>
    </row>
    <row r="1643">
      <c r="A1643" t="str">
        <f t="shared" si="1"/>
        <v>ben#1951</v>
      </c>
      <c r="B1643" t="str">
        <f>IFERROR(__xludf.DUMMYFUNCTION("""COMPUTED_VALUE"""),"ben")</f>
        <v>ben</v>
      </c>
      <c r="C1643" t="str">
        <f>IFERROR(__xludf.DUMMYFUNCTION("""COMPUTED_VALUE"""),"Benin")</f>
        <v>Benin</v>
      </c>
      <c r="D1643">
        <f>IFERROR(__xludf.DUMMYFUNCTION("""COMPUTED_VALUE"""),1951.0)</f>
        <v>1951</v>
      </c>
      <c r="E1643">
        <f>IFERROR(__xludf.DUMMYFUNCTION("""COMPUTED_VALUE"""),2258476.0)</f>
        <v>2258476</v>
      </c>
    </row>
    <row r="1644">
      <c r="A1644" t="str">
        <f t="shared" si="1"/>
        <v>ben#1952</v>
      </c>
      <c r="B1644" t="str">
        <f>IFERROR(__xludf.DUMMYFUNCTION("""COMPUTED_VALUE"""),"ben")</f>
        <v>ben</v>
      </c>
      <c r="C1644" t="str">
        <f>IFERROR(__xludf.DUMMYFUNCTION("""COMPUTED_VALUE"""),"Benin")</f>
        <v>Benin</v>
      </c>
      <c r="D1644">
        <f>IFERROR(__xludf.DUMMYFUNCTION("""COMPUTED_VALUE"""),1952.0)</f>
        <v>1952</v>
      </c>
      <c r="E1644">
        <f>IFERROR(__xludf.DUMMYFUNCTION("""COMPUTED_VALUE"""),2264871.0)</f>
        <v>2264871</v>
      </c>
    </row>
    <row r="1645">
      <c r="A1645" t="str">
        <f t="shared" si="1"/>
        <v>ben#1953</v>
      </c>
      <c r="B1645" t="str">
        <f>IFERROR(__xludf.DUMMYFUNCTION("""COMPUTED_VALUE"""),"ben")</f>
        <v>ben</v>
      </c>
      <c r="C1645" t="str">
        <f>IFERROR(__xludf.DUMMYFUNCTION("""COMPUTED_VALUE"""),"Benin")</f>
        <v>Benin</v>
      </c>
      <c r="D1645">
        <f>IFERROR(__xludf.DUMMYFUNCTION("""COMPUTED_VALUE"""),1953.0)</f>
        <v>1953</v>
      </c>
      <c r="E1645">
        <f>IFERROR(__xludf.DUMMYFUNCTION("""COMPUTED_VALUE"""),2274476.0)</f>
        <v>2274476</v>
      </c>
    </row>
    <row r="1646">
      <c r="A1646" t="str">
        <f t="shared" si="1"/>
        <v>ben#1954</v>
      </c>
      <c r="B1646" t="str">
        <f>IFERROR(__xludf.DUMMYFUNCTION("""COMPUTED_VALUE"""),"ben")</f>
        <v>ben</v>
      </c>
      <c r="C1646" t="str">
        <f>IFERROR(__xludf.DUMMYFUNCTION("""COMPUTED_VALUE"""),"Benin")</f>
        <v>Benin</v>
      </c>
      <c r="D1646">
        <f>IFERROR(__xludf.DUMMYFUNCTION("""COMPUTED_VALUE"""),1954.0)</f>
        <v>1954</v>
      </c>
      <c r="E1646">
        <f>IFERROR(__xludf.DUMMYFUNCTION("""COMPUTED_VALUE"""),2287385.0)</f>
        <v>2287385</v>
      </c>
    </row>
    <row r="1647">
      <c r="A1647" t="str">
        <f t="shared" si="1"/>
        <v>ben#1955</v>
      </c>
      <c r="B1647" t="str">
        <f>IFERROR(__xludf.DUMMYFUNCTION("""COMPUTED_VALUE"""),"ben")</f>
        <v>ben</v>
      </c>
      <c r="C1647" t="str">
        <f>IFERROR(__xludf.DUMMYFUNCTION("""COMPUTED_VALUE"""),"Benin")</f>
        <v>Benin</v>
      </c>
      <c r="D1647">
        <f>IFERROR(__xludf.DUMMYFUNCTION("""COMPUTED_VALUE"""),1955.0)</f>
        <v>1955</v>
      </c>
      <c r="E1647">
        <f>IFERROR(__xludf.DUMMYFUNCTION("""COMPUTED_VALUE"""),2303587.0)</f>
        <v>2303587</v>
      </c>
    </row>
    <row r="1648">
      <c r="A1648" t="str">
        <f t="shared" si="1"/>
        <v>ben#1956</v>
      </c>
      <c r="B1648" t="str">
        <f>IFERROR(__xludf.DUMMYFUNCTION("""COMPUTED_VALUE"""),"ben")</f>
        <v>ben</v>
      </c>
      <c r="C1648" t="str">
        <f>IFERROR(__xludf.DUMMYFUNCTION("""COMPUTED_VALUE"""),"Benin")</f>
        <v>Benin</v>
      </c>
      <c r="D1648">
        <f>IFERROR(__xludf.DUMMYFUNCTION("""COMPUTED_VALUE"""),1956.0)</f>
        <v>1956</v>
      </c>
      <c r="E1648">
        <f>IFERROR(__xludf.DUMMYFUNCTION("""COMPUTED_VALUE"""),2323056.0)</f>
        <v>2323056</v>
      </c>
    </row>
    <row r="1649">
      <c r="A1649" t="str">
        <f t="shared" si="1"/>
        <v>ben#1957</v>
      </c>
      <c r="B1649" t="str">
        <f>IFERROR(__xludf.DUMMYFUNCTION("""COMPUTED_VALUE"""),"ben")</f>
        <v>ben</v>
      </c>
      <c r="C1649" t="str">
        <f>IFERROR(__xludf.DUMMYFUNCTION("""COMPUTED_VALUE"""),"Benin")</f>
        <v>Benin</v>
      </c>
      <c r="D1649">
        <f>IFERROR(__xludf.DUMMYFUNCTION("""COMPUTED_VALUE"""),1957.0)</f>
        <v>1957</v>
      </c>
      <c r="E1649">
        <f>IFERROR(__xludf.DUMMYFUNCTION("""COMPUTED_VALUE"""),2345717.0)</f>
        <v>2345717</v>
      </c>
    </row>
    <row r="1650">
      <c r="A1650" t="str">
        <f t="shared" si="1"/>
        <v>ben#1958</v>
      </c>
      <c r="B1650" t="str">
        <f>IFERROR(__xludf.DUMMYFUNCTION("""COMPUTED_VALUE"""),"ben")</f>
        <v>ben</v>
      </c>
      <c r="C1650" t="str">
        <f>IFERROR(__xludf.DUMMYFUNCTION("""COMPUTED_VALUE"""),"Benin")</f>
        <v>Benin</v>
      </c>
      <c r="D1650">
        <f>IFERROR(__xludf.DUMMYFUNCTION("""COMPUTED_VALUE"""),1958.0)</f>
        <v>1958</v>
      </c>
      <c r="E1650">
        <f>IFERROR(__xludf.DUMMYFUNCTION("""COMPUTED_VALUE"""),2371453.0)</f>
        <v>2371453</v>
      </c>
    </row>
    <row r="1651">
      <c r="A1651" t="str">
        <f t="shared" si="1"/>
        <v>ben#1959</v>
      </c>
      <c r="B1651" t="str">
        <f>IFERROR(__xludf.DUMMYFUNCTION("""COMPUTED_VALUE"""),"ben")</f>
        <v>ben</v>
      </c>
      <c r="C1651" t="str">
        <f>IFERROR(__xludf.DUMMYFUNCTION("""COMPUTED_VALUE"""),"Benin")</f>
        <v>Benin</v>
      </c>
      <c r="D1651">
        <f>IFERROR(__xludf.DUMMYFUNCTION("""COMPUTED_VALUE"""),1959.0)</f>
        <v>1959</v>
      </c>
      <c r="E1651">
        <f>IFERROR(__xludf.DUMMYFUNCTION("""COMPUTED_VALUE"""),2400127.0)</f>
        <v>2400127</v>
      </c>
    </row>
    <row r="1652">
      <c r="A1652" t="str">
        <f t="shared" si="1"/>
        <v>ben#1960</v>
      </c>
      <c r="B1652" t="str">
        <f>IFERROR(__xludf.DUMMYFUNCTION("""COMPUTED_VALUE"""),"ben")</f>
        <v>ben</v>
      </c>
      <c r="C1652" t="str">
        <f>IFERROR(__xludf.DUMMYFUNCTION("""COMPUTED_VALUE"""),"Benin")</f>
        <v>Benin</v>
      </c>
      <c r="D1652">
        <f>IFERROR(__xludf.DUMMYFUNCTION("""COMPUTED_VALUE"""),1960.0)</f>
        <v>1960</v>
      </c>
      <c r="E1652">
        <f>IFERROR(__xludf.DUMMYFUNCTION("""COMPUTED_VALUE"""),2431622.0)</f>
        <v>2431622</v>
      </c>
    </row>
    <row r="1653">
      <c r="A1653" t="str">
        <f t="shared" si="1"/>
        <v>ben#1961</v>
      </c>
      <c r="B1653" t="str">
        <f>IFERROR(__xludf.DUMMYFUNCTION("""COMPUTED_VALUE"""),"ben")</f>
        <v>ben</v>
      </c>
      <c r="C1653" t="str">
        <f>IFERROR(__xludf.DUMMYFUNCTION("""COMPUTED_VALUE"""),"Benin")</f>
        <v>Benin</v>
      </c>
      <c r="D1653">
        <f>IFERROR(__xludf.DUMMYFUNCTION("""COMPUTED_VALUE"""),1961.0)</f>
        <v>1961</v>
      </c>
      <c r="E1653">
        <f>IFERROR(__xludf.DUMMYFUNCTION("""COMPUTED_VALUE"""),2465867.0)</f>
        <v>2465867</v>
      </c>
    </row>
    <row r="1654">
      <c r="A1654" t="str">
        <f t="shared" si="1"/>
        <v>ben#1962</v>
      </c>
      <c r="B1654" t="str">
        <f>IFERROR(__xludf.DUMMYFUNCTION("""COMPUTED_VALUE"""),"ben")</f>
        <v>ben</v>
      </c>
      <c r="C1654" t="str">
        <f>IFERROR(__xludf.DUMMYFUNCTION("""COMPUTED_VALUE"""),"Benin")</f>
        <v>Benin</v>
      </c>
      <c r="D1654">
        <f>IFERROR(__xludf.DUMMYFUNCTION("""COMPUTED_VALUE"""),1962.0)</f>
        <v>1962</v>
      </c>
      <c r="E1654">
        <f>IFERROR(__xludf.DUMMYFUNCTION("""COMPUTED_VALUE"""),2502896.0)</f>
        <v>2502896</v>
      </c>
    </row>
    <row r="1655">
      <c r="A1655" t="str">
        <f t="shared" si="1"/>
        <v>ben#1963</v>
      </c>
      <c r="B1655" t="str">
        <f>IFERROR(__xludf.DUMMYFUNCTION("""COMPUTED_VALUE"""),"ben")</f>
        <v>ben</v>
      </c>
      <c r="C1655" t="str">
        <f>IFERROR(__xludf.DUMMYFUNCTION("""COMPUTED_VALUE"""),"Benin")</f>
        <v>Benin</v>
      </c>
      <c r="D1655">
        <f>IFERROR(__xludf.DUMMYFUNCTION("""COMPUTED_VALUE"""),1963.0)</f>
        <v>1963</v>
      </c>
      <c r="E1655">
        <f>IFERROR(__xludf.DUMMYFUNCTION("""COMPUTED_VALUE"""),2542859.0)</f>
        <v>2542859</v>
      </c>
    </row>
    <row r="1656">
      <c r="A1656" t="str">
        <f t="shared" si="1"/>
        <v>ben#1964</v>
      </c>
      <c r="B1656" t="str">
        <f>IFERROR(__xludf.DUMMYFUNCTION("""COMPUTED_VALUE"""),"ben")</f>
        <v>ben</v>
      </c>
      <c r="C1656" t="str">
        <f>IFERROR(__xludf.DUMMYFUNCTION("""COMPUTED_VALUE"""),"Benin")</f>
        <v>Benin</v>
      </c>
      <c r="D1656">
        <f>IFERROR(__xludf.DUMMYFUNCTION("""COMPUTED_VALUE"""),1964.0)</f>
        <v>1964</v>
      </c>
      <c r="E1656">
        <f>IFERROR(__xludf.DUMMYFUNCTION("""COMPUTED_VALUE"""),2585965.0)</f>
        <v>2585965</v>
      </c>
    </row>
    <row r="1657">
      <c r="A1657" t="str">
        <f t="shared" si="1"/>
        <v>ben#1965</v>
      </c>
      <c r="B1657" t="str">
        <f>IFERROR(__xludf.DUMMYFUNCTION("""COMPUTED_VALUE"""),"ben")</f>
        <v>ben</v>
      </c>
      <c r="C1657" t="str">
        <f>IFERROR(__xludf.DUMMYFUNCTION("""COMPUTED_VALUE"""),"Benin")</f>
        <v>Benin</v>
      </c>
      <c r="D1657">
        <f>IFERROR(__xludf.DUMMYFUNCTION("""COMPUTED_VALUE"""),1965.0)</f>
        <v>1965</v>
      </c>
      <c r="E1657">
        <f>IFERROR(__xludf.DUMMYFUNCTION("""COMPUTED_VALUE"""),2632356.0)</f>
        <v>2632356</v>
      </c>
    </row>
    <row r="1658">
      <c r="A1658" t="str">
        <f t="shared" si="1"/>
        <v>ben#1966</v>
      </c>
      <c r="B1658" t="str">
        <f>IFERROR(__xludf.DUMMYFUNCTION("""COMPUTED_VALUE"""),"ben")</f>
        <v>ben</v>
      </c>
      <c r="C1658" t="str">
        <f>IFERROR(__xludf.DUMMYFUNCTION("""COMPUTED_VALUE"""),"Benin")</f>
        <v>Benin</v>
      </c>
      <c r="D1658">
        <f>IFERROR(__xludf.DUMMYFUNCTION("""COMPUTED_VALUE"""),1966.0)</f>
        <v>1966</v>
      </c>
      <c r="E1658">
        <f>IFERROR(__xludf.DUMMYFUNCTION("""COMPUTED_VALUE"""),2682159.0)</f>
        <v>2682159</v>
      </c>
    </row>
    <row r="1659">
      <c r="A1659" t="str">
        <f t="shared" si="1"/>
        <v>ben#1967</v>
      </c>
      <c r="B1659" t="str">
        <f>IFERROR(__xludf.DUMMYFUNCTION("""COMPUTED_VALUE"""),"ben")</f>
        <v>ben</v>
      </c>
      <c r="C1659" t="str">
        <f>IFERROR(__xludf.DUMMYFUNCTION("""COMPUTED_VALUE"""),"Benin")</f>
        <v>Benin</v>
      </c>
      <c r="D1659">
        <f>IFERROR(__xludf.DUMMYFUNCTION("""COMPUTED_VALUE"""),1967.0)</f>
        <v>1967</v>
      </c>
      <c r="E1659">
        <f>IFERROR(__xludf.DUMMYFUNCTION("""COMPUTED_VALUE"""),2735307.0)</f>
        <v>2735307</v>
      </c>
    </row>
    <row r="1660">
      <c r="A1660" t="str">
        <f t="shared" si="1"/>
        <v>ben#1968</v>
      </c>
      <c r="B1660" t="str">
        <f>IFERROR(__xludf.DUMMYFUNCTION("""COMPUTED_VALUE"""),"ben")</f>
        <v>ben</v>
      </c>
      <c r="C1660" t="str">
        <f>IFERROR(__xludf.DUMMYFUNCTION("""COMPUTED_VALUE"""),"Benin")</f>
        <v>Benin</v>
      </c>
      <c r="D1660">
        <f>IFERROR(__xludf.DUMMYFUNCTION("""COMPUTED_VALUE"""),1968.0)</f>
        <v>1968</v>
      </c>
      <c r="E1660">
        <f>IFERROR(__xludf.DUMMYFUNCTION("""COMPUTED_VALUE"""),2791590.0)</f>
        <v>2791590</v>
      </c>
    </row>
    <row r="1661">
      <c r="A1661" t="str">
        <f t="shared" si="1"/>
        <v>ben#1969</v>
      </c>
      <c r="B1661" t="str">
        <f>IFERROR(__xludf.DUMMYFUNCTION("""COMPUTED_VALUE"""),"ben")</f>
        <v>ben</v>
      </c>
      <c r="C1661" t="str">
        <f>IFERROR(__xludf.DUMMYFUNCTION("""COMPUTED_VALUE"""),"Benin")</f>
        <v>Benin</v>
      </c>
      <c r="D1661">
        <f>IFERROR(__xludf.DUMMYFUNCTION("""COMPUTED_VALUE"""),1969.0)</f>
        <v>1969</v>
      </c>
      <c r="E1661">
        <f>IFERROR(__xludf.DUMMYFUNCTION("""COMPUTED_VALUE"""),2850661.0)</f>
        <v>2850661</v>
      </c>
    </row>
    <row r="1662">
      <c r="A1662" t="str">
        <f t="shared" si="1"/>
        <v>ben#1970</v>
      </c>
      <c r="B1662" t="str">
        <f>IFERROR(__xludf.DUMMYFUNCTION("""COMPUTED_VALUE"""),"ben")</f>
        <v>ben</v>
      </c>
      <c r="C1662" t="str">
        <f>IFERROR(__xludf.DUMMYFUNCTION("""COMPUTED_VALUE"""),"Benin")</f>
        <v>Benin</v>
      </c>
      <c r="D1662">
        <f>IFERROR(__xludf.DUMMYFUNCTION("""COMPUTED_VALUE"""),1970.0)</f>
        <v>1970</v>
      </c>
      <c r="E1662">
        <f>IFERROR(__xludf.DUMMYFUNCTION("""COMPUTED_VALUE"""),2912340.0)</f>
        <v>2912340</v>
      </c>
    </row>
    <row r="1663">
      <c r="A1663" t="str">
        <f t="shared" si="1"/>
        <v>ben#1971</v>
      </c>
      <c r="B1663" t="str">
        <f>IFERROR(__xludf.DUMMYFUNCTION("""COMPUTED_VALUE"""),"ben")</f>
        <v>ben</v>
      </c>
      <c r="C1663" t="str">
        <f>IFERROR(__xludf.DUMMYFUNCTION("""COMPUTED_VALUE"""),"Benin")</f>
        <v>Benin</v>
      </c>
      <c r="D1663">
        <f>IFERROR(__xludf.DUMMYFUNCTION("""COMPUTED_VALUE"""),1971.0)</f>
        <v>1971</v>
      </c>
      <c r="E1663">
        <f>IFERROR(__xludf.DUMMYFUNCTION("""COMPUTED_VALUE"""),2976572.0)</f>
        <v>2976572</v>
      </c>
    </row>
    <row r="1664">
      <c r="A1664" t="str">
        <f t="shared" si="1"/>
        <v>ben#1972</v>
      </c>
      <c r="B1664" t="str">
        <f>IFERROR(__xludf.DUMMYFUNCTION("""COMPUTED_VALUE"""),"ben")</f>
        <v>ben</v>
      </c>
      <c r="C1664" t="str">
        <f>IFERROR(__xludf.DUMMYFUNCTION("""COMPUTED_VALUE"""),"Benin")</f>
        <v>Benin</v>
      </c>
      <c r="D1664">
        <f>IFERROR(__xludf.DUMMYFUNCTION("""COMPUTED_VALUE"""),1972.0)</f>
        <v>1972</v>
      </c>
      <c r="E1664">
        <f>IFERROR(__xludf.DUMMYFUNCTION("""COMPUTED_VALUE"""),3043567.0)</f>
        <v>3043567</v>
      </c>
    </row>
    <row r="1665">
      <c r="A1665" t="str">
        <f t="shared" si="1"/>
        <v>ben#1973</v>
      </c>
      <c r="B1665" t="str">
        <f>IFERROR(__xludf.DUMMYFUNCTION("""COMPUTED_VALUE"""),"ben")</f>
        <v>ben</v>
      </c>
      <c r="C1665" t="str">
        <f>IFERROR(__xludf.DUMMYFUNCTION("""COMPUTED_VALUE"""),"Benin")</f>
        <v>Benin</v>
      </c>
      <c r="D1665">
        <f>IFERROR(__xludf.DUMMYFUNCTION("""COMPUTED_VALUE"""),1973.0)</f>
        <v>1973</v>
      </c>
      <c r="E1665">
        <f>IFERROR(__xludf.DUMMYFUNCTION("""COMPUTED_VALUE"""),3113675.0)</f>
        <v>3113675</v>
      </c>
    </row>
    <row r="1666">
      <c r="A1666" t="str">
        <f t="shared" si="1"/>
        <v>ben#1974</v>
      </c>
      <c r="B1666" t="str">
        <f>IFERROR(__xludf.DUMMYFUNCTION("""COMPUTED_VALUE"""),"ben")</f>
        <v>ben</v>
      </c>
      <c r="C1666" t="str">
        <f>IFERROR(__xludf.DUMMYFUNCTION("""COMPUTED_VALUE"""),"Benin")</f>
        <v>Benin</v>
      </c>
      <c r="D1666">
        <f>IFERROR(__xludf.DUMMYFUNCTION("""COMPUTED_VALUE"""),1974.0)</f>
        <v>1974</v>
      </c>
      <c r="E1666">
        <f>IFERROR(__xludf.DUMMYFUNCTION("""COMPUTED_VALUE"""),3187412.0)</f>
        <v>3187412</v>
      </c>
    </row>
    <row r="1667">
      <c r="A1667" t="str">
        <f t="shared" si="1"/>
        <v>ben#1975</v>
      </c>
      <c r="B1667" t="str">
        <f>IFERROR(__xludf.DUMMYFUNCTION("""COMPUTED_VALUE"""),"ben")</f>
        <v>ben</v>
      </c>
      <c r="C1667" t="str">
        <f>IFERROR(__xludf.DUMMYFUNCTION("""COMPUTED_VALUE"""),"Benin")</f>
        <v>Benin</v>
      </c>
      <c r="D1667">
        <f>IFERROR(__xludf.DUMMYFUNCTION("""COMPUTED_VALUE"""),1975.0)</f>
        <v>1975</v>
      </c>
      <c r="E1667">
        <f>IFERROR(__xludf.DUMMYFUNCTION("""COMPUTED_VALUE"""),3265165.0)</f>
        <v>3265165</v>
      </c>
    </row>
    <row r="1668">
      <c r="A1668" t="str">
        <f t="shared" si="1"/>
        <v>ben#1976</v>
      </c>
      <c r="B1668" t="str">
        <f>IFERROR(__xludf.DUMMYFUNCTION("""COMPUTED_VALUE"""),"ben")</f>
        <v>ben</v>
      </c>
      <c r="C1668" t="str">
        <f>IFERROR(__xludf.DUMMYFUNCTION("""COMPUTED_VALUE"""),"Benin")</f>
        <v>Benin</v>
      </c>
      <c r="D1668">
        <f>IFERROR(__xludf.DUMMYFUNCTION("""COMPUTED_VALUE"""),1976.0)</f>
        <v>1976</v>
      </c>
      <c r="E1668">
        <f>IFERROR(__xludf.DUMMYFUNCTION("""COMPUTED_VALUE"""),3347173.0)</f>
        <v>3347173</v>
      </c>
    </row>
    <row r="1669">
      <c r="A1669" t="str">
        <f t="shared" si="1"/>
        <v>ben#1977</v>
      </c>
      <c r="B1669" t="str">
        <f>IFERROR(__xludf.DUMMYFUNCTION("""COMPUTED_VALUE"""),"ben")</f>
        <v>ben</v>
      </c>
      <c r="C1669" t="str">
        <f>IFERROR(__xludf.DUMMYFUNCTION("""COMPUTED_VALUE"""),"Benin")</f>
        <v>Benin</v>
      </c>
      <c r="D1669">
        <f>IFERROR(__xludf.DUMMYFUNCTION("""COMPUTED_VALUE"""),1977.0)</f>
        <v>1977</v>
      </c>
      <c r="E1669">
        <f>IFERROR(__xludf.DUMMYFUNCTION("""COMPUTED_VALUE"""),3433439.0)</f>
        <v>3433439</v>
      </c>
    </row>
    <row r="1670">
      <c r="A1670" t="str">
        <f t="shared" si="1"/>
        <v>ben#1978</v>
      </c>
      <c r="B1670" t="str">
        <f>IFERROR(__xludf.DUMMYFUNCTION("""COMPUTED_VALUE"""),"ben")</f>
        <v>ben</v>
      </c>
      <c r="C1670" t="str">
        <f>IFERROR(__xludf.DUMMYFUNCTION("""COMPUTED_VALUE"""),"Benin")</f>
        <v>Benin</v>
      </c>
      <c r="D1670">
        <f>IFERROR(__xludf.DUMMYFUNCTION("""COMPUTED_VALUE"""),1978.0)</f>
        <v>1978</v>
      </c>
      <c r="E1670">
        <f>IFERROR(__xludf.DUMMYFUNCTION("""COMPUTED_VALUE"""),3523938.0)</f>
        <v>3523938</v>
      </c>
    </row>
    <row r="1671">
      <c r="A1671" t="str">
        <f t="shared" si="1"/>
        <v>ben#1979</v>
      </c>
      <c r="B1671" t="str">
        <f>IFERROR(__xludf.DUMMYFUNCTION("""COMPUTED_VALUE"""),"ben")</f>
        <v>ben</v>
      </c>
      <c r="C1671" t="str">
        <f>IFERROR(__xludf.DUMMYFUNCTION("""COMPUTED_VALUE"""),"Benin")</f>
        <v>Benin</v>
      </c>
      <c r="D1671">
        <f>IFERROR(__xludf.DUMMYFUNCTION("""COMPUTED_VALUE"""),1979.0)</f>
        <v>1979</v>
      </c>
      <c r="E1671">
        <f>IFERROR(__xludf.DUMMYFUNCTION("""COMPUTED_VALUE"""),3618526.0)</f>
        <v>3618526</v>
      </c>
    </row>
    <row r="1672">
      <c r="A1672" t="str">
        <f t="shared" si="1"/>
        <v>ben#1980</v>
      </c>
      <c r="B1672" t="str">
        <f>IFERROR(__xludf.DUMMYFUNCTION("""COMPUTED_VALUE"""),"ben")</f>
        <v>ben</v>
      </c>
      <c r="C1672" t="str">
        <f>IFERROR(__xludf.DUMMYFUNCTION("""COMPUTED_VALUE"""),"Benin")</f>
        <v>Benin</v>
      </c>
      <c r="D1672">
        <f>IFERROR(__xludf.DUMMYFUNCTION("""COMPUTED_VALUE"""),1980.0)</f>
        <v>1980</v>
      </c>
      <c r="E1672">
        <f>IFERROR(__xludf.DUMMYFUNCTION("""COMPUTED_VALUE"""),3717165.0)</f>
        <v>3717165</v>
      </c>
    </row>
    <row r="1673">
      <c r="A1673" t="str">
        <f t="shared" si="1"/>
        <v>ben#1981</v>
      </c>
      <c r="B1673" t="str">
        <f>IFERROR(__xludf.DUMMYFUNCTION("""COMPUTED_VALUE"""),"ben")</f>
        <v>ben</v>
      </c>
      <c r="C1673" t="str">
        <f>IFERROR(__xludf.DUMMYFUNCTION("""COMPUTED_VALUE"""),"Benin")</f>
        <v>Benin</v>
      </c>
      <c r="D1673">
        <f>IFERROR(__xludf.DUMMYFUNCTION("""COMPUTED_VALUE"""),1981.0)</f>
        <v>1981</v>
      </c>
      <c r="E1673">
        <f>IFERROR(__xludf.DUMMYFUNCTION("""COMPUTED_VALUE"""),3820128.0)</f>
        <v>3820128</v>
      </c>
    </row>
    <row r="1674">
      <c r="A1674" t="str">
        <f t="shared" si="1"/>
        <v>ben#1982</v>
      </c>
      <c r="B1674" t="str">
        <f>IFERROR(__xludf.DUMMYFUNCTION("""COMPUTED_VALUE"""),"ben")</f>
        <v>ben</v>
      </c>
      <c r="C1674" t="str">
        <f>IFERROR(__xludf.DUMMYFUNCTION("""COMPUTED_VALUE"""),"Benin")</f>
        <v>Benin</v>
      </c>
      <c r="D1674">
        <f>IFERROR(__xludf.DUMMYFUNCTION("""COMPUTED_VALUE"""),1982.0)</f>
        <v>1982</v>
      </c>
      <c r="E1674">
        <f>IFERROR(__xludf.DUMMYFUNCTION("""COMPUTED_VALUE"""),3927714.0)</f>
        <v>3927714</v>
      </c>
    </row>
    <row r="1675">
      <c r="A1675" t="str">
        <f t="shared" si="1"/>
        <v>ben#1983</v>
      </c>
      <c r="B1675" t="str">
        <f>IFERROR(__xludf.DUMMYFUNCTION("""COMPUTED_VALUE"""),"ben")</f>
        <v>ben</v>
      </c>
      <c r="C1675" t="str">
        <f>IFERROR(__xludf.DUMMYFUNCTION("""COMPUTED_VALUE"""),"Benin")</f>
        <v>Benin</v>
      </c>
      <c r="D1675">
        <f>IFERROR(__xludf.DUMMYFUNCTION("""COMPUTED_VALUE"""),1983.0)</f>
        <v>1983</v>
      </c>
      <c r="E1675">
        <f>IFERROR(__xludf.DUMMYFUNCTION("""COMPUTED_VALUE"""),4039949.0)</f>
        <v>4039949</v>
      </c>
    </row>
    <row r="1676">
      <c r="A1676" t="str">
        <f t="shared" si="1"/>
        <v>ben#1984</v>
      </c>
      <c r="B1676" t="str">
        <f>IFERROR(__xludf.DUMMYFUNCTION("""COMPUTED_VALUE"""),"ben")</f>
        <v>ben</v>
      </c>
      <c r="C1676" t="str">
        <f>IFERROR(__xludf.DUMMYFUNCTION("""COMPUTED_VALUE"""),"Benin")</f>
        <v>Benin</v>
      </c>
      <c r="D1676">
        <f>IFERROR(__xludf.DUMMYFUNCTION("""COMPUTED_VALUE"""),1984.0)</f>
        <v>1984</v>
      </c>
      <c r="E1676">
        <f>IFERROR(__xludf.DUMMYFUNCTION("""COMPUTED_VALUE"""),4156819.0)</f>
        <v>4156819</v>
      </c>
    </row>
    <row r="1677">
      <c r="A1677" t="str">
        <f t="shared" si="1"/>
        <v>ben#1985</v>
      </c>
      <c r="B1677" t="str">
        <f>IFERROR(__xludf.DUMMYFUNCTION("""COMPUTED_VALUE"""),"ben")</f>
        <v>ben</v>
      </c>
      <c r="C1677" t="str">
        <f>IFERROR(__xludf.DUMMYFUNCTION("""COMPUTED_VALUE"""),"Benin")</f>
        <v>Benin</v>
      </c>
      <c r="D1677">
        <f>IFERROR(__xludf.DUMMYFUNCTION("""COMPUTED_VALUE"""),1985.0)</f>
        <v>1985</v>
      </c>
      <c r="E1677">
        <f>IFERROR(__xludf.DUMMYFUNCTION("""COMPUTED_VALUE"""),4278501.0)</f>
        <v>4278501</v>
      </c>
    </row>
    <row r="1678">
      <c r="A1678" t="str">
        <f t="shared" si="1"/>
        <v>ben#1986</v>
      </c>
      <c r="B1678" t="str">
        <f>IFERROR(__xludf.DUMMYFUNCTION("""COMPUTED_VALUE"""),"ben")</f>
        <v>ben</v>
      </c>
      <c r="C1678" t="str">
        <f>IFERROR(__xludf.DUMMYFUNCTION("""COMPUTED_VALUE"""),"Benin")</f>
        <v>Benin</v>
      </c>
      <c r="D1678">
        <f>IFERROR(__xludf.DUMMYFUNCTION("""COMPUTED_VALUE"""),1986.0)</f>
        <v>1986</v>
      </c>
      <c r="E1678">
        <f>IFERROR(__xludf.DUMMYFUNCTION("""COMPUTED_VALUE"""),4404506.0)</f>
        <v>4404506</v>
      </c>
    </row>
    <row r="1679">
      <c r="A1679" t="str">
        <f t="shared" si="1"/>
        <v>ben#1987</v>
      </c>
      <c r="B1679" t="str">
        <f>IFERROR(__xludf.DUMMYFUNCTION("""COMPUTED_VALUE"""),"ben")</f>
        <v>ben</v>
      </c>
      <c r="C1679" t="str">
        <f>IFERROR(__xludf.DUMMYFUNCTION("""COMPUTED_VALUE"""),"Benin")</f>
        <v>Benin</v>
      </c>
      <c r="D1679">
        <f>IFERROR(__xludf.DUMMYFUNCTION("""COMPUTED_VALUE"""),1987.0)</f>
        <v>1987</v>
      </c>
      <c r="E1679">
        <f>IFERROR(__xludf.DUMMYFUNCTION("""COMPUTED_VALUE"""),4535263.0)</f>
        <v>4535263</v>
      </c>
    </row>
    <row r="1680">
      <c r="A1680" t="str">
        <f t="shared" si="1"/>
        <v>ben#1988</v>
      </c>
      <c r="B1680" t="str">
        <f>IFERROR(__xludf.DUMMYFUNCTION("""COMPUTED_VALUE"""),"ben")</f>
        <v>ben</v>
      </c>
      <c r="C1680" t="str">
        <f>IFERROR(__xludf.DUMMYFUNCTION("""COMPUTED_VALUE"""),"Benin")</f>
        <v>Benin</v>
      </c>
      <c r="D1680">
        <f>IFERROR(__xludf.DUMMYFUNCTION("""COMPUTED_VALUE"""),1988.0)</f>
        <v>1988</v>
      </c>
      <c r="E1680">
        <f>IFERROR(__xludf.DUMMYFUNCTION("""COMPUTED_VALUE"""),4672852.0)</f>
        <v>4672852</v>
      </c>
    </row>
    <row r="1681">
      <c r="A1681" t="str">
        <f t="shared" si="1"/>
        <v>ben#1989</v>
      </c>
      <c r="B1681" t="str">
        <f>IFERROR(__xludf.DUMMYFUNCTION("""COMPUTED_VALUE"""),"ben")</f>
        <v>ben</v>
      </c>
      <c r="C1681" t="str">
        <f>IFERROR(__xludf.DUMMYFUNCTION("""COMPUTED_VALUE"""),"Benin")</f>
        <v>Benin</v>
      </c>
      <c r="D1681">
        <f>IFERROR(__xludf.DUMMYFUNCTION("""COMPUTED_VALUE"""),1989.0)</f>
        <v>1989</v>
      </c>
      <c r="E1681">
        <f>IFERROR(__xludf.DUMMYFUNCTION("""COMPUTED_VALUE"""),4820016.0)</f>
        <v>4820016</v>
      </c>
    </row>
    <row r="1682">
      <c r="A1682" t="str">
        <f t="shared" si="1"/>
        <v>ben#1990</v>
      </c>
      <c r="B1682" t="str">
        <f>IFERROR(__xludf.DUMMYFUNCTION("""COMPUTED_VALUE"""),"ben")</f>
        <v>ben</v>
      </c>
      <c r="C1682" t="str">
        <f>IFERROR(__xludf.DUMMYFUNCTION("""COMPUTED_VALUE"""),"Benin")</f>
        <v>Benin</v>
      </c>
      <c r="D1682">
        <f>IFERROR(__xludf.DUMMYFUNCTION("""COMPUTED_VALUE"""),1990.0)</f>
        <v>1990</v>
      </c>
      <c r="E1682">
        <f>IFERROR(__xludf.DUMMYFUNCTION("""COMPUTED_VALUE"""),4978496.0)</f>
        <v>4978496</v>
      </c>
    </row>
    <row r="1683">
      <c r="A1683" t="str">
        <f t="shared" si="1"/>
        <v>ben#1991</v>
      </c>
      <c r="B1683" t="str">
        <f>IFERROR(__xludf.DUMMYFUNCTION("""COMPUTED_VALUE"""),"ben")</f>
        <v>ben</v>
      </c>
      <c r="C1683" t="str">
        <f>IFERROR(__xludf.DUMMYFUNCTION("""COMPUTED_VALUE"""),"Benin")</f>
        <v>Benin</v>
      </c>
      <c r="D1683">
        <f>IFERROR(__xludf.DUMMYFUNCTION("""COMPUTED_VALUE"""),1991.0)</f>
        <v>1991</v>
      </c>
      <c r="E1683">
        <f>IFERROR(__xludf.DUMMYFUNCTION("""COMPUTED_VALUE"""),5149499.0)</f>
        <v>5149499</v>
      </c>
    </row>
    <row r="1684">
      <c r="A1684" t="str">
        <f t="shared" si="1"/>
        <v>ben#1992</v>
      </c>
      <c r="B1684" t="str">
        <f>IFERROR(__xludf.DUMMYFUNCTION("""COMPUTED_VALUE"""),"ben")</f>
        <v>ben</v>
      </c>
      <c r="C1684" t="str">
        <f>IFERROR(__xludf.DUMMYFUNCTION("""COMPUTED_VALUE"""),"Benin")</f>
        <v>Benin</v>
      </c>
      <c r="D1684">
        <f>IFERROR(__xludf.DUMMYFUNCTION("""COMPUTED_VALUE"""),1992.0)</f>
        <v>1992</v>
      </c>
      <c r="E1684">
        <f>IFERROR(__xludf.DUMMYFUNCTION("""COMPUTED_VALUE"""),5331803.0)</f>
        <v>5331803</v>
      </c>
    </row>
    <row r="1685">
      <c r="A1685" t="str">
        <f t="shared" si="1"/>
        <v>ben#1993</v>
      </c>
      <c r="B1685" t="str">
        <f>IFERROR(__xludf.DUMMYFUNCTION("""COMPUTED_VALUE"""),"ben")</f>
        <v>ben</v>
      </c>
      <c r="C1685" t="str">
        <f>IFERROR(__xludf.DUMMYFUNCTION("""COMPUTED_VALUE"""),"Benin")</f>
        <v>Benin</v>
      </c>
      <c r="D1685">
        <f>IFERROR(__xludf.DUMMYFUNCTION("""COMPUTED_VALUE"""),1993.0)</f>
        <v>1993</v>
      </c>
      <c r="E1685">
        <f>IFERROR(__xludf.DUMMYFUNCTION("""COMPUTED_VALUE"""),5521763.0)</f>
        <v>5521763</v>
      </c>
    </row>
    <row r="1686">
      <c r="A1686" t="str">
        <f t="shared" si="1"/>
        <v>ben#1994</v>
      </c>
      <c r="B1686" t="str">
        <f>IFERROR(__xludf.DUMMYFUNCTION("""COMPUTED_VALUE"""),"ben")</f>
        <v>ben</v>
      </c>
      <c r="C1686" t="str">
        <f>IFERROR(__xludf.DUMMYFUNCTION("""COMPUTED_VALUE"""),"Benin")</f>
        <v>Benin</v>
      </c>
      <c r="D1686">
        <f>IFERROR(__xludf.DUMMYFUNCTION("""COMPUTED_VALUE"""),1994.0)</f>
        <v>1994</v>
      </c>
      <c r="E1686">
        <f>IFERROR(__xludf.DUMMYFUNCTION("""COMPUTED_VALUE"""),5714220.0)</f>
        <v>5714220</v>
      </c>
    </row>
    <row r="1687">
      <c r="A1687" t="str">
        <f t="shared" si="1"/>
        <v>ben#1995</v>
      </c>
      <c r="B1687" t="str">
        <f>IFERROR(__xludf.DUMMYFUNCTION("""COMPUTED_VALUE"""),"ben")</f>
        <v>ben</v>
      </c>
      <c r="C1687" t="str">
        <f>IFERROR(__xludf.DUMMYFUNCTION("""COMPUTED_VALUE"""),"Benin")</f>
        <v>Benin</v>
      </c>
      <c r="D1687">
        <f>IFERROR(__xludf.DUMMYFUNCTION("""COMPUTED_VALUE"""),1995.0)</f>
        <v>1995</v>
      </c>
      <c r="E1687">
        <f>IFERROR(__xludf.DUMMYFUNCTION("""COMPUTED_VALUE"""),5905558.0)</f>
        <v>5905558</v>
      </c>
    </row>
    <row r="1688">
      <c r="A1688" t="str">
        <f t="shared" si="1"/>
        <v>ben#1996</v>
      </c>
      <c r="B1688" t="str">
        <f>IFERROR(__xludf.DUMMYFUNCTION("""COMPUTED_VALUE"""),"ben")</f>
        <v>ben</v>
      </c>
      <c r="C1688" t="str">
        <f>IFERROR(__xludf.DUMMYFUNCTION("""COMPUTED_VALUE"""),"Benin")</f>
        <v>Benin</v>
      </c>
      <c r="D1688">
        <f>IFERROR(__xludf.DUMMYFUNCTION("""COMPUTED_VALUE"""),1996.0)</f>
        <v>1996</v>
      </c>
      <c r="E1688">
        <f>IFERROR(__xludf.DUMMYFUNCTION("""COMPUTED_VALUE"""),6094259.0)</f>
        <v>6094259</v>
      </c>
    </row>
    <row r="1689">
      <c r="A1689" t="str">
        <f t="shared" si="1"/>
        <v>ben#1997</v>
      </c>
      <c r="B1689" t="str">
        <f>IFERROR(__xludf.DUMMYFUNCTION("""COMPUTED_VALUE"""),"ben")</f>
        <v>ben</v>
      </c>
      <c r="C1689" t="str">
        <f>IFERROR(__xludf.DUMMYFUNCTION("""COMPUTED_VALUE"""),"Benin")</f>
        <v>Benin</v>
      </c>
      <c r="D1689">
        <f>IFERROR(__xludf.DUMMYFUNCTION("""COMPUTED_VALUE"""),1997.0)</f>
        <v>1997</v>
      </c>
      <c r="E1689">
        <f>IFERROR(__xludf.DUMMYFUNCTION("""COMPUTED_VALUE"""),6281639.0)</f>
        <v>6281639</v>
      </c>
    </row>
    <row r="1690">
      <c r="A1690" t="str">
        <f t="shared" si="1"/>
        <v>ben#1998</v>
      </c>
      <c r="B1690" t="str">
        <f>IFERROR(__xludf.DUMMYFUNCTION("""COMPUTED_VALUE"""),"ben")</f>
        <v>ben</v>
      </c>
      <c r="C1690" t="str">
        <f>IFERROR(__xludf.DUMMYFUNCTION("""COMPUTED_VALUE"""),"Benin")</f>
        <v>Benin</v>
      </c>
      <c r="D1690">
        <f>IFERROR(__xludf.DUMMYFUNCTION("""COMPUTED_VALUE"""),1998.0)</f>
        <v>1998</v>
      </c>
      <c r="E1690">
        <f>IFERROR(__xludf.DUMMYFUNCTION("""COMPUTED_VALUE"""),6470265.0)</f>
        <v>6470265</v>
      </c>
    </row>
    <row r="1691">
      <c r="A1691" t="str">
        <f t="shared" si="1"/>
        <v>ben#1999</v>
      </c>
      <c r="B1691" t="str">
        <f>IFERROR(__xludf.DUMMYFUNCTION("""COMPUTED_VALUE"""),"ben")</f>
        <v>ben</v>
      </c>
      <c r="C1691" t="str">
        <f>IFERROR(__xludf.DUMMYFUNCTION("""COMPUTED_VALUE"""),"Benin")</f>
        <v>Benin</v>
      </c>
      <c r="D1691">
        <f>IFERROR(__xludf.DUMMYFUNCTION("""COMPUTED_VALUE"""),1999.0)</f>
        <v>1999</v>
      </c>
      <c r="E1691">
        <f>IFERROR(__xludf.DUMMYFUNCTION("""COMPUTED_VALUE"""),6664098.0)</f>
        <v>6664098</v>
      </c>
    </row>
    <row r="1692">
      <c r="A1692" t="str">
        <f t="shared" si="1"/>
        <v>ben#2000</v>
      </c>
      <c r="B1692" t="str">
        <f>IFERROR(__xludf.DUMMYFUNCTION("""COMPUTED_VALUE"""),"ben")</f>
        <v>ben</v>
      </c>
      <c r="C1692" t="str">
        <f>IFERROR(__xludf.DUMMYFUNCTION("""COMPUTED_VALUE"""),"Benin")</f>
        <v>Benin</v>
      </c>
      <c r="D1692">
        <f>IFERROR(__xludf.DUMMYFUNCTION("""COMPUTED_VALUE"""),2000.0)</f>
        <v>2000</v>
      </c>
      <c r="E1692">
        <f>IFERROR(__xludf.DUMMYFUNCTION("""COMPUTED_VALUE"""),6865951.0)</f>
        <v>6865951</v>
      </c>
    </row>
    <row r="1693">
      <c r="A1693" t="str">
        <f t="shared" si="1"/>
        <v>ben#2001</v>
      </c>
      <c r="B1693" t="str">
        <f>IFERROR(__xludf.DUMMYFUNCTION("""COMPUTED_VALUE"""),"ben")</f>
        <v>ben</v>
      </c>
      <c r="C1693" t="str">
        <f>IFERROR(__xludf.DUMMYFUNCTION("""COMPUTED_VALUE"""),"Benin")</f>
        <v>Benin</v>
      </c>
      <c r="D1693">
        <f>IFERROR(__xludf.DUMMYFUNCTION("""COMPUTED_VALUE"""),2001.0)</f>
        <v>2001</v>
      </c>
      <c r="E1693">
        <f>IFERROR(__xludf.DUMMYFUNCTION("""COMPUTED_VALUE"""),7076733.0)</f>
        <v>7076733</v>
      </c>
    </row>
    <row r="1694">
      <c r="A1694" t="str">
        <f t="shared" si="1"/>
        <v>ben#2002</v>
      </c>
      <c r="B1694" t="str">
        <f>IFERROR(__xludf.DUMMYFUNCTION("""COMPUTED_VALUE"""),"ben")</f>
        <v>ben</v>
      </c>
      <c r="C1694" t="str">
        <f>IFERROR(__xludf.DUMMYFUNCTION("""COMPUTED_VALUE"""),"Benin")</f>
        <v>Benin</v>
      </c>
      <c r="D1694">
        <f>IFERROR(__xludf.DUMMYFUNCTION("""COMPUTED_VALUE"""),2002.0)</f>
        <v>2002</v>
      </c>
      <c r="E1694">
        <f>IFERROR(__xludf.DUMMYFUNCTION("""COMPUTED_VALUE"""),7295394.0)</f>
        <v>7295394</v>
      </c>
    </row>
    <row r="1695">
      <c r="A1695" t="str">
        <f t="shared" si="1"/>
        <v>ben#2003</v>
      </c>
      <c r="B1695" t="str">
        <f>IFERROR(__xludf.DUMMYFUNCTION("""COMPUTED_VALUE"""),"ben")</f>
        <v>ben</v>
      </c>
      <c r="C1695" t="str">
        <f>IFERROR(__xludf.DUMMYFUNCTION("""COMPUTED_VALUE"""),"Benin")</f>
        <v>Benin</v>
      </c>
      <c r="D1695">
        <f>IFERROR(__xludf.DUMMYFUNCTION("""COMPUTED_VALUE"""),2003.0)</f>
        <v>2003</v>
      </c>
      <c r="E1695">
        <f>IFERROR(__xludf.DUMMYFUNCTION("""COMPUTED_VALUE"""),7520555.0)</f>
        <v>7520555</v>
      </c>
    </row>
    <row r="1696">
      <c r="A1696" t="str">
        <f t="shared" si="1"/>
        <v>ben#2004</v>
      </c>
      <c r="B1696" t="str">
        <f>IFERROR(__xludf.DUMMYFUNCTION("""COMPUTED_VALUE"""),"ben")</f>
        <v>ben</v>
      </c>
      <c r="C1696" t="str">
        <f>IFERROR(__xludf.DUMMYFUNCTION("""COMPUTED_VALUE"""),"Benin")</f>
        <v>Benin</v>
      </c>
      <c r="D1696">
        <f>IFERROR(__xludf.DUMMYFUNCTION("""COMPUTED_VALUE"""),2004.0)</f>
        <v>2004</v>
      </c>
      <c r="E1696">
        <f>IFERROR(__xludf.DUMMYFUNCTION("""COMPUTED_VALUE"""),7750004.0)</f>
        <v>7750004</v>
      </c>
    </row>
    <row r="1697">
      <c r="A1697" t="str">
        <f t="shared" si="1"/>
        <v>ben#2005</v>
      </c>
      <c r="B1697" t="str">
        <f>IFERROR(__xludf.DUMMYFUNCTION("""COMPUTED_VALUE"""),"ben")</f>
        <v>ben</v>
      </c>
      <c r="C1697" t="str">
        <f>IFERROR(__xludf.DUMMYFUNCTION("""COMPUTED_VALUE"""),"Benin")</f>
        <v>Benin</v>
      </c>
      <c r="D1697">
        <f>IFERROR(__xludf.DUMMYFUNCTION("""COMPUTED_VALUE"""),2005.0)</f>
        <v>2005</v>
      </c>
      <c r="E1697">
        <f>IFERROR(__xludf.DUMMYFUNCTION("""COMPUTED_VALUE"""),7982225.0)</f>
        <v>7982225</v>
      </c>
    </row>
    <row r="1698">
      <c r="A1698" t="str">
        <f t="shared" si="1"/>
        <v>ben#2006</v>
      </c>
      <c r="B1698" t="str">
        <f>IFERROR(__xludf.DUMMYFUNCTION("""COMPUTED_VALUE"""),"ben")</f>
        <v>ben</v>
      </c>
      <c r="C1698" t="str">
        <f>IFERROR(__xludf.DUMMYFUNCTION("""COMPUTED_VALUE"""),"Benin")</f>
        <v>Benin</v>
      </c>
      <c r="D1698">
        <f>IFERROR(__xludf.DUMMYFUNCTION("""COMPUTED_VALUE"""),2006.0)</f>
        <v>2006</v>
      </c>
      <c r="E1698">
        <f>IFERROR(__xludf.DUMMYFUNCTION("""COMPUTED_VALUE"""),8216896.0)</f>
        <v>8216896</v>
      </c>
    </row>
    <row r="1699">
      <c r="A1699" t="str">
        <f t="shared" si="1"/>
        <v>ben#2007</v>
      </c>
      <c r="B1699" t="str">
        <f>IFERROR(__xludf.DUMMYFUNCTION("""COMPUTED_VALUE"""),"ben")</f>
        <v>ben</v>
      </c>
      <c r="C1699" t="str">
        <f>IFERROR(__xludf.DUMMYFUNCTION("""COMPUTED_VALUE"""),"Benin")</f>
        <v>Benin</v>
      </c>
      <c r="D1699">
        <f>IFERROR(__xludf.DUMMYFUNCTION("""COMPUTED_VALUE"""),2007.0)</f>
        <v>2007</v>
      </c>
      <c r="E1699">
        <f>IFERROR(__xludf.DUMMYFUNCTION("""COMPUTED_VALUE"""),8454791.0)</f>
        <v>8454791</v>
      </c>
    </row>
    <row r="1700">
      <c r="A1700" t="str">
        <f t="shared" si="1"/>
        <v>ben#2008</v>
      </c>
      <c r="B1700" t="str">
        <f>IFERROR(__xludf.DUMMYFUNCTION("""COMPUTED_VALUE"""),"ben")</f>
        <v>ben</v>
      </c>
      <c r="C1700" t="str">
        <f>IFERROR(__xludf.DUMMYFUNCTION("""COMPUTED_VALUE"""),"Benin")</f>
        <v>Benin</v>
      </c>
      <c r="D1700">
        <f>IFERROR(__xludf.DUMMYFUNCTION("""COMPUTED_VALUE"""),2008.0)</f>
        <v>2008</v>
      </c>
      <c r="E1700">
        <f>IFERROR(__xludf.DUMMYFUNCTION("""COMPUTED_VALUE"""),8696916.0)</f>
        <v>8696916</v>
      </c>
    </row>
    <row r="1701">
      <c r="A1701" t="str">
        <f t="shared" si="1"/>
        <v>ben#2009</v>
      </c>
      <c r="B1701" t="str">
        <f>IFERROR(__xludf.DUMMYFUNCTION("""COMPUTED_VALUE"""),"ben")</f>
        <v>ben</v>
      </c>
      <c r="C1701" t="str">
        <f>IFERROR(__xludf.DUMMYFUNCTION("""COMPUTED_VALUE"""),"Benin")</f>
        <v>Benin</v>
      </c>
      <c r="D1701">
        <f>IFERROR(__xludf.DUMMYFUNCTION("""COMPUTED_VALUE"""),2009.0)</f>
        <v>2009</v>
      </c>
      <c r="E1701">
        <f>IFERROR(__xludf.DUMMYFUNCTION("""COMPUTED_VALUE"""),8944706.0)</f>
        <v>8944706</v>
      </c>
    </row>
    <row r="1702">
      <c r="A1702" t="str">
        <f t="shared" si="1"/>
        <v>ben#2010</v>
      </c>
      <c r="B1702" t="str">
        <f>IFERROR(__xludf.DUMMYFUNCTION("""COMPUTED_VALUE"""),"ben")</f>
        <v>ben</v>
      </c>
      <c r="C1702" t="str">
        <f>IFERROR(__xludf.DUMMYFUNCTION("""COMPUTED_VALUE"""),"Benin")</f>
        <v>Benin</v>
      </c>
      <c r="D1702">
        <f>IFERROR(__xludf.DUMMYFUNCTION("""COMPUTED_VALUE"""),2010.0)</f>
        <v>2010</v>
      </c>
      <c r="E1702">
        <f>IFERROR(__xludf.DUMMYFUNCTION("""COMPUTED_VALUE"""),9199259.0)</f>
        <v>9199259</v>
      </c>
    </row>
    <row r="1703">
      <c r="A1703" t="str">
        <f t="shared" si="1"/>
        <v>ben#2011</v>
      </c>
      <c r="B1703" t="str">
        <f>IFERROR(__xludf.DUMMYFUNCTION("""COMPUTED_VALUE"""),"ben")</f>
        <v>ben</v>
      </c>
      <c r="C1703" t="str">
        <f>IFERROR(__xludf.DUMMYFUNCTION("""COMPUTED_VALUE"""),"Benin")</f>
        <v>Benin</v>
      </c>
      <c r="D1703">
        <f>IFERROR(__xludf.DUMMYFUNCTION("""COMPUTED_VALUE"""),2011.0)</f>
        <v>2011</v>
      </c>
      <c r="E1703">
        <f>IFERROR(__xludf.DUMMYFUNCTION("""COMPUTED_VALUE"""),9460802.0)</f>
        <v>9460802</v>
      </c>
    </row>
    <row r="1704">
      <c r="A1704" t="str">
        <f t="shared" si="1"/>
        <v>ben#2012</v>
      </c>
      <c r="B1704" t="str">
        <f>IFERROR(__xludf.DUMMYFUNCTION("""COMPUTED_VALUE"""),"ben")</f>
        <v>ben</v>
      </c>
      <c r="C1704" t="str">
        <f>IFERROR(__xludf.DUMMYFUNCTION("""COMPUTED_VALUE"""),"Benin")</f>
        <v>Benin</v>
      </c>
      <c r="D1704">
        <f>IFERROR(__xludf.DUMMYFUNCTION("""COMPUTED_VALUE"""),2012.0)</f>
        <v>2012</v>
      </c>
      <c r="E1704">
        <f>IFERROR(__xludf.DUMMYFUNCTION("""COMPUTED_VALUE"""),9729160.0)</f>
        <v>9729160</v>
      </c>
    </row>
    <row r="1705">
      <c r="A1705" t="str">
        <f t="shared" si="1"/>
        <v>ben#2013</v>
      </c>
      <c r="B1705" t="str">
        <f>IFERROR(__xludf.DUMMYFUNCTION("""COMPUTED_VALUE"""),"ben")</f>
        <v>ben</v>
      </c>
      <c r="C1705" t="str">
        <f>IFERROR(__xludf.DUMMYFUNCTION("""COMPUTED_VALUE"""),"Benin")</f>
        <v>Benin</v>
      </c>
      <c r="D1705">
        <f>IFERROR(__xludf.DUMMYFUNCTION("""COMPUTED_VALUE"""),2013.0)</f>
        <v>2013</v>
      </c>
      <c r="E1705">
        <f>IFERROR(__xludf.DUMMYFUNCTION("""COMPUTED_VALUE"""),1.0004451E7)</f>
        <v>10004451</v>
      </c>
    </row>
    <row r="1706">
      <c r="A1706" t="str">
        <f t="shared" si="1"/>
        <v>ben#2014</v>
      </c>
      <c r="B1706" t="str">
        <f>IFERROR(__xludf.DUMMYFUNCTION("""COMPUTED_VALUE"""),"ben")</f>
        <v>ben</v>
      </c>
      <c r="C1706" t="str">
        <f>IFERROR(__xludf.DUMMYFUNCTION("""COMPUTED_VALUE"""),"Benin")</f>
        <v>Benin</v>
      </c>
      <c r="D1706">
        <f>IFERROR(__xludf.DUMMYFUNCTION("""COMPUTED_VALUE"""),2014.0)</f>
        <v>2014</v>
      </c>
      <c r="E1706">
        <f>IFERROR(__xludf.DUMMYFUNCTION("""COMPUTED_VALUE"""),1.0286712E7)</f>
        <v>10286712</v>
      </c>
    </row>
    <row r="1707">
      <c r="A1707" t="str">
        <f t="shared" si="1"/>
        <v>ben#2015</v>
      </c>
      <c r="B1707" t="str">
        <f>IFERROR(__xludf.DUMMYFUNCTION("""COMPUTED_VALUE"""),"ben")</f>
        <v>ben</v>
      </c>
      <c r="C1707" t="str">
        <f>IFERROR(__xludf.DUMMYFUNCTION("""COMPUTED_VALUE"""),"Benin")</f>
        <v>Benin</v>
      </c>
      <c r="D1707">
        <f>IFERROR(__xludf.DUMMYFUNCTION("""COMPUTED_VALUE"""),2015.0)</f>
        <v>2015</v>
      </c>
      <c r="E1707">
        <f>IFERROR(__xludf.DUMMYFUNCTION("""COMPUTED_VALUE"""),1.0575952E7)</f>
        <v>10575952</v>
      </c>
    </row>
    <row r="1708">
      <c r="A1708" t="str">
        <f t="shared" si="1"/>
        <v>ben#2016</v>
      </c>
      <c r="B1708" t="str">
        <f>IFERROR(__xludf.DUMMYFUNCTION("""COMPUTED_VALUE"""),"ben")</f>
        <v>ben</v>
      </c>
      <c r="C1708" t="str">
        <f>IFERROR(__xludf.DUMMYFUNCTION("""COMPUTED_VALUE"""),"Benin")</f>
        <v>Benin</v>
      </c>
      <c r="D1708">
        <f>IFERROR(__xludf.DUMMYFUNCTION("""COMPUTED_VALUE"""),2016.0)</f>
        <v>2016</v>
      </c>
      <c r="E1708">
        <f>IFERROR(__xludf.DUMMYFUNCTION("""COMPUTED_VALUE"""),1.0872298E7)</f>
        <v>10872298</v>
      </c>
    </row>
    <row r="1709">
      <c r="A1709" t="str">
        <f t="shared" si="1"/>
        <v>ben#2017</v>
      </c>
      <c r="B1709" t="str">
        <f>IFERROR(__xludf.DUMMYFUNCTION("""COMPUTED_VALUE"""),"ben")</f>
        <v>ben</v>
      </c>
      <c r="C1709" t="str">
        <f>IFERROR(__xludf.DUMMYFUNCTION("""COMPUTED_VALUE"""),"Benin")</f>
        <v>Benin</v>
      </c>
      <c r="D1709">
        <f>IFERROR(__xludf.DUMMYFUNCTION("""COMPUTED_VALUE"""),2017.0)</f>
        <v>2017</v>
      </c>
      <c r="E1709">
        <f>IFERROR(__xludf.DUMMYFUNCTION("""COMPUTED_VALUE"""),1.1175692E7)</f>
        <v>11175692</v>
      </c>
    </row>
    <row r="1710">
      <c r="A1710" t="str">
        <f t="shared" si="1"/>
        <v>ben#2018</v>
      </c>
      <c r="B1710" t="str">
        <f>IFERROR(__xludf.DUMMYFUNCTION("""COMPUTED_VALUE"""),"ben")</f>
        <v>ben</v>
      </c>
      <c r="C1710" t="str">
        <f>IFERROR(__xludf.DUMMYFUNCTION("""COMPUTED_VALUE"""),"Benin")</f>
        <v>Benin</v>
      </c>
      <c r="D1710">
        <f>IFERROR(__xludf.DUMMYFUNCTION("""COMPUTED_VALUE"""),2018.0)</f>
        <v>2018</v>
      </c>
      <c r="E1710">
        <f>IFERROR(__xludf.DUMMYFUNCTION("""COMPUTED_VALUE"""),1.1485674E7)</f>
        <v>11485674</v>
      </c>
    </row>
    <row r="1711">
      <c r="A1711" t="str">
        <f t="shared" si="1"/>
        <v>ben#2019</v>
      </c>
      <c r="B1711" t="str">
        <f>IFERROR(__xludf.DUMMYFUNCTION("""COMPUTED_VALUE"""),"ben")</f>
        <v>ben</v>
      </c>
      <c r="C1711" t="str">
        <f>IFERROR(__xludf.DUMMYFUNCTION("""COMPUTED_VALUE"""),"Benin")</f>
        <v>Benin</v>
      </c>
      <c r="D1711">
        <f>IFERROR(__xludf.DUMMYFUNCTION("""COMPUTED_VALUE"""),2019.0)</f>
        <v>2019</v>
      </c>
      <c r="E1711">
        <f>IFERROR(__xludf.DUMMYFUNCTION("""COMPUTED_VALUE"""),1.1801595E7)</f>
        <v>11801595</v>
      </c>
    </row>
    <row r="1712">
      <c r="A1712" t="str">
        <f t="shared" si="1"/>
        <v>ben#2020</v>
      </c>
      <c r="B1712" t="str">
        <f>IFERROR(__xludf.DUMMYFUNCTION("""COMPUTED_VALUE"""),"ben")</f>
        <v>ben</v>
      </c>
      <c r="C1712" t="str">
        <f>IFERROR(__xludf.DUMMYFUNCTION("""COMPUTED_VALUE"""),"Benin")</f>
        <v>Benin</v>
      </c>
      <c r="D1712">
        <f>IFERROR(__xludf.DUMMYFUNCTION("""COMPUTED_VALUE"""),2020.0)</f>
        <v>2020</v>
      </c>
      <c r="E1712">
        <f>IFERROR(__xludf.DUMMYFUNCTION("""COMPUTED_VALUE"""),1.2122985E7)</f>
        <v>12122985</v>
      </c>
    </row>
    <row r="1713">
      <c r="A1713" t="str">
        <f t="shared" si="1"/>
        <v>ben#2021</v>
      </c>
      <c r="B1713" t="str">
        <f>IFERROR(__xludf.DUMMYFUNCTION("""COMPUTED_VALUE"""),"ben")</f>
        <v>ben</v>
      </c>
      <c r="C1713" t="str">
        <f>IFERROR(__xludf.DUMMYFUNCTION("""COMPUTED_VALUE"""),"Benin")</f>
        <v>Benin</v>
      </c>
      <c r="D1713">
        <f>IFERROR(__xludf.DUMMYFUNCTION("""COMPUTED_VALUE"""),2021.0)</f>
        <v>2021</v>
      </c>
      <c r="E1713">
        <f>IFERROR(__xludf.DUMMYFUNCTION("""COMPUTED_VALUE"""),1.2449613E7)</f>
        <v>12449613</v>
      </c>
    </row>
    <row r="1714">
      <c r="A1714" t="str">
        <f t="shared" si="1"/>
        <v>ben#2022</v>
      </c>
      <c r="B1714" t="str">
        <f>IFERROR(__xludf.DUMMYFUNCTION("""COMPUTED_VALUE"""),"ben")</f>
        <v>ben</v>
      </c>
      <c r="C1714" t="str">
        <f>IFERROR(__xludf.DUMMYFUNCTION("""COMPUTED_VALUE"""),"Benin")</f>
        <v>Benin</v>
      </c>
      <c r="D1714">
        <f>IFERROR(__xludf.DUMMYFUNCTION("""COMPUTED_VALUE"""),2022.0)</f>
        <v>2022</v>
      </c>
      <c r="E1714">
        <f>IFERROR(__xludf.DUMMYFUNCTION("""COMPUTED_VALUE"""),1.2781511E7)</f>
        <v>12781511</v>
      </c>
    </row>
    <row r="1715">
      <c r="A1715" t="str">
        <f t="shared" si="1"/>
        <v>ben#2023</v>
      </c>
      <c r="B1715" t="str">
        <f>IFERROR(__xludf.DUMMYFUNCTION("""COMPUTED_VALUE"""),"ben")</f>
        <v>ben</v>
      </c>
      <c r="C1715" t="str">
        <f>IFERROR(__xludf.DUMMYFUNCTION("""COMPUTED_VALUE"""),"Benin")</f>
        <v>Benin</v>
      </c>
      <c r="D1715">
        <f>IFERROR(__xludf.DUMMYFUNCTION("""COMPUTED_VALUE"""),2023.0)</f>
        <v>2023</v>
      </c>
      <c r="E1715">
        <f>IFERROR(__xludf.DUMMYFUNCTION("""COMPUTED_VALUE"""),1.3118725E7)</f>
        <v>13118725</v>
      </c>
    </row>
    <row r="1716">
      <c r="A1716" t="str">
        <f t="shared" si="1"/>
        <v>ben#2024</v>
      </c>
      <c r="B1716" t="str">
        <f>IFERROR(__xludf.DUMMYFUNCTION("""COMPUTED_VALUE"""),"ben")</f>
        <v>ben</v>
      </c>
      <c r="C1716" t="str">
        <f>IFERROR(__xludf.DUMMYFUNCTION("""COMPUTED_VALUE"""),"Benin")</f>
        <v>Benin</v>
      </c>
      <c r="D1716">
        <f>IFERROR(__xludf.DUMMYFUNCTION("""COMPUTED_VALUE"""),2024.0)</f>
        <v>2024</v>
      </c>
      <c r="E1716">
        <f>IFERROR(__xludf.DUMMYFUNCTION("""COMPUTED_VALUE"""),1.3461351E7)</f>
        <v>13461351</v>
      </c>
    </row>
    <row r="1717">
      <c r="A1717" t="str">
        <f t="shared" si="1"/>
        <v>ben#2025</v>
      </c>
      <c r="B1717" t="str">
        <f>IFERROR(__xludf.DUMMYFUNCTION("""COMPUTED_VALUE"""),"ben")</f>
        <v>ben</v>
      </c>
      <c r="C1717" t="str">
        <f>IFERROR(__xludf.DUMMYFUNCTION("""COMPUTED_VALUE"""),"Benin")</f>
        <v>Benin</v>
      </c>
      <c r="D1717">
        <f>IFERROR(__xludf.DUMMYFUNCTION("""COMPUTED_VALUE"""),2025.0)</f>
        <v>2025</v>
      </c>
      <c r="E1717">
        <f>IFERROR(__xludf.DUMMYFUNCTION("""COMPUTED_VALUE"""),1.3809467E7)</f>
        <v>13809467</v>
      </c>
    </row>
    <row r="1718">
      <c r="A1718" t="str">
        <f t="shared" si="1"/>
        <v>ben#2026</v>
      </c>
      <c r="B1718" t="str">
        <f>IFERROR(__xludf.DUMMYFUNCTION("""COMPUTED_VALUE"""),"ben")</f>
        <v>ben</v>
      </c>
      <c r="C1718" t="str">
        <f>IFERROR(__xludf.DUMMYFUNCTION("""COMPUTED_VALUE"""),"Benin")</f>
        <v>Benin</v>
      </c>
      <c r="D1718">
        <f>IFERROR(__xludf.DUMMYFUNCTION("""COMPUTED_VALUE"""),2026.0)</f>
        <v>2026</v>
      </c>
      <c r="E1718">
        <f>IFERROR(__xludf.DUMMYFUNCTION("""COMPUTED_VALUE"""),1.4162973E7)</f>
        <v>14162973</v>
      </c>
    </row>
    <row r="1719">
      <c r="A1719" t="str">
        <f t="shared" si="1"/>
        <v>ben#2027</v>
      </c>
      <c r="B1719" t="str">
        <f>IFERROR(__xludf.DUMMYFUNCTION("""COMPUTED_VALUE"""),"ben")</f>
        <v>ben</v>
      </c>
      <c r="C1719" t="str">
        <f>IFERROR(__xludf.DUMMYFUNCTION("""COMPUTED_VALUE"""),"Benin")</f>
        <v>Benin</v>
      </c>
      <c r="D1719">
        <f>IFERROR(__xludf.DUMMYFUNCTION("""COMPUTED_VALUE"""),2027.0)</f>
        <v>2027</v>
      </c>
      <c r="E1719">
        <f>IFERROR(__xludf.DUMMYFUNCTION("""COMPUTED_VALUE"""),1.4521715E7)</f>
        <v>14521715</v>
      </c>
    </row>
    <row r="1720">
      <c r="A1720" t="str">
        <f t="shared" si="1"/>
        <v>ben#2028</v>
      </c>
      <c r="B1720" t="str">
        <f>IFERROR(__xludf.DUMMYFUNCTION("""COMPUTED_VALUE"""),"ben")</f>
        <v>ben</v>
      </c>
      <c r="C1720" t="str">
        <f>IFERROR(__xludf.DUMMYFUNCTION("""COMPUTED_VALUE"""),"Benin")</f>
        <v>Benin</v>
      </c>
      <c r="D1720">
        <f>IFERROR(__xludf.DUMMYFUNCTION("""COMPUTED_VALUE"""),2028.0)</f>
        <v>2028</v>
      </c>
      <c r="E1720">
        <f>IFERROR(__xludf.DUMMYFUNCTION("""COMPUTED_VALUE"""),1.4885608E7)</f>
        <v>14885608</v>
      </c>
    </row>
    <row r="1721">
      <c r="A1721" t="str">
        <f t="shared" si="1"/>
        <v>ben#2029</v>
      </c>
      <c r="B1721" t="str">
        <f>IFERROR(__xludf.DUMMYFUNCTION("""COMPUTED_VALUE"""),"ben")</f>
        <v>ben</v>
      </c>
      <c r="C1721" t="str">
        <f>IFERROR(__xludf.DUMMYFUNCTION("""COMPUTED_VALUE"""),"Benin")</f>
        <v>Benin</v>
      </c>
      <c r="D1721">
        <f>IFERROR(__xludf.DUMMYFUNCTION("""COMPUTED_VALUE"""),2029.0)</f>
        <v>2029</v>
      </c>
      <c r="E1721">
        <f>IFERROR(__xludf.DUMMYFUNCTION("""COMPUTED_VALUE"""),1.5254549E7)</f>
        <v>15254549</v>
      </c>
    </row>
    <row r="1722">
      <c r="A1722" t="str">
        <f t="shared" si="1"/>
        <v>ben#2030</v>
      </c>
      <c r="B1722" t="str">
        <f>IFERROR(__xludf.DUMMYFUNCTION("""COMPUTED_VALUE"""),"ben")</f>
        <v>ben</v>
      </c>
      <c r="C1722" t="str">
        <f>IFERROR(__xludf.DUMMYFUNCTION("""COMPUTED_VALUE"""),"Benin")</f>
        <v>Benin</v>
      </c>
      <c r="D1722">
        <f>IFERROR(__xludf.DUMMYFUNCTION("""COMPUTED_VALUE"""),2030.0)</f>
        <v>2030</v>
      </c>
      <c r="E1722">
        <f>IFERROR(__xludf.DUMMYFUNCTION("""COMPUTED_VALUE"""),1.5628437E7)</f>
        <v>15628437</v>
      </c>
    </row>
    <row r="1723">
      <c r="A1723" t="str">
        <f t="shared" si="1"/>
        <v>ben#2031</v>
      </c>
      <c r="B1723" t="str">
        <f>IFERROR(__xludf.DUMMYFUNCTION("""COMPUTED_VALUE"""),"ben")</f>
        <v>ben</v>
      </c>
      <c r="C1723" t="str">
        <f>IFERROR(__xludf.DUMMYFUNCTION("""COMPUTED_VALUE"""),"Benin")</f>
        <v>Benin</v>
      </c>
      <c r="D1723">
        <f>IFERROR(__xludf.DUMMYFUNCTION("""COMPUTED_VALUE"""),2031.0)</f>
        <v>2031</v>
      </c>
      <c r="E1723">
        <f>IFERROR(__xludf.DUMMYFUNCTION("""COMPUTED_VALUE"""),1.6007138E7)</f>
        <v>16007138</v>
      </c>
    </row>
    <row r="1724">
      <c r="A1724" t="str">
        <f t="shared" si="1"/>
        <v>ben#2032</v>
      </c>
      <c r="B1724" t="str">
        <f>IFERROR(__xludf.DUMMYFUNCTION("""COMPUTED_VALUE"""),"ben")</f>
        <v>ben</v>
      </c>
      <c r="C1724" t="str">
        <f>IFERROR(__xludf.DUMMYFUNCTION("""COMPUTED_VALUE"""),"Benin")</f>
        <v>Benin</v>
      </c>
      <c r="D1724">
        <f>IFERROR(__xludf.DUMMYFUNCTION("""COMPUTED_VALUE"""),2032.0)</f>
        <v>2032</v>
      </c>
      <c r="E1724">
        <f>IFERROR(__xludf.DUMMYFUNCTION("""COMPUTED_VALUE"""),1.6390564E7)</f>
        <v>16390564</v>
      </c>
    </row>
    <row r="1725">
      <c r="A1725" t="str">
        <f t="shared" si="1"/>
        <v>ben#2033</v>
      </c>
      <c r="B1725" t="str">
        <f>IFERROR(__xludf.DUMMYFUNCTION("""COMPUTED_VALUE"""),"ben")</f>
        <v>ben</v>
      </c>
      <c r="C1725" t="str">
        <f>IFERROR(__xludf.DUMMYFUNCTION("""COMPUTED_VALUE"""),"Benin")</f>
        <v>Benin</v>
      </c>
      <c r="D1725">
        <f>IFERROR(__xludf.DUMMYFUNCTION("""COMPUTED_VALUE"""),2033.0)</f>
        <v>2033</v>
      </c>
      <c r="E1725">
        <f>IFERROR(__xludf.DUMMYFUNCTION("""COMPUTED_VALUE"""),1.6778622E7)</f>
        <v>16778622</v>
      </c>
    </row>
    <row r="1726">
      <c r="A1726" t="str">
        <f t="shared" si="1"/>
        <v>ben#2034</v>
      </c>
      <c r="B1726" t="str">
        <f>IFERROR(__xludf.DUMMYFUNCTION("""COMPUTED_VALUE"""),"ben")</f>
        <v>ben</v>
      </c>
      <c r="C1726" t="str">
        <f>IFERROR(__xludf.DUMMYFUNCTION("""COMPUTED_VALUE"""),"Benin")</f>
        <v>Benin</v>
      </c>
      <c r="D1726">
        <f>IFERROR(__xludf.DUMMYFUNCTION("""COMPUTED_VALUE"""),2034.0)</f>
        <v>2034</v>
      </c>
      <c r="E1726">
        <f>IFERROR(__xludf.DUMMYFUNCTION("""COMPUTED_VALUE"""),1.7171208E7)</f>
        <v>17171208</v>
      </c>
    </row>
    <row r="1727">
      <c r="A1727" t="str">
        <f t="shared" si="1"/>
        <v>ben#2035</v>
      </c>
      <c r="B1727" t="str">
        <f>IFERROR(__xludf.DUMMYFUNCTION("""COMPUTED_VALUE"""),"ben")</f>
        <v>ben</v>
      </c>
      <c r="C1727" t="str">
        <f>IFERROR(__xludf.DUMMYFUNCTION("""COMPUTED_VALUE"""),"Benin")</f>
        <v>Benin</v>
      </c>
      <c r="D1727">
        <f>IFERROR(__xludf.DUMMYFUNCTION("""COMPUTED_VALUE"""),2035.0)</f>
        <v>2035</v>
      </c>
      <c r="E1727">
        <f>IFERROR(__xludf.DUMMYFUNCTION("""COMPUTED_VALUE"""),1.7568229E7)</f>
        <v>17568229</v>
      </c>
    </row>
    <row r="1728">
      <c r="A1728" t="str">
        <f t="shared" si="1"/>
        <v>ben#2036</v>
      </c>
      <c r="B1728" t="str">
        <f>IFERROR(__xludf.DUMMYFUNCTION("""COMPUTED_VALUE"""),"ben")</f>
        <v>ben</v>
      </c>
      <c r="C1728" t="str">
        <f>IFERROR(__xludf.DUMMYFUNCTION("""COMPUTED_VALUE"""),"Benin")</f>
        <v>Benin</v>
      </c>
      <c r="D1728">
        <f>IFERROR(__xludf.DUMMYFUNCTION("""COMPUTED_VALUE"""),2036.0)</f>
        <v>2036</v>
      </c>
      <c r="E1728">
        <f>IFERROR(__xludf.DUMMYFUNCTION("""COMPUTED_VALUE"""),1.7969567E7)</f>
        <v>17969567</v>
      </c>
    </row>
    <row r="1729">
      <c r="A1729" t="str">
        <f t="shared" si="1"/>
        <v>ben#2037</v>
      </c>
      <c r="B1729" t="str">
        <f>IFERROR(__xludf.DUMMYFUNCTION("""COMPUTED_VALUE"""),"ben")</f>
        <v>ben</v>
      </c>
      <c r="C1729" t="str">
        <f>IFERROR(__xludf.DUMMYFUNCTION("""COMPUTED_VALUE"""),"Benin")</f>
        <v>Benin</v>
      </c>
      <c r="D1729">
        <f>IFERROR(__xludf.DUMMYFUNCTION("""COMPUTED_VALUE"""),2037.0)</f>
        <v>2037</v>
      </c>
      <c r="E1729">
        <f>IFERROR(__xludf.DUMMYFUNCTION("""COMPUTED_VALUE"""),1.8375045E7)</f>
        <v>18375045</v>
      </c>
    </row>
    <row r="1730">
      <c r="A1730" t="str">
        <f t="shared" si="1"/>
        <v>ben#2038</v>
      </c>
      <c r="B1730" t="str">
        <f>IFERROR(__xludf.DUMMYFUNCTION("""COMPUTED_VALUE"""),"ben")</f>
        <v>ben</v>
      </c>
      <c r="C1730" t="str">
        <f>IFERROR(__xludf.DUMMYFUNCTION("""COMPUTED_VALUE"""),"Benin")</f>
        <v>Benin</v>
      </c>
      <c r="D1730">
        <f>IFERROR(__xludf.DUMMYFUNCTION("""COMPUTED_VALUE"""),2038.0)</f>
        <v>2038</v>
      </c>
      <c r="E1730">
        <f>IFERROR(__xludf.DUMMYFUNCTION("""COMPUTED_VALUE"""),1.8784441E7)</f>
        <v>18784441</v>
      </c>
    </row>
    <row r="1731">
      <c r="A1731" t="str">
        <f t="shared" si="1"/>
        <v>ben#2039</v>
      </c>
      <c r="B1731" t="str">
        <f>IFERROR(__xludf.DUMMYFUNCTION("""COMPUTED_VALUE"""),"ben")</f>
        <v>ben</v>
      </c>
      <c r="C1731" t="str">
        <f>IFERROR(__xludf.DUMMYFUNCTION("""COMPUTED_VALUE"""),"Benin")</f>
        <v>Benin</v>
      </c>
      <c r="D1731">
        <f>IFERROR(__xludf.DUMMYFUNCTION("""COMPUTED_VALUE"""),2039.0)</f>
        <v>2039</v>
      </c>
      <c r="E1731">
        <f>IFERROR(__xludf.DUMMYFUNCTION("""COMPUTED_VALUE"""),1.9197485E7)</f>
        <v>19197485</v>
      </c>
    </row>
    <row r="1732">
      <c r="A1732" t="str">
        <f t="shared" si="1"/>
        <v>ben#2040</v>
      </c>
      <c r="B1732" t="str">
        <f>IFERROR(__xludf.DUMMYFUNCTION("""COMPUTED_VALUE"""),"ben")</f>
        <v>ben</v>
      </c>
      <c r="C1732" t="str">
        <f>IFERROR(__xludf.DUMMYFUNCTION("""COMPUTED_VALUE"""),"Benin")</f>
        <v>Benin</v>
      </c>
      <c r="D1732">
        <f>IFERROR(__xludf.DUMMYFUNCTION("""COMPUTED_VALUE"""),2040.0)</f>
        <v>2040</v>
      </c>
      <c r="E1732">
        <f>IFERROR(__xludf.DUMMYFUNCTION("""COMPUTED_VALUE"""),1.9613944E7)</f>
        <v>19613944</v>
      </c>
    </row>
    <row r="1733">
      <c r="A1733" t="str">
        <f t="shared" si="1"/>
        <v>btn#1950</v>
      </c>
      <c r="B1733" t="str">
        <f>IFERROR(__xludf.DUMMYFUNCTION("""COMPUTED_VALUE"""),"btn")</f>
        <v>btn</v>
      </c>
      <c r="C1733" t="str">
        <f>IFERROR(__xludf.DUMMYFUNCTION("""COMPUTED_VALUE"""),"Bhutan")</f>
        <v>Bhutan</v>
      </c>
      <c r="D1733">
        <f>IFERROR(__xludf.DUMMYFUNCTION("""COMPUTED_VALUE"""),1950.0)</f>
        <v>1950</v>
      </c>
      <c r="E1733">
        <f>IFERROR(__xludf.DUMMYFUNCTION("""COMPUTED_VALUE"""),176797.0)</f>
        <v>176797</v>
      </c>
    </row>
    <row r="1734">
      <c r="A1734" t="str">
        <f t="shared" si="1"/>
        <v>btn#1951</v>
      </c>
      <c r="B1734" t="str">
        <f>IFERROR(__xludf.DUMMYFUNCTION("""COMPUTED_VALUE"""),"btn")</f>
        <v>btn</v>
      </c>
      <c r="C1734" t="str">
        <f>IFERROR(__xludf.DUMMYFUNCTION("""COMPUTED_VALUE"""),"Bhutan")</f>
        <v>Bhutan</v>
      </c>
      <c r="D1734">
        <f>IFERROR(__xludf.DUMMYFUNCTION("""COMPUTED_VALUE"""),1951.0)</f>
        <v>1951</v>
      </c>
      <c r="E1734">
        <f>IFERROR(__xludf.DUMMYFUNCTION("""COMPUTED_VALUE"""),180825.0)</f>
        <v>180825</v>
      </c>
    </row>
    <row r="1735">
      <c r="A1735" t="str">
        <f t="shared" si="1"/>
        <v>btn#1952</v>
      </c>
      <c r="B1735" t="str">
        <f>IFERROR(__xludf.DUMMYFUNCTION("""COMPUTED_VALUE"""),"btn")</f>
        <v>btn</v>
      </c>
      <c r="C1735" t="str">
        <f>IFERROR(__xludf.DUMMYFUNCTION("""COMPUTED_VALUE"""),"Bhutan")</f>
        <v>Bhutan</v>
      </c>
      <c r="D1735">
        <f>IFERROR(__xludf.DUMMYFUNCTION("""COMPUTED_VALUE"""),1952.0)</f>
        <v>1952</v>
      </c>
      <c r="E1735">
        <f>IFERROR(__xludf.DUMMYFUNCTION("""COMPUTED_VALUE"""),184790.0)</f>
        <v>184790</v>
      </c>
    </row>
    <row r="1736">
      <c r="A1736" t="str">
        <f t="shared" si="1"/>
        <v>btn#1953</v>
      </c>
      <c r="B1736" t="str">
        <f>IFERROR(__xludf.DUMMYFUNCTION("""COMPUTED_VALUE"""),"btn")</f>
        <v>btn</v>
      </c>
      <c r="C1736" t="str">
        <f>IFERROR(__xludf.DUMMYFUNCTION("""COMPUTED_VALUE"""),"Bhutan")</f>
        <v>Bhutan</v>
      </c>
      <c r="D1736">
        <f>IFERROR(__xludf.DUMMYFUNCTION("""COMPUTED_VALUE"""),1953.0)</f>
        <v>1953</v>
      </c>
      <c r="E1736">
        <f>IFERROR(__xludf.DUMMYFUNCTION("""COMPUTED_VALUE"""),188816.0)</f>
        <v>188816</v>
      </c>
    </row>
    <row r="1737">
      <c r="A1737" t="str">
        <f t="shared" si="1"/>
        <v>btn#1954</v>
      </c>
      <c r="B1737" t="str">
        <f>IFERROR(__xludf.DUMMYFUNCTION("""COMPUTED_VALUE"""),"btn")</f>
        <v>btn</v>
      </c>
      <c r="C1737" t="str">
        <f>IFERROR(__xludf.DUMMYFUNCTION("""COMPUTED_VALUE"""),"Bhutan")</f>
        <v>Bhutan</v>
      </c>
      <c r="D1737">
        <f>IFERROR(__xludf.DUMMYFUNCTION("""COMPUTED_VALUE"""),1954.0)</f>
        <v>1954</v>
      </c>
      <c r="E1737">
        <f>IFERROR(__xludf.DUMMYFUNCTION("""COMPUTED_VALUE"""),193011.0)</f>
        <v>193011</v>
      </c>
    </row>
    <row r="1738">
      <c r="A1738" t="str">
        <f t="shared" si="1"/>
        <v>btn#1955</v>
      </c>
      <c r="B1738" t="str">
        <f>IFERROR(__xludf.DUMMYFUNCTION("""COMPUTED_VALUE"""),"btn")</f>
        <v>btn</v>
      </c>
      <c r="C1738" t="str">
        <f>IFERROR(__xludf.DUMMYFUNCTION("""COMPUTED_VALUE"""),"Bhutan")</f>
        <v>Bhutan</v>
      </c>
      <c r="D1738">
        <f>IFERROR(__xludf.DUMMYFUNCTION("""COMPUTED_VALUE"""),1955.0)</f>
        <v>1955</v>
      </c>
      <c r="E1738">
        <f>IFERROR(__xludf.DUMMYFUNCTION("""COMPUTED_VALUE"""),197457.0)</f>
        <v>197457</v>
      </c>
    </row>
    <row r="1739">
      <c r="A1739" t="str">
        <f t="shared" si="1"/>
        <v>btn#1956</v>
      </c>
      <c r="B1739" t="str">
        <f>IFERROR(__xludf.DUMMYFUNCTION("""COMPUTED_VALUE"""),"btn")</f>
        <v>btn</v>
      </c>
      <c r="C1739" t="str">
        <f>IFERROR(__xludf.DUMMYFUNCTION("""COMPUTED_VALUE"""),"Bhutan")</f>
        <v>Bhutan</v>
      </c>
      <c r="D1739">
        <f>IFERROR(__xludf.DUMMYFUNCTION("""COMPUTED_VALUE"""),1956.0)</f>
        <v>1956</v>
      </c>
      <c r="E1739">
        <f>IFERROR(__xludf.DUMMYFUNCTION("""COMPUTED_VALUE"""),202174.0)</f>
        <v>202174</v>
      </c>
    </row>
    <row r="1740">
      <c r="A1740" t="str">
        <f t="shared" si="1"/>
        <v>btn#1957</v>
      </c>
      <c r="B1740" t="str">
        <f>IFERROR(__xludf.DUMMYFUNCTION("""COMPUTED_VALUE"""),"btn")</f>
        <v>btn</v>
      </c>
      <c r="C1740" t="str">
        <f>IFERROR(__xludf.DUMMYFUNCTION("""COMPUTED_VALUE"""),"Bhutan")</f>
        <v>Bhutan</v>
      </c>
      <c r="D1740">
        <f>IFERROR(__xludf.DUMMYFUNCTION("""COMPUTED_VALUE"""),1957.0)</f>
        <v>1957</v>
      </c>
      <c r="E1740">
        <f>IFERROR(__xludf.DUMMYFUNCTION("""COMPUTED_VALUE"""),207165.0)</f>
        <v>207165</v>
      </c>
    </row>
    <row r="1741">
      <c r="A1741" t="str">
        <f t="shared" si="1"/>
        <v>btn#1958</v>
      </c>
      <c r="B1741" t="str">
        <f>IFERROR(__xludf.DUMMYFUNCTION("""COMPUTED_VALUE"""),"btn")</f>
        <v>btn</v>
      </c>
      <c r="C1741" t="str">
        <f>IFERROR(__xludf.DUMMYFUNCTION("""COMPUTED_VALUE"""),"Bhutan")</f>
        <v>Bhutan</v>
      </c>
      <c r="D1741">
        <f>IFERROR(__xludf.DUMMYFUNCTION("""COMPUTED_VALUE"""),1958.0)</f>
        <v>1958</v>
      </c>
      <c r="E1741">
        <f>IFERROR(__xludf.DUMMYFUNCTION("""COMPUTED_VALUE"""),212384.0)</f>
        <v>212384</v>
      </c>
    </row>
    <row r="1742">
      <c r="A1742" t="str">
        <f t="shared" si="1"/>
        <v>btn#1959</v>
      </c>
      <c r="B1742" t="str">
        <f>IFERROR(__xludf.DUMMYFUNCTION("""COMPUTED_VALUE"""),"btn")</f>
        <v>btn</v>
      </c>
      <c r="C1742" t="str">
        <f>IFERROR(__xludf.DUMMYFUNCTION("""COMPUTED_VALUE"""),"Bhutan")</f>
        <v>Bhutan</v>
      </c>
      <c r="D1742">
        <f>IFERROR(__xludf.DUMMYFUNCTION("""COMPUTED_VALUE"""),1959.0)</f>
        <v>1959</v>
      </c>
      <c r="E1742">
        <f>IFERROR(__xludf.DUMMYFUNCTION("""COMPUTED_VALUE"""),217773.0)</f>
        <v>217773</v>
      </c>
    </row>
    <row r="1743">
      <c r="A1743" t="str">
        <f t="shared" si="1"/>
        <v>btn#1960</v>
      </c>
      <c r="B1743" t="str">
        <f>IFERROR(__xludf.DUMMYFUNCTION("""COMPUTED_VALUE"""),"btn")</f>
        <v>btn</v>
      </c>
      <c r="C1743" t="str">
        <f>IFERROR(__xludf.DUMMYFUNCTION("""COMPUTED_VALUE"""),"Bhutan")</f>
        <v>Bhutan</v>
      </c>
      <c r="D1743">
        <f>IFERROR(__xludf.DUMMYFUNCTION("""COMPUTED_VALUE"""),1960.0)</f>
        <v>1960</v>
      </c>
      <c r="E1743">
        <f>IFERROR(__xludf.DUMMYFUNCTION("""COMPUTED_VALUE"""),223288.0)</f>
        <v>223288</v>
      </c>
    </row>
    <row r="1744">
      <c r="A1744" t="str">
        <f t="shared" si="1"/>
        <v>btn#1961</v>
      </c>
      <c r="B1744" t="str">
        <f>IFERROR(__xludf.DUMMYFUNCTION("""COMPUTED_VALUE"""),"btn")</f>
        <v>btn</v>
      </c>
      <c r="C1744" t="str">
        <f>IFERROR(__xludf.DUMMYFUNCTION("""COMPUTED_VALUE"""),"Bhutan")</f>
        <v>Bhutan</v>
      </c>
      <c r="D1744">
        <f>IFERROR(__xludf.DUMMYFUNCTION("""COMPUTED_VALUE"""),1961.0)</f>
        <v>1961</v>
      </c>
      <c r="E1744">
        <f>IFERROR(__xludf.DUMMYFUNCTION("""COMPUTED_VALUE"""),228918.0)</f>
        <v>228918</v>
      </c>
    </row>
    <row r="1745">
      <c r="A1745" t="str">
        <f t="shared" si="1"/>
        <v>btn#1962</v>
      </c>
      <c r="B1745" t="str">
        <f>IFERROR(__xludf.DUMMYFUNCTION("""COMPUTED_VALUE"""),"btn")</f>
        <v>btn</v>
      </c>
      <c r="C1745" t="str">
        <f>IFERROR(__xludf.DUMMYFUNCTION("""COMPUTED_VALUE"""),"Bhutan")</f>
        <v>Bhutan</v>
      </c>
      <c r="D1745">
        <f>IFERROR(__xludf.DUMMYFUNCTION("""COMPUTED_VALUE"""),1962.0)</f>
        <v>1962</v>
      </c>
      <c r="E1745">
        <f>IFERROR(__xludf.DUMMYFUNCTION("""COMPUTED_VALUE"""),234706.0)</f>
        <v>234706</v>
      </c>
    </row>
    <row r="1746">
      <c r="A1746" t="str">
        <f t="shared" si="1"/>
        <v>btn#1963</v>
      </c>
      <c r="B1746" t="str">
        <f>IFERROR(__xludf.DUMMYFUNCTION("""COMPUTED_VALUE"""),"btn")</f>
        <v>btn</v>
      </c>
      <c r="C1746" t="str">
        <f>IFERROR(__xludf.DUMMYFUNCTION("""COMPUTED_VALUE"""),"Bhutan")</f>
        <v>Bhutan</v>
      </c>
      <c r="D1746">
        <f>IFERROR(__xludf.DUMMYFUNCTION("""COMPUTED_VALUE"""),1963.0)</f>
        <v>1963</v>
      </c>
      <c r="E1746">
        <f>IFERROR(__xludf.DUMMYFUNCTION("""COMPUTED_VALUE"""),240778.0)</f>
        <v>240778</v>
      </c>
    </row>
    <row r="1747">
      <c r="A1747" t="str">
        <f t="shared" si="1"/>
        <v>btn#1964</v>
      </c>
      <c r="B1747" t="str">
        <f>IFERROR(__xludf.DUMMYFUNCTION("""COMPUTED_VALUE"""),"btn")</f>
        <v>btn</v>
      </c>
      <c r="C1747" t="str">
        <f>IFERROR(__xludf.DUMMYFUNCTION("""COMPUTED_VALUE"""),"Bhutan")</f>
        <v>Bhutan</v>
      </c>
      <c r="D1747">
        <f>IFERROR(__xludf.DUMMYFUNCTION("""COMPUTED_VALUE"""),1964.0)</f>
        <v>1964</v>
      </c>
      <c r="E1747">
        <f>IFERROR(__xludf.DUMMYFUNCTION("""COMPUTED_VALUE"""),247325.0)</f>
        <v>247325</v>
      </c>
    </row>
    <row r="1748">
      <c r="A1748" t="str">
        <f t="shared" si="1"/>
        <v>btn#1965</v>
      </c>
      <c r="B1748" t="str">
        <f>IFERROR(__xludf.DUMMYFUNCTION("""COMPUTED_VALUE"""),"btn")</f>
        <v>btn</v>
      </c>
      <c r="C1748" t="str">
        <f>IFERROR(__xludf.DUMMYFUNCTION("""COMPUTED_VALUE"""),"Bhutan")</f>
        <v>Bhutan</v>
      </c>
      <c r="D1748">
        <f>IFERROR(__xludf.DUMMYFUNCTION("""COMPUTED_VALUE"""),1965.0)</f>
        <v>1965</v>
      </c>
      <c r="E1748">
        <f>IFERROR(__xludf.DUMMYFUNCTION("""COMPUTED_VALUE"""),254464.0)</f>
        <v>254464</v>
      </c>
    </row>
    <row r="1749">
      <c r="A1749" t="str">
        <f t="shared" si="1"/>
        <v>btn#1966</v>
      </c>
      <c r="B1749" t="str">
        <f>IFERROR(__xludf.DUMMYFUNCTION("""COMPUTED_VALUE"""),"btn")</f>
        <v>btn</v>
      </c>
      <c r="C1749" t="str">
        <f>IFERROR(__xludf.DUMMYFUNCTION("""COMPUTED_VALUE"""),"Bhutan")</f>
        <v>Bhutan</v>
      </c>
      <c r="D1749">
        <f>IFERROR(__xludf.DUMMYFUNCTION("""COMPUTED_VALUE"""),1966.0)</f>
        <v>1966</v>
      </c>
      <c r="E1749">
        <f>IFERROR(__xludf.DUMMYFUNCTION("""COMPUTED_VALUE"""),262244.0)</f>
        <v>262244</v>
      </c>
    </row>
    <row r="1750">
      <c r="A1750" t="str">
        <f t="shared" si="1"/>
        <v>btn#1967</v>
      </c>
      <c r="B1750" t="str">
        <f>IFERROR(__xludf.DUMMYFUNCTION("""COMPUTED_VALUE"""),"btn")</f>
        <v>btn</v>
      </c>
      <c r="C1750" t="str">
        <f>IFERROR(__xludf.DUMMYFUNCTION("""COMPUTED_VALUE"""),"Bhutan")</f>
        <v>Bhutan</v>
      </c>
      <c r="D1750">
        <f>IFERROR(__xludf.DUMMYFUNCTION("""COMPUTED_VALUE"""),1967.0)</f>
        <v>1967</v>
      </c>
      <c r="E1750">
        <f>IFERROR(__xludf.DUMMYFUNCTION("""COMPUTED_VALUE"""),270622.0)</f>
        <v>270622</v>
      </c>
    </row>
    <row r="1751">
      <c r="A1751" t="str">
        <f t="shared" si="1"/>
        <v>btn#1968</v>
      </c>
      <c r="B1751" t="str">
        <f>IFERROR(__xludf.DUMMYFUNCTION("""COMPUTED_VALUE"""),"btn")</f>
        <v>btn</v>
      </c>
      <c r="C1751" t="str">
        <f>IFERROR(__xludf.DUMMYFUNCTION("""COMPUTED_VALUE"""),"Bhutan")</f>
        <v>Bhutan</v>
      </c>
      <c r="D1751">
        <f>IFERROR(__xludf.DUMMYFUNCTION("""COMPUTED_VALUE"""),1968.0)</f>
        <v>1968</v>
      </c>
      <c r="E1751">
        <f>IFERROR(__xludf.DUMMYFUNCTION("""COMPUTED_VALUE"""),279515.0)</f>
        <v>279515</v>
      </c>
    </row>
    <row r="1752">
      <c r="A1752" t="str">
        <f t="shared" si="1"/>
        <v>btn#1969</v>
      </c>
      <c r="B1752" t="str">
        <f>IFERROR(__xludf.DUMMYFUNCTION("""COMPUTED_VALUE"""),"btn")</f>
        <v>btn</v>
      </c>
      <c r="C1752" t="str">
        <f>IFERROR(__xludf.DUMMYFUNCTION("""COMPUTED_VALUE"""),"Bhutan")</f>
        <v>Bhutan</v>
      </c>
      <c r="D1752">
        <f>IFERROR(__xludf.DUMMYFUNCTION("""COMPUTED_VALUE"""),1969.0)</f>
        <v>1969</v>
      </c>
      <c r="E1752">
        <f>IFERROR(__xludf.DUMMYFUNCTION("""COMPUTED_VALUE"""),288774.0)</f>
        <v>288774</v>
      </c>
    </row>
    <row r="1753">
      <c r="A1753" t="str">
        <f t="shared" si="1"/>
        <v>btn#1970</v>
      </c>
      <c r="B1753" t="str">
        <f>IFERROR(__xludf.DUMMYFUNCTION("""COMPUTED_VALUE"""),"btn")</f>
        <v>btn</v>
      </c>
      <c r="C1753" t="str">
        <f>IFERROR(__xludf.DUMMYFUNCTION("""COMPUTED_VALUE"""),"Bhutan")</f>
        <v>Bhutan</v>
      </c>
      <c r="D1753">
        <f>IFERROR(__xludf.DUMMYFUNCTION("""COMPUTED_VALUE"""),1970.0)</f>
        <v>1970</v>
      </c>
      <c r="E1753">
        <f>IFERROR(__xludf.DUMMYFUNCTION("""COMPUTED_VALUE"""),298301.0)</f>
        <v>298301</v>
      </c>
    </row>
    <row r="1754">
      <c r="A1754" t="str">
        <f t="shared" si="1"/>
        <v>btn#1971</v>
      </c>
      <c r="B1754" t="str">
        <f>IFERROR(__xludf.DUMMYFUNCTION("""COMPUTED_VALUE"""),"btn")</f>
        <v>btn</v>
      </c>
      <c r="C1754" t="str">
        <f>IFERROR(__xludf.DUMMYFUNCTION("""COMPUTED_VALUE"""),"Bhutan")</f>
        <v>Bhutan</v>
      </c>
      <c r="D1754">
        <f>IFERROR(__xludf.DUMMYFUNCTION("""COMPUTED_VALUE"""),1971.0)</f>
        <v>1971</v>
      </c>
      <c r="E1754">
        <f>IFERROR(__xludf.DUMMYFUNCTION("""COMPUTED_VALUE"""),308053.0)</f>
        <v>308053</v>
      </c>
    </row>
    <row r="1755">
      <c r="A1755" t="str">
        <f t="shared" si="1"/>
        <v>btn#1972</v>
      </c>
      <c r="B1755" t="str">
        <f>IFERROR(__xludf.DUMMYFUNCTION("""COMPUTED_VALUE"""),"btn")</f>
        <v>btn</v>
      </c>
      <c r="C1755" t="str">
        <f>IFERROR(__xludf.DUMMYFUNCTION("""COMPUTED_VALUE"""),"Bhutan")</f>
        <v>Bhutan</v>
      </c>
      <c r="D1755">
        <f>IFERROR(__xludf.DUMMYFUNCTION("""COMPUTED_VALUE"""),1972.0)</f>
        <v>1972</v>
      </c>
      <c r="E1755">
        <f>IFERROR(__xludf.DUMMYFUNCTION("""COMPUTED_VALUE"""),318045.0)</f>
        <v>318045</v>
      </c>
    </row>
    <row r="1756">
      <c r="A1756" t="str">
        <f t="shared" si="1"/>
        <v>btn#1973</v>
      </c>
      <c r="B1756" t="str">
        <f>IFERROR(__xludf.DUMMYFUNCTION("""COMPUTED_VALUE"""),"btn")</f>
        <v>btn</v>
      </c>
      <c r="C1756" t="str">
        <f>IFERROR(__xludf.DUMMYFUNCTION("""COMPUTED_VALUE"""),"Bhutan")</f>
        <v>Bhutan</v>
      </c>
      <c r="D1756">
        <f>IFERROR(__xludf.DUMMYFUNCTION("""COMPUTED_VALUE"""),1973.0)</f>
        <v>1973</v>
      </c>
      <c r="E1756">
        <f>IFERROR(__xludf.DUMMYFUNCTION("""COMPUTED_VALUE"""),328312.0)</f>
        <v>328312</v>
      </c>
    </row>
    <row r="1757">
      <c r="A1757" t="str">
        <f t="shared" si="1"/>
        <v>btn#1974</v>
      </c>
      <c r="B1757" t="str">
        <f>IFERROR(__xludf.DUMMYFUNCTION("""COMPUTED_VALUE"""),"btn")</f>
        <v>btn</v>
      </c>
      <c r="C1757" t="str">
        <f>IFERROR(__xludf.DUMMYFUNCTION("""COMPUTED_VALUE"""),"Bhutan")</f>
        <v>Bhutan</v>
      </c>
      <c r="D1757">
        <f>IFERROR(__xludf.DUMMYFUNCTION("""COMPUTED_VALUE"""),1974.0)</f>
        <v>1974</v>
      </c>
      <c r="E1757">
        <f>IFERROR(__xludf.DUMMYFUNCTION("""COMPUTED_VALUE"""),338943.0)</f>
        <v>338943</v>
      </c>
    </row>
    <row r="1758">
      <c r="A1758" t="str">
        <f t="shared" si="1"/>
        <v>btn#1975</v>
      </c>
      <c r="B1758" t="str">
        <f>IFERROR(__xludf.DUMMYFUNCTION("""COMPUTED_VALUE"""),"btn")</f>
        <v>btn</v>
      </c>
      <c r="C1758" t="str">
        <f>IFERROR(__xludf.DUMMYFUNCTION("""COMPUTED_VALUE"""),"Bhutan")</f>
        <v>Bhutan</v>
      </c>
      <c r="D1758">
        <f>IFERROR(__xludf.DUMMYFUNCTION("""COMPUTED_VALUE"""),1975.0)</f>
        <v>1975</v>
      </c>
      <c r="E1758">
        <f>IFERROR(__xludf.DUMMYFUNCTION("""COMPUTED_VALUE"""),349982.0)</f>
        <v>349982</v>
      </c>
    </row>
    <row r="1759">
      <c r="A1759" t="str">
        <f t="shared" si="1"/>
        <v>btn#1976</v>
      </c>
      <c r="B1759" t="str">
        <f>IFERROR(__xludf.DUMMYFUNCTION("""COMPUTED_VALUE"""),"btn")</f>
        <v>btn</v>
      </c>
      <c r="C1759" t="str">
        <f>IFERROR(__xludf.DUMMYFUNCTION("""COMPUTED_VALUE"""),"Bhutan")</f>
        <v>Bhutan</v>
      </c>
      <c r="D1759">
        <f>IFERROR(__xludf.DUMMYFUNCTION("""COMPUTED_VALUE"""),1976.0)</f>
        <v>1976</v>
      </c>
      <c r="E1759">
        <f>IFERROR(__xludf.DUMMYFUNCTION("""COMPUTED_VALUE"""),361455.0)</f>
        <v>361455</v>
      </c>
    </row>
    <row r="1760">
      <c r="A1760" t="str">
        <f t="shared" si="1"/>
        <v>btn#1977</v>
      </c>
      <c r="B1760" t="str">
        <f>IFERROR(__xludf.DUMMYFUNCTION("""COMPUTED_VALUE"""),"btn")</f>
        <v>btn</v>
      </c>
      <c r="C1760" t="str">
        <f>IFERROR(__xludf.DUMMYFUNCTION("""COMPUTED_VALUE"""),"Bhutan")</f>
        <v>Bhutan</v>
      </c>
      <c r="D1760">
        <f>IFERROR(__xludf.DUMMYFUNCTION("""COMPUTED_VALUE"""),1977.0)</f>
        <v>1977</v>
      </c>
      <c r="E1760">
        <f>IFERROR(__xludf.DUMMYFUNCTION("""COMPUTED_VALUE"""),373324.0)</f>
        <v>373324</v>
      </c>
    </row>
    <row r="1761">
      <c r="A1761" t="str">
        <f t="shared" si="1"/>
        <v>btn#1978</v>
      </c>
      <c r="B1761" t="str">
        <f>IFERROR(__xludf.DUMMYFUNCTION("""COMPUTED_VALUE"""),"btn")</f>
        <v>btn</v>
      </c>
      <c r="C1761" t="str">
        <f>IFERROR(__xludf.DUMMYFUNCTION("""COMPUTED_VALUE"""),"Bhutan")</f>
        <v>Bhutan</v>
      </c>
      <c r="D1761">
        <f>IFERROR(__xludf.DUMMYFUNCTION("""COMPUTED_VALUE"""),1978.0)</f>
        <v>1978</v>
      </c>
      <c r="E1761">
        <f>IFERROR(__xludf.DUMMYFUNCTION("""COMPUTED_VALUE"""),385384.0)</f>
        <v>385384</v>
      </c>
    </row>
    <row r="1762">
      <c r="A1762" t="str">
        <f t="shared" si="1"/>
        <v>btn#1979</v>
      </c>
      <c r="B1762" t="str">
        <f>IFERROR(__xludf.DUMMYFUNCTION("""COMPUTED_VALUE"""),"btn")</f>
        <v>btn</v>
      </c>
      <c r="C1762" t="str">
        <f>IFERROR(__xludf.DUMMYFUNCTION("""COMPUTED_VALUE"""),"Bhutan")</f>
        <v>Bhutan</v>
      </c>
      <c r="D1762">
        <f>IFERROR(__xludf.DUMMYFUNCTION("""COMPUTED_VALUE"""),1979.0)</f>
        <v>1979</v>
      </c>
      <c r="E1762">
        <f>IFERROR(__xludf.DUMMYFUNCTION("""COMPUTED_VALUE"""),397390.0)</f>
        <v>397390</v>
      </c>
    </row>
    <row r="1763">
      <c r="A1763" t="str">
        <f t="shared" si="1"/>
        <v>btn#1980</v>
      </c>
      <c r="B1763" t="str">
        <f>IFERROR(__xludf.DUMMYFUNCTION("""COMPUTED_VALUE"""),"btn")</f>
        <v>btn</v>
      </c>
      <c r="C1763" t="str">
        <f>IFERROR(__xludf.DUMMYFUNCTION("""COMPUTED_VALUE"""),"Bhutan")</f>
        <v>Bhutan</v>
      </c>
      <c r="D1763">
        <f>IFERROR(__xludf.DUMMYFUNCTION("""COMPUTED_VALUE"""),1980.0)</f>
        <v>1980</v>
      </c>
      <c r="E1763">
        <f>IFERROR(__xludf.DUMMYFUNCTION("""COMPUTED_VALUE"""),409172.0)</f>
        <v>409172</v>
      </c>
    </row>
    <row r="1764">
      <c r="A1764" t="str">
        <f t="shared" si="1"/>
        <v>btn#1981</v>
      </c>
      <c r="B1764" t="str">
        <f>IFERROR(__xludf.DUMMYFUNCTION("""COMPUTED_VALUE"""),"btn")</f>
        <v>btn</v>
      </c>
      <c r="C1764" t="str">
        <f>IFERROR(__xludf.DUMMYFUNCTION("""COMPUTED_VALUE"""),"Bhutan")</f>
        <v>Bhutan</v>
      </c>
      <c r="D1764">
        <f>IFERROR(__xludf.DUMMYFUNCTION("""COMPUTED_VALUE"""),1981.0)</f>
        <v>1981</v>
      </c>
      <c r="E1764">
        <f>IFERROR(__xludf.DUMMYFUNCTION("""COMPUTED_VALUE"""),420380.0)</f>
        <v>420380</v>
      </c>
    </row>
    <row r="1765">
      <c r="A1765" t="str">
        <f t="shared" si="1"/>
        <v>btn#1982</v>
      </c>
      <c r="B1765" t="str">
        <f>IFERROR(__xludf.DUMMYFUNCTION("""COMPUTED_VALUE"""),"btn")</f>
        <v>btn</v>
      </c>
      <c r="C1765" t="str">
        <f>IFERROR(__xludf.DUMMYFUNCTION("""COMPUTED_VALUE"""),"Bhutan")</f>
        <v>Bhutan</v>
      </c>
      <c r="D1765">
        <f>IFERROR(__xludf.DUMMYFUNCTION("""COMPUTED_VALUE"""),1982.0)</f>
        <v>1982</v>
      </c>
      <c r="E1765">
        <f>IFERROR(__xludf.DUMMYFUNCTION("""COMPUTED_VALUE"""),431050.0)</f>
        <v>431050</v>
      </c>
    </row>
    <row r="1766">
      <c r="A1766" t="str">
        <f t="shared" si="1"/>
        <v>btn#1983</v>
      </c>
      <c r="B1766" t="str">
        <f>IFERROR(__xludf.DUMMYFUNCTION("""COMPUTED_VALUE"""),"btn")</f>
        <v>btn</v>
      </c>
      <c r="C1766" t="str">
        <f>IFERROR(__xludf.DUMMYFUNCTION("""COMPUTED_VALUE"""),"Bhutan")</f>
        <v>Bhutan</v>
      </c>
      <c r="D1766">
        <f>IFERROR(__xludf.DUMMYFUNCTION("""COMPUTED_VALUE"""),1983.0)</f>
        <v>1983</v>
      </c>
      <c r="E1766">
        <f>IFERROR(__xludf.DUMMYFUNCTION("""COMPUTED_VALUE"""),441847.0)</f>
        <v>441847</v>
      </c>
    </row>
    <row r="1767">
      <c r="A1767" t="str">
        <f t="shared" si="1"/>
        <v>btn#1984</v>
      </c>
      <c r="B1767" t="str">
        <f>IFERROR(__xludf.DUMMYFUNCTION("""COMPUTED_VALUE"""),"btn")</f>
        <v>btn</v>
      </c>
      <c r="C1767" t="str">
        <f>IFERROR(__xludf.DUMMYFUNCTION("""COMPUTED_VALUE"""),"Bhutan")</f>
        <v>Bhutan</v>
      </c>
      <c r="D1767">
        <f>IFERROR(__xludf.DUMMYFUNCTION("""COMPUTED_VALUE"""),1984.0)</f>
        <v>1984</v>
      </c>
      <c r="E1767">
        <f>IFERROR(__xludf.DUMMYFUNCTION("""COMPUTED_VALUE"""),453720.0)</f>
        <v>453720</v>
      </c>
    </row>
    <row r="1768">
      <c r="A1768" t="str">
        <f t="shared" si="1"/>
        <v>btn#1985</v>
      </c>
      <c r="B1768" t="str">
        <f>IFERROR(__xludf.DUMMYFUNCTION("""COMPUTED_VALUE"""),"btn")</f>
        <v>btn</v>
      </c>
      <c r="C1768" t="str">
        <f>IFERROR(__xludf.DUMMYFUNCTION("""COMPUTED_VALUE"""),"Bhutan")</f>
        <v>Bhutan</v>
      </c>
      <c r="D1768">
        <f>IFERROR(__xludf.DUMMYFUNCTION("""COMPUTED_VALUE"""),1985.0)</f>
        <v>1985</v>
      </c>
      <c r="E1768">
        <f>IFERROR(__xludf.DUMMYFUNCTION("""COMPUTED_VALUE"""),467178.0)</f>
        <v>467178</v>
      </c>
    </row>
    <row r="1769">
      <c r="A1769" t="str">
        <f t="shared" si="1"/>
        <v>btn#1986</v>
      </c>
      <c r="B1769" t="str">
        <f>IFERROR(__xludf.DUMMYFUNCTION("""COMPUTED_VALUE"""),"btn")</f>
        <v>btn</v>
      </c>
      <c r="C1769" t="str">
        <f>IFERROR(__xludf.DUMMYFUNCTION("""COMPUTED_VALUE"""),"Bhutan")</f>
        <v>Bhutan</v>
      </c>
      <c r="D1769">
        <f>IFERROR(__xludf.DUMMYFUNCTION("""COMPUTED_VALUE"""),1986.0)</f>
        <v>1986</v>
      </c>
      <c r="E1769">
        <f>IFERROR(__xludf.DUMMYFUNCTION("""COMPUTED_VALUE"""),482952.0)</f>
        <v>482952</v>
      </c>
    </row>
    <row r="1770">
      <c r="A1770" t="str">
        <f t="shared" si="1"/>
        <v>btn#1987</v>
      </c>
      <c r="B1770" t="str">
        <f>IFERROR(__xludf.DUMMYFUNCTION("""COMPUTED_VALUE"""),"btn")</f>
        <v>btn</v>
      </c>
      <c r="C1770" t="str">
        <f>IFERROR(__xludf.DUMMYFUNCTION("""COMPUTED_VALUE"""),"Bhutan")</f>
        <v>Bhutan</v>
      </c>
      <c r="D1770">
        <f>IFERROR(__xludf.DUMMYFUNCTION("""COMPUTED_VALUE"""),1987.0)</f>
        <v>1987</v>
      </c>
      <c r="E1770">
        <f>IFERROR(__xludf.DUMMYFUNCTION("""COMPUTED_VALUE"""),500437.0)</f>
        <v>500437</v>
      </c>
    </row>
    <row r="1771">
      <c r="A1771" t="str">
        <f t="shared" si="1"/>
        <v>btn#1988</v>
      </c>
      <c r="B1771" t="str">
        <f>IFERROR(__xludf.DUMMYFUNCTION("""COMPUTED_VALUE"""),"btn")</f>
        <v>btn</v>
      </c>
      <c r="C1771" t="str">
        <f>IFERROR(__xludf.DUMMYFUNCTION("""COMPUTED_VALUE"""),"Bhutan")</f>
        <v>Bhutan</v>
      </c>
      <c r="D1771">
        <f>IFERROR(__xludf.DUMMYFUNCTION("""COMPUTED_VALUE"""),1988.0)</f>
        <v>1988</v>
      </c>
      <c r="E1771">
        <f>IFERROR(__xludf.DUMMYFUNCTION("""COMPUTED_VALUE"""),517273.0)</f>
        <v>517273</v>
      </c>
    </row>
    <row r="1772">
      <c r="A1772" t="str">
        <f t="shared" si="1"/>
        <v>btn#1989</v>
      </c>
      <c r="B1772" t="str">
        <f>IFERROR(__xludf.DUMMYFUNCTION("""COMPUTED_VALUE"""),"btn")</f>
        <v>btn</v>
      </c>
      <c r="C1772" t="str">
        <f>IFERROR(__xludf.DUMMYFUNCTION("""COMPUTED_VALUE"""),"Bhutan")</f>
        <v>Bhutan</v>
      </c>
      <c r="D1772">
        <f>IFERROR(__xludf.DUMMYFUNCTION("""COMPUTED_VALUE"""),1989.0)</f>
        <v>1989</v>
      </c>
      <c r="E1772">
        <f>IFERROR(__xludf.DUMMYFUNCTION("""COMPUTED_VALUE"""),530257.0)</f>
        <v>530257</v>
      </c>
    </row>
    <row r="1773">
      <c r="A1773" t="str">
        <f t="shared" si="1"/>
        <v>btn#1990</v>
      </c>
      <c r="B1773" t="str">
        <f>IFERROR(__xludf.DUMMYFUNCTION("""COMPUTED_VALUE"""),"btn")</f>
        <v>btn</v>
      </c>
      <c r="C1773" t="str">
        <f>IFERROR(__xludf.DUMMYFUNCTION("""COMPUTED_VALUE"""),"Bhutan")</f>
        <v>Bhutan</v>
      </c>
      <c r="D1773">
        <f>IFERROR(__xludf.DUMMYFUNCTION("""COMPUTED_VALUE"""),1990.0)</f>
        <v>1990</v>
      </c>
      <c r="E1773">
        <f>IFERROR(__xludf.DUMMYFUNCTION("""COMPUTED_VALUE"""),537280.0)</f>
        <v>537280</v>
      </c>
    </row>
    <row r="1774">
      <c r="A1774" t="str">
        <f t="shared" si="1"/>
        <v>btn#1991</v>
      </c>
      <c r="B1774" t="str">
        <f>IFERROR(__xludf.DUMMYFUNCTION("""COMPUTED_VALUE"""),"btn")</f>
        <v>btn</v>
      </c>
      <c r="C1774" t="str">
        <f>IFERROR(__xludf.DUMMYFUNCTION("""COMPUTED_VALUE"""),"Bhutan")</f>
        <v>Bhutan</v>
      </c>
      <c r="D1774">
        <f>IFERROR(__xludf.DUMMYFUNCTION("""COMPUTED_VALUE"""),1991.0)</f>
        <v>1991</v>
      </c>
      <c r="E1774">
        <f>IFERROR(__xludf.DUMMYFUNCTION("""COMPUTED_VALUE"""),537284.0)</f>
        <v>537284</v>
      </c>
    </row>
    <row r="1775">
      <c r="A1775" t="str">
        <f t="shared" si="1"/>
        <v>btn#1992</v>
      </c>
      <c r="B1775" t="str">
        <f>IFERROR(__xludf.DUMMYFUNCTION("""COMPUTED_VALUE"""),"btn")</f>
        <v>btn</v>
      </c>
      <c r="C1775" t="str">
        <f>IFERROR(__xludf.DUMMYFUNCTION("""COMPUTED_VALUE"""),"Bhutan")</f>
        <v>Bhutan</v>
      </c>
      <c r="D1775">
        <f>IFERROR(__xludf.DUMMYFUNCTION("""COMPUTED_VALUE"""),1992.0)</f>
        <v>1992</v>
      </c>
      <c r="E1775">
        <f>IFERROR(__xludf.DUMMYFUNCTION("""COMPUTED_VALUE"""),531525.0)</f>
        <v>531525</v>
      </c>
    </row>
    <row r="1776">
      <c r="A1776" t="str">
        <f t="shared" si="1"/>
        <v>btn#1993</v>
      </c>
      <c r="B1776" t="str">
        <f>IFERROR(__xludf.DUMMYFUNCTION("""COMPUTED_VALUE"""),"btn")</f>
        <v>btn</v>
      </c>
      <c r="C1776" t="str">
        <f>IFERROR(__xludf.DUMMYFUNCTION("""COMPUTED_VALUE"""),"Bhutan")</f>
        <v>Bhutan</v>
      </c>
      <c r="D1776">
        <f>IFERROR(__xludf.DUMMYFUNCTION("""COMPUTED_VALUE"""),1993.0)</f>
        <v>1993</v>
      </c>
      <c r="E1776">
        <f>IFERROR(__xludf.DUMMYFUNCTION("""COMPUTED_VALUE"""),523117.0)</f>
        <v>523117</v>
      </c>
    </row>
    <row r="1777">
      <c r="A1777" t="str">
        <f t="shared" si="1"/>
        <v>btn#1994</v>
      </c>
      <c r="B1777" t="str">
        <f>IFERROR(__xludf.DUMMYFUNCTION("""COMPUTED_VALUE"""),"btn")</f>
        <v>btn</v>
      </c>
      <c r="C1777" t="str">
        <f>IFERROR(__xludf.DUMMYFUNCTION("""COMPUTED_VALUE"""),"Bhutan")</f>
        <v>Bhutan</v>
      </c>
      <c r="D1777">
        <f>IFERROR(__xludf.DUMMYFUNCTION("""COMPUTED_VALUE"""),1994.0)</f>
        <v>1994</v>
      </c>
      <c r="E1777">
        <f>IFERROR(__xludf.DUMMYFUNCTION("""COMPUTED_VALUE"""),516503.0)</f>
        <v>516503</v>
      </c>
    </row>
    <row r="1778">
      <c r="A1778" t="str">
        <f t="shared" si="1"/>
        <v>btn#1995</v>
      </c>
      <c r="B1778" t="str">
        <f>IFERROR(__xludf.DUMMYFUNCTION("""COMPUTED_VALUE"""),"btn")</f>
        <v>btn</v>
      </c>
      <c r="C1778" t="str">
        <f>IFERROR(__xludf.DUMMYFUNCTION("""COMPUTED_VALUE"""),"Bhutan")</f>
        <v>Bhutan</v>
      </c>
      <c r="D1778">
        <f>IFERROR(__xludf.DUMMYFUNCTION("""COMPUTED_VALUE"""),1995.0)</f>
        <v>1995</v>
      </c>
      <c r="E1778">
        <f>IFERROR(__xludf.DUMMYFUNCTION("""COMPUTED_VALUE"""),514877.0)</f>
        <v>514877</v>
      </c>
    </row>
    <row r="1779">
      <c r="A1779" t="str">
        <f t="shared" si="1"/>
        <v>btn#1996</v>
      </c>
      <c r="B1779" t="str">
        <f>IFERROR(__xludf.DUMMYFUNCTION("""COMPUTED_VALUE"""),"btn")</f>
        <v>btn</v>
      </c>
      <c r="C1779" t="str">
        <f>IFERROR(__xludf.DUMMYFUNCTION("""COMPUTED_VALUE"""),"Bhutan")</f>
        <v>Bhutan</v>
      </c>
      <c r="D1779">
        <f>IFERROR(__xludf.DUMMYFUNCTION("""COMPUTED_VALUE"""),1996.0)</f>
        <v>1996</v>
      </c>
      <c r="E1779">
        <f>IFERROR(__xludf.DUMMYFUNCTION("""COMPUTED_VALUE"""),519282.0)</f>
        <v>519282</v>
      </c>
    </row>
    <row r="1780">
      <c r="A1780" t="str">
        <f t="shared" si="1"/>
        <v>btn#1997</v>
      </c>
      <c r="B1780" t="str">
        <f>IFERROR(__xludf.DUMMYFUNCTION("""COMPUTED_VALUE"""),"btn")</f>
        <v>btn</v>
      </c>
      <c r="C1780" t="str">
        <f>IFERROR(__xludf.DUMMYFUNCTION("""COMPUTED_VALUE"""),"Bhutan")</f>
        <v>Bhutan</v>
      </c>
      <c r="D1780">
        <f>IFERROR(__xludf.DUMMYFUNCTION("""COMPUTED_VALUE"""),1997.0)</f>
        <v>1997</v>
      </c>
      <c r="E1780">
        <f>IFERROR(__xludf.DUMMYFUNCTION("""COMPUTED_VALUE"""),528754.0)</f>
        <v>528754</v>
      </c>
    </row>
    <row r="1781">
      <c r="A1781" t="str">
        <f t="shared" si="1"/>
        <v>btn#1998</v>
      </c>
      <c r="B1781" t="str">
        <f>IFERROR(__xludf.DUMMYFUNCTION("""COMPUTED_VALUE"""),"btn")</f>
        <v>btn</v>
      </c>
      <c r="C1781" t="str">
        <f>IFERROR(__xludf.DUMMYFUNCTION("""COMPUTED_VALUE"""),"Bhutan")</f>
        <v>Bhutan</v>
      </c>
      <c r="D1781">
        <f>IFERROR(__xludf.DUMMYFUNCTION("""COMPUTED_VALUE"""),1998.0)</f>
        <v>1998</v>
      </c>
      <c r="E1781">
        <f>IFERROR(__xludf.DUMMYFUNCTION("""COMPUTED_VALUE"""),542155.0)</f>
        <v>542155</v>
      </c>
    </row>
    <row r="1782">
      <c r="A1782" t="str">
        <f t="shared" si="1"/>
        <v>btn#1999</v>
      </c>
      <c r="B1782" t="str">
        <f>IFERROR(__xludf.DUMMYFUNCTION("""COMPUTED_VALUE"""),"btn")</f>
        <v>btn</v>
      </c>
      <c r="C1782" t="str">
        <f>IFERROR(__xludf.DUMMYFUNCTION("""COMPUTED_VALUE"""),"Bhutan")</f>
        <v>Bhutan</v>
      </c>
      <c r="D1782">
        <f>IFERROR(__xludf.DUMMYFUNCTION("""COMPUTED_VALUE"""),1999.0)</f>
        <v>1999</v>
      </c>
      <c r="E1782">
        <f>IFERROR(__xludf.DUMMYFUNCTION("""COMPUTED_VALUE"""),557543.0)</f>
        <v>557543</v>
      </c>
    </row>
    <row r="1783">
      <c r="A1783" t="str">
        <f t="shared" si="1"/>
        <v>btn#2000</v>
      </c>
      <c r="B1783" t="str">
        <f>IFERROR(__xludf.DUMMYFUNCTION("""COMPUTED_VALUE"""),"btn")</f>
        <v>btn</v>
      </c>
      <c r="C1783" t="str">
        <f>IFERROR(__xludf.DUMMYFUNCTION("""COMPUTED_VALUE"""),"Bhutan")</f>
        <v>Bhutan</v>
      </c>
      <c r="D1783">
        <f>IFERROR(__xludf.DUMMYFUNCTION("""COMPUTED_VALUE"""),2000.0)</f>
        <v>2000</v>
      </c>
      <c r="E1783">
        <f>IFERROR(__xludf.DUMMYFUNCTION("""COMPUTED_VALUE"""),573416.0)</f>
        <v>573416</v>
      </c>
    </row>
    <row r="1784">
      <c r="A1784" t="str">
        <f t="shared" si="1"/>
        <v>btn#2001</v>
      </c>
      <c r="B1784" t="str">
        <f>IFERROR(__xludf.DUMMYFUNCTION("""COMPUTED_VALUE"""),"btn")</f>
        <v>btn</v>
      </c>
      <c r="C1784" t="str">
        <f>IFERROR(__xludf.DUMMYFUNCTION("""COMPUTED_VALUE"""),"Bhutan")</f>
        <v>Bhutan</v>
      </c>
      <c r="D1784">
        <f>IFERROR(__xludf.DUMMYFUNCTION("""COMPUTED_VALUE"""),2001.0)</f>
        <v>2001</v>
      </c>
      <c r="E1784">
        <f>IFERROR(__xludf.DUMMYFUNCTION("""COMPUTED_VALUE"""),589600.0)</f>
        <v>589600</v>
      </c>
    </row>
    <row r="1785">
      <c r="A1785" t="str">
        <f t="shared" si="1"/>
        <v>btn#2002</v>
      </c>
      <c r="B1785" t="str">
        <f>IFERROR(__xludf.DUMMYFUNCTION("""COMPUTED_VALUE"""),"btn")</f>
        <v>btn</v>
      </c>
      <c r="C1785" t="str">
        <f>IFERROR(__xludf.DUMMYFUNCTION("""COMPUTED_VALUE"""),"Bhutan")</f>
        <v>Bhutan</v>
      </c>
      <c r="D1785">
        <f>IFERROR(__xludf.DUMMYFUNCTION("""COMPUTED_VALUE"""),2002.0)</f>
        <v>2002</v>
      </c>
      <c r="E1785">
        <f>IFERROR(__xludf.DUMMYFUNCTION("""COMPUTED_VALUE"""),606399.0)</f>
        <v>606399</v>
      </c>
    </row>
    <row r="1786">
      <c r="A1786" t="str">
        <f t="shared" si="1"/>
        <v>btn#2003</v>
      </c>
      <c r="B1786" t="str">
        <f>IFERROR(__xludf.DUMMYFUNCTION("""COMPUTED_VALUE"""),"btn")</f>
        <v>btn</v>
      </c>
      <c r="C1786" t="str">
        <f>IFERROR(__xludf.DUMMYFUNCTION("""COMPUTED_VALUE"""),"Bhutan")</f>
        <v>Bhutan</v>
      </c>
      <c r="D1786">
        <f>IFERROR(__xludf.DUMMYFUNCTION("""COMPUTED_VALUE"""),2003.0)</f>
        <v>2003</v>
      </c>
      <c r="E1786">
        <f>IFERROR(__xludf.DUMMYFUNCTION("""COMPUTED_VALUE"""),623434.0)</f>
        <v>623434</v>
      </c>
    </row>
    <row r="1787">
      <c r="A1787" t="str">
        <f t="shared" si="1"/>
        <v>btn#2004</v>
      </c>
      <c r="B1787" t="str">
        <f>IFERROR(__xludf.DUMMYFUNCTION("""COMPUTED_VALUE"""),"btn")</f>
        <v>btn</v>
      </c>
      <c r="C1787" t="str">
        <f>IFERROR(__xludf.DUMMYFUNCTION("""COMPUTED_VALUE"""),"Bhutan")</f>
        <v>Bhutan</v>
      </c>
      <c r="D1787">
        <f>IFERROR(__xludf.DUMMYFUNCTION("""COMPUTED_VALUE"""),2004.0)</f>
        <v>2004</v>
      </c>
      <c r="E1787">
        <f>IFERROR(__xludf.DUMMYFUNCTION("""COMPUTED_VALUE"""),640282.0)</f>
        <v>640282</v>
      </c>
    </row>
    <row r="1788">
      <c r="A1788" t="str">
        <f t="shared" si="1"/>
        <v>btn#2005</v>
      </c>
      <c r="B1788" t="str">
        <f>IFERROR(__xludf.DUMMYFUNCTION("""COMPUTED_VALUE"""),"btn")</f>
        <v>btn</v>
      </c>
      <c r="C1788" t="str">
        <f>IFERROR(__xludf.DUMMYFUNCTION("""COMPUTED_VALUE"""),"Bhutan")</f>
        <v>Bhutan</v>
      </c>
      <c r="D1788">
        <f>IFERROR(__xludf.DUMMYFUNCTION("""COMPUTED_VALUE"""),2005.0)</f>
        <v>2005</v>
      </c>
      <c r="E1788">
        <f>IFERROR(__xludf.DUMMYFUNCTION("""COMPUTED_VALUE"""),656639.0)</f>
        <v>656639</v>
      </c>
    </row>
    <row r="1789">
      <c r="A1789" t="str">
        <f t="shared" si="1"/>
        <v>btn#2006</v>
      </c>
      <c r="B1789" t="str">
        <f>IFERROR(__xludf.DUMMYFUNCTION("""COMPUTED_VALUE"""),"btn")</f>
        <v>btn</v>
      </c>
      <c r="C1789" t="str">
        <f>IFERROR(__xludf.DUMMYFUNCTION("""COMPUTED_VALUE"""),"Bhutan")</f>
        <v>Bhutan</v>
      </c>
      <c r="D1789">
        <f>IFERROR(__xludf.DUMMYFUNCTION("""COMPUTED_VALUE"""),2006.0)</f>
        <v>2006</v>
      </c>
      <c r="E1789">
        <f>IFERROR(__xludf.DUMMYFUNCTION("""COMPUTED_VALUE"""),672228.0)</f>
        <v>672228</v>
      </c>
    </row>
    <row r="1790">
      <c r="A1790" t="str">
        <f t="shared" si="1"/>
        <v>btn#2007</v>
      </c>
      <c r="B1790" t="str">
        <f>IFERROR(__xludf.DUMMYFUNCTION("""COMPUTED_VALUE"""),"btn")</f>
        <v>btn</v>
      </c>
      <c r="C1790" t="str">
        <f>IFERROR(__xludf.DUMMYFUNCTION("""COMPUTED_VALUE"""),"Bhutan")</f>
        <v>Bhutan</v>
      </c>
      <c r="D1790">
        <f>IFERROR(__xludf.DUMMYFUNCTION("""COMPUTED_VALUE"""),2007.0)</f>
        <v>2007</v>
      </c>
      <c r="E1790">
        <f>IFERROR(__xludf.DUMMYFUNCTION("""COMPUTED_VALUE"""),686958.0)</f>
        <v>686958</v>
      </c>
    </row>
    <row r="1791">
      <c r="A1791" t="str">
        <f t="shared" si="1"/>
        <v>btn#2008</v>
      </c>
      <c r="B1791" t="str">
        <f>IFERROR(__xludf.DUMMYFUNCTION("""COMPUTED_VALUE"""),"btn")</f>
        <v>btn</v>
      </c>
      <c r="C1791" t="str">
        <f>IFERROR(__xludf.DUMMYFUNCTION("""COMPUTED_VALUE"""),"Bhutan")</f>
        <v>Bhutan</v>
      </c>
      <c r="D1791">
        <f>IFERROR(__xludf.DUMMYFUNCTION("""COMPUTED_VALUE"""),2008.0)</f>
        <v>2008</v>
      </c>
      <c r="E1791">
        <f>IFERROR(__xludf.DUMMYFUNCTION("""COMPUTED_VALUE"""),700950.0)</f>
        <v>700950</v>
      </c>
    </row>
    <row r="1792">
      <c r="A1792" t="str">
        <f t="shared" si="1"/>
        <v>btn#2009</v>
      </c>
      <c r="B1792" t="str">
        <f>IFERROR(__xludf.DUMMYFUNCTION("""COMPUTED_VALUE"""),"btn")</f>
        <v>btn</v>
      </c>
      <c r="C1792" t="str">
        <f>IFERROR(__xludf.DUMMYFUNCTION("""COMPUTED_VALUE"""),"Bhutan")</f>
        <v>Bhutan</v>
      </c>
      <c r="D1792">
        <f>IFERROR(__xludf.DUMMYFUNCTION("""COMPUTED_VALUE"""),2009.0)</f>
        <v>2009</v>
      </c>
      <c r="E1792">
        <f>IFERROR(__xludf.DUMMYFUNCTION("""COMPUTED_VALUE"""),714458.0)</f>
        <v>714458</v>
      </c>
    </row>
    <row r="1793">
      <c r="A1793" t="str">
        <f t="shared" si="1"/>
        <v>btn#2010</v>
      </c>
      <c r="B1793" t="str">
        <f>IFERROR(__xludf.DUMMYFUNCTION("""COMPUTED_VALUE"""),"btn")</f>
        <v>btn</v>
      </c>
      <c r="C1793" t="str">
        <f>IFERROR(__xludf.DUMMYFUNCTION("""COMPUTED_VALUE"""),"Bhutan")</f>
        <v>Bhutan</v>
      </c>
      <c r="D1793">
        <f>IFERROR(__xludf.DUMMYFUNCTION("""COMPUTED_VALUE"""),2010.0)</f>
        <v>2010</v>
      </c>
      <c r="E1793">
        <f>IFERROR(__xludf.DUMMYFUNCTION("""COMPUTED_VALUE"""),727641.0)</f>
        <v>727641</v>
      </c>
    </row>
    <row r="1794">
      <c r="A1794" t="str">
        <f t="shared" si="1"/>
        <v>btn#2011</v>
      </c>
      <c r="B1794" t="str">
        <f>IFERROR(__xludf.DUMMYFUNCTION("""COMPUTED_VALUE"""),"btn")</f>
        <v>btn</v>
      </c>
      <c r="C1794" t="str">
        <f>IFERROR(__xludf.DUMMYFUNCTION("""COMPUTED_VALUE"""),"Bhutan")</f>
        <v>Bhutan</v>
      </c>
      <c r="D1794">
        <f>IFERROR(__xludf.DUMMYFUNCTION("""COMPUTED_VALUE"""),2011.0)</f>
        <v>2011</v>
      </c>
      <c r="E1794">
        <f>IFERROR(__xludf.DUMMYFUNCTION("""COMPUTED_VALUE"""),740510.0)</f>
        <v>740510</v>
      </c>
    </row>
    <row r="1795">
      <c r="A1795" t="str">
        <f t="shared" si="1"/>
        <v>btn#2012</v>
      </c>
      <c r="B1795" t="str">
        <f>IFERROR(__xludf.DUMMYFUNCTION("""COMPUTED_VALUE"""),"btn")</f>
        <v>btn</v>
      </c>
      <c r="C1795" t="str">
        <f>IFERROR(__xludf.DUMMYFUNCTION("""COMPUTED_VALUE"""),"Bhutan")</f>
        <v>Bhutan</v>
      </c>
      <c r="D1795">
        <f>IFERROR(__xludf.DUMMYFUNCTION("""COMPUTED_VALUE"""),2012.0)</f>
        <v>2012</v>
      </c>
      <c r="E1795">
        <f>IFERROR(__xludf.DUMMYFUNCTION("""COMPUTED_VALUE"""),752967.0)</f>
        <v>752967</v>
      </c>
    </row>
    <row r="1796">
      <c r="A1796" t="str">
        <f t="shared" si="1"/>
        <v>btn#2013</v>
      </c>
      <c r="B1796" t="str">
        <f>IFERROR(__xludf.DUMMYFUNCTION("""COMPUTED_VALUE"""),"btn")</f>
        <v>btn</v>
      </c>
      <c r="C1796" t="str">
        <f>IFERROR(__xludf.DUMMYFUNCTION("""COMPUTED_VALUE"""),"Bhutan")</f>
        <v>Bhutan</v>
      </c>
      <c r="D1796">
        <f>IFERROR(__xludf.DUMMYFUNCTION("""COMPUTED_VALUE"""),2013.0)</f>
        <v>2013</v>
      </c>
      <c r="E1796">
        <f>IFERROR(__xludf.DUMMYFUNCTION("""COMPUTED_VALUE"""),764961.0)</f>
        <v>764961</v>
      </c>
    </row>
    <row r="1797">
      <c r="A1797" t="str">
        <f t="shared" si="1"/>
        <v>btn#2014</v>
      </c>
      <c r="B1797" t="str">
        <f>IFERROR(__xludf.DUMMYFUNCTION("""COMPUTED_VALUE"""),"btn")</f>
        <v>btn</v>
      </c>
      <c r="C1797" t="str">
        <f>IFERROR(__xludf.DUMMYFUNCTION("""COMPUTED_VALUE"""),"Bhutan")</f>
        <v>Bhutan</v>
      </c>
      <c r="D1797">
        <f>IFERROR(__xludf.DUMMYFUNCTION("""COMPUTED_VALUE"""),2014.0)</f>
        <v>2014</v>
      </c>
      <c r="E1797">
        <f>IFERROR(__xludf.DUMMYFUNCTION("""COMPUTED_VALUE"""),776448.0)</f>
        <v>776448</v>
      </c>
    </row>
    <row r="1798">
      <c r="A1798" t="str">
        <f t="shared" si="1"/>
        <v>btn#2015</v>
      </c>
      <c r="B1798" t="str">
        <f>IFERROR(__xludf.DUMMYFUNCTION("""COMPUTED_VALUE"""),"btn")</f>
        <v>btn</v>
      </c>
      <c r="C1798" t="str">
        <f>IFERROR(__xludf.DUMMYFUNCTION("""COMPUTED_VALUE"""),"Bhutan")</f>
        <v>Bhutan</v>
      </c>
      <c r="D1798">
        <f>IFERROR(__xludf.DUMMYFUNCTION("""COMPUTED_VALUE"""),2015.0)</f>
        <v>2015</v>
      </c>
      <c r="E1798">
        <f>IFERROR(__xludf.DUMMYFUNCTION("""COMPUTED_VALUE"""),787386.0)</f>
        <v>787386</v>
      </c>
    </row>
    <row r="1799">
      <c r="A1799" t="str">
        <f t="shared" si="1"/>
        <v>btn#2016</v>
      </c>
      <c r="B1799" t="str">
        <f>IFERROR(__xludf.DUMMYFUNCTION("""COMPUTED_VALUE"""),"btn")</f>
        <v>btn</v>
      </c>
      <c r="C1799" t="str">
        <f>IFERROR(__xludf.DUMMYFUNCTION("""COMPUTED_VALUE"""),"Bhutan")</f>
        <v>Bhutan</v>
      </c>
      <c r="D1799">
        <f>IFERROR(__xludf.DUMMYFUNCTION("""COMPUTED_VALUE"""),2016.0)</f>
        <v>2016</v>
      </c>
      <c r="E1799">
        <f>IFERROR(__xludf.DUMMYFUNCTION("""COMPUTED_VALUE"""),797765.0)</f>
        <v>797765</v>
      </c>
    </row>
    <row r="1800">
      <c r="A1800" t="str">
        <f t="shared" si="1"/>
        <v>btn#2017</v>
      </c>
      <c r="B1800" t="str">
        <f>IFERROR(__xludf.DUMMYFUNCTION("""COMPUTED_VALUE"""),"btn")</f>
        <v>btn</v>
      </c>
      <c r="C1800" t="str">
        <f>IFERROR(__xludf.DUMMYFUNCTION("""COMPUTED_VALUE"""),"Bhutan")</f>
        <v>Bhutan</v>
      </c>
      <c r="D1800">
        <f>IFERROR(__xludf.DUMMYFUNCTION("""COMPUTED_VALUE"""),2017.0)</f>
        <v>2017</v>
      </c>
      <c r="E1800">
        <f>IFERROR(__xludf.DUMMYFUNCTION("""COMPUTED_VALUE"""),807610.0)</f>
        <v>807610</v>
      </c>
    </row>
    <row r="1801">
      <c r="A1801" t="str">
        <f t="shared" si="1"/>
        <v>btn#2018</v>
      </c>
      <c r="B1801" t="str">
        <f>IFERROR(__xludf.DUMMYFUNCTION("""COMPUTED_VALUE"""),"btn")</f>
        <v>btn</v>
      </c>
      <c r="C1801" t="str">
        <f>IFERROR(__xludf.DUMMYFUNCTION("""COMPUTED_VALUE"""),"Bhutan")</f>
        <v>Bhutan</v>
      </c>
      <c r="D1801">
        <f>IFERROR(__xludf.DUMMYFUNCTION("""COMPUTED_VALUE"""),2018.0)</f>
        <v>2018</v>
      </c>
      <c r="E1801">
        <f>IFERROR(__xludf.DUMMYFUNCTION("""COMPUTED_VALUE"""),817054.0)</f>
        <v>817054</v>
      </c>
    </row>
    <row r="1802">
      <c r="A1802" t="str">
        <f t="shared" si="1"/>
        <v>btn#2019</v>
      </c>
      <c r="B1802" t="str">
        <f>IFERROR(__xludf.DUMMYFUNCTION("""COMPUTED_VALUE"""),"btn")</f>
        <v>btn</v>
      </c>
      <c r="C1802" t="str">
        <f>IFERROR(__xludf.DUMMYFUNCTION("""COMPUTED_VALUE"""),"Bhutan")</f>
        <v>Bhutan</v>
      </c>
      <c r="D1802">
        <f>IFERROR(__xludf.DUMMYFUNCTION("""COMPUTED_VALUE"""),2019.0)</f>
        <v>2019</v>
      </c>
      <c r="E1802">
        <f>IFERROR(__xludf.DUMMYFUNCTION("""COMPUTED_VALUE"""),826229.0)</f>
        <v>826229</v>
      </c>
    </row>
    <row r="1803">
      <c r="A1803" t="str">
        <f t="shared" si="1"/>
        <v>btn#2020</v>
      </c>
      <c r="B1803" t="str">
        <f>IFERROR(__xludf.DUMMYFUNCTION("""COMPUTED_VALUE"""),"btn")</f>
        <v>btn</v>
      </c>
      <c r="C1803" t="str">
        <f>IFERROR(__xludf.DUMMYFUNCTION("""COMPUTED_VALUE"""),"Bhutan")</f>
        <v>Bhutan</v>
      </c>
      <c r="D1803">
        <f>IFERROR(__xludf.DUMMYFUNCTION("""COMPUTED_VALUE"""),2020.0)</f>
        <v>2020</v>
      </c>
      <c r="E1803">
        <f>IFERROR(__xludf.DUMMYFUNCTION("""COMPUTED_VALUE"""),835245.0)</f>
        <v>835245</v>
      </c>
    </row>
    <row r="1804">
      <c r="A1804" t="str">
        <f t="shared" si="1"/>
        <v>btn#2021</v>
      </c>
      <c r="B1804" t="str">
        <f>IFERROR(__xludf.DUMMYFUNCTION("""COMPUTED_VALUE"""),"btn")</f>
        <v>btn</v>
      </c>
      <c r="C1804" t="str">
        <f>IFERROR(__xludf.DUMMYFUNCTION("""COMPUTED_VALUE"""),"Bhutan")</f>
        <v>Bhutan</v>
      </c>
      <c r="D1804">
        <f>IFERROR(__xludf.DUMMYFUNCTION("""COMPUTED_VALUE"""),2021.0)</f>
        <v>2021</v>
      </c>
      <c r="E1804">
        <f>IFERROR(__xludf.DUMMYFUNCTION("""COMPUTED_VALUE"""),844152.0)</f>
        <v>844152</v>
      </c>
    </row>
    <row r="1805">
      <c r="A1805" t="str">
        <f t="shared" si="1"/>
        <v>btn#2022</v>
      </c>
      <c r="B1805" t="str">
        <f>IFERROR(__xludf.DUMMYFUNCTION("""COMPUTED_VALUE"""),"btn")</f>
        <v>btn</v>
      </c>
      <c r="C1805" t="str">
        <f>IFERROR(__xludf.DUMMYFUNCTION("""COMPUTED_VALUE"""),"Bhutan")</f>
        <v>Bhutan</v>
      </c>
      <c r="D1805">
        <f>IFERROR(__xludf.DUMMYFUNCTION("""COMPUTED_VALUE"""),2022.0)</f>
        <v>2022</v>
      </c>
      <c r="E1805">
        <f>IFERROR(__xludf.DUMMYFUNCTION("""COMPUTED_VALUE"""),852909.0)</f>
        <v>852909</v>
      </c>
    </row>
    <row r="1806">
      <c r="A1806" t="str">
        <f t="shared" si="1"/>
        <v>btn#2023</v>
      </c>
      <c r="B1806" t="str">
        <f>IFERROR(__xludf.DUMMYFUNCTION("""COMPUTED_VALUE"""),"btn")</f>
        <v>btn</v>
      </c>
      <c r="C1806" t="str">
        <f>IFERROR(__xludf.DUMMYFUNCTION("""COMPUTED_VALUE"""),"Bhutan")</f>
        <v>Bhutan</v>
      </c>
      <c r="D1806">
        <f>IFERROR(__xludf.DUMMYFUNCTION("""COMPUTED_VALUE"""),2023.0)</f>
        <v>2023</v>
      </c>
      <c r="E1806">
        <f>IFERROR(__xludf.DUMMYFUNCTION("""COMPUTED_VALUE"""),861502.0)</f>
        <v>861502</v>
      </c>
    </row>
    <row r="1807">
      <c r="A1807" t="str">
        <f t="shared" si="1"/>
        <v>btn#2024</v>
      </c>
      <c r="B1807" t="str">
        <f>IFERROR(__xludf.DUMMYFUNCTION("""COMPUTED_VALUE"""),"btn")</f>
        <v>btn</v>
      </c>
      <c r="C1807" t="str">
        <f>IFERROR(__xludf.DUMMYFUNCTION("""COMPUTED_VALUE"""),"Bhutan")</f>
        <v>Bhutan</v>
      </c>
      <c r="D1807">
        <f>IFERROR(__xludf.DUMMYFUNCTION("""COMPUTED_VALUE"""),2024.0)</f>
        <v>2024</v>
      </c>
      <c r="E1807">
        <f>IFERROR(__xludf.DUMMYFUNCTION("""COMPUTED_VALUE"""),869835.0)</f>
        <v>869835</v>
      </c>
    </row>
    <row r="1808">
      <c r="A1808" t="str">
        <f t="shared" si="1"/>
        <v>btn#2025</v>
      </c>
      <c r="B1808" t="str">
        <f>IFERROR(__xludf.DUMMYFUNCTION("""COMPUTED_VALUE"""),"btn")</f>
        <v>btn</v>
      </c>
      <c r="C1808" t="str">
        <f>IFERROR(__xludf.DUMMYFUNCTION("""COMPUTED_VALUE"""),"Bhutan")</f>
        <v>Bhutan</v>
      </c>
      <c r="D1808">
        <f>IFERROR(__xludf.DUMMYFUNCTION("""COMPUTED_VALUE"""),2025.0)</f>
        <v>2025</v>
      </c>
      <c r="E1808">
        <f>IFERROR(__xludf.DUMMYFUNCTION("""COMPUTED_VALUE"""),877866.0)</f>
        <v>877866</v>
      </c>
    </row>
    <row r="1809">
      <c r="A1809" t="str">
        <f t="shared" si="1"/>
        <v>btn#2026</v>
      </c>
      <c r="B1809" t="str">
        <f>IFERROR(__xludf.DUMMYFUNCTION("""COMPUTED_VALUE"""),"btn")</f>
        <v>btn</v>
      </c>
      <c r="C1809" t="str">
        <f>IFERROR(__xludf.DUMMYFUNCTION("""COMPUTED_VALUE"""),"Bhutan")</f>
        <v>Bhutan</v>
      </c>
      <c r="D1809">
        <f>IFERROR(__xludf.DUMMYFUNCTION("""COMPUTED_VALUE"""),2026.0)</f>
        <v>2026</v>
      </c>
      <c r="E1809">
        <f>IFERROR(__xludf.DUMMYFUNCTION("""COMPUTED_VALUE"""),885608.0)</f>
        <v>885608</v>
      </c>
    </row>
    <row r="1810">
      <c r="A1810" t="str">
        <f t="shared" si="1"/>
        <v>btn#2027</v>
      </c>
      <c r="B1810" t="str">
        <f>IFERROR(__xludf.DUMMYFUNCTION("""COMPUTED_VALUE"""),"btn")</f>
        <v>btn</v>
      </c>
      <c r="C1810" t="str">
        <f>IFERROR(__xludf.DUMMYFUNCTION("""COMPUTED_VALUE"""),"Bhutan")</f>
        <v>Bhutan</v>
      </c>
      <c r="D1810">
        <f>IFERROR(__xludf.DUMMYFUNCTION("""COMPUTED_VALUE"""),2027.0)</f>
        <v>2027</v>
      </c>
      <c r="E1810">
        <f>IFERROR(__xludf.DUMMYFUNCTION("""COMPUTED_VALUE"""),893058.0)</f>
        <v>893058</v>
      </c>
    </row>
    <row r="1811">
      <c r="A1811" t="str">
        <f t="shared" si="1"/>
        <v>btn#2028</v>
      </c>
      <c r="B1811" t="str">
        <f>IFERROR(__xludf.DUMMYFUNCTION("""COMPUTED_VALUE"""),"btn")</f>
        <v>btn</v>
      </c>
      <c r="C1811" t="str">
        <f>IFERROR(__xludf.DUMMYFUNCTION("""COMPUTED_VALUE"""),"Bhutan")</f>
        <v>Bhutan</v>
      </c>
      <c r="D1811">
        <f>IFERROR(__xludf.DUMMYFUNCTION("""COMPUTED_VALUE"""),2028.0)</f>
        <v>2028</v>
      </c>
      <c r="E1811">
        <f>IFERROR(__xludf.DUMMYFUNCTION("""COMPUTED_VALUE"""),900219.0)</f>
        <v>900219</v>
      </c>
    </row>
    <row r="1812">
      <c r="A1812" t="str">
        <f t="shared" si="1"/>
        <v>btn#2029</v>
      </c>
      <c r="B1812" t="str">
        <f>IFERROR(__xludf.DUMMYFUNCTION("""COMPUTED_VALUE"""),"btn")</f>
        <v>btn</v>
      </c>
      <c r="C1812" t="str">
        <f>IFERROR(__xludf.DUMMYFUNCTION("""COMPUTED_VALUE"""),"Bhutan")</f>
        <v>Bhutan</v>
      </c>
      <c r="D1812">
        <f>IFERROR(__xludf.DUMMYFUNCTION("""COMPUTED_VALUE"""),2029.0)</f>
        <v>2029</v>
      </c>
      <c r="E1812">
        <f>IFERROR(__xludf.DUMMYFUNCTION("""COMPUTED_VALUE"""),907107.0)</f>
        <v>907107</v>
      </c>
    </row>
    <row r="1813">
      <c r="A1813" t="str">
        <f t="shared" si="1"/>
        <v>btn#2030</v>
      </c>
      <c r="B1813" t="str">
        <f>IFERROR(__xludf.DUMMYFUNCTION("""COMPUTED_VALUE"""),"btn")</f>
        <v>btn</v>
      </c>
      <c r="C1813" t="str">
        <f>IFERROR(__xludf.DUMMYFUNCTION("""COMPUTED_VALUE"""),"Bhutan")</f>
        <v>Bhutan</v>
      </c>
      <c r="D1813">
        <f>IFERROR(__xludf.DUMMYFUNCTION("""COMPUTED_VALUE"""),2030.0)</f>
        <v>2030</v>
      </c>
      <c r="E1813">
        <f>IFERROR(__xludf.DUMMYFUNCTION("""COMPUTED_VALUE"""),913697.0)</f>
        <v>913697</v>
      </c>
    </row>
    <row r="1814">
      <c r="A1814" t="str">
        <f t="shared" si="1"/>
        <v>btn#2031</v>
      </c>
      <c r="B1814" t="str">
        <f>IFERROR(__xludf.DUMMYFUNCTION("""COMPUTED_VALUE"""),"btn")</f>
        <v>btn</v>
      </c>
      <c r="C1814" t="str">
        <f>IFERROR(__xludf.DUMMYFUNCTION("""COMPUTED_VALUE"""),"Bhutan")</f>
        <v>Bhutan</v>
      </c>
      <c r="D1814">
        <f>IFERROR(__xludf.DUMMYFUNCTION("""COMPUTED_VALUE"""),2031.0)</f>
        <v>2031</v>
      </c>
      <c r="E1814">
        <f>IFERROR(__xludf.DUMMYFUNCTION("""COMPUTED_VALUE"""),920013.0)</f>
        <v>920013</v>
      </c>
    </row>
    <row r="1815">
      <c r="A1815" t="str">
        <f t="shared" si="1"/>
        <v>btn#2032</v>
      </c>
      <c r="B1815" t="str">
        <f>IFERROR(__xludf.DUMMYFUNCTION("""COMPUTED_VALUE"""),"btn")</f>
        <v>btn</v>
      </c>
      <c r="C1815" t="str">
        <f>IFERROR(__xludf.DUMMYFUNCTION("""COMPUTED_VALUE"""),"Bhutan")</f>
        <v>Bhutan</v>
      </c>
      <c r="D1815">
        <f>IFERROR(__xludf.DUMMYFUNCTION("""COMPUTED_VALUE"""),2032.0)</f>
        <v>2032</v>
      </c>
      <c r="E1815">
        <f>IFERROR(__xludf.DUMMYFUNCTION("""COMPUTED_VALUE"""),926035.0)</f>
        <v>926035</v>
      </c>
    </row>
    <row r="1816">
      <c r="A1816" t="str">
        <f t="shared" si="1"/>
        <v>btn#2033</v>
      </c>
      <c r="B1816" t="str">
        <f>IFERROR(__xludf.DUMMYFUNCTION("""COMPUTED_VALUE"""),"btn")</f>
        <v>btn</v>
      </c>
      <c r="C1816" t="str">
        <f>IFERROR(__xludf.DUMMYFUNCTION("""COMPUTED_VALUE"""),"Bhutan")</f>
        <v>Bhutan</v>
      </c>
      <c r="D1816">
        <f>IFERROR(__xludf.DUMMYFUNCTION("""COMPUTED_VALUE"""),2033.0)</f>
        <v>2033</v>
      </c>
      <c r="E1816">
        <f>IFERROR(__xludf.DUMMYFUNCTION("""COMPUTED_VALUE"""),931797.0)</f>
        <v>931797</v>
      </c>
    </row>
    <row r="1817">
      <c r="A1817" t="str">
        <f t="shared" si="1"/>
        <v>btn#2034</v>
      </c>
      <c r="B1817" t="str">
        <f>IFERROR(__xludf.DUMMYFUNCTION("""COMPUTED_VALUE"""),"btn")</f>
        <v>btn</v>
      </c>
      <c r="C1817" t="str">
        <f>IFERROR(__xludf.DUMMYFUNCTION("""COMPUTED_VALUE"""),"Bhutan")</f>
        <v>Bhutan</v>
      </c>
      <c r="D1817">
        <f>IFERROR(__xludf.DUMMYFUNCTION("""COMPUTED_VALUE"""),2034.0)</f>
        <v>2034</v>
      </c>
      <c r="E1817">
        <f>IFERROR(__xludf.DUMMYFUNCTION("""COMPUTED_VALUE"""),937288.0)</f>
        <v>937288</v>
      </c>
    </row>
    <row r="1818">
      <c r="A1818" t="str">
        <f t="shared" si="1"/>
        <v>btn#2035</v>
      </c>
      <c r="B1818" t="str">
        <f>IFERROR(__xludf.DUMMYFUNCTION("""COMPUTED_VALUE"""),"btn")</f>
        <v>btn</v>
      </c>
      <c r="C1818" t="str">
        <f>IFERROR(__xludf.DUMMYFUNCTION("""COMPUTED_VALUE"""),"Bhutan")</f>
        <v>Bhutan</v>
      </c>
      <c r="D1818">
        <f>IFERROR(__xludf.DUMMYFUNCTION("""COMPUTED_VALUE"""),2035.0)</f>
        <v>2035</v>
      </c>
      <c r="E1818">
        <f>IFERROR(__xludf.DUMMYFUNCTION("""COMPUTED_VALUE"""),942541.0)</f>
        <v>942541</v>
      </c>
    </row>
    <row r="1819">
      <c r="A1819" t="str">
        <f t="shared" si="1"/>
        <v>btn#2036</v>
      </c>
      <c r="B1819" t="str">
        <f>IFERROR(__xludf.DUMMYFUNCTION("""COMPUTED_VALUE"""),"btn")</f>
        <v>btn</v>
      </c>
      <c r="C1819" t="str">
        <f>IFERROR(__xludf.DUMMYFUNCTION("""COMPUTED_VALUE"""),"Bhutan")</f>
        <v>Bhutan</v>
      </c>
      <c r="D1819">
        <f>IFERROR(__xludf.DUMMYFUNCTION("""COMPUTED_VALUE"""),2036.0)</f>
        <v>2036</v>
      </c>
      <c r="E1819">
        <f>IFERROR(__xludf.DUMMYFUNCTION("""COMPUTED_VALUE"""),947543.0)</f>
        <v>947543</v>
      </c>
    </row>
    <row r="1820">
      <c r="A1820" t="str">
        <f t="shared" si="1"/>
        <v>btn#2037</v>
      </c>
      <c r="B1820" t="str">
        <f>IFERROR(__xludf.DUMMYFUNCTION("""COMPUTED_VALUE"""),"btn")</f>
        <v>btn</v>
      </c>
      <c r="C1820" t="str">
        <f>IFERROR(__xludf.DUMMYFUNCTION("""COMPUTED_VALUE"""),"Bhutan")</f>
        <v>Bhutan</v>
      </c>
      <c r="D1820">
        <f>IFERROR(__xludf.DUMMYFUNCTION("""COMPUTED_VALUE"""),2037.0)</f>
        <v>2037</v>
      </c>
      <c r="E1820">
        <f>IFERROR(__xludf.DUMMYFUNCTION("""COMPUTED_VALUE"""),952313.0)</f>
        <v>952313</v>
      </c>
    </row>
    <row r="1821">
      <c r="A1821" t="str">
        <f t="shared" si="1"/>
        <v>btn#2038</v>
      </c>
      <c r="B1821" t="str">
        <f>IFERROR(__xludf.DUMMYFUNCTION("""COMPUTED_VALUE"""),"btn")</f>
        <v>btn</v>
      </c>
      <c r="C1821" t="str">
        <f>IFERROR(__xludf.DUMMYFUNCTION("""COMPUTED_VALUE"""),"Bhutan")</f>
        <v>Bhutan</v>
      </c>
      <c r="D1821">
        <f>IFERROR(__xludf.DUMMYFUNCTION("""COMPUTED_VALUE"""),2038.0)</f>
        <v>2038</v>
      </c>
      <c r="E1821">
        <f>IFERROR(__xludf.DUMMYFUNCTION("""COMPUTED_VALUE"""),956838.0)</f>
        <v>956838</v>
      </c>
    </row>
    <row r="1822">
      <c r="A1822" t="str">
        <f t="shared" si="1"/>
        <v>btn#2039</v>
      </c>
      <c r="B1822" t="str">
        <f>IFERROR(__xludf.DUMMYFUNCTION("""COMPUTED_VALUE"""),"btn")</f>
        <v>btn</v>
      </c>
      <c r="C1822" t="str">
        <f>IFERROR(__xludf.DUMMYFUNCTION("""COMPUTED_VALUE"""),"Bhutan")</f>
        <v>Bhutan</v>
      </c>
      <c r="D1822">
        <f>IFERROR(__xludf.DUMMYFUNCTION("""COMPUTED_VALUE"""),2039.0)</f>
        <v>2039</v>
      </c>
      <c r="E1822">
        <f>IFERROR(__xludf.DUMMYFUNCTION("""COMPUTED_VALUE"""),961150.0)</f>
        <v>961150</v>
      </c>
    </row>
    <row r="1823">
      <c r="A1823" t="str">
        <f t="shared" si="1"/>
        <v>btn#2040</v>
      </c>
      <c r="B1823" t="str">
        <f>IFERROR(__xludf.DUMMYFUNCTION("""COMPUTED_VALUE"""),"btn")</f>
        <v>btn</v>
      </c>
      <c r="C1823" t="str">
        <f>IFERROR(__xludf.DUMMYFUNCTION("""COMPUTED_VALUE"""),"Bhutan")</f>
        <v>Bhutan</v>
      </c>
      <c r="D1823">
        <f>IFERROR(__xludf.DUMMYFUNCTION("""COMPUTED_VALUE"""),2040.0)</f>
        <v>2040</v>
      </c>
      <c r="E1823">
        <f>IFERROR(__xludf.DUMMYFUNCTION("""COMPUTED_VALUE"""),965239.0)</f>
        <v>965239</v>
      </c>
    </row>
    <row r="1824">
      <c r="A1824" t="str">
        <f t="shared" si="1"/>
        <v>bol#1950</v>
      </c>
      <c r="B1824" t="str">
        <f>IFERROR(__xludf.DUMMYFUNCTION("""COMPUTED_VALUE"""),"bol")</f>
        <v>bol</v>
      </c>
      <c r="C1824" t="str">
        <f>IFERROR(__xludf.DUMMYFUNCTION("""COMPUTED_VALUE"""),"Bolivia")</f>
        <v>Bolivia</v>
      </c>
      <c r="D1824">
        <f>IFERROR(__xludf.DUMMYFUNCTION("""COMPUTED_VALUE"""),1950.0)</f>
        <v>1950</v>
      </c>
      <c r="E1824">
        <f>IFERROR(__xludf.DUMMYFUNCTION("""COMPUTED_VALUE"""),3089646.0)</f>
        <v>3089646</v>
      </c>
    </row>
    <row r="1825">
      <c r="A1825" t="str">
        <f t="shared" si="1"/>
        <v>bol#1951</v>
      </c>
      <c r="B1825" t="str">
        <f>IFERROR(__xludf.DUMMYFUNCTION("""COMPUTED_VALUE"""),"bol")</f>
        <v>bol</v>
      </c>
      <c r="C1825" t="str">
        <f>IFERROR(__xludf.DUMMYFUNCTION("""COMPUTED_VALUE"""),"Bolivia")</f>
        <v>Bolivia</v>
      </c>
      <c r="D1825">
        <f>IFERROR(__xludf.DUMMYFUNCTION("""COMPUTED_VALUE"""),1951.0)</f>
        <v>1951</v>
      </c>
      <c r="E1825">
        <f>IFERROR(__xludf.DUMMYFUNCTION("""COMPUTED_VALUE"""),3140336.0)</f>
        <v>3140336</v>
      </c>
    </row>
    <row r="1826">
      <c r="A1826" t="str">
        <f t="shared" si="1"/>
        <v>bol#1952</v>
      </c>
      <c r="B1826" t="str">
        <f>IFERROR(__xludf.DUMMYFUNCTION("""COMPUTED_VALUE"""),"bol")</f>
        <v>bol</v>
      </c>
      <c r="C1826" t="str">
        <f>IFERROR(__xludf.DUMMYFUNCTION("""COMPUTED_VALUE"""),"Bolivia")</f>
        <v>Bolivia</v>
      </c>
      <c r="D1826">
        <f>IFERROR(__xludf.DUMMYFUNCTION("""COMPUTED_VALUE"""),1952.0)</f>
        <v>1952</v>
      </c>
      <c r="E1826">
        <f>IFERROR(__xludf.DUMMYFUNCTION("""COMPUTED_VALUE"""),3193289.0)</f>
        <v>3193289</v>
      </c>
    </row>
    <row r="1827">
      <c r="A1827" t="str">
        <f t="shared" si="1"/>
        <v>bol#1953</v>
      </c>
      <c r="B1827" t="str">
        <f>IFERROR(__xludf.DUMMYFUNCTION("""COMPUTED_VALUE"""),"bol")</f>
        <v>bol</v>
      </c>
      <c r="C1827" t="str">
        <f>IFERROR(__xludf.DUMMYFUNCTION("""COMPUTED_VALUE"""),"Bolivia")</f>
        <v>Bolivia</v>
      </c>
      <c r="D1827">
        <f>IFERROR(__xludf.DUMMYFUNCTION("""COMPUTED_VALUE"""),1953.0)</f>
        <v>1953</v>
      </c>
      <c r="E1827">
        <f>IFERROR(__xludf.DUMMYFUNCTION("""COMPUTED_VALUE"""),3248461.0)</f>
        <v>3248461</v>
      </c>
    </row>
    <row r="1828">
      <c r="A1828" t="str">
        <f t="shared" si="1"/>
        <v>bol#1954</v>
      </c>
      <c r="B1828" t="str">
        <f>IFERROR(__xludf.DUMMYFUNCTION("""COMPUTED_VALUE"""),"bol")</f>
        <v>bol</v>
      </c>
      <c r="C1828" t="str">
        <f>IFERROR(__xludf.DUMMYFUNCTION("""COMPUTED_VALUE"""),"Bolivia")</f>
        <v>Bolivia</v>
      </c>
      <c r="D1828">
        <f>IFERROR(__xludf.DUMMYFUNCTION("""COMPUTED_VALUE"""),1954.0)</f>
        <v>1954</v>
      </c>
      <c r="E1828">
        <f>IFERROR(__xludf.DUMMYFUNCTION("""COMPUTED_VALUE"""),3305836.0)</f>
        <v>3305836</v>
      </c>
    </row>
    <row r="1829">
      <c r="A1829" t="str">
        <f t="shared" si="1"/>
        <v>bol#1955</v>
      </c>
      <c r="B1829" t="str">
        <f>IFERROR(__xludf.DUMMYFUNCTION("""COMPUTED_VALUE"""),"bol")</f>
        <v>bol</v>
      </c>
      <c r="C1829" t="str">
        <f>IFERROR(__xludf.DUMMYFUNCTION("""COMPUTED_VALUE"""),"Bolivia")</f>
        <v>Bolivia</v>
      </c>
      <c r="D1829">
        <f>IFERROR(__xludf.DUMMYFUNCTION("""COMPUTED_VALUE"""),1955.0)</f>
        <v>1955</v>
      </c>
      <c r="E1829">
        <f>IFERROR(__xludf.DUMMYFUNCTION("""COMPUTED_VALUE"""),3365360.0)</f>
        <v>3365360</v>
      </c>
    </row>
    <row r="1830">
      <c r="A1830" t="str">
        <f t="shared" si="1"/>
        <v>bol#1956</v>
      </c>
      <c r="B1830" t="str">
        <f>IFERROR(__xludf.DUMMYFUNCTION("""COMPUTED_VALUE"""),"bol")</f>
        <v>bol</v>
      </c>
      <c r="C1830" t="str">
        <f>IFERROR(__xludf.DUMMYFUNCTION("""COMPUTED_VALUE"""),"Bolivia")</f>
        <v>Bolivia</v>
      </c>
      <c r="D1830">
        <f>IFERROR(__xludf.DUMMYFUNCTION("""COMPUTED_VALUE"""),1956.0)</f>
        <v>1956</v>
      </c>
      <c r="E1830">
        <f>IFERROR(__xludf.DUMMYFUNCTION("""COMPUTED_VALUE"""),3427002.0)</f>
        <v>3427002</v>
      </c>
    </row>
    <row r="1831">
      <c r="A1831" t="str">
        <f t="shared" si="1"/>
        <v>bol#1957</v>
      </c>
      <c r="B1831" t="str">
        <f>IFERROR(__xludf.DUMMYFUNCTION("""COMPUTED_VALUE"""),"bol")</f>
        <v>bol</v>
      </c>
      <c r="C1831" t="str">
        <f>IFERROR(__xludf.DUMMYFUNCTION("""COMPUTED_VALUE"""),"Bolivia")</f>
        <v>Bolivia</v>
      </c>
      <c r="D1831">
        <f>IFERROR(__xludf.DUMMYFUNCTION("""COMPUTED_VALUE"""),1957.0)</f>
        <v>1957</v>
      </c>
      <c r="E1831">
        <f>IFERROR(__xludf.DUMMYFUNCTION("""COMPUTED_VALUE"""),3490684.0)</f>
        <v>3490684</v>
      </c>
    </row>
    <row r="1832">
      <c r="A1832" t="str">
        <f t="shared" si="1"/>
        <v>bol#1958</v>
      </c>
      <c r="B1832" t="str">
        <f>IFERROR(__xludf.DUMMYFUNCTION("""COMPUTED_VALUE"""),"bol")</f>
        <v>bol</v>
      </c>
      <c r="C1832" t="str">
        <f>IFERROR(__xludf.DUMMYFUNCTION("""COMPUTED_VALUE"""),"Bolivia")</f>
        <v>Bolivia</v>
      </c>
      <c r="D1832">
        <f>IFERROR(__xludf.DUMMYFUNCTION("""COMPUTED_VALUE"""),1958.0)</f>
        <v>1958</v>
      </c>
      <c r="E1832">
        <f>IFERROR(__xludf.DUMMYFUNCTION("""COMPUTED_VALUE"""),3556360.0)</f>
        <v>3556360</v>
      </c>
    </row>
    <row r="1833">
      <c r="A1833" t="str">
        <f t="shared" si="1"/>
        <v>bol#1959</v>
      </c>
      <c r="B1833" t="str">
        <f>IFERROR(__xludf.DUMMYFUNCTION("""COMPUTED_VALUE"""),"bol")</f>
        <v>bol</v>
      </c>
      <c r="C1833" t="str">
        <f>IFERROR(__xludf.DUMMYFUNCTION("""COMPUTED_VALUE"""),"Bolivia")</f>
        <v>Bolivia</v>
      </c>
      <c r="D1833">
        <f>IFERROR(__xludf.DUMMYFUNCTION("""COMPUTED_VALUE"""),1959.0)</f>
        <v>1959</v>
      </c>
      <c r="E1833">
        <f>IFERROR(__xludf.DUMMYFUNCTION("""COMPUTED_VALUE"""),3623965.0)</f>
        <v>3623965</v>
      </c>
    </row>
    <row r="1834">
      <c r="A1834" t="str">
        <f t="shared" si="1"/>
        <v>bol#1960</v>
      </c>
      <c r="B1834" t="str">
        <f>IFERROR(__xludf.DUMMYFUNCTION("""COMPUTED_VALUE"""),"bol")</f>
        <v>bol</v>
      </c>
      <c r="C1834" t="str">
        <f>IFERROR(__xludf.DUMMYFUNCTION("""COMPUTED_VALUE"""),"Bolivia")</f>
        <v>Bolivia</v>
      </c>
      <c r="D1834">
        <f>IFERROR(__xludf.DUMMYFUNCTION("""COMPUTED_VALUE"""),1960.0)</f>
        <v>1960</v>
      </c>
      <c r="E1834">
        <f>IFERROR(__xludf.DUMMYFUNCTION("""COMPUTED_VALUE"""),3693449.0)</f>
        <v>3693449</v>
      </c>
    </row>
    <row r="1835">
      <c r="A1835" t="str">
        <f t="shared" si="1"/>
        <v>bol#1961</v>
      </c>
      <c r="B1835" t="str">
        <f>IFERROR(__xludf.DUMMYFUNCTION("""COMPUTED_VALUE"""),"bol")</f>
        <v>bol</v>
      </c>
      <c r="C1835" t="str">
        <f>IFERROR(__xludf.DUMMYFUNCTION("""COMPUTED_VALUE"""),"Bolivia")</f>
        <v>Bolivia</v>
      </c>
      <c r="D1835">
        <f>IFERROR(__xludf.DUMMYFUNCTION("""COMPUTED_VALUE"""),1961.0)</f>
        <v>1961</v>
      </c>
      <c r="E1835">
        <f>IFERROR(__xludf.DUMMYFUNCTION("""COMPUTED_VALUE"""),3764813.0)</f>
        <v>3764813</v>
      </c>
    </row>
    <row r="1836">
      <c r="A1836" t="str">
        <f t="shared" si="1"/>
        <v>bol#1962</v>
      </c>
      <c r="B1836" t="str">
        <f>IFERROR(__xludf.DUMMYFUNCTION("""COMPUTED_VALUE"""),"bol")</f>
        <v>bol</v>
      </c>
      <c r="C1836" t="str">
        <f>IFERROR(__xludf.DUMMYFUNCTION("""COMPUTED_VALUE"""),"Bolivia")</f>
        <v>Bolivia</v>
      </c>
      <c r="D1836">
        <f>IFERROR(__xludf.DUMMYFUNCTION("""COMPUTED_VALUE"""),1962.0)</f>
        <v>1962</v>
      </c>
      <c r="E1836">
        <f>IFERROR(__xludf.DUMMYFUNCTION("""COMPUTED_VALUE"""),3838097.0)</f>
        <v>3838097</v>
      </c>
    </row>
    <row r="1837">
      <c r="A1837" t="str">
        <f t="shared" si="1"/>
        <v>bol#1963</v>
      </c>
      <c r="B1837" t="str">
        <f>IFERROR(__xludf.DUMMYFUNCTION("""COMPUTED_VALUE"""),"bol")</f>
        <v>bol</v>
      </c>
      <c r="C1837" t="str">
        <f>IFERROR(__xludf.DUMMYFUNCTION("""COMPUTED_VALUE"""),"Bolivia")</f>
        <v>Bolivia</v>
      </c>
      <c r="D1837">
        <f>IFERROR(__xludf.DUMMYFUNCTION("""COMPUTED_VALUE"""),1963.0)</f>
        <v>1963</v>
      </c>
      <c r="E1837">
        <f>IFERROR(__xludf.DUMMYFUNCTION("""COMPUTED_VALUE"""),3913395.0)</f>
        <v>3913395</v>
      </c>
    </row>
    <row r="1838">
      <c r="A1838" t="str">
        <f t="shared" si="1"/>
        <v>bol#1964</v>
      </c>
      <c r="B1838" t="str">
        <f>IFERROR(__xludf.DUMMYFUNCTION("""COMPUTED_VALUE"""),"bol")</f>
        <v>bol</v>
      </c>
      <c r="C1838" t="str">
        <f>IFERROR(__xludf.DUMMYFUNCTION("""COMPUTED_VALUE"""),"Bolivia")</f>
        <v>Bolivia</v>
      </c>
      <c r="D1838">
        <f>IFERROR(__xludf.DUMMYFUNCTION("""COMPUTED_VALUE"""),1964.0)</f>
        <v>1964</v>
      </c>
      <c r="E1838">
        <f>IFERROR(__xludf.DUMMYFUNCTION("""COMPUTED_VALUE"""),3990857.0)</f>
        <v>3990857</v>
      </c>
    </row>
    <row r="1839">
      <c r="A1839" t="str">
        <f t="shared" si="1"/>
        <v>bol#1965</v>
      </c>
      <c r="B1839" t="str">
        <f>IFERROR(__xludf.DUMMYFUNCTION("""COMPUTED_VALUE"""),"bol")</f>
        <v>bol</v>
      </c>
      <c r="C1839" t="str">
        <f>IFERROR(__xludf.DUMMYFUNCTION("""COMPUTED_VALUE"""),"Bolivia")</f>
        <v>Bolivia</v>
      </c>
      <c r="D1839">
        <f>IFERROR(__xludf.DUMMYFUNCTION("""COMPUTED_VALUE"""),1965.0)</f>
        <v>1965</v>
      </c>
      <c r="E1839">
        <f>IFERROR(__xludf.DUMMYFUNCTION("""COMPUTED_VALUE"""),4070590.0)</f>
        <v>4070590</v>
      </c>
    </row>
    <row r="1840">
      <c r="A1840" t="str">
        <f t="shared" si="1"/>
        <v>bol#1966</v>
      </c>
      <c r="B1840" t="str">
        <f>IFERROR(__xludf.DUMMYFUNCTION("""COMPUTED_VALUE"""),"bol")</f>
        <v>bol</v>
      </c>
      <c r="C1840" t="str">
        <f>IFERROR(__xludf.DUMMYFUNCTION("""COMPUTED_VALUE"""),"Bolivia")</f>
        <v>Bolivia</v>
      </c>
      <c r="D1840">
        <f>IFERROR(__xludf.DUMMYFUNCTION("""COMPUTED_VALUE"""),1966.0)</f>
        <v>1966</v>
      </c>
      <c r="E1840">
        <f>IFERROR(__xludf.DUMMYFUNCTION("""COMPUTED_VALUE"""),4152668.0)</f>
        <v>4152668</v>
      </c>
    </row>
    <row r="1841">
      <c r="A1841" t="str">
        <f t="shared" si="1"/>
        <v>bol#1967</v>
      </c>
      <c r="B1841" t="str">
        <f>IFERROR(__xludf.DUMMYFUNCTION("""COMPUTED_VALUE"""),"bol")</f>
        <v>bol</v>
      </c>
      <c r="C1841" t="str">
        <f>IFERROR(__xludf.DUMMYFUNCTION("""COMPUTED_VALUE"""),"Bolivia")</f>
        <v>Bolivia</v>
      </c>
      <c r="D1841">
        <f>IFERROR(__xludf.DUMMYFUNCTION("""COMPUTED_VALUE"""),1967.0)</f>
        <v>1967</v>
      </c>
      <c r="E1841">
        <f>IFERROR(__xludf.DUMMYFUNCTION("""COMPUTED_VALUE"""),4237125.0)</f>
        <v>4237125</v>
      </c>
    </row>
    <row r="1842">
      <c r="A1842" t="str">
        <f t="shared" si="1"/>
        <v>bol#1968</v>
      </c>
      <c r="B1842" t="str">
        <f>IFERROR(__xludf.DUMMYFUNCTION("""COMPUTED_VALUE"""),"bol")</f>
        <v>bol</v>
      </c>
      <c r="C1842" t="str">
        <f>IFERROR(__xludf.DUMMYFUNCTION("""COMPUTED_VALUE"""),"Bolivia")</f>
        <v>Bolivia</v>
      </c>
      <c r="D1842">
        <f>IFERROR(__xludf.DUMMYFUNCTION("""COMPUTED_VALUE"""),1968.0)</f>
        <v>1968</v>
      </c>
      <c r="E1842">
        <f>IFERROR(__xludf.DUMMYFUNCTION("""COMPUTED_VALUE"""),4324064.0)</f>
        <v>4324064</v>
      </c>
    </row>
    <row r="1843">
      <c r="A1843" t="str">
        <f t="shared" si="1"/>
        <v>bol#1969</v>
      </c>
      <c r="B1843" t="str">
        <f>IFERROR(__xludf.DUMMYFUNCTION("""COMPUTED_VALUE"""),"bol")</f>
        <v>bol</v>
      </c>
      <c r="C1843" t="str">
        <f>IFERROR(__xludf.DUMMYFUNCTION("""COMPUTED_VALUE"""),"Bolivia")</f>
        <v>Bolivia</v>
      </c>
      <c r="D1843">
        <f>IFERROR(__xludf.DUMMYFUNCTION("""COMPUTED_VALUE"""),1969.0)</f>
        <v>1969</v>
      </c>
      <c r="E1843">
        <f>IFERROR(__xludf.DUMMYFUNCTION("""COMPUTED_VALUE"""),4413590.0)</f>
        <v>4413590</v>
      </c>
    </row>
    <row r="1844">
      <c r="A1844" t="str">
        <f t="shared" si="1"/>
        <v>bol#1970</v>
      </c>
      <c r="B1844" t="str">
        <f>IFERROR(__xludf.DUMMYFUNCTION("""COMPUTED_VALUE"""),"bol")</f>
        <v>bol</v>
      </c>
      <c r="C1844" t="str">
        <f>IFERROR(__xludf.DUMMYFUNCTION("""COMPUTED_VALUE"""),"Bolivia")</f>
        <v>Bolivia</v>
      </c>
      <c r="D1844">
        <f>IFERROR(__xludf.DUMMYFUNCTION("""COMPUTED_VALUE"""),1970.0)</f>
        <v>1970</v>
      </c>
      <c r="E1844">
        <f>IFERROR(__xludf.DUMMYFUNCTION("""COMPUTED_VALUE"""),4505778.0)</f>
        <v>4505778</v>
      </c>
    </row>
    <row r="1845">
      <c r="A1845" t="str">
        <f t="shared" si="1"/>
        <v>bol#1971</v>
      </c>
      <c r="B1845" t="str">
        <f>IFERROR(__xludf.DUMMYFUNCTION("""COMPUTED_VALUE"""),"bol")</f>
        <v>bol</v>
      </c>
      <c r="C1845" t="str">
        <f>IFERROR(__xludf.DUMMYFUNCTION("""COMPUTED_VALUE"""),"Bolivia")</f>
        <v>Bolivia</v>
      </c>
      <c r="D1845">
        <f>IFERROR(__xludf.DUMMYFUNCTION("""COMPUTED_VALUE"""),1971.0)</f>
        <v>1971</v>
      </c>
      <c r="E1845">
        <f>IFERROR(__xludf.DUMMYFUNCTION("""COMPUTED_VALUE"""),4600591.0)</f>
        <v>4600591</v>
      </c>
    </row>
    <row r="1846">
      <c r="A1846" t="str">
        <f t="shared" si="1"/>
        <v>bol#1972</v>
      </c>
      <c r="B1846" t="str">
        <f>IFERROR(__xludf.DUMMYFUNCTION("""COMPUTED_VALUE"""),"bol")</f>
        <v>bol</v>
      </c>
      <c r="C1846" t="str">
        <f>IFERROR(__xludf.DUMMYFUNCTION("""COMPUTED_VALUE"""),"Bolivia")</f>
        <v>Bolivia</v>
      </c>
      <c r="D1846">
        <f>IFERROR(__xludf.DUMMYFUNCTION("""COMPUTED_VALUE"""),1972.0)</f>
        <v>1972</v>
      </c>
      <c r="E1846">
        <f>IFERROR(__xludf.DUMMYFUNCTION("""COMPUTED_VALUE"""),4698083.0)</f>
        <v>4698083</v>
      </c>
    </row>
    <row r="1847">
      <c r="A1847" t="str">
        <f t="shared" si="1"/>
        <v>bol#1973</v>
      </c>
      <c r="B1847" t="str">
        <f>IFERROR(__xludf.DUMMYFUNCTION("""COMPUTED_VALUE"""),"bol")</f>
        <v>bol</v>
      </c>
      <c r="C1847" t="str">
        <f>IFERROR(__xludf.DUMMYFUNCTION("""COMPUTED_VALUE"""),"Bolivia")</f>
        <v>Bolivia</v>
      </c>
      <c r="D1847">
        <f>IFERROR(__xludf.DUMMYFUNCTION("""COMPUTED_VALUE"""),1973.0)</f>
        <v>1973</v>
      </c>
      <c r="E1847">
        <f>IFERROR(__xludf.DUMMYFUNCTION("""COMPUTED_VALUE"""),4798509.0)</f>
        <v>4798509</v>
      </c>
    </row>
    <row r="1848">
      <c r="A1848" t="str">
        <f t="shared" si="1"/>
        <v>bol#1974</v>
      </c>
      <c r="B1848" t="str">
        <f>IFERROR(__xludf.DUMMYFUNCTION("""COMPUTED_VALUE"""),"bol")</f>
        <v>bol</v>
      </c>
      <c r="C1848" t="str">
        <f>IFERROR(__xludf.DUMMYFUNCTION("""COMPUTED_VALUE"""),"Bolivia")</f>
        <v>Bolivia</v>
      </c>
      <c r="D1848">
        <f>IFERROR(__xludf.DUMMYFUNCTION("""COMPUTED_VALUE"""),1974.0)</f>
        <v>1974</v>
      </c>
      <c r="E1848">
        <f>IFERROR(__xludf.DUMMYFUNCTION("""COMPUTED_VALUE"""),4902168.0)</f>
        <v>4902168</v>
      </c>
    </row>
    <row r="1849">
      <c r="A1849" t="str">
        <f t="shared" si="1"/>
        <v>bol#1975</v>
      </c>
      <c r="B1849" t="str">
        <f>IFERROR(__xludf.DUMMYFUNCTION("""COMPUTED_VALUE"""),"bol")</f>
        <v>bol</v>
      </c>
      <c r="C1849" t="str">
        <f>IFERROR(__xludf.DUMMYFUNCTION("""COMPUTED_VALUE"""),"Bolivia")</f>
        <v>Bolivia</v>
      </c>
      <c r="D1849">
        <f>IFERROR(__xludf.DUMMYFUNCTION("""COMPUTED_VALUE"""),1975.0)</f>
        <v>1975</v>
      </c>
      <c r="E1849">
        <f>IFERROR(__xludf.DUMMYFUNCTION("""COMPUTED_VALUE"""),5009257.0)</f>
        <v>5009257</v>
      </c>
    </row>
    <row r="1850">
      <c r="A1850" t="str">
        <f t="shared" si="1"/>
        <v>bol#1976</v>
      </c>
      <c r="B1850" t="str">
        <f>IFERROR(__xludf.DUMMYFUNCTION("""COMPUTED_VALUE"""),"bol")</f>
        <v>bol</v>
      </c>
      <c r="C1850" t="str">
        <f>IFERROR(__xludf.DUMMYFUNCTION("""COMPUTED_VALUE"""),"Bolivia")</f>
        <v>Bolivia</v>
      </c>
      <c r="D1850">
        <f>IFERROR(__xludf.DUMMYFUNCTION("""COMPUTED_VALUE"""),1976.0)</f>
        <v>1976</v>
      </c>
      <c r="E1850">
        <f>IFERROR(__xludf.DUMMYFUNCTION("""COMPUTED_VALUE"""),5119833.0)</f>
        <v>5119833</v>
      </c>
    </row>
    <row r="1851">
      <c r="A1851" t="str">
        <f t="shared" si="1"/>
        <v>bol#1977</v>
      </c>
      <c r="B1851" t="str">
        <f>IFERROR(__xludf.DUMMYFUNCTION("""COMPUTED_VALUE"""),"bol")</f>
        <v>bol</v>
      </c>
      <c r="C1851" t="str">
        <f>IFERROR(__xludf.DUMMYFUNCTION("""COMPUTED_VALUE"""),"Bolivia")</f>
        <v>Bolivia</v>
      </c>
      <c r="D1851">
        <f>IFERROR(__xludf.DUMMYFUNCTION("""COMPUTED_VALUE"""),1977.0)</f>
        <v>1977</v>
      </c>
      <c r="E1851">
        <f>IFERROR(__xludf.DUMMYFUNCTION("""COMPUTED_VALUE"""),5233677.0)</f>
        <v>5233677</v>
      </c>
    </row>
    <row r="1852">
      <c r="A1852" t="str">
        <f t="shared" si="1"/>
        <v>bol#1978</v>
      </c>
      <c r="B1852" t="str">
        <f>IFERROR(__xludf.DUMMYFUNCTION("""COMPUTED_VALUE"""),"bol")</f>
        <v>bol</v>
      </c>
      <c r="C1852" t="str">
        <f>IFERROR(__xludf.DUMMYFUNCTION("""COMPUTED_VALUE"""),"Bolivia")</f>
        <v>Bolivia</v>
      </c>
      <c r="D1852">
        <f>IFERROR(__xludf.DUMMYFUNCTION("""COMPUTED_VALUE"""),1978.0)</f>
        <v>1978</v>
      </c>
      <c r="E1852">
        <f>IFERROR(__xludf.DUMMYFUNCTION("""COMPUTED_VALUE"""),5350322.0)</f>
        <v>5350322</v>
      </c>
    </row>
    <row r="1853">
      <c r="A1853" t="str">
        <f t="shared" si="1"/>
        <v>bol#1979</v>
      </c>
      <c r="B1853" t="str">
        <f>IFERROR(__xludf.DUMMYFUNCTION("""COMPUTED_VALUE"""),"bol")</f>
        <v>bol</v>
      </c>
      <c r="C1853" t="str">
        <f>IFERROR(__xludf.DUMMYFUNCTION("""COMPUTED_VALUE"""),"Bolivia")</f>
        <v>Bolivia</v>
      </c>
      <c r="D1853">
        <f>IFERROR(__xludf.DUMMYFUNCTION("""COMPUTED_VALUE"""),1979.0)</f>
        <v>1979</v>
      </c>
      <c r="E1853">
        <f>IFERROR(__xludf.DUMMYFUNCTION("""COMPUTED_VALUE"""),5469123.0)</f>
        <v>5469123</v>
      </c>
    </row>
    <row r="1854">
      <c r="A1854" t="str">
        <f t="shared" si="1"/>
        <v>bol#1980</v>
      </c>
      <c r="B1854" t="str">
        <f>IFERROR(__xludf.DUMMYFUNCTION("""COMPUTED_VALUE"""),"bol")</f>
        <v>bol</v>
      </c>
      <c r="C1854" t="str">
        <f>IFERROR(__xludf.DUMMYFUNCTION("""COMPUTED_VALUE"""),"Bolivia")</f>
        <v>Bolivia</v>
      </c>
      <c r="D1854">
        <f>IFERROR(__xludf.DUMMYFUNCTION("""COMPUTED_VALUE"""),1980.0)</f>
        <v>1980</v>
      </c>
      <c r="E1854">
        <f>IFERROR(__xludf.DUMMYFUNCTION("""COMPUTED_VALUE"""),5589575.0)</f>
        <v>5589575</v>
      </c>
    </row>
    <row r="1855">
      <c r="A1855" t="str">
        <f t="shared" si="1"/>
        <v>bol#1981</v>
      </c>
      <c r="B1855" t="str">
        <f>IFERROR(__xludf.DUMMYFUNCTION("""COMPUTED_VALUE"""),"bol")</f>
        <v>bol</v>
      </c>
      <c r="C1855" t="str">
        <f>IFERROR(__xludf.DUMMYFUNCTION("""COMPUTED_VALUE"""),"Bolivia")</f>
        <v>Bolivia</v>
      </c>
      <c r="D1855">
        <f>IFERROR(__xludf.DUMMYFUNCTION("""COMPUTED_VALUE"""),1981.0)</f>
        <v>1981</v>
      </c>
      <c r="E1855">
        <f>IFERROR(__xludf.DUMMYFUNCTION("""COMPUTED_VALUE"""),5711599.0)</f>
        <v>5711599</v>
      </c>
    </row>
    <row r="1856">
      <c r="A1856" t="str">
        <f t="shared" si="1"/>
        <v>bol#1982</v>
      </c>
      <c r="B1856" t="str">
        <f>IFERROR(__xludf.DUMMYFUNCTION("""COMPUTED_VALUE"""),"bol")</f>
        <v>bol</v>
      </c>
      <c r="C1856" t="str">
        <f>IFERROR(__xludf.DUMMYFUNCTION("""COMPUTED_VALUE"""),"Bolivia")</f>
        <v>Bolivia</v>
      </c>
      <c r="D1856">
        <f>IFERROR(__xludf.DUMMYFUNCTION("""COMPUTED_VALUE"""),1982.0)</f>
        <v>1982</v>
      </c>
      <c r="E1856">
        <f>IFERROR(__xludf.DUMMYFUNCTION("""COMPUTED_VALUE"""),5835182.0)</f>
        <v>5835182</v>
      </c>
    </row>
    <row r="1857">
      <c r="A1857" t="str">
        <f t="shared" si="1"/>
        <v>bol#1983</v>
      </c>
      <c r="B1857" t="str">
        <f>IFERROR(__xludf.DUMMYFUNCTION("""COMPUTED_VALUE"""),"bol")</f>
        <v>bol</v>
      </c>
      <c r="C1857" t="str">
        <f>IFERROR(__xludf.DUMMYFUNCTION("""COMPUTED_VALUE"""),"Bolivia")</f>
        <v>Bolivia</v>
      </c>
      <c r="D1857">
        <f>IFERROR(__xludf.DUMMYFUNCTION("""COMPUTED_VALUE"""),1983.0)</f>
        <v>1983</v>
      </c>
      <c r="E1857">
        <f>IFERROR(__xludf.DUMMYFUNCTION("""COMPUTED_VALUE"""),5959960.0)</f>
        <v>5959960</v>
      </c>
    </row>
    <row r="1858">
      <c r="A1858" t="str">
        <f t="shared" si="1"/>
        <v>bol#1984</v>
      </c>
      <c r="B1858" t="str">
        <f>IFERROR(__xludf.DUMMYFUNCTION("""COMPUTED_VALUE"""),"bol")</f>
        <v>bol</v>
      </c>
      <c r="C1858" t="str">
        <f>IFERROR(__xludf.DUMMYFUNCTION("""COMPUTED_VALUE"""),"Bolivia")</f>
        <v>Bolivia</v>
      </c>
      <c r="D1858">
        <f>IFERROR(__xludf.DUMMYFUNCTION("""COMPUTED_VALUE"""),1984.0)</f>
        <v>1984</v>
      </c>
      <c r="E1858">
        <f>IFERROR(__xludf.DUMMYFUNCTION("""COMPUTED_VALUE"""),6085496.0)</f>
        <v>6085496</v>
      </c>
    </row>
    <row r="1859">
      <c r="A1859" t="str">
        <f t="shared" si="1"/>
        <v>bol#1985</v>
      </c>
      <c r="B1859" t="str">
        <f>IFERROR(__xludf.DUMMYFUNCTION("""COMPUTED_VALUE"""),"bol")</f>
        <v>bol</v>
      </c>
      <c r="C1859" t="str">
        <f>IFERROR(__xludf.DUMMYFUNCTION("""COMPUTED_VALUE"""),"Bolivia")</f>
        <v>Bolivia</v>
      </c>
      <c r="D1859">
        <f>IFERROR(__xludf.DUMMYFUNCTION("""COMPUTED_VALUE"""),1985.0)</f>
        <v>1985</v>
      </c>
      <c r="E1859">
        <f>IFERROR(__xludf.DUMMYFUNCTION("""COMPUTED_VALUE"""),6211550.0)</f>
        <v>6211550</v>
      </c>
    </row>
    <row r="1860">
      <c r="A1860" t="str">
        <f t="shared" si="1"/>
        <v>bol#1986</v>
      </c>
      <c r="B1860" t="str">
        <f>IFERROR(__xludf.DUMMYFUNCTION("""COMPUTED_VALUE"""),"bol")</f>
        <v>bol</v>
      </c>
      <c r="C1860" t="str">
        <f>IFERROR(__xludf.DUMMYFUNCTION("""COMPUTED_VALUE"""),"Bolivia")</f>
        <v>Bolivia</v>
      </c>
      <c r="D1860">
        <f>IFERROR(__xludf.DUMMYFUNCTION("""COMPUTED_VALUE"""),1986.0)</f>
        <v>1986</v>
      </c>
      <c r="E1860">
        <f>IFERROR(__xludf.DUMMYFUNCTION("""COMPUTED_VALUE"""),6337893.0)</f>
        <v>6337893</v>
      </c>
    </row>
    <row r="1861">
      <c r="A1861" t="str">
        <f t="shared" si="1"/>
        <v>bol#1987</v>
      </c>
      <c r="B1861" t="str">
        <f>IFERROR(__xludf.DUMMYFUNCTION("""COMPUTED_VALUE"""),"bol")</f>
        <v>bol</v>
      </c>
      <c r="C1861" t="str">
        <f>IFERROR(__xludf.DUMMYFUNCTION("""COMPUTED_VALUE"""),"Bolivia")</f>
        <v>Bolivia</v>
      </c>
      <c r="D1861">
        <f>IFERROR(__xludf.DUMMYFUNCTION("""COMPUTED_VALUE"""),1987.0)</f>
        <v>1987</v>
      </c>
      <c r="E1861">
        <f>IFERROR(__xludf.DUMMYFUNCTION("""COMPUTED_VALUE"""),6464732.0)</f>
        <v>6464732</v>
      </c>
    </row>
    <row r="1862">
      <c r="A1862" t="str">
        <f t="shared" si="1"/>
        <v>bol#1988</v>
      </c>
      <c r="B1862" t="str">
        <f>IFERROR(__xludf.DUMMYFUNCTION("""COMPUTED_VALUE"""),"bol")</f>
        <v>bol</v>
      </c>
      <c r="C1862" t="str">
        <f>IFERROR(__xludf.DUMMYFUNCTION("""COMPUTED_VALUE"""),"Bolivia")</f>
        <v>Bolivia</v>
      </c>
      <c r="D1862">
        <f>IFERROR(__xludf.DUMMYFUNCTION("""COMPUTED_VALUE"""),1988.0)</f>
        <v>1988</v>
      </c>
      <c r="E1862">
        <f>IFERROR(__xludf.DUMMYFUNCTION("""COMPUTED_VALUE"""),6592787.0)</f>
        <v>6592787</v>
      </c>
    </row>
    <row r="1863">
      <c r="A1863" t="str">
        <f t="shared" si="1"/>
        <v>bol#1989</v>
      </c>
      <c r="B1863" t="str">
        <f>IFERROR(__xludf.DUMMYFUNCTION("""COMPUTED_VALUE"""),"bol")</f>
        <v>bol</v>
      </c>
      <c r="C1863" t="str">
        <f>IFERROR(__xludf.DUMMYFUNCTION("""COMPUTED_VALUE"""),"Bolivia")</f>
        <v>Bolivia</v>
      </c>
      <c r="D1863">
        <f>IFERROR(__xludf.DUMMYFUNCTION("""COMPUTED_VALUE"""),1989.0)</f>
        <v>1989</v>
      </c>
      <c r="E1863">
        <f>IFERROR(__xludf.DUMMYFUNCTION("""COMPUTED_VALUE"""),6723046.0)</f>
        <v>6723046</v>
      </c>
    </row>
    <row r="1864">
      <c r="A1864" t="str">
        <f t="shared" si="1"/>
        <v>bol#1990</v>
      </c>
      <c r="B1864" t="str">
        <f>IFERROR(__xludf.DUMMYFUNCTION("""COMPUTED_VALUE"""),"bol")</f>
        <v>bol</v>
      </c>
      <c r="C1864" t="str">
        <f>IFERROR(__xludf.DUMMYFUNCTION("""COMPUTED_VALUE"""),"Bolivia")</f>
        <v>Bolivia</v>
      </c>
      <c r="D1864">
        <f>IFERROR(__xludf.DUMMYFUNCTION("""COMPUTED_VALUE"""),1990.0)</f>
        <v>1990</v>
      </c>
      <c r="E1864">
        <f>IFERROR(__xludf.DUMMYFUNCTION("""COMPUTED_VALUE"""),6856244.0)</f>
        <v>6856244</v>
      </c>
    </row>
    <row r="1865">
      <c r="A1865" t="str">
        <f t="shared" si="1"/>
        <v>bol#1991</v>
      </c>
      <c r="B1865" t="str">
        <f>IFERROR(__xludf.DUMMYFUNCTION("""COMPUTED_VALUE"""),"bol")</f>
        <v>bol</v>
      </c>
      <c r="C1865" t="str">
        <f>IFERROR(__xludf.DUMMYFUNCTION("""COMPUTED_VALUE"""),"Bolivia")</f>
        <v>Bolivia</v>
      </c>
      <c r="D1865">
        <f>IFERROR(__xludf.DUMMYFUNCTION("""COMPUTED_VALUE"""),1991.0)</f>
        <v>1991</v>
      </c>
      <c r="E1865">
        <f>IFERROR(__xludf.DUMMYFUNCTION("""COMPUTED_VALUE"""),6992521.0)</f>
        <v>6992521</v>
      </c>
    </row>
    <row r="1866">
      <c r="A1866" t="str">
        <f t="shared" si="1"/>
        <v>bol#1992</v>
      </c>
      <c r="B1866" t="str">
        <f>IFERROR(__xludf.DUMMYFUNCTION("""COMPUTED_VALUE"""),"bol")</f>
        <v>bol</v>
      </c>
      <c r="C1866" t="str">
        <f>IFERROR(__xludf.DUMMYFUNCTION("""COMPUTED_VALUE"""),"Bolivia")</f>
        <v>Bolivia</v>
      </c>
      <c r="D1866">
        <f>IFERROR(__xludf.DUMMYFUNCTION("""COMPUTED_VALUE"""),1992.0)</f>
        <v>1992</v>
      </c>
      <c r="E1866">
        <f>IFERROR(__xludf.DUMMYFUNCTION("""COMPUTED_VALUE"""),7131707.0)</f>
        <v>7131707</v>
      </c>
    </row>
    <row r="1867">
      <c r="A1867" t="str">
        <f t="shared" si="1"/>
        <v>bol#1993</v>
      </c>
      <c r="B1867" t="str">
        <f>IFERROR(__xludf.DUMMYFUNCTION("""COMPUTED_VALUE"""),"bol")</f>
        <v>bol</v>
      </c>
      <c r="C1867" t="str">
        <f>IFERROR(__xludf.DUMMYFUNCTION("""COMPUTED_VALUE"""),"Bolivia")</f>
        <v>Bolivia</v>
      </c>
      <c r="D1867">
        <f>IFERROR(__xludf.DUMMYFUNCTION("""COMPUTED_VALUE"""),1993.0)</f>
        <v>1993</v>
      </c>
      <c r="E1867">
        <f>IFERROR(__xludf.DUMMYFUNCTION("""COMPUTED_VALUE"""),7273825.0)</f>
        <v>7273825</v>
      </c>
    </row>
    <row r="1868">
      <c r="A1868" t="str">
        <f t="shared" si="1"/>
        <v>bol#1994</v>
      </c>
      <c r="B1868" t="str">
        <f>IFERROR(__xludf.DUMMYFUNCTION("""COMPUTED_VALUE"""),"bol")</f>
        <v>bol</v>
      </c>
      <c r="C1868" t="str">
        <f>IFERROR(__xludf.DUMMYFUNCTION("""COMPUTED_VALUE"""),"Bolivia")</f>
        <v>Bolivia</v>
      </c>
      <c r="D1868">
        <f>IFERROR(__xludf.DUMMYFUNCTION("""COMPUTED_VALUE"""),1994.0)</f>
        <v>1994</v>
      </c>
      <c r="E1868">
        <f>IFERROR(__xludf.DUMMYFUNCTION("""COMPUTED_VALUE"""),7418861.0)</f>
        <v>7418861</v>
      </c>
    </row>
    <row r="1869">
      <c r="A1869" t="str">
        <f t="shared" si="1"/>
        <v>bol#1995</v>
      </c>
      <c r="B1869" t="str">
        <f>IFERROR(__xludf.DUMMYFUNCTION("""COMPUTED_VALUE"""),"bol")</f>
        <v>bol</v>
      </c>
      <c r="C1869" t="str">
        <f>IFERROR(__xludf.DUMMYFUNCTION("""COMPUTED_VALUE"""),"Bolivia")</f>
        <v>Bolivia</v>
      </c>
      <c r="D1869">
        <f>IFERROR(__xludf.DUMMYFUNCTION("""COMPUTED_VALUE"""),1995.0)</f>
        <v>1995</v>
      </c>
      <c r="E1869">
        <f>IFERROR(__xludf.DUMMYFUNCTION("""COMPUTED_VALUE"""),7566714.0)</f>
        <v>7566714</v>
      </c>
    </row>
    <row r="1870">
      <c r="A1870" t="str">
        <f t="shared" si="1"/>
        <v>bol#1996</v>
      </c>
      <c r="B1870" t="str">
        <f>IFERROR(__xludf.DUMMYFUNCTION("""COMPUTED_VALUE"""),"bol")</f>
        <v>bol</v>
      </c>
      <c r="C1870" t="str">
        <f>IFERROR(__xludf.DUMMYFUNCTION("""COMPUTED_VALUE"""),"Bolivia")</f>
        <v>Bolivia</v>
      </c>
      <c r="D1870">
        <f>IFERROR(__xludf.DUMMYFUNCTION("""COMPUTED_VALUE"""),1996.0)</f>
        <v>1996</v>
      </c>
      <c r="E1870">
        <f>IFERROR(__xludf.DUMMYFUNCTION("""COMPUTED_VALUE"""),7717443.0)</f>
        <v>7717443</v>
      </c>
    </row>
    <row r="1871">
      <c r="A1871" t="str">
        <f t="shared" si="1"/>
        <v>bol#1997</v>
      </c>
      <c r="B1871" t="str">
        <f>IFERROR(__xludf.DUMMYFUNCTION("""COMPUTED_VALUE"""),"bol")</f>
        <v>bol</v>
      </c>
      <c r="C1871" t="str">
        <f>IFERROR(__xludf.DUMMYFUNCTION("""COMPUTED_VALUE"""),"Bolivia")</f>
        <v>Bolivia</v>
      </c>
      <c r="D1871">
        <f>IFERROR(__xludf.DUMMYFUNCTION("""COMPUTED_VALUE"""),1997.0)</f>
        <v>1997</v>
      </c>
      <c r="E1871">
        <f>IFERROR(__xludf.DUMMYFUNCTION("""COMPUTED_VALUE"""),7870855.0)</f>
        <v>7870855</v>
      </c>
    </row>
    <row r="1872">
      <c r="A1872" t="str">
        <f t="shared" si="1"/>
        <v>bol#1998</v>
      </c>
      <c r="B1872" t="str">
        <f>IFERROR(__xludf.DUMMYFUNCTION("""COMPUTED_VALUE"""),"bol")</f>
        <v>bol</v>
      </c>
      <c r="C1872" t="str">
        <f>IFERROR(__xludf.DUMMYFUNCTION("""COMPUTED_VALUE"""),"Bolivia")</f>
        <v>Bolivia</v>
      </c>
      <c r="D1872">
        <f>IFERROR(__xludf.DUMMYFUNCTION("""COMPUTED_VALUE"""),1998.0)</f>
        <v>1998</v>
      </c>
      <c r="E1872">
        <f>IFERROR(__xludf.DUMMYFUNCTION("""COMPUTED_VALUE"""),8026254.0)</f>
        <v>8026254</v>
      </c>
    </row>
    <row r="1873">
      <c r="A1873" t="str">
        <f t="shared" si="1"/>
        <v>bol#1999</v>
      </c>
      <c r="B1873" t="str">
        <f>IFERROR(__xludf.DUMMYFUNCTION("""COMPUTED_VALUE"""),"bol")</f>
        <v>bol</v>
      </c>
      <c r="C1873" t="str">
        <f>IFERROR(__xludf.DUMMYFUNCTION("""COMPUTED_VALUE"""),"Bolivia")</f>
        <v>Bolivia</v>
      </c>
      <c r="D1873">
        <f>IFERROR(__xludf.DUMMYFUNCTION("""COMPUTED_VALUE"""),1999.0)</f>
        <v>1999</v>
      </c>
      <c r="E1873">
        <f>IFERROR(__xludf.DUMMYFUNCTION("""COMPUTED_VALUE"""),8182712.0)</f>
        <v>8182712</v>
      </c>
    </row>
    <row r="1874">
      <c r="A1874" t="str">
        <f t="shared" si="1"/>
        <v>bol#2000</v>
      </c>
      <c r="B1874" t="str">
        <f>IFERROR(__xludf.DUMMYFUNCTION("""COMPUTED_VALUE"""),"bol")</f>
        <v>bol</v>
      </c>
      <c r="C1874" t="str">
        <f>IFERROR(__xludf.DUMMYFUNCTION("""COMPUTED_VALUE"""),"Bolivia")</f>
        <v>Bolivia</v>
      </c>
      <c r="D1874">
        <f>IFERROR(__xludf.DUMMYFUNCTION("""COMPUTED_VALUE"""),2000.0)</f>
        <v>2000</v>
      </c>
      <c r="E1874">
        <f>IFERROR(__xludf.DUMMYFUNCTION("""COMPUTED_VALUE"""),8339512.0)</f>
        <v>8339512</v>
      </c>
    </row>
    <row r="1875">
      <c r="A1875" t="str">
        <f t="shared" si="1"/>
        <v>bol#2001</v>
      </c>
      <c r="B1875" t="str">
        <f>IFERROR(__xludf.DUMMYFUNCTION("""COMPUTED_VALUE"""),"bol")</f>
        <v>bol</v>
      </c>
      <c r="C1875" t="str">
        <f>IFERROR(__xludf.DUMMYFUNCTION("""COMPUTED_VALUE"""),"Bolivia")</f>
        <v>Bolivia</v>
      </c>
      <c r="D1875">
        <f>IFERROR(__xludf.DUMMYFUNCTION("""COMPUTED_VALUE"""),2001.0)</f>
        <v>2001</v>
      </c>
      <c r="E1875">
        <f>IFERROR(__xludf.DUMMYFUNCTION("""COMPUTED_VALUE"""),8496375.0)</f>
        <v>8496375</v>
      </c>
    </row>
    <row r="1876">
      <c r="A1876" t="str">
        <f t="shared" si="1"/>
        <v>bol#2002</v>
      </c>
      <c r="B1876" t="str">
        <f>IFERROR(__xludf.DUMMYFUNCTION("""COMPUTED_VALUE"""),"bol")</f>
        <v>bol</v>
      </c>
      <c r="C1876" t="str">
        <f>IFERROR(__xludf.DUMMYFUNCTION("""COMPUTED_VALUE"""),"Bolivia")</f>
        <v>Bolivia</v>
      </c>
      <c r="D1876">
        <f>IFERROR(__xludf.DUMMYFUNCTION("""COMPUTED_VALUE"""),2002.0)</f>
        <v>2002</v>
      </c>
      <c r="E1876">
        <f>IFERROR(__xludf.DUMMYFUNCTION("""COMPUTED_VALUE"""),8653345.0)</f>
        <v>8653345</v>
      </c>
    </row>
    <row r="1877">
      <c r="A1877" t="str">
        <f t="shared" si="1"/>
        <v>bol#2003</v>
      </c>
      <c r="B1877" t="str">
        <f>IFERROR(__xludf.DUMMYFUNCTION("""COMPUTED_VALUE"""),"bol")</f>
        <v>bol</v>
      </c>
      <c r="C1877" t="str">
        <f>IFERROR(__xludf.DUMMYFUNCTION("""COMPUTED_VALUE"""),"Bolivia")</f>
        <v>Bolivia</v>
      </c>
      <c r="D1877">
        <f>IFERROR(__xludf.DUMMYFUNCTION("""COMPUTED_VALUE"""),2003.0)</f>
        <v>2003</v>
      </c>
      <c r="E1877">
        <f>IFERROR(__xludf.DUMMYFUNCTION("""COMPUTED_VALUE"""),8810420.0)</f>
        <v>8810420</v>
      </c>
    </row>
    <row r="1878">
      <c r="A1878" t="str">
        <f t="shared" si="1"/>
        <v>bol#2004</v>
      </c>
      <c r="B1878" t="str">
        <f>IFERROR(__xludf.DUMMYFUNCTION("""COMPUTED_VALUE"""),"bol")</f>
        <v>bol</v>
      </c>
      <c r="C1878" t="str">
        <f>IFERROR(__xludf.DUMMYFUNCTION("""COMPUTED_VALUE"""),"Bolivia")</f>
        <v>Bolivia</v>
      </c>
      <c r="D1878">
        <f>IFERROR(__xludf.DUMMYFUNCTION("""COMPUTED_VALUE"""),2004.0)</f>
        <v>2004</v>
      </c>
      <c r="E1878">
        <f>IFERROR(__xludf.DUMMYFUNCTION("""COMPUTED_VALUE"""),8967741.0)</f>
        <v>8967741</v>
      </c>
    </row>
    <row r="1879">
      <c r="A1879" t="str">
        <f t="shared" si="1"/>
        <v>bol#2005</v>
      </c>
      <c r="B1879" t="str">
        <f>IFERROR(__xludf.DUMMYFUNCTION("""COMPUTED_VALUE"""),"bol")</f>
        <v>bol</v>
      </c>
      <c r="C1879" t="str">
        <f>IFERROR(__xludf.DUMMYFUNCTION("""COMPUTED_VALUE"""),"Bolivia")</f>
        <v>Bolivia</v>
      </c>
      <c r="D1879">
        <f>IFERROR(__xludf.DUMMYFUNCTION("""COMPUTED_VALUE"""),2005.0)</f>
        <v>2005</v>
      </c>
      <c r="E1879">
        <f>IFERROR(__xludf.DUMMYFUNCTION("""COMPUTED_VALUE"""),9125409.0)</f>
        <v>9125409</v>
      </c>
    </row>
    <row r="1880">
      <c r="A1880" t="str">
        <f t="shared" si="1"/>
        <v>bol#2006</v>
      </c>
      <c r="B1880" t="str">
        <f>IFERROR(__xludf.DUMMYFUNCTION("""COMPUTED_VALUE"""),"bol")</f>
        <v>bol</v>
      </c>
      <c r="C1880" t="str">
        <f>IFERROR(__xludf.DUMMYFUNCTION("""COMPUTED_VALUE"""),"Bolivia")</f>
        <v>Bolivia</v>
      </c>
      <c r="D1880">
        <f>IFERROR(__xludf.DUMMYFUNCTION("""COMPUTED_VALUE"""),2006.0)</f>
        <v>2006</v>
      </c>
      <c r="E1880">
        <f>IFERROR(__xludf.DUMMYFUNCTION("""COMPUTED_VALUE"""),9283334.0)</f>
        <v>9283334</v>
      </c>
    </row>
    <row r="1881">
      <c r="A1881" t="str">
        <f t="shared" si="1"/>
        <v>bol#2007</v>
      </c>
      <c r="B1881" t="str">
        <f>IFERROR(__xludf.DUMMYFUNCTION("""COMPUTED_VALUE"""),"bol")</f>
        <v>bol</v>
      </c>
      <c r="C1881" t="str">
        <f>IFERROR(__xludf.DUMMYFUNCTION("""COMPUTED_VALUE"""),"Bolivia")</f>
        <v>Bolivia</v>
      </c>
      <c r="D1881">
        <f>IFERROR(__xludf.DUMMYFUNCTION("""COMPUTED_VALUE"""),2007.0)</f>
        <v>2007</v>
      </c>
      <c r="E1881">
        <f>IFERROR(__xludf.DUMMYFUNCTION("""COMPUTED_VALUE"""),9441444.0)</f>
        <v>9441444</v>
      </c>
    </row>
    <row r="1882">
      <c r="A1882" t="str">
        <f t="shared" si="1"/>
        <v>bol#2008</v>
      </c>
      <c r="B1882" t="str">
        <f>IFERROR(__xludf.DUMMYFUNCTION("""COMPUTED_VALUE"""),"bol")</f>
        <v>bol</v>
      </c>
      <c r="C1882" t="str">
        <f>IFERROR(__xludf.DUMMYFUNCTION("""COMPUTED_VALUE"""),"Bolivia")</f>
        <v>Bolivia</v>
      </c>
      <c r="D1882">
        <f>IFERROR(__xludf.DUMMYFUNCTION("""COMPUTED_VALUE"""),2008.0)</f>
        <v>2008</v>
      </c>
      <c r="E1882">
        <f>IFERROR(__xludf.DUMMYFUNCTION("""COMPUTED_VALUE"""),9599855.0)</f>
        <v>9599855</v>
      </c>
    </row>
    <row r="1883">
      <c r="A1883" t="str">
        <f t="shared" si="1"/>
        <v>bol#2009</v>
      </c>
      <c r="B1883" t="str">
        <f>IFERROR(__xludf.DUMMYFUNCTION("""COMPUTED_VALUE"""),"bol")</f>
        <v>bol</v>
      </c>
      <c r="C1883" t="str">
        <f>IFERROR(__xludf.DUMMYFUNCTION("""COMPUTED_VALUE"""),"Bolivia")</f>
        <v>Bolivia</v>
      </c>
      <c r="D1883">
        <f>IFERROR(__xludf.DUMMYFUNCTION("""COMPUTED_VALUE"""),2009.0)</f>
        <v>2009</v>
      </c>
      <c r="E1883">
        <f>IFERROR(__xludf.DUMMYFUNCTION("""COMPUTED_VALUE"""),9758748.0)</f>
        <v>9758748</v>
      </c>
    </row>
    <row r="1884">
      <c r="A1884" t="str">
        <f t="shared" si="1"/>
        <v>bol#2010</v>
      </c>
      <c r="B1884" t="str">
        <f>IFERROR(__xludf.DUMMYFUNCTION("""COMPUTED_VALUE"""),"bol")</f>
        <v>bol</v>
      </c>
      <c r="C1884" t="str">
        <f>IFERROR(__xludf.DUMMYFUNCTION("""COMPUTED_VALUE"""),"Bolivia")</f>
        <v>Bolivia</v>
      </c>
      <c r="D1884">
        <f>IFERROR(__xludf.DUMMYFUNCTION("""COMPUTED_VALUE"""),2010.0)</f>
        <v>2010</v>
      </c>
      <c r="E1884">
        <f>IFERROR(__xludf.DUMMYFUNCTION("""COMPUTED_VALUE"""),9918242.0)</f>
        <v>9918242</v>
      </c>
    </row>
    <row r="1885">
      <c r="A1885" t="str">
        <f t="shared" si="1"/>
        <v>bol#2011</v>
      </c>
      <c r="B1885" t="str">
        <f>IFERROR(__xludf.DUMMYFUNCTION("""COMPUTED_VALUE"""),"bol")</f>
        <v>bol</v>
      </c>
      <c r="C1885" t="str">
        <f>IFERROR(__xludf.DUMMYFUNCTION("""COMPUTED_VALUE"""),"Bolivia")</f>
        <v>Bolivia</v>
      </c>
      <c r="D1885">
        <f>IFERROR(__xludf.DUMMYFUNCTION("""COMPUTED_VALUE"""),2011.0)</f>
        <v>2011</v>
      </c>
      <c r="E1885">
        <f>IFERROR(__xludf.DUMMYFUNCTION("""COMPUTED_VALUE"""),1.0078343E7)</f>
        <v>10078343</v>
      </c>
    </row>
    <row r="1886">
      <c r="A1886" t="str">
        <f t="shared" si="1"/>
        <v>bol#2012</v>
      </c>
      <c r="B1886" t="str">
        <f>IFERROR(__xludf.DUMMYFUNCTION("""COMPUTED_VALUE"""),"bol")</f>
        <v>bol</v>
      </c>
      <c r="C1886" t="str">
        <f>IFERROR(__xludf.DUMMYFUNCTION("""COMPUTED_VALUE"""),"Bolivia")</f>
        <v>Bolivia</v>
      </c>
      <c r="D1886">
        <f>IFERROR(__xludf.DUMMYFUNCTION("""COMPUTED_VALUE"""),2012.0)</f>
        <v>2012</v>
      </c>
      <c r="E1886">
        <f>IFERROR(__xludf.DUMMYFUNCTION("""COMPUTED_VALUE"""),1.0239004E7)</f>
        <v>10239004</v>
      </c>
    </row>
    <row r="1887">
      <c r="A1887" t="str">
        <f t="shared" si="1"/>
        <v>bol#2013</v>
      </c>
      <c r="B1887" t="str">
        <f>IFERROR(__xludf.DUMMYFUNCTION("""COMPUTED_VALUE"""),"bol")</f>
        <v>bol</v>
      </c>
      <c r="C1887" t="str">
        <f>IFERROR(__xludf.DUMMYFUNCTION("""COMPUTED_VALUE"""),"Bolivia")</f>
        <v>Bolivia</v>
      </c>
      <c r="D1887">
        <f>IFERROR(__xludf.DUMMYFUNCTION("""COMPUTED_VALUE"""),2013.0)</f>
        <v>2013</v>
      </c>
      <c r="E1887">
        <f>IFERROR(__xludf.DUMMYFUNCTION("""COMPUTED_VALUE"""),1.0400264E7)</f>
        <v>10400264</v>
      </c>
    </row>
    <row r="1888">
      <c r="A1888" t="str">
        <f t="shared" si="1"/>
        <v>bol#2014</v>
      </c>
      <c r="B1888" t="str">
        <f>IFERROR(__xludf.DUMMYFUNCTION("""COMPUTED_VALUE"""),"bol")</f>
        <v>bol</v>
      </c>
      <c r="C1888" t="str">
        <f>IFERROR(__xludf.DUMMYFUNCTION("""COMPUTED_VALUE"""),"Bolivia")</f>
        <v>Bolivia</v>
      </c>
      <c r="D1888">
        <f>IFERROR(__xludf.DUMMYFUNCTION("""COMPUTED_VALUE"""),2014.0)</f>
        <v>2014</v>
      </c>
      <c r="E1888">
        <f>IFERROR(__xludf.DUMMYFUNCTION("""COMPUTED_VALUE"""),1.0562159E7)</f>
        <v>10562159</v>
      </c>
    </row>
    <row r="1889">
      <c r="A1889" t="str">
        <f t="shared" si="1"/>
        <v>bol#2015</v>
      </c>
      <c r="B1889" t="str">
        <f>IFERROR(__xludf.DUMMYFUNCTION("""COMPUTED_VALUE"""),"bol")</f>
        <v>bol</v>
      </c>
      <c r="C1889" t="str">
        <f>IFERROR(__xludf.DUMMYFUNCTION("""COMPUTED_VALUE"""),"Bolivia")</f>
        <v>Bolivia</v>
      </c>
      <c r="D1889">
        <f>IFERROR(__xludf.DUMMYFUNCTION("""COMPUTED_VALUE"""),2015.0)</f>
        <v>2015</v>
      </c>
      <c r="E1889">
        <f>IFERROR(__xludf.DUMMYFUNCTION("""COMPUTED_VALUE"""),1.0724705E7)</f>
        <v>10724705</v>
      </c>
    </row>
    <row r="1890">
      <c r="A1890" t="str">
        <f t="shared" si="1"/>
        <v>bol#2016</v>
      </c>
      <c r="B1890" t="str">
        <f>IFERROR(__xludf.DUMMYFUNCTION("""COMPUTED_VALUE"""),"bol")</f>
        <v>bol</v>
      </c>
      <c r="C1890" t="str">
        <f>IFERROR(__xludf.DUMMYFUNCTION("""COMPUTED_VALUE"""),"Bolivia")</f>
        <v>Bolivia</v>
      </c>
      <c r="D1890">
        <f>IFERROR(__xludf.DUMMYFUNCTION("""COMPUTED_VALUE"""),2016.0)</f>
        <v>2016</v>
      </c>
      <c r="E1890">
        <f>IFERROR(__xludf.DUMMYFUNCTION("""COMPUTED_VALUE"""),1.0887882E7)</f>
        <v>10887882</v>
      </c>
    </row>
    <row r="1891">
      <c r="A1891" t="str">
        <f t="shared" si="1"/>
        <v>bol#2017</v>
      </c>
      <c r="B1891" t="str">
        <f>IFERROR(__xludf.DUMMYFUNCTION("""COMPUTED_VALUE"""),"bol")</f>
        <v>bol</v>
      </c>
      <c r="C1891" t="str">
        <f>IFERROR(__xludf.DUMMYFUNCTION("""COMPUTED_VALUE"""),"Bolivia")</f>
        <v>Bolivia</v>
      </c>
      <c r="D1891">
        <f>IFERROR(__xludf.DUMMYFUNCTION("""COMPUTED_VALUE"""),2017.0)</f>
        <v>2017</v>
      </c>
      <c r="E1891">
        <f>IFERROR(__xludf.DUMMYFUNCTION("""COMPUTED_VALUE"""),1.10516E7)</f>
        <v>11051600</v>
      </c>
    </row>
    <row r="1892">
      <c r="A1892" t="str">
        <f t="shared" si="1"/>
        <v>bol#2018</v>
      </c>
      <c r="B1892" t="str">
        <f>IFERROR(__xludf.DUMMYFUNCTION("""COMPUTED_VALUE"""),"bol")</f>
        <v>bol</v>
      </c>
      <c r="C1892" t="str">
        <f>IFERROR(__xludf.DUMMYFUNCTION("""COMPUTED_VALUE"""),"Bolivia")</f>
        <v>Bolivia</v>
      </c>
      <c r="D1892">
        <f>IFERROR(__xludf.DUMMYFUNCTION("""COMPUTED_VALUE"""),2018.0)</f>
        <v>2018</v>
      </c>
      <c r="E1892">
        <f>IFERROR(__xludf.DUMMYFUNCTION("""COMPUTED_VALUE"""),1.1215674E7)</f>
        <v>11215674</v>
      </c>
    </row>
    <row r="1893">
      <c r="A1893" t="str">
        <f t="shared" si="1"/>
        <v>bol#2019</v>
      </c>
      <c r="B1893" t="str">
        <f>IFERROR(__xludf.DUMMYFUNCTION("""COMPUTED_VALUE"""),"bol")</f>
        <v>bol</v>
      </c>
      <c r="C1893" t="str">
        <f>IFERROR(__xludf.DUMMYFUNCTION("""COMPUTED_VALUE"""),"Bolivia")</f>
        <v>Bolivia</v>
      </c>
      <c r="D1893">
        <f>IFERROR(__xludf.DUMMYFUNCTION("""COMPUTED_VALUE"""),2019.0)</f>
        <v>2019</v>
      </c>
      <c r="E1893">
        <f>IFERROR(__xludf.DUMMYFUNCTION("""COMPUTED_VALUE"""),1.1379861E7)</f>
        <v>11379861</v>
      </c>
    </row>
    <row r="1894">
      <c r="A1894" t="str">
        <f t="shared" si="1"/>
        <v>bol#2020</v>
      </c>
      <c r="B1894" t="str">
        <f>IFERROR(__xludf.DUMMYFUNCTION("""COMPUTED_VALUE"""),"bol")</f>
        <v>bol</v>
      </c>
      <c r="C1894" t="str">
        <f>IFERROR(__xludf.DUMMYFUNCTION("""COMPUTED_VALUE"""),"Bolivia")</f>
        <v>Bolivia</v>
      </c>
      <c r="D1894">
        <f>IFERROR(__xludf.DUMMYFUNCTION("""COMPUTED_VALUE"""),2020.0)</f>
        <v>2020</v>
      </c>
      <c r="E1894">
        <f>IFERROR(__xludf.DUMMYFUNCTION("""COMPUTED_VALUE"""),1.1543982E7)</f>
        <v>11543982</v>
      </c>
    </row>
    <row r="1895">
      <c r="A1895" t="str">
        <f t="shared" si="1"/>
        <v>bol#2021</v>
      </c>
      <c r="B1895" t="str">
        <f>IFERROR(__xludf.DUMMYFUNCTION("""COMPUTED_VALUE"""),"bol")</f>
        <v>bol</v>
      </c>
      <c r="C1895" t="str">
        <f>IFERROR(__xludf.DUMMYFUNCTION("""COMPUTED_VALUE"""),"Bolivia")</f>
        <v>Bolivia</v>
      </c>
      <c r="D1895">
        <f>IFERROR(__xludf.DUMMYFUNCTION("""COMPUTED_VALUE"""),2021.0)</f>
        <v>2021</v>
      </c>
      <c r="E1895">
        <f>IFERROR(__xludf.DUMMYFUNCTION("""COMPUTED_VALUE"""),1.17079E7)</f>
        <v>11707900</v>
      </c>
    </row>
    <row r="1896">
      <c r="A1896" t="str">
        <f t="shared" si="1"/>
        <v>bol#2022</v>
      </c>
      <c r="B1896" t="str">
        <f>IFERROR(__xludf.DUMMYFUNCTION("""COMPUTED_VALUE"""),"bol")</f>
        <v>bol</v>
      </c>
      <c r="C1896" t="str">
        <f>IFERROR(__xludf.DUMMYFUNCTION("""COMPUTED_VALUE"""),"Bolivia")</f>
        <v>Bolivia</v>
      </c>
      <c r="D1896">
        <f>IFERROR(__xludf.DUMMYFUNCTION("""COMPUTED_VALUE"""),2022.0)</f>
        <v>2022</v>
      </c>
      <c r="E1896">
        <f>IFERROR(__xludf.DUMMYFUNCTION("""COMPUTED_VALUE"""),1.1871548E7)</f>
        <v>11871548</v>
      </c>
    </row>
    <row r="1897">
      <c r="A1897" t="str">
        <f t="shared" si="1"/>
        <v>bol#2023</v>
      </c>
      <c r="B1897" t="str">
        <f>IFERROR(__xludf.DUMMYFUNCTION("""COMPUTED_VALUE"""),"bol")</f>
        <v>bol</v>
      </c>
      <c r="C1897" t="str">
        <f>IFERROR(__xludf.DUMMYFUNCTION("""COMPUTED_VALUE"""),"Bolivia")</f>
        <v>Bolivia</v>
      </c>
      <c r="D1897">
        <f>IFERROR(__xludf.DUMMYFUNCTION("""COMPUTED_VALUE"""),2023.0)</f>
        <v>2023</v>
      </c>
      <c r="E1897">
        <f>IFERROR(__xludf.DUMMYFUNCTION("""COMPUTED_VALUE"""),1.2034817E7)</f>
        <v>12034817</v>
      </c>
    </row>
    <row r="1898">
      <c r="A1898" t="str">
        <f t="shared" si="1"/>
        <v>bol#2024</v>
      </c>
      <c r="B1898" t="str">
        <f>IFERROR(__xludf.DUMMYFUNCTION("""COMPUTED_VALUE"""),"bol")</f>
        <v>bol</v>
      </c>
      <c r="C1898" t="str">
        <f>IFERROR(__xludf.DUMMYFUNCTION("""COMPUTED_VALUE"""),"Bolivia")</f>
        <v>Bolivia</v>
      </c>
      <c r="D1898">
        <f>IFERROR(__xludf.DUMMYFUNCTION("""COMPUTED_VALUE"""),2024.0)</f>
        <v>2024</v>
      </c>
      <c r="E1898">
        <f>IFERROR(__xludf.DUMMYFUNCTION("""COMPUTED_VALUE"""),1.2197607E7)</f>
        <v>12197607</v>
      </c>
    </row>
    <row r="1899">
      <c r="A1899" t="str">
        <f t="shared" si="1"/>
        <v>bol#2025</v>
      </c>
      <c r="B1899" t="str">
        <f>IFERROR(__xludf.DUMMYFUNCTION("""COMPUTED_VALUE"""),"bol")</f>
        <v>bol</v>
      </c>
      <c r="C1899" t="str">
        <f>IFERROR(__xludf.DUMMYFUNCTION("""COMPUTED_VALUE"""),"Bolivia")</f>
        <v>Bolivia</v>
      </c>
      <c r="D1899">
        <f>IFERROR(__xludf.DUMMYFUNCTION("""COMPUTED_VALUE"""),2025.0)</f>
        <v>2025</v>
      </c>
      <c r="E1899">
        <f>IFERROR(__xludf.DUMMYFUNCTION("""COMPUTED_VALUE"""),1.23598E7)</f>
        <v>12359800</v>
      </c>
    </row>
    <row r="1900">
      <c r="A1900" t="str">
        <f t="shared" si="1"/>
        <v>bol#2026</v>
      </c>
      <c r="B1900" t="str">
        <f>IFERROR(__xludf.DUMMYFUNCTION("""COMPUTED_VALUE"""),"bol")</f>
        <v>bol</v>
      </c>
      <c r="C1900" t="str">
        <f>IFERROR(__xludf.DUMMYFUNCTION("""COMPUTED_VALUE"""),"Bolivia")</f>
        <v>Bolivia</v>
      </c>
      <c r="D1900">
        <f>IFERROR(__xludf.DUMMYFUNCTION("""COMPUTED_VALUE"""),2026.0)</f>
        <v>2026</v>
      </c>
      <c r="E1900">
        <f>IFERROR(__xludf.DUMMYFUNCTION("""COMPUTED_VALUE"""),1.2521289E7)</f>
        <v>12521289</v>
      </c>
    </row>
    <row r="1901">
      <c r="A1901" t="str">
        <f t="shared" si="1"/>
        <v>bol#2027</v>
      </c>
      <c r="B1901" t="str">
        <f>IFERROR(__xludf.DUMMYFUNCTION("""COMPUTED_VALUE"""),"bol")</f>
        <v>bol</v>
      </c>
      <c r="C1901" t="str">
        <f>IFERROR(__xludf.DUMMYFUNCTION("""COMPUTED_VALUE"""),"Bolivia")</f>
        <v>Bolivia</v>
      </c>
      <c r="D1901">
        <f>IFERROR(__xludf.DUMMYFUNCTION("""COMPUTED_VALUE"""),2027.0)</f>
        <v>2027</v>
      </c>
      <c r="E1901">
        <f>IFERROR(__xludf.DUMMYFUNCTION("""COMPUTED_VALUE"""),1.2681951E7)</f>
        <v>12681951</v>
      </c>
    </row>
    <row r="1902">
      <c r="A1902" t="str">
        <f t="shared" si="1"/>
        <v>bol#2028</v>
      </c>
      <c r="B1902" t="str">
        <f>IFERROR(__xludf.DUMMYFUNCTION("""COMPUTED_VALUE"""),"bol")</f>
        <v>bol</v>
      </c>
      <c r="C1902" t="str">
        <f>IFERROR(__xludf.DUMMYFUNCTION("""COMPUTED_VALUE"""),"Bolivia")</f>
        <v>Bolivia</v>
      </c>
      <c r="D1902">
        <f>IFERROR(__xludf.DUMMYFUNCTION("""COMPUTED_VALUE"""),2028.0)</f>
        <v>2028</v>
      </c>
      <c r="E1902">
        <f>IFERROR(__xludf.DUMMYFUNCTION("""COMPUTED_VALUE"""),1.2841692E7)</f>
        <v>12841692</v>
      </c>
    </row>
    <row r="1903">
      <c r="A1903" t="str">
        <f t="shared" si="1"/>
        <v>bol#2029</v>
      </c>
      <c r="B1903" t="str">
        <f>IFERROR(__xludf.DUMMYFUNCTION("""COMPUTED_VALUE"""),"bol")</f>
        <v>bol</v>
      </c>
      <c r="C1903" t="str">
        <f>IFERROR(__xludf.DUMMYFUNCTION("""COMPUTED_VALUE"""),"Bolivia")</f>
        <v>Bolivia</v>
      </c>
      <c r="D1903">
        <f>IFERROR(__xludf.DUMMYFUNCTION("""COMPUTED_VALUE"""),2029.0)</f>
        <v>2029</v>
      </c>
      <c r="E1903">
        <f>IFERROR(__xludf.DUMMYFUNCTION("""COMPUTED_VALUE"""),1.300043E7)</f>
        <v>13000430</v>
      </c>
    </row>
    <row r="1904">
      <c r="A1904" t="str">
        <f t="shared" si="1"/>
        <v>bol#2030</v>
      </c>
      <c r="B1904" t="str">
        <f>IFERROR(__xludf.DUMMYFUNCTION("""COMPUTED_VALUE"""),"bol")</f>
        <v>bol</v>
      </c>
      <c r="C1904" t="str">
        <f>IFERROR(__xludf.DUMMYFUNCTION("""COMPUTED_VALUE"""),"Bolivia")</f>
        <v>Bolivia</v>
      </c>
      <c r="D1904">
        <f>IFERROR(__xludf.DUMMYFUNCTION("""COMPUTED_VALUE"""),2030.0)</f>
        <v>2030</v>
      </c>
      <c r="E1904">
        <f>IFERROR(__xludf.DUMMYFUNCTION("""COMPUTED_VALUE"""),1.3158072E7)</f>
        <v>13158072</v>
      </c>
    </row>
    <row r="1905">
      <c r="A1905" t="str">
        <f t="shared" si="1"/>
        <v>bol#2031</v>
      </c>
      <c r="B1905" t="str">
        <f>IFERROR(__xludf.DUMMYFUNCTION("""COMPUTED_VALUE"""),"bol")</f>
        <v>bol</v>
      </c>
      <c r="C1905" t="str">
        <f>IFERROR(__xludf.DUMMYFUNCTION("""COMPUTED_VALUE"""),"Bolivia")</f>
        <v>Bolivia</v>
      </c>
      <c r="D1905">
        <f>IFERROR(__xludf.DUMMYFUNCTION("""COMPUTED_VALUE"""),2031.0)</f>
        <v>2031</v>
      </c>
      <c r="E1905">
        <f>IFERROR(__xludf.DUMMYFUNCTION("""COMPUTED_VALUE"""),1.3314514E7)</f>
        <v>13314514</v>
      </c>
    </row>
    <row r="1906">
      <c r="A1906" t="str">
        <f t="shared" si="1"/>
        <v>bol#2032</v>
      </c>
      <c r="B1906" t="str">
        <f>IFERROR(__xludf.DUMMYFUNCTION("""COMPUTED_VALUE"""),"bol")</f>
        <v>bol</v>
      </c>
      <c r="C1906" t="str">
        <f>IFERROR(__xludf.DUMMYFUNCTION("""COMPUTED_VALUE"""),"Bolivia")</f>
        <v>Bolivia</v>
      </c>
      <c r="D1906">
        <f>IFERROR(__xludf.DUMMYFUNCTION("""COMPUTED_VALUE"""),2032.0)</f>
        <v>2032</v>
      </c>
      <c r="E1906">
        <f>IFERROR(__xludf.DUMMYFUNCTION("""COMPUTED_VALUE"""),1.3469646E7)</f>
        <v>13469646</v>
      </c>
    </row>
    <row r="1907">
      <c r="A1907" t="str">
        <f t="shared" si="1"/>
        <v>bol#2033</v>
      </c>
      <c r="B1907" t="str">
        <f>IFERROR(__xludf.DUMMYFUNCTION("""COMPUTED_VALUE"""),"bol")</f>
        <v>bol</v>
      </c>
      <c r="C1907" t="str">
        <f>IFERROR(__xludf.DUMMYFUNCTION("""COMPUTED_VALUE"""),"Bolivia")</f>
        <v>Bolivia</v>
      </c>
      <c r="D1907">
        <f>IFERROR(__xludf.DUMMYFUNCTION("""COMPUTED_VALUE"""),2033.0)</f>
        <v>2033</v>
      </c>
      <c r="E1907">
        <f>IFERROR(__xludf.DUMMYFUNCTION("""COMPUTED_VALUE"""),1.3623258E7)</f>
        <v>13623258</v>
      </c>
    </row>
    <row r="1908">
      <c r="A1908" t="str">
        <f t="shared" si="1"/>
        <v>bol#2034</v>
      </c>
      <c r="B1908" t="str">
        <f>IFERROR(__xludf.DUMMYFUNCTION("""COMPUTED_VALUE"""),"bol")</f>
        <v>bol</v>
      </c>
      <c r="C1908" t="str">
        <f>IFERROR(__xludf.DUMMYFUNCTION("""COMPUTED_VALUE"""),"Bolivia")</f>
        <v>Bolivia</v>
      </c>
      <c r="D1908">
        <f>IFERROR(__xludf.DUMMYFUNCTION("""COMPUTED_VALUE"""),2034.0)</f>
        <v>2034</v>
      </c>
      <c r="E1908">
        <f>IFERROR(__xludf.DUMMYFUNCTION("""COMPUTED_VALUE"""),1.3775145E7)</f>
        <v>13775145</v>
      </c>
    </row>
    <row r="1909">
      <c r="A1909" t="str">
        <f t="shared" si="1"/>
        <v>bol#2035</v>
      </c>
      <c r="B1909" t="str">
        <f>IFERROR(__xludf.DUMMYFUNCTION("""COMPUTED_VALUE"""),"bol")</f>
        <v>bol</v>
      </c>
      <c r="C1909" t="str">
        <f>IFERROR(__xludf.DUMMYFUNCTION("""COMPUTED_VALUE"""),"Bolivia")</f>
        <v>Bolivia</v>
      </c>
      <c r="D1909">
        <f>IFERROR(__xludf.DUMMYFUNCTION("""COMPUTED_VALUE"""),2035.0)</f>
        <v>2035</v>
      </c>
      <c r="E1909">
        <f>IFERROR(__xludf.DUMMYFUNCTION("""COMPUTED_VALUE"""),1.3925118E7)</f>
        <v>13925118</v>
      </c>
    </row>
    <row r="1910">
      <c r="A1910" t="str">
        <f t="shared" si="1"/>
        <v>bol#2036</v>
      </c>
      <c r="B1910" t="str">
        <f>IFERROR(__xludf.DUMMYFUNCTION("""COMPUTED_VALUE"""),"bol")</f>
        <v>bol</v>
      </c>
      <c r="C1910" t="str">
        <f>IFERROR(__xludf.DUMMYFUNCTION("""COMPUTED_VALUE"""),"Bolivia")</f>
        <v>Bolivia</v>
      </c>
      <c r="D1910">
        <f>IFERROR(__xludf.DUMMYFUNCTION("""COMPUTED_VALUE"""),2036.0)</f>
        <v>2036</v>
      </c>
      <c r="E1910">
        <f>IFERROR(__xludf.DUMMYFUNCTION("""COMPUTED_VALUE"""),1.4073053E7)</f>
        <v>14073053</v>
      </c>
    </row>
    <row r="1911">
      <c r="A1911" t="str">
        <f t="shared" si="1"/>
        <v>bol#2037</v>
      </c>
      <c r="B1911" t="str">
        <f>IFERROR(__xludf.DUMMYFUNCTION("""COMPUTED_VALUE"""),"bol")</f>
        <v>bol</v>
      </c>
      <c r="C1911" t="str">
        <f>IFERROR(__xludf.DUMMYFUNCTION("""COMPUTED_VALUE"""),"Bolivia")</f>
        <v>Bolivia</v>
      </c>
      <c r="D1911">
        <f>IFERROR(__xludf.DUMMYFUNCTION("""COMPUTED_VALUE"""),2037.0)</f>
        <v>2037</v>
      </c>
      <c r="E1911">
        <f>IFERROR(__xludf.DUMMYFUNCTION("""COMPUTED_VALUE"""),1.4218881E7)</f>
        <v>14218881</v>
      </c>
    </row>
    <row r="1912">
      <c r="A1912" t="str">
        <f t="shared" si="1"/>
        <v>bol#2038</v>
      </c>
      <c r="B1912" t="str">
        <f>IFERROR(__xludf.DUMMYFUNCTION("""COMPUTED_VALUE"""),"bol")</f>
        <v>bol</v>
      </c>
      <c r="C1912" t="str">
        <f>IFERROR(__xludf.DUMMYFUNCTION("""COMPUTED_VALUE"""),"Bolivia")</f>
        <v>Bolivia</v>
      </c>
      <c r="D1912">
        <f>IFERROR(__xludf.DUMMYFUNCTION("""COMPUTED_VALUE"""),2038.0)</f>
        <v>2038</v>
      </c>
      <c r="E1912">
        <f>IFERROR(__xludf.DUMMYFUNCTION("""COMPUTED_VALUE"""),1.4362574E7)</f>
        <v>14362574</v>
      </c>
    </row>
    <row r="1913">
      <c r="A1913" t="str">
        <f t="shared" si="1"/>
        <v>bol#2039</v>
      </c>
      <c r="B1913" t="str">
        <f>IFERROR(__xludf.DUMMYFUNCTION("""COMPUTED_VALUE"""),"bol")</f>
        <v>bol</v>
      </c>
      <c r="C1913" t="str">
        <f>IFERROR(__xludf.DUMMYFUNCTION("""COMPUTED_VALUE"""),"Bolivia")</f>
        <v>Bolivia</v>
      </c>
      <c r="D1913">
        <f>IFERROR(__xludf.DUMMYFUNCTION("""COMPUTED_VALUE"""),2039.0)</f>
        <v>2039</v>
      </c>
      <c r="E1913">
        <f>IFERROR(__xludf.DUMMYFUNCTION("""COMPUTED_VALUE"""),1.4504068E7)</f>
        <v>14504068</v>
      </c>
    </row>
    <row r="1914">
      <c r="A1914" t="str">
        <f t="shared" si="1"/>
        <v>bol#2040</v>
      </c>
      <c r="B1914" t="str">
        <f>IFERROR(__xludf.DUMMYFUNCTION("""COMPUTED_VALUE"""),"bol")</f>
        <v>bol</v>
      </c>
      <c r="C1914" t="str">
        <f>IFERROR(__xludf.DUMMYFUNCTION("""COMPUTED_VALUE"""),"Bolivia")</f>
        <v>Bolivia</v>
      </c>
      <c r="D1914">
        <f>IFERROR(__xludf.DUMMYFUNCTION("""COMPUTED_VALUE"""),2040.0)</f>
        <v>2040</v>
      </c>
      <c r="E1914">
        <f>IFERROR(__xludf.DUMMYFUNCTION("""COMPUTED_VALUE"""),1.4643343E7)</f>
        <v>14643343</v>
      </c>
    </row>
    <row r="1915">
      <c r="A1915" t="str">
        <f t="shared" si="1"/>
        <v>bih#1950</v>
      </c>
      <c r="B1915" t="str">
        <f>IFERROR(__xludf.DUMMYFUNCTION("""COMPUTED_VALUE"""),"bih")</f>
        <v>bih</v>
      </c>
      <c r="C1915" t="str">
        <f>IFERROR(__xludf.DUMMYFUNCTION("""COMPUTED_VALUE"""),"Bosnia and Herzegovina")</f>
        <v>Bosnia and Herzegovina</v>
      </c>
      <c r="D1915">
        <f>IFERROR(__xludf.DUMMYFUNCTION("""COMPUTED_VALUE"""),1950.0)</f>
        <v>1950</v>
      </c>
      <c r="E1915">
        <f>IFERROR(__xludf.DUMMYFUNCTION("""COMPUTED_VALUE"""),2661296.0)</f>
        <v>2661296</v>
      </c>
    </row>
    <row r="1916">
      <c r="A1916" t="str">
        <f t="shared" si="1"/>
        <v>bih#1951</v>
      </c>
      <c r="B1916" t="str">
        <f>IFERROR(__xludf.DUMMYFUNCTION("""COMPUTED_VALUE"""),"bih")</f>
        <v>bih</v>
      </c>
      <c r="C1916" t="str">
        <f>IFERROR(__xludf.DUMMYFUNCTION("""COMPUTED_VALUE"""),"Bosnia and Herzegovina")</f>
        <v>Bosnia and Herzegovina</v>
      </c>
      <c r="D1916">
        <f>IFERROR(__xludf.DUMMYFUNCTION("""COMPUTED_VALUE"""),1951.0)</f>
        <v>1951</v>
      </c>
      <c r="E1916">
        <f>IFERROR(__xludf.DUMMYFUNCTION("""COMPUTED_VALUE"""),2710651.0)</f>
        <v>2710651</v>
      </c>
    </row>
    <row r="1917">
      <c r="A1917" t="str">
        <f t="shared" si="1"/>
        <v>bih#1952</v>
      </c>
      <c r="B1917" t="str">
        <f>IFERROR(__xludf.DUMMYFUNCTION("""COMPUTED_VALUE"""),"bih")</f>
        <v>bih</v>
      </c>
      <c r="C1917" t="str">
        <f>IFERROR(__xludf.DUMMYFUNCTION("""COMPUTED_VALUE"""),"Bosnia and Herzegovina")</f>
        <v>Bosnia and Herzegovina</v>
      </c>
      <c r="D1917">
        <f>IFERROR(__xludf.DUMMYFUNCTION("""COMPUTED_VALUE"""),1952.0)</f>
        <v>1952</v>
      </c>
      <c r="E1917">
        <f>IFERROR(__xludf.DUMMYFUNCTION("""COMPUTED_VALUE"""),2764713.0)</f>
        <v>2764713</v>
      </c>
    </row>
    <row r="1918">
      <c r="A1918" t="str">
        <f t="shared" si="1"/>
        <v>bih#1953</v>
      </c>
      <c r="B1918" t="str">
        <f>IFERROR(__xludf.DUMMYFUNCTION("""COMPUTED_VALUE"""),"bih")</f>
        <v>bih</v>
      </c>
      <c r="C1918" t="str">
        <f>IFERROR(__xludf.DUMMYFUNCTION("""COMPUTED_VALUE"""),"Bosnia and Herzegovina")</f>
        <v>Bosnia and Herzegovina</v>
      </c>
      <c r="D1918">
        <f>IFERROR(__xludf.DUMMYFUNCTION("""COMPUTED_VALUE"""),1953.0)</f>
        <v>1953</v>
      </c>
      <c r="E1918">
        <f>IFERROR(__xludf.DUMMYFUNCTION("""COMPUTED_VALUE"""),2821308.0)</f>
        <v>2821308</v>
      </c>
    </row>
    <row r="1919">
      <c r="A1919" t="str">
        <f t="shared" si="1"/>
        <v>bih#1954</v>
      </c>
      <c r="B1919" t="str">
        <f>IFERROR(__xludf.DUMMYFUNCTION("""COMPUTED_VALUE"""),"bih")</f>
        <v>bih</v>
      </c>
      <c r="C1919" t="str">
        <f>IFERROR(__xludf.DUMMYFUNCTION("""COMPUTED_VALUE"""),"Bosnia and Herzegovina")</f>
        <v>Bosnia and Herzegovina</v>
      </c>
      <c r="D1919">
        <f>IFERROR(__xludf.DUMMYFUNCTION("""COMPUTED_VALUE"""),1954.0)</f>
        <v>1954</v>
      </c>
      <c r="E1919">
        <f>IFERROR(__xludf.DUMMYFUNCTION("""COMPUTED_VALUE"""),2878849.0)</f>
        <v>2878849</v>
      </c>
    </row>
    <row r="1920">
      <c r="A1920" t="str">
        <f t="shared" si="1"/>
        <v>bih#1955</v>
      </c>
      <c r="B1920" t="str">
        <f>IFERROR(__xludf.DUMMYFUNCTION("""COMPUTED_VALUE"""),"bih")</f>
        <v>bih</v>
      </c>
      <c r="C1920" t="str">
        <f>IFERROR(__xludf.DUMMYFUNCTION("""COMPUTED_VALUE"""),"Bosnia and Herzegovina")</f>
        <v>Bosnia and Herzegovina</v>
      </c>
      <c r="D1920">
        <f>IFERROR(__xludf.DUMMYFUNCTION("""COMPUTED_VALUE"""),1955.0)</f>
        <v>1955</v>
      </c>
      <c r="E1920">
        <f>IFERROR(__xludf.DUMMYFUNCTION("""COMPUTED_VALUE"""),2936309.0)</f>
        <v>2936309</v>
      </c>
    </row>
    <row r="1921">
      <c r="A1921" t="str">
        <f t="shared" si="1"/>
        <v>bih#1956</v>
      </c>
      <c r="B1921" t="str">
        <f>IFERROR(__xludf.DUMMYFUNCTION("""COMPUTED_VALUE"""),"bih")</f>
        <v>bih</v>
      </c>
      <c r="C1921" t="str">
        <f>IFERROR(__xludf.DUMMYFUNCTION("""COMPUTED_VALUE"""),"Bosnia and Herzegovina")</f>
        <v>Bosnia and Herzegovina</v>
      </c>
      <c r="D1921">
        <f>IFERROR(__xludf.DUMMYFUNCTION("""COMPUTED_VALUE"""),1956.0)</f>
        <v>1956</v>
      </c>
      <c r="E1921">
        <f>IFERROR(__xludf.DUMMYFUNCTION("""COMPUTED_VALUE"""),2993271.0)</f>
        <v>2993271</v>
      </c>
    </row>
    <row r="1922">
      <c r="A1922" t="str">
        <f t="shared" si="1"/>
        <v>bih#1957</v>
      </c>
      <c r="B1922" t="str">
        <f>IFERROR(__xludf.DUMMYFUNCTION("""COMPUTED_VALUE"""),"bih")</f>
        <v>bih</v>
      </c>
      <c r="C1922" t="str">
        <f>IFERROR(__xludf.DUMMYFUNCTION("""COMPUTED_VALUE"""),"Bosnia and Herzegovina")</f>
        <v>Bosnia and Herzegovina</v>
      </c>
      <c r="D1922">
        <f>IFERROR(__xludf.DUMMYFUNCTION("""COMPUTED_VALUE"""),1957.0)</f>
        <v>1957</v>
      </c>
      <c r="E1922">
        <f>IFERROR(__xludf.DUMMYFUNCTION("""COMPUTED_VALUE"""),3049919.0)</f>
        <v>3049919</v>
      </c>
    </row>
    <row r="1923">
      <c r="A1923" t="str">
        <f t="shared" si="1"/>
        <v>bih#1958</v>
      </c>
      <c r="B1923" t="str">
        <f>IFERROR(__xludf.DUMMYFUNCTION("""COMPUTED_VALUE"""),"bih")</f>
        <v>bih</v>
      </c>
      <c r="C1923" t="str">
        <f>IFERROR(__xludf.DUMMYFUNCTION("""COMPUTED_VALUE"""),"Bosnia and Herzegovina")</f>
        <v>Bosnia and Herzegovina</v>
      </c>
      <c r="D1923">
        <f>IFERROR(__xludf.DUMMYFUNCTION("""COMPUTED_VALUE"""),1958.0)</f>
        <v>1958</v>
      </c>
      <c r="E1923">
        <f>IFERROR(__xludf.DUMMYFUNCTION("""COMPUTED_VALUE"""),3106894.0)</f>
        <v>3106894</v>
      </c>
    </row>
    <row r="1924">
      <c r="A1924" t="str">
        <f t="shared" si="1"/>
        <v>bih#1959</v>
      </c>
      <c r="B1924" t="str">
        <f>IFERROR(__xludf.DUMMYFUNCTION("""COMPUTED_VALUE"""),"bih")</f>
        <v>bih</v>
      </c>
      <c r="C1924" t="str">
        <f>IFERROR(__xludf.DUMMYFUNCTION("""COMPUTED_VALUE"""),"Bosnia and Herzegovina")</f>
        <v>Bosnia and Herzegovina</v>
      </c>
      <c r="D1924">
        <f>IFERROR(__xludf.DUMMYFUNCTION("""COMPUTED_VALUE"""),1959.0)</f>
        <v>1959</v>
      </c>
      <c r="E1924">
        <f>IFERROR(__xludf.DUMMYFUNCTION("""COMPUTED_VALUE"""),3165191.0)</f>
        <v>3165191</v>
      </c>
    </row>
    <row r="1925">
      <c r="A1925" t="str">
        <f t="shared" si="1"/>
        <v>bih#1960</v>
      </c>
      <c r="B1925" t="str">
        <f>IFERROR(__xludf.DUMMYFUNCTION("""COMPUTED_VALUE"""),"bih")</f>
        <v>bih</v>
      </c>
      <c r="C1925" t="str">
        <f>IFERROR(__xludf.DUMMYFUNCTION("""COMPUTED_VALUE"""),"Bosnia and Herzegovina")</f>
        <v>Bosnia and Herzegovina</v>
      </c>
      <c r="D1925">
        <f>IFERROR(__xludf.DUMMYFUNCTION("""COMPUTED_VALUE"""),1960.0)</f>
        <v>1960</v>
      </c>
      <c r="E1925">
        <f>IFERROR(__xludf.DUMMYFUNCTION("""COMPUTED_VALUE"""),3225668.0)</f>
        <v>3225668</v>
      </c>
    </row>
    <row r="1926">
      <c r="A1926" t="str">
        <f t="shared" si="1"/>
        <v>bih#1961</v>
      </c>
      <c r="B1926" t="str">
        <f>IFERROR(__xludf.DUMMYFUNCTION("""COMPUTED_VALUE"""),"bih")</f>
        <v>bih</v>
      </c>
      <c r="C1926" t="str">
        <f>IFERROR(__xludf.DUMMYFUNCTION("""COMPUTED_VALUE"""),"Bosnia and Herzegovina")</f>
        <v>Bosnia and Herzegovina</v>
      </c>
      <c r="D1926">
        <f>IFERROR(__xludf.DUMMYFUNCTION("""COMPUTED_VALUE"""),1961.0)</f>
        <v>1961</v>
      </c>
      <c r="E1926">
        <f>IFERROR(__xludf.DUMMYFUNCTION("""COMPUTED_VALUE"""),3288602.0)</f>
        <v>3288602</v>
      </c>
    </row>
    <row r="1927">
      <c r="A1927" t="str">
        <f t="shared" si="1"/>
        <v>bih#1962</v>
      </c>
      <c r="B1927" t="str">
        <f>IFERROR(__xludf.DUMMYFUNCTION("""COMPUTED_VALUE"""),"bih")</f>
        <v>bih</v>
      </c>
      <c r="C1927" t="str">
        <f>IFERROR(__xludf.DUMMYFUNCTION("""COMPUTED_VALUE"""),"Bosnia and Herzegovina")</f>
        <v>Bosnia and Herzegovina</v>
      </c>
      <c r="D1927">
        <f>IFERROR(__xludf.DUMMYFUNCTION("""COMPUTED_VALUE"""),1962.0)</f>
        <v>1962</v>
      </c>
      <c r="E1927">
        <f>IFERROR(__xludf.DUMMYFUNCTION("""COMPUTED_VALUE"""),3353226.0)</f>
        <v>3353226</v>
      </c>
    </row>
    <row r="1928">
      <c r="A1928" t="str">
        <f t="shared" si="1"/>
        <v>bih#1963</v>
      </c>
      <c r="B1928" t="str">
        <f>IFERROR(__xludf.DUMMYFUNCTION("""COMPUTED_VALUE"""),"bih")</f>
        <v>bih</v>
      </c>
      <c r="C1928" t="str">
        <f>IFERROR(__xludf.DUMMYFUNCTION("""COMPUTED_VALUE"""),"Bosnia and Herzegovina")</f>
        <v>Bosnia and Herzegovina</v>
      </c>
      <c r="D1928">
        <f>IFERROR(__xludf.DUMMYFUNCTION("""COMPUTED_VALUE"""),1963.0)</f>
        <v>1963</v>
      </c>
      <c r="E1928">
        <f>IFERROR(__xludf.DUMMYFUNCTION("""COMPUTED_VALUE"""),3417574.0)</f>
        <v>3417574</v>
      </c>
    </row>
    <row r="1929">
      <c r="A1929" t="str">
        <f t="shared" si="1"/>
        <v>bih#1964</v>
      </c>
      <c r="B1929" t="str">
        <f>IFERROR(__xludf.DUMMYFUNCTION("""COMPUTED_VALUE"""),"bih")</f>
        <v>bih</v>
      </c>
      <c r="C1929" t="str">
        <f>IFERROR(__xludf.DUMMYFUNCTION("""COMPUTED_VALUE"""),"Bosnia and Herzegovina")</f>
        <v>Bosnia and Herzegovina</v>
      </c>
      <c r="D1929">
        <f>IFERROR(__xludf.DUMMYFUNCTION("""COMPUTED_VALUE"""),1964.0)</f>
        <v>1964</v>
      </c>
      <c r="E1929">
        <f>IFERROR(__xludf.DUMMYFUNCTION("""COMPUTED_VALUE"""),3478995.0)</f>
        <v>3478995</v>
      </c>
    </row>
    <row r="1930">
      <c r="A1930" t="str">
        <f t="shared" si="1"/>
        <v>bih#1965</v>
      </c>
      <c r="B1930" t="str">
        <f>IFERROR(__xludf.DUMMYFUNCTION("""COMPUTED_VALUE"""),"bih")</f>
        <v>bih</v>
      </c>
      <c r="C1930" t="str">
        <f>IFERROR(__xludf.DUMMYFUNCTION("""COMPUTED_VALUE"""),"Bosnia and Herzegovina")</f>
        <v>Bosnia and Herzegovina</v>
      </c>
      <c r="D1930">
        <f>IFERROR(__xludf.DUMMYFUNCTION("""COMPUTED_VALUE"""),1965.0)</f>
        <v>1965</v>
      </c>
      <c r="E1930">
        <f>IFERROR(__xludf.DUMMYFUNCTION("""COMPUTED_VALUE"""),3535640.0)</f>
        <v>3535640</v>
      </c>
    </row>
    <row r="1931">
      <c r="A1931" t="str">
        <f t="shared" si="1"/>
        <v>bih#1966</v>
      </c>
      <c r="B1931" t="str">
        <f>IFERROR(__xludf.DUMMYFUNCTION("""COMPUTED_VALUE"""),"bih")</f>
        <v>bih</v>
      </c>
      <c r="C1931" t="str">
        <f>IFERROR(__xludf.DUMMYFUNCTION("""COMPUTED_VALUE"""),"Bosnia and Herzegovina")</f>
        <v>Bosnia and Herzegovina</v>
      </c>
      <c r="D1931">
        <f>IFERROR(__xludf.DUMMYFUNCTION("""COMPUTED_VALUE"""),1966.0)</f>
        <v>1966</v>
      </c>
      <c r="E1931">
        <f>IFERROR(__xludf.DUMMYFUNCTION("""COMPUTED_VALUE"""),3586634.0)</f>
        <v>3586634</v>
      </c>
    </row>
    <row r="1932">
      <c r="A1932" t="str">
        <f t="shared" si="1"/>
        <v>bih#1967</v>
      </c>
      <c r="B1932" t="str">
        <f>IFERROR(__xludf.DUMMYFUNCTION("""COMPUTED_VALUE"""),"bih")</f>
        <v>bih</v>
      </c>
      <c r="C1932" t="str">
        <f>IFERROR(__xludf.DUMMYFUNCTION("""COMPUTED_VALUE"""),"Bosnia and Herzegovina")</f>
        <v>Bosnia and Herzegovina</v>
      </c>
      <c r="D1932">
        <f>IFERROR(__xludf.DUMMYFUNCTION("""COMPUTED_VALUE"""),1967.0)</f>
        <v>1967</v>
      </c>
      <c r="E1932">
        <f>IFERROR(__xludf.DUMMYFUNCTION("""COMPUTED_VALUE"""),3632669.0)</f>
        <v>3632669</v>
      </c>
    </row>
    <row r="1933">
      <c r="A1933" t="str">
        <f t="shared" si="1"/>
        <v>bih#1968</v>
      </c>
      <c r="B1933" t="str">
        <f>IFERROR(__xludf.DUMMYFUNCTION("""COMPUTED_VALUE"""),"bih")</f>
        <v>bih</v>
      </c>
      <c r="C1933" t="str">
        <f>IFERROR(__xludf.DUMMYFUNCTION("""COMPUTED_VALUE"""),"Bosnia and Herzegovina")</f>
        <v>Bosnia and Herzegovina</v>
      </c>
      <c r="D1933">
        <f>IFERROR(__xludf.DUMMYFUNCTION("""COMPUTED_VALUE"""),1968.0)</f>
        <v>1968</v>
      </c>
      <c r="E1933">
        <f>IFERROR(__xludf.DUMMYFUNCTION("""COMPUTED_VALUE"""),3675452.0)</f>
        <v>3675452</v>
      </c>
    </row>
    <row r="1934">
      <c r="A1934" t="str">
        <f t="shared" si="1"/>
        <v>bih#1969</v>
      </c>
      <c r="B1934" t="str">
        <f>IFERROR(__xludf.DUMMYFUNCTION("""COMPUTED_VALUE"""),"bih")</f>
        <v>bih</v>
      </c>
      <c r="C1934" t="str">
        <f>IFERROR(__xludf.DUMMYFUNCTION("""COMPUTED_VALUE"""),"Bosnia and Herzegovina")</f>
        <v>Bosnia and Herzegovina</v>
      </c>
      <c r="D1934">
        <f>IFERROR(__xludf.DUMMYFUNCTION("""COMPUTED_VALUE"""),1969.0)</f>
        <v>1969</v>
      </c>
      <c r="E1934">
        <f>IFERROR(__xludf.DUMMYFUNCTION("""COMPUTED_VALUE"""),3717466.0)</f>
        <v>3717466</v>
      </c>
    </row>
    <row r="1935">
      <c r="A1935" t="str">
        <f t="shared" si="1"/>
        <v>bih#1970</v>
      </c>
      <c r="B1935" t="str">
        <f>IFERROR(__xludf.DUMMYFUNCTION("""COMPUTED_VALUE"""),"bih")</f>
        <v>bih</v>
      </c>
      <c r="C1935" t="str">
        <f>IFERROR(__xludf.DUMMYFUNCTION("""COMPUTED_VALUE"""),"Bosnia and Herzegovina")</f>
        <v>Bosnia and Herzegovina</v>
      </c>
      <c r="D1935">
        <f>IFERROR(__xludf.DUMMYFUNCTION("""COMPUTED_VALUE"""),1970.0)</f>
        <v>1970</v>
      </c>
      <c r="E1935">
        <f>IFERROR(__xludf.DUMMYFUNCTION("""COMPUTED_VALUE"""),3760527.0)</f>
        <v>3760527</v>
      </c>
    </row>
    <row r="1936">
      <c r="A1936" t="str">
        <f t="shared" si="1"/>
        <v>bih#1971</v>
      </c>
      <c r="B1936" t="str">
        <f>IFERROR(__xludf.DUMMYFUNCTION("""COMPUTED_VALUE"""),"bih")</f>
        <v>bih</v>
      </c>
      <c r="C1936" t="str">
        <f>IFERROR(__xludf.DUMMYFUNCTION("""COMPUTED_VALUE"""),"Bosnia and Herzegovina")</f>
        <v>Bosnia and Herzegovina</v>
      </c>
      <c r="D1936">
        <f>IFERROR(__xludf.DUMMYFUNCTION("""COMPUTED_VALUE"""),1971.0)</f>
        <v>1971</v>
      </c>
      <c r="E1936">
        <f>IFERROR(__xludf.DUMMYFUNCTION("""COMPUTED_VALUE"""),3805285.0)</f>
        <v>3805285</v>
      </c>
    </row>
    <row r="1937">
      <c r="A1937" t="str">
        <f t="shared" si="1"/>
        <v>bih#1972</v>
      </c>
      <c r="B1937" t="str">
        <f>IFERROR(__xludf.DUMMYFUNCTION("""COMPUTED_VALUE"""),"bih")</f>
        <v>bih</v>
      </c>
      <c r="C1937" t="str">
        <f>IFERROR(__xludf.DUMMYFUNCTION("""COMPUTED_VALUE"""),"Bosnia and Herzegovina")</f>
        <v>Bosnia and Herzegovina</v>
      </c>
      <c r="D1937">
        <f>IFERROR(__xludf.DUMMYFUNCTION("""COMPUTED_VALUE"""),1972.0)</f>
        <v>1972</v>
      </c>
      <c r="E1937">
        <f>IFERROR(__xludf.DUMMYFUNCTION("""COMPUTED_VALUE"""),3851151.0)</f>
        <v>3851151</v>
      </c>
    </row>
    <row r="1938">
      <c r="A1938" t="str">
        <f t="shared" si="1"/>
        <v>bih#1973</v>
      </c>
      <c r="B1938" t="str">
        <f>IFERROR(__xludf.DUMMYFUNCTION("""COMPUTED_VALUE"""),"bih")</f>
        <v>bih</v>
      </c>
      <c r="C1938" t="str">
        <f>IFERROR(__xludf.DUMMYFUNCTION("""COMPUTED_VALUE"""),"Bosnia and Herzegovina")</f>
        <v>Bosnia and Herzegovina</v>
      </c>
      <c r="D1938">
        <f>IFERROR(__xludf.DUMMYFUNCTION("""COMPUTED_VALUE"""),1973.0)</f>
        <v>1973</v>
      </c>
      <c r="E1938">
        <f>IFERROR(__xludf.DUMMYFUNCTION("""COMPUTED_VALUE"""),3897255.0)</f>
        <v>3897255</v>
      </c>
    </row>
    <row r="1939">
      <c r="A1939" t="str">
        <f t="shared" si="1"/>
        <v>bih#1974</v>
      </c>
      <c r="B1939" t="str">
        <f>IFERROR(__xludf.DUMMYFUNCTION("""COMPUTED_VALUE"""),"bih")</f>
        <v>bih</v>
      </c>
      <c r="C1939" t="str">
        <f>IFERROR(__xludf.DUMMYFUNCTION("""COMPUTED_VALUE"""),"Bosnia and Herzegovina")</f>
        <v>Bosnia and Herzegovina</v>
      </c>
      <c r="D1939">
        <f>IFERROR(__xludf.DUMMYFUNCTION("""COMPUTED_VALUE"""),1974.0)</f>
        <v>1974</v>
      </c>
      <c r="E1939">
        <f>IFERROR(__xludf.DUMMYFUNCTION("""COMPUTED_VALUE"""),3942223.0)</f>
        <v>3942223</v>
      </c>
    </row>
    <row r="1940">
      <c r="A1940" t="str">
        <f t="shared" si="1"/>
        <v>bih#1975</v>
      </c>
      <c r="B1940" t="str">
        <f>IFERROR(__xludf.DUMMYFUNCTION("""COMPUTED_VALUE"""),"bih")</f>
        <v>bih</v>
      </c>
      <c r="C1940" t="str">
        <f>IFERROR(__xludf.DUMMYFUNCTION("""COMPUTED_VALUE"""),"Bosnia and Herzegovina")</f>
        <v>Bosnia and Herzegovina</v>
      </c>
      <c r="D1940">
        <f>IFERROR(__xludf.DUMMYFUNCTION("""COMPUTED_VALUE"""),1975.0)</f>
        <v>1975</v>
      </c>
      <c r="E1940">
        <f>IFERROR(__xludf.DUMMYFUNCTION("""COMPUTED_VALUE"""),3985103.0)</f>
        <v>3985103</v>
      </c>
    </row>
    <row r="1941">
      <c r="A1941" t="str">
        <f t="shared" si="1"/>
        <v>bih#1976</v>
      </c>
      <c r="B1941" t="str">
        <f>IFERROR(__xludf.DUMMYFUNCTION("""COMPUTED_VALUE"""),"bih")</f>
        <v>bih</v>
      </c>
      <c r="C1941" t="str">
        <f>IFERROR(__xludf.DUMMYFUNCTION("""COMPUTED_VALUE"""),"Bosnia and Herzegovina")</f>
        <v>Bosnia and Herzegovina</v>
      </c>
      <c r="D1941">
        <f>IFERROR(__xludf.DUMMYFUNCTION("""COMPUTED_VALUE"""),1976.0)</f>
        <v>1976</v>
      </c>
      <c r="E1941">
        <f>IFERROR(__xludf.DUMMYFUNCTION("""COMPUTED_VALUE"""),4025265.0)</f>
        <v>4025265</v>
      </c>
    </row>
    <row r="1942">
      <c r="A1942" t="str">
        <f t="shared" si="1"/>
        <v>bih#1977</v>
      </c>
      <c r="B1942" t="str">
        <f>IFERROR(__xludf.DUMMYFUNCTION("""COMPUTED_VALUE"""),"bih")</f>
        <v>bih</v>
      </c>
      <c r="C1942" t="str">
        <f>IFERROR(__xludf.DUMMYFUNCTION("""COMPUTED_VALUE"""),"Bosnia and Herzegovina")</f>
        <v>Bosnia and Herzegovina</v>
      </c>
      <c r="D1942">
        <f>IFERROR(__xludf.DUMMYFUNCTION("""COMPUTED_VALUE"""),1977.0)</f>
        <v>1977</v>
      </c>
      <c r="E1942">
        <f>IFERROR(__xludf.DUMMYFUNCTION("""COMPUTED_VALUE"""),4063191.0)</f>
        <v>4063191</v>
      </c>
    </row>
    <row r="1943">
      <c r="A1943" t="str">
        <f t="shared" si="1"/>
        <v>bih#1978</v>
      </c>
      <c r="B1943" t="str">
        <f>IFERROR(__xludf.DUMMYFUNCTION("""COMPUTED_VALUE"""),"bih")</f>
        <v>bih</v>
      </c>
      <c r="C1943" t="str">
        <f>IFERROR(__xludf.DUMMYFUNCTION("""COMPUTED_VALUE"""),"Bosnia and Herzegovina")</f>
        <v>Bosnia and Herzegovina</v>
      </c>
      <c r="D1943">
        <f>IFERROR(__xludf.DUMMYFUNCTION("""COMPUTED_VALUE"""),1978.0)</f>
        <v>1978</v>
      </c>
      <c r="E1943">
        <f>IFERROR(__xludf.DUMMYFUNCTION("""COMPUTED_VALUE"""),4100350.0)</f>
        <v>4100350</v>
      </c>
    </row>
    <row r="1944">
      <c r="A1944" t="str">
        <f t="shared" si="1"/>
        <v>bih#1979</v>
      </c>
      <c r="B1944" t="str">
        <f>IFERROR(__xludf.DUMMYFUNCTION("""COMPUTED_VALUE"""),"bih")</f>
        <v>bih</v>
      </c>
      <c r="C1944" t="str">
        <f>IFERROR(__xludf.DUMMYFUNCTION("""COMPUTED_VALUE"""),"Bosnia and Herzegovina")</f>
        <v>Bosnia and Herzegovina</v>
      </c>
      <c r="D1944">
        <f>IFERROR(__xludf.DUMMYFUNCTION("""COMPUTED_VALUE"""),1979.0)</f>
        <v>1979</v>
      </c>
      <c r="E1944">
        <f>IFERROR(__xludf.DUMMYFUNCTION("""COMPUTED_VALUE"""),4138819.0)</f>
        <v>4138819</v>
      </c>
    </row>
    <row r="1945">
      <c r="A1945" t="str">
        <f t="shared" si="1"/>
        <v>bih#1980</v>
      </c>
      <c r="B1945" t="str">
        <f>IFERROR(__xludf.DUMMYFUNCTION("""COMPUTED_VALUE"""),"bih")</f>
        <v>bih</v>
      </c>
      <c r="C1945" t="str">
        <f>IFERROR(__xludf.DUMMYFUNCTION("""COMPUTED_VALUE"""),"Bosnia and Herzegovina")</f>
        <v>Bosnia and Herzegovina</v>
      </c>
      <c r="D1945">
        <f>IFERROR(__xludf.DUMMYFUNCTION("""COMPUTED_VALUE"""),1980.0)</f>
        <v>1980</v>
      </c>
      <c r="E1945">
        <f>IFERROR(__xludf.DUMMYFUNCTION("""COMPUTED_VALUE"""),4179855.0)</f>
        <v>4179855</v>
      </c>
    </row>
    <row r="1946">
      <c r="A1946" t="str">
        <f t="shared" si="1"/>
        <v>bih#1981</v>
      </c>
      <c r="B1946" t="str">
        <f>IFERROR(__xludf.DUMMYFUNCTION("""COMPUTED_VALUE"""),"bih")</f>
        <v>bih</v>
      </c>
      <c r="C1946" t="str">
        <f>IFERROR(__xludf.DUMMYFUNCTION("""COMPUTED_VALUE"""),"Bosnia and Herzegovina")</f>
        <v>Bosnia and Herzegovina</v>
      </c>
      <c r="D1946">
        <f>IFERROR(__xludf.DUMMYFUNCTION("""COMPUTED_VALUE"""),1981.0)</f>
        <v>1981</v>
      </c>
      <c r="E1946">
        <f>IFERROR(__xludf.DUMMYFUNCTION("""COMPUTED_VALUE"""),4222511.0)</f>
        <v>4222511</v>
      </c>
    </row>
    <row r="1947">
      <c r="A1947" t="str">
        <f t="shared" si="1"/>
        <v>bih#1982</v>
      </c>
      <c r="B1947" t="str">
        <f>IFERROR(__xludf.DUMMYFUNCTION("""COMPUTED_VALUE"""),"bih")</f>
        <v>bih</v>
      </c>
      <c r="C1947" t="str">
        <f>IFERROR(__xludf.DUMMYFUNCTION("""COMPUTED_VALUE"""),"Bosnia and Herzegovina")</f>
        <v>Bosnia and Herzegovina</v>
      </c>
      <c r="D1947">
        <f>IFERROR(__xludf.DUMMYFUNCTION("""COMPUTED_VALUE"""),1982.0)</f>
        <v>1982</v>
      </c>
      <c r="E1947">
        <f>IFERROR(__xludf.DUMMYFUNCTION("""COMPUTED_VALUE"""),4265310.0)</f>
        <v>4265310</v>
      </c>
    </row>
    <row r="1948">
      <c r="A1948" t="str">
        <f t="shared" si="1"/>
        <v>bih#1983</v>
      </c>
      <c r="B1948" t="str">
        <f>IFERROR(__xludf.DUMMYFUNCTION("""COMPUTED_VALUE"""),"bih")</f>
        <v>bih</v>
      </c>
      <c r="C1948" t="str">
        <f>IFERROR(__xludf.DUMMYFUNCTION("""COMPUTED_VALUE"""),"Bosnia and Herzegovina")</f>
        <v>Bosnia and Herzegovina</v>
      </c>
      <c r="D1948">
        <f>IFERROR(__xludf.DUMMYFUNCTION("""COMPUTED_VALUE"""),1983.0)</f>
        <v>1983</v>
      </c>
      <c r="E1948">
        <f>IFERROR(__xludf.DUMMYFUNCTION("""COMPUTED_VALUE"""),4308106.0)</f>
        <v>4308106</v>
      </c>
    </row>
    <row r="1949">
      <c r="A1949" t="str">
        <f t="shared" si="1"/>
        <v>bih#1984</v>
      </c>
      <c r="B1949" t="str">
        <f>IFERROR(__xludf.DUMMYFUNCTION("""COMPUTED_VALUE"""),"bih")</f>
        <v>bih</v>
      </c>
      <c r="C1949" t="str">
        <f>IFERROR(__xludf.DUMMYFUNCTION("""COMPUTED_VALUE"""),"Bosnia and Herzegovina")</f>
        <v>Bosnia and Herzegovina</v>
      </c>
      <c r="D1949">
        <f>IFERROR(__xludf.DUMMYFUNCTION("""COMPUTED_VALUE"""),1984.0)</f>
        <v>1984</v>
      </c>
      <c r="E1949">
        <f>IFERROR(__xludf.DUMMYFUNCTION("""COMPUTED_VALUE"""),4350746.0)</f>
        <v>4350746</v>
      </c>
    </row>
    <row r="1950">
      <c r="A1950" t="str">
        <f t="shared" si="1"/>
        <v>bih#1985</v>
      </c>
      <c r="B1950" t="str">
        <f>IFERROR(__xludf.DUMMYFUNCTION("""COMPUTED_VALUE"""),"bih")</f>
        <v>bih</v>
      </c>
      <c r="C1950" t="str">
        <f>IFERROR(__xludf.DUMMYFUNCTION("""COMPUTED_VALUE"""),"Bosnia and Herzegovina")</f>
        <v>Bosnia and Herzegovina</v>
      </c>
      <c r="D1950">
        <f>IFERROR(__xludf.DUMMYFUNCTION("""COMPUTED_VALUE"""),1985.0)</f>
        <v>1985</v>
      </c>
      <c r="E1950">
        <f>IFERROR(__xludf.DUMMYFUNCTION("""COMPUTED_VALUE"""),4392130.0)</f>
        <v>4392130</v>
      </c>
    </row>
    <row r="1951">
      <c r="A1951" t="str">
        <f t="shared" si="1"/>
        <v>bih#1986</v>
      </c>
      <c r="B1951" t="str">
        <f>IFERROR(__xludf.DUMMYFUNCTION("""COMPUTED_VALUE"""),"bih")</f>
        <v>bih</v>
      </c>
      <c r="C1951" t="str">
        <f>IFERROR(__xludf.DUMMYFUNCTION("""COMPUTED_VALUE"""),"Bosnia and Herzegovina")</f>
        <v>Bosnia and Herzegovina</v>
      </c>
      <c r="D1951">
        <f>IFERROR(__xludf.DUMMYFUNCTION("""COMPUTED_VALUE"""),1986.0)</f>
        <v>1986</v>
      </c>
      <c r="E1951">
        <f>IFERROR(__xludf.DUMMYFUNCTION("""COMPUTED_VALUE"""),4435504.0)</f>
        <v>4435504</v>
      </c>
    </row>
    <row r="1952">
      <c r="A1952" t="str">
        <f t="shared" si="1"/>
        <v>bih#1987</v>
      </c>
      <c r="B1952" t="str">
        <f>IFERROR(__xludf.DUMMYFUNCTION("""COMPUTED_VALUE"""),"bih")</f>
        <v>bih</v>
      </c>
      <c r="C1952" t="str">
        <f>IFERROR(__xludf.DUMMYFUNCTION("""COMPUTED_VALUE"""),"Bosnia and Herzegovina")</f>
        <v>Bosnia and Herzegovina</v>
      </c>
      <c r="D1952">
        <f>IFERROR(__xludf.DUMMYFUNCTION("""COMPUTED_VALUE"""),1987.0)</f>
        <v>1987</v>
      </c>
      <c r="E1952">
        <f>IFERROR(__xludf.DUMMYFUNCTION("""COMPUTED_VALUE"""),4478519.0)</f>
        <v>4478519</v>
      </c>
    </row>
    <row r="1953">
      <c r="A1953" t="str">
        <f t="shared" si="1"/>
        <v>bih#1988</v>
      </c>
      <c r="B1953" t="str">
        <f>IFERROR(__xludf.DUMMYFUNCTION("""COMPUTED_VALUE"""),"bih")</f>
        <v>bih</v>
      </c>
      <c r="C1953" t="str">
        <f>IFERROR(__xludf.DUMMYFUNCTION("""COMPUTED_VALUE"""),"Bosnia and Herzegovina")</f>
        <v>Bosnia and Herzegovina</v>
      </c>
      <c r="D1953">
        <f>IFERROR(__xludf.DUMMYFUNCTION("""COMPUTED_VALUE"""),1988.0)</f>
        <v>1988</v>
      </c>
      <c r="E1953">
        <f>IFERROR(__xludf.DUMMYFUNCTION("""COMPUTED_VALUE"""),4508056.0)</f>
        <v>4508056</v>
      </c>
    </row>
    <row r="1954">
      <c r="A1954" t="str">
        <f t="shared" si="1"/>
        <v>bih#1989</v>
      </c>
      <c r="B1954" t="str">
        <f>IFERROR(__xludf.DUMMYFUNCTION("""COMPUTED_VALUE"""),"bih")</f>
        <v>bih</v>
      </c>
      <c r="C1954" t="str">
        <f>IFERROR(__xludf.DUMMYFUNCTION("""COMPUTED_VALUE"""),"Bosnia and Herzegovina")</f>
        <v>Bosnia and Herzegovina</v>
      </c>
      <c r="D1954">
        <f>IFERROR(__xludf.DUMMYFUNCTION("""COMPUTED_VALUE"""),1989.0)</f>
        <v>1989</v>
      </c>
      <c r="E1954">
        <f>IFERROR(__xludf.DUMMYFUNCTION("""COMPUTED_VALUE"""),4506653.0)</f>
        <v>4506653</v>
      </c>
    </row>
    <row r="1955">
      <c r="A1955" t="str">
        <f t="shared" si="1"/>
        <v>bih#1990</v>
      </c>
      <c r="B1955" t="str">
        <f>IFERROR(__xludf.DUMMYFUNCTION("""COMPUTED_VALUE"""),"bih")</f>
        <v>bih</v>
      </c>
      <c r="C1955" t="str">
        <f>IFERROR(__xludf.DUMMYFUNCTION("""COMPUTED_VALUE"""),"Bosnia and Herzegovina")</f>
        <v>Bosnia and Herzegovina</v>
      </c>
      <c r="D1955">
        <f>IFERROR(__xludf.DUMMYFUNCTION("""COMPUTED_VALUE"""),1990.0)</f>
        <v>1990</v>
      </c>
      <c r="E1955">
        <f>IFERROR(__xludf.DUMMYFUNCTION("""COMPUTED_VALUE"""),4463422.0)</f>
        <v>4463422</v>
      </c>
    </row>
    <row r="1956">
      <c r="A1956" t="str">
        <f t="shared" si="1"/>
        <v>bih#1991</v>
      </c>
      <c r="B1956" t="str">
        <f>IFERROR(__xludf.DUMMYFUNCTION("""COMPUTED_VALUE"""),"bih")</f>
        <v>bih</v>
      </c>
      <c r="C1956" t="str">
        <f>IFERROR(__xludf.DUMMYFUNCTION("""COMPUTED_VALUE"""),"Bosnia and Herzegovina")</f>
        <v>Bosnia and Herzegovina</v>
      </c>
      <c r="D1956">
        <f>IFERROR(__xludf.DUMMYFUNCTION("""COMPUTED_VALUE"""),1991.0)</f>
        <v>1991</v>
      </c>
      <c r="E1956">
        <f>IFERROR(__xludf.DUMMYFUNCTION("""COMPUTED_VALUE"""),4371603.0)</f>
        <v>4371603</v>
      </c>
    </row>
    <row r="1957">
      <c r="A1957" t="str">
        <f t="shared" si="1"/>
        <v>bih#1992</v>
      </c>
      <c r="B1957" t="str">
        <f>IFERROR(__xludf.DUMMYFUNCTION("""COMPUTED_VALUE"""),"bih")</f>
        <v>bih</v>
      </c>
      <c r="C1957" t="str">
        <f>IFERROR(__xludf.DUMMYFUNCTION("""COMPUTED_VALUE"""),"Bosnia and Herzegovina")</f>
        <v>Bosnia and Herzegovina</v>
      </c>
      <c r="D1957">
        <f>IFERROR(__xludf.DUMMYFUNCTION("""COMPUTED_VALUE"""),1992.0)</f>
        <v>1992</v>
      </c>
      <c r="E1957">
        <f>IFERROR(__xludf.DUMMYFUNCTION("""COMPUTED_VALUE"""),4239154.0)</f>
        <v>4239154</v>
      </c>
    </row>
    <row r="1958">
      <c r="A1958" t="str">
        <f t="shared" si="1"/>
        <v>bih#1993</v>
      </c>
      <c r="B1958" t="str">
        <f>IFERROR(__xludf.DUMMYFUNCTION("""COMPUTED_VALUE"""),"bih")</f>
        <v>bih</v>
      </c>
      <c r="C1958" t="str">
        <f>IFERROR(__xludf.DUMMYFUNCTION("""COMPUTED_VALUE"""),"Bosnia and Herzegovina")</f>
        <v>Bosnia and Herzegovina</v>
      </c>
      <c r="D1958">
        <f>IFERROR(__xludf.DUMMYFUNCTION("""COMPUTED_VALUE"""),1993.0)</f>
        <v>1993</v>
      </c>
      <c r="E1958">
        <f>IFERROR(__xludf.DUMMYFUNCTION("""COMPUTED_VALUE"""),4087999.0)</f>
        <v>4087999</v>
      </c>
    </row>
    <row r="1959">
      <c r="A1959" t="str">
        <f t="shared" si="1"/>
        <v>bih#1994</v>
      </c>
      <c r="B1959" t="str">
        <f>IFERROR(__xludf.DUMMYFUNCTION("""COMPUTED_VALUE"""),"bih")</f>
        <v>bih</v>
      </c>
      <c r="C1959" t="str">
        <f>IFERROR(__xludf.DUMMYFUNCTION("""COMPUTED_VALUE"""),"Bosnia and Herzegovina")</f>
        <v>Bosnia and Herzegovina</v>
      </c>
      <c r="D1959">
        <f>IFERROR(__xludf.DUMMYFUNCTION("""COMPUTED_VALUE"""),1994.0)</f>
        <v>1994</v>
      </c>
      <c r="E1959">
        <f>IFERROR(__xludf.DUMMYFUNCTION("""COMPUTED_VALUE"""),3948816.0)</f>
        <v>3948816</v>
      </c>
    </row>
    <row r="1960">
      <c r="A1960" t="str">
        <f t="shared" si="1"/>
        <v>bih#1995</v>
      </c>
      <c r="B1960" t="str">
        <f>IFERROR(__xludf.DUMMYFUNCTION("""COMPUTED_VALUE"""),"bih")</f>
        <v>bih</v>
      </c>
      <c r="C1960" t="str">
        <f>IFERROR(__xludf.DUMMYFUNCTION("""COMPUTED_VALUE"""),"Bosnia and Herzegovina")</f>
        <v>Bosnia and Herzegovina</v>
      </c>
      <c r="D1960">
        <f>IFERROR(__xludf.DUMMYFUNCTION("""COMPUTED_VALUE"""),1995.0)</f>
        <v>1995</v>
      </c>
      <c r="E1960">
        <f>IFERROR(__xludf.DUMMYFUNCTION("""COMPUTED_VALUE"""),3843712.0)</f>
        <v>3843712</v>
      </c>
    </row>
    <row r="1961">
      <c r="A1961" t="str">
        <f t="shared" si="1"/>
        <v>bih#1996</v>
      </c>
      <c r="B1961" t="str">
        <f>IFERROR(__xludf.DUMMYFUNCTION("""COMPUTED_VALUE"""),"bih")</f>
        <v>bih</v>
      </c>
      <c r="C1961" t="str">
        <f>IFERROR(__xludf.DUMMYFUNCTION("""COMPUTED_VALUE"""),"Bosnia and Herzegovina")</f>
        <v>Bosnia and Herzegovina</v>
      </c>
      <c r="D1961">
        <f>IFERROR(__xludf.DUMMYFUNCTION("""COMPUTED_VALUE"""),1996.0)</f>
        <v>1996</v>
      </c>
      <c r="E1961">
        <f>IFERROR(__xludf.DUMMYFUNCTION("""COMPUTED_VALUE"""),3780378.0)</f>
        <v>3780378</v>
      </c>
    </row>
    <row r="1962">
      <c r="A1962" t="str">
        <f t="shared" si="1"/>
        <v>bih#1997</v>
      </c>
      <c r="B1962" t="str">
        <f>IFERROR(__xludf.DUMMYFUNCTION("""COMPUTED_VALUE"""),"bih")</f>
        <v>bih</v>
      </c>
      <c r="C1962" t="str">
        <f>IFERROR(__xludf.DUMMYFUNCTION("""COMPUTED_VALUE"""),"Bosnia and Herzegovina")</f>
        <v>Bosnia and Herzegovina</v>
      </c>
      <c r="D1962">
        <f>IFERROR(__xludf.DUMMYFUNCTION("""COMPUTED_VALUE"""),1997.0)</f>
        <v>1997</v>
      </c>
      <c r="E1962">
        <f>IFERROR(__xludf.DUMMYFUNCTION("""COMPUTED_VALUE"""),3752431.0)</f>
        <v>3752431</v>
      </c>
    </row>
    <row r="1963">
      <c r="A1963" t="str">
        <f t="shared" si="1"/>
        <v>bih#1998</v>
      </c>
      <c r="B1963" t="str">
        <f>IFERROR(__xludf.DUMMYFUNCTION("""COMPUTED_VALUE"""),"bih")</f>
        <v>bih</v>
      </c>
      <c r="C1963" t="str">
        <f>IFERROR(__xludf.DUMMYFUNCTION("""COMPUTED_VALUE"""),"Bosnia and Herzegovina")</f>
        <v>Bosnia and Herzegovina</v>
      </c>
      <c r="D1963">
        <f>IFERROR(__xludf.DUMMYFUNCTION("""COMPUTED_VALUE"""),1998.0)</f>
        <v>1998</v>
      </c>
      <c r="E1963">
        <f>IFERROR(__xludf.DUMMYFUNCTION("""COMPUTED_VALUE"""),3750485.0)</f>
        <v>3750485</v>
      </c>
    </row>
    <row r="1964">
      <c r="A1964" t="str">
        <f t="shared" si="1"/>
        <v>bih#1999</v>
      </c>
      <c r="B1964" t="str">
        <f>IFERROR(__xludf.DUMMYFUNCTION("""COMPUTED_VALUE"""),"bih")</f>
        <v>bih</v>
      </c>
      <c r="C1964" t="str">
        <f>IFERROR(__xludf.DUMMYFUNCTION("""COMPUTED_VALUE"""),"Bosnia and Herzegovina")</f>
        <v>Bosnia and Herzegovina</v>
      </c>
      <c r="D1964">
        <f>IFERROR(__xludf.DUMMYFUNCTION("""COMPUTED_VALUE"""),1999.0)</f>
        <v>1999</v>
      </c>
      <c r="E1964">
        <f>IFERROR(__xludf.DUMMYFUNCTION("""COMPUTED_VALUE"""),3759118.0)</f>
        <v>3759118</v>
      </c>
    </row>
    <row r="1965">
      <c r="A1965" t="str">
        <f t="shared" si="1"/>
        <v>bih#2000</v>
      </c>
      <c r="B1965" t="str">
        <f>IFERROR(__xludf.DUMMYFUNCTION("""COMPUTED_VALUE"""),"bih")</f>
        <v>bih</v>
      </c>
      <c r="C1965" t="str">
        <f>IFERROR(__xludf.DUMMYFUNCTION("""COMPUTED_VALUE"""),"Bosnia and Herzegovina")</f>
        <v>Bosnia and Herzegovina</v>
      </c>
      <c r="D1965">
        <f>IFERROR(__xludf.DUMMYFUNCTION("""COMPUTED_VALUE"""),2000.0)</f>
        <v>2000</v>
      </c>
      <c r="E1965">
        <f>IFERROR(__xludf.DUMMYFUNCTION("""COMPUTED_VALUE"""),3766706.0)</f>
        <v>3766706</v>
      </c>
    </row>
    <row r="1966">
      <c r="A1966" t="str">
        <f t="shared" si="1"/>
        <v>bih#2001</v>
      </c>
      <c r="B1966" t="str">
        <f>IFERROR(__xludf.DUMMYFUNCTION("""COMPUTED_VALUE"""),"bih")</f>
        <v>bih</v>
      </c>
      <c r="C1966" t="str">
        <f>IFERROR(__xludf.DUMMYFUNCTION("""COMPUTED_VALUE"""),"Bosnia and Herzegovina")</f>
        <v>Bosnia and Herzegovina</v>
      </c>
      <c r="D1966">
        <f>IFERROR(__xludf.DUMMYFUNCTION("""COMPUTED_VALUE"""),2001.0)</f>
        <v>2001</v>
      </c>
      <c r="E1966">
        <f>IFERROR(__xludf.DUMMYFUNCTION("""COMPUTED_VALUE"""),3771284.0)</f>
        <v>3771284</v>
      </c>
    </row>
    <row r="1967">
      <c r="A1967" t="str">
        <f t="shared" si="1"/>
        <v>bih#2002</v>
      </c>
      <c r="B1967" t="str">
        <f>IFERROR(__xludf.DUMMYFUNCTION("""COMPUTED_VALUE"""),"bih")</f>
        <v>bih</v>
      </c>
      <c r="C1967" t="str">
        <f>IFERROR(__xludf.DUMMYFUNCTION("""COMPUTED_VALUE"""),"Bosnia and Herzegovina")</f>
        <v>Bosnia and Herzegovina</v>
      </c>
      <c r="D1967">
        <f>IFERROR(__xludf.DUMMYFUNCTION("""COMPUTED_VALUE"""),2002.0)</f>
        <v>2002</v>
      </c>
      <c r="E1967">
        <f>IFERROR(__xludf.DUMMYFUNCTION("""COMPUTED_VALUE"""),3775807.0)</f>
        <v>3775807</v>
      </c>
    </row>
    <row r="1968">
      <c r="A1968" t="str">
        <f t="shared" si="1"/>
        <v>bih#2003</v>
      </c>
      <c r="B1968" t="str">
        <f>IFERROR(__xludf.DUMMYFUNCTION("""COMPUTED_VALUE"""),"bih")</f>
        <v>bih</v>
      </c>
      <c r="C1968" t="str">
        <f>IFERROR(__xludf.DUMMYFUNCTION("""COMPUTED_VALUE"""),"Bosnia and Herzegovina")</f>
        <v>Bosnia and Herzegovina</v>
      </c>
      <c r="D1968">
        <f>IFERROR(__xludf.DUMMYFUNCTION("""COMPUTED_VALUE"""),2003.0)</f>
        <v>2003</v>
      </c>
      <c r="E1968">
        <f>IFERROR(__xludf.DUMMYFUNCTION("""COMPUTED_VALUE"""),3779247.0)</f>
        <v>3779247</v>
      </c>
    </row>
    <row r="1969">
      <c r="A1969" t="str">
        <f t="shared" si="1"/>
        <v>bih#2004</v>
      </c>
      <c r="B1969" t="str">
        <f>IFERROR(__xludf.DUMMYFUNCTION("""COMPUTED_VALUE"""),"bih")</f>
        <v>bih</v>
      </c>
      <c r="C1969" t="str">
        <f>IFERROR(__xludf.DUMMYFUNCTION("""COMPUTED_VALUE"""),"Bosnia and Herzegovina")</f>
        <v>Bosnia and Herzegovina</v>
      </c>
      <c r="D1969">
        <f>IFERROR(__xludf.DUMMYFUNCTION("""COMPUTED_VALUE"""),2004.0)</f>
        <v>2004</v>
      </c>
      <c r="E1969">
        <f>IFERROR(__xludf.DUMMYFUNCTION("""COMPUTED_VALUE"""),3781287.0)</f>
        <v>3781287</v>
      </c>
    </row>
    <row r="1970">
      <c r="A1970" t="str">
        <f t="shared" si="1"/>
        <v>bih#2005</v>
      </c>
      <c r="B1970" t="str">
        <f>IFERROR(__xludf.DUMMYFUNCTION("""COMPUTED_VALUE"""),"bih")</f>
        <v>bih</v>
      </c>
      <c r="C1970" t="str">
        <f>IFERROR(__xludf.DUMMYFUNCTION("""COMPUTED_VALUE"""),"Bosnia and Herzegovina")</f>
        <v>Bosnia and Herzegovina</v>
      </c>
      <c r="D1970">
        <f>IFERROR(__xludf.DUMMYFUNCTION("""COMPUTED_VALUE"""),2005.0)</f>
        <v>2005</v>
      </c>
      <c r="E1970">
        <f>IFERROR(__xludf.DUMMYFUNCTION("""COMPUTED_VALUE"""),3781530.0)</f>
        <v>3781530</v>
      </c>
    </row>
    <row r="1971">
      <c r="A1971" t="str">
        <f t="shared" si="1"/>
        <v>bih#2006</v>
      </c>
      <c r="B1971" t="str">
        <f>IFERROR(__xludf.DUMMYFUNCTION("""COMPUTED_VALUE"""),"bih")</f>
        <v>bih</v>
      </c>
      <c r="C1971" t="str">
        <f>IFERROR(__xludf.DUMMYFUNCTION("""COMPUTED_VALUE"""),"Bosnia and Herzegovina")</f>
        <v>Bosnia and Herzegovina</v>
      </c>
      <c r="D1971">
        <f>IFERROR(__xludf.DUMMYFUNCTION("""COMPUTED_VALUE"""),2006.0)</f>
        <v>2006</v>
      </c>
      <c r="E1971">
        <f>IFERROR(__xludf.DUMMYFUNCTION("""COMPUTED_VALUE"""),3779468.0)</f>
        <v>3779468</v>
      </c>
    </row>
    <row r="1972">
      <c r="A1972" t="str">
        <f t="shared" si="1"/>
        <v>bih#2007</v>
      </c>
      <c r="B1972" t="str">
        <f>IFERROR(__xludf.DUMMYFUNCTION("""COMPUTED_VALUE"""),"bih")</f>
        <v>bih</v>
      </c>
      <c r="C1972" t="str">
        <f>IFERROR(__xludf.DUMMYFUNCTION("""COMPUTED_VALUE"""),"Bosnia and Herzegovina")</f>
        <v>Bosnia and Herzegovina</v>
      </c>
      <c r="D1972">
        <f>IFERROR(__xludf.DUMMYFUNCTION("""COMPUTED_VALUE"""),2007.0)</f>
        <v>2007</v>
      </c>
      <c r="E1972">
        <f>IFERROR(__xludf.DUMMYFUNCTION("""COMPUTED_VALUE"""),3774000.0)</f>
        <v>3774000</v>
      </c>
    </row>
    <row r="1973">
      <c r="A1973" t="str">
        <f t="shared" si="1"/>
        <v>bih#2008</v>
      </c>
      <c r="B1973" t="str">
        <f>IFERROR(__xludf.DUMMYFUNCTION("""COMPUTED_VALUE"""),"bih")</f>
        <v>bih</v>
      </c>
      <c r="C1973" t="str">
        <f>IFERROR(__xludf.DUMMYFUNCTION("""COMPUTED_VALUE"""),"Bosnia and Herzegovina")</f>
        <v>Bosnia and Herzegovina</v>
      </c>
      <c r="D1973">
        <f>IFERROR(__xludf.DUMMYFUNCTION("""COMPUTED_VALUE"""),2008.0)</f>
        <v>2008</v>
      </c>
      <c r="E1973">
        <f>IFERROR(__xludf.DUMMYFUNCTION("""COMPUTED_VALUE"""),3763599.0)</f>
        <v>3763599</v>
      </c>
    </row>
    <row r="1974">
      <c r="A1974" t="str">
        <f t="shared" si="1"/>
        <v>bih#2009</v>
      </c>
      <c r="B1974" t="str">
        <f>IFERROR(__xludf.DUMMYFUNCTION("""COMPUTED_VALUE"""),"bih")</f>
        <v>bih</v>
      </c>
      <c r="C1974" t="str">
        <f>IFERROR(__xludf.DUMMYFUNCTION("""COMPUTED_VALUE"""),"Bosnia and Herzegovina")</f>
        <v>Bosnia and Herzegovina</v>
      </c>
      <c r="D1974">
        <f>IFERROR(__xludf.DUMMYFUNCTION("""COMPUTED_VALUE"""),2009.0)</f>
        <v>2009</v>
      </c>
      <c r="E1974">
        <f>IFERROR(__xludf.DUMMYFUNCTION("""COMPUTED_VALUE"""),3746561.0)</f>
        <v>3746561</v>
      </c>
    </row>
    <row r="1975">
      <c r="A1975" t="str">
        <f t="shared" si="1"/>
        <v>bih#2010</v>
      </c>
      <c r="B1975" t="str">
        <f>IFERROR(__xludf.DUMMYFUNCTION("""COMPUTED_VALUE"""),"bih")</f>
        <v>bih</v>
      </c>
      <c r="C1975" t="str">
        <f>IFERROR(__xludf.DUMMYFUNCTION("""COMPUTED_VALUE"""),"Bosnia and Herzegovina")</f>
        <v>Bosnia and Herzegovina</v>
      </c>
      <c r="D1975">
        <f>IFERROR(__xludf.DUMMYFUNCTION("""COMPUTED_VALUE"""),2010.0)</f>
        <v>2010</v>
      </c>
      <c r="E1975">
        <f>IFERROR(__xludf.DUMMYFUNCTION("""COMPUTED_VALUE"""),3722084.0)</f>
        <v>3722084</v>
      </c>
    </row>
    <row r="1976">
      <c r="A1976" t="str">
        <f t="shared" si="1"/>
        <v>bih#2011</v>
      </c>
      <c r="B1976" t="str">
        <f>IFERROR(__xludf.DUMMYFUNCTION("""COMPUTED_VALUE"""),"bih")</f>
        <v>bih</v>
      </c>
      <c r="C1976" t="str">
        <f>IFERROR(__xludf.DUMMYFUNCTION("""COMPUTED_VALUE"""),"Bosnia and Herzegovina")</f>
        <v>Bosnia and Herzegovina</v>
      </c>
      <c r="D1976">
        <f>IFERROR(__xludf.DUMMYFUNCTION("""COMPUTED_VALUE"""),2011.0)</f>
        <v>2011</v>
      </c>
      <c r="E1976">
        <f>IFERROR(__xludf.DUMMYFUNCTION("""COMPUTED_VALUE"""),3688865.0)</f>
        <v>3688865</v>
      </c>
    </row>
    <row r="1977">
      <c r="A1977" t="str">
        <f t="shared" si="1"/>
        <v>bih#2012</v>
      </c>
      <c r="B1977" t="str">
        <f>IFERROR(__xludf.DUMMYFUNCTION("""COMPUTED_VALUE"""),"bih")</f>
        <v>bih</v>
      </c>
      <c r="C1977" t="str">
        <f>IFERROR(__xludf.DUMMYFUNCTION("""COMPUTED_VALUE"""),"Bosnia and Herzegovina")</f>
        <v>Bosnia and Herzegovina</v>
      </c>
      <c r="D1977">
        <f>IFERROR(__xludf.DUMMYFUNCTION("""COMPUTED_VALUE"""),2012.0)</f>
        <v>2012</v>
      </c>
      <c r="E1977">
        <f>IFERROR(__xludf.DUMMYFUNCTION("""COMPUTED_VALUE"""),3648200.0)</f>
        <v>3648200</v>
      </c>
    </row>
    <row r="1978">
      <c r="A1978" t="str">
        <f t="shared" si="1"/>
        <v>bih#2013</v>
      </c>
      <c r="B1978" t="str">
        <f>IFERROR(__xludf.DUMMYFUNCTION("""COMPUTED_VALUE"""),"bih")</f>
        <v>bih</v>
      </c>
      <c r="C1978" t="str">
        <f>IFERROR(__xludf.DUMMYFUNCTION("""COMPUTED_VALUE"""),"Bosnia and Herzegovina")</f>
        <v>Bosnia and Herzegovina</v>
      </c>
      <c r="D1978">
        <f>IFERROR(__xludf.DUMMYFUNCTION("""COMPUTED_VALUE"""),2013.0)</f>
        <v>2013</v>
      </c>
      <c r="E1978">
        <f>IFERROR(__xludf.DUMMYFUNCTION("""COMPUTED_VALUE"""),3604999.0)</f>
        <v>3604999</v>
      </c>
    </row>
    <row r="1979">
      <c r="A1979" t="str">
        <f t="shared" si="1"/>
        <v>bih#2014</v>
      </c>
      <c r="B1979" t="str">
        <f>IFERROR(__xludf.DUMMYFUNCTION("""COMPUTED_VALUE"""),"bih")</f>
        <v>bih</v>
      </c>
      <c r="C1979" t="str">
        <f>IFERROR(__xludf.DUMMYFUNCTION("""COMPUTED_VALUE"""),"Bosnia and Herzegovina")</f>
        <v>Bosnia and Herzegovina</v>
      </c>
      <c r="D1979">
        <f>IFERROR(__xludf.DUMMYFUNCTION("""COMPUTED_VALUE"""),2014.0)</f>
        <v>2014</v>
      </c>
      <c r="E1979">
        <f>IFERROR(__xludf.DUMMYFUNCTION("""COMPUTED_VALUE"""),3566002.0)</f>
        <v>3566002</v>
      </c>
    </row>
    <row r="1980">
      <c r="A1980" t="str">
        <f t="shared" si="1"/>
        <v>bih#2015</v>
      </c>
      <c r="B1980" t="str">
        <f>IFERROR(__xludf.DUMMYFUNCTION("""COMPUTED_VALUE"""),"bih")</f>
        <v>bih</v>
      </c>
      <c r="C1980" t="str">
        <f>IFERROR(__xludf.DUMMYFUNCTION("""COMPUTED_VALUE"""),"Bosnia and Herzegovina")</f>
        <v>Bosnia and Herzegovina</v>
      </c>
      <c r="D1980">
        <f>IFERROR(__xludf.DUMMYFUNCTION("""COMPUTED_VALUE"""),2015.0)</f>
        <v>2015</v>
      </c>
      <c r="E1980">
        <f>IFERROR(__xludf.DUMMYFUNCTION("""COMPUTED_VALUE"""),3535961.0)</f>
        <v>3535961</v>
      </c>
    </row>
    <row r="1981">
      <c r="A1981" t="str">
        <f t="shared" si="1"/>
        <v>bih#2016</v>
      </c>
      <c r="B1981" t="str">
        <f>IFERROR(__xludf.DUMMYFUNCTION("""COMPUTED_VALUE"""),"bih")</f>
        <v>bih</v>
      </c>
      <c r="C1981" t="str">
        <f>IFERROR(__xludf.DUMMYFUNCTION("""COMPUTED_VALUE"""),"Bosnia and Herzegovina")</f>
        <v>Bosnia and Herzegovina</v>
      </c>
      <c r="D1981">
        <f>IFERROR(__xludf.DUMMYFUNCTION("""COMPUTED_VALUE"""),2016.0)</f>
        <v>2016</v>
      </c>
      <c r="E1981">
        <f>IFERROR(__xludf.DUMMYFUNCTION("""COMPUTED_VALUE"""),3516816.0)</f>
        <v>3516816</v>
      </c>
    </row>
    <row r="1982">
      <c r="A1982" t="str">
        <f t="shared" si="1"/>
        <v>bih#2017</v>
      </c>
      <c r="B1982" t="str">
        <f>IFERROR(__xludf.DUMMYFUNCTION("""COMPUTED_VALUE"""),"bih")</f>
        <v>bih</v>
      </c>
      <c r="C1982" t="str">
        <f>IFERROR(__xludf.DUMMYFUNCTION("""COMPUTED_VALUE"""),"Bosnia and Herzegovina")</f>
        <v>Bosnia and Herzegovina</v>
      </c>
      <c r="D1982">
        <f>IFERROR(__xludf.DUMMYFUNCTION("""COMPUTED_VALUE"""),2017.0)</f>
        <v>2017</v>
      </c>
      <c r="E1982">
        <f>IFERROR(__xludf.DUMMYFUNCTION("""COMPUTED_VALUE"""),3507017.0)</f>
        <v>3507017</v>
      </c>
    </row>
    <row r="1983">
      <c r="A1983" t="str">
        <f t="shared" si="1"/>
        <v>bih#2018</v>
      </c>
      <c r="B1983" t="str">
        <f>IFERROR(__xludf.DUMMYFUNCTION("""COMPUTED_VALUE"""),"bih")</f>
        <v>bih</v>
      </c>
      <c r="C1983" t="str">
        <f>IFERROR(__xludf.DUMMYFUNCTION("""COMPUTED_VALUE"""),"Bosnia and Herzegovina")</f>
        <v>Bosnia and Herzegovina</v>
      </c>
      <c r="D1983">
        <f>IFERROR(__xludf.DUMMYFUNCTION("""COMPUTED_VALUE"""),2018.0)</f>
        <v>2018</v>
      </c>
      <c r="E1983">
        <f>IFERROR(__xludf.DUMMYFUNCTION("""COMPUTED_VALUE"""),3503554.0)</f>
        <v>3503554</v>
      </c>
    </row>
    <row r="1984">
      <c r="A1984" t="str">
        <f t="shared" si="1"/>
        <v>bih#2019</v>
      </c>
      <c r="B1984" t="str">
        <f>IFERROR(__xludf.DUMMYFUNCTION("""COMPUTED_VALUE"""),"bih")</f>
        <v>bih</v>
      </c>
      <c r="C1984" t="str">
        <f>IFERROR(__xludf.DUMMYFUNCTION("""COMPUTED_VALUE"""),"Bosnia and Herzegovina")</f>
        <v>Bosnia and Herzegovina</v>
      </c>
      <c r="D1984">
        <f>IFERROR(__xludf.DUMMYFUNCTION("""COMPUTED_VALUE"""),2019.0)</f>
        <v>2019</v>
      </c>
      <c r="E1984">
        <f>IFERROR(__xludf.DUMMYFUNCTION("""COMPUTED_VALUE"""),3501774.0)</f>
        <v>3501774</v>
      </c>
    </row>
    <row r="1985">
      <c r="A1985" t="str">
        <f t="shared" si="1"/>
        <v>bih#2020</v>
      </c>
      <c r="B1985" t="str">
        <f>IFERROR(__xludf.DUMMYFUNCTION("""COMPUTED_VALUE"""),"bih")</f>
        <v>bih</v>
      </c>
      <c r="C1985" t="str">
        <f>IFERROR(__xludf.DUMMYFUNCTION("""COMPUTED_VALUE"""),"Bosnia and Herzegovina")</f>
        <v>Bosnia and Herzegovina</v>
      </c>
      <c r="D1985">
        <f>IFERROR(__xludf.DUMMYFUNCTION("""COMPUTED_VALUE"""),2020.0)</f>
        <v>2020</v>
      </c>
      <c r="E1985">
        <f>IFERROR(__xludf.DUMMYFUNCTION("""COMPUTED_VALUE"""),3498210.0)</f>
        <v>3498210</v>
      </c>
    </row>
    <row r="1986">
      <c r="A1986" t="str">
        <f t="shared" si="1"/>
        <v>bih#2021</v>
      </c>
      <c r="B1986" t="str">
        <f>IFERROR(__xludf.DUMMYFUNCTION("""COMPUTED_VALUE"""),"bih")</f>
        <v>bih</v>
      </c>
      <c r="C1986" t="str">
        <f>IFERROR(__xludf.DUMMYFUNCTION("""COMPUTED_VALUE"""),"Bosnia and Herzegovina")</f>
        <v>Bosnia and Herzegovina</v>
      </c>
      <c r="D1986">
        <f>IFERROR(__xludf.DUMMYFUNCTION("""COMPUTED_VALUE"""),2021.0)</f>
        <v>2021</v>
      </c>
      <c r="E1986">
        <f>IFERROR(__xludf.DUMMYFUNCTION("""COMPUTED_VALUE"""),3492068.0)</f>
        <v>3492068</v>
      </c>
    </row>
    <row r="1987">
      <c r="A1987" t="str">
        <f t="shared" si="1"/>
        <v>bih#2022</v>
      </c>
      <c r="B1987" t="str">
        <f>IFERROR(__xludf.DUMMYFUNCTION("""COMPUTED_VALUE"""),"bih")</f>
        <v>bih</v>
      </c>
      <c r="C1987" t="str">
        <f>IFERROR(__xludf.DUMMYFUNCTION("""COMPUTED_VALUE"""),"Bosnia and Herzegovina")</f>
        <v>Bosnia and Herzegovina</v>
      </c>
      <c r="D1987">
        <f>IFERROR(__xludf.DUMMYFUNCTION("""COMPUTED_VALUE"""),2022.0)</f>
        <v>2022</v>
      </c>
      <c r="E1987">
        <f>IFERROR(__xludf.DUMMYFUNCTION("""COMPUTED_VALUE"""),3484272.0)</f>
        <v>3484272</v>
      </c>
    </row>
    <row r="1988">
      <c r="A1988" t="str">
        <f t="shared" si="1"/>
        <v>bih#2023</v>
      </c>
      <c r="B1988" t="str">
        <f>IFERROR(__xludf.DUMMYFUNCTION("""COMPUTED_VALUE"""),"bih")</f>
        <v>bih</v>
      </c>
      <c r="C1988" t="str">
        <f>IFERROR(__xludf.DUMMYFUNCTION("""COMPUTED_VALUE"""),"Bosnia and Herzegovina")</f>
        <v>Bosnia and Herzegovina</v>
      </c>
      <c r="D1988">
        <f>IFERROR(__xludf.DUMMYFUNCTION("""COMPUTED_VALUE"""),2023.0)</f>
        <v>2023</v>
      </c>
      <c r="E1988">
        <f>IFERROR(__xludf.DUMMYFUNCTION("""COMPUTED_VALUE"""),3475209.0)</f>
        <v>3475209</v>
      </c>
    </row>
    <row r="1989">
      <c r="A1989" t="str">
        <f t="shared" si="1"/>
        <v>bih#2024</v>
      </c>
      <c r="B1989" t="str">
        <f>IFERROR(__xludf.DUMMYFUNCTION("""COMPUTED_VALUE"""),"bih")</f>
        <v>bih</v>
      </c>
      <c r="C1989" t="str">
        <f>IFERROR(__xludf.DUMMYFUNCTION("""COMPUTED_VALUE"""),"Bosnia and Herzegovina")</f>
        <v>Bosnia and Herzegovina</v>
      </c>
      <c r="D1989">
        <f>IFERROR(__xludf.DUMMYFUNCTION("""COMPUTED_VALUE"""),2024.0)</f>
        <v>2024</v>
      </c>
      <c r="E1989">
        <f>IFERROR(__xludf.DUMMYFUNCTION("""COMPUTED_VALUE"""),3465710.0)</f>
        <v>3465710</v>
      </c>
    </row>
    <row r="1990">
      <c r="A1990" t="str">
        <f t="shared" si="1"/>
        <v>bih#2025</v>
      </c>
      <c r="B1990" t="str">
        <f>IFERROR(__xludf.DUMMYFUNCTION("""COMPUTED_VALUE"""),"bih")</f>
        <v>bih</v>
      </c>
      <c r="C1990" t="str">
        <f>IFERROR(__xludf.DUMMYFUNCTION("""COMPUTED_VALUE"""),"Bosnia and Herzegovina")</f>
        <v>Bosnia and Herzegovina</v>
      </c>
      <c r="D1990">
        <f>IFERROR(__xludf.DUMMYFUNCTION("""COMPUTED_VALUE"""),2025.0)</f>
        <v>2025</v>
      </c>
      <c r="E1990">
        <f>IFERROR(__xludf.DUMMYFUNCTION("""COMPUTED_VALUE"""),3456355.0)</f>
        <v>3456355</v>
      </c>
    </row>
    <row r="1991">
      <c r="A1991" t="str">
        <f t="shared" si="1"/>
        <v>bih#2026</v>
      </c>
      <c r="B1991" t="str">
        <f>IFERROR(__xludf.DUMMYFUNCTION("""COMPUTED_VALUE"""),"bih")</f>
        <v>bih</v>
      </c>
      <c r="C1991" t="str">
        <f>IFERROR(__xludf.DUMMYFUNCTION("""COMPUTED_VALUE"""),"Bosnia and Herzegovina")</f>
        <v>Bosnia and Herzegovina</v>
      </c>
      <c r="D1991">
        <f>IFERROR(__xludf.DUMMYFUNCTION("""COMPUTED_VALUE"""),2026.0)</f>
        <v>2026</v>
      </c>
      <c r="E1991">
        <f>IFERROR(__xludf.DUMMYFUNCTION("""COMPUTED_VALUE"""),3447047.0)</f>
        <v>3447047</v>
      </c>
    </row>
    <row r="1992">
      <c r="A1992" t="str">
        <f t="shared" si="1"/>
        <v>bih#2027</v>
      </c>
      <c r="B1992" t="str">
        <f>IFERROR(__xludf.DUMMYFUNCTION("""COMPUTED_VALUE"""),"bih")</f>
        <v>bih</v>
      </c>
      <c r="C1992" t="str">
        <f>IFERROR(__xludf.DUMMYFUNCTION("""COMPUTED_VALUE"""),"Bosnia and Herzegovina")</f>
        <v>Bosnia and Herzegovina</v>
      </c>
      <c r="D1992">
        <f>IFERROR(__xludf.DUMMYFUNCTION("""COMPUTED_VALUE"""),2027.0)</f>
        <v>2027</v>
      </c>
      <c r="E1992">
        <f>IFERROR(__xludf.DUMMYFUNCTION("""COMPUTED_VALUE"""),3437330.0)</f>
        <v>3437330</v>
      </c>
    </row>
    <row r="1993">
      <c r="A1993" t="str">
        <f t="shared" si="1"/>
        <v>bih#2028</v>
      </c>
      <c r="B1993" t="str">
        <f>IFERROR(__xludf.DUMMYFUNCTION("""COMPUTED_VALUE"""),"bih")</f>
        <v>bih</v>
      </c>
      <c r="C1993" t="str">
        <f>IFERROR(__xludf.DUMMYFUNCTION("""COMPUTED_VALUE"""),"Bosnia and Herzegovina")</f>
        <v>Bosnia and Herzegovina</v>
      </c>
      <c r="D1993">
        <f>IFERROR(__xludf.DUMMYFUNCTION("""COMPUTED_VALUE"""),2028.0)</f>
        <v>2028</v>
      </c>
      <c r="E1993">
        <f>IFERROR(__xludf.DUMMYFUNCTION("""COMPUTED_VALUE"""),3427113.0)</f>
        <v>3427113</v>
      </c>
    </row>
    <row r="1994">
      <c r="A1994" t="str">
        <f t="shared" si="1"/>
        <v>bih#2029</v>
      </c>
      <c r="B1994" t="str">
        <f>IFERROR(__xludf.DUMMYFUNCTION("""COMPUTED_VALUE"""),"bih")</f>
        <v>bih</v>
      </c>
      <c r="C1994" t="str">
        <f>IFERROR(__xludf.DUMMYFUNCTION("""COMPUTED_VALUE"""),"Bosnia and Herzegovina")</f>
        <v>Bosnia and Herzegovina</v>
      </c>
      <c r="D1994">
        <f>IFERROR(__xludf.DUMMYFUNCTION("""COMPUTED_VALUE"""),2029.0)</f>
        <v>2029</v>
      </c>
      <c r="E1994">
        <f>IFERROR(__xludf.DUMMYFUNCTION("""COMPUTED_VALUE"""),3416294.0)</f>
        <v>3416294</v>
      </c>
    </row>
    <row r="1995">
      <c r="A1995" t="str">
        <f t="shared" si="1"/>
        <v>bih#2030</v>
      </c>
      <c r="B1995" t="str">
        <f>IFERROR(__xludf.DUMMYFUNCTION("""COMPUTED_VALUE"""),"bih")</f>
        <v>bih</v>
      </c>
      <c r="C1995" t="str">
        <f>IFERROR(__xludf.DUMMYFUNCTION("""COMPUTED_VALUE"""),"Bosnia and Herzegovina")</f>
        <v>Bosnia and Herzegovina</v>
      </c>
      <c r="D1995">
        <f>IFERROR(__xludf.DUMMYFUNCTION("""COMPUTED_VALUE"""),2030.0)</f>
        <v>2030</v>
      </c>
      <c r="E1995">
        <f>IFERROR(__xludf.DUMMYFUNCTION("""COMPUTED_VALUE"""),3404781.0)</f>
        <v>3404781</v>
      </c>
    </row>
    <row r="1996">
      <c r="A1996" t="str">
        <f t="shared" si="1"/>
        <v>bih#2031</v>
      </c>
      <c r="B1996" t="str">
        <f>IFERROR(__xludf.DUMMYFUNCTION("""COMPUTED_VALUE"""),"bih")</f>
        <v>bih</v>
      </c>
      <c r="C1996" t="str">
        <f>IFERROR(__xludf.DUMMYFUNCTION("""COMPUTED_VALUE"""),"Bosnia and Herzegovina")</f>
        <v>Bosnia and Herzegovina</v>
      </c>
      <c r="D1996">
        <f>IFERROR(__xludf.DUMMYFUNCTION("""COMPUTED_VALUE"""),2031.0)</f>
        <v>2031</v>
      </c>
      <c r="E1996">
        <f>IFERROR(__xludf.DUMMYFUNCTION("""COMPUTED_VALUE"""),3392547.0)</f>
        <v>3392547</v>
      </c>
    </row>
    <row r="1997">
      <c r="A1997" t="str">
        <f t="shared" si="1"/>
        <v>bih#2032</v>
      </c>
      <c r="B1997" t="str">
        <f>IFERROR(__xludf.DUMMYFUNCTION("""COMPUTED_VALUE"""),"bih")</f>
        <v>bih</v>
      </c>
      <c r="C1997" t="str">
        <f>IFERROR(__xludf.DUMMYFUNCTION("""COMPUTED_VALUE"""),"Bosnia and Herzegovina")</f>
        <v>Bosnia and Herzegovina</v>
      </c>
      <c r="D1997">
        <f>IFERROR(__xludf.DUMMYFUNCTION("""COMPUTED_VALUE"""),2032.0)</f>
        <v>2032</v>
      </c>
      <c r="E1997">
        <f>IFERROR(__xludf.DUMMYFUNCTION("""COMPUTED_VALUE"""),3379602.0)</f>
        <v>3379602</v>
      </c>
    </row>
    <row r="1998">
      <c r="A1998" t="str">
        <f t="shared" si="1"/>
        <v>bih#2033</v>
      </c>
      <c r="B1998" t="str">
        <f>IFERROR(__xludf.DUMMYFUNCTION("""COMPUTED_VALUE"""),"bih")</f>
        <v>bih</v>
      </c>
      <c r="C1998" t="str">
        <f>IFERROR(__xludf.DUMMYFUNCTION("""COMPUTED_VALUE"""),"Bosnia and Herzegovina")</f>
        <v>Bosnia and Herzegovina</v>
      </c>
      <c r="D1998">
        <f>IFERROR(__xludf.DUMMYFUNCTION("""COMPUTED_VALUE"""),2033.0)</f>
        <v>2033</v>
      </c>
      <c r="E1998">
        <f>IFERROR(__xludf.DUMMYFUNCTION("""COMPUTED_VALUE"""),3365918.0)</f>
        <v>3365918</v>
      </c>
    </row>
    <row r="1999">
      <c r="A1999" t="str">
        <f t="shared" si="1"/>
        <v>bih#2034</v>
      </c>
      <c r="B1999" t="str">
        <f>IFERROR(__xludf.DUMMYFUNCTION("""COMPUTED_VALUE"""),"bih")</f>
        <v>bih</v>
      </c>
      <c r="C1999" t="str">
        <f>IFERROR(__xludf.DUMMYFUNCTION("""COMPUTED_VALUE"""),"Bosnia and Herzegovina")</f>
        <v>Bosnia and Herzegovina</v>
      </c>
      <c r="D1999">
        <f>IFERROR(__xludf.DUMMYFUNCTION("""COMPUTED_VALUE"""),2034.0)</f>
        <v>2034</v>
      </c>
      <c r="E1999">
        <f>IFERROR(__xludf.DUMMYFUNCTION("""COMPUTED_VALUE"""),3351518.0)</f>
        <v>3351518</v>
      </c>
    </row>
    <row r="2000">
      <c r="A2000" t="str">
        <f t="shared" si="1"/>
        <v>bih#2035</v>
      </c>
      <c r="B2000" t="str">
        <f>IFERROR(__xludf.DUMMYFUNCTION("""COMPUTED_VALUE"""),"bih")</f>
        <v>bih</v>
      </c>
      <c r="C2000" t="str">
        <f>IFERROR(__xludf.DUMMYFUNCTION("""COMPUTED_VALUE"""),"Bosnia and Herzegovina")</f>
        <v>Bosnia and Herzegovina</v>
      </c>
      <c r="D2000">
        <f>IFERROR(__xludf.DUMMYFUNCTION("""COMPUTED_VALUE"""),2035.0)</f>
        <v>2035</v>
      </c>
      <c r="E2000">
        <f>IFERROR(__xludf.DUMMYFUNCTION("""COMPUTED_VALUE"""),3336402.0)</f>
        <v>3336402</v>
      </c>
    </row>
    <row r="2001">
      <c r="A2001" t="str">
        <f t="shared" si="1"/>
        <v>bih#2036</v>
      </c>
      <c r="B2001" t="str">
        <f>IFERROR(__xludf.DUMMYFUNCTION("""COMPUTED_VALUE"""),"bih")</f>
        <v>bih</v>
      </c>
      <c r="C2001" t="str">
        <f>IFERROR(__xludf.DUMMYFUNCTION("""COMPUTED_VALUE"""),"Bosnia and Herzegovina")</f>
        <v>Bosnia and Herzegovina</v>
      </c>
      <c r="D2001">
        <f>IFERROR(__xludf.DUMMYFUNCTION("""COMPUTED_VALUE"""),2036.0)</f>
        <v>2036</v>
      </c>
      <c r="E2001">
        <f>IFERROR(__xludf.DUMMYFUNCTION("""COMPUTED_VALUE"""),3320576.0)</f>
        <v>3320576</v>
      </c>
    </row>
    <row r="2002">
      <c r="A2002" t="str">
        <f t="shared" si="1"/>
        <v>bih#2037</v>
      </c>
      <c r="B2002" t="str">
        <f>IFERROR(__xludf.DUMMYFUNCTION("""COMPUTED_VALUE"""),"bih")</f>
        <v>bih</v>
      </c>
      <c r="C2002" t="str">
        <f>IFERROR(__xludf.DUMMYFUNCTION("""COMPUTED_VALUE"""),"Bosnia and Herzegovina")</f>
        <v>Bosnia and Herzegovina</v>
      </c>
      <c r="D2002">
        <f>IFERROR(__xludf.DUMMYFUNCTION("""COMPUTED_VALUE"""),2037.0)</f>
        <v>2037</v>
      </c>
      <c r="E2002">
        <f>IFERROR(__xludf.DUMMYFUNCTION("""COMPUTED_VALUE"""),3304067.0)</f>
        <v>3304067</v>
      </c>
    </row>
    <row r="2003">
      <c r="A2003" t="str">
        <f t="shared" si="1"/>
        <v>bih#2038</v>
      </c>
      <c r="B2003" t="str">
        <f>IFERROR(__xludf.DUMMYFUNCTION("""COMPUTED_VALUE"""),"bih")</f>
        <v>bih</v>
      </c>
      <c r="C2003" t="str">
        <f>IFERROR(__xludf.DUMMYFUNCTION("""COMPUTED_VALUE"""),"Bosnia and Herzegovina")</f>
        <v>Bosnia and Herzegovina</v>
      </c>
      <c r="D2003">
        <f>IFERROR(__xludf.DUMMYFUNCTION("""COMPUTED_VALUE"""),2038.0)</f>
        <v>2038</v>
      </c>
      <c r="E2003">
        <f>IFERROR(__xludf.DUMMYFUNCTION("""COMPUTED_VALUE"""),3286939.0)</f>
        <v>3286939</v>
      </c>
    </row>
    <row r="2004">
      <c r="A2004" t="str">
        <f t="shared" si="1"/>
        <v>bih#2039</v>
      </c>
      <c r="B2004" t="str">
        <f>IFERROR(__xludf.DUMMYFUNCTION("""COMPUTED_VALUE"""),"bih")</f>
        <v>bih</v>
      </c>
      <c r="C2004" t="str">
        <f>IFERROR(__xludf.DUMMYFUNCTION("""COMPUTED_VALUE"""),"Bosnia and Herzegovina")</f>
        <v>Bosnia and Herzegovina</v>
      </c>
      <c r="D2004">
        <f>IFERROR(__xludf.DUMMYFUNCTION("""COMPUTED_VALUE"""),2039.0)</f>
        <v>2039</v>
      </c>
      <c r="E2004">
        <f>IFERROR(__xludf.DUMMYFUNCTION("""COMPUTED_VALUE"""),3269285.0)</f>
        <v>3269285</v>
      </c>
    </row>
    <row r="2005">
      <c r="A2005" t="str">
        <f t="shared" si="1"/>
        <v>bih#2040</v>
      </c>
      <c r="B2005" t="str">
        <f>IFERROR(__xludf.DUMMYFUNCTION("""COMPUTED_VALUE"""),"bih")</f>
        <v>bih</v>
      </c>
      <c r="C2005" t="str">
        <f>IFERROR(__xludf.DUMMYFUNCTION("""COMPUTED_VALUE"""),"Bosnia and Herzegovina")</f>
        <v>Bosnia and Herzegovina</v>
      </c>
      <c r="D2005">
        <f>IFERROR(__xludf.DUMMYFUNCTION("""COMPUTED_VALUE"""),2040.0)</f>
        <v>2040</v>
      </c>
      <c r="E2005">
        <f>IFERROR(__xludf.DUMMYFUNCTION("""COMPUTED_VALUE"""),3251170.0)</f>
        <v>3251170</v>
      </c>
    </row>
    <row r="2006">
      <c r="A2006" t="str">
        <f t="shared" si="1"/>
        <v>bwa#1950</v>
      </c>
      <c r="B2006" t="str">
        <f>IFERROR(__xludf.DUMMYFUNCTION("""COMPUTED_VALUE"""),"bwa")</f>
        <v>bwa</v>
      </c>
      <c r="C2006" t="str">
        <f>IFERROR(__xludf.DUMMYFUNCTION("""COMPUTED_VALUE"""),"Botswana")</f>
        <v>Botswana</v>
      </c>
      <c r="D2006">
        <f>IFERROR(__xludf.DUMMYFUNCTION("""COMPUTED_VALUE"""),1950.0)</f>
        <v>1950</v>
      </c>
      <c r="E2006">
        <f>IFERROR(__xludf.DUMMYFUNCTION("""COMPUTED_VALUE"""),412531.0)</f>
        <v>412531</v>
      </c>
    </row>
    <row r="2007">
      <c r="A2007" t="str">
        <f t="shared" si="1"/>
        <v>bwa#1951</v>
      </c>
      <c r="B2007" t="str">
        <f>IFERROR(__xludf.DUMMYFUNCTION("""COMPUTED_VALUE"""),"bwa")</f>
        <v>bwa</v>
      </c>
      <c r="C2007" t="str">
        <f>IFERROR(__xludf.DUMMYFUNCTION("""COMPUTED_VALUE"""),"Botswana")</f>
        <v>Botswana</v>
      </c>
      <c r="D2007">
        <f>IFERROR(__xludf.DUMMYFUNCTION("""COMPUTED_VALUE"""),1951.0)</f>
        <v>1951</v>
      </c>
      <c r="E2007">
        <f>IFERROR(__xludf.DUMMYFUNCTION("""COMPUTED_VALUE"""),425265.0)</f>
        <v>425265</v>
      </c>
    </row>
    <row r="2008">
      <c r="A2008" t="str">
        <f t="shared" si="1"/>
        <v>bwa#1952</v>
      </c>
      <c r="B2008" t="str">
        <f>IFERROR(__xludf.DUMMYFUNCTION("""COMPUTED_VALUE"""),"bwa")</f>
        <v>bwa</v>
      </c>
      <c r="C2008" t="str">
        <f>IFERROR(__xludf.DUMMYFUNCTION("""COMPUTED_VALUE"""),"Botswana")</f>
        <v>Botswana</v>
      </c>
      <c r="D2008">
        <f>IFERROR(__xludf.DUMMYFUNCTION("""COMPUTED_VALUE"""),1952.0)</f>
        <v>1952</v>
      </c>
      <c r="E2008">
        <f>IFERROR(__xludf.DUMMYFUNCTION("""COMPUTED_VALUE"""),437169.0)</f>
        <v>437169</v>
      </c>
    </row>
    <row r="2009">
      <c r="A2009" t="str">
        <f t="shared" si="1"/>
        <v>bwa#1953</v>
      </c>
      <c r="B2009" t="str">
        <f>IFERROR(__xludf.DUMMYFUNCTION("""COMPUTED_VALUE"""),"bwa")</f>
        <v>bwa</v>
      </c>
      <c r="C2009" t="str">
        <f>IFERROR(__xludf.DUMMYFUNCTION("""COMPUTED_VALUE"""),"Botswana")</f>
        <v>Botswana</v>
      </c>
      <c r="D2009">
        <f>IFERROR(__xludf.DUMMYFUNCTION("""COMPUTED_VALUE"""),1953.0)</f>
        <v>1953</v>
      </c>
      <c r="E2009">
        <f>IFERROR(__xludf.DUMMYFUNCTION("""COMPUTED_VALUE"""),448442.0)</f>
        <v>448442</v>
      </c>
    </row>
    <row r="2010">
      <c r="A2010" t="str">
        <f t="shared" si="1"/>
        <v>bwa#1954</v>
      </c>
      <c r="B2010" t="str">
        <f>IFERROR(__xludf.DUMMYFUNCTION("""COMPUTED_VALUE"""),"bwa")</f>
        <v>bwa</v>
      </c>
      <c r="C2010" t="str">
        <f>IFERROR(__xludf.DUMMYFUNCTION("""COMPUTED_VALUE"""),"Botswana")</f>
        <v>Botswana</v>
      </c>
      <c r="D2010">
        <f>IFERROR(__xludf.DUMMYFUNCTION("""COMPUTED_VALUE"""),1954.0)</f>
        <v>1954</v>
      </c>
      <c r="E2010">
        <f>IFERROR(__xludf.DUMMYFUNCTION("""COMPUTED_VALUE"""),459238.0)</f>
        <v>459238</v>
      </c>
    </row>
    <row r="2011">
      <c r="A2011" t="str">
        <f t="shared" si="1"/>
        <v>bwa#1955</v>
      </c>
      <c r="B2011" t="str">
        <f>IFERROR(__xludf.DUMMYFUNCTION("""COMPUTED_VALUE"""),"bwa")</f>
        <v>bwa</v>
      </c>
      <c r="C2011" t="str">
        <f>IFERROR(__xludf.DUMMYFUNCTION("""COMPUTED_VALUE"""),"Botswana")</f>
        <v>Botswana</v>
      </c>
      <c r="D2011">
        <f>IFERROR(__xludf.DUMMYFUNCTION("""COMPUTED_VALUE"""),1955.0)</f>
        <v>1955</v>
      </c>
      <c r="E2011">
        <f>IFERROR(__xludf.DUMMYFUNCTION("""COMPUTED_VALUE"""),469740.0)</f>
        <v>469740</v>
      </c>
    </row>
    <row r="2012">
      <c r="A2012" t="str">
        <f t="shared" si="1"/>
        <v>bwa#1956</v>
      </c>
      <c r="B2012" t="str">
        <f>IFERROR(__xludf.DUMMYFUNCTION("""COMPUTED_VALUE"""),"bwa")</f>
        <v>bwa</v>
      </c>
      <c r="C2012" t="str">
        <f>IFERROR(__xludf.DUMMYFUNCTION("""COMPUTED_VALUE"""),"Botswana")</f>
        <v>Botswana</v>
      </c>
      <c r="D2012">
        <f>IFERROR(__xludf.DUMMYFUNCTION("""COMPUTED_VALUE"""),1956.0)</f>
        <v>1956</v>
      </c>
      <c r="E2012">
        <f>IFERROR(__xludf.DUMMYFUNCTION("""COMPUTED_VALUE"""),480148.0)</f>
        <v>480148</v>
      </c>
    </row>
    <row r="2013">
      <c r="A2013" t="str">
        <f t="shared" si="1"/>
        <v>bwa#1957</v>
      </c>
      <c r="B2013" t="str">
        <f>IFERROR(__xludf.DUMMYFUNCTION("""COMPUTED_VALUE"""),"bwa")</f>
        <v>bwa</v>
      </c>
      <c r="C2013" t="str">
        <f>IFERROR(__xludf.DUMMYFUNCTION("""COMPUTED_VALUE"""),"Botswana")</f>
        <v>Botswana</v>
      </c>
      <c r="D2013">
        <f>IFERROR(__xludf.DUMMYFUNCTION("""COMPUTED_VALUE"""),1957.0)</f>
        <v>1957</v>
      </c>
      <c r="E2013">
        <f>IFERROR(__xludf.DUMMYFUNCTION("""COMPUTED_VALUE"""),490626.0)</f>
        <v>490626</v>
      </c>
    </row>
    <row r="2014">
      <c r="A2014" t="str">
        <f t="shared" si="1"/>
        <v>bwa#1958</v>
      </c>
      <c r="B2014" t="str">
        <f>IFERROR(__xludf.DUMMYFUNCTION("""COMPUTED_VALUE"""),"bwa")</f>
        <v>bwa</v>
      </c>
      <c r="C2014" t="str">
        <f>IFERROR(__xludf.DUMMYFUNCTION("""COMPUTED_VALUE"""),"Botswana")</f>
        <v>Botswana</v>
      </c>
      <c r="D2014">
        <f>IFERROR(__xludf.DUMMYFUNCTION("""COMPUTED_VALUE"""),1958.0)</f>
        <v>1958</v>
      </c>
      <c r="E2014">
        <f>IFERROR(__xludf.DUMMYFUNCTION("""COMPUTED_VALUE"""),501398.0)</f>
        <v>501398</v>
      </c>
    </row>
    <row r="2015">
      <c r="A2015" t="str">
        <f t="shared" si="1"/>
        <v>bwa#1959</v>
      </c>
      <c r="B2015" t="str">
        <f>IFERROR(__xludf.DUMMYFUNCTION("""COMPUTED_VALUE"""),"bwa")</f>
        <v>bwa</v>
      </c>
      <c r="C2015" t="str">
        <f>IFERROR(__xludf.DUMMYFUNCTION("""COMPUTED_VALUE"""),"Botswana")</f>
        <v>Botswana</v>
      </c>
      <c r="D2015">
        <f>IFERROR(__xludf.DUMMYFUNCTION("""COMPUTED_VALUE"""),1959.0)</f>
        <v>1959</v>
      </c>
      <c r="E2015">
        <f>IFERROR(__xludf.DUMMYFUNCTION("""COMPUTED_VALUE"""),512647.0)</f>
        <v>512647</v>
      </c>
    </row>
    <row r="2016">
      <c r="A2016" t="str">
        <f t="shared" si="1"/>
        <v>bwa#1960</v>
      </c>
      <c r="B2016" t="str">
        <f>IFERROR(__xludf.DUMMYFUNCTION("""COMPUTED_VALUE"""),"bwa")</f>
        <v>bwa</v>
      </c>
      <c r="C2016" t="str">
        <f>IFERROR(__xludf.DUMMYFUNCTION("""COMPUTED_VALUE"""),"Botswana")</f>
        <v>Botswana</v>
      </c>
      <c r="D2016">
        <f>IFERROR(__xludf.DUMMYFUNCTION("""COMPUTED_VALUE"""),1960.0)</f>
        <v>1960</v>
      </c>
      <c r="E2016">
        <f>IFERROR(__xludf.DUMMYFUNCTION("""COMPUTED_VALUE"""),524552.0)</f>
        <v>524552</v>
      </c>
    </row>
    <row r="2017">
      <c r="A2017" t="str">
        <f t="shared" si="1"/>
        <v>bwa#1961</v>
      </c>
      <c r="B2017" t="str">
        <f>IFERROR(__xludf.DUMMYFUNCTION("""COMPUTED_VALUE"""),"bwa")</f>
        <v>bwa</v>
      </c>
      <c r="C2017" t="str">
        <f>IFERROR(__xludf.DUMMYFUNCTION("""COMPUTED_VALUE"""),"Botswana")</f>
        <v>Botswana</v>
      </c>
      <c r="D2017">
        <f>IFERROR(__xludf.DUMMYFUNCTION("""COMPUTED_VALUE"""),1961.0)</f>
        <v>1961</v>
      </c>
      <c r="E2017">
        <f>IFERROR(__xludf.DUMMYFUNCTION("""COMPUTED_VALUE"""),537249.0)</f>
        <v>537249</v>
      </c>
    </row>
    <row r="2018">
      <c r="A2018" t="str">
        <f t="shared" si="1"/>
        <v>bwa#1962</v>
      </c>
      <c r="B2018" t="str">
        <f>IFERROR(__xludf.DUMMYFUNCTION("""COMPUTED_VALUE"""),"bwa")</f>
        <v>bwa</v>
      </c>
      <c r="C2018" t="str">
        <f>IFERROR(__xludf.DUMMYFUNCTION("""COMPUTED_VALUE"""),"Botswana")</f>
        <v>Botswana</v>
      </c>
      <c r="D2018">
        <f>IFERROR(__xludf.DUMMYFUNCTION("""COMPUTED_VALUE"""),1962.0)</f>
        <v>1962</v>
      </c>
      <c r="E2018">
        <f>IFERROR(__xludf.DUMMYFUNCTION("""COMPUTED_VALUE"""),550840.0)</f>
        <v>550840</v>
      </c>
    </row>
    <row r="2019">
      <c r="A2019" t="str">
        <f t="shared" si="1"/>
        <v>bwa#1963</v>
      </c>
      <c r="B2019" t="str">
        <f>IFERROR(__xludf.DUMMYFUNCTION("""COMPUTED_VALUE"""),"bwa")</f>
        <v>bwa</v>
      </c>
      <c r="C2019" t="str">
        <f>IFERROR(__xludf.DUMMYFUNCTION("""COMPUTED_VALUE"""),"Botswana")</f>
        <v>Botswana</v>
      </c>
      <c r="D2019">
        <f>IFERROR(__xludf.DUMMYFUNCTION("""COMPUTED_VALUE"""),1963.0)</f>
        <v>1963</v>
      </c>
      <c r="E2019">
        <f>IFERROR(__xludf.DUMMYFUNCTION("""COMPUTED_VALUE"""),565353.0)</f>
        <v>565353</v>
      </c>
    </row>
    <row r="2020">
      <c r="A2020" t="str">
        <f t="shared" si="1"/>
        <v>bwa#1964</v>
      </c>
      <c r="B2020" t="str">
        <f>IFERROR(__xludf.DUMMYFUNCTION("""COMPUTED_VALUE"""),"bwa")</f>
        <v>bwa</v>
      </c>
      <c r="C2020" t="str">
        <f>IFERROR(__xludf.DUMMYFUNCTION("""COMPUTED_VALUE"""),"Botswana")</f>
        <v>Botswana</v>
      </c>
      <c r="D2020">
        <f>IFERROR(__xludf.DUMMYFUNCTION("""COMPUTED_VALUE"""),1964.0)</f>
        <v>1964</v>
      </c>
      <c r="E2020">
        <f>IFERROR(__xludf.DUMMYFUNCTION("""COMPUTED_VALUE"""),580799.0)</f>
        <v>580799</v>
      </c>
    </row>
    <row r="2021">
      <c r="A2021" t="str">
        <f t="shared" si="1"/>
        <v>bwa#1965</v>
      </c>
      <c r="B2021" t="str">
        <f>IFERROR(__xludf.DUMMYFUNCTION("""COMPUTED_VALUE"""),"bwa")</f>
        <v>bwa</v>
      </c>
      <c r="C2021" t="str">
        <f>IFERROR(__xludf.DUMMYFUNCTION("""COMPUTED_VALUE"""),"Botswana")</f>
        <v>Botswana</v>
      </c>
      <c r="D2021">
        <f>IFERROR(__xludf.DUMMYFUNCTION("""COMPUTED_VALUE"""),1965.0)</f>
        <v>1965</v>
      </c>
      <c r="E2021">
        <f>IFERROR(__xludf.DUMMYFUNCTION("""COMPUTED_VALUE"""),597190.0)</f>
        <v>597190</v>
      </c>
    </row>
    <row r="2022">
      <c r="A2022" t="str">
        <f t="shared" si="1"/>
        <v>bwa#1966</v>
      </c>
      <c r="B2022" t="str">
        <f>IFERROR(__xludf.DUMMYFUNCTION("""COMPUTED_VALUE"""),"bwa")</f>
        <v>bwa</v>
      </c>
      <c r="C2022" t="str">
        <f>IFERROR(__xludf.DUMMYFUNCTION("""COMPUTED_VALUE"""),"Botswana")</f>
        <v>Botswana</v>
      </c>
      <c r="D2022">
        <f>IFERROR(__xludf.DUMMYFUNCTION("""COMPUTED_VALUE"""),1966.0)</f>
        <v>1966</v>
      </c>
      <c r="E2022">
        <f>IFERROR(__xludf.DUMMYFUNCTION("""COMPUTED_VALUE"""),614613.0)</f>
        <v>614613</v>
      </c>
    </row>
    <row r="2023">
      <c r="A2023" t="str">
        <f t="shared" si="1"/>
        <v>bwa#1967</v>
      </c>
      <c r="B2023" t="str">
        <f>IFERROR(__xludf.DUMMYFUNCTION("""COMPUTED_VALUE"""),"bwa")</f>
        <v>bwa</v>
      </c>
      <c r="C2023" t="str">
        <f>IFERROR(__xludf.DUMMYFUNCTION("""COMPUTED_VALUE"""),"Botswana")</f>
        <v>Botswana</v>
      </c>
      <c r="D2023">
        <f>IFERROR(__xludf.DUMMYFUNCTION("""COMPUTED_VALUE"""),1967.0)</f>
        <v>1967</v>
      </c>
      <c r="E2023">
        <f>IFERROR(__xludf.DUMMYFUNCTION("""COMPUTED_VALUE"""),633154.0)</f>
        <v>633154</v>
      </c>
    </row>
    <row r="2024">
      <c r="A2024" t="str">
        <f t="shared" si="1"/>
        <v>bwa#1968</v>
      </c>
      <c r="B2024" t="str">
        <f>IFERROR(__xludf.DUMMYFUNCTION("""COMPUTED_VALUE"""),"bwa")</f>
        <v>bwa</v>
      </c>
      <c r="C2024" t="str">
        <f>IFERROR(__xludf.DUMMYFUNCTION("""COMPUTED_VALUE"""),"Botswana")</f>
        <v>Botswana</v>
      </c>
      <c r="D2024">
        <f>IFERROR(__xludf.DUMMYFUNCTION("""COMPUTED_VALUE"""),1968.0)</f>
        <v>1968</v>
      </c>
      <c r="E2024">
        <f>IFERROR(__xludf.DUMMYFUNCTION("""COMPUTED_VALUE"""),652843.0)</f>
        <v>652843</v>
      </c>
    </row>
    <row r="2025">
      <c r="A2025" t="str">
        <f t="shared" si="1"/>
        <v>bwa#1969</v>
      </c>
      <c r="B2025" t="str">
        <f>IFERROR(__xludf.DUMMYFUNCTION("""COMPUTED_VALUE"""),"bwa")</f>
        <v>bwa</v>
      </c>
      <c r="C2025" t="str">
        <f>IFERROR(__xludf.DUMMYFUNCTION("""COMPUTED_VALUE"""),"Botswana")</f>
        <v>Botswana</v>
      </c>
      <c r="D2025">
        <f>IFERROR(__xludf.DUMMYFUNCTION("""COMPUTED_VALUE"""),1969.0)</f>
        <v>1969</v>
      </c>
      <c r="E2025">
        <f>IFERROR(__xludf.DUMMYFUNCTION("""COMPUTED_VALUE"""),673640.0)</f>
        <v>673640</v>
      </c>
    </row>
    <row r="2026">
      <c r="A2026" t="str">
        <f t="shared" si="1"/>
        <v>bwa#1970</v>
      </c>
      <c r="B2026" t="str">
        <f>IFERROR(__xludf.DUMMYFUNCTION("""COMPUTED_VALUE"""),"bwa")</f>
        <v>bwa</v>
      </c>
      <c r="C2026" t="str">
        <f>IFERROR(__xludf.DUMMYFUNCTION("""COMPUTED_VALUE"""),"Botswana")</f>
        <v>Botswana</v>
      </c>
      <c r="D2026">
        <f>IFERROR(__xludf.DUMMYFUNCTION("""COMPUTED_VALUE"""),1970.0)</f>
        <v>1970</v>
      </c>
      <c r="E2026">
        <f>IFERROR(__xludf.DUMMYFUNCTION("""COMPUTED_VALUE"""),695597.0)</f>
        <v>695597</v>
      </c>
    </row>
    <row r="2027">
      <c r="A2027" t="str">
        <f t="shared" si="1"/>
        <v>bwa#1971</v>
      </c>
      <c r="B2027" t="str">
        <f>IFERROR(__xludf.DUMMYFUNCTION("""COMPUTED_VALUE"""),"bwa")</f>
        <v>bwa</v>
      </c>
      <c r="C2027" t="str">
        <f>IFERROR(__xludf.DUMMYFUNCTION("""COMPUTED_VALUE"""),"Botswana")</f>
        <v>Botswana</v>
      </c>
      <c r="D2027">
        <f>IFERROR(__xludf.DUMMYFUNCTION("""COMPUTED_VALUE"""),1971.0)</f>
        <v>1971</v>
      </c>
      <c r="E2027">
        <f>IFERROR(__xludf.DUMMYFUNCTION("""COMPUTED_VALUE"""),718639.0)</f>
        <v>718639</v>
      </c>
    </row>
    <row r="2028">
      <c r="A2028" t="str">
        <f t="shared" si="1"/>
        <v>bwa#1972</v>
      </c>
      <c r="B2028" t="str">
        <f>IFERROR(__xludf.DUMMYFUNCTION("""COMPUTED_VALUE"""),"bwa")</f>
        <v>bwa</v>
      </c>
      <c r="C2028" t="str">
        <f>IFERROR(__xludf.DUMMYFUNCTION("""COMPUTED_VALUE"""),"Botswana")</f>
        <v>Botswana</v>
      </c>
      <c r="D2028">
        <f>IFERROR(__xludf.DUMMYFUNCTION("""COMPUTED_VALUE"""),1972.0)</f>
        <v>1972</v>
      </c>
      <c r="E2028">
        <f>IFERROR(__xludf.DUMMYFUNCTION("""COMPUTED_VALUE"""),742835.0)</f>
        <v>742835</v>
      </c>
    </row>
    <row r="2029">
      <c r="A2029" t="str">
        <f t="shared" si="1"/>
        <v>bwa#1973</v>
      </c>
      <c r="B2029" t="str">
        <f>IFERROR(__xludf.DUMMYFUNCTION("""COMPUTED_VALUE"""),"bwa")</f>
        <v>bwa</v>
      </c>
      <c r="C2029" t="str">
        <f>IFERROR(__xludf.DUMMYFUNCTION("""COMPUTED_VALUE"""),"Botswana")</f>
        <v>Botswana</v>
      </c>
      <c r="D2029">
        <f>IFERROR(__xludf.DUMMYFUNCTION("""COMPUTED_VALUE"""),1973.0)</f>
        <v>1973</v>
      </c>
      <c r="E2029">
        <f>IFERROR(__xludf.DUMMYFUNCTION("""COMPUTED_VALUE"""),768512.0)</f>
        <v>768512</v>
      </c>
    </row>
    <row r="2030">
      <c r="A2030" t="str">
        <f t="shared" si="1"/>
        <v>bwa#1974</v>
      </c>
      <c r="B2030" t="str">
        <f>IFERROR(__xludf.DUMMYFUNCTION("""COMPUTED_VALUE"""),"bwa")</f>
        <v>bwa</v>
      </c>
      <c r="C2030" t="str">
        <f>IFERROR(__xludf.DUMMYFUNCTION("""COMPUTED_VALUE"""),"Botswana")</f>
        <v>Botswana</v>
      </c>
      <c r="D2030">
        <f>IFERROR(__xludf.DUMMYFUNCTION("""COMPUTED_VALUE"""),1974.0)</f>
        <v>1974</v>
      </c>
      <c r="E2030">
        <f>IFERROR(__xludf.DUMMYFUNCTION("""COMPUTED_VALUE"""),796095.0)</f>
        <v>796095</v>
      </c>
    </row>
    <row r="2031">
      <c r="A2031" t="str">
        <f t="shared" si="1"/>
        <v>bwa#1975</v>
      </c>
      <c r="B2031" t="str">
        <f>IFERROR(__xludf.DUMMYFUNCTION("""COMPUTED_VALUE"""),"bwa")</f>
        <v>bwa</v>
      </c>
      <c r="C2031" t="str">
        <f>IFERROR(__xludf.DUMMYFUNCTION("""COMPUTED_VALUE"""),"Botswana")</f>
        <v>Botswana</v>
      </c>
      <c r="D2031">
        <f>IFERROR(__xludf.DUMMYFUNCTION("""COMPUTED_VALUE"""),1975.0)</f>
        <v>1975</v>
      </c>
      <c r="E2031">
        <f>IFERROR(__xludf.DUMMYFUNCTION("""COMPUTED_VALUE"""),825840.0)</f>
        <v>825840</v>
      </c>
    </row>
    <row r="2032">
      <c r="A2032" t="str">
        <f t="shared" si="1"/>
        <v>bwa#1976</v>
      </c>
      <c r="B2032" t="str">
        <f>IFERROR(__xludf.DUMMYFUNCTION("""COMPUTED_VALUE"""),"bwa")</f>
        <v>bwa</v>
      </c>
      <c r="C2032" t="str">
        <f>IFERROR(__xludf.DUMMYFUNCTION("""COMPUTED_VALUE"""),"Botswana")</f>
        <v>Botswana</v>
      </c>
      <c r="D2032">
        <f>IFERROR(__xludf.DUMMYFUNCTION("""COMPUTED_VALUE"""),1976.0)</f>
        <v>1976</v>
      </c>
      <c r="E2032">
        <f>IFERROR(__xludf.DUMMYFUNCTION("""COMPUTED_VALUE"""),857855.0)</f>
        <v>857855</v>
      </c>
    </row>
    <row r="2033">
      <c r="A2033" t="str">
        <f t="shared" si="1"/>
        <v>bwa#1977</v>
      </c>
      <c r="B2033" t="str">
        <f>IFERROR(__xludf.DUMMYFUNCTION("""COMPUTED_VALUE"""),"bwa")</f>
        <v>bwa</v>
      </c>
      <c r="C2033" t="str">
        <f>IFERROR(__xludf.DUMMYFUNCTION("""COMPUTED_VALUE"""),"Botswana")</f>
        <v>Botswana</v>
      </c>
      <c r="D2033">
        <f>IFERROR(__xludf.DUMMYFUNCTION("""COMPUTED_VALUE"""),1977.0)</f>
        <v>1977</v>
      </c>
      <c r="E2033">
        <f>IFERROR(__xludf.DUMMYFUNCTION("""COMPUTED_VALUE"""),891926.0)</f>
        <v>891926</v>
      </c>
    </row>
    <row r="2034">
      <c r="A2034" t="str">
        <f t="shared" si="1"/>
        <v>bwa#1978</v>
      </c>
      <c r="B2034" t="str">
        <f>IFERROR(__xludf.DUMMYFUNCTION("""COMPUTED_VALUE"""),"bwa")</f>
        <v>bwa</v>
      </c>
      <c r="C2034" t="str">
        <f>IFERROR(__xludf.DUMMYFUNCTION("""COMPUTED_VALUE"""),"Botswana")</f>
        <v>Botswana</v>
      </c>
      <c r="D2034">
        <f>IFERROR(__xludf.DUMMYFUNCTION("""COMPUTED_VALUE"""),1978.0)</f>
        <v>1978</v>
      </c>
      <c r="E2034">
        <f>IFERROR(__xludf.DUMMYFUNCTION("""COMPUTED_VALUE"""),927585.0)</f>
        <v>927585</v>
      </c>
    </row>
    <row r="2035">
      <c r="A2035" t="str">
        <f t="shared" si="1"/>
        <v>bwa#1979</v>
      </c>
      <c r="B2035" t="str">
        <f>IFERROR(__xludf.DUMMYFUNCTION("""COMPUTED_VALUE"""),"bwa")</f>
        <v>bwa</v>
      </c>
      <c r="C2035" t="str">
        <f>IFERROR(__xludf.DUMMYFUNCTION("""COMPUTED_VALUE"""),"Botswana")</f>
        <v>Botswana</v>
      </c>
      <c r="D2035">
        <f>IFERROR(__xludf.DUMMYFUNCTION("""COMPUTED_VALUE"""),1979.0)</f>
        <v>1979</v>
      </c>
      <c r="E2035">
        <f>IFERROR(__xludf.DUMMYFUNCTION("""COMPUTED_VALUE"""),964166.0)</f>
        <v>964166</v>
      </c>
    </row>
    <row r="2036">
      <c r="A2036" t="str">
        <f t="shared" si="1"/>
        <v>bwa#1980</v>
      </c>
      <c r="B2036" t="str">
        <f>IFERROR(__xludf.DUMMYFUNCTION("""COMPUTED_VALUE"""),"bwa")</f>
        <v>bwa</v>
      </c>
      <c r="C2036" t="str">
        <f>IFERROR(__xludf.DUMMYFUNCTION("""COMPUTED_VALUE"""),"Botswana")</f>
        <v>Botswana</v>
      </c>
      <c r="D2036">
        <f>IFERROR(__xludf.DUMMYFUNCTION("""COMPUTED_VALUE"""),1980.0)</f>
        <v>1980</v>
      </c>
      <c r="E2036">
        <f>IFERROR(__xludf.DUMMYFUNCTION("""COMPUTED_VALUE"""),1001158.0)</f>
        <v>1001158</v>
      </c>
    </row>
    <row r="2037">
      <c r="A2037" t="str">
        <f t="shared" si="1"/>
        <v>bwa#1981</v>
      </c>
      <c r="B2037" t="str">
        <f>IFERROR(__xludf.DUMMYFUNCTION("""COMPUTED_VALUE"""),"bwa")</f>
        <v>bwa</v>
      </c>
      <c r="C2037" t="str">
        <f>IFERROR(__xludf.DUMMYFUNCTION("""COMPUTED_VALUE"""),"Botswana")</f>
        <v>Botswana</v>
      </c>
      <c r="D2037">
        <f>IFERROR(__xludf.DUMMYFUNCTION("""COMPUTED_VALUE"""),1981.0)</f>
        <v>1981</v>
      </c>
      <c r="E2037">
        <f>IFERROR(__xludf.DUMMYFUNCTION("""COMPUTED_VALUE"""),1038397.0)</f>
        <v>1038397</v>
      </c>
    </row>
    <row r="2038">
      <c r="A2038" t="str">
        <f t="shared" si="1"/>
        <v>bwa#1982</v>
      </c>
      <c r="B2038" t="str">
        <f>IFERROR(__xludf.DUMMYFUNCTION("""COMPUTED_VALUE"""),"bwa")</f>
        <v>bwa</v>
      </c>
      <c r="C2038" t="str">
        <f>IFERROR(__xludf.DUMMYFUNCTION("""COMPUTED_VALUE"""),"Botswana")</f>
        <v>Botswana</v>
      </c>
      <c r="D2038">
        <f>IFERROR(__xludf.DUMMYFUNCTION("""COMPUTED_VALUE"""),1982.0)</f>
        <v>1982</v>
      </c>
      <c r="E2038">
        <f>IFERROR(__xludf.DUMMYFUNCTION("""COMPUTED_VALUE"""),1075889.0)</f>
        <v>1075889</v>
      </c>
    </row>
    <row r="2039">
      <c r="A2039" t="str">
        <f t="shared" si="1"/>
        <v>bwa#1983</v>
      </c>
      <c r="B2039" t="str">
        <f>IFERROR(__xludf.DUMMYFUNCTION("""COMPUTED_VALUE"""),"bwa")</f>
        <v>bwa</v>
      </c>
      <c r="C2039" t="str">
        <f>IFERROR(__xludf.DUMMYFUNCTION("""COMPUTED_VALUE"""),"Botswana")</f>
        <v>Botswana</v>
      </c>
      <c r="D2039">
        <f>IFERROR(__xludf.DUMMYFUNCTION("""COMPUTED_VALUE"""),1983.0)</f>
        <v>1983</v>
      </c>
      <c r="E2039">
        <f>IFERROR(__xludf.DUMMYFUNCTION("""COMPUTED_VALUE"""),1113539.0)</f>
        <v>1113539</v>
      </c>
    </row>
    <row r="2040">
      <c r="A2040" t="str">
        <f t="shared" si="1"/>
        <v>bwa#1984</v>
      </c>
      <c r="B2040" t="str">
        <f>IFERROR(__xludf.DUMMYFUNCTION("""COMPUTED_VALUE"""),"bwa")</f>
        <v>bwa</v>
      </c>
      <c r="C2040" t="str">
        <f>IFERROR(__xludf.DUMMYFUNCTION("""COMPUTED_VALUE"""),"Botswana")</f>
        <v>Botswana</v>
      </c>
      <c r="D2040">
        <f>IFERROR(__xludf.DUMMYFUNCTION("""COMPUTED_VALUE"""),1984.0)</f>
        <v>1984</v>
      </c>
      <c r="E2040">
        <f>IFERROR(__xludf.DUMMYFUNCTION("""COMPUTED_VALUE"""),1151292.0)</f>
        <v>1151292</v>
      </c>
    </row>
    <row r="2041">
      <c r="A2041" t="str">
        <f t="shared" si="1"/>
        <v>bwa#1985</v>
      </c>
      <c r="B2041" t="str">
        <f>IFERROR(__xludf.DUMMYFUNCTION("""COMPUTED_VALUE"""),"bwa")</f>
        <v>bwa</v>
      </c>
      <c r="C2041" t="str">
        <f>IFERROR(__xludf.DUMMYFUNCTION("""COMPUTED_VALUE"""),"Botswana")</f>
        <v>Botswana</v>
      </c>
      <c r="D2041">
        <f>IFERROR(__xludf.DUMMYFUNCTION("""COMPUTED_VALUE"""),1985.0)</f>
        <v>1985</v>
      </c>
      <c r="E2041">
        <f>IFERROR(__xludf.DUMMYFUNCTION("""COMPUTED_VALUE"""),1189114.0)</f>
        <v>1189114</v>
      </c>
    </row>
    <row r="2042">
      <c r="A2042" t="str">
        <f t="shared" si="1"/>
        <v>bwa#1986</v>
      </c>
      <c r="B2042" t="str">
        <f>IFERROR(__xludf.DUMMYFUNCTION("""COMPUTED_VALUE"""),"bwa")</f>
        <v>bwa</v>
      </c>
      <c r="C2042" t="str">
        <f>IFERROR(__xludf.DUMMYFUNCTION("""COMPUTED_VALUE"""),"Botswana")</f>
        <v>Botswana</v>
      </c>
      <c r="D2042">
        <f>IFERROR(__xludf.DUMMYFUNCTION("""COMPUTED_VALUE"""),1986.0)</f>
        <v>1986</v>
      </c>
      <c r="E2042">
        <f>IFERROR(__xludf.DUMMYFUNCTION("""COMPUTED_VALUE"""),1226810.0)</f>
        <v>1226810</v>
      </c>
    </row>
    <row r="2043">
      <c r="A2043" t="str">
        <f t="shared" si="1"/>
        <v>bwa#1987</v>
      </c>
      <c r="B2043" t="str">
        <f>IFERROR(__xludf.DUMMYFUNCTION("""COMPUTED_VALUE"""),"bwa")</f>
        <v>bwa</v>
      </c>
      <c r="C2043" t="str">
        <f>IFERROR(__xludf.DUMMYFUNCTION("""COMPUTED_VALUE"""),"Botswana")</f>
        <v>Botswana</v>
      </c>
      <c r="D2043">
        <f>IFERROR(__xludf.DUMMYFUNCTION("""COMPUTED_VALUE"""),1987.0)</f>
        <v>1987</v>
      </c>
      <c r="E2043">
        <f>IFERROR(__xludf.DUMMYFUNCTION("""COMPUTED_VALUE"""),1264314.0)</f>
        <v>1264314</v>
      </c>
    </row>
    <row r="2044">
      <c r="A2044" t="str">
        <f t="shared" si="1"/>
        <v>bwa#1988</v>
      </c>
      <c r="B2044" t="str">
        <f>IFERROR(__xludf.DUMMYFUNCTION("""COMPUTED_VALUE"""),"bwa")</f>
        <v>bwa</v>
      </c>
      <c r="C2044" t="str">
        <f>IFERROR(__xludf.DUMMYFUNCTION("""COMPUTED_VALUE"""),"Botswana")</f>
        <v>Botswana</v>
      </c>
      <c r="D2044">
        <f>IFERROR(__xludf.DUMMYFUNCTION("""COMPUTED_VALUE"""),1988.0)</f>
        <v>1988</v>
      </c>
      <c r="E2044">
        <f>IFERROR(__xludf.DUMMYFUNCTION("""COMPUTED_VALUE"""),1301818.0)</f>
        <v>1301818</v>
      </c>
    </row>
    <row r="2045">
      <c r="A2045" t="str">
        <f t="shared" si="1"/>
        <v>bwa#1989</v>
      </c>
      <c r="B2045" t="str">
        <f>IFERROR(__xludf.DUMMYFUNCTION("""COMPUTED_VALUE"""),"bwa")</f>
        <v>bwa</v>
      </c>
      <c r="C2045" t="str">
        <f>IFERROR(__xludf.DUMMYFUNCTION("""COMPUTED_VALUE"""),"Botswana")</f>
        <v>Botswana</v>
      </c>
      <c r="D2045">
        <f>IFERROR(__xludf.DUMMYFUNCTION("""COMPUTED_VALUE"""),1989.0)</f>
        <v>1989</v>
      </c>
      <c r="E2045">
        <f>IFERROR(__xludf.DUMMYFUNCTION("""COMPUTED_VALUE"""),1339624.0)</f>
        <v>1339624</v>
      </c>
    </row>
    <row r="2046">
      <c r="A2046" t="str">
        <f t="shared" si="1"/>
        <v>bwa#1990</v>
      </c>
      <c r="B2046" t="str">
        <f>IFERROR(__xludf.DUMMYFUNCTION("""COMPUTED_VALUE"""),"bwa")</f>
        <v>bwa</v>
      </c>
      <c r="C2046" t="str">
        <f>IFERROR(__xludf.DUMMYFUNCTION("""COMPUTED_VALUE"""),"Botswana")</f>
        <v>Botswana</v>
      </c>
      <c r="D2046">
        <f>IFERROR(__xludf.DUMMYFUNCTION("""COMPUTED_VALUE"""),1990.0)</f>
        <v>1990</v>
      </c>
      <c r="E2046">
        <f>IFERROR(__xludf.DUMMYFUNCTION("""COMPUTED_VALUE"""),1377912.0)</f>
        <v>1377912</v>
      </c>
    </row>
    <row r="2047">
      <c r="A2047" t="str">
        <f t="shared" si="1"/>
        <v>bwa#1991</v>
      </c>
      <c r="B2047" t="str">
        <f>IFERROR(__xludf.DUMMYFUNCTION("""COMPUTED_VALUE"""),"bwa")</f>
        <v>bwa</v>
      </c>
      <c r="C2047" t="str">
        <f>IFERROR(__xludf.DUMMYFUNCTION("""COMPUTED_VALUE"""),"Botswana")</f>
        <v>Botswana</v>
      </c>
      <c r="D2047">
        <f>IFERROR(__xludf.DUMMYFUNCTION("""COMPUTED_VALUE"""),1991.0)</f>
        <v>1991</v>
      </c>
      <c r="E2047">
        <f>IFERROR(__xludf.DUMMYFUNCTION("""COMPUTED_VALUE"""),1416731.0)</f>
        <v>1416731</v>
      </c>
    </row>
    <row r="2048">
      <c r="A2048" t="str">
        <f t="shared" si="1"/>
        <v>bwa#1992</v>
      </c>
      <c r="B2048" t="str">
        <f>IFERROR(__xludf.DUMMYFUNCTION("""COMPUTED_VALUE"""),"bwa")</f>
        <v>bwa</v>
      </c>
      <c r="C2048" t="str">
        <f>IFERROR(__xludf.DUMMYFUNCTION("""COMPUTED_VALUE"""),"Botswana")</f>
        <v>Botswana</v>
      </c>
      <c r="D2048">
        <f>IFERROR(__xludf.DUMMYFUNCTION("""COMPUTED_VALUE"""),1992.0)</f>
        <v>1992</v>
      </c>
      <c r="E2048">
        <f>IFERROR(__xludf.DUMMYFUNCTION("""COMPUTED_VALUE"""),1455833.0)</f>
        <v>1455833</v>
      </c>
    </row>
    <row r="2049">
      <c r="A2049" t="str">
        <f t="shared" si="1"/>
        <v>bwa#1993</v>
      </c>
      <c r="B2049" t="str">
        <f>IFERROR(__xludf.DUMMYFUNCTION("""COMPUTED_VALUE"""),"bwa")</f>
        <v>bwa</v>
      </c>
      <c r="C2049" t="str">
        <f>IFERROR(__xludf.DUMMYFUNCTION("""COMPUTED_VALUE"""),"Botswana")</f>
        <v>Botswana</v>
      </c>
      <c r="D2049">
        <f>IFERROR(__xludf.DUMMYFUNCTION("""COMPUTED_VALUE"""),1993.0)</f>
        <v>1993</v>
      </c>
      <c r="E2049">
        <f>IFERROR(__xludf.DUMMYFUNCTION("""COMPUTED_VALUE"""),1494693.0)</f>
        <v>1494693</v>
      </c>
    </row>
    <row r="2050">
      <c r="A2050" t="str">
        <f t="shared" si="1"/>
        <v>bwa#1994</v>
      </c>
      <c r="B2050" t="str">
        <f>IFERROR(__xludf.DUMMYFUNCTION("""COMPUTED_VALUE"""),"bwa")</f>
        <v>bwa</v>
      </c>
      <c r="C2050" t="str">
        <f>IFERROR(__xludf.DUMMYFUNCTION("""COMPUTED_VALUE"""),"Botswana")</f>
        <v>Botswana</v>
      </c>
      <c r="D2050">
        <f>IFERROR(__xludf.DUMMYFUNCTION("""COMPUTED_VALUE"""),1994.0)</f>
        <v>1994</v>
      </c>
      <c r="E2050">
        <f>IFERROR(__xludf.DUMMYFUNCTION("""COMPUTED_VALUE"""),1532622.0)</f>
        <v>1532622</v>
      </c>
    </row>
    <row r="2051">
      <c r="A2051" t="str">
        <f t="shared" si="1"/>
        <v>bwa#1995</v>
      </c>
      <c r="B2051" t="str">
        <f>IFERROR(__xludf.DUMMYFUNCTION("""COMPUTED_VALUE"""),"bwa")</f>
        <v>bwa</v>
      </c>
      <c r="C2051" t="str">
        <f>IFERROR(__xludf.DUMMYFUNCTION("""COMPUTED_VALUE"""),"Botswana")</f>
        <v>Botswana</v>
      </c>
      <c r="D2051">
        <f>IFERROR(__xludf.DUMMYFUNCTION("""COMPUTED_VALUE"""),1995.0)</f>
        <v>1995</v>
      </c>
      <c r="E2051">
        <f>IFERROR(__xludf.DUMMYFUNCTION("""COMPUTED_VALUE"""),1569094.0)</f>
        <v>1569094</v>
      </c>
    </row>
    <row r="2052">
      <c r="A2052" t="str">
        <f t="shared" si="1"/>
        <v>bwa#1996</v>
      </c>
      <c r="B2052" t="str">
        <f>IFERROR(__xludf.DUMMYFUNCTION("""COMPUTED_VALUE"""),"bwa")</f>
        <v>bwa</v>
      </c>
      <c r="C2052" t="str">
        <f>IFERROR(__xludf.DUMMYFUNCTION("""COMPUTED_VALUE"""),"Botswana")</f>
        <v>Botswana</v>
      </c>
      <c r="D2052">
        <f>IFERROR(__xludf.DUMMYFUNCTION("""COMPUTED_VALUE"""),1996.0)</f>
        <v>1996</v>
      </c>
      <c r="E2052">
        <f>IFERROR(__xludf.DUMMYFUNCTION("""COMPUTED_VALUE"""),1604060.0)</f>
        <v>1604060</v>
      </c>
    </row>
    <row r="2053">
      <c r="A2053" t="str">
        <f t="shared" si="1"/>
        <v>bwa#1997</v>
      </c>
      <c r="B2053" t="str">
        <f>IFERROR(__xludf.DUMMYFUNCTION("""COMPUTED_VALUE"""),"bwa")</f>
        <v>bwa</v>
      </c>
      <c r="C2053" t="str">
        <f>IFERROR(__xludf.DUMMYFUNCTION("""COMPUTED_VALUE"""),"Botswana")</f>
        <v>Botswana</v>
      </c>
      <c r="D2053">
        <f>IFERROR(__xludf.DUMMYFUNCTION("""COMPUTED_VALUE"""),1997.0)</f>
        <v>1997</v>
      </c>
      <c r="E2053">
        <f>IFERROR(__xludf.DUMMYFUNCTION("""COMPUTED_VALUE"""),1637635.0)</f>
        <v>1637635</v>
      </c>
    </row>
    <row r="2054">
      <c r="A2054" t="str">
        <f t="shared" si="1"/>
        <v>bwa#1998</v>
      </c>
      <c r="B2054" t="str">
        <f>IFERROR(__xludf.DUMMYFUNCTION("""COMPUTED_VALUE"""),"bwa")</f>
        <v>bwa</v>
      </c>
      <c r="C2054" t="str">
        <f>IFERROR(__xludf.DUMMYFUNCTION("""COMPUTED_VALUE"""),"Botswana")</f>
        <v>Botswana</v>
      </c>
      <c r="D2054">
        <f>IFERROR(__xludf.DUMMYFUNCTION("""COMPUTED_VALUE"""),1998.0)</f>
        <v>1998</v>
      </c>
      <c r="E2054">
        <f>IFERROR(__xludf.DUMMYFUNCTION("""COMPUTED_VALUE"""),1669625.0)</f>
        <v>1669625</v>
      </c>
    </row>
    <row r="2055">
      <c r="A2055" t="str">
        <f t="shared" si="1"/>
        <v>bwa#1999</v>
      </c>
      <c r="B2055" t="str">
        <f>IFERROR(__xludf.DUMMYFUNCTION("""COMPUTED_VALUE"""),"bwa")</f>
        <v>bwa</v>
      </c>
      <c r="C2055" t="str">
        <f>IFERROR(__xludf.DUMMYFUNCTION("""COMPUTED_VALUE"""),"Botswana")</f>
        <v>Botswana</v>
      </c>
      <c r="D2055">
        <f>IFERROR(__xludf.DUMMYFUNCTION("""COMPUTED_VALUE"""),1999.0)</f>
        <v>1999</v>
      </c>
      <c r="E2055">
        <f>IFERROR(__xludf.DUMMYFUNCTION("""COMPUTED_VALUE"""),1699862.0)</f>
        <v>1699862</v>
      </c>
    </row>
    <row r="2056">
      <c r="A2056" t="str">
        <f t="shared" si="1"/>
        <v>bwa#2000</v>
      </c>
      <c r="B2056" t="str">
        <f>IFERROR(__xludf.DUMMYFUNCTION("""COMPUTED_VALUE"""),"bwa")</f>
        <v>bwa</v>
      </c>
      <c r="C2056" t="str">
        <f>IFERROR(__xludf.DUMMYFUNCTION("""COMPUTED_VALUE"""),"Botswana")</f>
        <v>Botswana</v>
      </c>
      <c r="D2056">
        <f>IFERROR(__xludf.DUMMYFUNCTION("""COMPUTED_VALUE"""),2000.0)</f>
        <v>2000</v>
      </c>
      <c r="E2056">
        <f>IFERROR(__xludf.DUMMYFUNCTION("""COMPUTED_VALUE"""),1728340.0)</f>
        <v>1728340</v>
      </c>
    </row>
    <row r="2057">
      <c r="A2057" t="str">
        <f t="shared" si="1"/>
        <v>bwa#2001</v>
      </c>
      <c r="B2057" t="str">
        <f>IFERROR(__xludf.DUMMYFUNCTION("""COMPUTED_VALUE"""),"bwa")</f>
        <v>bwa</v>
      </c>
      <c r="C2057" t="str">
        <f>IFERROR(__xludf.DUMMYFUNCTION("""COMPUTED_VALUE"""),"Botswana")</f>
        <v>Botswana</v>
      </c>
      <c r="D2057">
        <f>IFERROR(__xludf.DUMMYFUNCTION("""COMPUTED_VALUE"""),2001.0)</f>
        <v>2001</v>
      </c>
      <c r="E2057">
        <f>IFERROR(__xludf.DUMMYFUNCTION("""COMPUTED_VALUE"""),1754935.0)</f>
        <v>1754935</v>
      </c>
    </row>
    <row r="2058">
      <c r="A2058" t="str">
        <f t="shared" si="1"/>
        <v>bwa#2002</v>
      </c>
      <c r="B2058" t="str">
        <f>IFERROR(__xludf.DUMMYFUNCTION("""COMPUTED_VALUE"""),"bwa")</f>
        <v>bwa</v>
      </c>
      <c r="C2058" t="str">
        <f>IFERROR(__xludf.DUMMYFUNCTION("""COMPUTED_VALUE"""),"Botswana")</f>
        <v>Botswana</v>
      </c>
      <c r="D2058">
        <f>IFERROR(__xludf.DUMMYFUNCTION("""COMPUTED_VALUE"""),2002.0)</f>
        <v>2002</v>
      </c>
      <c r="E2058">
        <f>IFERROR(__xludf.DUMMYFUNCTION("""COMPUTED_VALUE"""),1779953.0)</f>
        <v>1779953</v>
      </c>
    </row>
    <row r="2059">
      <c r="A2059" t="str">
        <f t="shared" si="1"/>
        <v>bwa#2003</v>
      </c>
      <c r="B2059" t="str">
        <f>IFERROR(__xludf.DUMMYFUNCTION("""COMPUTED_VALUE"""),"bwa")</f>
        <v>bwa</v>
      </c>
      <c r="C2059" t="str">
        <f>IFERROR(__xludf.DUMMYFUNCTION("""COMPUTED_VALUE"""),"Botswana")</f>
        <v>Botswana</v>
      </c>
      <c r="D2059">
        <f>IFERROR(__xludf.DUMMYFUNCTION("""COMPUTED_VALUE"""),2003.0)</f>
        <v>2003</v>
      </c>
      <c r="E2059">
        <f>IFERROR(__xludf.DUMMYFUNCTION("""COMPUTED_VALUE"""),1804339.0)</f>
        <v>1804339</v>
      </c>
    </row>
    <row r="2060">
      <c r="A2060" t="str">
        <f t="shared" si="1"/>
        <v>bwa#2004</v>
      </c>
      <c r="B2060" t="str">
        <f>IFERROR(__xludf.DUMMYFUNCTION("""COMPUTED_VALUE"""),"bwa")</f>
        <v>bwa</v>
      </c>
      <c r="C2060" t="str">
        <f>IFERROR(__xludf.DUMMYFUNCTION("""COMPUTED_VALUE"""),"Botswana")</f>
        <v>Botswana</v>
      </c>
      <c r="D2060">
        <f>IFERROR(__xludf.DUMMYFUNCTION("""COMPUTED_VALUE"""),2004.0)</f>
        <v>2004</v>
      </c>
      <c r="E2060">
        <f>IFERROR(__xludf.DUMMYFUNCTION("""COMPUTED_VALUE"""),1829330.0)</f>
        <v>1829330</v>
      </c>
    </row>
    <row r="2061">
      <c r="A2061" t="str">
        <f t="shared" si="1"/>
        <v>bwa#2005</v>
      </c>
      <c r="B2061" t="str">
        <f>IFERROR(__xludf.DUMMYFUNCTION("""COMPUTED_VALUE"""),"bwa")</f>
        <v>bwa</v>
      </c>
      <c r="C2061" t="str">
        <f>IFERROR(__xludf.DUMMYFUNCTION("""COMPUTED_VALUE"""),"Botswana")</f>
        <v>Botswana</v>
      </c>
      <c r="D2061">
        <f>IFERROR(__xludf.DUMMYFUNCTION("""COMPUTED_VALUE"""),2005.0)</f>
        <v>2005</v>
      </c>
      <c r="E2061">
        <f>IFERROR(__xludf.DUMMYFUNCTION("""COMPUTED_VALUE"""),1855852.0)</f>
        <v>1855852</v>
      </c>
    </row>
    <row r="2062">
      <c r="A2062" t="str">
        <f t="shared" si="1"/>
        <v>bwa#2006</v>
      </c>
      <c r="B2062" t="str">
        <f>IFERROR(__xludf.DUMMYFUNCTION("""COMPUTED_VALUE"""),"bwa")</f>
        <v>bwa</v>
      </c>
      <c r="C2062" t="str">
        <f>IFERROR(__xludf.DUMMYFUNCTION("""COMPUTED_VALUE"""),"Botswana")</f>
        <v>Botswana</v>
      </c>
      <c r="D2062">
        <f>IFERROR(__xludf.DUMMYFUNCTION("""COMPUTED_VALUE"""),2006.0)</f>
        <v>2006</v>
      </c>
      <c r="E2062">
        <f>IFERROR(__xludf.DUMMYFUNCTION("""COMPUTED_VALUE"""),1884238.0)</f>
        <v>1884238</v>
      </c>
    </row>
    <row r="2063">
      <c r="A2063" t="str">
        <f t="shared" si="1"/>
        <v>bwa#2007</v>
      </c>
      <c r="B2063" t="str">
        <f>IFERROR(__xludf.DUMMYFUNCTION("""COMPUTED_VALUE"""),"bwa")</f>
        <v>bwa</v>
      </c>
      <c r="C2063" t="str">
        <f>IFERROR(__xludf.DUMMYFUNCTION("""COMPUTED_VALUE"""),"Botswana")</f>
        <v>Botswana</v>
      </c>
      <c r="D2063">
        <f>IFERROR(__xludf.DUMMYFUNCTION("""COMPUTED_VALUE"""),2007.0)</f>
        <v>2007</v>
      </c>
      <c r="E2063">
        <f>IFERROR(__xludf.DUMMYFUNCTION("""COMPUTED_VALUE"""),1914414.0)</f>
        <v>1914414</v>
      </c>
    </row>
    <row r="2064">
      <c r="A2064" t="str">
        <f t="shared" si="1"/>
        <v>bwa#2008</v>
      </c>
      <c r="B2064" t="str">
        <f>IFERROR(__xludf.DUMMYFUNCTION("""COMPUTED_VALUE"""),"bwa")</f>
        <v>bwa</v>
      </c>
      <c r="C2064" t="str">
        <f>IFERROR(__xludf.DUMMYFUNCTION("""COMPUTED_VALUE"""),"Botswana")</f>
        <v>Botswana</v>
      </c>
      <c r="D2064">
        <f>IFERROR(__xludf.DUMMYFUNCTION("""COMPUTED_VALUE"""),2008.0)</f>
        <v>2008</v>
      </c>
      <c r="E2064">
        <f>IFERROR(__xludf.DUMMYFUNCTION("""COMPUTED_VALUE"""),1946351.0)</f>
        <v>1946351</v>
      </c>
    </row>
    <row r="2065">
      <c r="A2065" t="str">
        <f t="shared" si="1"/>
        <v>bwa#2009</v>
      </c>
      <c r="B2065" t="str">
        <f>IFERROR(__xludf.DUMMYFUNCTION("""COMPUTED_VALUE"""),"bwa")</f>
        <v>bwa</v>
      </c>
      <c r="C2065" t="str">
        <f>IFERROR(__xludf.DUMMYFUNCTION("""COMPUTED_VALUE"""),"Botswana")</f>
        <v>Botswana</v>
      </c>
      <c r="D2065">
        <f>IFERROR(__xludf.DUMMYFUNCTION("""COMPUTED_VALUE"""),2009.0)</f>
        <v>2009</v>
      </c>
      <c r="E2065">
        <f>IFERROR(__xludf.DUMMYFUNCTION("""COMPUTED_VALUE"""),1979882.0)</f>
        <v>1979882</v>
      </c>
    </row>
    <row r="2066">
      <c r="A2066" t="str">
        <f t="shared" si="1"/>
        <v>bwa#2010</v>
      </c>
      <c r="B2066" t="str">
        <f>IFERROR(__xludf.DUMMYFUNCTION("""COMPUTED_VALUE"""),"bwa")</f>
        <v>bwa</v>
      </c>
      <c r="C2066" t="str">
        <f>IFERROR(__xludf.DUMMYFUNCTION("""COMPUTED_VALUE"""),"Botswana")</f>
        <v>Botswana</v>
      </c>
      <c r="D2066">
        <f>IFERROR(__xludf.DUMMYFUNCTION("""COMPUTED_VALUE"""),2010.0)</f>
        <v>2010</v>
      </c>
      <c r="E2066">
        <f>IFERROR(__xludf.DUMMYFUNCTION("""COMPUTED_VALUE"""),2014866.0)</f>
        <v>2014866</v>
      </c>
    </row>
    <row r="2067">
      <c r="A2067" t="str">
        <f t="shared" si="1"/>
        <v>bwa#2011</v>
      </c>
      <c r="B2067" t="str">
        <f>IFERROR(__xludf.DUMMYFUNCTION("""COMPUTED_VALUE"""),"bwa")</f>
        <v>bwa</v>
      </c>
      <c r="C2067" t="str">
        <f>IFERROR(__xludf.DUMMYFUNCTION("""COMPUTED_VALUE"""),"Botswana")</f>
        <v>Botswana</v>
      </c>
      <c r="D2067">
        <f>IFERROR(__xludf.DUMMYFUNCTION("""COMPUTED_VALUE"""),2011.0)</f>
        <v>2011</v>
      </c>
      <c r="E2067">
        <f>IFERROR(__xludf.DUMMYFUNCTION("""COMPUTED_VALUE"""),2051339.0)</f>
        <v>2051339</v>
      </c>
    </row>
    <row r="2068">
      <c r="A2068" t="str">
        <f t="shared" si="1"/>
        <v>bwa#2012</v>
      </c>
      <c r="B2068" t="str">
        <f>IFERROR(__xludf.DUMMYFUNCTION("""COMPUTED_VALUE"""),"bwa")</f>
        <v>bwa</v>
      </c>
      <c r="C2068" t="str">
        <f>IFERROR(__xludf.DUMMYFUNCTION("""COMPUTED_VALUE"""),"Botswana")</f>
        <v>Botswana</v>
      </c>
      <c r="D2068">
        <f>IFERROR(__xludf.DUMMYFUNCTION("""COMPUTED_VALUE"""),2012.0)</f>
        <v>2012</v>
      </c>
      <c r="E2068">
        <f>IFERROR(__xludf.DUMMYFUNCTION("""COMPUTED_VALUE"""),2089315.0)</f>
        <v>2089315</v>
      </c>
    </row>
    <row r="2069">
      <c r="A2069" t="str">
        <f t="shared" si="1"/>
        <v>bwa#2013</v>
      </c>
      <c r="B2069" t="str">
        <f>IFERROR(__xludf.DUMMYFUNCTION("""COMPUTED_VALUE"""),"bwa")</f>
        <v>bwa</v>
      </c>
      <c r="C2069" t="str">
        <f>IFERROR(__xludf.DUMMYFUNCTION("""COMPUTED_VALUE"""),"Botswana")</f>
        <v>Botswana</v>
      </c>
      <c r="D2069">
        <f>IFERROR(__xludf.DUMMYFUNCTION("""COMPUTED_VALUE"""),2013.0)</f>
        <v>2013</v>
      </c>
      <c r="E2069">
        <f>IFERROR(__xludf.DUMMYFUNCTION("""COMPUTED_VALUE"""),2128507.0)</f>
        <v>2128507</v>
      </c>
    </row>
    <row r="2070">
      <c r="A2070" t="str">
        <f t="shared" si="1"/>
        <v>bwa#2014</v>
      </c>
      <c r="B2070" t="str">
        <f>IFERROR(__xludf.DUMMYFUNCTION("""COMPUTED_VALUE"""),"bwa")</f>
        <v>bwa</v>
      </c>
      <c r="C2070" t="str">
        <f>IFERROR(__xludf.DUMMYFUNCTION("""COMPUTED_VALUE"""),"Botswana")</f>
        <v>Botswana</v>
      </c>
      <c r="D2070">
        <f>IFERROR(__xludf.DUMMYFUNCTION("""COMPUTED_VALUE"""),2014.0)</f>
        <v>2014</v>
      </c>
      <c r="E2070">
        <f>IFERROR(__xludf.DUMMYFUNCTION("""COMPUTED_VALUE"""),2168573.0)</f>
        <v>2168573</v>
      </c>
    </row>
    <row r="2071">
      <c r="A2071" t="str">
        <f t="shared" si="1"/>
        <v>bwa#2015</v>
      </c>
      <c r="B2071" t="str">
        <f>IFERROR(__xludf.DUMMYFUNCTION("""COMPUTED_VALUE"""),"bwa")</f>
        <v>bwa</v>
      </c>
      <c r="C2071" t="str">
        <f>IFERROR(__xludf.DUMMYFUNCTION("""COMPUTED_VALUE"""),"Botswana")</f>
        <v>Botswana</v>
      </c>
      <c r="D2071">
        <f>IFERROR(__xludf.DUMMYFUNCTION("""COMPUTED_VALUE"""),2015.0)</f>
        <v>2015</v>
      </c>
      <c r="E2071">
        <f>IFERROR(__xludf.DUMMYFUNCTION("""COMPUTED_VALUE"""),2209197.0)</f>
        <v>2209197</v>
      </c>
    </row>
    <row r="2072">
      <c r="A2072" t="str">
        <f t="shared" si="1"/>
        <v>bwa#2016</v>
      </c>
      <c r="B2072" t="str">
        <f>IFERROR(__xludf.DUMMYFUNCTION("""COMPUTED_VALUE"""),"bwa")</f>
        <v>bwa</v>
      </c>
      <c r="C2072" t="str">
        <f>IFERROR(__xludf.DUMMYFUNCTION("""COMPUTED_VALUE"""),"Botswana")</f>
        <v>Botswana</v>
      </c>
      <c r="D2072">
        <f>IFERROR(__xludf.DUMMYFUNCTION("""COMPUTED_VALUE"""),2016.0)</f>
        <v>2016</v>
      </c>
      <c r="E2072">
        <f>IFERROR(__xludf.DUMMYFUNCTION("""COMPUTED_VALUE"""),2250260.0)</f>
        <v>2250260</v>
      </c>
    </row>
    <row r="2073">
      <c r="A2073" t="str">
        <f t="shared" si="1"/>
        <v>bwa#2017</v>
      </c>
      <c r="B2073" t="str">
        <f>IFERROR(__xludf.DUMMYFUNCTION("""COMPUTED_VALUE"""),"bwa")</f>
        <v>bwa</v>
      </c>
      <c r="C2073" t="str">
        <f>IFERROR(__xludf.DUMMYFUNCTION("""COMPUTED_VALUE"""),"Botswana")</f>
        <v>Botswana</v>
      </c>
      <c r="D2073">
        <f>IFERROR(__xludf.DUMMYFUNCTION("""COMPUTED_VALUE"""),2017.0)</f>
        <v>2017</v>
      </c>
      <c r="E2073">
        <f>IFERROR(__xludf.DUMMYFUNCTION("""COMPUTED_VALUE"""),2291661.0)</f>
        <v>2291661</v>
      </c>
    </row>
    <row r="2074">
      <c r="A2074" t="str">
        <f t="shared" si="1"/>
        <v>bwa#2018</v>
      </c>
      <c r="B2074" t="str">
        <f>IFERROR(__xludf.DUMMYFUNCTION("""COMPUTED_VALUE"""),"bwa")</f>
        <v>bwa</v>
      </c>
      <c r="C2074" t="str">
        <f>IFERROR(__xludf.DUMMYFUNCTION("""COMPUTED_VALUE"""),"Botswana")</f>
        <v>Botswana</v>
      </c>
      <c r="D2074">
        <f>IFERROR(__xludf.DUMMYFUNCTION("""COMPUTED_VALUE"""),2018.0)</f>
        <v>2018</v>
      </c>
      <c r="E2074">
        <f>IFERROR(__xludf.DUMMYFUNCTION("""COMPUTED_VALUE"""),2333201.0)</f>
        <v>2333201</v>
      </c>
    </row>
    <row r="2075">
      <c r="A2075" t="str">
        <f t="shared" si="1"/>
        <v>bwa#2019</v>
      </c>
      <c r="B2075" t="str">
        <f>IFERROR(__xludf.DUMMYFUNCTION("""COMPUTED_VALUE"""),"bwa")</f>
        <v>bwa</v>
      </c>
      <c r="C2075" t="str">
        <f>IFERROR(__xludf.DUMMYFUNCTION("""COMPUTED_VALUE"""),"Botswana")</f>
        <v>Botswana</v>
      </c>
      <c r="D2075">
        <f>IFERROR(__xludf.DUMMYFUNCTION("""COMPUTED_VALUE"""),2019.0)</f>
        <v>2019</v>
      </c>
      <c r="E2075">
        <f>IFERROR(__xludf.DUMMYFUNCTION("""COMPUTED_VALUE"""),2374636.0)</f>
        <v>2374636</v>
      </c>
    </row>
    <row r="2076">
      <c r="A2076" t="str">
        <f t="shared" si="1"/>
        <v>bwa#2020</v>
      </c>
      <c r="B2076" t="str">
        <f>IFERROR(__xludf.DUMMYFUNCTION("""COMPUTED_VALUE"""),"bwa")</f>
        <v>bwa</v>
      </c>
      <c r="C2076" t="str">
        <f>IFERROR(__xludf.DUMMYFUNCTION("""COMPUTED_VALUE"""),"Botswana")</f>
        <v>Botswana</v>
      </c>
      <c r="D2076">
        <f>IFERROR(__xludf.DUMMYFUNCTION("""COMPUTED_VALUE"""),2020.0)</f>
        <v>2020</v>
      </c>
      <c r="E2076">
        <f>IFERROR(__xludf.DUMMYFUNCTION("""COMPUTED_VALUE"""),2415766.0)</f>
        <v>2415766</v>
      </c>
    </row>
    <row r="2077">
      <c r="A2077" t="str">
        <f t="shared" si="1"/>
        <v>bwa#2021</v>
      </c>
      <c r="B2077" t="str">
        <f>IFERROR(__xludf.DUMMYFUNCTION("""COMPUTED_VALUE"""),"bwa")</f>
        <v>bwa</v>
      </c>
      <c r="C2077" t="str">
        <f>IFERROR(__xludf.DUMMYFUNCTION("""COMPUTED_VALUE"""),"Botswana")</f>
        <v>Botswana</v>
      </c>
      <c r="D2077">
        <f>IFERROR(__xludf.DUMMYFUNCTION("""COMPUTED_VALUE"""),2021.0)</f>
        <v>2021</v>
      </c>
      <c r="E2077">
        <f>IFERROR(__xludf.DUMMYFUNCTION("""COMPUTED_VALUE"""),2456456.0)</f>
        <v>2456456</v>
      </c>
    </row>
    <row r="2078">
      <c r="A2078" t="str">
        <f t="shared" si="1"/>
        <v>bwa#2022</v>
      </c>
      <c r="B2078" t="str">
        <f>IFERROR(__xludf.DUMMYFUNCTION("""COMPUTED_VALUE"""),"bwa")</f>
        <v>bwa</v>
      </c>
      <c r="C2078" t="str">
        <f>IFERROR(__xludf.DUMMYFUNCTION("""COMPUTED_VALUE"""),"Botswana")</f>
        <v>Botswana</v>
      </c>
      <c r="D2078">
        <f>IFERROR(__xludf.DUMMYFUNCTION("""COMPUTED_VALUE"""),2022.0)</f>
        <v>2022</v>
      </c>
      <c r="E2078">
        <f>IFERROR(__xludf.DUMMYFUNCTION("""COMPUTED_VALUE"""),2496655.0)</f>
        <v>2496655</v>
      </c>
    </row>
    <row r="2079">
      <c r="A2079" t="str">
        <f t="shared" si="1"/>
        <v>bwa#2023</v>
      </c>
      <c r="B2079" t="str">
        <f>IFERROR(__xludf.DUMMYFUNCTION("""COMPUTED_VALUE"""),"bwa")</f>
        <v>bwa</v>
      </c>
      <c r="C2079" t="str">
        <f>IFERROR(__xludf.DUMMYFUNCTION("""COMPUTED_VALUE"""),"Botswana")</f>
        <v>Botswana</v>
      </c>
      <c r="D2079">
        <f>IFERROR(__xludf.DUMMYFUNCTION("""COMPUTED_VALUE"""),2023.0)</f>
        <v>2023</v>
      </c>
      <c r="E2079">
        <f>IFERROR(__xludf.DUMMYFUNCTION("""COMPUTED_VALUE"""),2536346.0)</f>
        <v>2536346</v>
      </c>
    </row>
    <row r="2080">
      <c r="A2080" t="str">
        <f t="shared" si="1"/>
        <v>bwa#2024</v>
      </c>
      <c r="B2080" t="str">
        <f>IFERROR(__xludf.DUMMYFUNCTION("""COMPUTED_VALUE"""),"bwa")</f>
        <v>bwa</v>
      </c>
      <c r="C2080" t="str">
        <f>IFERROR(__xludf.DUMMYFUNCTION("""COMPUTED_VALUE"""),"Botswana")</f>
        <v>Botswana</v>
      </c>
      <c r="D2080">
        <f>IFERROR(__xludf.DUMMYFUNCTION("""COMPUTED_VALUE"""),2024.0)</f>
        <v>2024</v>
      </c>
      <c r="E2080">
        <f>IFERROR(__xludf.DUMMYFUNCTION("""COMPUTED_VALUE"""),2575556.0)</f>
        <v>2575556</v>
      </c>
    </row>
    <row r="2081">
      <c r="A2081" t="str">
        <f t="shared" si="1"/>
        <v>bwa#2025</v>
      </c>
      <c r="B2081" t="str">
        <f>IFERROR(__xludf.DUMMYFUNCTION("""COMPUTED_VALUE"""),"bwa")</f>
        <v>bwa</v>
      </c>
      <c r="C2081" t="str">
        <f>IFERROR(__xludf.DUMMYFUNCTION("""COMPUTED_VALUE"""),"Botswana")</f>
        <v>Botswana</v>
      </c>
      <c r="D2081">
        <f>IFERROR(__xludf.DUMMYFUNCTION("""COMPUTED_VALUE"""),2025.0)</f>
        <v>2025</v>
      </c>
      <c r="E2081">
        <f>IFERROR(__xludf.DUMMYFUNCTION("""COMPUTED_VALUE"""),2614316.0)</f>
        <v>2614316</v>
      </c>
    </row>
    <row r="2082">
      <c r="A2082" t="str">
        <f t="shared" si="1"/>
        <v>bwa#2026</v>
      </c>
      <c r="B2082" t="str">
        <f>IFERROR(__xludf.DUMMYFUNCTION("""COMPUTED_VALUE"""),"bwa")</f>
        <v>bwa</v>
      </c>
      <c r="C2082" t="str">
        <f>IFERROR(__xludf.DUMMYFUNCTION("""COMPUTED_VALUE"""),"Botswana")</f>
        <v>Botswana</v>
      </c>
      <c r="D2082">
        <f>IFERROR(__xludf.DUMMYFUNCTION("""COMPUTED_VALUE"""),2026.0)</f>
        <v>2026</v>
      </c>
      <c r="E2082">
        <f>IFERROR(__xludf.DUMMYFUNCTION("""COMPUTED_VALUE"""),2652576.0)</f>
        <v>2652576</v>
      </c>
    </row>
    <row r="2083">
      <c r="A2083" t="str">
        <f t="shared" si="1"/>
        <v>bwa#2027</v>
      </c>
      <c r="B2083" t="str">
        <f>IFERROR(__xludf.DUMMYFUNCTION("""COMPUTED_VALUE"""),"bwa")</f>
        <v>bwa</v>
      </c>
      <c r="C2083" t="str">
        <f>IFERROR(__xludf.DUMMYFUNCTION("""COMPUTED_VALUE"""),"Botswana")</f>
        <v>Botswana</v>
      </c>
      <c r="D2083">
        <f>IFERROR(__xludf.DUMMYFUNCTION("""COMPUTED_VALUE"""),2027.0)</f>
        <v>2027</v>
      </c>
      <c r="E2083">
        <f>IFERROR(__xludf.DUMMYFUNCTION("""COMPUTED_VALUE"""),2690295.0)</f>
        <v>2690295</v>
      </c>
    </row>
    <row r="2084">
      <c r="A2084" t="str">
        <f t="shared" si="1"/>
        <v>bwa#2028</v>
      </c>
      <c r="B2084" t="str">
        <f>IFERROR(__xludf.DUMMYFUNCTION("""COMPUTED_VALUE"""),"bwa")</f>
        <v>bwa</v>
      </c>
      <c r="C2084" t="str">
        <f>IFERROR(__xludf.DUMMYFUNCTION("""COMPUTED_VALUE"""),"Botswana")</f>
        <v>Botswana</v>
      </c>
      <c r="D2084">
        <f>IFERROR(__xludf.DUMMYFUNCTION("""COMPUTED_VALUE"""),2028.0)</f>
        <v>2028</v>
      </c>
      <c r="E2084">
        <f>IFERROR(__xludf.DUMMYFUNCTION("""COMPUTED_VALUE"""),2727485.0)</f>
        <v>2727485</v>
      </c>
    </row>
    <row r="2085">
      <c r="A2085" t="str">
        <f t="shared" si="1"/>
        <v>bwa#2029</v>
      </c>
      <c r="B2085" t="str">
        <f>IFERROR(__xludf.DUMMYFUNCTION("""COMPUTED_VALUE"""),"bwa")</f>
        <v>bwa</v>
      </c>
      <c r="C2085" t="str">
        <f>IFERROR(__xludf.DUMMYFUNCTION("""COMPUTED_VALUE"""),"Botswana")</f>
        <v>Botswana</v>
      </c>
      <c r="D2085">
        <f>IFERROR(__xludf.DUMMYFUNCTION("""COMPUTED_VALUE"""),2029.0)</f>
        <v>2029</v>
      </c>
      <c r="E2085">
        <f>IFERROR(__xludf.DUMMYFUNCTION("""COMPUTED_VALUE"""),2764200.0)</f>
        <v>2764200</v>
      </c>
    </row>
    <row r="2086">
      <c r="A2086" t="str">
        <f t="shared" si="1"/>
        <v>bwa#2030</v>
      </c>
      <c r="B2086" t="str">
        <f>IFERROR(__xludf.DUMMYFUNCTION("""COMPUTED_VALUE"""),"bwa")</f>
        <v>bwa</v>
      </c>
      <c r="C2086" t="str">
        <f>IFERROR(__xludf.DUMMYFUNCTION("""COMPUTED_VALUE"""),"Botswana")</f>
        <v>Botswana</v>
      </c>
      <c r="D2086">
        <f>IFERROR(__xludf.DUMMYFUNCTION("""COMPUTED_VALUE"""),2030.0)</f>
        <v>2030</v>
      </c>
      <c r="E2086">
        <f>IFERROR(__xludf.DUMMYFUNCTION("""COMPUTED_VALUE"""),2800433.0)</f>
        <v>2800433</v>
      </c>
    </row>
    <row r="2087">
      <c r="A2087" t="str">
        <f t="shared" si="1"/>
        <v>bwa#2031</v>
      </c>
      <c r="B2087" t="str">
        <f>IFERROR(__xludf.DUMMYFUNCTION("""COMPUTED_VALUE"""),"bwa")</f>
        <v>bwa</v>
      </c>
      <c r="C2087" t="str">
        <f>IFERROR(__xludf.DUMMYFUNCTION("""COMPUTED_VALUE"""),"Botswana")</f>
        <v>Botswana</v>
      </c>
      <c r="D2087">
        <f>IFERROR(__xludf.DUMMYFUNCTION("""COMPUTED_VALUE"""),2031.0)</f>
        <v>2031</v>
      </c>
      <c r="E2087">
        <f>IFERROR(__xludf.DUMMYFUNCTION("""COMPUTED_VALUE"""),2836201.0)</f>
        <v>2836201</v>
      </c>
    </row>
    <row r="2088">
      <c r="A2088" t="str">
        <f t="shared" si="1"/>
        <v>bwa#2032</v>
      </c>
      <c r="B2088" t="str">
        <f>IFERROR(__xludf.DUMMYFUNCTION("""COMPUTED_VALUE"""),"bwa")</f>
        <v>bwa</v>
      </c>
      <c r="C2088" t="str">
        <f>IFERROR(__xludf.DUMMYFUNCTION("""COMPUTED_VALUE"""),"Botswana")</f>
        <v>Botswana</v>
      </c>
      <c r="D2088">
        <f>IFERROR(__xludf.DUMMYFUNCTION("""COMPUTED_VALUE"""),2032.0)</f>
        <v>2032</v>
      </c>
      <c r="E2088">
        <f>IFERROR(__xludf.DUMMYFUNCTION("""COMPUTED_VALUE"""),2871485.0)</f>
        <v>2871485</v>
      </c>
    </row>
    <row r="2089">
      <c r="A2089" t="str">
        <f t="shared" si="1"/>
        <v>bwa#2033</v>
      </c>
      <c r="B2089" t="str">
        <f>IFERROR(__xludf.DUMMYFUNCTION("""COMPUTED_VALUE"""),"bwa")</f>
        <v>bwa</v>
      </c>
      <c r="C2089" t="str">
        <f>IFERROR(__xludf.DUMMYFUNCTION("""COMPUTED_VALUE"""),"Botswana")</f>
        <v>Botswana</v>
      </c>
      <c r="D2089">
        <f>IFERROR(__xludf.DUMMYFUNCTION("""COMPUTED_VALUE"""),2033.0)</f>
        <v>2033</v>
      </c>
      <c r="E2089">
        <f>IFERROR(__xludf.DUMMYFUNCTION("""COMPUTED_VALUE"""),2906315.0)</f>
        <v>2906315</v>
      </c>
    </row>
    <row r="2090">
      <c r="A2090" t="str">
        <f t="shared" si="1"/>
        <v>bwa#2034</v>
      </c>
      <c r="B2090" t="str">
        <f>IFERROR(__xludf.DUMMYFUNCTION("""COMPUTED_VALUE"""),"bwa")</f>
        <v>bwa</v>
      </c>
      <c r="C2090" t="str">
        <f>IFERROR(__xludf.DUMMYFUNCTION("""COMPUTED_VALUE"""),"Botswana")</f>
        <v>Botswana</v>
      </c>
      <c r="D2090">
        <f>IFERROR(__xludf.DUMMYFUNCTION("""COMPUTED_VALUE"""),2034.0)</f>
        <v>2034</v>
      </c>
      <c r="E2090">
        <f>IFERROR(__xludf.DUMMYFUNCTION("""COMPUTED_VALUE"""),2940691.0)</f>
        <v>2940691</v>
      </c>
    </row>
    <row r="2091">
      <c r="A2091" t="str">
        <f t="shared" si="1"/>
        <v>bwa#2035</v>
      </c>
      <c r="B2091" t="str">
        <f>IFERROR(__xludf.DUMMYFUNCTION("""COMPUTED_VALUE"""),"bwa")</f>
        <v>bwa</v>
      </c>
      <c r="C2091" t="str">
        <f>IFERROR(__xludf.DUMMYFUNCTION("""COMPUTED_VALUE"""),"Botswana")</f>
        <v>Botswana</v>
      </c>
      <c r="D2091">
        <f>IFERROR(__xludf.DUMMYFUNCTION("""COMPUTED_VALUE"""),2035.0)</f>
        <v>2035</v>
      </c>
      <c r="E2091">
        <f>IFERROR(__xludf.DUMMYFUNCTION("""COMPUTED_VALUE"""),2974633.0)</f>
        <v>2974633</v>
      </c>
    </row>
    <row r="2092">
      <c r="A2092" t="str">
        <f t="shared" si="1"/>
        <v>bwa#2036</v>
      </c>
      <c r="B2092" t="str">
        <f>IFERROR(__xludf.DUMMYFUNCTION("""COMPUTED_VALUE"""),"bwa")</f>
        <v>bwa</v>
      </c>
      <c r="C2092" t="str">
        <f>IFERROR(__xludf.DUMMYFUNCTION("""COMPUTED_VALUE"""),"Botswana")</f>
        <v>Botswana</v>
      </c>
      <c r="D2092">
        <f>IFERROR(__xludf.DUMMYFUNCTION("""COMPUTED_VALUE"""),2036.0)</f>
        <v>2036</v>
      </c>
      <c r="E2092">
        <f>IFERROR(__xludf.DUMMYFUNCTION("""COMPUTED_VALUE"""),3008144.0)</f>
        <v>3008144</v>
      </c>
    </row>
    <row r="2093">
      <c r="A2093" t="str">
        <f t="shared" si="1"/>
        <v>bwa#2037</v>
      </c>
      <c r="B2093" t="str">
        <f>IFERROR(__xludf.DUMMYFUNCTION("""COMPUTED_VALUE"""),"bwa")</f>
        <v>bwa</v>
      </c>
      <c r="C2093" t="str">
        <f>IFERROR(__xludf.DUMMYFUNCTION("""COMPUTED_VALUE"""),"Botswana")</f>
        <v>Botswana</v>
      </c>
      <c r="D2093">
        <f>IFERROR(__xludf.DUMMYFUNCTION("""COMPUTED_VALUE"""),2037.0)</f>
        <v>2037</v>
      </c>
      <c r="E2093">
        <f>IFERROR(__xludf.DUMMYFUNCTION("""COMPUTED_VALUE"""),3041200.0)</f>
        <v>3041200</v>
      </c>
    </row>
    <row r="2094">
      <c r="A2094" t="str">
        <f t="shared" si="1"/>
        <v>bwa#2038</v>
      </c>
      <c r="B2094" t="str">
        <f>IFERROR(__xludf.DUMMYFUNCTION("""COMPUTED_VALUE"""),"bwa")</f>
        <v>bwa</v>
      </c>
      <c r="C2094" t="str">
        <f>IFERROR(__xludf.DUMMYFUNCTION("""COMPUTED_VALUE"""),"Botswana")</f>
        <v>Botswana</v>
      </c>
      <c r="D2094">
        <f>IFERROR(__xludf.DUMMYFUNCTION("""COMPUTED_VALUE"""),2038.0)</f>
        <v>2038</v>
      </c>
      <c r="E2094">
        <f>IFERROR(__xludf.DUMMYFUNCTION("""COMPUTED_VALUE"""),3073802.0)</f>
        <v>3073802</v>
      </c>
    </row>
    <row r="2095">
      <c r="A2095" t="str">
        <f t="shared" si="1"/>
        <v>bwa#2039</v>
      </c>
      <c r="B2095" t="str">
        <f>IFERROR(__xludf.DUMMYFUNCTION("""COMPUTED_VALUE"""),"bwa")</f>
        <v>bwa</v>
      </c>
      <c r="C2095" t="str">
        <f>IFERROR(__xludf.DUMMYFUNCTION("""COMPUTED_VALUE"""),"Botswana")</f>
        <v>Botswana</v>
      </c>
      <c r="D2095">
        <f>IFERROR(__xludf.DUMMYFUNCTION("""COMPUTED_VALUE"""),2039.0)</f>
        <v>2039</v>
      </c>
      <c r="E2095">
        <f>IFERROR(__xludf.DUMMYFUNCTION("""COMPUTED_VALUE"""),3105935.0)</f>
        <v>3105935</v>
      </c>
    </row>
    <row r="2096">
      <c r="A2096" t="str">
        <f t="shared" si="1"/>
        <v>bwa#2040</v>
      </c>
      <c r="B2096" t="str">
        <f>IFERROR(__xludf.DUMMYFUNCTION("""COMPUTED_VALUE"""),"bwa")</f>
        <v>bwa</v>
      </c>
      <c r="C2096" t="str">
        <f>IFERROR(__xludf.DUMMYFUNCTION("""COMPUTED_VALUE"""),"Botswana")</f>
        <v>Botswana</v>
      </c>
      <c r="D2096">
        <f>IFERROR(__xludf.DUMMYFUNCTION("""COMPUTED_VALUE"""),2040.0)</f>
        <v>2040</v>
      </c>
      <c r="E2096">
        <f>IFERROR(__xludf.DUMMYFUNCTION("""COMPUTED_VALUE"""),3137601.0)</f>
        <v>3137601</v>
      </c>
    </row>
    <row r="2097">
      <c r="A2097" t="str">
        <f t="shared" si="1"/>
        <v>bra#1950</v>
      </c>
      <c r="B2097" t="str">
        <f>IFERROR(__xludf.DUMMYFUNCTION("""COMPUTED_VALUE"""),"bra")</f>
        <v>bra</v>
      </c>
      <c r="C2097" t="str">
        <f>IFERROR(__xludf.DUMMYFUNCTION("""COMPUTED_VALUE"""),"Brazil")</f>
        <v>Brazil</v>
      </c>
      <c r="D2097">
        <f>IFERROR(__xludf.DUMMYFUNCTION("""COMPUTED_VALUE"""),1950.0)</f>
        <v>1950</v>
      </c>
      <c r="E2097">
        <f>IFERROR(__xludf.DUMMYFUNCTION("""COMPUTED_VALUE"""),5.3974729E7)</f>
        <v>53974729</v>
      </c>
    </row>
    <row r="2098">
      <c r="A2098" t="str">
        <f t="shared" si="1"/>
        <v>bra#1951</v>
      </c>
      <c r="B2098" t="str">
        <f>IFERROR(__xludf.DUMMYFUNCTION("""COMPUTED_VALUE"""),"bra")</f>
        <v>bra</v>
      </c>
      <c r="C2098" t="str">
        <f>IFERROR(__xludf.DUMMYFUNCTION("""COMPUTED_VALUE"""),"Brazil")</f>
        <v>Brazil</v>
      </c>
      <c r="D2098">
        <f>IFERROR(__xludf.DUMMYFUNCTION("""COMPUTED_VALUE"""),1951.0)</f>
        <v>1951</v>
      </c>
      <c r="E2098">
        <f>IFERROR(__xludf.DUMMYFUNCTION("""COMPUTED_VALUE"""),5.5619224E7)</f>
        <v>55619224</v>
      </c>
    </row>
    <row r="2099">
      <c r="A2099" t="str">
        <f t="shared" si="1"/>
        <v>bra#1952</v>
      </c>
      <c r="B2099" t="str">
        <f>IFERROR(__xludf.DUMMYFUNCTION("""COMPUTED_VALUE"""),"bra")</f>
        <v>bra</v>
      </c>
      <c r="C2099" t="str">
        <f>IFERROR(__xludf.DUMMYFUNCTION("""COMPUTED_VALUE"""),"Brazil")</f>
        <v>Brazil</v>
      </c>
      <c r="D2099">
        <f>IFERROR(__xludf.DUMMYFUNCTION("""COMPUTED_VALUE"""),1952.0)</f>
        <v>1952</v>
      </c>
      <c r="E2099">
        <f>IFERROR(__xludf.DUMMYFUNCTION("""COMPUTED_VALUE"""),5.7307476E7)</f>
        <v>57307476</v>
      </c>
    </row>
    <row r="2100">
      <c r="A2100" t="str">
        <f t="shared" si="1"/>
        <v>bra#1953</v>
      </c>
      <c r="B2100" t="str">
        <f>IFERROR(__xludf.DUMMYFUNCTION("""COMPUTED_VALUE"""),"bra")</f>
        <v>bra</v>
      </c>
      <c r="C2100" t="str">
        <f>IFERROR(__xludf.DUMMYFUNCTION("""COMPUTED_VALUE"""),"Brazil")</f>
        <v>Brazil</v>
      </c>
      <c r="D2100">
        <f>IFERROR(__xludf.DUMMYFUNCTION("""COMPUTED_VALUE"""),1953.0)</f>
        <v>1953</v>
      </c>
      <c r="E2100">
        <f>IFERROR(__xludf.DUMMYFUNCTION("""COMPUTED_VALUE"""),5.9030858E7)</f>
        <v>59030858</v>
      </c>
    </row>
    <row r="2101">
      <c r="A2101" t="str">
        <f t="shared" si="1"/>
        <v>bra#1954</v>
      </c>
      <c r="B2101" t="str">
        <f>IFERROR(__xludf.DUMMYFUNCTION("""COMPUTED_VALUE"""),"bra")</f>
        <v>bra</v>
      </c>
      <c r="C2101" t="str">
        <f>IFERROR(__xludf.DUMMYFUNCTION("""COMPUTED_VALUE"""),"Brazil")</f>
        <v>Brazil</v>
      </c>
      <c r="D2101">
        <f>IFERROR(__xludf.DUMMYFUNCTION("""COMPUTED_VALUE"""),1954.0)</f>
        <v>1954</v>
      </c>
      <c r="E2101">
        <f>IFERROR(__xludf.DUMMYFUNCTION("""COMPUTED_VALUE"""),6.0784892E7)</f>
        <v>60784892</v>
      </c>
    </row>
    <row r="2102">
      <c r="A2102" t="str">
        <f t="shared" si="1"/>
        <v>bra#1955</v>
      </c>
      <c r="B2102" t="str">
        <f>IFERROR(__xludf.DUMMYFUNCTION("""COMPUTED_VALUE"""),"bra")</f>
        <v>bra</v>
      </c>
      <c r="C2102" t="str">
        <f>IFERROR(__xludf.DUMMYFUNCTION("""COMPUTED_VALUE"""),"Brazil")</f>
        <v>Brazil</v>
      </c>
      <c r="D2102">
        <f>IFERROR(__xludf.DUMMYFUNCTION("""COMPUTED_VALUE"""),1955.0)</f>
        <v>1955</v>
      </c>
      <c r="E2102">
        <f>IFERROR(__xludf.DUMMYFUNCTION("""COMPUTED_VALUE"""),6.2569196E7)</f>
        <v>62569196</v>
      </c>
    </row>
    <row r="2103">
      <c r="A2103" t="str">
        <f t="shared" si="1"/>
        <v>bra#1956</v>
      </c>
      <c r="B2103" t="str">
        <f>IFERROR(__xludf.DUMMYFUNCTION("""COMPUTED_VALUE"""),"bra")</f>
        <v>bra</v>
      </c>
      <c r="C2103" t="str">
        <f>IFERROR(__xludf.DUMMYFUNCTION("""COMPUTED_VALUE"""),"Brazil")</f>
        <v>Brazil</v>
      </c>
      <c r="D2103">
        <f>IFERROR(__xludf.DUMMYFUNCTION("""COMPUTED_VALUE"""),1956.0)</f>
        <v>1956</v>
      </c>
      <c r="E2103">
        <f>IFERROR(__xludf.DUMMYFUNCTION("""COMPUTED_VALUE"""),6.4387823E7)</f>
        <v>64387823</v>
      </c>
    </row>
    <row r="2104">
      <c r="A2104" t="str">
        <f t="shared" si="1"/>
        <v>bra#1957</v>
      </c>
      <c r="B2104" t="str">
        <f>IFERROR(__xludf.DUMMYFUNCTION("""COMPUTED_VALUE"""),"bra")</f>
        <v>bra</v>
      </c>
      <c r="C2104" t="str">
        <f>IFERROR(__xludf.DUMMYFUNCTION("""COMPUTED_VALUE"""),"Brazil")</f>
        <v>Brazil</v>
      </c>
      <c r="D2104">
        <f>IFERROR(__xludf.DUMMYFUNCTION("""COMPUTED_VALUE"""),1957.0)</f>
        <v>1957</v>
      </c>
      <c r="E2104">
        <f>IFERROR(__xludf.DUMMYFUNCTION("""COMPUTED_VALUE"""),6.6248946E7)</f>
        <v>66248946</v>
      </c>
    </row>
    <row r="2105">
      <c r="A2105" t="str">
        <f t="shared" si="1"/>
        <v>bra#1958</v>
      </c>
      <c r="B2105" t="str">
        <f>IFERROR(__xludf.DUMMYFUNCTION("""COMPUTED_VALUE"""),"bra")</f>
        <v>bra</v>
      </c>
      <c r="C2105" t="str">
        <f>IFERROR(__xludf.DUMMYFUNCTION("""COMPUTED_VALUE"""),"Brazil")</f>
        <v>Brazil</v>
      </c>
      <c r="D2105">
        <f>IFERROR(__xludf.DUMMYFUNCTION("""COMPUTED_VALUE"""),1958.0)</f>
        <v>1958</v>
      </c>
      <c r="E2105">
        <f>IFERROR(__xludf.DUMMYFUNCTION("""COMPUTED_VALUE"""),6.8164042E7)</f>
        <v>68164042</v>
      </c>
    </row>
    <row r="2106">
      <c r="A2106" t="str">
        <f t="shared" si="1"/>
        <v>bra#1959</v>
      </c>
      <c r="B2106" t="str">
        <f>IFERROR(__xludf.DUMMYFUNCTION("""COMPUTED_VALUE"""),"bra")</f>
        <v>bra</v>
      </c>
      <c r="C2106" t="str">
        <f>IFERROR(__xludf.DUMMYFUNCTION("""COMPUTED_VALUE"""),"Brazil")</f>
        <v>Brazil</v>
      </c>
      <c r="D2106">
        <f>IFERROR(__xludf.DUMMYFUNCTION("""COMPUTED_VALUE"""),1959.0)</f>
        <v>1959</v>
      </c>
      <c r="E2106">
        <f>IFERROR(__xludf.DUMMYFUNCTION("""COMPUTED_VALUE"""),7.0146513E7)</f>
        <v>70146513</v>
      </c>
    </row>
    <row r="2107">
      <c r="A2107" t="str">
        <f t="shared" si="1"/>
        <v>bra#1960</v>
      </c>
      <c r="B2107" t="str">
        <f>IFERROR(__xludf.DUMMYFUNCTION("""COMPUTED_VALUE"""),"bra")</f>
        <v>bra</v>
      </c>
      <c r="C2107" t="str">
        <f>IFERROR(__xludf.DUMMYFUNCTION("""COMPUTED_VALUE"""),"Brazil")</f>
        <v>Brazil</v>
      </c>
      <c r="D2107">
        <f>IFERROR(__xludf.DUMMYFUNCTION("""COMPUTED_VALUE"""),1960.0)</f>
        <v>1960</v>
      </c>
      <c r="E2107">
        <f>IFERROR(__xludf.DUMMYFUNCTION("""COMPUTED_VALUE"""),7.2207554E7)</f>
        <v>72207554</v>
      </c>
    </row>
    <row r="2108">
      <c r="A2108" t="str">
        <f t="shared" si="1"/>
        <v>bra#1961</v>
      </c>
      <c r="B2108" t="str">
        <f>IFERROR(__xludf.DUMMYFUNCTION("""COMPUTED_VALUE"""),"bra")</f>
        <v>bra</v>
      </c>
      <c r="C2108" t="str">
        <f>IFERROR(__xludf.DUMMYFUNCTION("""COMPUTED_VALUE"""),"Brazil")</f>
        <v>Brazil</v>
      </c>
      <c r="D2108">
        <f>IFERROR(__xludf.DUMMYFUNCTION("""COMPUTED_VALUE"""),1961.0)</f>
        <v>1961</v>
      </c>
      <c r="E2108">
        <f>IFERROR(__xludf.DUMMYFUNCTION("""COMPUTED_VALUE"""),7.4351763E7)</f>
        <v>74351763</v>
      </c>
    </row>
    <row r="2109">
      <c r="A2109" t="str">
        <f t="shared" si="1"/>
        <v>bra#1962</v>
      </c>
      <c r="B2109" t="str">
        <f>IFERROR(__xludf.DUMMYFUNCTION("""COMPUTED_VALUE"""),"bra")</f>
        <v>bra</v>
      </c>
      <c r="C2109" t="str">
        <f>IFERROR(__xludf.DUMMYFUNCTION("""COMPUTED_VALUE"""),"Brazil")</f>
        <v>Brazil</v>
      </c>
      <c r="D2109">
        <f>IFERROR(__xludf.DUMMYFUNCTION("""COMPUTED_VALUE"""),1962.0)</f>
        <v>1962</v>
      </c>
      <c r="E2109">
        <f>IFERROR(__xludf.DUMMYFUNCTION("""COMPUTED_VALUE"""),7.6573248E7)</f>
        <v>76573248</v>
      </c>
    </row>
    <row r="2110">
      <c r="A2110" t="str">
        <f t="shared" si="1"/>
        <v>bra#1963</v>
      </c>
      <c r="B2110" t="str">
        <f>IFERROR(__xludf.DUMMYFUNCTION("""COMPUTED_VALUE"""),"bra")</f>
        <v>bra</v>
      </c>
      <c r="C2110" t="str">
        <f>IFERROR(__xludf.DUMMYFUNCTION("""COMPUTED_VALUE"""),"Brazil")</f>
        <v>Brazil</v>
      </c>
      <c r="D2110">
        <f>IFERROR(__xludf.DUMMYFUNCTION("""COMPUTED_VALUE"""),1963.0)</f>
        <v>1963</v>
      </c>
      <c r="E2110">
        <f>IFERROR(__xludf.DUMMYFUNCTION("""COMPUTED_VALUE"""),7.8854019E7)</f>
        <v>78854019</v>
      </c>
    </row>
    <row r="2111">
      <c r="A2111" t="str">
        <f t="shared" si="1"/>
        <v>bra#1964</v>
      </c>
      <c r="B2111" t="str">
        <f>IFERROR(__xludf.DUMMYFUNCTION("""COMPUTED_VALUE"""),"bra")</f>
        <v>bra</v>
      </c>
      <c r="C2111" t="str">
        <f>IFERROR(__xludf.DUMMYFUNCTION("""COMPUTED_VALUE"""),"Brazil")</f>
        <v>Brazil</v>
      </c>
      <c r="D2111">
        <f>IFERROR(__xludf.DUMMYFUNCTION("""COMPUTED_VALUE"""),1964.0)</f>
        <v>1964</v>
      </c>
      <c r="E2111">
        <f>IFERROR(__xludf.DUMMYFUNCTION("""COMPUTED_VALUE"""),8.1168654E7)</f>
        <v>81168654</v>
      </c>
    </row>
    <row r="2112">
      <c r="A2112" t="str">
        <f t="shared" si="1"/>
        <v>bra#1965</v>
      </c>
      <c r="B2112" t="str">
        <f>IFERROR(__xludf.DUMMYFUNCTION("""COMPUTED_VALUE"""),"bra")</f>
        <v>bra</v>
      </c>
      <c r="C2112" t="str">
        <f>IFERROR(__xludf.DUMMYFUNCTION("""COMPUTED_VALUE"""),"Brazil")</f>
        <v>Brazil</v>
      </c>
      <c r="D2112">
        <f>IFERROR(__xludf.DUMMYFUNCTION("""COMPUTED_VALUE"""),1965.0)</f>
        <v>1965</v>
      </c>
      <c r="E2112">
        <f>IFERROR(__xludf.DUMMYFUNCTION("""COMPUTED_VALUE"""),8.349802E7)</f>
        <v>83498020</v>
      </c>
    </row>
    <row r="2113">
      <c r="A2113" t="str">
        <f t="shared" si="1"/>
        <v>bra#1966</v>
      </c>
      <c r="B2113" t="str">
        <f>IFERROR(__xludf.DUMMYFUNCTION("""COMPUTED_VALUE"""),"bra")</f>
        <v>bra</v>
      </c>
      <c r="C2113" t="str">
        <f>IFERROR(__xludf.DUMMYFUNCTION("""COMPUTED_VALUE"""),"Brazil")</f>
        <v>Brazil</v>
      </c>
      <c r="D2113">
        <f>IFERROR(__xludf.DUMMYFUNCTION("""COMPUTED_VALUE"""),1966.0)</f>
        <v>1966</v>
      </c>
      <c r="E2113">
        <f>IFERROR(__xludf.DUMMYFUNCTION("""COMPUTED_VALUE"""),8.5837799E7)</f>
        <v>85837799</v>
      </c>
    </row>
    <row r="2114">
      <c r="A2114" t="str">
        <f t="shared" si="1"/>
        <v>bra#1967</v>
      </c>
      <c r="B2114" t="str">
        <f>IFERROR(__xludf.DUMMYFUNCTION("""COMPUTED_VALUE"""),"bra")</f>
        <v>bra</v>
      </c>
      <c r="C2114" t="str">
        <f>IFERROR(__xludf.DUMMYFUNCTION("""COMPUTED_VALUE"""),"Brazil")</f>
        <v>Brazil</v>
      </c>
      <c r="D2114">
        <f>IFERROR(__xludf.DUMMYFUNCTION("""COMPUTED_VALUE"""),1967.0)</f>
        <v>1967</v>
      </c>
      <c r="E2114">
        <f>IFERROR(__xludf.DUMMYFUNCTION("""COMPUTED_VALUE"""),8.8191378E7)</f>
        <v>88191378</v>
      </c>
    </row>
    <row r="2115">
      <c r="A2115" t="str">
        <f t="shared" si="1"/>
        <v>bra#1968</v>
      </c>
      <c r="B2115" t="str">
        <f>IFERROR(__xludf.DUMMYFUNCTION("""COMPUTED_VALUE"""),"bra")</f>
        <v>bra</v>
      </c>
      <c r="C2115" t="str">
        <f>IFERROR(__xludf.DUMMYFUNCTION("""COMPUTED_VALUE"""),"Brazil")</f>
        <v>Brazil</v>
      </c>
      <c r="D2115">
        <f>IFERROR(__xludf.DUMMYFUNCTION("""COMPUTED_VALUE"""),1968.0)</f>
        <v>1968</v>
      </c>
      <c r="E2115">
        <f>IFERROR(__xludf.DUMMYFUNCTION("""COMPUTED_VALUE"""),9.0557064E7)</f>
        <v>90557064</v>
      </c>
    </row>
    <row r="2116">
      <c r="A2116" t="str">
        <f t="shared" si="1"/>
        <v>bra#1969</v>
      </c>
      <c r="B2116" t="str">
        <f>IFERROR(__xludf.DUMMYFUNCTION("""COMPUTED_VALUE"""),"bra")</f>
        <v>bra</v>
      </c>
      <c r="C2116" t="str">
        <f>IFERROR(__xludf.DUMMYFUNCTION("""COMPUTED_VALUE"""),"Brazil")</f>
        <v>Brazil</v>
      </c>
      <c r="D2116">
        <f>IFERROR(__xludf.DUMMYFUNCTION("""COMPUTED_VALUE"""),1969.0)</f>
        <v>1969</v>
      </c>
      <c r="E2116">
        <f>IFERROR(__xludf.DUMMYFUNCTION("""COMPUTED_VALUE"""),9.2935072E7)</f>
        <v>92935072</v>
      </c>
    </row>
    <row r="2117">
      <c r="A2117" t="str">
        <f t="shared" si="1"/>
        <v>bra#1970</v>
      </c>
      <c r="B2117" t="str">
        <f>IFERROR(__xludf.DUMMYFUNCTION("""COMPUTED_VALUE"""),"bra")</f>
        <v>bra</v>
      </c>
      <c r="C2117" t="str">
        <f>IFERROR(__xludf.DUMMYFUNCTION("""COMPUTED_VALUE"""),"Brazil")</f>
        <v>Brazil</v>
      </c>
      <c r="D2117">
        <f>IFERROR(__xludf.DUMMYFUNCTION("""COMPUTED_VALUE"""),1970.0)</f>
        <v>1970</v>
      </c>
      <c r="E2117">
        <f>IFERROR(__xludf.DUMMYFUNCTION("""COMPUTED_VALUE"""),9.5326793E7)</f>
        <v>95326793</v>
      </c>
    </row>
    <row r="2118">
      <c r="A2118" t="str">
        <f t="shared" si="1"/>
        <v>bra#1971</v>
      </c>
      <c r="B2118" t="str">
        <f>IFERROR(__xludf.DUMMYFUNCTION("""COMPUTED_VALUE"""),"bra")</f>
        <v>bra</v>
      </c>
      <c r="C2118" t="str">
        <f>IFERROR(__xludf.DUMMYFUNCTION("""COMPUTED_VALUE"""),"Brazil")</f>
        <v>Brazil</v>
      </c>
      <c r="D2118">
        <f>IFERROR(__xludf.DUMMYFUNCTION("""COMPUTED_VALUE"""),1971.0)</f>
        <v>1971</v>
      </c>
      <c r="E2118">
        <f>IFERROR(__xludf.DUMMYFUNCTION("""COMPUTED_VALUE"""),9.7728961E7)</f>
        <v>97728961</v>
      </c>
    </row>
    <row r="2119">
      <c r="A2119" t="str">
        <f t="shared" si="1"/>
        <v>bra#1972</v>
      </c>
      <c r="B2119" t="str">
        <f>IFERROR(__xludf.DUMMYFUNCTION("""COMPUTED_VALUE"""),"bra")</f>
        <v>bra</v>
      </c>
      <c r="C2119" t="str">
        <f>IFERROR(__xludf.DUMMYFUNCTION("""COMPUTED_VALUE"""),"Brazil")</f>
        <v>Brazil</v>
      </c>
      <c r="D2119">
        <f>IFERROR(__xludf.DUMMYFUNCTION("""COMPUTED_VALUE"""),1972.0)</f>
        <v>1972</v>
      </c>
      <c r="E2119">
        <f>IFERROR(__xludf.DUMMYFUNCTION("""COMPUTED_VALUE"""),1.00143598E8)</f>
        <v>100143598</v>
      </c>
    </row>
    <row r="2120">
      <c r="A2120" t="str">
        <f t="shared" si="1"/>
        <v>bra#1973</v>
      </c>
      <c r="B2120" t="str">
        <f>IFERROR(__xludf.DUMMYFUNCTION("""COMPUTED_VALUE"""),"bra")</f>
        <v>bra</v>
      </c>
      <c r="C2120" t="str">
        <f>IFERROR(__xludf.DUMMYFUNCTION("""COMPUTED_VALUE"""),"Brazil")</f>
        <v>Brazil</v>
      </c>
      <c r="D2120">
        <f>IFERROR(__xludf.DUMMYFUNCTION("""COMPUTED_VALUE"""),1973.0)</f>
        <v>1973</v>
      </c>
      <c r="E2120">
        <f>IFERROR(__xludf.DUMMYFUNCTION("""COMPUTED_VALUE"""),1.02584278E8)</f>
        <v>102584278</v>
      </c>
    </row>
    <row r="2121">
      <c r="A2121" t="str">
        <f t="shared" si="1"/>
        <v>bra#1974</v>
      </c>
      <c r="B2121" t="str">
        <f>IFERROR(__xludf.DUMMYFUNCTION("""COMPUTED_VALUE"""),"bra")</f>
        <v>bra</v>
      </c>
      <c r="C2121" t="str">
        <f>IFERROR(__xludf.DUMMYFUNCTION("""COMPUTED_VALUE"""),"Brazil")</f>
        <v>Brazil</v>
      </c>
      <c r="D2121">
        <f>IFERROR(__xludf.DUMMYFUNCTION("""COMPUTED_VALUE"""),1974.0)</f>
        <v>1974</v>
      </c>
      <c r="E2121">
        <f>IFERROR(__xludf.DUMMYFUNCTION("""COMPUTED_VALUE"""),1.05069367E8)</f>
        <v>105069367</v>
      </c>
    </row>
    <row r="2122">
      <c r="A2122" t="str">
        <f t="shared" si="1"/>
        <v>bra#1975</v>
      </c>
      <c r="B2122" t="str">
        <f>IFERROR(__xludf.DUMMYFUNCTION("""COMPUTED_VALUE"""),"bra")</f>
        <v>bra</v>
      </c>
      <c r="C2122" t="str">
        <f>IFERROR(__xludf.DUMMYFUNCTION("""COMPUTED_VALUE"""),"Brazil")</f>
        <v>Brazil</v>
      </c>
      <c r="D2122">
        <f>IFERROR(__xludf.DUMMYFUNCTION("""COMPUTED_VALUE"""),1975.0)</f>
        <v>1975</v>
      </c>
      <c r="E2122">
        <f>IFERROR(__xludf.DUMMYFUNCTION("""COMPUTED_VALUE"""),1.076121E8)</f>
        <v>107612100</v>
      </c>
    </row>
    <row r="2123">
      <c r="A2123" t="str">
        <f t="shared" si="1"/>
        <v>bra#1976</v>
      </c>
      <c r="B2123" t="str">
        <f>IFERROR(__xludf.DUMMYFUNCTION("""COMPUTED_VALUE"""),"bra")</f>
        <v>bra</v>
      </c>
      <c r="C2123" t="str">
        <f>IFERROR(__xludf.DUMMYFUNCTION("""COMPUTED_VALUE"""),"Brazil")</f>
        <v>Brazil</v>
      </c>
      <c r="D2123">
        <f>IFERROR(__xludf.DUMMYFUNCTION("""COMPUTED_VALUE"""),1976.0)</f>
        <v>1976</v>
      </c>
      <c r="E2123">
        <f>IFERROR(__xludf.DUMMYFUNCTION("""COMPUTED_VALUE"""),1.10213082E8)</f>
        <v>110213082</v>
      </c>
    </row>
    <row r="2124">
      <c r="A2124" t="str">
        <f t="shared" si="1"/>
        <v>bra#1977</v>
      </c>
      <c r="B2124" t="str">
        <f>IFERROR(__xludf.DUMMYFUNCTION("""COMPUTED_VALUE"""),"bra")</f>
        <v>bra</v>
      </c>
      <c r="C2124" t="str">
        <f>IFERROR(__xludf.DUMMYFUNCTION("""COMPUTED_VALUE"""),"Brazil")</f>
        <v>Brazil</v>
      </c>
      <c r="D2124">
        <f>IFERROR(__xludf.DUMMYFUNCTION("""COMPUTED_VALUE"""),1977.0)</f>
        <v>1977</v>
      </c>
      <c r="E2124">
        <f>IFERROR(__xludf.DUMMYFUNCTION("""COMPUTED_VALUE"""),1.12867867E8)</f>
        <v>112867867</v>
      </c>
    </row>
    <row r="2125">
      <c r="A2125" t="str">
        <f t="shared" si="1"/>
        <v>bra#1978</v>
      </c>
      <c r="B2125" t="str">
        <f>IFERROR(__xludf.DUMMYFUNCTION("""COMPUTED_VALUE"""),"bra")</f>
        <v>bra</v>
      </c>
      <c r="C2125" t="str">
        <f>IFERROR(__xludf.DUMMYFUNCTION("""COMPUTED_VALUE"""),"Brazil")</f>
        <v>Brazil</v>
      </c>
      <c r="D2125">
        <f>IFERROR(__xludf.DUMMYFUNCTION("""COMPUTED_VALUE"""),1978.0)</f>
        <v>1978</v>
      </c>
      <c r="E2125">
        <f>IFERROR(__xludf.DUMMYFUNCTION("""COMPUTED_VALUE"""),1.15577669E8)</f>
        <v>115577669</v>
      </c>
    </row>
    <row r="2126">
      <c r="A2126" t="str">
        <f t="shared" si="1"/>
        <v>bra#1979</v>
      </c>
      <c r="B2126" t="str">
        <f>IFERROR(__xludf.DUMMYFUNCTION("""COMPUTED_VALUE"""),"bra")</f>
        <v>bra</v>
      </c>
      <c r="C2126" t="str">
        <f>IFERROR(__xludf.DUMMYFUNCTION("""COMPUTED_VALUE"""),"Brazil")</f>
        <v>Brazil</v>
      </c>
      <c r="D2126">
        <f>IFERROR(__xludf.DUMMYFUNCTION("""COMPUTED_VALUE"""),1979.0)</f>
        <v>1979</v>
      </c>
      <c r="E2126">
        <f>IFERROR(__xludf.DUMMYFUNCTION("""COMPUTED_VALUE"""),1.18342626E8)</f>
        <v>118342626</v>
      </c>
    </row>
    <row r="2127">
      <c r="A2127" t="str">
        <f t="shared" si="1"/>
        <v>bra#1980</v>
      </c>
      <c r="B2127" t="str">
        <f>IFERROR(__xludf.DUMMYFUNCTION("""COMPUTED_VALUE"""),"bra")</f>
        <v>bra</v>
      </c>
      <c r="C2127" t="str">
        <f>IFERROR(__xludf.DUMMYFUNCTION("""COMPUTED_VALUE"""),"Brazil")</f>
        <v>Brazil</v>
      </c>
      <c r="D2127">
        <f>IFERROR(__xludf.DUMMYFUNCTION("""COMPUTED_VALUE"""),1980.0)</f>
        <v>1980</v>
      </c>
      <c r="E2127">
        <f>IFERROR(__xludf.DUMMYFUNCTION("""COMPUTED_VALUE"""),1.21159761E8)</f>
        <v>121159761</v>
      </c>
    </row>
    <row r="2128">
      <c r="A2128" t="str">
        <f t="shared" si="1"/>
        <v>bra#1981</v>
      </c>
      <c r="B2128" t="str">
        <f>IFERROR(__xludf.DUMMYFUNCTION("""COMPUTED_VALUE"""),"bra")</f>
        <v>bra</v>
      </c>
      <c r="C2128" t="str">
        <f>IFERROR(__xludf.DUMMYFUNCTION("""COMPUTED_VALUE"""),"Brazil")</f>
        <v>Brazil</v>
      </c>
      <c r="D2128">
        <f>IFERROR(__xludf.DUMMYFUNCTION("""COMPUTED_VALUE"""),1981.0)</f>
        <v>1981</v>
      </c>
      <c r="E2128">
        <f>IFERROR(__xludf.DUMMYFUNCTION("""COMPUTED_VALUE"""),1.24030908E8)</f>
        <v>124030908</v>
      </c>
    </row>
    <row r="2129">
      <c r="A2129" t="str">
        <f t="shared" si="1"/>
        <v>bra#1982</v>
      </c>
      <c r="B2129" t="str">
        <f>IFERROR(__xludf.DUMMYFUNCTION("""COMPUTED_VALUE"""),"bra")</f>
        <v>bra</v>
      </c>
      <c r="C2129" t="str">
        <f>IFERROR(__xludf.DUMMYFUNCTION("""COMPUTED_VALUE"""),"Brazil")</f>
        <v>Brazil</v>
      </c>
      <c r="D2129">
        <f>IFERROR(__xludf.DUMMYFUNCTION("""COMPUTED_VALUE"""),1982.0)</f>
        <v>1982</v>
      </c>
      <c r="E2129">
        <f>IFERROR(__xludf.DUMMYFUNCTION("""COMPUTED_VALUE"""),1.26947365E8)</f>
        <v>126947365</v>
      </c>
    </row>
    <row r="2130">
      <c r="A2130" t="str">
        <f t="shared" si="1"/>
        <v>bra#1983</v>
      </c>
      <c r="B2130" t="str">
        <f>IFERROR(__xludf.DUMMYFUNCTION("""COMPUTED_VALUE"""),"bra")</f>
        <v>bra</v>
      </c>
      <c r="C2130" t="str">
        <f>IFERROR(__xludf.DUMMYFUNCTION("""COMPUTED_VALUE"""),"Brazil")</f>
        <v>Brazil</v>
      </c>
      <c r="D2130">
        <f>IFERROR(__xludf.DUMMYFUNCTION("""COMPUTED_VALUE"""),1983.0)</f>
        <v>1983</v>
      </c>
      <c r="E2130">
        <f>IFERROR(__xludf.DUMMYFUNCTION("""COMPUTED_VALUE"""),1.29882321E8)</f>
        <v>129882321</v>
      </c>
    </row>
    <row r="2131">
      <c r="A2131" t="str">
        <f t="shared" si="1"/>
        <v>bra#1984</v>
      </c>
      <c r="B2131" t="str">
        <f>IFERROR(__xludf.DUMMYFUNCTION("""COMPUTED_VALUE"""),"bra")</f>
        <v>bra</v>
      </c>
      <c r="C2131" t="str">
        <f>IFERROR(__xludf.DUMMYFUNCTION("""COMPUTED_VALUE"""),"Brazil")</f>
        <v>Brazil</v>
      </c>
      <c r="D2131">
        <f>IFERROR(__xludf.DUMMYFUNCTION("""COMPUTED_VALUE"""),1984.0)</f>
        <v>1984</v>
      </c>
      <c r="E2131">
        <f>IFERROR(__xludf.DUMMYFUNCTION("""COMPUTED_VALUE"""),1.32800684E8)</f>
        <v>132800684</v>
      </c>
    </row>
    <row r="2132">
      <c r="A2132" t="str">
        <f t="shared" si="1"/>
        <v>bra#1985</v>
      </c>
      <c r="B2132" t="str">
        <f>IFERROR(__xludf.DUMMYFUNCTION("""COMPUTED_VALUE"""),"bra")</f>
        <v>bra</v>
      </c>
      <c r="C2132" t="str">
        <f>IFERROR(__xludf.DUMMYFUNCTION("""COMPUTED_VALUE"""),"Brazil")</f>
        <v>Brazil</v>
      </c>
      <c r="D2132">
        <f>IFERROR(__xludf.DUMMYFUNCTION("""COMPUTED_VALUE"""),1985.0)</f>
        <v>1985</v>
      </c>
      <c r="E2132">
        <f>IFERROR(__xludf.DUMMYFUNCTION("""COMPUTED_VALUE"""),1.35676281E8)</f>
        <v>135676281</v>
      </c>
    </row>
    <row r="2133">
      <c r="A2133" t="str">
        <f t="shared" si="1"/>
        <v>bra#1986</v>
      </c>
      <c r="B2133" t="str">
        <f>IFERROR(__xludf.DUMMYFUNCTION("""COMPUTED_VALUE"""),"bra")</f>
        <v>bra</v>
      </c>
      <c r="C2133" t="str">
        <f>IFERROR(__xludf.DUMMYFUNCTION("""COMPUTED_VALUE"""),"Brazil")</f>
        <v>Brazil</v>
      </c>
      <c r="D2133">
        <f>IFERROR(__xludf.DUMMYFUNCTION("""COMPUTED_VALUE"""),1986.0)</f>
        <v>1986</v>
      </c>
      <c r="E2133">
        <f>IFERROR(__xludf.DUMMYFUNCTION("""COMPUTED_VALUE"""),1.38499464E8)</f>
        <v>138499464</v>
      </c>
    </row>
    <row r="2134">
      <c r="A2134" t="str">
        <f t="shared" si="1"/>
        <v>bra#1987</v>
      </c>
      <c r="B2134" t="str">
        <f>IFERROR(__xludf.DUMMYFUNCTION("""COMPUTED_VALUE"""),"bra")</f>
        <v>bra</v>
      </c>
      <c r="C2134" t="str">
        <f>IFERROR(__xludf.DUMMYFUNCTION("""COMPUTED_VALUE"""),"Brazil")</f>
        <v>Brazil</v>
      </c>
      <c r="D2134">
        <f>IFERROR(__xludf.DUMMYFUNCTION("""COMPUTED_VALUE"""),1987.0)</f>
        <v>1987</v>
      </c>
      <c r="E2134">
        <f>IFERROR(__xludf.DUMMYFUNCTION("""COMPUTED_VALUE"""),1.41273488E8)</f>
        <v>141273488</v>
      </c>
    </row>
    <row r="2135">
      <c r="A2135" t="str">
        <f t="shared" si="1"/>
        <v>bra#1988</v>
      </c>
      <c r="B2135" t="str">
        <f>IFERROR(__xludf.DUMMYFUNCTION("""COMPUTED_VALUE"""),"bra")</f>
        <v>bra</v>
      </c>
      <c r="C2135" t="str">
        <f>IFERROR(__xludf.DUMMYFUNCTION("""COMPUTED_VALUE"""),"Brazil")</f>
        <v>Brazil</v>
      </c>
      <c r="D2135">
        <f>IFERROR(__xludf.DUMMYFUNCTION("""COMPUTED_VALUE"""),1988.0)</f>
        <v>1988</v>
      </c>
      <c r="E2135">
        <f>IFERROR(__xludf.DUMMYFUNCTION("""COMPUTED_VALUE"""),1.44001542E8)</f>
        <v>144001542</v>
      </c>
    </row>
    <row r="2136">
      <c r="A2136" t="str">
        <f t="shared" si="1"/>
        <v>bra#1989</v>
      </c>
      <c r="B2136" t="str">
        <f>IFERROR(__xludf.DUMMYFUNCTION("""COMPUTED_VALUE"""),"bra")</f>
        <v>bra</v>
      </c>
      <c r="C2136" t="str">
        <f>IFERROR(__xludf.DUMMYFUNCTION("""COMPUTED_VALUE"""),"Brazil")</f>
        <v>Brazil</v>
      </c>
      <c r="D2136">
        <f>IFERROR(__xludf.DUMMYFUNCTION("""COMPUTED_VALUE"""),1989.0)</f>
        <v>1989</v>
      </c>
      <c r="E2136">
        <f>IFERROR(__xludf.DUMMYFUNCTION("""COMPUTED_VALUE"""),1.46691981E8)</f>
        <v>146691981</v>
      </c>
    </row>
    <row r="2137">
      <c r="A2137" t="str">
        <f t="shared" si="1"/>
        <v>bra#1990</v>
      </c>
      <c r="B2137" t="str">
        <f>IFERROR(__xludf.DUMMYFUNCTION("""COMPUTED_VALUE"""),"bra")</f>
        <v>bra</v>
      </c>
      <c r="C2137" t="str">
        <f>IFERROR(__xludf.DUMMYFUNCTION("""COMPUTED_VALUE"""),"Brazil")</f>
        <v>Brazil</v>
      </c>
      <c r="D2137">
        <f>IFERROR(__xludf.DUMMYFUNCTION("""COMPUTED_VALUE"""),1990.0)</f>
        <v>1990</v>
      </c>
      <c r="E2137">
        <f>IFERROR(__xludf.DUMMYFUNCTION("""COMPUTED_VALUE"""),1.49352145E8)</f>
        <v>149352145</v>
      </c>
    </row>
    <row r="2138">
      <c r="A2138" t="str">
        <f t="shared" si="1"/>
        <v>bra#1991</v>
      </c>
      <c r="B2138" t="str">
        <f>IFERROR(__xludf.DUMMYFUNCTION("""COMPUTED_VALUE"""),"bra")</f>
        <v>bra</v>
      </c>
      <c r="C2138" t="str">
        <f>IFERROR(__xludf.DUMMYFUNCTION("""COMPUTED_VALUE"""),"Brazil")</f>
        <v>Brazil</v>
      </c>
      <c r="D2138">
        <f>IFERROR(__xludf.DUMMYFUNCTION("""COMPUTED_VALUE"""),1991.0)</f>
        <v>1991</v>
      </c>
      <c r="E2138">
        <f>IFERROR(__xludf.DUMMYFUNCTION("""COMPUTED_VALUE"""),1.51976577E8)</f>
        <v>151976577</v>
      </c>
    </row>
    <row r="2139">
      <c r="A2139" t="str">
        <f t="shared" si="1"/>
        <v>bra#1992</v>
      </c>
      <c r="B2139" t="str">
        <f>IFERROR(__xludf.DUMMYFUNCTION("""COMPUTED_VALUE"""),"bra")</f>
        <v>bra</v>
      </c>
      <c r="C2139" t="str">
        <f>IFERROR(__xludf.DUMMYFUNCTION("""COMPUTED_VALUE"""),"Brazil")</f>
        <v>Brazil</v>
      </c>
      <c r="D2139">
        <f>IFERROR(__xludf.DUMMYFUNCTION("""COMPUTED_VALUE"""),1992.0)</f>
        <v>1992</v>
      </c>
      <c r="E2139">
        <f>IFERROR(__xludf.DUMMYFUNCTION("""COMPUTED_VALUE"""),1.54564278E8)</f>
        <v>154564278</v>
      </c>
    </row>
    <row r="2140">
      <c r="A2140" t="str">
        <f t="shared" si="1"/>
        <v>bra#1993</v>
      </c>
      <c r="B2140" t="str">
        <f>IFERROR(__xludf.DUMMYFUNCTION("""COMPUTED_VALUE"""),"bra")</f>
        <v>bra</v>
      </c>
      <c r="C2140" t="str">
        <f>IFERROR(__xludf.DUMMYFUNCTION("""COMPUTED_VALUE"""),"Brazil")</f>
        <v>Brazil</v>
      </c>
      <c r="D2140">
        <f>IFERROR(__xludf.DUMMYFUNCTION("""COMPUTED_VALUE"""),1993.0)</f>
        <v>1993</v>
      </c>
      <c r="E2140">
        <f>IFERROR(__xludf.DUMMYFUNCTION("""COMPUTED_VALUE"""),1.57132682E8)</f>
        <v>157132682</v>
      </c>
    </row>
    <row r="2141">
      <c r="A2141" t="str">
        <f t="shared" si="1"/>
        <v>bra#1994</v>
      </c>
      <c r="B2141" t="str">
        <f>IFERROR(__xludf.DUMMYFUNCTION("""COMPUTED_VALUE"""),"bra")</f>
        <v>bra</v>
      </c>
      <c r="C2141" t="str">
        <f>IFERROR(__xludf.DUMMYFUNCTION("""COMPUTED_VALUE"""),"Brazil")</f>
        <v>Brazil</v>
      </c>
      <c r="D2141">
        <f>IFERROR(__xludf.DUMMYFUNCTION("""COMPUTED_VALUE"""),1994.0)</f>
        <v>1994</v>
      </c>
      <c r="E2141">
        <f>IFERROR(__xludf.DUMMYFUNCTION("""COMPUTED_VALUE"""),1.59705123E8)</f>
        <v>159705123</v>
      </c>
    </row>
    <row r="2142">
      <c r="A2142" t="str">
        <f t="shared" si="1"/>
        <v>bra#1995</v>
      </c>
      <c r="B2142" t="str">
        <f>IFERROR(__xludf.DUMMYFUNCTION("""COMPUTED_VALUE"""),"bra")</f>
        <v>bra</v>
      </c>
      <c r="C2142" t="str">
        <f>IFERROR(__xludf.DUMMYFUNCTION("""COMPUTED_VALUE"""),"Brazil")</f>
        <v>Brazil</v>
      </c>
      <c r="D2142">
        <f>IFERROR(__xludf.DUMMYFUNCTION("""COMPUTED_VALUE"""),1995.0)</f>
        <v>1995</v>
      </c>
      <c r="E2142">
        <f>IFERROR(__xludf.DUMMYFUNCTION("""COMPUTED_VALUE"""),1.62296612E8)</f>
        <v>162296612</v>
      </c>
    </row>
    <row r="2143">
      <c r="A2143" t="str">
        <f t="shared" si="1"/>
        <v>bra#1996</v>
      </c>
      <c r="B2143" t="str">
        <f>IFERROR(__xludf.DUMMYFUNCTION("""COMPUTED_VALUE"""),"bra")</f>
        <v>bra</v>
      </c>
      <c r="C2143" t="str">
        <f>IFERROR(__xludf.DUMMYFUNCTION("""COMPUTED_VALUE"""),"Brazil")</f>
        <v>Brazil</v>
      </c>
      <c r="D2143">
        <f>IFERROR(__xludf.DUMMYFUNCTION("""COMPUTED_VALUE"""),1996.0)</f>
        <v>1996</v>
      </c>
      <c r="E2143">
        <f>IFERROR(__xludf.DUMMYFUNCTION("""COMPUTED_VALUE"""),1.64913306E8)</f>
        <v>164913306</v>
      </c>
    </row>
    <row r="2144">
      <c r="A2144" t="str">
        <f t="shared" si="1"/>
        <v>bra#1997</v>
      </c>
      <c r="B2144" t="str">
        <f>IFERROR(__xludf.DUMMYFUNCTION("""COMPUTED_VALUE"""),"bra")</f>
        <v>bra</v>
      </c>
      <c r="C2144" t="str">
        <f>IFERROR(__xludf.DUMMYFUNCTION("""COMPUTED_VALUE"""),"Brazil")</f>
        <v>Brazil</v>
      </c>
      <c r="D2144">
        <f>IFERROR(__xludf.DUMMYFUNCTION("""COMPUTED_VALUE"""),1997.0)</f>
        <v>1997</v>
      </c>
      <c r="E2144">
        <f>IFERROR(__xludf.DUMMYFUNCTION("""COMPUTED_VALUE"""),1.67545164E8)</f>
        <v>167545164</v>
      </c>
    </row>
    <row r="2145">
      <c r="A2145" t="str">
        <f t="shared" si="1"/>
        <v>bra#1998</v>
      </c>
      <c r="B2145" t="str">
        <f>IFERROR(__xludf.DUMMYFUNCTION("""COMPUTED_VALUE"""),"bra")</f>
        <v>bra</v>
      </c>
      <c r="C2145" t="str">
        <f>IFERROR(__xludf.DUMMYFUNCTION("""COMPUTED_VALUE"""),"Brazil")</f>
        <v>Brazil</v>
      </c>
      <c r="D2145">
        <f>IFERROR(__xludf.DUMMYFUNCTION("""COMPUTED_VALUE"""),1998.0)</f>
        <v>1998</v>
      </c>
      <c r="E2145">
        <f>IFERROR(__xludf.DUMMYFUNCTION("""COMPUTED_VALUE"""),1.7017064E8)</f>
        <v>170170640</v>
      </c>
    </row>
    <row r="2146">
      <c r="A2146" t="str">
        <f t="shared" si="1"/>
        <v>bra#1999</v>
      </c>
      <c r="B2146" t="str">
        <f>IFERROR(__xludf.DUMMYFUNCTION("""COMPUTED_VALUE"""),"bra")</f>
        <v>bra</v>
      </c>
      <c r="C2146" t="str">
        <f>IFERROR(__xludf.DUMMYFUNCTION("""COMPUTED_VALUE"""),"Brazil")</f>
        <v>Brazil</v>
      </c>
      <c r="D2146">
        <f>IFERROR(__xludf.DUMMYFUNCTION("""COMPUTED_VALUE"""),1999.0)</f>
        <v>1999</v>
      </c>
      <c r="E2146">
        <f>IFERROR(__xludf.DUMMYFUNCTION("""COMPUTED_VALUE"""),1.72759243E8)</f>
        <v>172759243</v>
      </c>
    </row>
    <row r="2147">
      <c r="A2147" t="str">
        <f t="shared" si="1"/>
        <v>bra#2000</v>
      </c>
      <c r="B2147" t="str">
        <f>IFERROR(__xludf.DUMMYFUNCTION("""COMPUTED_VALUE"""),"bra")</f>
        <v>bra</v>
      </c>
      <c r="C2147" t="str">
        <f>IFERROR(__xludf.DUMMYFUNCTION("""COMPUTED_VALUE"""),"Brazil")</f>
        <v>Brazil</v>
      </c>
      <c r="D2147">
        <f>IFERROR(__xludf.DUMMYFUNCTION("""COMPUTED_VALUE"""),2000.0)</f>
        <v>2000</v>
      </c>
      <c r="E2147">
        <f>IFERROR(__xludf.DUMMYFUNCTION("""COMPUTED_VALUE"""),1.75287587E8)</f>
        <v>175287587</v>
      </c>
    </row>
    <row r="2148">
      <c r="A2148" t="str">
        <f t="shared" si="1"/>
        <v>bra#2001</v>
      </c>
      <c r="B2148" t="str">
        <f>IFERROR(__xludf.DUMMYFUNCTION("""COMPUTED_VALUE"""),"bra")</f>
        <v>bra</v>
      </c>
      <c r="C2148" t="str">
        <f>IFERROR(__xludf.DUMMYFUNCTION("""COMPUTED_VALUE"""),"Brazil")</f>
        <v>Brazil</v>
      </c>
      <c r="D2148">
        <f>IFERROR(__xludf.DUMMYFUNCTION("""COMPUTED_VALUE"""),2001.0)</f>
        <v>2001</v>
      </c>
      <c r="E2148">
        <f>IFERROR(__xludf.DUMMYFUNCTION("""COMPUTED_VALUE"""),1.7775067E8)</f>
        <v>177750670</v>
      </c>
    </row>
    <row r="2149">
      <c r="A2149" t="str">
        <f t="shared" si="1"/>
        <v>bra#2002</v>
      </c>
      <c r="B2149" t="str">
        <f>IFERROR(__xludf.DUMMYFUNCTION("""COMPUTED_VALUE"""),"bra")</f>
        <v>bra</v>
      </c>
      <c r="C2149" t="str">
        <f>IFERROR(__xludf.DUMMYFUNCTION("""COMPUTED_VALUE"""),"Brazil")</f>
        <v>Brazil</v>
      </c>
      <c r="D2149">
        <f>IFERROR(__xludf.DUMMYFUNCTION("""COMPUTED_VALUE"""),2002.0)</f>
        <v>2002</v>
      </c>
      <c r="E2149">
        <f>IFERROR(__xludf.DUMMYFUNCTION("""COMPUTED_VALUE"""),1.80151021E8)</f>
        <v>180151021</v>
      </c>
    </row>
    <row r="2150">
      <c r="A2150" t="str">
        <f t="shared" si="1"/>
        <v>bra#2003</v>
      </c>
      <c r="B2150" t="str">
        <f>IFERROR(__xludf.DUMMYFUNCTION("""COMPUTED_VALUE"""),"bra")</f>
        <v>bra</v>
      </c>
      <c r="C2150" t="str">
        <f>IFERROR(__xludf.DUMMYFUNCTION("""COMPUTED_VALUE"""),"Brazil")</f>
        <v>Brazil</v>
      </c>
      <c r="D2150">
        <f>IFERROR(__xludf.DUMMYFUNCTION("""COMPUTED_VALUE"""),2003.0)</f>
        <v>2003</v>
      </c>
      <c r="E2150">
        <f>IFERROR(__xludf.DUMMYFUNCTION("""COMPUTED_VALUE"""),1.82482149E8)</f>
        <v>182482149</v>
      </c>
    </row>
    <row r="2151">
      <c r="A2151" t="str">
        <f t="shared" si="1"/>
        <v>bra#2004</v>
      </c>
      <c r="B2151" t="str">
        <f>IFERROR(__xludf.DUMMYFUNCTION("""COMPUTED_VALUE"""),"bra")</f>
        <v>bra</v>
      </c>
      <c r="C2151" t="str">
        <f>IFERROR(__xludf.DUMMYFUNCTION("""COMPUTED_VALUE"""),"Brazil")</f>
        <v>Brazil</v>
      </c>
      <c r="D2151">
        <f>IFERROR(__xludf.DUMMYFUNCTION("""COMPUTED_VALUE"""),2004.0)</f>
        <v>2004</v>
      </c>
      <c r="E2151">
        <f>IFERROR(__xludf.DUMMYFUNCTION("""COMPUTED_VALUE"""),1.84738458E8)</f>
        <v>184738458</v>
      </c>
    </row>
    <row r="2152">
      <c r="A2152" t="str">
        <f t="shared" si="1"/>
        <v>bra#2005</v>
      </c>
      <c r="B2152" t="str">
        <f>IFERROR(__xludf.DUMMYFUNCTION("""COMPUTED_VALUE"""),"bra")</f>
        <v>bra</v>
      </c>
      <c r="C2152" t="str">
        <f>IFERROR(__xludf.DUMMYFUNCTION("""COMPUTED_VALUE"""),"Brazil")</f>
        <v>Brazil</v>
      </c>
      <c r="D2152">
        <f>IFERROR(__xludf.DUMMYFUNCTION("""COMPUTED_VALUE"""),2005.0)</f>
        <v>2005</v>
      </c>
      <c r="E2152">
        <f>IFERROR(__xludf.DUMMYFUNCTION("""COMPUTED_VALUE"""),1.86917361E8)</f>
        <v>186917361</v>
      </c>
    </row>
    <row r="2153">
      <c r="A2153" t="str">
        <f t="shared" si="1"/>
        <v>bra#2006</v>
      </c>
      <c r="B2153" t="str">
        <f>IFERROR(__xludf.DUMMYFUNCTION("""COMPUTED_VALUE"""),"bra")</f>
        <v>bra</v>
      </c>
      <c r="C2153" t="str">
        <f>IFERROR(__xludf.DUMMYFUNCTION("""COMPUTED_VALUE"""),"Brazil")</f>
        <v>Brazil</v>
      </c>
      <c r="D2153">
        <f>IFERROR(__xludf.DUMMYFUNCTION("""COMPUTED_VALUE"""),2006.0)</f>
        <v>2006</v>
      </c>
      <c r="E2153">
        <f>IFERROR(__xludf.DUMMYFUNCTION("""COMPUTED_VALUE"""),1.89012412E8)</f>
        <v>189012412</v>
      </c>
    </row>
    <row r="2154">
      <c r="A2154" t="str">
        <f t="shared" si="1"/>
        <v>bra#2007</v>
      </c>
      <c r="B2154" t="str">
        <f>IFERROR(__xludf.DUMMYFUNCTION("""COMPUTED_VALUE"""),"bra")</f>
        <v>bra</v>
      </c>
      <c r="C2154" t="str">
        <f>IFERROR(__xludf.DUMMYFUNCTION("""COMPUTED_VALUE"""),"Brazil")</f>
        <v>Brazil</v>
      </c>
      <c r="D2154">
        <f>IFERROR(__xludf.DUMMYFUNCTION("""COMPUTED_VALUE"""),2007.0)</f>
        <v>2007</v>
      </c>
      <c r="E2154">
        <f>IFERROR(__xludf.DUMMYFUNCTION("""COMPUTED_VALUE"""),1.91026637E8)</f>
        <v>191026637</v>
      </c>
    </row>
    <row r="2155">
      <c r="A2155" t="str">
        <f t="shared" si="1"/>
        <v>bra#2008</v>
      </c>
      <c r="B2155" t="str">
        <f>IFERROR(__xludf.DUMMYFUNCTION("""COMPUTED_VALUE"""),"bra")</f>
        <v>bra</v>
      </c>
      <c r="C2155" t="str">
        <f>IFERROR(__xludf.DUMMYFUNCTION("""COMPUTED_VALUE"""),"Brazil")</f>
        <v>Brazil</v>
      </c>
      <c r="D2155">
        <f>IFERROR(__xludf.DUMMYFUNCTION("""COMPUTED_VALUE"""),2008.0)</f>
        <v>2008</v>
      </c>
      <c r="E2155">
        <f>IFERROR(__xludf.DUMMYFUNCTION("""COMPUTED_VALUE"""),1.92979029E8)</f>
        <v>192979029</v>
      </c>
    </row>
    <row r="2156">
      <c r="A2156" t="str">
        <f t="shared" si="1"/>
        <v>bra#2009</v>
      </c>
      <c r="B2156" t="str">
        <f>IFERROR(__xludf.DUMMYFUNCTION("""COMPUTED_VALUE"""),"bra")</f>
        <v>bra</v>
      </c>
      <c r="C2156" t="str">
        <f>IFERROR(__xludf.DUMMYFUNCTION("""COMPUTED_VALUE"""),"Brazil")</f>
        <v>Brazil</v>
      </c>
      <c r="D2156">
        <f>IFERROR(__xludf.DUMMYFUNCTION("""COMPUTED_VALUE"""),2009.0)</f>
        <v>2009</v>
      </c>
      <c r="E2156">
        <f>IFERROR(__xludf.DUMMYFUNCTION("""COMPUTED_VALUE"""),1.94895996E8)</f>
        <v>194895996</v>
      </c>
    </row>
    <row r="2157">
      <c r="A2157" t="str">
        <f t="shared" si="1"/>
        <v>bra#2010</v>
      </c>
      <c r="B2157" t="str">
        <f>IFERROR(__xludf.DUMMYFUNCTION("""COMPUTED_VALUE"""),"bra")</f>
        <v>bra</v>
      </c>
      <c r="C2157" t="str">
        <f>IFERROR(__xludf.DUMMYFUNCTION("""COMPUTED_VALUE"""),"Brazil")</f>
        <v>Brazil</v>
      </c>
      <c r="D2157">
        <f>IFERROR(__xludf.DUMMYFUNCTION("""COMPUTED_VALUE"""),2010.0)</f>
        <v>2010</v>
      </c>
      <c r="E2157">
        <f>IFERROR(__xludf.DUMMYFUNCTION("""COMPUTED_VALUE"""),1.96796269E8)</f>
        <v>196796269</v>
      </c>
    </row>
    <row r="2158">
      <c r="A2158" t="str">
        <f t="shared" si="1"/>
        <v>bra#2011</v>
      </c>
      <c r="B2158" t="str">
        <f>IFERROR(__xludf.DUMMYFUNCTION("""COMPUTED_VALUE"""),"bra")</f>
        <v>bra</v>
      </c>
      <c r="C2158" t="str">
        <f>IFERROR(__xludf.DUMMYFUNCTION("""COMPUTED_VALUE"""),"Brazil")</f>
        <v>Brazil</v>
      </c>
      <c r="D2158">
        <f>IFERROR(__xludf.DUMMYFUNCTION("""COMPUTED_VALUE"""),2011.0)</f>
        <v>2011</v>
      </c>
      <c r="E2158">
        <f>IFERROR(__xludf.DUMMYFUNCTION("""COMPUTED_VALUE"""),1.98686688E8)</f>
        <v>198686688</v>
      </c>
    </row>
    <row r="2159">
      <c r="A2159" t="str">
        <f t="shared" si="1"/>
        <v>bra#2012</v>
      </c>
      <c r="B2159" t="str">
        <f>IFERROR(__xludf.DUMMYFUNCTION("""COMPUTED_VALUE"""),"bra")</f>
        <v>bra</v>
      </c>
      <c r="C2159" t="str">
        <f>IFERROR(__xludf.DUMMYFUNCTION("""COMPUTED_VALUE"""),"Brazil")</f>
        <v>Brazil</v>
      </c>
      <c r="D2159">
        <f>IFERROR(__xludf.DUMMYFUNCTION("""COMPUTED_VALUE"""),2012.0)</f>
        <v>2012</v>
      </c>
      <c r="E2159">
        <f>IFERROR(__xludf.DUMMYFUNCTION("""COMPUTED_VALUE"""),2.00560983E8)</f>
        <v>200560983</v>
      </c>
    </row>
    <row r="2160">
      <c r="A2160" t="str">
        <f t="shared" si="1"/>
        <v>bra#2013</v>
      </c>
      <c r="B2160" t="str">
        <f>IFERROR(__xludf.DUMMYFUNCTION("""COMPUTED_VALUE"""),"bra")</f>
        <v>bra</v>
      </c>
      <c r="C2160" t="str">
        <f>IFERROR(__xludf.DUMMYFUNCTION("""COMPUTED_VALUE"""),"Brazil")</f>
        <v>Brazil</v>
      </c>
      <c r="D2160">
        <f>IFERROR(__xludf.DUMMYFUNCTION("""COMPUTED_VALUE"""),2013.0)</f>
        <v>2013</v>
      </c>
      <c r="E2160">
        <f>IFERROR(__xludf.DUMMYFUNCTION("""COMPUTED_VALUE"""),2.02408632E8)</f>
        <v>202408632</v>
      </c>
    </row>
    <row r="2161">
      <c r="A2161" t="str">
        <f t="shared" si="1"/>
        <v>bra#2014</v>
      </c>
      <c r="B2161" t="str">
        <f>IFERROR(__xludf.DUMMYFUNCTION("""COMPUTED_VALUE"""),"bra")</f>
        <v>bra</v>
      </c>
      <c r="C2161" t="str">
        <f>IFERROR(__xludf.DUMMYFUNCTION("""COMPUTED_VALUE"""),"Brazil")</f>
        <v>Brazil</v>
      </c>
      <c r="D2161">
        <f>IFERROR(__xludf.DUMMYFUNCTION("""COMPUTED_VALUE"""),2014.0)</f>
        <v>2014</v>
      </c>
      <c r="E2161">
        <f>IFERROR(__xludf.DUMMYFUNCTION("""COMPUTED_VALUE"""),2.04213133E8)</f>
        <v>204213133</v>
      </c>
    </row>
    <row r="2162">
      <c r="A2162" t="str">
        <f t="shared" si="1"/>
        <v>bra#2015</v>
      </c>
      <c r="B2162" t="str">
        <f>IFERROR(__xludf.DUMMYFUNCTION("""COMPUTED_VALUE"""),"bra")</f>
        <v>bra</v>
      </c>
      <c r="C2162" t="str">
        <f>IFERROR(__xludf.DUMMYFUNCTION("""COMPUTED_VALUE"""),"Brazil")</f>
        <v>Brazil</v>
      </c>
      <c r="D2162">
        <f>IFERROR(__xludf.DUMMYFUNCTION("""COMPUTED_VALUE"""),2015.0)</f>
        <v>2015</v>
      </c>
      <c r="E2162">
        <f>IFERROR(__xludf.DUMMYFUNCTION("""COMPUTED_VALUE"""),2.05962108E8)</f>
        <v>205962108</v>
      </c>
    </row>
    <row r="2163">
      <c r="A2163" t="str">
        <f t="shared" si="1"/>
        <v>bra#2016</v>
      </c>
      <c r="B2163" t="str">
        <f>IFERROR(__xludf.DUMMYFUNCTION("""COMPUTED_VALUE"""),"bra")</f>
        <v>bra</v>
      </c>
      <c r="C2163" t="str">
        <f>IFERROR(__xludf.DUMMYFUNCTION("""COMPUTED_VALUE"""),"Brazil")</f>
        <v>Brazil</v>
      </c>
      <c r="D2163">
        <f>IFERROR(__xludf.DUMMYFUNCTION("""COMPUTED_VALUE"""),2016.0)</f>
        <v>2016</v>
      </c>
      <c r="E2163">
        <f>IFERROR(__xludf.DUMMYFUNCTION("""COMPUTED_VALUE"""),2.07652865E8)</f>
        <v>207652865</v>
      </c>
    </row>
    <row r="2164">
      <c r="A2164" t="str">
        <f t="shared" si="1"/>
        <v>bra#2017</v>
      </c>
      <c r="B2164" t="str">
        <f>IFERROR(__xludf.DUMMYFUNCTION("""COMPUTED_VALUE"""),"bra")</f>
        <v>bra</v>
      </c>
      <c r="C2164" t="str">
        <f>IFERROR(__xludf.DUMMYFUNCTION("""COMPUTED_VALUE"""),"Brazil")</f>
        <v>Brazil</v>
      </c>
      <c r="D2164">
        <f>IFERROR(__xludf.DUMMYFUNCTION("""COMPUTED_VALUE"""),2017.0)</f>
        <v>2017</v>
      </c>
      <c r="E2164">
        <f>IFERROR(__xludf.DUMMYFUNCTION("""COMPUTED_VALUE"""),2.09288278E8)</f>
        <v>209288278</v>
      </c>
    </row>
    <row r="2165">
      <c r="A2165" t="str">
        <f t="shared" si="1"/>
        <v>bra#2018</v>
      </c>
      <c r="B2165" t="str">
        <f>IFERROR(__xludf.DUMMYFUNCTION("""COMPUTED_VALUE"""),"bra")</f>
        <v>bra</v>
      </c>
      <c r="C2165" t="str">
        <f>IFERROR(__xludf.DUMMYFUNCTION("""COMPUTED_VALUE"""),"Brazil")</f>
        <v>Brazil</v>
      </c>
      <c r="D2165">
        <f>IFERROR(__xludf.DUMMYFUNCTION("""COMPUTED_VALUE"""),2018.0)</f>
        <v>2018</v>
      </c>
      <c r="E2165">
        <f>IFERROR(__xludf.DUMMYFUNCTION("""COMPUTED_VALUE"""),2.10867954E8)</f>
        <v>210867954</v>
      </c>
    </row>
    <row r="2166">
      <c r="A2166" t="str">
        <f t="shared" si="1"/>
        <v>bra#2019</v>
      </c>
      <c r="B2166" t="str">
        <f>IFERROR(__xludf.DUMMYFUNCTION("""COMPUTED_VALUE"""),"bra")</f>
        <v>bra</v>
      </c>
      <c r="C2166" t="str">
        <f>IFERROR(__xludf.DUMMYFUNCTION("""COMPUTED_VALUE"""),"Brazil")</f>
        <v>Brazil</v>
      </c>
      <c r="D2166">
        <f>IFERROR(__xludf.DUMMYFUNCTION("""COMPUTED_VALUE"""),2019.0)</f>
        <v>2019</v>
      </c>
      <c r="E2166">
        <f>IFERROR(__xludf.DUMMYFUNCTION("""COMPUTED_VALUE"""),2.12392717E8)</f>
        <v>212392717</v>
      </c>
    </row>
    <row r="2167">
      <c r="A2167" t="str">
        <f t="shared" si="1"/>
        <v>bra#2020</v>
      </c>
      <c r="B2167" t="str">
        <f>IFERROR(__xludf.DUMMYFUNCTION("""COMPUTED_VALUE"""),"bra")</f>
        <v>bra</v>
      </c>
      <c r="C2167" t="str">
        <f>IFERROR(__xludf.DUMMYFUNCTION("""COMPUTED_VALUE"""),"Brazil")</f>
        <v>Brazil</v>
      </c>
      <c r="D2167">
        <f>IFERROR(__xludf.DUMMYFUNCTION("""COMPUTED_VALUE"""),2020.0)</f>
        <v>2020</v>
      </c>
      <c r="E2167">
        <f>IFERROR(__xludf.DUMMYFUNCTION("""COMPUTED_VALUE"""),2.13863046E8)</f>
        <v>213863046</v>
      </c>
    </row>
    <row r="2168">
      <c r="A2168" t="str">
        <f t="shared" si="1"/>
        <v>bra#2021</v>
      </c>
      <c r="B2168" t="str">
        <f>IFERROR(__xludf.DUMMYFUNCTION("""COMPUTED_VALUE"""),"bra")</f>
        <v>bra</v>
      </c>
      <c r="C2168" t="str">
        <f>IFERROR(__xludf.DUMMYFUNCTION("""COMPUTED_VALUE"""),"Brazil")</f>
        <v>Brazil</v>
      </c>
      <c r="D2168">
        <f>IFERROR(__xludf.DUMMYFUNCTION("""COMPUTED_VALUE"""),2021.0)</f>
        <v>2021</v>
      </c>
      <c r="E2168">
        <f>IFERROR(__xludf.DUMMYFUNCTION("""COMPUTED_VALUE"""),2.152779E8)</f>
        <v>215277900</v>
      </c>
    </row>
    <row r="2169">
      <c r="A2169" t="str">
        <f t="shared" si="1"/>
        <v>bra#2022</v>
      </c>
      <c r="B2169" t="str">
        <f>IFERROR(__xludf.DUMMYFUNCTION("""COMPUTED_VALUE"""),"bra")</f>
        <v>bra</v>
      </c>
      <c r="C2169" t="str">
        <f>IFERROR(__xludf.DUMMYFUNCTION("""COMPUTED_VALUE"""),"Brazil")</f>
        <v>Brazil</v>
      </c>
      <c r="D2169">
        <f>IFERROR(__xludf.DUMMYFUNCTION("""COMPUTED_VALUE"""),2022.0)</f>
        <v>2022</v>
      </c>
      <c r="E2169">
        <f>IFERROR(__xludf.DUMMYFUNCTION("""COMPUTED_VALUE"""),2.16635951E8)</f>
        <v>216635951</v>
      </c>
    </row>
    <row r="2170">
      <c r="A2170" t="str">
        <f t="shared" si="1"/>
        <v>bra#2023</v>
      </c>
      <c r="B2170" t="str">
        <f>IFERROR(__xludf.DUMMYFUNCTION("""COMPUTED_VALUE"""),"bra")</f>
        <v>bra</v>
      </c>
      <c r="C2170" t="str">
        <f>IFERROR(__xludf.DUMMYFUNCTION("""COMPUTED_VALUE"""),"Brazil")</f>
        <v>Brazil</v>
      </c>
      <c r="D2170">
        <f>IFERROR(__xludf.DUMMYFUNCTION("""COMPUTED_VALUE"""),2023.0)</f>
        <v>2023</v>
      </c>
      <c r="E2170">
        <f>IFERROR(__xludf.DUMMYFUNCTION("""COMPUTED_VALUE"""),2.1793721E8)</f>
        <v>217937210</v>
      </c>
    </row>
    <row r="2171">
      <c r="A2171" t="str">
        <f t="shared" si="1"/>
        <v>bra#2024</v>
      </c>
      <c r="B2171" t="str">
        <f>IFERROR(__xludf.DUMMYFUNCTION("""COMPUTED_VALUE"""),"bra")</f>
        <v>bra</v>
      </c>
      <c r="C2171" t="str">
        <f>IFERROR(__xludf.DUMMYFUNCTION("""COMPUTED_VALUE"""),"Brazil")</f>
        <v>Brazil</v>
      </c>
      <c r="D2171">
        <f>IFERROR(__xludf.DUMMYFUNCTION("""COMPUTED_VALUE"""),2024.0)</f>
        <v>2024</v>
      </c>
      <c r="E2171">
        <f>IFERROR(__xludf.DUMMYFUNCTION("""COMPUTED_VALUE"""),2.19181979E8)</f>
        <v>219181979</v>
      </c>
    </row>
    <row r="2172">
      <c r="A2172" t="str">
        <f t="shared" si="1"/>
        <v>bra#2025</v>
      </c>
      <c r="B2172" t="str">
        <f>IFERROR(__xludf.DUMMYFUNCTION("""COMPUTED_VALUE"""),"bra")</f>
        <v>bra</v>
      </c>
      <c r="C2172" t="str">
        <f>IFERROR(__xludf.DUMMYFUNCTION("""COMPUTED_VALUE"""),"Brazil")</f>
        <v>Brazil</v>
      </c>
      <c r="D2172">
        <f>IFERROR(__xludf.DUMMYFUNCTION("""COMPUTED_VALUE"""),2025.0)</f>
        <v>2025</v>
      </c>
      <c r="E2172">
        <f>IFERROR(__xludf.DUMMYFUNCTION("""COMPUTED_VALUE"""),2.20370552E8)</f>
        <v>220370552</v>
      </c>
    </row>
    <row r="2173">
      <c r="A2173" t="str">
        <f t="shared" si="1"/>
        <v>bra#2026</v>
      </c>
      <c r="B2173" t="str">
        <f>IFERROR(__xludf.DUMMYFUNCTION("""COMPUTED_VALUE"""),"bra")</f>
        <v>bra</v>
      </c>
      <c r="C2173" t="str">
        <f>IFERROR(__xludf.DUMMYFUNCTION("""COMPUTED_VALUE"""),"Brazil")</f>
        <v>Brazil</v>
      </c>
      <c r="D2173">
        <f>IFERROR(__xludf.DUMMYFUNCTION("""COMPUTED_VALUE"""),2026.0)</f>
        <v>2026</v>
      </c>
      <c r="E2173">
        <f>IFERROR(__xludf.DUMMYFUNCTION("""COMPUTED_VALUE"""),2.21502809E8)</f>
        <v>221502809</v>
      </c>
    </row>
    <row r="2174">
      <c r="A2174" t="str">
        <f t="shared" si="1"/>
        <v>bra#2027</v>
      </c>
      <c r="B2174" t="str">
        <f>IFERROR(__xludf.DUMMYFUNCTION("""COMPUTED_VALUE"""),"bra")</f>
        <v>bra</v>
      </c>
      <c r="C2174" t="str">
        <f>IFERROR(__xludf.DUMMYFUNCTION("""COMPUTED_VALUE"""),"Brazil")</f>
        <v>Brazil</v>
      </c>
      <c r="D2174">
        <f>IFERROR(__xludf.DUMMYFUNCTION("""COMPUTED_VALUE"""),2027.0)</f>
        <v>2027</v>
      </c>
      <c r="E2174">
        <f>IFERROR(__xludf.DUMMYFUNCTION("""COMPUTED_VALUE"""),2.22578675E8)</f>
        <v>222578675</v>
      </c>
    </row>
    <row r="2175">
      <c r="A2175" t="str">
        <f t="shared" si="1"/>
        <v>bra#2028</v>
      </c>
      <c r="B2175" t="str">
        <f>IFERROR(__xludf.DUMMYFUNCTION("""COMPUTED_VALUE"""),"bra")</f>
        <v>bra</v>
      </c>
      <c r="C2175" t="str">
        <f>IFERROR(__xludf.DUMMYFUNCTION("""COMPUTED_VALUE"""),"Brazil")</f>
        <v>Brazil</v>
      </c>
      <c r="D2175">
        <f>IFERROR(__xludf.DUMMYFUNCTION("""COMPUTED_VALUE"""),2028.0)</f>
        <v>2028</v>
      </c>
      <c r="E2175">
        <f>IFERROR(__xludf.DUMMYFUNCTION("""COMPUTED_VALUE"""),2.2359852E8)</f>
        <v>223598520</v>
      </c>
    </row>
    <row r="2176">
      <c r="A2176" t="str">
        <f t="shared" si="1"/>
        <v>bra#2029</v>
      </c>
      <c r="B2176" t="str">
        <f>IFERROR(__xludf.DUMMYFUNCTION("""COMPUTED_VALUE"""),"bra")</f>
        <v>bra</v>
      </c>
      <c r="C2176" t="str">
        <f>IFERROR(__xludf.DUMMYFUNCTION("""COMPUTED_VALUE"""),"Brazil")</f>
        <v>Brazil</v>
      </c>
      <c r="D2176">
        <f>IFERROR(__xludf.DUMMYFUNCTION("""COMPUTED_VALUE"""),2029.0)</f>
        <v>2029</v>
      </c>
      <c r="E2176">
        <f>IFERROR(__xludf.DUMMYFUNCTION("""COMPUTED_VALUE"""),2.24562876E8)</f>
        <v>224562876</v>
      </c>
    </row>
    <row r="2177">
      <c r="A2177" t="str">
        <f t="shared" si="1"/>
        <v>bra#2030</v>
      </c>
      <c r="B2177" t="str">
        <f>IFERROR(__xludf.DUMMYFUNCTION("""COMPUTED_VALUE"""),"bra")</f>
        <v>bra</v>
      </c>
      <c r="C2177" t="str">
        <f>IFERROR(__xludf.DUMMYFUNCTION("""COMPUTED_VALUE"""),"Brazil")</f>
        <v>Brazil</v>
      </c>
      <c r="D2177">
        <f>IFERROR(__xludf.DUMMYFUNCTION("""COMPUTED_VALUE"""),2030.0)</f>
        <v>2030</v>
      </c>
      <c r="E2177">
        <f>IFERROR(__xludf.DUMMYFUNCTION("""COMPUTED_VALUE"""),2.25472214E8)</f>
        <v>225472214</v>
      </c>
    </row>
    <row r="2178">
      <c r="A2178" t="str">
        <f t="shared" si="1"/>
        <v>bra#2031</v>
      </c>
      <c r="B2178" t="str">
        <f>IFERROR(__xludf.DUMMYFUNCTION("""COMPUTED_VALUE"""),"bra")</f>
        <v>bra</v>
      </c>
      <c r="C2178" t="str">
        <f>IFERROR(__xludf.DUMMYFUNCTION("""COMPUTED_VALUE"""),"Brazil")</f>
        <v>Brazil</v>
      </c>
      <c r="D2178">
        <f>IFERROR(__xludf.DUMMYFUNCTION("""COMPUTED_VALUE"""),2031.0)</f>
        <v>2031</v>
      </c>
      <c r="E2178">
        <f>IFERROR(__xludf.DUMMYFUNCTION("""COMPUTED_VALUE"""),2.26326815E8)</f>
        <v>226326815</v>
      </c>
    </row>
    <row r="2179">
      <c r="A2179" t="str">
        <f t="shared" si="1"/>
        <v>bra#2032</v>
      </c>
      <c r="B2179" t="str">
        <f>IFERROR(__xludf.DUMMYFUNCTION("""COMPUTED_VALUE"""),"bra")</f>
        <v>bra</v>
      </c>
      <c r="C2179" t="str">
        <f>IFERROR(__xludf.DUMMYFUNCTION("""COMPUTED_VALUE"""),"Brazil")</f>
        <v>Brazil</v>
      </c>
      <c r="D2179">
        <f>IFERROR(__xludf.DUMMYFUNCTION("""COMPUTED_VALUE"""),2032.0)</f>
        <v>2032</v>
      </c>
      <c r="E2179">
        <f>IFERROR(__xludf.DUMMYFUNCTION("""COMPUTED_VALUE"""),2.27126881E8)</f>
        <v>227126881</v>
      </c>
    </row>
    <row r="2180">
      <c r="A2180" t="str">
        <f t="shared" si="1"/>
        <v>bra#2033</v>
      </c>
      <c r="B2180" t="str">
        <f>IFERROR(__xludf.DUMMYFUNCTION("""COMPUTED_VALUE"""),"bra")</f>
        <v>bra</v>
      </c>
      <c r="C2180" t="str">
        <f>IFERROR(__xludf.DUMMYFUNCTION("""COMPUTED_VALUE"""),"Brazil")</f>
        <v>Brazil</v>
      </c>
      <c r="D2180">
        <f>IFERROR(__xludf.DUMMYFUNCTION("""COMPUTED_VALUE"""),2033.0)</f>
        <v>2033</v>
      </c>
      <c r="E2180">
        <f>IFERROR(__xludf.DUMMYFUNCTION("""COMPUTED_VALUE"""),2.27872682E8)</f>
        <v>227872682</v>
      </c>
    </row>
    <row r="2181">
      <c r="A2181" t="str">
        <f t="shared" si="1"/>
        <v>bra#2034</v>
      </c>
      <c r="B2181" t="str">
        <f>IFERROR(__xludf.DUMMYFUNCTION("""COMPUTED_VALUE"""),"bra")</f>
        <v>bra</v>
      </c>
      <c r="C2181" t="str">
        <f>IFERROR(__xludf.DUMMYFUNCTION("""COMPUTED_VALUE"""),"Brazil")</f>
        <v>Brazil</v>
      </c>
      <c r="D2181">
        <f>IFERROR(__xludf.DUMMYFUNCTION("""COMPUTED_VALUE"""),2034.0)</f>
        <v>2034</v>
      </c>
      <c r="E2181">
        <f>IFERROR(__xludf.DUMMYFUNCTION("""COMPUTED_VALUE"""),2.28564481E8)</f>
        <v>228564481</v>
      </c>
    </row>
    <row r="2182">
      <c r="A2182" t="str">
        <f t="shared" si="1"/>
        <v>bra#2035</v>
      </c>
      <c r="B2182" t="str">
        <f>IFERROR(__xludf.DUMMYFUNCTION("""COMPUTED_VALUE"""),"bra")</f>
        <v>bra</v>
      </c>
      <c r="C2182" t="str">
        <f>IFERROR(__xludf.DUMMYFUNCTION("""COMPUTED_VALUE"""),"Brazil")</f>
        <v>Brazil</v>
      </c>
      <c r="D2182">
        <f>IFERROR(__xludf.DUMMYFUNCTION("""COMPUTED_VALUE"""),2035.0)</f>
        <v>2035</v>
      </c>
      <c r="E2182">
        <f>IFERROR(__xludf.DUMMYFUNCTION("""COMPUTED_VALUE"""),2.29202582E8)</f>
        <v>229202582</v>
      </c>
    </row>
    <row r="2183">
      <c r="A2183" t="str">
        <f t="shared" si="1"/>
        <v>bra#2036</v>
      </c>
      <c r="B2183" t="str">
        <f>IFERROR(__xludf.DUMMYFUNCTION("""COMPUTED_VALUE"""),"bra")</f>
        <v>bra</v>
      </c>
      <c r="C2183" t="str">
        <f>IFERROR(__xludf.DUMMYFUNCTION("""COMPUTED_VALUE"""),"Brazil")</f>
        <v>Brazil</v>
      </c>
      <c r="D2183">
        <f>IFERROR(__xludf.DUMMYFUNCTION("""COMPUTED_VALUE"""),2036.0)</f>
        <v>2036</v>
      </c>
      <c r="E2183">
        <f>IFERROR(__xludf.DUMMYFUNCTION("""COMPUTED_VALUE"""),2.29787484E8)</f>
        <v>229787484</v>
      </c>
    </row>
    <row r="2184">
      <c r="A2184" t="str">
        <f t="shared" si="1"/>
        <v>bra#2037</v>
      </c>
      <c r="B2184" t="str">
        <f>IFERROR(__xludf.DUMMYFUNCTION("""COMPUTED_VALUE"""),"bra")</f>
        <v>bra</v>
      </c>
      <c r="C2184" t="str">
        <f>IFERROR(__xludf.DUMMYFUNCTION("""COMPUTED_VALUE"""),"Brazil")</f>
        <v>Brazil</v>
      </c>
      <c r="D2184">
        <f>IFERROR(__xludf.DUMMYFUNCTION("""COMPUTED_VALUE"""),2037.0)</f>
        <v>2037</v>
      </c>
      <c r="E2184">
        <f>IFERROR(__xludf.DUMMYFUNCTION("""COMPUTED_VALUE"""),2.30319644E8)</f>
        <v>230319644</v>
      </c>
    </row>
    <row r="2185">
      <c r="A2185" t="str">
        <f t="shared" si="1"/>
        <v>bra#2038</v>
      </c>
      <c r="B2185" t="str">
        <f>IFERROR(__xludf.DUMMYFUNCTION("""COMPUTED_VALUE"""),"bra")</f>
        <v>bra</v>
      </c>
      <c r="C2185" t="str">
        <f>IFERROR(__xludf.DUMMYFUNCTION("""COMPUTED_VALUE"""),"Brazil")</f>
        <v>Brazil</v>
      </c>
      <c r="D2185">
        <f>IFERROR(__xludf.DUMMYFUNCTION("""COMPUTED_VALUE"""),2038.0)</f>
        <v>2038</v>
      </c>
      <c r="E2185">
        <f>IFERROR(__xludf.DUMMYFUNCTION("""COMPUTED_VALUE"""),2.30799257E8)</f>
        <v>230799257</v>
      </c>
    </row>
    <row r="2186">
      <c r="A2186" t="str">
        <f t="shared" si="1"/>
        <v>bra#2039</v>
      </c>
      <c r="B2186" t="str">
        <f>IFERROR(__xludf.DUMMYFUNCTION("""COMPUTED_VALUE"""),"bra")</f>
        <v>bra</v>
      </c>
      <c r="C2186" t="str">
        <f>IFERROR(__xludf.DUMMYFUNCTION("""COMPUTED_VALUE"""),"Brazil")</f>
        <v>Brazil</v>
      </c>
      <c r="D2186">
        <f>IFERROR(__xludf.DUMMYFUNCTION("""COMPUTED_VALUE"""),2039.0)</f>
        <v>2039</v>
      </c>
      <c r="E2186">
        <f>IFERROR(__xludf.DUMMYFUNCTION("""COMPUTED_VALUE"""),2.3122648E8)</f>
        <v>231226480</v>
      </c>
    </row>
    <row r="2187">
      <c r="A2187" t="str">
        <f t="shared" si="1"/>
        <v>bra#2040</v>
      </c>
      <c r="B2187" t="str">
        <f>IFERROR(__xludf.DUMMYFUNCTION("""COMPUTED_VALUE"""),"bra")</f>
        <v>bra</v>
      </c>
      <c r="C2187" t="str">
        <f>IFERROR(__xludf.DUMMYFUNCTION("""COMPUTED_VALUE"""),"Brazil")</f>
        <v>Brazil</v>
      </c>
      <c r="D2187">
        <f>IFERROR(__xludf.DUMMYFUNCTION("""COMPUTED_VALUE"""),2040.0)</f>
        <v>2040</v>
      </c>
      <c r="E2187">
        <f>IFERROR(__xludf.DUMMYFUNCTION("""COMPUTED_VALUE"""),2.31601656E8)</f>
        <v>231601656</v>
      </c>
    </row>
    <row r="2188">
      <c r="A2188" t="str">
        <f t="shared" si="1"/>
        <v>brn#1950</v>
      </c>
      <c r="B2188" t="str">
        <f>IFERROR(__xludf.DUMMYFUNCTION("""COMPUTED_VALUE"""),"brn")</f>
        <v>brn</v>
      </c>
      <c r="C2188" t="str">
        <f>IFERROR(__xludf.DUMMYFUNCTION("""COMPUTED_VALUE"""),"Brunei")</f>
        <v>Brunei</v>
      </c>
      <c r="D2188">
        <f>IFERROR(__xludf.DUMMYFUNCTION("""COMPUTED_VALUE"""),1950.0)</f>
        <v>1950</v>
      </c>
      <c r="E2188">
        <f>IFERROR(__xludf.DUMMYFUNCTION("""COMPUTED_VALUE"""),48001.0)</f>
        <v>48001</v>
      </c>
    </row>
    <row r="2189">
      <c r="A2189" t="str">
        <f t="shared" si="1"/>
        <v>brn#1951</v>
      </c>
      <c r="B2189" t="str">
        <f>IFERROR(__xludf.DUMMYFUNCTION("""COMPUTED_VALUE"""),"brn")</f>
        <v>brn</v>
      </c>
      <c r="C2189" t="str">
        <f>IFERROR(__xludf.DUMMYFUNCTION("""COMPUTED_VALUE"""),"Brunei")</f>
        <v>Brunei</v>
      </c>
      <c r="D2189">
        <f>IFERROR(__xludf.DUMMYFUNCTION("""COMPUTED_VALUE"""),1951.0)</f>
        <v>1951</v>
      </c>
      <c r="E2189">
        <f>IFERROR(__xludf.DUMMYFUNCTION("""COMPUTED_VALUE"""),50961.0)</f>
        <v>50961</v>
      </c>
    </row>
    <row r="2190">
      <c r="A2190" t="str">
        <f t="shared" si="1"/>
        <v>brn#1952</v>
      </c>
      <c r="B2190" t="str">
        <f>IFERROR(__xludf.DUMMYFUNCTION("""COMPUTED_VALUE"""),"brn")</f>
        <v>brn</v>
      </c>
      <c r="C2190" t="str">
        <f>IFERROR(__xludf.DUMMYFUNCTION("""COMPUTED_VALUE"""),"Brunei")</f>
        <v>Brunei</v>
      </c>
      <c r="D2190">
        <f>IFERROR(__xludf.DUMMYFUNCTION("""COMPUTED_VALUE"""),1952.0)</f>
        <v>1952</v>
      </c>
      <c r="E2190">
        <f>IFERROR(__xludf.DUMMYFUNCTION("""COMPUTED_VALUE"""),53927.0)</f>
        <v>53927</v>
      </c>
    </row>
    <row r="2191">
      <c r="A2191" t="str">
        <f t="shared" si="1"/>
        <v>brn#1953</v>
      </c>
      <c r="B2191" t="str">
        <f>IFERROR(__xludf.DUMMYFUNCTION("""COMPUTED_VALUE"""),"brn")</f>
        <v>brn</v>
      </c>
      <c r="C2191" t="str">
        <f>IFERROR(__xludf.DUMMYFUNCTION("""COMPUTED_VALUE"""),"Brunei")</f>
        <v>Brunei</v>
      </c>
      <c r="D2191">
        <f>IFERROR(__xludf.DUMMYFUNCTION("""COMPUTED_VALUE"""),1953.0)</f>
        <v>1953</v>
      </c>
      <c r="E2191">
        <f>IFERROR(__xludf.DUMMYFUNCTION("""COMPUTED_VALUE"""),56968.0)</f>
        <v>56968</v>
      </c>
    </row>
    <row r="2192">
      <c r="A2192" t="str">
        <f t="shared" si="1"/>
        <v>brn#1954</v>
      </c>
      <c r="B2192" t="str">
        <f>IFERROR(__xludf.DUMMYFUNCTION("""COMPUTED_VALUE"""),"brn")</f>
        <v>brn</v>
      </c>
      <c r="C2192" t="str">
        <f>IFERROR(__xludf.DUMMYFUNCTION("""COMPUTED_VALUE"""),"Brunei")</f>
        <v>Brunei</v>
      </c>
      <c r="D2192">
        <f>IFERROR(__xludf.DUMMYFUNCTION("""COMPUTED_VALUE"""),1954.0)</f>
        <v>1954</v>
      </c>
      <c r="E2192">
        <f>IFERROR(__xludf.DUMMYFUNCTION("""COMPUTED_VALUE"""),60120.0)</f>
        <v>60120</v>
      </c>
    </row>
    <row r="2193">
      <c r="A2193" t="str">
        <f t="shared" si="1"/>
        <v>brn#1955</v>
      </c>
      <c r="B2193" t="str">
        <f>IFERROR(__xludf.DUMMYFUNCTION("""COMPUTED_VALUE"""),"brn")</f>
        <v>brn</v>
      </c>
      <c r="C2193" t="str">
        <f>IFERROR(__xludf.DUMMYFUNCTION("""COMPUTED_VALUE"""),"Brunei")</f>
        <v>Brunei</v>
      </c>
      <c r="D2193">
        <f>IFERROR(__xludf.DUMMYFUNCTION("""COMPUTED_VALUE"""),1955.0)</f>
        <v>1955</v>
      </c>
      <c r="E2193">
        <f>IFERROR(__xludf.DUMMYFUNCTION("""COMPUTED_VALUE"""),63420.0)</f>
        <v>63420</v>
      </c>
    </row>
    <row r="2194">
      <c r="A2194" t="str">
        <f t="shared" si="1"/>
        <v>brn#1956</v>
      </c>
      <c r="B2194" t="str">
        <f>IFERROR(__xludf.DUMMYFUNCTION("""COMPUTED_VALUE"""),"brn")</f>
        <v>brn</v>
      </c>
      <c r="C2194" t="str">
        <f>IFERROR(__xludf.DUMMYFUNCTION("""COMPUTED_VALUE"""),"Brunei")</f>
        <v>Brunei</v>
      </c>
      <c r="D2194">
        <f>IFERROR(__xludf.DUMMYFUNCTION("""COMPUTED_VALUE"""),1956.0)</f>
        <v>1956</v>
      </c>
      <c r="E2194">
        <f>IFERROR(__xludf.DUMMYFUNCTION("""COMPUTED_VALUE"""),66862.0)</f>
        <v>66862</v>
      </c>
    </row>
    <row r="2195">
      <c r="A2195" t="str">
        <f t="shared" si="1"/>
        <v>brn#1957</v>
      </c>
      <c r="B2195" t="str">
        <f>IFERROR(__xludf.DUMMYFUNCTION("""COMPUTED_VALUE"""),"brn")</f>
        <v>brn</v>
      </c>
      <c r="C2195" t="str">
        <f>IFERROR(__xludf.DUMMYFUNCTION("""COMPUTED_VALUE"""),"Brunei")</f>
        <v>Brunei</v>
      </c>
      <c r="D2195">
        <f>IFERROR(__xludf.DUMMYFUNCTION("""COMPUTED_VALUE"""),1957.0)</f>
        <v>1957</v>
      </c>
      <c r="E2195">
        <f>IFERROR(__xludf.DUMMYFUNCTION("""COMPUTED_VALUE"""),70457.0)</f>
        <v>70457</v>
      </c>
    </row>
    <row r="2196">
      <c r="A2196" t="str">
        <f t="shared" si="1"/>
        <v>brn#1958</v>
      </c>
      <c r="B2196" t="str">
        <f>IFERROR(__xludf.DUMMYFUNCTION("""COMPUTED_VALUE"""),"brn")</f>
        <v>brn</v>
      </c>
      <c r="C2196" t="str">
        <f>IFERROR(__xludf.DUMMYFUNCTION("""COMPUTED_VALUE"""),"Brunei")</f>
        <v>Brunei</v>
      </c>
      <c r="D2196">
        <f>IFERROR(__xludf.DUMMYFUNCTION("""COMPUTED_VALUE"""),1958.0)</f>
        <v>1958</v>
      </c>
      <c r="E2196">
        <f>IFERROR(__xludf.DUMMYFUNCTION("""COMPUTED_VALUE"""),74150.0)</f>
        <v>74150</v>
      </c>
    </row>
    <row r="2197">
      <c r="A2197" t="str">
        <f t="shared" si="1"/>
        <v>brn#1959</v>
      </c>
      <c r="B2197" t="str">
        <f>IFERROR(__xludf.DUMMYFUNCTION("""COMPUTED_VALUE"""),"brn")</f>
        <v>brn</v>
      </c>
      <c r="C2197" t="str">
        <f>IFERROR(__xludf.DUMMYFUNCTION("""COMPUTED_VALUE"""),"Brunei")</f>
        <v>Brunei</v>
      </c>
      <c r="D2197">
        <f>IFERROR(__xludf.DUMMYFUNCTION("""COMPUTED_VALUE"""),1959.0)</f>
        <v>1959</v>
      </c>
      <c r="E2197">
        <f>IFERROR(__xludf.DUMMYFUNCTION("""COMPUTED_VALUE"""),77919.0)</f>
        <v>77919</v>
      </c>
    </row>
    <row r="2198">
      <c r="A2198" t="str">
        <f t="shared" si="1"/>
        <v>brn#1960</v>
      </c>
      <c r="B2198" t="str">
        <f>IFERROR(__xludf.DUMMYFUNCTION("""COMPUTED_VALUE"""),"brn")</f>
        <v>brn</v>
      </c>
      <c r="C2198" t="str">
        <f>IFERROR(__xludf.DUMMYFUNCTION("""COMPUTED_VALUE"""),"Brunei")</f>
        <v>Brunei</v>
      </c>
      <c r="D2198">
        <f>IFERROR(__xludf.DUMMYFUNCTION("""COMPUTED_VALUE"""),1960.0)</f>
        <v>1960</v>
      </c>
      <c r="E2198">
        <f>IFERROR(__xludf.DUMMYFUNCTION("""COMPUTED_VALUE"""),81745.0)</f>
        <v>81745</v>
      </c>
    </row>
    <row r="2199">
      <c r="A2199" t="str">
        <f t="shared" si="1"/>
        <v>brn#1961</v>
      </c>
      <c r="B2199" t="str">
        <f>IFERROR(__xludf.DUMMYFUNCTION("""COMPUTED_VALUE"""),"brn")</f>
        <v>brn</v>
      </c>
      <c r="C2199" t="str">
        <f>IFERROR(__xludf.DUMMYFUNCTION("""COMPUTED_VALUE"""),"Brunei")</f>
        <v>Brunei</v>
      </c>
      <c r="D2199">
        <f>IFERROR(__xludf.DUMMYFUNCTION("""COMPUTED_VALUE"""),1961.0)</f>
        <v>1961</v>
      </c>
      <c r="E2199">
        <f>IFERROR(__xludf.DUMMYFUNCTION("""COMPUTED_VALUE"""),85596.0)</f>
        <v>85596</v>
      </c>
    </row>
    <row r="2200">
      <c r="A2200" t="str">
        <f t="shared" si="1"/>
        <v>brn#1962</v>
      </c>
      <c r="B2200" t="str">
        <f>IFERROR(__xludf.DUMMYFUNCTION("""COMPUTED_VALUE"""),"brn")</f>
        <v>brn</v>
      </c>
      <c r="C2200" t="str">
        <f>IFERROR(__xludf.DUMMYFUNCTION("""COMPUTED_VALUE"""),"Brunei")</f>
        <v>Brunei</v>
      </c>
      <c r="D2200">
        <f>IFERROR(__xludf.DUMMYFUNCTION("""COMPUTED_VALUE"""),1962.0)</f>
        <v>1962</v>
      </c>
      <c r="E2200">
        <f>IFERROR(__xludf.DUMMYFUNCTION("""COMPUTED_VALUE"""),89516.0)</f>
        <v>89516</v>
      </c>
    </row>
    <row r="2201">
      <c r="A2201" t="str">
        <f t="shared" si="1"/>
        <v>brn#1963</v>
      </c>
      <c r="B2201" t="str">
        <f>IFERROR(__xludf.DUMMYFUNCTION("""COMPUTED_VALUE"""),"brn")</f>
        <v>brn</v>
      </c>
      <c r="C2201" t="str">
        <f>IFERROR(__xludf.DUMMYFUNCTION("""COMPUTED_VALUE"""),"Brunei")</f>
        <v>Brunei</v>
      </c>
      <c r="D2201">
        <f>IFERROR(__xludf.DUMMYFUNCTION("""COMPUTED_VALUE"""),1963.0)</f>
        <v>1963</v>
      </c>
      <c r="E2201">
        <f>IFERROR(__xludf.DUMMYFUNCTION("""COMPUTED_VALUE"""),93576.0)</f>
        <v>93576</v>
      </c>
    </row>
    <row r="2202">
      <c r="A2202" t="str">
        <f t="shared" si="1"/>
        <v>brn#1964</v>
      </c>
      <c r="B2202" t="str">
        <f>IFERROR(__xludf.DUMMYFUNCTION("""COMPUTED_VALUE"""),"brn")</f>
        <v>brn</v>
      </c>
      <c r="C2202" t="str">
        <f>IFERROR(__xludf.DUMMYFUNCTION("""COMPUTED_VALUE"""),"Brunei")</f>
        <v>Brunei</v>
      </c>
      <c r="D2202">
        <f>IFERROR(__xludf.DUMMYFUNCTION("""COMPUTED_VALUE"""),1964.0)</f>
        <v>1964</v>
      </c>
      <c r="E2202">
        <f>IFERROR(__xludf.DUMMYFUNCTION("""COMPUTED_VALUE"""),97848.0)</f>
        <v>97848</v>
      </c>
    </row>
    <row r="2203">
      <c r="A2203" t="str">
        <f t="shared" si="1"/>
        <v>brn#1965</v>
      </c>
      <c r="B2203" t="str">
        <f>IFERROR(__xludf.DUMMYFUNCTION("""COMPUTED_VALUE"""),"brn")</f>
        <v>brn</v>
      </c>
      <c r="C2203" t="str">
        <f>IFERROR(__xludf.DUMMYFUNCTION("""COMPUTED_VALUE"""),"Brunei")</f>
        <v>Brunei</v>
      </c>
      <c r="D2203">
        <f>IFERROR(__xludf.DUMMYFUNCTION("""COMPUTED_VALUE"""),1965.0)</f>
        <v>1965</v>
      </c>
      <c r="E2203">
        <f>IFERROR(__xludf.DUMMYFUNCTION("""COMPUTED_VALUE"""),102425.0)</f>
        <v>102425</v>
      </c>
    </row>
    <row r="2204">
      <c r="A2204" t="str">
        <f t="shared" si="1"/>
        <v>brn#1966</v>
      </c>
      <c r="B2204" t="str">
        <f>IFERROR(__xludf.DUMMYFUNCTION("""COMPUTED_VALUE"""),"brn")</f>
        <v>brn</v>
      </c>
      <c r="C2204" t="str">
        <f>IFERROR(__xludf.DUMMYFUNCTION("""COMPUTED_VALUE"""),"Brunei")</f>
        <v>Brunei</v>
      </c>
      <c r="D2204">
        <f>IFERROR(__xludf.DUMMYFUNCTION("""COMPUTED_VALUE"""),1966.0)</f>
        <v>1966</v>
      </c>
      <c r="E2204">
        <f>IFERROR(__xludf.DUMMYFUNCTION("""COMPUTED_VALUE"""),107316.0)</f>
        <v>107316</v>
      </c>
    </row>
    <row r="2205">
      <c r="A2205" t="str">
        <f t="shared" si="1"/>
        <v>brn#1967</v>
      </c>
      <c r="B2205" t="str">
        <f>IFERROR(__xludf.DUMMYFUNCTION("""COMPUTED_VALUE"""),"brn")</f>
        <v>brn</v>
      </c>
      <c r="C2205" t="str">
        <f>IFERROR(__xludf.DUMMYFUNCTION("""COMPUTED_VALUE"""),"Brunei")</f>
        <v>Brunei</v>
      </c>
      <c r="D2205">
        <f>IFERROR(__xludf.DUMMYFUNCTION("""COMPUTED_VALUE"""),1967.0)</f>
        <v>1967</v>
      </c>
      <c r="E2205">
        <f>IFERROR(__xludf.DUMMYFUNCTION("""COMPUTED_VALUE"""),112494.0)</f>
        <v>112494</v>
      </c>
    </row>
    <row r="2206">
      <c r="A2206" t="str">
        <f t="shared" si="1"/>
        <v>brn#1968</v>
      </c>
      <c r="B2206" t="str">
        <f>IFERROR(__xludf.DUMMYFUNCTION("""COMPUTED_VALUE"""),"brn")</f>
        <v>brn</v>
      </c>
      <c r="C2206" t="str">
        <f>IFERROR(__xludf.DUMMYFUNCTION("""COMPUTED_VALUE"""),"Brunei")</f>
        <v>Brunei</v>
      </c>
      <c r="D2206">
        <f>IFERROR(__xludf.DUMMYFUNCTION("""COMPUTED_VALUE"""),1968.0)</f>
        <v>1968</v>
      </c>
      <c r="E2206">
        <f>IFERROR(__xludf.DUMMYFUNCTION("""COMPUTED_VALUE"""),117950.0)</f>
        <v>117950</v>
      </c>
    </row>
    <row r="2207">
      <c r="A2207" t="str">
        <f t="shared" si="1"/>
        <v>brn#1969</v>
      </c>
      <c r="B2207" t="str">
        <f>IFERROR(__xludf.DUMMYFUNCTION("""COMPUTED_VALUE"""),"brn")</f>
        <v>brn</v>
      </c>
      <c r="C2207" t="str">
        <f>IFERROR(__xludf.DUMMYFUNCTION("""COMPUTED_VALUE"""),"Brunei")</f>
        <v>Brunei</v>
      </c>
      <c r="D2207">
        <f>IFERROR(__xludf.DUMMYFUNCTION("""COMPUTED_VALUE"""),1969.0)</f>
        <v>1969</v>
      </c>
      <c r="E2207">
        <f>IFERROR(__xludf.DUMMYFUNCTION("""COMPUTED_VALUE"""),123653.0)</f>
        <v>123653</v>
      </c>
    </row>
    <row r="2208">
      <c r="A2208" t="str">
        <f t="shared" si="1"/>
        <v>brn#1970</v>
      </c>
      <c r="B2208" t="str">
        <f>IFERROR(__xludf.DUMMYFUNCTION("""COMPUTED_VALUE"""),"brn")</f>
        <v>brn</v>
      </c>
      <c r="C2208" t="str">
        <f>IFERROR(__xludf.DUMMYFUNCTION("""COMPUTED_VALUE"""),"Brunei")</f>
        <v>Brunei</v>
      </c>
      <c r="D2208">
        <f>IFERROR(__xludf.DUMMYFUNCTION("""COMPUTED_VALUE"""),1970.0)</f>
        <v>1970</v>
      </c>
      <c r="E2208">
        <f>IFERROR(__xludf.DUMMYFUNCTION("""COMPUTED_VALUE"""),129583.0)</f>
        <v>129583</v>
      </c>
    </row>
    <row r="2209">
      <c r="A2209" t="str">
        <f t="shared" si="1"/>
        <v>brn#1971</v>
      </c>
      <c r="B2209" t="str">
        <f>IFERROR(__xludf.DUMMYFUNCTION("""COMPUTED_VALUE"""),"brn")</f>
        <v>brn</v>
      </c>
      <c r="C2209" t="str">
        <f>IFERROR(__xludf.DUMMYFUNCTION("""COMPUTED_VALUE"""),"Brunei")</f>
        <v>Brunei</v>
      </c>
      <c r="D2209">
        <f>IFERROR(__xludf.DUMMYFUNCTION("""COMPUTED_VALUE"""),1971.0)</f>
        <v>1971</v>
      </c>
      <c r="E2209">
        <f>IFERROR(__xludf.DUMMYFUNCTION("""COMPUTED_VALUE"""),135726.0)</f>
        <v>135726</v>
      </c>
    </row>
    <row r="2210">
      <c r="A2210" t="str">
        <f t="shared" si="1"/>
        <v>brn#1972</v>
      </c>
      <c r="B2210" t="str">
        <f>IFERROR(__xludf.DUMMYFUNCTION("""COMPUTED_VALUE"""),"brn")</f>
        <v>brn</v>
      </c>
      <c r="C2210" t="str">
        <f>IFERROR(__xludf.DUMMYFUNCTION("""COMPUTED_VALUE"""),"Brunei")</f>
        <v>Brunei</v>
      </c>
      <c r="D2210">
        <f>IFERROR(__xludf.DUMMYFUNCTION("""COMPUTED_VALUE"""),1972.0)</f>
        <v>1972</v>
      </c>
      <c r="E2210">
        <f>IFERROR(__xludf.DUMMYFUNCTION("""COMPUTED_VALUE"""),142073.0)</f>
        <v>142073</v>
      </c>
    </row>
    <row r="2211">
      <c r="A2211" t="str">
        <f t="shared" si="1"/>
        <v>brn#1973</v>
      </c>
      <c r="B2211" t="str">
        <f>IFERROR(__xludf.DUMMYFUNCTION("""COMPUTED_VALUE"""),"brn")</f>
        <v>brn</v>
      </c>
      <c r="C2211" t="str">
        <f>IFERROR(__xludf.DUMMYFUNCTION("""COMPUTED_VALUE"""),"Brunei")</f>
        <v>Brunei</v>
      </c>
      <c r="D2211">
        <f>IFERROR(__xludf.DUMMYFUNCTION("""COMPUTED_VALUE"""),1973.0)</f>
        <v>1973</v>
      </c>
      <c r="E2211">
        <f>IFERROR(__xludf.DUMMYFUNCTION("""COMPUTED_VALUE"""),148560.0)</f>
        <v>148560</v>
      </c>
    </row>
    <row r="2212">
      <c r="A2212" t="str">
        <f t="shared" si="1"/>
        <v>brn#1974</v>
      </c>
      <c r="B2212" t="str">
        <f>IFERROR(__xludf.DUMMYFUNCTION("""COMPUTED_VALUE"""),"brn")</f>
        <v>brn</v>
      </c>
      <c r="C2212" t="str">
        <f>IFERROR(__xludf.DUMMYFUNCTION("""COMPUTED_VALUE"""),"Brunei")</f>
        <v>Brunei</v>
      </c>
      <c r="D2212">
        <f>IFERROR(__xludf.DUMMYFUNCTION("""COMPUTED_VALUE"""),1974.0)</f>
        <v>1974</v>
      </c>
      <c r="E2212">
        <f>IFERROR(__xludf.DUMMYFUNCTION("""COMPUTED_VALUE"""),155109.0)</f>
        <v>155109</v>
      </c>
    </row>
    <row r="2213">
      <c r="A2213" t="str">
        <f t="shared" si="1"/>
        <v>brn#1975</v>
      </c>
      <c r="B2213" t="str">
        <f>IFERROR(__xludf.DUMMYFUNCTION("""COMPUTED_VALUE"""),"brn")</f>
        <v>brn</v>
      </c>
      <c r="C2213" t="str">
        <f>IFERROR(__xludf.DUMMYFUNCTION("""COMPUTED_VALUE"""),"Brunei")</f>
        <v>Brunei</v>
      </c>
      <c r="D2213">
        <f>IFERROR(__xludf.DUMMYFUNCTION("""COMPUTED_VALUE"""),1975.0)</f>
        <v>1975</v>
      </c>
      <c r="E2213">
        <f>IFERROR(__xludf.DUMMYFUNCTION("""COMPUTED_VALUE"""),161671.0)</f>
        <v>161671</v>
      </c>
    </row>
    <row r="2214">
      <c r="A2214" t="str">
        <f t="shared" si="1"/>
        <v>brn#1976</v>
      </c>
      <c r="B2214" t="str">
        <f>IFERROR(__xludf.DUMMYFUNCTION("""COMPUTED_VALUE"""),"brn")</f>
        <v>brn</v>
      </c>
      <c r="C2214" t="str">
        <f>IFERROR(__xludf.DUMMYFUNCTION("""COMPUTED_VALUE"""),"Brunei")</f>
        <v>Brunei</v>
      </c>
      <c r="D2214">
        <f>IFERROR(__xludf.DUMMYFUNCTION("""COMPUTED_VALUE"""),1976.0)</f>
        <v>1976</v>
      </c>
      <c r="E2214">
        <f>IFERROR(__xludf.DUMMYFUNCTION("""COMPUTED_VALUE"""),168224.0)</f>
        <v>168224</v>
      </c>
    </row>
    <row r="2215">
      <c r="A2215" t="str">
        <f t="shared" si="1"/>
        <v>brn#1977</v>
      </c>
      <c r="B2215" t="str">
        <f>IFERROR(__xludf.DUMMYFUNCTION("""COMPUTED_VALUE"""),"brn")</f>
        <v>brn</v>
      </c>
      <c r="C2215" t="str">
        <f>IFERROR(__xludf.DUMMYFUNCTION("""COMPUTED_VALUE"""),"Brunei")</f>
        <v>Brunei</v>
      </c>
      <c r="D2215">
        <f>IFERROR(__xludf.DUMMYFUNCTION("""COMPUTED_VALUE"""),1977.0)</f>
        <v>1977</v>
      </c>
      <c r="E2215">
        <f>IFERROR(__xludf.DUMMYFUNCTION("""COMPUTED_VALUE"""),174773.0)</f>
        <v>174773</v>
      </c>
    </row>
    <row r="2216">
      <c r="A2216" t="str">
        <f t="shared" si="1"/>
        <v>brn#1978</v>
      </c>
      <c r="B2216" t="str">
        <f>IFERROR(__xludf.DUMMYFUNCTION("""COMPUTED_VALUE"""),"brn")</f>
        <v>brn</v>
      </c>
      <c r="C2216" t="str">
        <f>IFERROR(__xludf.DUMMYFUNCTION("""COMPUTED_VALUE"""),"Brunei")</f>
        <v>Brunei</v>
      </c>
      <c r="D2216">
        <f>IFERROR(__xludf.DUMMYFUNCTION("""COMPUTED_VALUE"""),1978.0)</f>
        <v>1978</v>
      </c>
      <c r="E2216">
        <f>IFERROR(__xludf.DUMMYFUNCTION("""COMPUTED_VALUE"""),181257.0)</f>
        <v>181257</v>
      </c>
    </row>
    <row r="2217">
      <c r="A2217" t="str">
        <f t="shared" si="1"/>
        <v>brn#1979</v>
      </c>
      <c r="B2217" t="str">
        <f>IFERROR(__xludf.DUMMYFUNCTION("""COMPUTED_VALUE"""),"brn")</f>
        <v>brn</v>
      </c>
      <c r="C2217" t="str">
        <f>IFERROR(__xludf.DUMMYFUNCTION("""COMPUTED_VALUE"""),"Brunei")</f>
        <v>Brunei</v>
      </c>
      <c r="D2217">
        <f>IFERROR(__xludf.DUMMYFUNCTION("""COMPUTED_VALUE"""),1979.0)</f>
        <v>1979</v>
      </c>
      <c r="E2217">
        <f>IFERROR(__xludf.DUMMYFUNCTION("""COMPUTED_VALUE"""),187656.0)</f>
        <v>187656</v>
      </c>
    </row>
    <row r="2218">
      <c r="A2218" t="str">
        <f t="shared" si="1"/>
        <v>brn#1980</v>
      </c>
      <c r="B2218" t="str">
        <f>IFERROR(__xludf.DUMMYFUNCTION("""COMPUTED_VALUE"""),"brn")</f>
        <v>brn</v>
      </c>
      <c r="C2218" t="str">
        <f>IFERROR(__xludf.DUMMYFUNCTION("""COMPUTED_VALUE"""),"Brunei")</f>
        <v>Brunei</v>
      </c>
      <c r="D2218">
        <f>IFERROR(__xludf.DUMMYFUNCTION("""COMPUTED_VALUE"""),1980.0)</f>
        <v>1980</v>
      </c>
      <c r="E2218">
        <f>IFERROR(__xludf.DUMMYFUNCTION("""COMPUTED_VALUE"""),193949.0)</f>
        <v>193949</v>
      </c>
    </row>
    <row r="2219">
      <c r="A2219" t="str">
        <f t="shared" si="1"/>
        <v>brn#1981</v>
      </c>
      <c r="B2219" t="str">
        <f>IFERROR(__xludf.DUMMYFUNCTION("""COMPUTED_VALUE"""),"brn")</f>
        <v>brn</v>
      </c>
      <c r="C2219" t="str">
        <f>IFERROR(__xludf.DUMMYFUNCTION("""COMPUTED_VALUE"""),"Brunei")</f>
        <v>Brunei</v>
      </c>
      <c r="D2219">
        <f>IFERROR(__xludf.DUMMYFUNCTION("""COMPUTED_VALUE"""),1981.0)</f>
        <v>1981</v>
      </c>
      <c r="E2219">
        <f>IFERROR(__xludf.DUMMYFUNCTION("""COMPUTED_VALUE"""),200085.0)</f>
        <v>200085</v>
      </c>
    </row>
    <row r="2220">
      <c r="A2220" t="str">
        <f t="shared" si="1"/>
        <v>brn#1982</v>
      </c>
      <c r="B2220" t="str">
        <f>IFERROR(__xludf.DUMMYFUNCTION("""COMPUTED_VALUE"""),"brn")</f>
        <v>brn</v>
      </c>
      <c r="C2220" t="str">
        <f>IFERROR(__xludf.DUMMYFUNCTION("""COMPUTED_VALUE"""),"Brunei")</f>
        <v>Brunei</v>
      </c>
      <c r="D2220">
        <f>IFERROR(__xludf.DUMMYFUNCTION("""COMPUTED_VALUE"""),1982.0)</f>
        <v>1982</v>
      </c>
      <c r="E2220">
        <f>IFERROR(__xludf.DUMMYFUNCTION("""COMPUTED_VALUE"""),206128.0)</f>
        <v>206128</v>
      </c>
    </row>
    <row r="2221">
      <c r="A2221" t="str">
        <f t="shared" si="1"/>
        <v>brn#1983</v>
      </c>
      <c r="B2221" t="str">
        <f>IFERROR(__xludf.DUMMYFUNCTION("""COMPUTED_VALUE"""),"brn")</f>
        <v>brn</v>
      </c>
      <c r="C2221" t="str">
        <f>IFERROR(__xludf.DUMMYFUNCTION("""COMPUTED_VALUE"""),"Brunei")</f>
        <v>Brunei</v>
      </c>
      <c r="D2221">
        <f>IFERROR(__xludf.DUMMYFUNCTION("""COMPUTED_VALUE"""),1983.0)</f>
        <v>1983</v>
      </c>
      <c r="E2221">
        <f>IFERROR(__xludf.DUMMYFUNCTION("""COMPUTED_VALUE"""),212136.0)</f>
        <v>212136</v>
      </c>
    </row>
    <row r="2222">
      <c r="A2222" t="str">
        <f t="shared" si="1"/>
        <v>brn#1984</v>
      </c>
      <c r="B2222" t="str">
        <f>IFERROR(__xludf.DUMMYFUNCTION("""COMPUTED_VALUE"""),"brn")</f>
        <v>brn</v>
      </c>
      <c r="C2222" t="str">
        <f>IFERROR(__xludf.DUMMYFUNCTION("""COMPUTED_VALUE"""),"Brunei")</f>
        <v>Brunei</v>
      </c>
      <c r="D2222">
        <f>IFERROR(__xludf.DUMMYFUNCTION("""COMPUTED_VALUE"""),1984.0)</f>
        <v>1984</v>
      </c>
      <c r="E2222">
        <f>IFERROR(__xludf.DUMMYFUNCTION("""COMPUTED_VALUE"""),218227.0)</f>
        <v>218227</v>
      </c>
    </row>
    <row r="2223">
      <c r="A2223" t="str">
        <f t="shared" si="1"/>
        <v>brn#1985</v>
      </c>
      <c r="B2223" t="str">
        <f>IFERROR(__xludf.DUMMYFUNCTION("""COMPUTED_VALUE"""),"brn")</f>
        <v>brn</v>
      </c>
      <c r="C2223" t="str">
        <f>IFERROR(__xludf.DUMMYFUNCTION("""COMPUTED_VALUE"""),"Brunei")</f>
        <v>Brunei</v>
      </c>
      <c r="D2223">
        <f>IFERROR(__xludf.DUMMYFUNCTION("""COMPUTED_VALUE"""),1985.0)</f>
        <v>1985</v>
      </c>
      <c r="E2223">
        <f>IFERROR(__xludf.DUMMYFUNCTION("""COMPUTED_VALUE"""),224512.0)</f>
        <v>224512</v>
      </c>
    </row>
    <row r="2224">
      <c r="A2224" t="str">
        <f t="shared" si="1"/>
        <v>brn#1986</v>
      </c>
      <c r="B2224" t="str">
        <f>IFERROR(__xludf.DUMMYFUNCTION("""COMPUTED_VALUE"""),"brn")</f>
        <v>brn</v>
      </c>
      <c r="C2224" t="str">
        <f>IFERROR(__xludf.DUMMYFUNCTION("""COMPUTED_VALUE"""),"Brunei")</f>
        <v>Brunei</v>
      </c>
      <c r="D2224">
        <f>IFERROR(__xludf.DUMMYFUNCTION("""COMPUTED_VALUE"""),1986.0)</f>
        <v>1986</v>
      </c>
      <c r="E2224">
        <f>IFERROR(__xludf.DUMMYFUNCTION("""COMPUTED_VALUE"""),230972.0)</f>
        <v>230972</v>
      </c>
    </row>
    <row r="2225">
      <c r="A2225" t="str">
        <f t="shared" si="1"/>
        <v>brn#1987</v>
      </c>
      <c r="B2225" t="str">
        <f>IFERROR(__xludf.DUMMYFUNCTION("""COMPUTED_VALUE"""),"brn")</f>
        <v>brn</v>
      </c>
      <c r="C2225" t="str">
        <f>IFERROR(__xludf.DUMMYFUNCTION("""COMPUTED_VALUE"""),"Brunei")</f>
        <v>Brunei</v>
      </c>
      <c r="D2225">
        <f>IFERROR(__xludf.DUMMYFUNCTION("""COMPUTED_VALUE"""),1987.0)</f>
        <v>1987</v>
      </c>
      <c r="E2225">
        <f>IFERROR(__xludf.DUMMYFUNCTION("""COMPUTED_VALUE"""),237622.0)</f>
        <v>237622</v>
      </c>
    </row>
    <row r="2226">
      <c r="A2226" t="str">
        <f t="shared" si="1"/>
        <v>brn#1988</v>
      </c>
      <c r="B2226" t="str">
        <f>IFERROR(__xludf.DUMMYFUNCTION("""COMPUTED_VALUE"""),"brn")</f>
        <v>brn</v>
      </c>
      <c r="C2226" t="str">
        <f>IFERROR(__xludf.DUMMYFUNCTION("""COMPUTED_VALUE"""),"Brunei")</f>
        <v>Brunei</v>
      </c>
      <c r="D2226">
        <f>IFERROR(__xludf.DUMMYFUNCTION("""COMPUTED_VALUE"""),1988.0)</f>
        <v>1988</v>
      </c>
      <c r="E2226">
        <f>IFERROR(__xludf.DUMMYFUNCTION("""COMPUTED_VALUE"""),244458.0)</f>
        <v>244458</v>
      </c>
    </row>
    <row r="2227">
      <c r="A2227" t="str">
        <f t="shared" si="1"/>
        <v>brn#1989</v>
      </c>
      <c r="B2227" t="str">
        <f>IFERROR(__xludf.DUMMYFUNCTION("""COMPUTED_VALUE"""),"brn")</f>
        <v>brn</v>
      </c>
      <c r="C2227" t="str">
        <f>IFERROR(__xludf.DUMMYFUNCTION("""COMPUTED_VALUE"""),"Brunei")</f>
        <v>Brunei</v>
      </c>
      <c r="D2227">
        <f>IFERROR(__xludf.DUMMYFUNCTION("""COMPUTED_VALUE"""),1989.0)</f>
        <v>1989</v>
      </c>
      <c r="E2227">
        <f>IFERROR(__xludf.DUMMYFUNCTION("""COMPUTED_VALUE"""),251514.0)</f>
        <v>251514</v>
      </c>
    </row>
    <row r="2228">
      <c r="A2228" t="str">
        <f t="shared" si="1"/>
        <v>brn#1990</v>
      </c>
      <c r="B2228" t="str">
        <f>IFERROR(__xludf.DUMMYFUNCTION("""COMPUTED_VALUE"""),"brn")</f>
        <v>brn</v>
      </c>
      <c r="C2228" t="str">
        <f>IFERROR(__xludf.DUMMYFUNCTION("""COMPUTED_VALUE"""),"Brunei")</f>
        <v>Brunei</v>
      </c>
      <c r="D2228">
        <f>IFERROR(__xludf.DUMMYFUNCTION("""COMPUTED_VALUE"""),1990.0)</f>
        <v>1990</v>
      </c>
      <c r="E2228">
        <f>IFERROR(__xludf.DUMMYFUNCTION("""COMPUTED_VALUE"""),258785.0)</f>
        <v>258785</v>
      </c>
    </row>
    <row r="2229">
      <c r="A2229" t="str">
        <f t="shared" si="1"/>
        <v>brn#1991</v>
      </c>
      <c r="B2229" t="str">
        <f>IFERROR(__xludf.DUMMYFUNCTION("""COMPUTED_VALUE"""),"brn")</f>
        <v>brn</v>
      </c>
      <c r="C2229" t="str">
        <f>IFERROR(__xludf.DUMMYFUNCTION("""COMPUTED_VALUE"""),"Brunei")</f>
        <v>Brunei</v>
      </c>
      <c r="D2229">
        <f>IFERROR(__xludf.DUMMYFUNCTION("""COMPUTED_VALUE"""),1991.0)</f>
        <v>1991</v>
      </c>
      <c r="E2229">
        <f>IFERROR(__xludf.DUMMYFUNCTION("""COMPUTED_VALUE"""),266274.0)</f>
        <v>266274</v>
      </c>
    </row>
    <row r="2230">
      <c r="A2230" t="str">
        <f t="shared" si="1"/>
        <v>brn#1992</v>
      </c>
      <c r="B2230" t="str">
        <f>IFERROR(__xludf.DUMMYFUNCTION("""COMPUTED_VALUE"""),"brn")</f>
        <v>brn</v>
      </c>
      <c r="C2230" t="str">
        <f>IFERROR(__xludf.DUMMYFUNCTION("""COMPUTED_VALUE"""),"Brunei")</f>
        <v>Brunei</v>
      </c>
      <c r="D2230">
        <f>IFERROR(__xludf.DUMMYFUNCTION("""COMPUTED_VALUE"""),1992.0)</f>
        <v>1992</v>
      </c>
      <c r="E2230">
        <f>IFERROR(__xludf.DUMMYFUNCTION("""COMPUTED_VALUE"""),273963.0)</f>
        <v>273963</v>
      </c>
    </row>
    <row r="2231">
      <c r="A2231" t="str">
        <f t="shared" si="1"/>
        <v>brn#1993</v>
      </c>
      <c r="B2231" t="str">
        <f>IFERROR(__xludf.DUMMYFUNCTION("""COMPUTED_VALUE"""),"brn")</f>
        <v>brn</v>
      </c>
      <c r="C2231" t="str">
        <f>IFERROR(__xludf.DUMMYFUNCTION("""COMPUTED_VALUE"""),"Brunei")</f>
        <v>Brunei</v>
      </c>
      <c r="D2231">
        <f>IFERROR(__xludf.DUMMYFUNCTION("""COMPUTED_VALUE"""),1993.0)</f>
        <v>1993</v>
      </c>
      <c r="E2231">
        <f>IFERROR(__xludf.DUMMYFUNCTION("""COMPUTED_VALUE"""),281751.0)</f>
        <v>281751</v>
      </c>
    </row>
    <row r="2232">
      <c r="A2232" t="str">
        <f t="shared" si="1"/>
        <v>brn#1994</v>
      </c>
      <c r="B2232" t="str">
        <f>IFERROR(__xludf.DUMMYFUNCTION("""COMPUTED_VALUE"""),"brn")</f>
        <v>brn</v>
      </c>
      <c r="C2232" t="str">
        <f>IFERROR(__xludf.DUMMYFUNCTION("""COMPUTED_VALUE"""),"Brunei")</f>
        <v>Brunei</v>
      </c>
      <c r="D2232">
        <f>IFERROR(__xludf.DUMMYFUNCTION("""COMPUTED_VALUE"""),1994.0)</f>
        <v>1994</v>
      </c>
      <c r="E2232">
        <f>IFERROR(__xludf.DUMMYFUNCTION("""COMPUTED_VALUE"""),289525.0)</f>
        <v>289525</v>
      </c>
    </row>
    <row r="2233">
      <c r="A2233" t="str">
        <f t="shared" si="1"/>
        <v>brn#1995</v>
      </c>
      <c r="B2233" t="str">
        <f>IFERROR(__xludf.DUMMYFUNCTION("""COMPUTED_VALUE"""),"brn")</f>
        <v>brn</v>
      </c>
      <c r="C2233" t="str">
        <f>IFERROR(__xludf.DUMMYFUNCTION("""COMPUTED_VALUE"""),"Brunei")</f>
        <v>Brunei</v>
      </c>
      <c r="D2233">
        <f>IFERROR(__xludf.DUMMYFUNCTION("""COMPUTED_VALUE"""),1995.0)</f>
        <v>1995</v>
      </c>
      <c r="E2233">
        <f>IFERROR(__xludf.DUMMYFUNCTION("""COMPUTED_VALUE"""),297192.0)</f>
        <v>297192</v>
      </c>
    </row>
    <row r="2234">
      <c r="A2234" t="str">
        <f t="shared" si="1"/>
        <v>brn#1996</v>
      </c>
      <c r="B2234" t="str">
        <f>IFERROR(__xludf.DUMMYFUNCTION("""COMPUTED_VALUE"""),"brn")</f>
        <v>brn</v>
      </c>
      <c r="C2234" t="str">
        <f>IFERROR(__xludf.DUMMYFUNCTION("""COMPUTED_VALUE"""),"Brunei")</f>
        <v>Brunei</v>
      </c>
      <c r="D2234">
        <f>IFERROR(__xludf.DUMMYFUNCTION("""COMPUTED_VALUE"""),1996.0)</f>
        <v>1996</v>
      </c>
      <c r="E2234">
        <f>IFERROR(__xludf.DUMMYFUNCTION("""COMPUTED_VALUE"""),304699.0)</f>
        <v>304699</v>
      </c>
    </row>
    <row r="2235">
      <c r="A2235" t="str">
        <f t="shared" si="1"/>
        <v>brn#1997</v>
      </c>
      <c r="B2235" t="str">
        <f>IFERROR(__xludf.DUMMYFUNCTION("""COMPUTED_VALUE"""),"brn")</f>
        <v>brn</v>
      </c>
      <c r="C2235" t="str">
        <f>IFERROR(__xludf.DUMMYFUNCTION("""COMPUTED_VALUE"""),"Brunei")</f>
        <v>Brunei</v>
      </c>
      <c r="D2235">
        <f>IFERROR(__xludf.DUMMYFUNCTION("""COMPUTED_VALUE"""),1997.0)</f>
        <v>1997</v>
      </c>
      <c r="E2235">
        <f>IFERROR(__xludf.DUMMYFUNCTION("""COMPUTED_VALUE"""),312038.0)</f>
        <v>312038</v>
      </c>
    </row>
    <row r="2236">
      <c r="A2236" t="str">
        <f t="shared" si="1"/>
        <v>brn#1998</v>
      </c>
      <c r="B2236" t="str">
        <f>IFERROR(__xludf.DUMMYFUNCTION("""COMPUTED_VALUE"""),"brn")</f>
        <v>brn</v>
      </c>
      <c r="C2236" t="str">
        <f>IFERROR(__xludf.DUMMYFUNCTION("""COMPUTED_VALUE"""),"Brunei")</f>
        <v>Brunei</v>
      </c>
      <c r="D2236">
        <f>IFERROR(__xludf.DUMMYFUNCTION("""COMPUTED_VALUE"""),1998.0)</f>
        <v>1998</v>
      </c>
      <c r="E2236">
        <f>IFERROR(__xludf.DUMMYFUNCTION("""COMPUTED_VALUE"""),319222.0)</f>
        <v>319222</v>
      </c>
    </row>
    <row r="2237">
      <c r="A2237" t="str">
        <f t="shared" si="1"/>
        <v>brn#1999</v>
      </c>
      <c r="B2237" t="str">
        <f>IFERROR(__xludf.DUMMYFUNCTION("""COMPUTED_VALUE"""),"brn")</f>
        <v>brn</v>
      </c>
      <c r="C2237" t="str">
        <f>IFERROR(__xludf.DUMMYFUNCTION("""COMPUTED_VALUE"""),"Brunei")</f>
        <v>Brunei</v>
      </c>
      <c r="D2237">
        <f>IFERROR(__xludf.DUMMYFUNCTION("""COMPUTED_VALUE"""),1999.0)</f>
        <v>1999</v>
      </c>
      <c r="E2237">
        <f>IFERROR(__xludf.DUMMYFUNCTION("""COMPUTED_VALUE"""),326289.0)</f>
        <v>326289</v>
      </c>
    </row>
    <row r="2238">
      <c r="A2238" t="str">
        <f t="shared" si="1"/>
        <v>brn#2000</v>
      </c>
      <c r="B2238" t="str">
        <f>IFERROR(__xludf.DUMMYFUNCTION("""COMPUTED_VALUE"""),"brn")</f>
        <v>brn</v>
      </c>
      <c r="C2238" t="str">
        <f>IFERROR(__xludf.DUMMYFUNCTION("""COMPUTED_VALUE"""),"Brunei")</f>
        <v>Brunei</v>
      </c>
      <c r="D2238">
        <f>IFERROR(__xludf.DUMMYFUNCTION("""COMPUTED_VALUE"""),2000.0)</f>
        <v>2000</v>
      </c>
      <c r="E2238">
        <f>IFERROR(__xludf.DUMMYFUNCTION("""COMPUTED_VALUE"""),333241.0)</f>
        <v>333241</v>
      </c>
    </row>
    <row r="2239">
      <c r="A2239" t="str">
        <f t="shared" si="1"/>
        <v>brn#2001</v>
      </c>
      <c r="B2239" t="str">
        <f>IFERROR(__xludf.DUMMYFUNCTION("""COMPUTED_VALUE"""),"brn")</f>
        <v>brn</v>
      </c>
      <c r="C2239" t="str">
        <f>IFERROR(__xludf.DUMMYFUNCTION("""COMPUTED_VALUE"""),"Brunei")</f>
        <v>Brunei</v>
      </c>
      <c r="D2239">
        <f>IFERROR(__xludf.DUMMYFUNCTION("""COMPUTED_VALUE"""),2001.0)</f>
        <v>2001</v>
      </c>
      <c r="E2239">
        <f>IFERROR(__xludf.DUMMYFUNCTION("""COMPUTED_VALUE"""),340117.0)</f>
        <v>340117</v>
      </c>
    </row>
    <row r="2240">
      <c r="A2240" t="str">
        <f t="shared" si="1"/>
        <v>brn#2002</v>
      </c>
      <c r="B2240" t="str">
        <f>IFERROR(__xludf.DUMMYFUNCTION("""COMPUTED_VALUE"""),"brn")</f>
        <v>brn</v>
      </c>
      <c r="C2240" t="str">
        <f>IFERROR(__xludf.DUMMYFUNCTION("""COMPUTED_VALUE"""),"Brunei")</f>
        <v>Brunei</v>
      </c>
      <c r="D2240">
        <f>IFERROR(__xludf.DUMMYFUNCTION("""COMPUTED_VALUE"""),2002.0)</f>
        <v>2002</v>
      </c>
      <c r="E2240">
        <f>IFERROR(__xludf.DUMMYFUNCTION("""COMPUTED_VALUE"""),346867.0)</f>
        <v>346867</v>
      </c>
    </row>
    <row r="2241">
      <c r="A2241" t="str">
        <f t="shared" si="1"/>
        <v>brn#2003</v>
      </c>
      <c r="B2241" t="str">
        <f>IFERROR(__xludf.DUMMYFUNCTION("""COMPUTED_VALUE"""),"brn")</f>
        <v>brn</v>
      </c>
      <c r="C2241" t="str">
        <f>IFERROR(__xludf.DUMMYFUNCTION("""COMPUTED_VALUE"""),"Brunei")</f>
        <v>Brunei</v>
      </c>
      <c r="D2241">
        <f>IFERROR(__xludf.DUMMYFUNCTION("""COMPUTED_VALUE"""),2003.0)</f>
        <v>2003</v>
      </c>
      <c r="E2241">
        <f>IFERROR(__xludf.DUMMYFUNCTION("""COMPUTED_VALUE"""),353389.0)</f>
        <v>353389</v>
      </c>
    </row>
    <row r="2242">
      <c r="A2242" t="str">
        <f t="shared" si="1"/>
        <v>brn#2004</v>
      </c>
      <c r="B2242" t="str">
        <f>IFERROR(__xludf.DUMMYFUNCTION("""COMPUTED_VALUE"""),"brn")</f>
        <v>brn</v>
      </c>
      <c r="C2242" t="str">
        <f>IFERROR(__xludf.DUMMYFUNCTION("""COMPUTED_VALUE"""),"Brunei")</f>
        <v>Brunei</v>
      </c>
      <c r="D2242">
        <f>IFERROR(__xludf.DUMMYFUNCTION("""COMPUTED_VALUE"""),2004.0)</f>
        <v>2004</v>
      </c>
      <c r="E2242">
        <f>IFERROR(__xludf.DUMMYFUNCTION("""COMPUTED_VALUE"""),359523.0)</f>
        <v>359523</v>
      </c>
    </row>
    <row r="2243">
      <c r="A2243" t="str">
        <f t="shared" si="1"/>
        <v>brn#2005</v>
      </c>
      <c r="B2243" t="str">
        <f>IFERROR(__xludf.DUMMYFUNCTION("""COMPUTED_VALUE"""),"brn")</f>
        <v>brn</v>
      </c>
      <c r="C2243" t="str">
        <f>IFERROR(__xludf.DUMMYFUNCTION("""COMPUTED_VALUE"""),"Brunei")</f>
        <v>Brunei</v>
      </c>
      <c r="D2243">
        <f>IFERROR(__xludf.DUMMYFUNCTION("""COMPUTED_VALUE"""),2005.0)</f>
        <v>2005</v>
      </c>
      <c r="E2243">
        <f>IFERROR(__xludf.DUMMYFUNCTION("""COMPUTED_VALUE"""),365158.0)</f>
        <v>365158</v>
      </c>
    </row>
    <row r="2244">
      <c r="A2244" t="str">
        <f t="shared" si="1"/>
        <v>brn#2006</v>
      </c>
      <c r="B2244" t="str">
        <f>IFERROR(__xludf.DUMMYFUNCTION("""COMPUTED_VALUE"""),"brn")</f>
        <v>brn</v>
      </c>
      <c r="C2244" t="str">
        <f>IFERROR(__xludf.DUMMYFUNCTION("""COMPUTED_VALUE"""),"Brunei")</f>
        <v>Brunei</v>
      </c>
      <c r="D2244">
        <f>IFERROR(__xludf.DUMMYFUNCTION("""COMPUTED_VALUE"""),2006.0)</f>
        <v>2006</v>
      </c>
      <c r="E2244">
        <f>IFERROR(__xludf.DUMMYFUNCTION("""COMPUTED_VALUE"""),370250.0)</f>
        <v>370250</v>
      </c>
    </row>
    <row r="2245">
      <c r="A2245" t="str">
        <f t="shared" si="1"/>
        <v>brn#2007</v>
      </c>
      <c r="B2245" t="str">
        <f>IFERROR(__xludf.DUMMYFUNCTION("""COMPUTED_VALUE"""),"brn")</f>
        <v>brn</v>
      </c>
      <c r="C2245" t="str">
        <f>IFERROR(__xludf.DUMMYFUNCTION("""COMPUTED_VALUE"""),"Brunei")</f>
        <v>Brunei</v>
      </c>
      <c r="D2245">
        <f>IFERROR(__xludf.DUMMYFUNCTION("""COMPUTED_VALUE"""),2007.0)</f>
        <v>2007</v>
      </c>
      <c r="E2245">
        <f>IFERROR(__xludf.DUMMYFUNCTION("""COMPUTED_VALUE"""),374864.0)</f>
        <v>374864</v>
      </c>
    </row>
    <row r="2246">
      <c r="A2246" t="str">
        <f t="shared" si="1"/>
        <v>brn#2008</v>
      </c>
      <c r="B2246" t="str">
        <f>IFERROR(__xludf.DUMMYFUNCTION("""COMPUTED_VALUE"""),"brn")</f>
        <v>brn</v>
      </c>
      <c r="C2246" t="str">
        <f>IFERROR(__xludf.DUMMYFUNCTION("""COMPUTED_VALUE"""),"Brunei")</f>
        <v>Brunei</v>
      </c>
      <c r="D2246">
        <f>IFERROR(__xludf.DUMMYFUNCTION("""COMPUTED_VALUE"""),2008.0)</f>
        <v>2008</v>
      </c>
      <c r="E2246">
        <f>IFERROR(__xludf.DUMMYFUNCTION("""COMPUTED_VALUE"""),379252.0)</f>
        <v>379252</v>
      </c>
    </row>
    <row r="2247">
      <c r="A2247" t="str">
        <f t="shared" si="1"/>
        <v>brn#2009</v>
      </c>
      <c r="B2247" t="str">
        <f>IFERROR(__xludf.DUMMYFUNCTION("""COMPUTED_VALUE"""),"brn")</f>
        <v>brn</v>
      </c>
      <c r="C2247" t="str">
        <f>IFERROR(__xludf.DUMMYFUNCTION("""COMPUTED_VALUE"""),"Brunei")</f>
        <v>Brunei</v>
      </c>
      <c r="D2247">
        <f>IFERROR(__xludf.DUMMYFUNCTION("""COMPUTED_VALUE"""),2009.0)</f>
        <v>2009</v>
      </c>
      <c r="E2247">
        <f>IFERROR(__xludf.DUMMYFUNCTION("""COMPUTED_VALUE"""),383772.0)</f>
        <v>383772</v>
      </c>
    </row>
    <row r="2248">
      <c r="A2248" t="str">
        <f t="shared" si="1"/>
        <v>brn#2010</v>
      </c>
      <c r="B2248" t="str">
        <f>IFERROR(__xludf.DUMMYFUNCTION("""COMPUTED_VALUE"""),"brn")</f>
        <v>brn</v>
      </c>
      <c r="C2248" t="str">
        <f>IFERROR(__xludf.DUMMYFUNCTION("""COMPUTED_VALUE"""),"Brunei")</f>
        <v>Brunei</v>
      </c>
      <c r="D2248">
        <f>IFERROR(__xludf.DUMMYFUNCTION("""COMPUTED_VALUE"""),2010.0)</f>
        <v>2010</v>
      </c>
      <c r="E2248">
        <f>IFERROR(__xludf.DUMMYFUNCTION("""COMPUTED_VALUE"""),388662.0)</f>
        <v>388662</v>
      </c>
    </row>
    <row r="2249">
      <c r="A2249" t="str">
        <f t="shared" si="1"/>
        <v>brn#2011</v>
      </c>
      <c r="B2249" t="str">
        <f>IFERROR(__xludf.DUMMYFUNCTION("""COMPUTED_VALUE"""),"brn")</f>
        <v>brn</v>
      </c>
      <c r="C2249" t="str">
        <f>IFERROR(__xludf.DUMMYFUNCTION("""COMPUTED_VALUE"""),"Brunei")</f>
        <v>Brunei</v>
      </c>
      <c r="D2249">
        <f>IFERROR(__xludf.DUMMYFUNCTION("""COMPUTED_VALUE"""),2011.0)</f>
        <v>2011</v>
      </c>
      <c r="E2249">
        <f>IFERROR(__xludf.DUMMYFUNCTION("""COMPUTED_VALUE"""),394013.0)</f>
        <v>394013</v>
      </c>
    </row>
    <row r="2250">
      <c r="A2250" t="str">
        <f t="shared" si="1"/>
        <v>brn#2012</v>
      </c>
      <c r="B2250" t="str">
        <f>IFERROR(__xludf.DUMMYFUNCTION("""COMPUTED_VALUE"""),"brn")</f>
        <v>brn</v>
      </c>
      <c r="C2250" t="str">
        <f>IFERROR(__xludf.DUMMYFUNCTION("""COMPUTED_VALUE"""),"Brunei")</f>
        <v>Brunei</v>
      </c>
      <c r="D2250">
        <f>IFERROR(__xludf.DUMMYFUNCTION("""COMPUTED_VALUE"""),2012.0)</f>
        <v>2012</v>
      </c>
      <c r="E2250">
        <f>IFERROR(__xludf.DUMMYFUNCTION("""COMPUTED_VALUE"""),399748.0)</f>
        <v>399748</v>
      </c>
    </row>
    <row r="2251">
      <c r="A2251" t="str">
        <f t="shared" si="1"/>
        <v>brn#2013</v>
      </c>
      <c r="B2251" t="str">
        <f>IFERROR(__xludf.DUMMYFUNCTION("""COMPUTED_VALUE"""),"brn")</f>
        <v>brn</v>
      </c>
      <c r="C2251" t="str">
        <f>IFERROR(__xludf.DUMMYFUNCTION("""COMPUTED_VALUE"""),"Brunei")</f>
        <v>Brunei</v>
      </c>
      <c r="D2251">
        <f>IFERROR(__xludf.DUMMYFUNCTION("""COMPUTED_VALUE"""),2013.0)</f>
        <v>2013</v>
      </c>
      <c r="E2251">
        <f>IFERROR(__xludf.DUMMYFUNCTION("""COMPUTED_VALUE"""),405716.0)</f>
        <v>405716</v>
      </c>
    </row>
    <row r="2252">
      <c r="A2252" t="str">
        <f t="shared" si="1"/>
        <v>brn#2014</v>
      </c>
      <c r="B2252" t="str">
        <f>IFERROR(__xludf.DUMMYFUNCTION("""COMPUTED_VALUE"""),"brn")</f>
        <v>brn</v>
      </c>
      <c r="C2252" t="str">
        <f>IFERROR(__xludf.DUMMYFUNCTION("""COMPUTED_VALUE"""),"Brunei")</f>
        <v>Brunei</v>
      </c>
      <c r="D2252">
        <f>IFERROR(__xludf.DUMMYFUNCTION("""COMPUTED_VALUE"""),2014.0)</f>
        <v>2014</v>
      </c>
      <c r="E2252">
        <f>IFERROR(__xludf.DUMMYFUNCTION("""COMPUTED_VALUE"""),411704.0)</f>
        <v>411704</v>
      </c>
    </row>
    <row r="2253">
      <c r="A2253" t="str">
        <f t="shared" si="1"/>
        <v>brn#2015</v>
      </c>
      <c r="B2253" t="str">
        <f>IFERROR(__xludf.DUMMYFUNCTION("""COMPUTED_VALUE"""),"brn")</f>
        <v>brn</v>
      </c>
      <c r="C2253" t="str">
        <f>IFERROR(__xludf.DUMMYFUNCTION("""COMPUTED_VALUE"""),"Brunei")</f>
        <v>Brunei</v>
      </c>
      <c r="D2253">
        <f>IFERROR(__xludf.DUMMYFUNCTION("""COMPUTED_VALUE"""),2015.0)</f>
        <v>2015</v>
      </c>
      <c r="E2253">
        <f>IFERROR(__xludf.DUMMYFUNCTION("""COMPUTED_VALUE"""),417542.0)</f>
        <v>417542</v>
      </c>
    </row>
    <row r="2254">
      <c r="A2254" t="str">
        <f t="shared" si="1"/>
        <v>brn#2016</v>
      </c>
      <c r="B2254" t="str">
        <f>IFERROR(__xludf.DUMMYFUNCTION("""COMPUTED_VALUE"""),"brn")</f>
        <v>brn</v>
      </c>
      <c r="C2254" t="str">
        <f>IFERROR(__xludf.DUMMYFUNCTION("""COMPUTED_VALUE"""),"Brunei")</f>
        <v>Brunei</v>
      </c>
      <c r="D2254">
        <f>IFERROR(__xludf.DUMMYFUNCTION("""COMPUTED_VALUE"""),2016.0)</f>
        <v>2016</v>
      </c>
      <c r="E2254">
        <f>IFERROR(__xludf.DUMMYFUNCTION("""COMPUTED_VALUE"""),423196.0)</f>
        <v>423196</v>
      </c>
    </row>
    <row r="2255">
      <c r="A2255" t="str">
        <f t="shared" si="1"/>
        <v>brn#2017</v>
      </c>
      <c r="B2255" t="str">
        <f>IFERROR(__xludf.DUMMYFUNCTION("""COMPUTED_VALUE"""),"brn")</f>
        <v>brn</v>
      </c>
      <c r="C2255" t="str">
        <f>IFERROR(__xludf.DUMMYFUNCTION("""COMPUTED_VALUE"""),"Brunei")</f>
        <v>Brunei</v>
      </c>
      <c r="D2255">
        <f>IFERROR(__xludf.DUMMYFUNCTION("""COMPUTED_VALUE"""),2017.0)</f>
        <v>2017</v>
      </c>
      <c r="E2255">
        <f>IFERROR(__xludf.DUMMYFUNCTION("""COMPUTED_VALUE"""),428697.0)</f>
        <v>428697</v>
      </c>
    </row>
    <row r="2256">
      <c r="A2256" t="str">
        <f t="shared" si="1"/>
        <v>brn#2018</v>
      </c>
      <c r="B2256" t="str">
        <f>IFERROR(__xludf.DUMMYFUNCTION("""COMPUTED_VALUE"""),"brn")</f>
        <v>brn</v>
      </c>
      <c r="C2256" t="str">
        <f>IFERROR(__xludf.DUMMYFUNCTION("""COMPUTED_VALUE"""),"Brunei")</f>
        <v>Brunei</v>
      </c>
      <c r="D2256">
        <f>IFERROR(__xludf.DUMMYFUNCTION("""COMPUTED_VALUE"""),2018.0)</f>
        <v>2018</v>
      </c>
      <c r="E2256">
        <f>IFERROR(__xludf.DUMMYFUNCTION("""COMPUTED_VALUE"""),434076.0)</f>
        <v>434076</v>
      </c>
    </row>
    <row r="2257">
      <c r="A2257" t="str">
        <f t="shared" si="1"/>
        <v>brn#2019</v>
      </c>
      <c r="B2257" t="str">
        <f>IFERROR(__xludf.DUMMYFUNCTION("""COMPUTED_VALUE"""),"brn")</f>
        <v>brn</v>
      </c>
      <c r="C2257" t="str">
        <f>IFERROR(__xludf.DUMMYFUNCTION("""COMPUTED_VALUE"""),"Brunei")</f>
        <v>Brunei</v>
      </c>
      <c r="D2257">
        <f>IFERROR(__xludf.DUMMYFUNCTION("""COMPUTED_VALUE"""),2019.0)</f>
        <v>2019</v>
      </c>
      <c r="E2257">
        <f>IFERROR(__xludf.DUMMYFUNCTION("""COMPUTED_VALUE"""),439336.0)</f>
        <v>439336</v>
      </c>
    </row>
    <row r="2258">
      <c r="A2258" t="str">
        <f t="shared" si="1"/>
        <v>brn#2020</v>
      </c>
      <c r="B2258" t="str">
        <f>IFERROR(__xludf.DUMMYFUNCTION("""COMPUTED_VALUE"""),"brn")</f>
        <v>brn</v>
      </c>
      <c r="C2258" t="str">
        <f>IFERROR(__xludf.DUMMYFUNCTION("""COMPUTED_VALUE"""),"Brunei")</f>
        <v>Brunei</v>
      </c>
      <c r="D2258">
        <f>IFERROR(__xludf.DUMMYFUNCTION("""COMPUTED_VALUE"""),2020.0)</f>
        <v>2020</v>
      </c>
      <c r="E2258">
        <f>IFERROR(__xludf.DUMMYFUNCTION("""COMPUTED_VALUE"""),444519.0)</f>
        <v>444519</v>
      </c>
    </row>
    <row r="2259">
      <c r="A2259" t="str">
        <f t="shared" si="1"/>
        <v>brn#2021</v>
      </c>
      <c r="B2259" t="str">
        <f>IFERROR(__xludf.DUMMYFUNCTION("""COMPUTED_VALUE"""),"brn")</f>
        <v>brn</v>
      </c>
      <c r="C2259" t="str">
        <f>IFERROR(__xludf.DUMMYFUNCTION("""COMPUTED_VALUE"""),"Brunei")</f>
        <v>Brunei</v>
      </c>
      <c r="D2259">
        <f>IFERROR(__xludf.DUMMYFUNCTION("""COMPUTED_VALUE"""),2021.0)</f>
        <v>2021</v>
      </c>
      <c r="E2259">
        <f>IFERROR(__xludf.DUMMYFUNCTION("""COMPUTED_VALUE"""),449613.0)</f>
        <v>449613</v>
      </c>
    </row>
    <row r="2260">
      <c r="A2260" t="str">
        <f t="shared" si="1"/>
        <v>brn#2022</v>
      </c>
      <c r="B2260" t="str">
        <f>IFERROR(__xludf.DUMMYFUNCTION("""COMPUTED_VALUE"""),"brn")</f>
        <v>brn</v>
      </c>
      <c r="C2260" t="str">
        <f>IFERROR(__xludf.DUMMYFUNCTION("""COMPUTED_VALUE"""),"Brunei")</f>
        <v>Brunei</v>
      </c>
      <c r="D2260">
        <f>IFERROR(__xludf.DUMMYFUNCTION("""COMPUTED_VALUE"""),2022.0)</f>
        <v>2022</v>
      </c>
      <c r="E2260">
        <f>IFERROR(__xludf.DUMMYFUNCTION("""COMPUTED_VALUE"""),454592.0)</f>
        <v>454592</v>
      </c>
    </row>
    <row r="2261">
      <c r="A2261" t="str">
        <f t="shared" si="1"/>
        <v>brn#2023</v>
      </c>
      <c r="B2261" t="str">
        <f>IFERROR(__xludf.DUMMYFUNCTION("""COMPUTED_VALUE"""),"brn")</f>
        <v>brn</v>
      </c>
      <c r="C2261" t="str">
        <f>IFERROR(__xludf.DUMMYFUNCTION("""COMPUTED_VALUE"""),"Brunei")</f>
        <v>Brunei</v>
      </c>
      <c r="D2261">
        <f>IFERROR(__xludf.DUMMYFUNCTION("""COMPUTED_VALUE"""),2023.0)</f>
        <v>2023</v>
      </c>
      <c r="E2261">
        <f>IFERROR(__xludf.DUMMYFUNCTION("""COMPUTED_VALUE"""),459448.0)</f>
        <v>459448</v>
      </c>
    </row>
    <row r="2262">
      <c r="A2262" t="str">
        <f t="shared" si="1"/>
        <v>brn#2024</v>
      </c>
      <c r="B2262" t="str">
        <f>IFERROR(__xludf.DUMMYFUNCTION("""COMPUTED_VALUE"""),"brn")</f>
        <v>brn</v>
      </c>
      <c r="C2262" t="str">
        <f>IFERROR(__xludf.DUMMYFUNCTION("""COMPUTED_VALUE"""),"Brunei")</f>
        <v>Brunei</v>
      </c>
      <c r="D2262">
        <f>IFERROR(__xludf.DUMMYFUNCTION("""COMPUTED_VALUE"""),2024.0)</f>
        <v>2024</v>
      </c>
      <c r="E2262">
        <f>IFERROR(__xludf.DUMMYFUNCTION("""COMPUTED_VALUE"""),464176.0)</f>
        <v>464176</v>
      </c>
    </row>
    <row r="2263">
      <c r="A2263" t="str">
        <f t="shared" si="1"/>
        <v>brn#2025</v>
      </c>
      <c r="B2263" t="str">
        <f>IFERROR(__xludf.DUMMYFUNCTION("""COMPUTED_VALUE"""),"brn")</f>
        <v>brn</v>
      </c>
      <c r="C2263" t="str">
        <f>IFERROR(__xludf.DUMMYFUNCTION("""COMPUTED_VALUE"""),"Brunei")</f>
        <v>Brunei</v>
      </c>
      <c r="D2263">
        <f>IFERROR(__xludf.DUMMYFUNCTION("""COMPUTED_VALUE"""),2025.0)</f>
        <v>2025</v>
      </c>
      <c r="E2263">
        <f>IFERROR(__xludf.DUMMYFUNCTION("""COMPUTED_VALUE"""),468771.0)</f>
        <v>468771</v>
      </c>
    </row>
    <row r="2264">
      <c r="A2264" t="str">
        <f t="shared" si="1"/>
        <v>brn#2026</v>
      </c>
      <c r="B2264" t="str">
        <f>IFERROR(__xludf.DUMMYFUNCTION("""COMPUTED_VALUE"""),"brn")</f>
        <v>brn</v>
      </c>
      <c r="C2264" t="str">
        <f>IFERROR(__xludf.DUMMYFUNCTION("""COMPUTED_VALUE"""),"Brunei")</f>
        <v>Brunei</v>
      </c>
      <c r="D2264">
        <f>IFERROR(__xludf.DUMMYFUNCTION("""COMPUTED_VALUE"""),2026.0)</f>
        <v>2026</v>
      </c>
      <c r="E2264">
        <f>IFERROR(__xludf.DUMMYFUNCTION("""COMPUTED_VALUE"""),473231.0)</f>
        <v>473231</v>
      </c>
    </row>
    <row r="2265">
      <c r="A2265" t="str">
        <f t="shared" si="1"/>
        <v>brn#2027</v>
      </c>
      <c r="B2265" t="str">
        <f>IFERROR(__xludf.DUMMYFUNCTION("""COMPUTED_VALUE"""),"brn")</f>
        <v>brn</v>
      </c>
      <c r="C2265" t="str">
        <f>IFERROR(__xludf.DUMMYFUNCTION("""COMPUTED_VALUE"""),"Brunei")</f>
        <v>Brunei</v>
      </c>
      <c r="D2265">
        <f>IFERROR(__xludf.DUMMYFUNCTION("""COMPUTED_VALUE"""),2027.0)</f>
        <v>2027</v>
      </c>
      <c r="E2265">
        <f>IFERROR(__xludf.DUMMYFUNCTION("""COMPUTED_VALUE"""),477556.0)</f>
        <v>477556</v>
      </c>
    </row>
    <row r="2266">
      <c r="A2266" t="str">
        <f t="shared" si="1"/>
        <v>brn#2028</v>
      </c>
      <c r="B2266" t="str">
        <f>IFERROR(__xludf.DUMMYFUNCTION("""COMPUTED_VALUE"""),"brn")</f>
        <v>brn</v>
      </c>
      <c r="C2266" t="str">
        <f>IFERROR(__xludf.DUMMYFUNCTION("""COMPUTED_VALUE"""),"Brunei")</f>
        <v>Brunei</v>
      </c>
      <c r="D2266">
        <f>IFERROR(__xludf.DUMMYFUNCTION("""COMPUTED_VALUE"""),2028.0)</f>
        <v>2028</v>
      </c>
      <c r="E2266">
        <f>IFERROR(__xludf.DUMMYFUNCTION("""COMPUTED_VALUE"""),481742.0)</f>
        <v>481742</v>
      </c>
    </row>
    <row r="2267">
      <c r="A2267" t="str">
        <f t="shared" si="1"/>
        <v>brn#2029</v>
      </c>
      <c r="B2267" t="str">
        <f>IFERROR(__xludf.DUMMYFUNCTION("""COMPUTED_VALUE"""),"brn")</f>
        <v>brn</v>
      </c>
      <c r="C2267" t="str">
        <f>IFERROR(__xludf.DUMMYFUNCTION("""COMPUTED_VALUE"""),"Brunei")</f>
        <v>Brunei</v>
      </c>
      <c r="D2267">
        <f>IFERROR(__xludf.DUMMYFUNCTION("""COMPUTED_VALUE"""),2029.0)</f>
        <v>2029</v>
      </c>
      <c r="E2267">
        <f>IFERROR(__xludf.DUMMYFUNCTION("""COMPUTED_VALUE"""),485774.0)</f>
        <v>485774</v>
      </c>
    </row>
    <row r="2268">
      <c r="A2268" t="str">
        <f t="shared" si="1"/>
        <v>brn#2030</v>
      </c>
      <c r="B2268" t="str">
        <f>IFERROR(__xludf.DUMMYFUNCTION("""COMPUTED_VALUE"""),"brn")</f>
        <v>brn</v>
      </c>
      <c r="C2268" t="str">
        <f>IFERROR(__xludf.DUMMYFUNCTION("""COMPUTED_VALUE"""),"Brunei")</f>
        <v>Brunei</v>
      </c>
      <c r="D2268">
        <f>IFERROR(__xludf.DUMMYFUNCTION("""COMPUTED_VALUE"""),2030.0)</f>
        <v>2030</v>
      </c>
      <c r="E2268">
        <f>IFERROR(__xludf.DUMMYFUNCTION("""COMPUTED_VALUE"""),489666.0)</f>
        <v>489666</v>
      </c>
    </row>
    <row r="2269">
      <c r="A2269" t="str">
        <f t="shared" si="1"/>
        <v>brn#2031</v>
      </c>
      <c r="B2269" t="str">
        <f>IFERROR(__xludf.DUMMYFUNCTION("""COMPUTED_VALUE"""),"brn")</f>
        <v>brn</v>
      </c>
      <c r="C2269" t="str">
        <f>IFERROR(__xludf.DUMMYFUNCTION("""COMPUTED_VALUE"""),"Brunei")</f>
        <v>Brunei</v>
      </c>
      <c r="D2269">
        <f>IFERROR(__xludf.DUMMYFUNCTION("""COMPUTED_VALUE"""),2031.0)</f>
        <v>2031</v>
      </c>
      <c r="E2269">
        <f>IFERROR(__xludf.DUMMYFUNCTION("""COMPUTED_VALUE"""),493412.0)</f>
        <v>493412</v>
      </c>
    </row>
    <row r="2270">
      <c r="A2270" t="str">
        <f t="shared" si="1"/>
        <v>brn#2032</v>
      </c>
      <c r="B2270" t="str">
        <f>IFERROR(__xludf.DUMMYFUNCTION("""COMPUTED_VALUE"""),"brn")</f>
        <v>brn</v>
      </c>
      <c r="C2270" t="str">
        <f>IFERROR(__xludf.DUMMYFUNCTION("""COMPUTED_VALUE"""),"Brunei")</f>
        <v>Brunei</v>
      </c>
      <c r="D2270">
        <f>IFERROR(__xludf.DUMMYFUNCTION("""COMPUTED_VALUE"""),2032.0)</f>
        <v>2032</v>
      </c>
      <c r="E2270">
        <f>IFERROR(__xludf.DUMMYFUNCTION("""COMPUTED_VALUE"""),496991.0)</f>
        <v>496991</v>
      </c>
    </row>
    <row r="2271">
      <c r="A2271" t="str">
        <f t="shared" si="1"/>
        <v>brn#2033</v>
      </c>
      <c r="B2271" t="str">
        <f>IFERROR(__xludf.DUMMYFUNCTION("""COMPUTED_VALUE"""),"brn")</f>
        <v>brn</v>
      </c>
      <c r="C2271" t="str">
        <f>IFERROR(__xludf.DUMMYFUNCTION("""COMPUTED_VALUE"""),"Brunei")</f>
        <v>Brunei</v>
      </c>
      <c r="D2271">
        <f>IFERROR(__xludf.DUMMYFUNCTION("""COMPUTED_VALUE"""),2033.0)</f>
        <v>2033</v>
      </c>
      <c r="E2271">
        <f>IFERROR(__xludf.DUMMYFUNCTION("""COMPUTED_VALUE"""),500435.0)</f>
        <v>500435</v>
      </c>
    </row>
    <row r="2272">
      <c r="A2272" t="str">
        <f t="shared" si="1"/>
        <v>brn#2034</v>
      </c>
      <c r="B2272" t="str">
        <f>IFERROR(__xludf.DUMMYFUNCTION("""COMPUTED_VALUE"""),"brn")</f>
        <v>brn</v>
      </c>
      <c r="C2272" t="str">
        <f>IFERROR(__xludf.DUMMYFUNCTION("""COMPUTED_VALUE"""),"Brunei")</f>
        <v>Brunei</v>
      </c>
      <c r="D2272">
        <f>IFERROR(__xludf.DUMMYFUNCTION("""COMPUTED_VALUE"""),2034.0)</f>
        <v>2034</v>
      </c>
      <c r="E2272">
        <f>IFERROR(__xludf.DUMMYFUNCTION("""COMPUTED_VALUE"""),503716.0)</f>
        <v>503716</v>
      </c>
    </row>
    <row r="2273">
      <c r="A2273" t="str">
        <f t="shared" si="1"/>
        <v>brn#2035</v>
      </c>
      <c r="B2273" t="str">
        <f>IFERROR(__xludf.DUMMYFUNCTION("""COMPUTED_VALUE"""),"brn")</f>
        <v>brn</v>
      </c>
      <c r="C2273" t="str">
        <f>IFERROR(__xludf.DUMMYFUNCTION("""COMPUTED_VALUE"""),"Brunei")</f>
        <v>Brunei</v>
      </c>
      <c r="D2273">
        <f>IFERROR(__xludf.DUMMYFUNCTION("""COMPUTED_VALUE"""),2035.0)</f>
        <v>2035</v>
      </c>
      <c r="E2273">
        <f>IFERROR(__xludf.DUMMYFUNCTION("""COMPUTED_VALUE"""),506838.0)</f>
        <v>506838</v>
      </c>
    </row>
    <row r="2274">
      <c r="A2274" t="str">
        <f t="shared" si="1"/>
        <v>brn#2036</v>
      </c>
      <c r="B2274" t="str">
        <f>IFERROR(__xludf.DUMMYFUNCTION("""COMPUTED_VALUE"""),"brn")</f>
        <v>brn</v>
      </c>
      <c r="C2274" t="str">
        <f>IFERROR(__xludf.DUMMYFUNCTION("""COMPUTED_VALUE"""),"Brunei")</f>
        <v>Brunei</v>
      </c>
      <c r="D2274">
        <f>IFERROR(__xludf.DUMMYFUNCTION("""COMPUTED_VALUE"""),2036.0)</f>
        <v>2036</v>
      </c>
      <c r="E2274">
        <f>IFERROR(__xludf.DUMMYFUNCTION("""COMPUTED_VALUE"""),509810.0)</f>
        <v>509810</v>
      </c>
    </row>
    <row r="2275">
      <c r="A2275" t="str">
        <f t="shared" si="1"/>
        <v>brn#2037</v>
      </c>
      <c r="B2275" t="str">
        <f>IFERROR(__xludf.DUMMYFUNCTION("""COMPUTED_VALUE"""),"brn")</f>
        <v>brn</v>
      </c>
      <c r="C2275" t="str">
        <f>IFERROR(__xludf.DUMMYFUNCTION("""COMPUTED_VALUE"""),"Brunei")</f>
        <v>Brunei</v>
      </c>
      <c r="D2275">
        <f>IFERROR(__xludf.DUMMYFUNCTION("""COMPUTED_VALUE"""),2037.0)</f>
        <v>2037</v>
      </c>
      <c r="E2275">
        <f>IFERROR(__xludf.DUMMYFUNCTION("""COMPUTED_VALUE"""),512631.0)</f>
        <v>512631</v>
      </c>
    </row>
    <row r="2276">
      <c r="A2276" t="str">
        <f t="shared" si="1"/>
        <v>brn#2038</v>
      </c>
      <c r="B2276" t="str">
        <f>IFERROR(__xludf.DUMMYFUNCTION("""COMPUTED_VALUE"""),"brn")</f>
        <v>brn</v>
      </c>
      <c r="C2276" t="str">
        <f>IFERROR(__xludf.DUMMYFUNCTION("""COMPUTED_VALUE"""),"Brunei")</f>
        <v>Brunei</v>
      </c>
      <c r="D2276">
        <f>IFERROR(__xludf.DUMMYFUNCTION("""COMPUTED_VALUE"""),2038.0)</f>
        <v>2038</v>
      </c>
      <c r="E2276">
        <f>IFERROR(__xludf.DUMMYFUNCTION("""COMPUTED_VALUE"""),515306.0)</f>
        <v>515306</v>
      </c>
    </row>
    <row r="2277">
      <c r="A2277" t="str">
        <f t="shared" si="1"/>
        <v>brn#2039</v>
      </c>
      <c r="B2277" t="str">
        <f>IFERROR(__xludf.DUMMYFUNCTION("""COMPUTED_VALUE"""),"brn")</f>
        <v>brn</v>
      </c>
      <c r="C2277" t="str">
        <f>IFERROR(__xludf.DUMMYFUNCTION("""COMPUTED_VALUE"""),"Brunei")</f>
        <v>Brunei</v>
      </c>
      <c r="D2277">
        <f>IFERROR(__xludf.DUMMYFUNCTION("""COMPUTED_VALUE"""),2039.0)</f>
        <v>2039</v>
      </c>
      <c r="E2277">
        <f>IFERROR(__xludf.DUMMYFUNCTION("""COMPUTED_VALUE"""),517829.0)</f>
        <v>517829</v>
      </c>
    </row>
    <row r="2278">
      <c r="A2278" t="str">
        <f t="shared" si="1"/>
        <v>brn#2040</v>
      </c>
      <c r="B2278" t="str">
        <f>IFERROR(__xludf.DUMMYFUNCTION("""COMPUTED_VALUE"""),"brn")</f>
        <v>brn</v>
      </c>
      <c r="C2278" t="str">
        <f>IFERROR(__xludf.DUMMYFUNCTION("""COMPUTED_VALUE"""),"Brunei")</f>
        <v>Brunei</v>
      </c>
      <c r="D2278">
        <f>IFERROR(__xludf.DUMMYFUNCTION("""COMPUTED_VALUE"""),2040.0)</f>
        <v>2040</v>
      </c>
      <c r="E2278">
        <f>IFERROR(__xludf.DUMMYFUNCTION("""COMPUTED_VALUE"""),520202.0)</f>
        <v>520202</v>
      </c>
    </row>
    <row r="2279">
      <c r="A2279" t="str">
        <f t="shared" si="1"/>
        <v>bgr#1950</v>
      </c>
      <c r="B2279" t="str">
        <f>IFERROR(__xludf.DUMMYFUNCTION("""COMPUTED_VALUE"""),"bgr")</f>
        <v>bgr</v>
      </c>
      <c r="C2279" t="str">
        <f>IFERROR(__xludf.DUMMYFUNCTION("""COMPUTED_VALUE"""),"Bulgaria")</f>
        <v>Bulgaria</v>
      </c>
      <c r="D2279">
        <f>IFERROR(__xludf.DUMMYFUNCTION("""COMPUTED_VALUE"""),1950.0)</f>
        <v>1950</v>
      </c>
      <c r="E2279">
        <f>IFERROR(__xludf.DUMMYFUNCTION("""COMPUTED_VALUE"""),7250999.0)</f>
        <v>7250999</v>
      </c>
    </row>
    <row r="2280">
      <c r="A2280" t="str">
        <f t="shared" si="1"/>
        <v>bgr#1951</v>
      </c>
      <c r="B2280" t="str">
        <f>IFERROR(__xludf.DUMMYFUNCTION("""COMPUTED_VALUE"""),"bgr")</f>
        <v>bgr</v>
      </c>
      <c r="C2280" t="str">
        <f>IFERROR(__xludf.DUMMYFUNCTION("""COMPUTED_VALUE"""),"Bulgaria")</f>
        <v>Bulgaria</v>
      </c>
      <c r="D2280">
        <f>IFERROR(__xludf.DUMMYFUNCTION("""COMPUTED_VALUE"""),1951.0)</f>
        <v>1951</v>
      </c>
      <c r="E2280">
        <f>IFERROR(__xludf.DUMMYFUNCTION("""COMPUTED_VALUE"""),7310510.0)</f>
        <v>7310510</v>
      </c>
    </row>
    <row r="2281">
      <c r="A2281" t="str">
        <f t="shared" si="1"/>
        <v>bgr#1952</v>
      </c>
      <c r="B2281" t="str">
        <f>IFERROR(__xludf.DUMMYFUNCTION("""COMPUTED_VALUE"""),"bgr")</f>
        <v>bgr</v>
      </c>
      <c r="C2281" t="str">
        <f>IFERROR(__xludf.DUMMYFUNCTION("""COMPUTED_VALUE"""),"Bulgaria")</f>
        <v>Bulgaria</v>
      </c>
      <c r="D2281">
        <f>IFERROR(__xludf.DUMMYFUNCTION("""COMPUTED_VALUE"""),1952.0)</f>
        <v>1952</v>
      </c>
      <c r="E2281">
        <f>IFERROR(__xludf.DUMMYFUNCTION("""COMPUTED_VALUE"""),7371970.0)</f>
        <v>7371970</v>
      </c>
    </row>
    <row r="2282">
      <c r="A2282" t="str">
        <f t="shared" si="1"/>
        <v>bgr#1953</v>
      </c>
      <c r="B2282" t="str">
        <f>IFERROR(__xludf.DUMMYFUNCTION("""COMPUTED_VALUE"""),"bgr")</f>
        <v>bgr</v>
      </c>
      <c r="C2282" t="str">
        <f>IFERROR(__xludf.DUMMYFUNCTION("""COMPUTED_VALUE"""),"Bulgaria")</f>
        <v>Bulgaria</v>
      </c>
      <c r="D2282">
        <f>IFERROR(__xludf.DUMMYFUNCTION("""COMPUTED_VALUE"""),1953.0)</f>
        <v>1953</v>
      </c>
      <c r="E2282">
        <f>IFERROR(__xludf.DUMMYFUNCTION("""COMPUTED_VALUE"""),7434611.0)</f>
        <v>7434611</v>
      </c>
    </row>
    <row r="2283">
      <c r="A2283" t="str">
        <f t="shared" si="1"/>
        <v>bgr#1954</v>
      </c>
      <c r="B2283" t="str">
        <f>IFERROR(__xludf.DUMMYFUNCTION("""COMPUTED_VALUE"""),"bgr")</f>
        <v>bgr</v>
      </c>
      <c r="C2283" t="str">
        <f>IFERROR(__xludf.DUMMYFUNCTION("""COMPUTED_VALUE"""),"Bulgaria")</f>
        <v>Bulgaria</v>
      </c>
      <c r="D2283">
        <f>IFERROR(__xludf.DUMMYFUNCTION("""COMPUTED_VALUE"""),1954.0)</f>
        <v>1954</v>
      </c>
      <c r="E2283">
        <f>IFERROR(__xludf.DUMMYFUNCTION("""COMPUTED_VALUE"""),7497873.0)</f>
        <v>7497873</v>
      </c>
    </row>
    <row r="2284">
      <c r="A2284" t="str">
        <f t="shared" si="1"/>
        <v>bgr#1955</v>
      </c>
      <c r="B2284" t="str">
        <f>IFERROR(__xludf.DUMMYFUNCTION("""COMPUTED_VALUE"""),"bgr")</f>
        <v>bgr</v>
      </c>
      <c r="C2284" t="str">
        <f>IFERROR(__xludf.DUMMYFUNCTION("""COMPUTED_VALUE"""),"Bulgaria")</f>
        <v>Bulgaria</v>
      </c>
      <c r="D2284">
        <f>IFERROR(__xludf.DUMMYFUNCTION("""COMPUTED_VALUE"""),1955.0)</f>
        <v>1955</v>
      </c>
      <c r="E2284">
        <f>IFERROR(__xludf.DUMMYFUNCTION("""COMPUTED_VALUE"""),7561405.0)</f>
        <v>7561405</v>
      </c>
    </row>
    <row r="2285">
      <c r="A2285" t="str">
        <f t="shared" si="1"/>
        <v>bgr#1956</v>
      </c>
      <c r="B2285" t="str">
        <f>IFERROR(__xludf.DUMMYFUNCTION("""COMPUTED_VALUE"""),"bgr")</f>
        <v>bgr</v>
      </c>
      <c r="C2285" t="str">
        <f>IFERROR(__xludf.DUMMYFUNCTION("""COMPUTED_VALUE"""),"Bulgaria")</f>
        <v>Bulgaria</v>
      </c>
      <c r="D2285">
        <f>IFERROR(__xludf.DUMMYFUNCTION("""COMPUTED_VALUE"""),1956.0)</f>
        <v>1956</v>
      </c>
      <c r="E2285">
        <f>IFERROR(__xludf.DUMMYFUNCTION("""COMPUTED_VALUE"""),7625105.0)</f>
        <v>7625105</v>
      </c>
    </row>
    <row r="2286">
      <c r="A2286" t="str">
        <f t="shared" si="1"/>
        <v>bgr#1957</v>
      </c>
      <c r="B2286" t="str">
        <f>IFERROR(__xludf.DUMMYFUNCTION("""COMPUTED_VALUE"""),"bgr")</f>
        <v>bgr</v>
      </c>
      <c r="C2286" t="str">
        <f>IFERROR(__xludf.DUMMYFUNCTION("""COMPUTED_VALUE"""),"Bulgaria")</f>
        <v>Bulgaria</v>
      </c>
      <c r="D2286">
        <f>IFERROR(__xludf.DUMMYFUNCTION("""COMPUTED_VALUE"""),1957.0)</f>
        <v>1957</v>
      </c>
      <c r="E2286">
        <f>IFERROR(__xludf.DUMMYFUNCTION("""COMPUTED_VALUE"""),7689047.0)</f>
        <v>7689047</v>
      </c>
    </row>
    <row r="2287">
      <c r="A2287" t="str">
        <f t="shared" si="1"/>
        <v>bgr#1958</v>
      </c>
      <c r="B2287" t="str">
        <f>IFERROR(__xludf.DUMMYFUNCTION("""COMPUTED_VALUE"""),"bgr")</f>
        <v>bgr</v>
      </c>
      <c r="C2287" t="str">
        <f>IFERROR(__xludf.DUMMYFUNCTION("""COMPUTED_VALUE"""),"Bulgaria")</f>
        <v>Bulgaria</v>
      </c>
      <c r="D2287">
        <f>IFERROR(__xludf.DUMMYFUNCTION("""COMPUTED_VALUE"""),1958.0)</f>
        <v>1958</v>
      </c>
      <c r="E2287">
        <f>IFERROR(__xludf.DUMMYFUNCTION("""COMPUTED_VALUE"""),7753528.0)</f>
        <v>7753528</v>
      </c>
    </row>
    <row r="2288">
      <c r="A2288" t="str">
        <f t="shared" si="1"/>
        <v>bgr#1959</v>
      </c>
      <c r="B2288" t="str">
        <f>IFERROR(__xludf.DUMMYFUNCTION("""COMPUTED_VALUE"""),"bgr")</f>
        <v>bgr</v>
      </c>
      <c r="C2288" t="str">
        <f>IFERROR(__xludf.DUMMYFUNCTION("""COMPUTED_VALUE"""),"Bulgaria")</f>
        <v>Bulgaria</v>
      </c>
      <c r="D2288">
        <f>IFERROR(__xludf.DUMMYFUNCTION("""COMPUTED_VALUE"""),1959.0)</f>
        <v>1959</v>
      </c>
      <c r="E2288">
        <f>IFERROR(__xludf.DUMMYFUNCTION("""COMPUTED_VALUE"""),7818912.0)</f>
        <v>7818912</v>
      </c>
    </row>
    <row r="2289">
      <c r="A2289" t="str">
        <f t="shared" si="1"/>
        <v>bgr#1960</v>
      </c>
      <c r="B2289" t="str">
        <f>IFERROR(__xludf.DUMMYFUNCTION("""COMPUTED_VALUE"""),"bgr")</f>
        <v>bgr</v>
      </c>
      <c r="C2289" t="str">
        <f>IFERROR(__xludf.DUMMYFUNCTION("""COMPUTED_VALUE"""),"Bulgaria")</f>
        <v>Bulgaria</v>
      </c>
      <c r="D2289">
        <f>IFERROR(__xludf.DUMMYFUNCTION("""COMPUTED_VALUE"""),1960.0)</f>
        <v>1960</v>
      </c>
      <c r="E2289">
        <f>IFERROR(__xludf.DUMMYFUNCTION("""COMPUTED_VALUE"""),7885525.0)</f>
        <v>7885525</v>
      </c>
    </row>
    <row r="2290">
      <c r="A2290" t="str">
        <f t="shared" si="1"/>
        <v>bgr#1961</v>
      </c>
      <c r="B2290" t="str">
        <f>IFERROR(__xludf.DUMMYFUNCTION("""COMPUTED_VALUE"""),"bgr")</f>
        <v>bgr</v>
      </c>
      <c r="C2290" t="str">
        <f>IFERROR(__xludf.DUMMYFUNCTION("""COMPUTED_VALUE"""),"Bulgaria")</f>
        <v>Bulgaria</v>
      </c>
      <c r="D2290">
        <f>IFERROR(__xludf.DUMMYFUNCTION("""COMPUTED_VALUE"""),1961.0)</f>
        <v>1961</v>
      </c>
      <c r="E2290">
        <f>IFERROR(__xludf.DUMMYFUNCTION("""COMPUTED_VALUE"""),7953378.0)</f>
        <v>7953378</v>
      </c>
    </row>
    <row r="2291">
      <c r="A2291" t="str">
        <f t="shared" si="1"/>
        <v>bgr#1962</v>
      </c>
      <c r="B2291" t="str">
        <f>IFERROR(__xludf.DUMMYFUNCTION("""COMPUTED_VALUE"""),"bgr")</f>
        <v>bgr</v>
      </c>
      <c r="C2291" t="str">
        <f>IFERROR(__xludf.DUMMYFUNCTION("""COMPUTED_VALUE"""),"Bulgaria")</f>
        <v>Bulgaria</v>
      </c>
      <c r="D2291">
        <f>IFERROR(__xludf.DUMMYFUNCTION("""COMPUTED_VALUE"""),1962.0)</f>
        <v>1962</v>
      </c>
      <c r="E2291">
        <f>IFERROR(__xludf.DUMMYFUNCTION("""COMPUTED_VALUE"""),8022060.0)</f>
        <v>8022060</v>
      </c>
    </row>
    <row r="2292">
      <c r="A2292" t="str">
        <f t="shared" si="1"/>
        <v>bgr#1963</v>
      </c>
      <c r="B2292" t="str">
        <f>IFERROR(__xludf.DUMMYFUNCTION("""COMPUTED_VALUE"""),"bgr")</f>
        <v>bgr</v>
      </c>
      <c r="C2292" t="str">
        <f>IFERROR(__xludf.DUMMYFUNCTION("""COMPUTED_VALUE"""),"Bulgaria")</f>
        <v>Bulgaria</v>
      </c>
      <c r="D2292">
        <f>IFERROR(__xludf.DUMMYFUNCTION("""COMPUTED_VALUE"""),1963.0)</f>
        <v>1963</v>
      </c>
      <c r="E2292">
        <f>IFERROR(__xludf.DUMMYFUNCTION("""COMPUTED_VALUE"""),8090600.0)</f>
        <v>8090600</v>
      </c>
    </row>
    <row r="2293">
      <c r="A2293" t="str">
        <f t="shared" si="1"/>
        <v>bgr#1964</v>
      </c>
      <c r="B2293" t="str">
        <f>IFERROR(__xludf.DUMMYFUNCTION("""COMPUTED_VALUE"""),"bgr")</f>
        <v>bgr</v>
      </c>
      <c r="C2293" t="str">
        <f>IFERROR(__xludf.DUMMYFUNCTION("""COMPUTED_VALUE"""),"Bulgaria")</f>
        <v>Bulgaria</v>
      </c>
      <c r="D2293">
        <f>IFERROR(__xludf.DUMMYFUNCTION("""COMPUTED_VALUE"""),1964.0)</f>
        <v>1964</v>
      </c>
      <c r="E2293">
        <f>IFERROR(__xludf.DUMMYFUNCTION("""COMPUTED_VALUE"""),8157722.0)</f>
        <v>8157722</v>
      </c>
    </row>
    <row r="2294">
      <c r="A2294" t="str">
        <f t="shared" si="1"/>
        <v>bgr#1965</v>
      </c>
      <c r="B2294" t="str">
        <f>IFERROR(__xludf.DUMMYFUNCTION("""COMPUTED_VALUE"""),"bgr")</f>
        <v>bgr</v>
      </c>
      <c r="C2294" t="str">
        <f>IFERROR(__xludf.DUMMYFUNCTION("""COMPUTED_VALUE"""),"Bulgaria")</f>
        <v>Bulgaria</v>
      </c>
      <c r="D2294">
        <f>IFERROR(__xludf.DUMMYFUNCTION("""COMPUTED_VALUE"""),1965.0)</f>
        <v>1965</v>
      </c>
      <c r="E2294">
        <f>IFERROR(__xludf.DUMMYFUNCTION("""COMPUTED_VALUE"""),8222470.0)</f>
        <v>8222470</v>
      </c>
    </row>
    <row r="2295">
      <c r="A2295" t="str">
        <f t="shared" si="1"/>
        <v>bgr#1966</v>
      </c>
      <c r="B2295" t="str">
        <f>IFERROR(__xludf.DUMMYFUNCTION("""COMPUTED_VALUE"""),"bgr")</f>
        <v>bgr</v>
      </c>
      <c r="C2295" t="str">
        <f>IFERROR(__xludf.DUMMYFUNCTION("""COMPUTED_VALUE"""),"Bulgaria")</f>
        <v>Bulgaria</v>
      </c>
      <c r="D2295">
        <f>IFERROR(__xludf.DUMMYFUNCTION("""COMPUTED_VALUE"""),1966.0)</f>
        <v>1966</v>
      </c>
      <c r="E2295">
        <f>IFERROR(__xludf.DUMMYFUNCTION("""COMPUTED_VALUE"""),8284335.0)</f>
        <v>8284335</v>
      </c>
    </row>
    <row r="2296">
      <c r="A2296" t="str">
        <f t="shared" si="1"/>
        <v>bgr#1967</v>
      </c>
      <c r="B2296" t="str">
        <f>IFERROR(__xludf.DUMMYFUNCTION("""COMPUTED_VALUE"""),"bgr")</f>
        <v>bgr</v>
      </c>
      <c r="C2296" t="str">
        <f>IFERROR(__xludf.DUMMYFUNCTION("""COMPUTED_VALUE"""),"Bulgaria")</f>
        <v>Bulgaria</v>
      </c>
      <c r="D2296">
        <f>IFERROR(__xludf.DUMMYFUNCTION("""COMPUTED_VALUE"""),1967.0)</f>
        <v>1967</v>
      </c>
      <c r="E2296">
        <f>IFERROR(__xludf.DUMMYFUNCTION("""COMPUTED_VALUE"""),8343387.0)</f>
        <v>8343387</v>
      </c>
    </row>
    <row r="2297">
      <c r="A2297" t="str">
        <f t="shared" si="1"/>
        <v>bgr#1968</v>
      </c>
      <c r="B2297" t="str">
        <f>IFERROR(__xludf.DUMMYFUNCTION("""COMPUTED_VALUE"""),"bgr")</f>
        <v>bgr</v>
      </c>
      <c r="C2297" t="str">
        <f>IFERROR(__xludf.DUMMYFUNCTION("""COMPUTED_VALUE"""),"Bulgaria")</f>
        <v>Bulgaria</v>
      </c>
      <c r="D2297">
        <f>IFERROR(__xludf.DUMMYFUNCTION("""COMPUTED_VALUE"""),1968.0)</f>
        <v>1968</v>
      </c>
      <c r="E2297">
        <f>IFERROR(__xludf.DUMMYFUNCTION("""COMPUTED_VALUE"""),8399919.0)</f>
        <v>8399919</v>
      </c>
    </row>
    <row r="2298">
      <c r="A2298" t="str">
        <f t="shared" si="1"/>
        <v>bgr#1969</v>
      </c>
      <c r="B2298" t="str">
        <f>IFERROR(__xludf.DUMMYFUNCTION("""COMPUTED_VALUE"""),"bgr")</f>
        <v>bgr</v>
      </c>
      <c r="C2298" t="str">
        <f>IFERROR(__xludf.DUMMYFUNCTION("""COMPUTED_VALUE"""),"Bulgaria")</f>
        <v>Bulgaria</v>
      </c>
      <c r="D2298">
        <f>IFERROR(__xludf.DUMMYFUNCTION("""COMPUTED_VALUE"""),1969.0)</f>
        <v>1969</v>
      </c>
      <c r="E2298">
        <f>IFERROR(__xludf.DUMMYFUNCTION("""COMPUTED_VALUE"""),8454501.0)</f>
        <v>8454501</v>
      </c>
    </row>
    <row r="2299">
      <c r="A2299" t="str">
        <f t="shared" si="1"/>
        <v>bgr#1970</v>
      </c>
      <c r="B2299" t="str">
        <f>IFERROR(__xludf.DUMMYFUNCTION("""COMPUTED_VALUE"""),"bgr")</f>
        <v>bgr</v>
      </c>
      <c r="C2299" t="str">
        <f>IFERROR(__xludf.DUMMYFUNCTION("""COMPUTED_VALUE"""),"Bulgaria")</f>
        <v>Bulgaria</v>
      </c>
      <c r="D2299">
        <f>IFERROR(__xludf.DUMMYFUNCTION("""COMPUTED_VALUE"""),1970.0)</f>
        <v>1970</v>
      </c>
      <c r="E2299">
        <f>IFERROR(__xludf.DUMMYFUNCTION("""COMPUTED_VALUE"""),8507476.0)</f>
        <v>8507476</v>
      </c>
    </row>
    <row r="2300">
      <c r="A2300" t="str">
        <f t="shared" si="1"/>
        <v>bgr#1971</v>
      </c>
      <c r="B2300" t="str">
        <f>IFERROR(__xludf.DUMMYFUNCTION("""COMPUTED_VALUE"""),"bgr")</f>
        <v>bgr</v>
      </c>
      <c r="C2300" t="str">
        <f>IFERROR(__xludf.DUMMYFUNCTION("""COMPUTED_VALUE"""),"Bulgaria")</f>
        <v>Bulgaria</v>
      </c>
      <c r="D2300">
        <f>IFERROR(__xludf.DUMMYFUNCTION("""COMPUTED_VALUE"""),1971.0)</f>
        <v>1971</v>
      </c>
      <c r="E2300">
        <f>IFERROR(__xludf.DUMMYFUNCTION("""COMPUTED_VALUE"""),8558968.0)</f>
        <v>8558968</v>
      </c>
    </row>
    <row r="2301">
      <c r="A2301" t="str">
        <f t="shared" si="1"/>
        <v>bgr#1972</v>
      </c>
      <c r="B2301" t="str">
        <f>IFERROR(__xludf.DUMMYFUNCTION("""COMPUTED_VALUE"""),"bgr")</f>
        <v>bgr</v>
      </c>
      <c r="C2301" t="str">
        <f>IFERROR(__xludf.DUMMYFUNCTION("""COMPUTED_VALUE"""),"Bulgaria")</f>
        <v>Bulgaria</v>
      </c>
      <c r="D2301">
        <f>IFERROR(__xludf.DUMMYFUNCTION("""COMPUTED_VALUE"""),1972.0)</f>
        <v>1972</v>
      </c>
      <c r="E2301">
        <f>IFERROR(__xludf.DUMMYFUNCTION("""COMPUTED_VALUE"""),8608611.0)</f>
        <v>8608611</v>
      </c>
    </row>
    <row r="2302">
      <c r="A2302" t="str">
        <f t="shared" si="1"/>
        <v>bgr#1973</v>
      </c>
      <c r="B2302" t="str">
        <f>IFERROR(__xludf.DUMMYFUNCTION("""COMPUTED_VALUE"""),"bgr")</f>
        <v>bgr</v>
      </c>
      <c r="C2302" t="str">
        <f>IFERROR(__xludf.DUMMYFUNCTION("""COMPUTED_VALUE"""),"Bulgaria")</f>
        <v>Bulgaria</v>
      </c>
      <c r="D2302">
        <f>IFERROR(__xludf.DUMMYFUNCTION("""COMPUTED_VALUE"""),1973.0)</f>
        <v>1973</v>
      </c>
      <c r="E2302">
        <f>IFERROR(__xludf.DUMMYFUNCTION("""COMPUTED_VALUE"""),8655674.0)</f>
        <v>8655674</v>
      </c>
    </row>
    <row r="2303">
      <c r="A2303" t="str">
        <f t="shared" si="1"/>
        <v>bgr#1974</v>
      </c>
      <c r="B2303" t="str">
        <f>IFERROR(__xludf.DUMMYFUNCTION("""COMPUTED_VALUE"""),"bgr")</f>
        <v>bgr</v>
      </c>
      <c r="C2303" t="str">
        <f>IFERROR(__xludf.DUMMYFUNCTION("""COMPUTED_VALUE"""),"Bulgaria")</f>
        <v>Bulgaria</v>
      </c>
      <c r="D2303">
        <f>IFERROR(__xludf.DUMMYFUNCTION("""COMPUTED_VALUE"""),1974.0)</f>
        <v>1974</v>
      </c>
      <c r="E2303">
        <f>IFERROR(__xludf.DUMMYFUNCTION("""COMPUTED_VALUE"""),8699139.0)</f>
        <v>8699139</v>
      </c>
    </row>
    <row r="2304">
      <c r="A2304" t="str">
        <f t="shared" si="1"/>
        <v>bgr#1975</v>
      </c>
      <c r="B2304" t="str">
        <f>IFERROR(__xludf.DUMMYFUNCTION("""COMPUTED_VALUE"""),"bgr")</f>
        <v>bgr</v>
      </c>
      <c r="C2304" t="str">
        <f>IFERROR(__xludf.DUMMYFUNCTION("""COMPUTED_VALUE"""),"Bulgaria")</f>
        <v>Bulgaria</v>
      </c>
      <c r="D2304">
        <f>IFERROR(__xludf.DUMMYFUNCTION("""COMPUTED_VALUE"""),1975.0)</f>
        <v>1975</v>
      </c>
      <c r="E2304">
        <f>IFERROR(__xludf.DUMMYFUNCTION("""COMPUTED_VALUE"""),8738361.0)</f>
        <v>8738361</v>
      </c>
    </row>
    <row r="2305">
      <c r="A2305" t="str">
        <f t="shared" si="1"/>
        <v>bgr#1976</v>
      </c>
      <c r="B2305" t="str">
        <f>IFERROR(__xludf.DUMMYFUNCTION("""COMPUTED_VALUE"""),"bgr")</f>
        <v>bgr</v>
      </c>
      <c r="C2305" t="str">
        <f>IFERROR(__xludf.DUMMYFUNCTION("""COMPUTED_VALUE"""),"Bulgaria")</f>
        <v>Bulgaria</v>
      </c>
      <c r="D2305">
        <f>IFERROR(__xludf.DUMMYFUNCTION("""COMPUTED_VALUE"""),1976.0)</f>
        <v>1976</v>
      </c>
      <c r="E2305">
        <f>IFERROR(__xludf.DUMMYFUNCTION("""COMPUTED_VALUE"""),8772535.0)</f>
        <v>8772535</v>
      </c>
    </row>
    <row r="2306">
      <c r="A2306" t="str">
        <f t="shared" si="1"/>
        <v>bgr#1977</v>
      </c>
      <c r="B2306" t="str">
        <f>IFERROR(__xludf.DUMMYFUNCTION("""COMPUTED_VALUE"""),"bgr")</f>
        <v>bgr</v>
      </c>
      <c r="C2306" t="str">
        <f>IFERROR(__xludf.DUMMYFUNCTION("""COMPUTED_VALUE"""),"Bulgaria")</f>
        <v>Bulgaria</v>
      </c>
      <c r="D2306">
        <f>IFERROR(__xludf.DUMMYFUNCTION("""COMPUTED_VALUE"""),1977.0)</f>
        <v>1977</v>
      </c>
      <c r="E2306">
        <f>IFERROR(__xludf.DUMMYFUNCTION("""COMPUTED_VALUE"""),8801885.0)</f>
        <v>8801885</v>
      </c>
    </row>
    <row r="2307">
      <c r="A2307" t="str">
        <f t="shared" si="1"/>
        <v>bgr#1978</v>
      </c>
      <c r="B2307" t="str">
        <f>IFERROR(__xludf.DUMMYFUNCTION("""COMPUTED_VALUE"""),"bgr")</f>
        <v>bgr</v>
      </c>
      <c r="C2307" t="str">
        <f>IFERROR(__xludf.DUMMYFUNCTION("""COMPUTED_VALUE"""),"Bulgaria")</f>
        <v>Bulgaria</v>
      </c>
      <c r="D2307">
        <f>IFERROR(__xludf.DUMMYFUNCTION("""COMPUTED_VALUE"""),1978.0)</f>
        <v>1978</v>
      </c>
      <c r="E2307">
        <f>IFERROR(__xludf.DUMMYFUNCTION("""COMPUTED_VALUE"""),8828014.0)</f>
        <v>8828014</v>
      </c>
    </row>
    <row r="2308">
      <c r="A2308" t="str">
        <f t="shared" si="1"/>
        <v>bgr#1979</v>
      </c>
      <c r="B2308" t="str">
        <f>IFERROR(__xludf.DUMMYFUNCTION("""COMPUTED_VALUE"""),"bgr")</f>
        <v>bgr</v>
      </c>
      <c r="C2308" t="str">
        <f>IFERROR(__xludf.DUMMYFUNCTION("""COMPUTED_VALUE"""),"Bulgaria")</f>
        <v>Bulgaria</v>
      </c>
      <c r="D2308">
        <f>IFERROR(__xludf.DUMMYFUNCTION("""COMPUTED_VALUE"""),1979.0)</f>
        <v>1979</v>
      </c>
      <c r="E2308">
        <f>IFERROR(__xludf.DUMMYFUNCTION("""COMPUTED_VALUE"""),8853187.0)</f>
        <v>8853187</v>
      </c>
    </row>
    <row r="2309">
      <c r="A2309" t="str">
        <f t="shared" si="1"/>
        <v>bgr#1980</v>
      </c>
      <c r="B2309" t="str">
        <f>IFERROR(__xludf.DUMMYFUNCTION("""COMPUTED_VALUE"""),"bgr")</f>
        <v>bgr</v>
      </c>
      <c r="C2309" t="str">
        <f>IFERROR(__xludf.DUMMYFUNCTION("""COMPUTED_VALUE"""),"Bulgaria")</f>
        <v>Bulgaria</v>
      </c>
      <c r="D2309">
        <f>IFERROR(__xludf.DUMMYFUNCTION("""COMPUTED_VALUE"""),1980.0)</f>
        <v>1980</v>
      </c>
      <c r="E2309">
        <f>IFERROR(__xludf.DUMMYFUNCTION("""COMPUTED_VALUE"""),8878775.0)</f>
        <v>8878775</v>
      </c>
    </row>
    <row r="2310">
      <c r="A2310" t="str">
        <f t="shared" si="1"/>
        <v>bgr#1981</v>
      </c>
      <c r="B2310" t="str">
        <f>IFERROR(__xludf.DUMMYFUNCTION("""COMPUTED_VALUE"""),"bgr")</f>
        <v>bgr</v>
      </c>
      <c r="C2310" t="str">
        <f>IFERROR(__xludf.DUMMYFUNCTION("""COMPUTED_VALUE"""),"Bulgaria")</f>
        <v>Bulgaria</v>
      </c>
      <c r="D2310">
        <f>IFERROR(__xludf.DUMMYFUNCTION("""COMPUTED_VALUE"""),1981.0)</f>
        <v>1981</v>
      </c>
      <c r="E2310">
        <f>IFERROR(__xludf.DUMMYFUNCTION("""COMPUTED_VALUE"""),8905069.0)</f>
        <v>8905069</v>
      </c>
    </row>
    <row r="2311">
      <c r="A2311" t="str">
        <f t="shared" si="1"/>
        <v>bgr#1982</v>
      </c>
      <c r="B2311" t="str">
        <f>IFERROR(__xludf.DUMMYFUNCTION("""COMPUTED_VALUE"""),"bgr")</f>
        <v>bgr</v>
      </c>
      <c r="C2311" t="str">
        <f>IFERROR(__xludf.DUMMYFUNCTION("""COMPUTED_VALUE"""),"Bulgaria")</f>
        <v>Bulgaria</v>
      </c>
      <c r="D2311">
        <f>IFERROR(__xludf.DUMMYFUNCTION("""COMPUTED_VALUE"""),1982.0)</f>
        <v>1982</v>
      </c>
      <c r="E2311">
        <f>IFERROR(__xludf.DUMMYFUNCTION("""COMPUTED_VALUE"""),8930671.0)</f>
        <v>8930671</v>
      </c>
    </row>
    <row r="2312">
      <c r="A2312" t="str">
        <f t="shared" si="1"/>
        <v>bgr#1983</v>
      </c>
      <c r="B2312" t="str">
        <f>IFERROR(__xludf.DUMMYFUNCTION("""COMPUTED_VALUE"""),"bgr")</f>
        <v>bgr</v>
      </c>
      <c r="C2312" t="str">
        <f>IFERROR(__xludf.DUMMYFUNCTION("""COMPUTED_VALUE"""),"Bulgaria")</f>
        <v>Bulgaria</v>
      </c>
      <c r="D2312">
        <f>IFERROR(__xludf.DUMMYFUNCTION("""COMPUTED_VALUE"""),1983.0)</f>
        <v>1983</v>
      </c>
      <c r="E2312">
        <f>IFERROR(__xludf.DUMMYFUNCTION("""COMPUTED_VALUE"""),8953074.0)</f>
        <v>8953074</v>
      </c>
    </row>
    <row r="2313">
      <c r="A2313" t="str">
        <f t="shared" si="1"/>
        <v>bgr#1984</v>
      </c>
      <c r="B2313" t="str">
        <f>IFERROR(__xludf.DUMMYFUNCTION("""COMPUTED_VALUE"""),"bgr")</f>
        <v>bgr</v>
      </c>
      <c r="C2313" t="str">
        <f>IFERROR(__xludf.DUMMYFUNCTION("""COMPUTED_VALUE"""),"Bulgaria")</f>
        <v>Bulgaria</v>
      </c>
      <c r="D2313">
        <f>IFERROR(__xludf.DUMMYFUNCTION("""COMPUTED_VALUE"""),1984.0)</f>
        <v>1984</v>
      </c>
      <c r="E2313">
        <f>IFERROR(__xludf.DUMMYFUNCTION("""COMPUTED_VALUE"""),8968856.0)</f>
        <v>8968856</v>
      </c>
    </row>
    <row r="2314">
      <c r="A2314" t="str">
        <f t="shared" si="1"/>
        <v>bgr#1985</v>
      </c>
      <c r="B2314" t="str">
        <f>IFERROR(__xludf.DUMMYFUNCTION("""COMPUTED_VALUE"""),"bgr")</f>
        <v>bgr</v>
      </c>
      <c r="C2314" t="str">
        <f>IFERROR(__xludf.DUMMYFUNCTION("""COMPUTED_VALUE"""),"Bulgaria")</f>
        <v>Bulgaria</v>
      </c>
      <c r="D2314">
        <f>IFERROR(__xludf.DUMMYFUNCTION("""COMPUTED_VALUE"""),1985.0)</f>
        <v>1985</v>
      </c>
      <c r="E2314">
        <f>IFERROR(__xludf.DUMMYFUNCTION("""COMPUTED_VALUE"""),8975291.0)</f>
        <v>8975291</v>
      </c>
    </row>
    <row r="2315">
      <c r="A2315" t="str">
        <f t="shared" si="1"/>
        <v>bgr#1986</v>
      </c>
      <c r="B2315" t="str">
        <f>IFERROR(__xludf.DUMMYFUNCTION("""COMPUTED_VALUE"""),"bgr")</f>
        <v>bgr</v>
      </c>
      <c r="C2315" t="str">
        <f>IFERROR(__xludf.DUMMYFUNCTION("""COMPUTED_VALUE"""),"Bulgaria")</f>
        <v>Bulgaria</v>
      </c>
      <c r="D2315">
        <f>IFERROR(__xludf.DUMMYFUNCTION("""COMPUTED_VALUE"""),1986.0)</f>
        <v>1986</v>
      </c>
      <c r="E2315">
        <f>IFERROR(__xludf.DUMMYFUNCTION("""COMPUTED_VALUE"""),8972469.0)</f>
        <v>8972469</v>
      </c>
    </row>
    <row r="2316">
      <c r="A2316" t="str">
        <f t="shared" si="1"/>
        <v>bgr#1987</v>
      </c>
      <c r="B2316" t="str">
        <f>IFERROR(__xludf.DUMMYFUNCTION("""COMPUTED_VALUE"""),"bgr")</f>
        <v>bgr</v>
      </c>
      <c r="C2316" t="str">
        <f>IFERROR(__xludf.DUMMYFUNCTION("""COMPUTED_VALUE"""),"Bulgaria")</f>
        <v>Bulgaria</v>
      </c>
      <c r="D2316">
        <f>IFERROR(__xludf.DUMMYFUNCTION("""COMPUTED_VALUE"""),1987.0)</f>
        <v>1987</v>
      </c>
      <c r="E2316">
        <f>IFERROR(__xludf.DUMMYFUNCTION("""COMPUTED_VALUE"""),8960472.0)</f>
        <v>8960472</v>
      </c>
    </row>
    <row r="2317">
      <c r="A2317" t="str">
        <f t="shared" si="1"/>
        <v>bgr#1988</v>
      </c>
      <c r="B2317" t="str">
        <f>IFERROR(__xludf.DUMMYFUNCTION("""COMPUTED_VALUE"""),"bgr")</f>
        <v>bgr</v>
      </c>
      <c r="C2317" t="str">
        <f>IFERROR(__xludf.DUMMYFUNCTION("""COMPUTED_VALUE"""),"Bulgaria")</f>
        <v>Bulgaria</v>
      </c>
      <c r="D2317">
        <f>IFERROR(__xludf.DUMMYFUNCTION("""COMPUTED_VALUE"""),1988.0)</f>
        <v>1988</v>
      </c>
      <c r="E2317">
        <f>IFERROR(__xludf.DUMMYFUNCTION("""COMPUTED_VALUE"""),8936557.0)</f>
        <v>8936557</v>
      </c>
    </row>
    <row r="2318">
      <c r="A2318" t="str">
        <f t="shared" si="1"/>
        <v>bgr#1989</v>
      </c>
      <c r="B2318" t="str">
        <f>IFERROR(__xludf.DUMMYFUNCTION("""COMPUTED_VALUE"""),"bgr")</f>
        <v>bgr</v>
      </c>
      <c r="C2318" t="str">
        <f>IFERROR(__xludf.DUMMYFUNCTION("""COMPUTED_VALUE"""),"Bulgaria")</f>
        <v>Bulgaria</v>
      </c>
      <c r="D2318">
        <f>IFERROR(__xludf.DUMMYFUNCTION("""COMPUTED_VALUE"""),1989.0)</f>
        <v>1989</v>
      </c>
      <c r="E2318">
        <f>IFERROR(__xludf.DUMMYFUNCTION("""COMPUTED_VALUE"""),8897446.0)</f>
        <v>8897446</v>
      </c>
    </row>
    <row r="2319">
      <c r="A2319" t="str">
        <f t="shared" si="1"/>
        <v>bgr#1990</v>
      </c>
      <c r="B2319" t="str">
        <f>IFERROR(__xludf.DUMMYFUNCTION("""COMPUTED_VALUE"""),"bgr")</f>
        <v>bgr</v>
      </c>
      <c r="C2319" t="str">
        <f>IFERROR(__xludf.DUMMYFUNCTION("""COMPUTED_VALUE"""),"Bulgaria")</f>
        <v>Bulgaria</v>
      </c>
      <c r="D2319">
        <f>IFERROR(__xludf.DUMMYFUNCTION("""COMPUTED_VALUE"""),1990.0)</f>
        <v>1990</v>
      </c>
      <c r="E2319">
        <f>IFERROR(__xludf.DUMMYFUNCTION("""COMPUTED_VALUE"""),8841371.0)</f>
        <v>8841371</v>
      </c>
    </row>
    <row r="2320">
      <c r="A2320" t="str">
        <f t="shared" si="1"/>
        <v>bgr#1991</v>
      </c>
      <c r="B2320" t="str">
        <f>IFERROR(__xludf.DUMMYFUNCTION("""COMPUTED_VALUE"""),"bgr")</f>
        <v>bgr</v>
      </c>
      <c r="C2320" t="str">
        <f>IFERROR(__xludf.DUMMYFUNCTION("""COMPUTED_VALUE"""),"Bulgaria")</f>
        <v>Bulgaria</v>
      </c>
      <c r="D2320">
        <f>IFERROR(__xludf.DUMMYFUNCTION("""COMPUTED_VALUE"""),1991.0)</f>
        <v>1991</v>
      </c>
      <c r="E2320">
        <f>IFERROR(__xludf.DUMMYFUNCTION("""COMPUTED_VALUE"""),8766890.0)</f>
        <v>8766890</v>
      </c>
    </row>
    <row r="2321">
      <c r="A2321" t="str">
        <f t="shared" si="1"/>
        <v>bgr#1992</v>
      </c>
      <c r="B2321" t="str">
        <f>IFERROR(__xludf.DUMMYFUNCTION("""COMPUTED_VALUE"""),"bgr")</f>
        <v>bgr</v>
      </c>
      <c r="C2321" t="str">
        <f>IFERROR(__xludf.DUMMYFUNCTION("""COMPUTED_VALUE"""),"Bulgaria")</f>
        <v>Bulgaria</v>
      </c>
      <c r="D2321">
        <f>IFERROR(__xludf.DUMMYFUNCTION("""COMPUTED_VALUE"""),1992.0)</f>
        <v>1992</v>
      </c>
      <c r="E2321">
        <f>IFERROR(__xludf.DUMMYFUNCTION("""COMPUTED_VALUE"""),8676243.0)</f>
        <v>8676243</v>
      </c>
    </row>
    <row r="2322">
      <c r="A2322" t="str">
        <f t="shared" si="1"/>
        <v>bgr#1993</v>
      </c>
      <c r="B2322" t="str">
        <f>IFERROR(__xludf.DUMMYFUNCTION("""COMPUTED_VALUE"""),"bgr")</f>
        <v>bgr</v>
      </c>
      <c r="C2322" t="str">
        <f>IFERROR(__xludf.DUMMYFUNCTION("""COMPUTED_VALUE"""),"Bulgaria")</f>
        <v>Bulgaria</v>
      </c>
      <c r="D2322">
        <f>IFERROR(__xludf.DUMMYFUNCTION("""COMPUTED_VALUE"""),1993.0)</f>
        <v>1993</v>
      </c>
      <c r="E2322">
        <f>IFERROR(__xludf.DUMMYFUNCTION("""COMPUTED_VALUE"""),8575889.0)</f>
        <v>8575889</v>
      </c>
    </row>
    <row r="2323">
      <c r="A2323" t="str">
        <f t="shared" si="1"/>
        <v>bgr#1994</v>
      </c>
      <c r="B2323" t="str">
        <f>IFERROR(__xludf.DUMMYFUNCTION("""COMPUTED_VALUE"""),"bgr")</f>
        <v>bgr</v>
      </c>
      <c r="C2323" t="str">
        <f>IFERROR(__xludf.DUMMYFUNCTION("""COMPUTED_VALUE"""),"Bulgaria")</f>
        <v>Bulgaria</v>
      </c>
      <c r="D2323">
        <f>IFERROR(__xludf.DUMMYFUNCTION("""COMPUTED_VALUE"""),1994.0)</f>
        <v>1994</v>
      </c>
      <c r="E2323">
        <f>IFERROR(__xludf.DUMMYFUNCTION("""COMPUTED_VALUE"""),8474669.0)</f>
        <v>8474669</v>
      </c>
    </row>
    <row r="2324">
      <c r="A2324" t="str">
        <f t="shared" si="1"/>
        <v>bgr#1995</v>
      </c>
      <c r="B2324" t="str">
        <f>IFERROR(__xludf.DUMMYFUNCTION("""COMPUTED_VALUE"""),"bgr")</f>
        <v>bgr</v>
      </c>
      <c r="C2324" t="str">
        <f>IFERROR(__xludf.DUMMYFUNCTION("""COMPUTED_VALUE"""),"Bulgaria")</f>
        <v>Bulgaria</v>
      </c>
      <c r="D2324">
        <f>IFERROR(__xludf.DUMMYFUNCTION("""COMPUTED_VALUE"""),1995.0)</f>
        <v>1995</v>
      </c>
      <c r="E2324">
        <f>IFERROR(__xludf.DUMMYFUNCTION("""COMPUTED_VALUE"""),8379180.0)</f>
        <v>8379180</v>
      </c>
    </row>
    <row r="2325">
      <c r="A2325" t="str">
        <f t="shared" si="1"/>
        <v>bgr#1996</v>
      </c>
      <c r="B2325" t="str">
        <f>IFERROR(__xludf.DUMMYFUNCTION("""COMPUTED_VALUE"""),"bgr")</f>
        <v>bgr</v>
      </c>
      <c r="C2325" t="str">
        <f>IFERROR(__xludf.DUMMYFUNCTION("""COMPUTED_VALUE"""),"Bulgaria")</f>
        <v>Bulgaria</v>
      </c>
      <c r="D2325">
        <f>IFERROR(__xludf.DUMMYFUNCTION("""COMPUTED_VALUE"""),1996.0)</f>
        <v>1996</v>
      </c>
      <c r="E2325">
        <f>IFERROR(__xludf.DUMMYFUNCTION("""COMPUTED_VALUE"""),8291872.0)</f>
        <v>8291872</v>
      </c>
    </row>
    <row r="2326">
      <c r="A2326" t="str">
        <f t="shared" si="1"/>
        <v>bgr#1997</v>
      </c>
      <c r="B2326" t="str">
        <f>IFERROR(__xludf.DUMMYFUNCTION("""COMPUTED_VALUE"""),"bgr")</f>
        <v>bgr</v>
      </c>
      <c r="C2326" t="str">
        <f>IFERROR(__xludf.DUMMYFUNCTION("""COMPUTED_VALUE"""),"Bulgaria")</f>
        <v>Bulgaria</v>
      </c>
      <c r="D2326">
        <f>IFERROR(__xludf.DUMMYFUNCTION("""COMPUTED_VALUE"""),1997.0)</f>
        <v>1997</v>
      </c>
      <c r="E2326">
        <f>IFERROR(__xludf.DUMMYFUNCTION("""COMPUTED_VALUE"""),8211726.0)</f>
        <v>8211726</v>
      </c>
    </row>
    <row r="2327">
      <c r="A2327" t="str">
        <f t="shared" si="1"/>
        <v>bgr#1998</v>
      </c>
      <c r="B2327" t="str">
        <f>IFERROR(__xludf.DUMMYFUNCTION("""COMPUTED_VALUE"""),"bgr")</f>
        <v>bgr</v>
      </c>
      <c r="C2327" t="str">
        <f>IFERROR(__xludf.DUMMYFUNCTION("""COMPUTED_VALUE"""),"Bulgaria")</f>
        <v>Bulgaria</v>
      </c>
      <c r="D2327">
        <f>IFERROR(__xludf.DUMMYFUNCTION("""COMPUTED_VALUE"""),1998.0)</f>
        <v>1998</v>
      </c>
      <c r="E2327">
        <f>IFERROR(__xludf.DUMMYFUNCTION("""COMPUTED_VALUE"""),8137564.0)</f>
        <v>8137564</v>
      </c>
    </row>
    <row r="2328">
      <c r="A2328" t="str">
        <f t="shared" si="1"/>
        <v>bgr#1999</v>
      </c>
      <c r="B2328" t="str">
        <f>IFERROR(__xludf.DUMMYFUNCTION("""COMPUTED_VALUE"""),"bgr")</f>
        <v>bgr</v>
      </c>
      <c r="C2328" t="str">
        <f>IFERROR(__xludf.DUMMYFUNCTION("""COMPUTED_VALUE"""),"Bulgaria")</f>
        <v>Bulgaria</v>
      </c>
      <c r="D2328">
        <f>IFERROR(__xludf.DUMMYFUNCTION("""COMPUTED_VALUE"""),1999.0)</f>
        <v>1999</v>
      </c>
      <c r="E2328">
        <f>IFERROR(__xludf.DUMMYFUNCTION("""COMPUTED_VALUE"""),8066883.0)</f>
        <v>8066883</v>
      </c>
    </row>
    <row r="2329">
      <c r="A2329" t="str">
        <f t="shared" si="1"/>
        <v>bgr#2000</v>
      </c>
      <c r="B2329" t="str">
        <f>IFERROR(__xludf.DUMMYFUNCTION("""COMPUTED_VALUE"""),"bgr")</f>
        <v>bgr</v>
      </c>
      <c r="C2329" t="str">
        <f>IFERROR(__xludf.DUMMYFUNCTION("""COMPUTED_VALUE"""),"Bulgaria")</f>
        <v>Bulgaria</v>
      </c>
      <c r="D2329">
        <f>IFERROR(__xludf.DUMMYFUNCTION("""COMPUTED_VALUE"""),2000.0)</f>
        <v>2000</v>
      </c>
      <c r="E2329">
        <f>IFERROR(__xludf.DUMMYFUNCTION("""COMPUTED_VALUE"""),7997787.0)</f>
        <v>7997787</v>
      </c>
    </row>
    <row r="2330">
      <c r="A2330" t="str">
        <f t="shared" si="1"/>
        <v>bgr#2001</v>
      </c>
      <c r="B2330" t="str">
        <f>IFERROR(__xludf.DUMMYFUNCTION("""COMPUTED_VALUE"""),"bgr")</f>
        <v>bgr</v>
      </c>
      <c r="C2330" t="str">
        <f>IFERROR(__xludf.DUMMYFUNCTION("""COMPUTED_VALUE"""),"Bulgaria")</f>
        <v>Bulgaria</v>
      </c>
      <c r="D2330">
        <f>IFERROR(__xludf.DUMMYFUNCTION("""COMPUTED_VALUE"""),2001.0)</f>
        <v>2001</v>
      </c>
      <c r="E2330">
        <f>IFERROR(__xludf.DUMMYFUNCTION("""COMPUTED_VALUE"""),7930546.0)</f>
        <v>7930546</v>
      </c>
    </row>
    <row r="2331">
      <c r="A2331" t="str">
        <f t="shared" si="1"/>
        <v>bgr#2002</v>
      </c>
      <c r="B2331" t="str">
        <f>IFERROR(__xludf.DUMMYFUNCTION("""COMPUTED_VALUE"""),"bgr")</f>
        <v>bgr</v>
      </c>
      <c r="C2331" t="str">
        <f>IFERROR(__xludf.DUMMYFUNCTION("""COMPUTED_VALUE"""),"Bulgaria")</f>
        <v>Bulgaria</v>
      </c>
      <c r="D2331">
        <f>IFERROR(__xludf.DUMMYFUNCTION("""COMPUTED_VALUE"""),2002.0)</f>
        <v>2002</v>
      </c>
      <c r="E2331">
        <f>IFERROR(__xludf.DUMMYFUNCTION("""COMPUTED_VALUE"""),7866086.0)</f>
        <v>7866086</v>
      </c>
    </row>
    <row r="2332">
      <c r="A2332" t="str">
        <f t="shared" si="1"/>
        <v>bgr#2003</v>
      </c>
      <c r="B2332" t="str">
        <f>IFERROR(__xludf.DUMMYFUNCTION("""COMPUTED_VALUE"""),"bgr")</f>
        <v>bgr</v>
      </c>
      <c r="C2332" t="str">
        <f>IFERROR(__xludf.DUMMYFUNCTION("""COMPUTED_VALUE"""),"Bulgaria")</f>
        <v>Bulgaria</v>
      </c>
      <c r="D2332">
        <f>IFERROR(__xludf.DUMMYFUNCTION("""COMPUTED_VALUE"""),2003.0)</f>
        <v>2003</v>
      </c>
      <c r="E2332">
        <f>IFERROR(__xludf.DUMMYFUNCTION("""COMPUTED_VALUE"""),7803881.0)</f>
        <v>7803881</v>
      </c>
    </row>
    <row r="2333">
      <c r="A2333" t="str">
        <f t="shared" si="1"/>
        <v>bgr#2004</v>
      </c>
      <c r="B2333" t="str">
        <f>IFERROR(__xludf.DUMMYFUNCTION("""COMPUTED_VALUE"""),"bgr")</f>
        <v>bgr</v>
      </c>
      <c r="C2333" t="str">
        <f>IFERROR(__xludf.DUMMYFUNCTION("""COMPUTED_VALUE"""),"Bulgaria")</f>
        <v>Bulgaria</v>
      </c>
      <c r="D2333">
        <f>IFERROR(__xludf.DUMMYFUNCTION("""COMPUTED_VALUE"""),2004.0)</f>
        <v>2004</v>
      </c>
      <c r="E2333">
        <f>IFERROR(__xludf.DUMMYFUNCTION("""COMPUTED_VALUE"""),7743264.0)</f>
        <v>7743264</v>
      </c>
    </row>
    <row r="2334">
      <c r="A2334" t="str">
        <f t="shared" si="1"/>
        <v>bgr#2005</v>
      </c>
      <c r="B2334" t="str">
        <f>IFERROR(__xludf.DUMMYFUNCTION("""COMPUTED_VALUE"""),"bgr")</f>
        <v>bgr</v>
      </c>
      <c r="C2334" t="str">
        <f>IFERROR(__xludf.DUMMYFUNCTION("""COMPUTED_VALUE"""),"Bulgaria")</f>
        <v>Bulgaria</v>
      </c>
      <c r="D2334">
        <f>IFERROR(__xludf.DUMMYFUNCTION("""COMPUTED_VALUE"""),2005.0)</f>
        <v>2005</v>
      </c>
      <c r="E2334">
        <f>IFERROR(__xludf.DUMMYFUNCTION("""COMPUTED_VALUE"""),7683763.0)</f>
        <v>7683763</v>
      </c>
    </row>
    <row r="2335">
      <c r="A2335" t="str">
        <f t="shared" si="1"/>
        <v>bgr#2006</v>
      </c>
      <c r="B2335" t="str">
        <f>IFERROR(__xludf.DUMMYFUNCTION("""COMPUTED_VALUE"""),"bgr")</f>
        <v>bgr</v>
      </c>
      <c r="C2335" t="str">
        <f>IFERROR(__xludf.DUMMYFUNCTION("""COMPUTED_VALUE"""),"Bulgaria")</f>
        <v>Bulgaria</v>
      </c>
      <c r="D2335">
        <f>IFERROR(__xludf.DUMMYFUNCTION("""COMPUTED_VALUE"""),2006.0)</f>
        <v>2006</v>
      </c>
      <c r="E2335">
        <f>IFERROR(__xludf.DUMMYFUNCTION("""COMPUTED_VALUE"""),7624959.0)</f>
        <v>7624959</v>
      </c>
    </row>
    <row r="2336">
      <c r="A2336" t="str">
        <f t="shared" si="1"/>
        <v>bgr#2007</v>
      </c>
      <c r="B2336" t="str">
        <f>IFERROR(__xludf.DUMMYFUNCTION("""COMPUTED_VALUE"""),"bgr")</f>
        <v>bgr</v>
      </c>
      <c r="C2336" t="str">
        <f>IFERROR(__xludf.DUMMYFUNCTION("""COMPUTED_VALUE"""),"Bulgaria")</f>
        <v>Bulgaria</v>
      </c>
      <c r="D2336">
        <f>IFERROR(__xludf.DUMMYFUNCTION("""COMPUTED_VALUE"""),2007.0)</f>
        <v>2007</v>
      </c>
      <c r="E2336">
        <f>IFERROR(__xludf.DUMMYFUNCTION("""COMPUTED_VALUE"""),7566949.0)</f>
        <v>7566949</v>
      </c>
    </row>
    <row r="2337">
      <c r="A2337" t="str">
        <f t="shared" si="1"/>
        <v>bgr#2008</v>
      </c>
      <c r="B2337" t="str">
        <f>IFERROR(__xludf.DUMMYFUNCTION("""COMPUTED_VALUE"""),"bgr")</f>
        <v>bgr</v>
      </c>
      <c r="C2337" t="str">
        <f>IFERROR(__xludf.DUMMYFUNCTION("""COMPUTED_VALUE"""),"Bulgaria")</f>
        <v>Bulgaria</v>
      </c>
      <c r="D2337">
        <f>IFERROR(__xludf.DUMMYFUNCTION("""COMPUTED_VALUE"""),2008.0)</f>
        <v>2008</v>
      </c>
      <c r="E2337">
        <f>IFERROR(__xludf.DUMMYFUNCTION("""COMPUTED_VALUE"""),7510331.0)</f>
        <v>7510331</v>
      </c>
    </row>
    <row r="2338">
      <c r="A2338" t="str">
        <f t="shared" si="1"/>
        <v>bgr#2009</v>
      </c>
      <c r="B2338" t="str">
        <f>IFERROR(__xludf.DUMMYFUNCTION("""COMPUTED_VALUE"""),"bgr")</f>
        <v>bgr</v>
      </c>
      <c r="C2338" t="str">
        <f>IFERROR(__xludf.DUMMYFUNCTION("""COMPUTED_VALUE"""),"Bulgaria")</f>
        <v>Bulgaria</v>
      </c>
      <c r="D2338">
        <f>IFERROR(__xludf.DUMMYFUNCTION("""COMPUTED_VALUE"""),2009.0)</f>
        <v>2009</v>
      </c>
      <c r="E2338">
        <f>IFERROR(__xludf.DUMMYFUNCTION("""COMPUTED_VALUE"""),7456030.0)</f>
        <v>7456030</v>
      </c>
    </row>
    <row r="2339">
      <c r="A2339" t="str">
        <f t="shared" si="1"/>
        <v>bgr#2010</v>
      </c>
      <c r="B2339" t="str">
        <f>IFERROR(__xludf.DUMMYFUNCTION("""COMPUTED_VALUE"""),"bgr")</f>
        <v>bgr</v>
      </c>
      <c r="C2339" t="str">
        <f>IFERROR(__xludf.DUMMYFUNCTION("""COMPUTED_VALUE"""),"Bulgaria")</f>
        <v>Bulgaria</v>
      </c>
      <c r="D2339">
        <f>IFERROR(__xludf.DUMMYFUNCTION("""COMPUTED_VALUE"""),2010.0)</f>
        <v>2010</v>
      </c>
      <c r="E2339">
        <f>IFERROR(__xludf.DUMMYFUNCTION("""COMPUTED_VALUE"""),7404590.0)</f>
        <v>7404590</v>
      </c>
    </row>
    <row r="2340">
      <c r="A2340" t="str">
        <f t="shared" si="1"/>
        <v>bgr#2011</v>
      </c>
      <c r="B2340" t="str">
        <f>IFERROR(__xludf.DUMMYFUNCTION("""COMPUTED_VALUE"""),"bgr")</f>
        <v>bgr</v>
      </c>
      <c r="C2340" t="str">
        <f>IFERROR(__xludf.DUMMYFUNCTION("""COMPUTED_VALUE"""),"Bulgaria")</f>
        <v>Bulgaria</v>
      </c>
      <c r="D2340">
        <f>IFERROR(__xludf.DUMMYFUNCTION("""COMPUTED_VALUE"""),2011.0)</f>
        <v>2011</v>
      </c>
      <c r="E2340">
        <f>IFERROR(__xludf.DUMMYFUNCTION("""COMPUTED_VALUE"""),7356213.0)</f>
        <v>7356213</v>
      </c>
    </row>
    <row r="2341">
      <c r="A2341" t="str">
        <f t="shared" si="1"/>
        <v>bgr#2012</v>
      </c>
      <c r="B2341" t="str">
        <f>IFERROR(__xludf.DUMMYFUNCTION("""COMPUTED_VALUE"""),"bgr")</f>
        <v>bgr</v>
      </c>
      <c r="C2341" t="str">
        <f>IFERROR(__xludf.DUMMYFUNCTION("""COMPUTED_VALUE"""),"Bulgaria")</f>
        <v>Bulgaria</v>
      </c>
      <c r="D2341">
        <f>IFERROR(__xludf.DUMMYFUNCTION("""COMPUTED_VALUE"""),2012.0)</f>
        <v>2012</v>
      </c>
      <c r="E2341">
        <f>IFERROR(__xludf.DUMMYFUNCTION("""COMPUTED_VALUE"""),7310383.0)</f>
        <v>7310383</v>
      </c>
    </row>
    <row r="2342">
      <c r="A2342" t="str">
        <f t="shared" si="1"/>
        <v>bgr#2013</v>
      </c>
      <c r="B2342" t="str">
        <f>IFERROR(__xludf.DUMMYFUNCTION("""COMPUTED_VALUE"""),"bgr")</f>
        <v>bgr</v>
      </c>
      <c r="C2342" t="str">
        <f>IFERROR(__xludf.DUMMYFUNCTION("""COMPUTED_VALUE"""),"Bulgaria")</f>
        <v>Bulgaria</v>
      </c>
      <c r="D2342">
        <f>IFERROR(__xludf.DUMMYFUNCTION("""COMPUTED_VALUE"""),2013.0)</f>
        <v>2013</v>
      </c>
      <c r="E2342">
        <f>IFERROR(__xludf.DUMMYFUNCTION("""COMPUTED_VALUE"""),7266141.0)</f>
        <v>7266141</v>
      </c>
    </row>
    <row r="2343">
      <c r="A2343" t="str">
        <f t="shared" si="1"/>
        <v>bgr#2014</v>
      </c>
      <c r="B2343" t="str">
        <f>IFERROR(__xludf.DUMMYFUNCTION("""COMPUTED_VALUE"""),"bgr")</f>
        <v>bgr</v>
      </c>
      <c r="C2343" t="str">
        <f>IFERROR(__xludf.DUMMYFUNCTION("""COMPUTED_VALUE"""),"Bulgaria")</f>
        <v>Bulgaria</v>
      </c>
      <c r="D2343">
        <f>IFERROR(__xludf.DUMMYFUNCTION("""COMPUTED_VALUE"""),2014.0)</f>
        <v>2014</v>
      </c>
      <c r="E2343">
        <f>IFERROR(__xludf.DUMMYFUNCTION("""COMPUTED_VALUE"""),7222145.0)</f>
        <v>7222145</v>
      </c>
    </row>
    <row r="2344">
      <c r="A2344" t="str">
        <f t="shared" si="1"/>
        <v>bgr#2015</v>
      </c>
      <c r="B2344" t="str">
        <f>IFERROR(__xludf.DUMMYFUNCTION("""COMPUTED_VALUE"""),"bgr")</f>
        <v>bgr</v>
      </c>
      <c r="C2344" t="str">
        <f>IFERROR(__xludf.DUMMYFUNCTION("""COMPUTED_VALUE"""),"Bulgaria")</f>
        <v>Bulgaria</v>
      </c>
      <c r="D2344">
        <f>IFERROR(__xludf.DUMMYFUNCTION("""COMPUTED_VALUE"""),2015.0)</f>
        <v>2015</v>
      </c>
      <c r="E2344">
        <f>IFERROR(__xludf.DUMMYFUNCTION("""COMPUTED_VALUE"""),7177396.0)</f>
        <v>7177396</v>
      </c>
    </row>
    <row r="2345">
      <c r="A2345" t="str">
        <f t="shared" si="1"/>
        <v>bgr#2016</v>
      </c>
      <c r="B2345" t="str">
        <f>IFERROR(__xludf.DUMMYFUNCTION("""COMPUTED_VALUE"""),"bgr")</f>
        <v>bgr</v>
      </c>
      <c r="C2345" t="str">
        <f>IFERROR(__xludf.DUMMYFUNCTION("""COMPUTED_VALUE"""),"Bulgaria")</f>
        <v>Bulgaria</v>
      </c>
      <c r="D2345">
        <f>IFERROR(__xludf.DUMMYFUNCTION("""COMPUTED_VALUE"""),2016.0)</f>
        <v>2016</v>
      </c>
      <c r="E2345">
        <f>IFERROR(__xludf.DUMMYFUNCTION("""COMPUTED_VALUE"""),7131494.0)</f>
        <v>7131494</v>
      </c>
    </row>
    <row r="2346">
      <c r="A2346" t="str">
        <f t="shared" si="1"/>
        <v>bgr#2017</v>
      </c>
      <c r="B2346" t="str">
        <f>IFERROR(__xludf.DUMMYFUNCTION("""COMPUTED_VALUE"""),"bgr")</f>
        <v>bgr</v>
      </c>
      <c r="C2346" t="str">
        <f>IFERROR(__xludf.DUMMYFUNCTION("""COMPUTED_VALUE"""),"Bulgaria")</f>
        <v>Bulgaria</v>
      </c>
      <c r="D2346">
        <f>IFERROR(__xludf.DUMMYFUNCTION("""COMPUTED_VALUE"""),2017.0)</f>
        <v>2017</v>
      </c>
      <c r="E2346">
        <f>IFERROR(__xludf.DUMMYFUNCTION("""COMPUTED_VALUE"""),7084571.0)</f>
        <v>7084571</v>
      </c>
    </row>
    <row r="2347">
      <c r="A2347" t="str">
        <f t="shared" si="1"/>
        <v>bgr#2018</v>
      </c>
      <c r="B2347" t="str">
        <f>IFERROR(__xludf.DUMMYFUNCTION("""COMPUTED_VALUE"""),"bgr")</f>
        <v>bgr</v>
      </c>
      <c r="C2347" t="str">
        <f>IFERROR(__xludf.DUMMYFUNCTION("""COMPUTED_VALUE"""),"Bulgaria")</f>
        <v>Bulgaria</v>
      </c>
      <c r="D2347">
        <f>IFERROR(__xludf.DUMMYFUNCTION("""COMPUTED_VALUE"""),2018.0)</f>
        <v>2018</v>
      </c>
      <c r="E2347">
        <f>IFERROR(__xludf.DUMMYFUNCTION("""COMPUTED_VALUE"""),7036848.0)</f>
        <v>7036848</v>
      </c>
    </row>
    <row r="2348">
      <c r="A2348" t="str">
        <f t="shared" si="1"/>
        <v>bgr#2019</v>
      </c>
      <c r="B2348" t="str">
        <f>IFERROR(__xludf.DUMMYFUNCTION("""COMPUTED_VALUE"""),"bgr")</f>
        <v>bgr</v>
      </c>
      <c r="C2348" t="str">
        <f>IFERROR(__xludf.DUMMYFUNCTION("""COMPUTED_VALUE"""),"Bulgaria")</f>
        <v>Bulgaria</v>
      </c>
      <c r="D2348">
        <f>IFERROR(__xludf.DUMMYFUNCTION("""COMPUTED_VALUE"""),2019.0)</f>
        <v>2019</v>
      </c>
      <c r="E2348">
        <f>IFERROR(__xludf.DUMMYFUNCTION("""COMPUTED_VALUE"""),6988739.0)</f>
        <v>6988739</v>
      </c>
    </row>
    <row r="2349">
      <c r="A2349" t="str">
        <f t="shared" si="1"/>
        <v>bgr#2020</v>
      </c>
      <c r="B2349" t="str">
        <f>IFERROR(__xludf.DUMMYFUNCTION("""COMPUTED_VALUE"""),"bgr")</f>
        <v>bgr</v>
      </c>
      <c r="C2349" t="str">
        <f>IFERROR(__xludf.DUMMYFUNCTION("""COMPUTED_VALUE"""),"Bulgaria")</f>
        <v>Bulgaria</v>
      </c>
      <c r="D2349">
        <f>IFERROR(__xludf.DUMMYFUNCTION("""COMPUTED_VALUE"""),2020.0)</f>
        <v>2020</v>
      </c>
      <c r="E2349">
        <f>IFERROR(__xludf.DUMMYFUNCTION("""COMPUTED_VALUE"""),6940527.0)</f>
        <v>6940527</v>
      </c>
    </row>
    <row r="2350">
      <c r="A2350" t="str">
        <f t="shared" si="1"/>
        <v>bgr#2021</v>
      </c>
      <c r="B2350" t="str">
        <f>IFERROR(__xludf.DUMMYFUNCTION("""COMPUTED_VALUE"""),"bgr")</f>
        <v>bgr</v>
      </c>
      <c r="C2350" t="str">
        <f>IFERROR(__xludf.DUMMYFUNCTION("""COMPUTED_VALUE"""),"Bulgaria")</f>
        <v>Bulgaria</v>
      </c>
      <c r="D2350">
        <f>IFERROR(__xludf.DUMMYFUNCTION("""COMPUTED_VALUE"""),2021.0)</f>
        <v>2021</v>
      </c>
      <c r="E2350">
        <f>IFERROR(__xludf.DUMMYFUNCTION("""COMPUTED_VALUE"""),6892210.0)</f>
        <v>6892210</v>
      </c>
    </row>
    <row r="2351">
      <c r="A2351" t="str">
        <f t="shared" si="1"/>
        <v>bgr#2022</v>
      </c>
      <c r="B2351" t="str">
        <f>IFERROR(__xludf.DUMMYFUNCTION("""COMPUTED_VALUE"""),"bgr")</f>
        <v>bgr</v>
      </c>
      <c r="C2351" t="str">
        <f>IFERROR(__xludf.DUMMYFUNCTION("""COMPUTED_VALUE"""),"Bulgaria")</f>
        <v>Bulgaria</v>
      </c>
      <c r="D2351">
        <f>IFERROR(__xludf.DUMMYFUNCTION("""COMPUTED_VALUE"""),2022.0)</f>
        <v>2022</v>
      </c>
      <c r="E2351">
        <f>IFERROR(__xludf.DUMMYFUNCTION("""COMPUTED_VALUE"""),6843583.0)</f>
        <v>6843583</v>
      </c>
    </row>
    <row r="2352">
      <c r="A2352" t="str">
        <f t="shared" si="1"/>
        <v>bgr#2023</v>
      </c>
      <c r="B2352" t="str">
        <f>IFERROR(__xludf.DUMMYFUNCTION("""COMPUTED_VALUE"""),"bgr")</f>
        <v>bgr</v>
      </c>
      <c r="C2352" t="str">
        <f>IFERROR(__xludf.DUMMYFUNCTION("""COMPUTED_VALUE"""),"Bulgaria")</f>
        <v>Bulgaria</v>
      </c>
      <c r="D2352">
        <f>IFERROR(__xludf.DUMMYFUNCTION("""COMPUTED_VALUE"""),2023.0)</f>
        <v>2023</v>
      </c>
      <c r="E2352">
        <f>IFERROR(__xludf.DUMMYFUNCTION("""COMPUTED_VALUE"""),6794495.0)</f>
        <v>6794495</v>
      </c>
    </row>
    <row r="2353">
      <c r="A2353" t="str">
        <f t="shared" si="1"/>
        <v>bgr#2024</v>
      </c>
      <c r="B2353" t="str">
        <f>IFERROR(__xludf.DUMMYFUNCTION("""COMPUTED_VALUE"""),"bgr")</f>
        <v>bgr</v>
      </c>
      <c r="C2353" t="str">
        <f>IFERROR(__xludf.DUMMYFUNCTION("""COMPUTED_VALUE"""),"Bulgaria")</f>
        <v>Bulgaria</v>
      </c>
      <c r="D2353">
        <f>IFERROR(__xludf.DUMMYFUNCTION("""COMPUTED_VALUE"""),2024.0)</f>
        <v>2024</v>
      </c>
      <c r="E2353">
        <f>IFERROR(__xludf.DUMMYFUNCTION("""COMPUTED_VALUE"""),6744760.0)</f>
        <v>6744760</v>
      </c>
    </row>
    <row r="2354">
      <c r="A2354" t="str">
        <f t="shared" si="1"/>
        <v>bgr#2025</v>
      </c>
      <c r="B2354" t="str">
        <f>IFERROR(__xludf.DUMMYFUNCTION("""COMPUTED_VALUE"""),"bgr")</f>
        <v>bgr</v>
      </c>
      <c r="C2354" t="str">
        <f>IFERROR(__xludf.DUMMYFUNCTION("""COMPUTED_VALUE"""),"Bulgaria")</f>
        <v>Bulgaria</v>
      </c>
      <c r="D2354">
        <f>IFERROR(__xludf.DUMMYFUNCTION("""COMPUTED_VALUE"""),2025.0)</f>
        <v>2025</v>
      </c>
      <c r="E2354">
        <f>IFERROR(__xludf.DUMMYFUNCTION("""COMPUTED_VALUE"""),6694229.0)</f>
        <v>6694229</v>
      </c>
    </row>
    <row r="2355">
      <c r="A2355" t="str">
        <f t="shared" si="1"/>
        <v>bgr#2026</v>
      </c>
      <c r="B2355" t="str">
        <f>IFERROR(__xludf.DUMMYFUNCTION("""COMPUTED_VALUE"""),"bgr")</f>
        <v>bgr</v>
      </c>
      <c r="C2355" t="str">
        <f>IFERROR(__xludf.DUMMYFUNCTION("""COMPUTED_VALUE"""),"Bulgaria")</f>
        <v>Bulgaria</v>
      </c>
      <c r="D2355">
        <f>IFERROR(__xludf.DUMMYFUNCTION("""COMPUTED_VALUE"""),2026.0)</f>
        <v>2026</v>
      </c>
      <c r="E2355">
        <f>IFERROR(__xludf.DUMMYFUNCTION("""COMPUTED_VALUE"""),6642909.0)</f>
        <v>6642909</v>
      </c>
    </row>
    <row r="2356">
      <c r="A2356" t="str">
        <f t="shared" si="1"/>
        <v>bgr#2027</v>
      </c>
      <c r="B2356" t="str">
        <f>IFERROR(__xludf.DUMMYFUNCTION("""COMPUTED_VALUE"""),"bgr")</f>
        <v>bgr</v>
      </c>
      <c r="C2356" t="str">
        <f>IFERROR(__xludf.DUMMYFUNCTION("""COMPUTED_VALUE"""),"Bulgaria")</f>
        <v>Bulgaria</v>
      </c>
      <c r="D2356">
        <f>IFERROR(__xludf.DUMMYFUNCTION("""COMPUTED_VALUE"""),2027.0)</f>
        <v>2027</v>
      </c>
      <c r="E2356">
        <f>IFERROR(__xludf.DUMMYFUNCTION("""COMPUTED_VALUE"""),6590868.0)</f>
        <v>6590868</v>
      </c>
    </row>
    <row r="2357">
      <c r="A2357" t="str">
        <f t="shared" si="1"/>
        <v>bgr#2028</v>
      </c>
      <c r="B2357" t="str">
        <f>IFERROR(__xludf.DUMMYFUNCTION("""COMPUTED_VALUE"""),"bgr")</f>
        <v>bgr</v>
      </c>
      <c r="C2357" t="str">
        <f>IFERROR(__xludf.DUMMYFUNCTION("""COMPUTED_VALUE"""),"Bulgaria")</f>
        <v>Bulgaria</v>
      </c>
      <c r="D2357">
        <f>IFERROR(__xludf.DUMMYFUNCTION("""COMPUTED_VALUE"""),2028.0)</f>
        <v>2028</v>
      </c>
      <c r="E2357">
        <f>IFERROR(__xludf.DUMMYFUNCTION("""COMPUTED_VALUE"""),6538137.0)</f>
        <v>6538137</v>
      </c>
    </row>
    <row r="2358">
      <c r="A2358" t="str">
        <f t="shared" si="1"/>
        <v>bgr#2029</v>
      </c>
      <c r="B2358" t="str">
        <f>IFERROR(__xludf.DUMMYFUNCTION("""COMPUTED_VALUE"""),"bgr")</f>
        <v>bgr</v>
      </c>
      <c r="C2358" t="str">
        <f>IFERROR(__xludf.DUMMYFUNCTION("""COMPUTED_VALUE"""),"Bulgaria")</f>
        <v>Bulgaria</v>
      </c>
      <c r="D2358">
        <f>IFERROR(__xludf.DUMMYFUNCTION("""COMPUTED_VALUE"""),2029.0)</f>
        <v>2029</v>
      </c>
      <c r="E2358">
        <f>IFERROR(__xludf.DUMMYFUNCTION("""COMPUTED_VALUE"""),6484770.0)</f>
        <v>6484770</v>
      </c>
    </row>
    <row r="2359">
      <c r="A2359" t="str">
        <f t="shared" si="1"/>
        <v>bgr#2030</v>
      </c>
      <c r="B2359" t="str">
        <f>IFERROR(__xludf.DUMMYFUNCTION("""COMPUTED_VALUE"""),"bgr")</f>
        <v>bgr</v>
      </c>
      <c r="C2359" t="str">
        <f>IFERROR(__xludf.DUMMYFUNCTION("""COMPUTED_VALUE"""),"Bulgaria")</f>
        <v>Bulgaria</v>
      </c>
      <c r="D2359">
        <f>IFERROR(__xludf.DUMMYFUNCTION("""COMPUTED_VALUE"""),2030.0)</f>
        <v>2030</v>
      </c>
      <c r="E2359">
        <f>IFERROR(__xludf.DUMMYFUNCTION("""COMPUTED_VALUE"""),6430847.0)</f>
        <v>6430847</v>
      </c>
    </row>
    <row r="2360">
      <c r="A2360" t="str">
        <f t="shared" si="1"/>
        <v>bgr#2031</v>
      </c>
      <c r="B2360" t="str">
        <f>IFERROR(__xludf.DUMMYFUNCTION("""COMPUTED_VALUE"""),"bgr")</f>
        <v>bgr</v>
      </c>
      <c r="C2360" t="str">
        <f>IFERROR(__xludf.DUMMYFUNCTION("""COMPUTED_VALUE"""),"Bulgaria")</f>
        <v>Bulgaria</v>
      </c>
      <c r="D2360">
        <f>IFERROR(__xludf.DUMMYFUNCTION("""COMPUTED_VALUE"""),2031.0)</f>
        <v>2031</v>
      </c>
      <c r="E2360">
        <f>IFERROR(__xludf.DUMMYFUNCTION("""COMPUTED_VALUE"""),6376395.0)</f>
        <v>6376395</v>
      </c>
    </row>
    <row r="2361">
      <c r="A2361" t="str">
        <f t="shared" si="1"/>
        <v>bgr#2032</v>
      </c>
      <c r="B2361" t="str">
        <f>IFERROR(__xludf.DUMMYFUNCTION("""COMPUTED_VALUE"""),"bgr")</f>
        <v>bgr</v>
      </c>
      <c r="C2361" t="str">
        <f>IFERROR(__xludf.DUMMYFUNCTION("""COMPUTED_VALUE"""),"Bulgaria")</f>
        <v>Bulgaria</v>
      </c>
      <c r="D2361">
        <f>IFERROR(__xludf.DUMMYFUNCTION("""COMPUTED_VALUE"""),2032.0)</f>
        <v>2032</v>
      </c>
      <c r="E2361">
        <f>IFERROR(__xludf.DUMMYFUNCTION("""COMPUTED_VALUE"""),6321526.0)</f>
        <v>6321526</v>
      </c>
    </row>
    <row r="2362">
      <c r="A2362" t="str">
        <f t="shared" si="1"/>
        <v>bgr#2033</v>
      </c>
      <c r="B2362" t="str">
        <f>IFERROR(__xludf.DUMMYFUNCTION("""COMPUTED_VALUE"""),"bgr")</f>
        <v>bgr</v>
      </c>
      <c r="C2362" t="str">
        <f>IFERROR(__xludf.DUMMYFUNCTION("""COMPUTED_VALUE"""),"Bulgaria")</f>
        <v>Bulgaria</v>
      </c>
      <c r="D2362">
        <f>IFERROR(__xludf.DUMMYFUNCTION("""COMPUTED_VALUE"""),2033.0)</f>
        <v>2033</v>
      </c>
      <c r="E2362">
        <f>IFERROR(__xludf.DUMMYFUNCTION("""COMPUTED_VALUE"""),6266489.0)</f>
        <v>6266489</v>
      </c>
    </row>
    <row r="2363">
      <c r="A2363" t="str">
        <f t="shared" si="1"/>
        <v>bgr#2034</v>
      </c>
      <c r="B2363" t="str">
        <f>IFERROR(__xludf.DUMMYFUNCTION("""COMPUTED_VALUE"""),"bgr")</f>
        <v>bgr</v>
      </c>
      <c r="C2363" t="str">
        <f>IFERROR(__xludf.DUMMYFUNCTION("""COMPUTED_VALUE"""),"Bulgaria")</f>
        <v>Bulgaria</v>
      </c>
      <c r="D2363">
        <f>IFERROR(__xludf.DUMMYFUNCTION("""COMPUTED_VALUE"""),2034.0)</f>
        <v>2034</v>
      </c>
      <c r="E2363">
        <f>IFERROR(__xludf.DUMMYFUNCTION("""COMPUTED_VALUE"""),6211611.0)</f>
        <v>6211611</v>
      </c>
    </row>
    <row r="2364">
      <c r="A2364" t="str">
        <f t="shared" si="1"/>
        <v>bgr#2035</v>
      </c>
      <c r="B2364" t="str">
        <f>IFERROR(__xludf.DUMMYFUNCTION("""COMPUTED_VALUE"""),"bgr")</f>
        <v>bgr</v>
      </c>
      <c r="C2364" t="str">
        <f>IFERROR(__xludf.DUMMYFUNCTION("""COMPUTED_VALUE"""),"Bulgaria")</f>
        <v>Bulgaria</v>
      </c>
      <c r="D2364">
        <f>IFERROR(__xludf.DUMMYFUNCTION("""COMPUTED_VALUE"""),2035.0)</f>
        <v>2035</v>
      </c>
      <c r="E2364">
        <f>IFERROR(__xludf.DUMMYFUNCTION("""COMPUTED_VALUE"""),6157135.0)</f>
        <v>6157135</v>
      </c>
    </row>
    <row r="2365">
      <c r="A2365" t="str">
        <f t="shared" si="1"/>
        <v>bgr#2036</v>
      </c>
      <c r="B2365" t="str">
        <f>IFERROR(__xludf.DUMMYFUNCTION("""COMPUTED_VALUE"""),"bgr")</f>
        <v>bgr</v>
      </c>
      <c r="C2365" t="str">
        <f>IFERROR(__xludf.DUMMYFUNCTION("""COMPUTED_VALUE"""),"Bulgaria")</f>
        <v>Bulgaria</v>
      </c>
      <c r="D2365">
        <f>IFERROR(__xludf.DUMMYFUNCTION("""COMPUTED_VALUE"""),2036.0)</f>
        <v>2036</v>
      </c>
      <c r="E2365">
        <f>IFERROR(__xludf.DUMMYFUNCTION("""COMPUTED_VALUE"""),6103183.0)</f>
        <v>6103183</v>
      </c>
    </row>
    <row r="2366">
      <c r="A2366" t="str">
        <f t="shared" si="1"/>
        <v>bgr#2037</v>
      </c>
      <c r="B2366" t="str">
        <f>IFERROR(__xludf.DUMMYFUNCTION("""COMPUTED_VALUE"""),"bgr")</f>
        <v>bgr</v>
      </c>
      <c r="C2366" t="str">
        <f>IFERROR(__xludf.DUMMYFUNCTION("""COMPUTED_VALUE"""),"Bulgaria")</f>
        <v>Bulgaria</v>
      </c>
      <c r="D2366">
        <f>IFERROR(__xludf.DUMMYFUNCTION("""COMPUTED_VALUE"""),2037.0)</f>
        <v>2037</v>
      </c>
      <c r="E2366">
        <f>IFERROR(__xludf.DUMMYFUNCTION("""COMPUTED_VALUE"""),6049788.0)</f>
        <v>6049788</v>
      </c>
    </row>
    <row r="2367">
      <c r="A2367" t="str">
        <f t="shared" si="1"/>
        <v>bgr#2038</v>
      </c>
      <c r="B2367" t="str">
        <f>IFERROR(__xludf.DUMMYFUNCTION("""COMPUTED_VALUE"""),"bgr")</f>
        <v>bgr</v>
      </c>
      <c r="C2367" t="str">
        <f>IFERROR(__xludf.DUMMYFUNCTION("""COMPUTED_VALUE"""),"Bulgaria")</f>
        <v>Bulgaria</v>
      </c>
      <c r="D2367">
        <f>IFERROR(__xludf.DUMMYFUNCTION("""COMPUTED_VALUE"""),2038.0)</f>
        <v>2038</v>
      </c>
      <c r="E2367">
        <f>IFERROR(__xludf.DUMMYFUNCTION("""COMPUTED_VALUE"""),5997076.0)</f>
        <v>5997076</v>
      </c>
    </row>
    <row r="2368">
      <c r="A2368" t="str">
        <f t="shared" si="1"/>
        <v>bgr#2039</v>
      </c>
      <c r="B2368" t="str">
        <f>IFERROR(__xludf.DUMMYFUNCTION("""COMPUTED_VALUE"""),"bgr")</f>
        <v>bgr</v>
      </c>
      <c r="C2368" t="str">
        <f>IFERROR(__xludf.DUMMYFUNCTION("""COMPUTED_VALUE"""),"Bulgaria")</f>
        <v>Bulgaria</v>
      </c>
      <c r="D2368">
        <f>IFERROR(__xludf.DUMMYFUNCTION("""COMPUTED_VALUE"""),2039.0)</f>
        <v>2039</v>
      </c>
      <c r="E2368">
        <f>IFERROR(__xludf.DUMMYFUNCTION("""COMPUTED_VALUE"""),5945164.0)</f>
        <v>5945164</v>
      </c>
    </row>
    <row r="2369">
      <c r="A2369" t="str">
        <f t="shared" si="1"/>
        <v>bgr#2040</v>
      </c>
      <c r="B2369" t="str">
        <f>IFERROR(__xludf.DUMMYFUNCTION("""COMPUTED_VALUE"""),"bgr")</f>
        <v>bgr</v>
      </c>
      <c r="C2369" t="str">
        <f>IFERROR(__xludf.DUMMYFUNCTION("""COMPUTED_VALUE"""),"Bulgaria")</f>
        <v>Bulgaria</v>
      </c>
      <c r="D2369">
        <f>IFERROR(__xludf.DUMMYFUNCTION("""COMPUTED_VALUE"""),2040.0)</f>
        <v>2040</v>
      </c>
      <c r="E2369">
        <f>IFERROR(__xludf.DUMMYFUNCTION("""COMPUTED_VALUE"""),5894132.0)</f>
        <v>5894132</v>
      </c>
    </row>
    <row r="2370">
      <c r="A2370" t="str">
        <f t="shared" si="1"/>
        <v>bfa#1950</v>
      </c>
      <c r="B2370" t="str">
        <f>IFERROR(__xludf.DUMMYFUNCTION("""COMPUTED_VALUE"""),"bfa")</f>
        <v>bfa</v>
      </c>
      <c r="C2370" t="str">
        <f>IFERROR(__xludf.DUMMYFUNCTION("""COMPUTED_VALUE"""),"Burkina Faso")</f>
        <v>Burkina Faso</v>
      </c>
      <c r="D2370">
        <f>IFERROR(__xludf.DUMMYFUNCTION("""COMPUTED_VALUE"""),1950.0)</f>
        <v>1950</v>
      </c>
      <c r="E2370">
        <f>IFERROR(__xludf.DUMMYFUNCTION("""COMPUTED_VALUE"""),4284461.0)</f>
        <v>4284461</v>
      </c>
    </row>
    <row r="2371">
      <c r="A2371" t="str">
        <f t="shared" si="1"/>
        <v>bfa#1951</v>
      </c>
      <c r="B2371" t="str">
        <f>IFERROR(__xludf.DUMMYFUNCTION("""COMPUTED_VALUE"""),"bfa")</f>
        <v>bfa</v>
      </c>
      <c r="C2371" t="str">
        <f>IFERROR(__xludf.DUMMYFUNCTION("""COMPUTED_VALUE"""),"Burkina Faso")</f>
        <v>Burkina Faso</v>
      </c>
      <c r="D2371">
        <f>IFERROR(__xludf.DUMMYFUNCTION("""COMPUTED_VALUE"""),1951.0)</f>
        <v>1951</v>
      </c>
      <c r="E2371">
        <f>IFERROR(__xludf.DUMMYFUNCTION("""COMPUTED_VALUE"""),4324494.0)</f>
        <v>4324494</v>
      </c>
    </row>
    <row r="2372">
      <c r="A2372" t="str">
        <f t="shared" si="1"/>
        <v>bfa#1952</v>
      </c>
      <c r="B2372" t="str">
        <f>IFERROR(__xludf.DUMMYFUNCTION("""COMPUTED_VALUE"""),"bfa")</f>
        <v>bfa</v>
      </c>
      <c r="C2372" t="str">
        <f>IFERROR(__xludf.DUMMYFUNCTION("""COMPUTED_VALUE"""),"Burkina Faso")</f>
        <v>Burkina Faso</v>
      </c>
      <c r="D2372">
        <f>IFERROR(__xludf.DUMMYFUNCTION("""COMPUTED_VALUE"""),1952.0)</f>
        <v>1952</v>
      </c>
      <c r="E2372">
        <f>IFERROR(__xludf.DUMMYFUNCTION("""COMPUTED_VALUE"""),4367134.0)</f>
        <v>4367134</v>
      </c>
    </row>
    <row r="2373">
      <c r="A2373" t="str">
        <f t="shared" si="1"/>
        <v>bfa#1953</v>
      </c>
      <c r="B2373" t="str">
        <f>IFERROR(__xludf.DUMMYFUNCTION("""COMPUTED_VALUE"""),"bfa")</f>
        <v>bfa</v>
      </c>
      <c r="C2373" t="str">
        <f>IFERROR(__xludf.DUMMYFUNCTION("""COMPUTED_VALUE"""),"Burkina Faso")</f>
        <v>Burkina Faso</v>
      </c>
      <c r="D2373">
        <f>IFERROR(__xludf.DUMMYFUNCTION("""COMPUTED_VALUE"""),1953.0)</f>
        <v>1953</v>
      </c>
      <c r="E2373">
        <f>IFERROR(__xludf.DUMMYFUNCTION("""COMPUTED_VALUE"""),4413202.0)</f>
        <v>4413202</v>
      </c>
    </row>
    <row r="2374">
      <c r="A2374" t="str">
        <f t="shared" si="1"/>
        <v>bfa#1954</v>
      </c>
      <c r="B2374" t="str">
        <f>IFERROR(__xludf.DUMMYFUNCTION("""COMPUTED_VALUE"""),"bfa")</f>
        <v>bfa</v>
      </c>
      <c r="C2374" t="str">
        <f>IFERROR(__xludf.DUMMYFUNCTION("""COMPUTED_VALUE"""),"Burkina Faso")</f>
        <v>Burkina Faso</v>
      </c>
      <c r="D2374">
        <f>IFERROR(__xludf.DUMMYFUNCTION("""COMPUTED_VALUE"""),1954.0)</f>
        <v>1954</v>
      </c>
      <c r="E2374">
        <f>IFERROR(__xludf.DUMMYFUNCTION("""COMPUTED_VALUE"""),4463168.0)</f>
        <v>4463168</v>
      </c>
    </row>
    <row r="2375">
      <c r="A2375" t="str">
        <f t="shared" si="1"/>
        <v>bfa#1955</v>
      </c>
      <c r="B2375" t="str">
        <f>IFERROR(__xludf.DUMMYFUNCTION("""COMPUTED_VALUE"""),"bfa")</f>
        <v>bfa</v>
      </c>
      <c r="C2375" t="str">
        <f>IFERROR(__xludf.DUMMYFUNCTION("""COMPUTED_VALUE"""),"Burkina Faso")</f>
        <v>Burkina Faso</v>
      </c>
      <c r="D2375">
        <f>IFERROR(__xludf.DUMMYFUNCTION("""COMPUTED_VALUE"""),1955.0)</f>
        <v>1955</v>
      </c>
      <c r="E2375">
        <f>IFERROR(__xludf.DUMMYFUNCTION("""COMPUTED_VALUE"""),4517155.0)</f>
        <v>4517155</v>
      </c>
    </row>
    <row r="2376">
      <c r="A2376" t="str">
        <f t="shared" si="1"/>
        <v>bfa#1956</v>
      </c>
      <c r="B2376" t="str">
        <f>IFERROR(__xludf.DUMMYFUNCTION("""COMPUTED_VALUE"""),"bfa")</f>
        <v>bfa</v>
      </c>
      <c r="C2376" t="str">
        <f>IFERROR(__xludf.DUMMYFUNCTION("""COMPUTED_VALUE"""),"Burkina Faso")</f>
        <v>Burkina Faso</v>
      </c>
      <c r="D2376">
        <f>IFERROR(__xludf.DUMMYFUNCTION("""COMPUTED_VALUE"""),1956.0)</f>
        <v>1956</v>
      </c>
      <c r="E2376">
        <f>IFERROR(__xludf.DUMMYFUNCTION("""COMPUTED_VALUE"""),4574942.0)</f>
        <v>4574942</v>
      </c>
    </row>
    <row r="2377">
      <c r="A2377" t="str">
        <f t="shared" si="1"/>
        <v>bfa#1957</v>
      </c>
      <c r="B2377" t="str">
        <f>IFERROR(__xludf.DUMMYFUNCTION("""COMPUTED_VALUE"""),"bfa")</f>
        <v>bfa</v>
      </c>
      <c r="C2377" t="str">
        <f>IFERROR(__xludf.DUMMYFUNCTION("""COMPUTED_VALUE"""),"Burkina Faso")</f>
        <v>Burkina Faso</v>
      </c>
      <c r="D2377">
        <f>IFERROR(__xludf.DUMMYFUNCTION("""COMPUTED_VALUE"""),1957.0)</f>
        <v>1957</v>
      </c>
      <c r="E2377">
        <f>IFERROR(__xludf.DUMMYFUNCTION("""COMPUTED_VALUE"""),4635955.0)</f>
        <v>4635955</v>
      </c>
    </row>
    <row r="2378">
      <c r="A2378" t="str">
        <f t="shared" si="1"/>
        <v>bfa#1958</v>
      </c>
      <c r="B2378" t="str">
        <f>IFERROR(__xludf.DUMMYFUNCTION("""COMPUTED_VALUE"""),"bfa")</f>
        <v>bfa</v>
      </c>
      <c r="C2378" t="str">
        <f>IFERROR(__xludf.DUMMYFUNCTION("""COMPUTED_VALUE"""),"Burkina Faso")</f>
        <v>Burkina Faso</v>
      </c>
      <c r="D2378">
        <f>IFERROR(__xludf.DUMMYFUNCTION("""COMPUTED_VALUE"""),1958.0)</f>
        <v>1958</v>
      </c>
      <c r="E2378">
        <f>IFERROR(__xludf.DUMMYFUNCTION("""COMPUTED_VALUE"""),4699340.0)</f>
        <v>4699340</v>
      </c>
    </row>
    <row r="2379">
      <c r="A2379" t="str">
        <f t="shared" si="1"/>
        <v>bfa#1959</v>
      </c>
      <c r="B2379" t="str">
        <f>IFERROR(__xludf.DUMMYFUNCTION("""COMPUTED_VALUE"""),"bfa")</f>
        <v>bfa</v>
      </c>
      <c r="C2379" t="str">
        <f>IFERROR(__xludf.DUMMYFUNCTION("""COMPUTED_VALUE"""),"Burkina Faso")</f>
        <v>Burkina Faso</v>
      </c>
      <c r="D2379">
        <f>IFERROR(__xludf.DUMMYFUNCTION("""COMPUTED_VALUE"""),1959.0)</f>
        <v>1959</v>
      </c>
      <c r="E2379">
        <f>IFERROR(__xludf.DUMMYFUNCTION("""COMPUTED_VALUE"""),4764077.0)</f>
        <v>4764077</v>
      </c>
    </row>
    <row r="2380">
      <c r="A2380" t="str">
        <f t="shared" si="1"/>
        <v>bfa#1960</v>
      </c>
      <c r="B2380" t="str">
        <f>IFERROR(__xludf.DUMMYFUNCTION("""COMPUTED_VALUE"""),"bfa")</f>
        <v>bfa</v>
      </c>
      <c r="C2380" t="str">
        <f>IFERROR(__xludf.DUMMYFUNCTION("""COMPUTED_VALUE"""),"Burkina Faso")</f>
        <v>Burkina Faso</v>
      </c>
      <c r="D2380">
        <f>IFERROR(__xludf.DUMMYFUNCTION("""COMPUTED_VALUE"""),1960.0)</f>
        <v>1960</v>
      </c>
      <c r="E2380">
        <f>IFERROR(__xludf.DUMMYFUNCTION("""COMPUTED_VALUE"""),4829288.0)</f>
        <v>4829288</v>
      </c>
    </row>
    <row r="2381">
      <c r="A2381" t="str">
        <f t="shared" si="1"/>
        <v>bfa#1961</v>
      </c>
      <c r="B2381" t="str">
        <f>IFERROR(__xludf.DUMMYFUNCTION("""COMPUTED_VALUE"""),"bfa")</f>
        <v>bfa</v>
      </c>
      <c r="C2381" t="str">
        <f>IFERROR(__xludf.DUMMYFUNCTION("""COMPUTED_VALUE"""),"Burkina Faso")</f>
        <v>Burkina Faso</v>
      </c>
      <c r="D2381">
        <f>IFERROR(__xludf.DUMMYFUNCTION("""COMPUTED_VALUE"""),1961.0)</f>
        <v>1961</v>
      </c>
      <c r="E2381">
        <f>IFERROR(__xludf.DUMMYFUNCTION("""COMPUTED_VALUE"""),4894580.0)</f>
        <v>4894580</v>
      </c>
    </row>
    <row r="2382">
      <c r="A2382" t="str">
        <f t="shared" si="1"/>
        <v>bfa#1962</v>
      </c>
      <c r="B2382" t="str">
        <f>IFERROR(__xludf.DUMMYFUNCTION("""COMPUTED_VALUE"""),"bfa")</f>
        <v>bfa</v>
      </c>
      <c r="C2382" t="str">
        <f>IFERROR(__xludf.DUMMYFUNCTION("""COMPUTED_VALUE"""),"Burkina Faso")</f>
        <v>Burkina Faso</v>
      </c>
      <c r="D2382">
        <f>IFERROR(__xludf.DUMMYFUNCTION("""COMPUTED_VALUE"""),1962.0)</f>
        <v>1962</v>
      </c>
      <c r="E2382">
        <f>IFERROR(__xludf.DUMMYFUNCTION("""COMPUTED_VALUE"""),4960326.0)</f>
        <v>4960326</v>
      </c>
    </row>
    <row r="2383">
      <c r="A2383" t="str">
        <f t="shared" si="1"/>
        <v>bfa#1963</v>
      </c>
      <c r="B2383" t="str">
        <f>IFERROR(__xludf.DUMMYFUNCTION("""COMPUTED_VALUE"""),"bfa")</f>
        <v>bfa</v>
      </c>
      <c r="C2383" t="str">
        <f>IFERROR(__xludf.DUMMYFUNCTION("""COMPUTED_VALUE"""),"Burkina Faso")</f>
        <v>Burkina Faso</v>
      </c>
      <c r="D2383">
        <f>IFERROR(__xludf.DUMMYFUNCTION("""COMPUTED_VALUE"""),1963.0)</f>
        <v>1963</v>
      </c>
      <c r="E2383">
        <f>IFERROR(__xludf.DUMMYFUNCTION("""COMPUTED_VALUE"""),5027821.0)</f>
        <v>5027821</v>
      </c>
    </row>
    <row r="2384">
      <c r="A2384" t="str">
        <f t="shared" si="1"/>
        <v>bfa#1964</v>
      </c>
      <c r="B2384" t="str">
        <f>IFERROR(__xludf.DUMMYFUNCTION("""COMPUTED_VALUE"""),"bfa")</f>
        <v>bfa</v>
      </c>
      <c r="C2384" t="str">
        <f>IFERROR(__xludf.DUMMYFUNCTION("""COMPUTED_VALUE"""),"Burkina Faso")</f>
        <v>Burkina Faso</v>
      </c>
      <c r="D2384">
        <f>IFERROR(__xludf.DUMMYFUNCTION("""COMPUTED_VALUE"""),1964.0)</f>
        <v>1964</v>
      </c>
      <c r="E2384">
        <f>IFERROR(__xludf.DUMMYFUNCTION("""COMPUTED_VALUE"""),5098890.0)</f>
        <v>5098890</v>
      </c>
    </row>
    <row r="2385">
      <c r="A2385" t="str">
        <f t="shared" si="1"/>
        <v>bfa#1965</v>
      </c>
      <c r="B2385" t="str">
        <f>IFERROR(__xludf.DUMMYFUNCTION("""COMPUTED_VALUE"""),"bfa")</f>
        <v>bfa</v>
      </c>
      <c r="C2385" t="str">
        <f>IFERROR(__xludf.DUMMYFUNCTION("""COMPUTED_VALUE"""),"Burkina Faso")</f>
        <v>Burkina Faso</v>
      </c>
      <c r="D2385">
        <f>IFERROR(__xludf.DUMMYFUNCTION("""COMPUTED_VALUE"""),1965.0)</f>
        <v>1965</v>
      </c>
      <c r="E2385">
        <f>IFERROR(__xludf.DUMMYFUNCTION("""COMPUTED_VALUE"""),5174870.0)</f>
        <v>5174870</v>
      </c>
    </row>
    <row r="2386">
      <c r="A2386" t="str">
        <f t="shared" si="1"/>
        <v>bfa#1966</v>
      </c>
      <c r="B2386" t="str">
        <f>IFERROR(__xludf.DUMMYFUNCTION("""COMPUTED_VALUE"""),"bfa")</f>
        <v>bfa</v>
      </c>
      <c r="C2386" t="str">
        <f>IFERROR(__xludf.DUMMYFUNCTION("""COMPUTED_VALUE"""),"Burkina Faso")</f>
        <v>Burkina Faso</v>
      </c>
      <c r="D2386">
        <f>IFERROR(__xludf.DUMMYFUNCTION("""COMPUTED_VALUE"""),1966.0)</f>
        <v>1966</v>
      </c>
      <c r="E2386">
        <f>IFERROR(__xludf.DUMMYFUNCTION("""COMPUTED_VALUE"""),5256363.0)</f>
        <v>5256363</v>
      </c>
    </row>
    <row r="2387">
      <c r="A2387" t="str">
        <f t="shared" si="1"/>
        <v>bfa#1967</v>
      </c>
      <c r="B2387" t="str">
        <f>IFERROR(__xludf.DUMMYFUNCTION("""COMPUTED_VALUE"""),"bfa")</f>
        <v>bfa</v>
      </c>
      <c r="C2387" t="str">
        <f>IFERROR(__xludf.DUMMYFUNCTION("""COMPUTED_VALUE"""),"Burkina Faso")</f>
        <v>Burkina Faso</v>
      </c>
      <c r="D2387">
        <f>IFERROR(__xludf.DUMMYFUNCTION("""COMPUTED_VALUE"""),1967.0)</f>
        <v>1967</v>
      </c>
      <c r="E2387">
        <f>IFERROR(__xludf.DUMMYFUNCTION("""COMPUTED_VALUE"""),5343019.0)</f>
        <v>5343019</v>
      </c>
    </row>
    <row r="2388">
      <c r="A2388" t="str">
        <f t="shared" si="1"/>
        <v>bfa#1968</v>
      </c>
      <c r="B2388" t="str">
        <f>IFERROR(__xludf.DUMMYFUNCTION("""COMPUTED_VALUE"""),"bfa")</f>
        <v>bfa</v>
      </c>
      <c r="C2388" t="str">
        <f>IFERROR(__xludf.DUMMYFUNCTION("""COMPUTED_VALUE"""),"Burkina Faso")</f>
        <v>Burkina Faso</v>
      </c>
      <c r="D2388">
        <f>IFERROR(__xludf.DUMMYFUNCTION("""COMPUTED_VALUE"""),1968.0)</f>
        <v>1968</v>
      </c>
      <c r="E2388">
        <f>IFERROR(__xludf.DUMMYFUNCTION("""COMPUTED_VALUE"""),5434041.0)</f>
        <v>5434041</v>
      </c>
    </row>
    <row r="2389">
      <c r="A2389" t="str">
        <f t="shared" si="1"/>
        <v>bfa#1969</v>
      </c>
      <c r="B2389" t="str">
        <f>IFERROR(__xludf.DUMMYFUNCTION("""COMPUTED_VALUE"""),"bfa")</f>
        <v>bfa</v>
      </c>
      <c r="C2389" t="str">
        <f>IFERROR(__xludf.DUMMYFUNCTION("""COMPUTED_VALUE"""),"Burkina Faso")</f>
        <v>Burkina Faso</v>
      </c>
      <c r="D2389">
        <f>IFERROR(__xludf.DUMMYFUNCTION("""COMPUTED_VALUE"""),1969.0)</f>
        <v>1969</v>
      </c>
      <c r="E2389">
        <f>IFERROR(__xludf.DUMMYFUNCTION("""COMPUTED_VALUE"""),5528174.0)</f>
        <v>5528174</v>
      </c>
    </row>
    <row r="2390">
      <c r="A2390" t="str">
        <f t="shared" si="1"/>
        <v>bfa#1970</v>
      </c>
      <c r="B2390" t="str">
        <f>IFERROR(__xludf.DUMMYFUNCTION("""COMPUTED_VALUE"""),"bfa")</f>
        <v>bfa</v>
      </c>
      <c r="C2390" t="str">
        <f>IFERROR(__xludf.DUMMYFUNCTION("""COMPUTED_VALUE"""),"Burkina Faso")</f>
        <v>Burkina Faso</v>
      </c>
      <c r="D2390">
        <f>IFERROR(__xludf.DUMMYFUNCTION("""COMPUTED_VALUE"""),1970.0)</f>
        <v>1970</v>
      </c>
      <c r="E2390">
        <f>IFERROR(__xludf.DUMMYFUNCTION("""COMPUTED_VALUE"""),5624600.0)</f>
        <v>5624600</v>
      </c>
    </row>
    <row r="2391">
      <c r="A2391" t="str">
        <f t="shared" si="1"/>
        <v>bfa#1971</v>
      </c>
      <c r="B2391" t="str">
        <f>IFERROR(__xludf.DUMMYFUNCTION("""COMPUTED_VALUE"""),"bfa")</f>
        <v>bfa</v>
      </c>
      <c r="C2391" t="str">
        <f>IFERROR(__xludf.DUMMYFUNCTION("""COMPUTED_VALUE"""),"Burkina Faso")</f>
        <v>Burkina Faso</v>
      </c>
      <c r="D2391">
        <f>IFERROR(__xludf.DUMMYFUNCTION("""COMPUTED_VALUE"""),1971.0)</f>
        <v>1971</v>
      </c>
      <c r="E2391">
        <f>IFERROR(__xludf.DUMMYFUNCTION("""COMPUTED_VALUE"""),5723381.0)</f>
        <v>5723381</v>
      </c>
    </row>
    <row r="2392">
      <c r="A2392" t="str">
        <f t="shared" si="1"/>
        <v>bfa#1972</v>
      </c>
      <c r="B2392" t="str">
        <f>IFERROR(__xludf.DUMMYFUNCTION("""COMPUTED_VALUE"""),"bfa")</f>
        <v>bfa</v>
      </c>
      <c r="C2392" t="str">
        <f>IFERROR(__xludf.DUMMYFUNCTION("""COMPUTED_VALUE"""),"Burkina Faso")</f>
        <v>Burkina Faso</v>
      </c>
      <c r="D2392">
        <f>IFERROR(__xludf.DUMMYFUNCTION("""COMPUTED_VALUE"""),1972.0)</f>
        <v>1972</v>
      </c>
      <c r="E2392">
        <f>IFERROR(__xludf.DUMMYFUNCTION("""COMPUTED_VALUE"""),5825173.0)</f>
        <v>5825173</v>
      </c>
    </row>
    <row r="2393">
      <c r="A2393" t="str">
        <f t="shared" si="1"/>
        <v>bfa#1973</v>
      </c>
      <c r="B2393" t="str">
        <f>IFERROR(__xludf.DUMMYFUNCTION("""COMPUTED_VALUE"""),"bfa")</f>
        <v>bfa</v>
      </c>
      <c r="C2393" t="str">
        <f>IFERROR(__xludf.DUMMYFUNCTION("""COMPUTED_VALUE"""),"Burkina Faso")</f>
        <v>Burkina Faso</v>
      </c>
      <c r="D2393">
        <f>IFERROR(__xludf.DUMMYFUNCTION("""COMPUTED_VALUE"""),1973.0)</f>
        <v>1973</v>
      </c>
      <c r="E2393">
        <f>IFERROR(__xludf.DUMMYFUNCTION("""COMPUTED_VALUE"""),5930483.0)</f>
        <v>5930483</v>
      </c>
    </row>
    <row r="2394">
      <c r="A2394" t="str">
        <f t="shared" si="1"/>
        <v>bfa#1974</v>
      </c>
      <c r="B2394" t="str">
        <f>IFERROR(__xludf.DUMMYFUNCTION("""COMPUTED_VALUE"""),"bfa")</f>
        <v>bfa</v>
      </c>
      <c r="C2394" t="str">
        <f>IFERROR(__xludf.DUMMYFUNCTION("""COMPUTED_VALUE"""),"Burkina Faso")</f>
        <v>Burkina Faso</v>
      </c>
      <c r="D2394">
        <f>IFERROR(__xludf.DUMMYFUNCTION("""COMPUTED_VALUE"""),1974.0)</f>
        <v>1974</v>
      </c>
      <c r="E2394">
        <f>IFERROR(__xludf.DUMMYFUNCTION("""COMPUTED_VALUE"""),6040041.0)</f>
        <v>6040041</v>
      </c>
    </row>
    <row r="2395">
      <c r="A2395" t="str">
        <f t="shared" si="1"/>
        <v>bfa#1975</v>
      </c>
      <c r="B2395" t="str">
        <f>IFERROR(__xludf.DUMMYFUNCTION("""COMPUTED_VALUE"""),"bfa")</f>
        <v>bfa</v>
      </c>
      <c r="C2395" t="str">
        <f>IFERROR(__xludf.DUMMYFUNCTION("""COMPUTED_VALUE"""),"Burkina Faso")</f>
        <v>Burkina Faso</v>
      </c>
      <c r="D2395">
        <f>IFERROR(__xludf.DUMMYFUNCTION("""COMPUTED_VALUE"""),1975.0)</f>
        <v>1975</v>
      </c>
      <c r="E2395">
        <f>IFERROR(__xludf.DUMMYFUNCTION("""COMPUTED_VALUE"""),6154545.0)</f>
        <v>6154545</v>
      </c>
    </row>
    <row r="2396">
      <c r="A2396" t="str">
        <f t="shared" si="1"/>
        <v>bfa#1976</v>
      </c>
      <c r="B2396" t="str">
        <f>IFERROR(__xludf.DUMMYFUNCTION("""COMPUTED_VALUE"""),"bfa")</f>
        <v>bfa</v>
      </c>
      <c r="C2396" t="str">
        <f>IFERROR(__xludf.DUMMYFUNCTION("""COMPUTED_VALUE"""),"Burkina Faso")</f>
        <v>Burkina Faso</v>
      </c>
      <c r="D2396">
        <f>IFERROR(__xludf.DUMMYFUNCTION("""COMPUTED_VALUE"""),1976.0)</f>
        <v>1976</v>
      </c>
      <c r="E2396">
        <f>IFERROR(__xludf.DUMMYFUNCTION("""COMPUTED_VALUE"""),6274037.0)</f>
        <v>6274037</v>
      </c>
    </row>
    <row r="2397">
      <c r="A2397" t="str">
        <f t="shared" si="1"/>
        <v>bfa#1977</v>
      </c>
      <c r="B2397" t="str">
        <f>IFERROR(__xludf.DUMMYFUNCTION("""COMPUTED_VALUE"""),"bfa")</f>
        <v>bfa</v>
      </c>
      <c r="C2397" t="str">
        <f>IFERROR(__xludf.DUMMYFUNCTION("""COMPUTED_VALUE"""),"Burkina Faso")</f>
        <v>Burkina Faso</v>
      </c>
      <c r="D2397">
        <f>IFERROR(__xludf.DUMMYFUNCTION("""COMPUTED_VALUE"""),1977.0)</f>
        <v>1977</v>
      </c>
      <c r="E2397">
        <f>IFERROR(__xludf.DUMMYFUNCTION("""COMPUTED_VALUE"""),6398935.0)</f>
        <v>6398935</v>
      </c>
    </row>
    <row r="2398">
      <c r="A2398" t="str">
        <f t="shared" si="1"/>
        <v>bfa#1978</v>
      </c>
      <c r="B2398" t="str">
        <f>IFERROR(__xludf.DUMMYFUNCTION("""COMPUTED_VALUE"""),"bfa")</f>
        <v>bfa</v>
      </c>
      <c r="C2398" t="str">
        <f>IFERROR(__xludf.DUMMYFUNCTION("""COMPUTED_VALUE"""),"Burkina Faso")</f>
        <v>Burkina Faso</v>
      </c>
      <c r="D2398">
        <f>IFERROR(__xludf.DUMMYFUNCTION("""COMPUTED_VALUE"""),1978.0)</f>
        <v>1978</v>
      </c>
      <c r="E2398">
        <f>IFERROR(__xludf.DUMMYFUNCTION("""COMPUTED_VALUE"""),6530819.0)</f>
        <v>6530819</v>
      </c>
    </row>
    <row r="2399">
      <c r="A2399" t="str">
        <f t="shared" si="1"/>
        <v>bfa#1979</v>
      </c>
      <c r="B2399" t="str">
        <f>IFERROR(__xludf.DUMMYFUNCTION("""COMPUTED_VALUE"""),"bfa")</f>
        <v>bfa</v>
      </c>
      <c r="C2399" t="str">
        <f>IFERROR(__xludf.DUMMYFUNCTION("""COMPUTED_VALUE"""),"Burkina Faso")</f>
        <v>Burkina Faso</v>
      </c>
      <c r="D2399">
        <f>IFERROR(__xludf.DUMMYFUNCTION("""COMPUTED_VALUE"""),1979.0)</f>
        <v>1979</v>
      </c>
      <c r="E2399">
        <f>IFERROR(__xludf.DUMMYFUNCTION("""COMPUTED_VALUE"""),6671656.0)</f>
        <v>6671656</v>
      </c>
    </row>
    <row r="2400">
      <c r="A2400" t="str">
        <f t="shared" si="1"/>
        <v>bfa#1980</v>
      </c>
      <c r="B2400" t="str">
        <f>IFERROR(__xludf.DUMMYFUNCTION("""COMPUTED_VALUE"""),"bfa")</f>
        <v>bfa</v>
      </c>
      <c r="C2400" t="str">
        <f>IFERROR(__xludf.DUMMYFUNCTION("""COMPUTED_VALUE"""),"Burkina Faso")</f>
        <v>Burkina Faso</v>
      </c>
      <c r="D2400">
        <f>IFERROR(__xludf.DUMMYFUNCTION("""COMPUTED_VALUE"""),1980.0)</f>
        <v>1980</v>
      </c>
      <c r="E2400">
        <f>IFERROR(__xludf.DUMMYFUNCTION("""COMPUTED_VALUE"""),6822843.0)</f>
        <v>6822843</v>
      </c>
    </row>
    <row r="2401">
      <c r="A2401" t="str">
        <f t="shared" si="1"/>
        <v>bfa#1981</v>
      </c>
      <c r="B2401" t="str">
        <f>IFERROR(__xludf.DUMMYFUNCTION("""COMPUTED_VALUE"""),"bfa")</f>
        <v>bfa</v>
      </c>
      <c r="C2401" t="str">
        <f>IFERROR(__xludf.DUMMYFUNCTION("""COMPUTED_VALUE"""),"Burkina Faso")</f>
        <v>Burkina Faso</v>
      </c>
      <c r="D2401">
        <f>IFERROR(__xludf.DUMMYFUNCTION("""COMPUTED_VALUE"""),1981.0)</f>
        <v>1981</v>
      </c>
      <c r="E2401">
        <f>IFERROR(__xludf.DUMMYFUNCTION("""COMPUTED_VALUE"""),6985160.0)</f>
        <v>6985160</v>
      </c>
    </row>
    <row r="2402">
      <c r="A2402" t="str">
        <f t="shared" si="1"/>
        <v>bfa#1982</v>
      </c>
      <c r="B2402" t="str">
        <f>IFERROR(__xludf.DUMMYFUNCTION("""COMPUTED_VALUE"""),"bfa")</f>
        <v>bfa</v>
      </c>
      <c r="C2402" t="str">
        <f>IFERROR(__xludf.DUMMYFUNCTION("""COMPUTED_VALUE"""),"Burkina Faso")</f>
        <v>Burkina Faso</v>
      </c>
      <c r="D2402">
        <f>IFERROR(__xludf.DUMMYFUNCTION("""COMPUTED_VALUE"""),1982.0)</f>
        <v>1982</v>
      </c>
      <c r="E2402">
        <f>IFERROR(__xludf.DUMMYFUNCTION("""COMPUTED_VALUE"""),7158255.0)</f>
        <v>7158255</v>
      </c>
    </row>
    <row r="2403">
      <c r="A2403" t="str">
        <f t="shared" si="1"/>
        <v>bfa#1983</v>
      </c>
      <c r="B2403" t="str">
        <f>IFERROR(__xludf.DUMMYFUNCTION("""COMPUTED_VALUE"""),"bfa")</f>
        <v>bfa</v>
      </c>
      <c r="C2403" t="str">
        <f>IFERROR(__xludf.DUMMYFUNCTION("""COMPUTED_VALUE"""),"Burkina Faso")</f>
        <v>Burkina Faso</v>
      </c>
      <c r="D2403">
        <f>IFERROR(__xludf.DUMMYFUNCTION("""COMPUTED_VALUE"""),1983.0)</f>
        <v>1983</v>
      </c>
      <c r="E2403">
        <f>IFERROR(__xludf.DUMMYFUNCTION("""COMPUTED_VALUE"""),7340905.0)</f>
        <v>7340905</v>
      </c>
    </row>
    <row r="2404">
      <c r="A2404" t="str">
        <f t="shared" si="1"/>
        <v>bfa#1984</v>
      </c>
      <c r="B2404" t="str">
        <f>IFERROR(__xludf.DUMMYFUNCTION("""COMPUTED_VALUE"""),"bfa")</f>
        <v>bfa</v>
      </c>
      <c r="C2404" t="str">
        <f>IFERROR(__xludf.DUMMYFUNCTION("""COMPUTED_VALUE"""),"Burkina Faso")</f>
        <v>Burkina Faso</v>
      </c>
      <c r="D2404">
        <f>IFERROR(__xludf.DUMMYFUNCTION("""COMPUTED_VALUE"""),1984.0)</f>
        <v>1984</v>
      </c>
      <c r="E2404">
        <f>IFERROR(__xludf.DUMMYFUNCTION("""COMPUTED_VALUE"""),7531242.0)</f>
        <v>7531242</v>
      </c>
    </row>
    <row r="2405">
      <c r="A2405" t="str">
        <f t="shared" si="1"/>
        <v>bfa#1985</v>
      </c>
      <c r="B2405" t="str">
        <f>IFERROR(__xludf.DUMMYFUNCTION("""COMPUTED_VALUE"""),"bfa")</f>
        <v>bfa</v>
      </c>
      <c r="C2405" t="str">
        <f>IFERROR(__xludf.DUMMYFUNCTION("""COMPUTED_VALUE"""),"Burkina Faso")</f>
        <v>Burkina Faso</v>
      </c>
      <c r="D2405">
        <f>IFERROR(__xludf.DUMMYFUNCTION("""COMPUTED_VALUE"""),1985.0)</f>
        <v>1985</v>
      </c>
      <c r="E2405">
        <f>IFERROR(__xludf.DUMMYFUNCTION("""COMPUTED_VALUE"""),7727907.0)</f>
        <v>7727907</v>
      </c>
    </row>
    <row r="2406">
      <c r="A2406" t="str">
        <f t="shared" si="1"/>
        <v>bfa#1986</v>
      </c>
      <c r="B2406" t="str">
        <f>IFERROR(__xludf.DUMMYFUNCTION("""COMPUTED_VALUE"""),"bfa")</f>
        <v>bfa</v>
      </c>
      <c r="C2406" t="str">
        <f>IFERROR(__xludf.DUMMYFUNCTION("""COMPUTED_VALUE"""),"Burkina Faso")</f>
        <v>Burkina Faso</v>
      </c>
      <c r="D2406">
        <f>IFERROR(__xludf.DUMMYFUNCTION("""COMPUTED_VALUE"""),1986.0)</f>
        <v>1986</v>
      </c>
      <c r="E2406">
        <f>IFERROR(__xludf.DUMMYFUNCTION("""COMPUTED_VALUE"""),7930694.0)</f>
        <v>7930694</v>
      </c>
    </row>
    <row r="2407">
      <c r="A2407" t="str">
        <f t="shared" si="1"/>
        <v>bfa#1987</v>
      </c>
      <c r="B2407" t="str">
        <f>IFERROR(__xludf.DUMMYFUNCTION("""COMPUTED_VALUE"""),"bfa")</f>
        <v>bfa</v>
      </c>
      <c r="C2407" t="str">
        <f>IFERROR(__xludf.DUMMYFUNCTION("""COMPUTED_VALUE"""),"Burkina Faso")</f>
        <v>Burkina Faso</v>
      </c>
      <c r="D2407">
        <f>IFERROR(__xludf.DUMMYFUNCTION("""COMPUTED_VALUE"""),1987.0)</f>
        <v>1987</v>
      </c>
      <c r="E2407">
        <f>IFERROR(__xludf.DUMMYFUNCTION("""COMPUTED_VALUE"""),8140073.0)</f>
        <v>8140073</v>
      </c>
    </row>
    <row r="2408">
      <c r="A2408" t="str">
        <f t="shared" si="1"/>
        <v>bfa#1988</v>
      </c>
      <c r="B2408" t="str">
        <f>IFERROR(__xludf.DUMMYFUNCTION("""COMPUTED_VALUE"""),"bfa")</f>
        <v>bfa</v>
      </c>
      <c r="C2408" t="str">
        <f>IFERROR(__xludf.DUMMYFUNCTION("""COMPUTED_VALUE"""),"Burkina Faso")</f>
        <v>Burkina Faso</v>
      </c>
      <c r="D2408">
        <f>IFERROR(__xludf.DUMMYFUNCTION("""COMPUTED_VALUE"""),1988.0)</f>
        <v>1988</v>
      </c>
      <c r="E2408">
        <f>IFERROR(__xludf.DUMMYFUNCTION("""COMPUTED_VALUE"""),8356305.0)</f>
        <v>8356305</v>
      </c>
    </row>
    <row r="2409">
      <c r="A2409" t="str">
        <f t="shared" si="1"/>
        <v>bfa#1989</v>
      </c>
      <c r="B2409" t="str">
        <f>IFERROR(__xludf.DUMMYFUNCTION("""COMPUTED_VALUE"""),"bfa")</f>
        <v>bfa</v>
      </c>
      <c r="C2409" t="str">
        <f>IFERROR(__xludf.DUMMYFUNCTION("""COMPUTED_VALUE"""),"Burkina Faso")</f>
        <v>Burkina Faso</v>
      </c>
      <c r="D2409">
        <f>IFERROR(__xludf.DUMMYFUNCTION("""COMPUTED_VALUE"""),1989.0)</f>
        <v>1989</v>
      </c>
      <c r="E2409">
        <f>IFERROR(__xludf.DUMMYFUNCTION("""COMPUTED_VALUE"""),8579823.0)</f>
        <v>8579823</v>
      </c>
    </row>
    <row r="2410">
      <c r="A2410" t="str">
        <f t="shared" si="1"/>
        <v>bfa#1990</v>
      </c>
      <c r="B2410" t="str">
        <f>IFERROR(__xludf.DUMMYFUNCTION("""COMPUTED_VALUE"""),"bfa")</f>
        <v>bfa</v>
      </c>
      <c r="C2410" t="str">
        <f>IFERROR(__xludf.DUMMYFUNCTION("""COMPUTED_VALUE"""),"Burkina Faso")</f>
        <v>Burkina Faso</v>
      </c>
      <c r="D2410">
        <f>IFERROR(__xludf.DUMMYFUNCTION("""COMPUTED_VALUE"""),1990.0)</f>
        <v>1990</v>
      </c>
      <c r="E2410">
        <f>IFERROR(__xludf.DUMMYFUNCTION("""COMPUTED_VALUE"""),8811034.0)</f>
        <v>8811034</v>
      </c>
    </row>
    <row r="2411">
      <c r="A2411" t="str">
        <f t="shared" si="1"/>
        <v>bfa#1991</v>
      </c>
      <c r="B2411" t="str">
        <f>IFERROR(__xludf.DUMMYFUNCTION("""COMPUTED_VALUE"""),"bfa")</f>
        <v>bfa</v>
      </c>
      <c r="C2411" t="str">
        <f>IFERROR(__xludf.DUMMYFUNCTION("""COMPUTED_VALUE"""),"Burkina Faso")</f>
        <v>Burkina Faso</v>
      </c>
      <c r="D2411">
        <f>IFERROR(__xludf.DUMMYFUNCTION("""COMPUTED_VALUE"""),1991.0)</f>
        <v>1991</v>
      </c>
      <c r="E2411">
        <f>IFERROR(__xludf.DUMMYFUNCTION("""COMPUTED_VALUE"""),9050084.0)</f>
        <v>9050084</v>
      </c>
    </row>
    <row r="2412">
      <c r="A2412" t="str">
        <f t="shared" si="1"/>
        <v>bfa#1992</v>
      </c>
      <c r="B2412" t="str">
        <f>IFERROR(__xludf.DUMMYFUNCTION("""COMPUTED_VALUE"""),"bfa")</f>
        <v>bfa</v>
      </c>
      <c r="C2412" t="str">
        <f>IFERROR(__xludf.DUMMYFUNCTION("""COMPUTED_VALUE"""),"Burkina Faso")</f>
        <v>Burkina Faso</v>
      </c>
      <c r="D2412">
        <f>IFERROR(__xludf.DUMMYFUNCTION("""COMPUTED_VALUE"""),1992.0)</f>
        <v>1992</v>
      </c>
      <c r="E2412">
        <f>IFERROR(__xludf.DUMMYFUNCTION("""COMPUTED_VALUE"""),9297113.0)</f>
        <v>9297113</v>
      </c>
    </row>
    <row r="2413">
      <c r="A2413" t="str">
        <f t="shared" si="1"/>
        <v>bfa#1993</v>
      </c>
      <c r="B2413" t="str">
        <f>IFERROR(__xludf.DUMMYFUNCTION("""COMPUTED_VALUE"""),"bfa")</f>
        <v>bfa</v>
      </c>
      <c r="C2413" t="str">
        <f>IFERROR(__xludf.DUMMYFUNCTION("""COMPUTED_VALUE"""),"Burkina Faso")</f>
        <v>Burkina Faso</v>
      </c>
      <c r="D2413">
        <f>IFERROR(__xludf.DUMMYFUNCTION("""COMPUTED_VALUE"""),1993.0)</f>
        <v>1993</v>
      </c>
      <c r="E2413">
        <f>IFERROR(__xludf.DUMMYFUNCTION("""COMPUTED_VALUE"""),9552476.0)</f>
        <v>9552476</v>
      </c>
    </row>
    <row r="2414">
      <c r="A2414" t="str">
        <f t="shared" si="1"/>
        <v>bfa#1994</v>
      </c>
      <c r="B2414" t="str">
        <f>IFERROR(__xludf.DUMMYFUNCTION("""COMPUTED_VALUE"""),"bfa")</f>
        <v>bfa</v>
      </c>
      <c r="C2414" t="str">
        <f>IFERROR(__xludf.DUMMYFUNCTION("""COMPUTED_VALUE"""),"Burkina Faso")</f>
        <v>Burkina Faso</v>
      </c>
      <c r="D2414">
        <f>IFERROR(__xludf.DUMMYFUNCTION("""COMPUTED_VALUE"""),1994.0)</f>
        <v>1994</v>
      </c>
      <c r="E2414">
        <f>IFERROR(__xludf.DUMMYFUNCTION("""COMPUTED_VALUE"""),9816588.0)</f>
        <v>9816588</v>
      </c>
    </row>
    <row r="2415">
      <c r="A2415" t="str">
        <f t="shared" si="1"/>
        <v>bfa#1995</v>
      </c>
      <c r="B2415" t="str">
        <f>IFERROR(__xludf.DUMMYFUNCTION("""COMPUTED_VALUE"""),"bfa")</f>
        <v>bfa</v>
      </c>
      <c r="C2415" t="str">
        <f>IFERROR(__xludf.DUMMYFUNCTION("""COMPUTED_VALUE"""),"Burkina Faso")</f>
        <v>Burkina Faso</v>
      </c>
      <c r="D2415">
        <f>IFERROR(__xludf.DUMMYFUNCTION("""COMPUTED_VALUE"""),1995.0)</f>
        <v>1995</v>
      </c>
      <c r="E2415">
        <f>IFERROR(__xludf.DUMMYFUNCTION("""COMPUTED_VALUE"""),1.0089878E7)</f>
        <v>10089878</v>
      </c>
    </row>
    <row r="2416">
      <c r="A2416" t="str">
        <f t="shared" si="1"/>
        <v>bfa#1996</v>
      </c>
      <c r="B2416" t="str">
        <f>IFERROR(__xludf.DUMMYFUNCTION("""COMPUTED_VALUE"""),"bfa")</f>
        <v>bfa</v>
      </c>
      <c r="C2416" t="str">
        <f>IFERROR(__xludf.DUMMYFUNCTION("""COMPUTED_VALUE"""),"Burkina Faso")</f>
        <v>Burkina Faso</v>
      </c>
      <c r="D2416">
        <f>IFERROR(__xludf.DUMMYFUNCTION("""COMPUTED_VALUE"""),1996.0)</f>
        <v>1996</v>
      </c>
      <c r="E2416">
        <f>IFERROR(__xludf.DUMMYFUNCTION("""COMPUTED_VALUE"""),1.0372745E7)</f>
        <v>10372745</v>
      </c>
    </row>
    <row r="2417">
      <c r="A2417" t="str">
        <f t="shared" si="1"/>
        <v>bfa#1997</v>
      </c>
      <c r="B2417" t="str">
        <f>IFERROR(__xludf.DUMMYFUNCTION("""COMPUTED_VALUE"""),"bfa")</f>
        <v>bfa</v>
      </c>
      <c r="C2417" t="str">
        <f>IFERROR(__xludf.DUMMYFUNCTION("""COMPUTED_VALUE"""),"Burkina Faso")</f>
        <v>Burkina Faso</v>
      </c>
      <c r="D2417">
        <f>IFERROR(__xludf.DUMMYFUNCTION("""COMPUTED_VALUE"""),1997.0)</f>
        <v>1997</v>
      </c>
      <c r="E2417">
        <f>IFERROR(__xludf.DUMMYFUNCTION("""COMPUTED_VALUE"""),1.0665546E7)</f>
        <v>10665546</v>
      </c>
    </row>
    <row r="2418">
      <c r="A2418" t="str">
        <f t="shared" si="1"/>
        <v>bfa#1998</v>
      </c>
      <c r="B2418" t="str">
        <f>IFERROR(__xludf.DUMMYFUNCTION("""COMPUTED_VALUE"""),"bfa")</f>
        <v>bfa</v>
      </c>
      <c r="C2418" t="str">
        <f>IFERROR(__xludf.DUMMYFUNCTION("""COMPUTED_VALUE"""),"Burkina Faso")</f>
        <v>Burkina Faso</v>
      </c>
      <c r="D2418">
        <f>IFERROR(__xludf.DUMMYFUNCTION("""COMPUTED_VALUE"""),1998.0)</f>
        <v>1998</v>
      </c>
      <c r="E2418">
        <f>IFERROR(__xludf.DUMMYFUNCTION("""COMPUTED_VALUE"""),1.0968724E7)</f>
        <v>10968724</v>
      </c>
    </row>
    <row r="2419">
      <c r="A2419" t="str">
        <f t="shared" si="1"/>
        <v>bfa#1999</v>
      </c>
      <c r="B2419" t="str">
        <f>IFERROR(__xludf.DUMMYFUNCTION("""COMPUTED_VALUE"""),"bfa")</f>
        <v>bfa</v>
      </c>
      <c r="C2419" t="str">
        <f>IFERROR(__xludf.DUMMYFUNCTION("""COMPUTED_VALUE"""),"Burkina Faso")</f>
        <v>Burkina Faso</v>
      </c>
      <c r="D2419">
        <f>IFERROR(__xludf.DUMMYFUNCTION("""COMPUTED_VALUE"""),1999.0)</f>
        <v>1999</v>
      </c>
      <c r="E2419">
        <f>IFERROR(__xludf.DUMMYFUNCTION("""COMPUTED_VALUE"""),1.1282701E7)</f>
        <v>11282701</v>
      </c>
    </row>
    <row r="2420">
      <c r="A2420" t="str">
        <f t="shared" si="1"/>
        <v>bfa#2000</v>
      </c>
      <c r="B2420" t="str">
        <f>IFERROR(__xludf.DUMMYFUNCTION("""COMPUTED_VALUE"""),"bfa")</f>
        <v>bfa</v>
      </c>
      <c r="C2420" t="str">
        <f>IFERROR(__xludf.DUMMYFUNCTION("""COMPUTED_VALUE"""),"Burkina Faso")</f>
        <v>Burkina Faso</v>
      </c>
      <c r="D2420">
        <f>IFERROR(__xludf.DUMMYFUNCTION("""COMPUTED_VALUE"""),2000.0)</f>
        <v>2000</v>
      </c>
      <c r="E2420">
        <f>IFERROR(__xludf.DUMMYFUNCTION("""COMPUTED_VALUE"""),1.1607942E7)</f>
        <v>11607942</v>
      </c>
    </row>
    <row r="2421">
      <c r="A2421" t="str">
        <f t="shared" si="1"/>
        <v>bfa#2001</v>
      </c>
      <c r="B2421" t="str">
        <f>IFERROR(__xludf.DUMMYFUNCTION("""COMPUTED_VALUE"""),"bfa")</f>
        <v>bfa</v>
      </c>
      <c r="C2421" t="str">
        <f>IFERROR(__xludf.DUMMYFUNCTION("""COMPUTED_VALUE"""),"Burkina Faso")</f>
        <v>Burkina Faso</v>
      </c>
      <c r="D2421">
        <f>IFERROR(__xludf.DUMMYFUNCTION("""COMPUTED_VALUE"""),2001.0)</f>
        <v>2001</v>
      </c>
      <c r="E2421">
        <f>IFERROR(__xludf.DUMMYFUNCTION("""COMPUTED_VALUE"""),1.1944587E7)</f>
        <v>11944587</v>
      </c>
    </row>
    <row r="2422">
      <c r="A2422" t="str">
        <f t="shared" si="1"/>
        <v>bfa#2002</v>
      </c>
      <c r="B2422" t="str">
        <f>IFERROR(__xludf.DUMMYFUNCTION("""COMPUTED_VALUE"""),"bfa")</f>
        <v>bfa</v>
      </c>
      <c r="C2422" t="str">
        <f>IFERROR(__xludf.DUMMYFUNCTION("""COMPUTED_VALUE"""),"Burkina Faso")</f>
        <v>Burkina Faso</v>
      </c>
      <c r="D2422">
        <f>IFERROR(__xludf.DUMMYFUNCTION("""COMPUTED_VALUE"""),2002.0)</f>
        <v>2002</v>
      </c>
      <c r="E2422">
        <f>IFERROR(__xludf.DUMMYFUNCTION("""COMPUTED_VALUE"""),1.22931E7)</f>
        <v>12293100</v>
      </c>
    </row>
    <row r="2423">
      <c r="A2423" t="str">
        <f t="shared" si="1"/>
        <v>bfa#2003</v>
      </c>
      <c r="B2423" t="str">
        <f>IFERROR(__xludf.DUMMYFUNCTION("""COMPUTED_VALUE"""),"bfa")</f>
        <v>bfa</v>
      </c>
      <c r="C2423" t="str">
        <f>IFERROR(__xludf.DUMMYFUNCTION("""COMPUTED_VALUE"""),"Burkina Faso")</f>
        <v>Burkina Faso</v>
      </c>
      <c r="D2423">
        <f>IFERROR(__xludf.DUMMYFUNCTION("""COMPUTED_VALUE"""),2003.0)</f>
        <v>2003</v>
      </c>
      <c r="E2423">
        <f>IFERROR(__xludf.DUMMYFUNCTION("""COMPUTED_VALUE"""),1.2654621E7)</f>
        <v>12654621</v>
      </c>
    </row>
    <row r="2424">
      <c r="A2424" t="str">
        <f t="shared" si="1"/>
        <v>bfa#2004</v>
      </c>
      <c r="B2424" t="str">
        <f>IFERROR(__xludf.DUMMYFUNCTION("""COMPUTED_VALUE"""),"bfa")</f>
        <v>bfa</v>
      </c>
      <c r="C2424" t="str">
        <f>IFERROR(__xludf.DUMMYFUNCTION("""COMPUTED_VALUE"""),"Burkina Faso")</f>
        <v>Burkina Faso</v>
      </c>
      <c r="D2424">
        <f>IFERROR(__xludf.DUMMYFUNCTION("""COMPUTED_VALUE"""),2004.0)</f>
        <v>2004</v>
      </c>
      <c r="E2424">
        <f>IFERROR(__xludf.DUMMYFUNCTION("""COMPUTED_VALUE"""),1.3030569E7)</f>
        <v>13030569</v>
      </c>
    </row>
    <row r="2425">
      <c r="A2425" t="str">
        <f t="shared" si="1"/>
        <v>bfa#2005</v>
      </c>
      <c r="B2425" t="str">
        <f>IFERROR(__xludf.DUMMYFUNCTION("""COMPUTED_VALUE"""),"bfa")</f>
        <v>bfa</v>
      </c>
      <c r="C2425" t="str">
        <f>IFERROR(__xludf.DUMMYFUNCTION("""COMPUTED_VALUE"""),"Burkina Faso")</f>
        <v>Burkina Faso</v>
      </c>
      <c r="D2425">
        <f>IFERROR(__xludf.DUMMYFUNCTION("""COMPUTED_VALUE"""),2005.0)</f>
        <v>2005</v>
      </c>
      <c r="E2425">
        <f>IFERROR(__xludf.DUMMYFUNCTION("""COMPUTED_VALUE"""),1.342193E7)</f>
        <v>13421930</v>
      </c>
    </row>
    <row r="2426">
      <c r="A2426" t="str">
        <f t="shared" si="1"/>
        <v>bfa#2006</v>
      </c>
      <c r="B2426" t="str">
        <f>IFERROR(__xludf.DUMMYFUNCTION("""COMPUTED_VALUE"""),"bfa")</f>
        <v>bfa</v>
      </c>
      <c r="C2426" t="str">
        <f>IFERROR(__xludf.DUMMYFUNCTION("""COMPUTED_VALUE"""),"Burkina Faso")</f>
        <v>Burkina Faso</v>
      </c>
      <c r="D2426">
        <f>IFERROR(__xludf.DUMMYFUNCTION("""COMPUTED_VALUE"""),2006.0)</f>
        <v>2006</v>
      </c>
      <c r="E2426">
        <f>IFERROR(__xludf.DUMMYFUNCTION("""COMPUTED_VALUE"""),1.3829177E7)</f>
        <v>13829177</v>
      </c>
    </row>
    <row r="2427">
      <c r="A2427" t="str">
        <f t="shared" si="1"/>
        <v>bfa#2007</v>
      </c>
      <c r="B2427" t="str">
        <f>IFERROR(__xludf.DUMMYFUNCTION("""COMPUTED_VALUE"""),"bfa")</f>
        <v>bfa</v>
      </c>
      <c r="C2427" t="str">
        <f>IFERROR(__xludf.DUMMYFUNCTION("""COMPUTED_VALUE"""),"Burkina Faso")</f>
        <v>Burkina Faso</v>
      </c>
      <c r="D2427">
        <f>IFERROR(__xludf.DUMMYFUNCTION("""COMPUTED_VALUE"""),2007.0)</f>
        <v>2007</v>
      </c>
      <c r="E2427">
        <f>IFERROR(__xludf.DUMMYFUNCTION("""COMPUTED_VALUE"""),1.4252021E7)</f>
        <v>14252021</v>
      </c>
    </row>
    <row r="2428">
      <c r="A2428" t="str">
        <f t="shared" si="1"/>
        <v>bfa#2008</v>
      </c>
      <c r="B2428" t="str">
        <f>IFERROR(__xludf.DUMMYFUNCTION("""COMPUTED_VALUE"""),"bfa")</f>
        <v>bfa</v>
      </c>
      <c r="C2428" t="str">
        <f>IFERROR(__xludf.DUMMYFUNCTION("""COMPUTED_VALUE"""),"Burkina Faso")</f>
        <v>Burkina Faso</v>
      </c>
      <c r="D2428">
        <f>IFERROR(__xludf.DUMMYFUNCTION("""COMPUTED_VALUE"""),2008.0)</f>
        <v>2008</v>
      </c>
      <c r="E2428">
        <f>IFERROR(__xludf.DUMMYFUNCTION("""COMPUTED_VALUE"""),1.4689726E7)</f>
        <v>14689726</v>
      </c>
    </row>
    <row r="2429">
      <c r="A2429" t="str">
        <f t="shared" si="1"/>
        <v>bfa#2009</v>
      </c>
      <c r="B2429" t="str">
        <f>IFERROR(__xludf.DUMMYFUNCTION("""COMPUTED_VALUE"""),"bfa")</f>
        <v>bfa</v>
      </c>
      <c r="C2429" t="str">
        <f>IFERROR(__xludf.DUMMYFUNCTION("""COMPUTED_VALUE"""),"Burkina Faso")</f>
        <v>Burkina Faso</v>
      </c>
      <c r="D2429">
        <f>IFERROR(__xludf.DUMMYFUNCTION("""COMPUTED_VALUE"""),2009.0)</f>
        <v>2009</v>
      </c>
      <c r="E2429">
        <f>IFERROR(__xludf.DUMMYFUNCTION("""COMPUTED_VALUE"""),1.5141099E7)</f>
        <v>15141099</v>
      </c>
    </row>
    <row r="2430">
      <c r="A2430" t="str">
        <f t="shared" si="1"/>
        <v>bfa#2010</v>
      </c>
      <c r="B2430" t="str">
        <f>IFERROR(__xludf.DUMMYFUNCTION("""COMPUTED_VALUE"""),"bfa")</f>
        <v>bfa</v>
      </c>
      <c r="C2430" t="str">
        <f>IFERROR(__xludf.DUMMYFUNCTION("""COMPUTED_VALUE"""),"Burkina Faso")</f>
        <v>Burkina Faso</v>
      </c>
      <c r="D2430">
        <f>IFERROR(__xludf.DUMMYFUNCTION("""COMPUTED_VALUE"""),2010.0)</f>
        <v>2010</v>
      </c>
      <c r="E2430">
        <f>IFERROR(__xludf.DUMMYFUNCTION("""COMPUTED_VALUE"""),1.5605217E7)</f>
        <v>15605217</v>
      </c>
    </row>
    <row r="2431">
      <c r="A2431" t="str">
        <f t="shared" si="1"/>
        <v>bfa#2011</v>
      </c>
      <c r="B2431" t="str">
        <f>IFERROR(__xludf.DUMMYFUNCTION("""COMPUTED_VALUE"""),"bfa")</f>
        <v>bfa</v>
      </c>
      <c r="C2431" t="str">
        <f>IFERROR(__xludf.DUMMYFUNCTION("""COMPUTED_VALUE"""),"Burkina Faso")</f>
        <v>Burkina Faso</v>
      </c>
      <c r="D2431">
        <f>IFERROR(__xludf.DUMMYFUNCTION("""COMPUTED_VALUE"""),2011.0)</f>
        <v>2011</v>
      </c>
      <c r="E2431">
        <f>IFERROR(__xludf.DUMMYFUNCTION("""COMPUTED_VALUE"""),1.6081904E7)</f>
        <v>16081904</v>
      </c>
    </row>
    <row r="2432">
      <c r="A2432" t="str">
        <f t="shared" si="1"/>
        <v>bfa#2012</v>
      </c>
      <c r="B2432" t="str">
        <f>IFERROR(__xludf.DUMMYFUNCTION("""COMPUTED_VALUE"""),"bfa")</f>
        <v>bfa</v>
      </c>
      <c r="C2432" t="str">
        <f>IFERROR(__xludf.DUMMYFUNCTION("""COMPUTED_VALUE"""),"Burkina Faso")</f>
        <v>Burkina Faso</v>
      </c>
      <c r="D2432">
        <f>IFERROR(__xludf.DUMMYFUNCTION("""COMPUTED_VALUE"""),2012.0)</f>
        <v>2012</v>
      </c>
      <c r="E2432">
        <f>IFERROR(__xludf.DUMMYFUNCTION("""COMPUTED_VALUE"""),1.6571216E7)</f>
        <v>16571216</v>
      </c>
    </row>
    <row r="2433">
      <c r="A2433" t="str">
        <f t="shared" si="1"/>
        <v>bfa#2013</v>
      </c>
      <c r="B2433" t="str">
        <f>IFERROR(__xludf.DUMMYFUNCTION("""COMPUTED_VALUE"""),"bfa")</f>
        <v>bfa</v>
      </c>
      <c r="C2433" t="str">
        <f>IFERROR(__xludf.DUMMYFUNCTION("""COMPUTED_VALUE"""),"Burkina Faso")</f>
        <v>Burkina Faso</v>
      </c>
      <c r="D2433">
        <f>IFERROR(__xludf.DUMMYFUNCTION("""COMPUTED_VALUE"""),2013.0)</f>
        <v>2013</v>
      </c>
      <c r="E2433">
        <f>IFERROR(__xludf.DUMMYFUNCTION("""COMPUTED_VALUE"""),1.7072723E7)</f>
        <v>17072723</v>
      </c>
    </row>
    <row r="2434">
      <c r="A2434" t="str">
        <f t="shared" si="1"/>
        <v>bfa#2014</v>
      </c>
      <c r="B2434" t="str">
        <f>IFERROR(__xludf.DUMMYFUNCTION("""COMPUTED_VALUE"""),"bfa")</f>
        <v>bfa</v>
      </c>
      <c r="C2434" t="str">
        <f>IFERROR(__xludf.DUMMYFUNCTION("""COMPUTED_VALUE"""),"Burkina Faso")</f>
        <v>Burkina Faso</v>
      </c>
      <c r="D2434">
        <f>IFERROR(__xludf.DUMMYFUNCTION("""COMPUTED_VALUE"""),2014.0)</f>
        <v>2014</v>
      </c>
      <c r="E2434">
        <f>IFERROR(__xludf.DUMMYFUNCTION("""COMPUTED_VALUE"""),1.7585977E7)</f>
        <v>17585977</v>
      </c>
    </row>
    <row r="2435">
      <c r="A2435" t="str">
        <f t="shared" si="1"/>
        <v>bfa#2015</v>
      </c>
      <c r="B2435" t="str">
        <f>IFERROR(__xludf.DUMMYFUNCTION("""COMPUTED_VALUE"""),"bfa")</f>
        <v>bfa</v>
      </c>
      <c r="C2435" t="str">
        <f>IFERROR(__xludf.DUMMYFUNCTION("""COMPUTED_VALUE"""),"Burkina Faso")</f>
        <v>Burkina Faso</v>
      </c>
      <c r="D2435">
        <f>IFERROR(__xludf.DUMMYFUNCTION("""COMPUTED_VALUE"""),2015.0)</f>
        <v>2015</v>
      </c>
      <c r="E2435">
        <f>IFERROR(__xludf.DUMMYFUNCTION("""COMPUTED_VALUE"""),1.8110624E7)</f>
        <v>18110624</v>
      </c>
    </row>
    <row r="2436">
      <c r="A2436" t="str">
        <f t="shared" si="1"/>
        <v>bfa#2016</v>
      </c>
      <c r="B2436" t="str">
        <f>IFERROR(__xludf.DUMMYFUNCTION("""COMPUTED_VALUE"""),"bfa")</f>
        <v>bfa</v>
      </c>
      <c r="C2436" t="str">
        <f>IFERROR(__xludf.DUMMYFUNCTION("""COMPUTED_VALUE"""),"Burkina Faso")</f>
        <v>Burkina Faso</v>
      </c>
      <c r="D2436">
        <f>IFERROR(__xludf.DUMMYFUNCTION("""COMPUTED_VALUE"""),2016.0)</f>
        <v>2016</v>
      </c>
      <c r="E2436">
        <f>IFERROR(__xludf.DUMMYFUNCTION("""COMPUTED_VALUE"""),1.8646433E7)</f>
        <v>18646433</v>
      </c>
    </row>
    <row r="2437">
      <c r="A2437" t="str">
        <f t="shared" si="1"/>
        <v>bfa#2017</v>
      </c>
      <c r="B2437" t="str">
        <f>IFERROR(__xludf.DUMMYFUNCTION("""COMPUTED_VALUE"""),"bfa")</f>
        <v>bfa</v>
      </c>
      <c r="C2437" t="str">
        <f>IFERROR(__xludf.DUMMYFUNCTION("""COMPUTED_VALUE"""),"Burkina Faso")</f>
        <v>Burkina Faso</v>
      </c>
      <c r="D2437">
        <f>IFERROR(__xludf.DUMMYFUNCTION("""COMPUTED_VALUE"""),2017.0)</f>
        <v>2017</v>
      </c>
      <c r="E2437">
        <f>IFERROR(__xludf.DUMMYFUNCTION("""COMPUTED_VALUE"""),1.9193382E7)</f>
        <v>19193382</v>
      </c>
    </row>
    <row r="2438">
      <c r="A2438" t="str">
        <f t="shared" si="1"/>
        <v>bfa#2018</v>
      </c>
      <c r="B2438" t="str">
        <f>IFERROR(__xludf.DUMMYFUNCTION("""COMPUTED_VALUE"""),"bfa")</f>
        <v>bfa</v>
      </c>
      <c r="C2438" t="str">
        <f>IFERROR(__xludf.DUMMYFUNCTION("""COMPUTED_VALUE"""),"Burkina Faso")</f>
        <v>Burkina Faso</v>
      </c>
      <c r="D2438">
        <f>IFERROR(__xludf.DUMMYFUNCTION("""COMPUTED_VALUE"""),2018.0)</f>
        <v>2018</v>
      </c>
      <c r="E2438">
        <f>IFERROR(__xludf.DUMMYFUNCTION("""COMPUTED_VALUE"""),1.9751651E7)</f>
        <v>19751651</v>
      </c>
    </row>
    <row r="2439">
      <c r="A2439" t="str">
        <f t="shared" si="1"/>
        <v>bfa#2019</v>
      </c>
      <c r="B2439" t="str">
        <f>IFERROR(__xludf.DUMMYFUNCTION("""COMPUTED_VALUE"""),"bfa")</f>
        <v>bfa</v>
      </c>
      <c r="C2439" t="str">
        <f>IFERROR(__xludf.DUMMYFUNCTION("""COMPUTED_VALUE"""),"Burkina Faso")</f>
        <v>Burkina Faso</v>
      </c>
      <c r="D2439">
        <f>IFERROR(__xludf.DUMMYFUNCTION("""COMPUTED_VALUE"""),2019.0)</f>
        <v>2019</v>
      </c>
      <c r="E2439">
        <f>IFERROR(__xludf.DUMMYFUNCTION("""COMPUTED_VALUE"""),2.032156E7)</f>
        <v>20321560</v>
      </c>
    </row>
    <row r="2440">
      <c r="A2440" t="str">
        <f t="shared" si="1"/>
        <v>bfa#2020</v>
      </c>
      <c r="B2440" t="str">
        <f>IFERROR(__xludf.DUMMYFUNCTION("""COMPUTED_VALUE"""),"bfa")</f>
        <v>bfa</v>
      </c>
      <c r="C2440" t="str">
        <f>IFERROR(__xludf.DUMMYFUNCTION("""COMPUTED_VALUE"""),"Burkina Faso")</f>
        <v>Burkina Faso</v>
      </c>
      <c r="D2440">
        <f>IFERROR(__xludf.DUMMYFUNCTION("""COMPUTED_VALUE"""),2020.0)</f>
        <v>2020</v>
      </c>
      <c r="E2440">
        <f>IFERROR(__xludf.DUMMYFUNCTION("""COMPUTED_VALUE"""),2.0903345E7)</f>
        <v>20903345</v>
      </c>
    </row>
    <row r="2441">
      <c r="A2441" t="str">
        <f t="shared" si="1"/>
        <v>bfa#2021</v>
      </c>
      <c r="B2441" t="str">
        <f>IFERROR(__xludf.DUMMYFUNCTION("""COMPUTED_VALUE"""),"bfa")</f>
        <v>bfa</v>
      </c>
      <c r="C2441" t="str">
        <f>IFERROR(__xludf.DUMMYFUNCTION("""COMPUTED_VALUE"""),"Burkina Faso")</f>
        <v>Burkina Faso</v>
      </c>
      <c r="D2441">
        <f>IFERROR(__xludf.DUMMYFUNCTION("""COMPUTED_VALUE"""),2021.0)</f>
        <v>2021</v>
      </c>
      <c r="E2441">
        <f>IFERROR(__xludf.DUMMYFUNCTION("""COMPUTED_VALUE"""),2.1496961E7)</f>
        <v>21496961</v>
      </c>
    </row>
    <row r="2442">
      <c r="A2442" t="str">
        <f t="shared" si="1"/>
        <v>bfa#2022</v>
      </c>
      <c r="B2442" t="str">
        <f>IFERROR(__xludf.DUMMYFUNCTION("""COMPUTED_VALUE"""),"bfa")</f>
        <v>bfa</v>
      </c>
      <c r="C2442" t="str">
        <f>IFERROR(__xludf.DUMMYFUNCTION("""COMPUTED_VALUE"""),"Burkina Faso")</f>
        <v>Burkina Faso</v>
      </c>
      <c r="D2442">
        <f>IFERROR(__xludf.DUMMYFUNCTION("""COMPUTED_VALUE"""),2022.0)</f>
        <v>2022</v>
      </c>
      <c r="E2442">
        <f>IFERROR(__xludf.DUMMYFUNCTION("""COMPUTED_VALUE"""),2.2102342E7)</f>
        <v>22102342</v>
      </c>
    </row>
    <row r="2443">
      <c r="A2443" t="str">
        <f t="shared" si="1"/>
        <v>bfa#2023</v>
      </c>
      <c r="B2443" t="str">
        <f>IFERROR(__xludf.DUMMYFUNCTION("""COMPUTED_VALUE"""),"bfa")</f>
        <v>bfa</v>
      </c>
      <c r="C2443" t="str">
        <f>IFERROR(__xludf.DUMMYFUNCTION("""COMPUTED_VALUE"""),"Burkina Faso")</f>
        <v>Burkina Faso</v>
      </c>
      <c r="D2443">
        <f>IFERROR(__xludf.DUMMYFUNCTION("""COMPUTED_VALUE"""),2023.0)</f>
        <v>2023</v>
      </c>
      <c r="E2443">
        <f>IFERROR(__xludf.DUMMYFUNCTION("""COMPUTED_VALUE"""),2.2719682E7)</f>
        <v>22719682</v>
      </c>
    </row>
    <row r="2444">
      <c r="A2444" t="str">
        <f t="shared" si="1"/>
        <v>bfa#2024</v>
      </c>
      <c r="B2444" t="str">
        <f>IFERROR(__xludf.DUMMYFUNCTION("""COMPUTED_VALUE"""),"bfa")</f>
        <v>bfa</v>
      </c>
      <c r="C2444" t="str">
        <f>IFERROR(__xludf.DUMMYFUNCTION("""COMPUTED_VALUE"""),"Burkina Faso")</f>
        <v>Burkina Faso</v>
      </c>
      <c r="D2444">
        <f>IFERROR(__xludf.DUMMYFUNCTION("""COMPUTED_VALUE"""),2024.0)</f>
        <v>2024</v>
      </c>
      <c r="E2444">
        <f>IFERROR(__xludf.DUMMYFUNCTION("""COMPUTED_VALUE"""),2.3349262E7)</f>
        <v>23349262</v>
      </c>
    </row>
    <row r="2445">
      <c r="A2445" t="str">
        <f t="shared" si="1"/>
        <v>bfa#2025</v>
      </c>
      <c r="B2445" t="str">
        <f>IFERROR(__xludf.DUMMYFUNCTION("""COMPUTED_VALUE"""),"bfa")</f>
        <v>bfa</v>
      </c>
      <c r="C2445" t="str">
        <f>IFERROR(__xludf.DUMMYFUNCTION("""COMPUTED_VALUE"""),"Burkina Faso")</f>
        <v>Burkina Faso</v>
      </c>
      <c r="D2445">
        <f>IFERROR(__xludf.DUMMYFUNCTION("""COMPUTED_VALUE"""),2025.0)</f>
        <v>2025</v>
      </c>
      <c r="E2445">
        <f>IFERROR(__xludf.DUMMYFUNCTION("""COMPUTED_VALUE"""),2.3991225E7)</f>
        <v>23991225</v>
      </c>
    </row>
    <row r="2446">
      <c r="A2446" t="str">
        <f t="shared" si="1"/>
        <v>bfa#2026</v>
      </c>
      <c r="B2446" t="str">
        <f>IFERROR(__xludf.DUMMYFUNCTION("""COMPUTED_VALUE"""),"bfa")</f>
        <v>bfa</v>
      </c>
      <c r="C2446" t="str">
        <f>IFERROR(__xludf.DUMMYFUNCTION("""COMPUTED_VALUE"""),"Burkina Faso")</f>
        <v>Burkina Faso</v>
      </c>
      <c r="D2446">
        <f>IFERROR(__xludf.DUMMYFUNCTION("""COMPUTED_VALUE"""),2026.0)</f>
        <v>2026</v>
      </c>
      <c r="E2446">
        <f>IFERROR(__xludf.DUMMYFUNCTION("""COMPUTED_VALUE"""),2.4645549E7)</f>
        <v>24645549</v>
      </c>
    </row>
    <row r="2447">
      <c r="A2447" t="str">
        <f t="shared" si="1"/>
        <v>bfa#2027</v>
      </c>
      <c r="B2447" t="str">
        <f>IFERROR(__xludf.DUMMYFUNCTION("""COMPUTED_VALUE"""),"bfa")</f>
        <v>bfa</v>
      </c>
      <c r="C2447" t="str">
        <f>IFERROR(__xludf.DUMMYFUNCTION("""COMPUTED_VALUE"""),"Burkina Faso")</f>
        <v>Burkina Faso</v>
      </c>
      <c r="D2447">
        <f>IFERROR(__xludf.DUMMYFUNCTION("""COMPUTED_VALUE"""),2027.0)</f>
        <v>2027</v>
      </c>
      <c r="E2447">
        <f>IFERROR(__xludf.DUMMYFUNCTION("""COMPUTED_VALUE"""),2.5312044E7)</f>
        <v>25312044</v>
      </c>
    </row>
    <row r="2448">
      <c r="A2448" t="str">
        <f t="shared" si="1"/>
        <v>bfa#2028</v>
      </c>
      <c r="B2448" t="str">
        <f>IFERROR(__xludf.DUMMYFUNCTION("""COMPUTED_VALUE"""),"bfa")</f>
        <v>bfa</v>
      </c>
      <c r="C2448" t="str">
        <f>IFERROR(__xludf.DUMMYFUNCTION("""COMPUTED_VALUE"""),"Burkina Faso")</f>
        <v>Burkina Faso</v>
      </c>
      <c r="D2448">
        <f>IFERROR(__xludf.DUMMYFUNCTION("""COMPUTED_VALUE"""),2028.0)</f>
        <v>2028</v>
      </c>
      <c r="E2448">
        <f>IFERROR(__xludf.DUMMYFUNCTION("""COMPUTED_VALUE"""),2.599054E7)</f>
        <v>25990540</v>
      </c>
    </row>
    <row r="2449">
      <c r="A2449" t="str">
        <f t="shared" si="1"/>
        <v>bfa#2029</v>
      </c>
      <c r="B2449" t="str">
        <f>IFERROR(__xludf.DUMMYFUNCTION("""COMPUTED_VALUE"""),"bfa")</f>
        <v>bfa</v>
      </c>
      <c r="C2449" t="str">
        <f>IFERROR(__xludf.DUMMYFUNCTION("""COMPUTED_VALUE"""),"Burkina Faso")</f>
        <v>Burkina Faso</v>
      </c>
      <c r="D2449">
        <f>IFERROR(__xludf.DUMMYFUNCTION("""COMPUTED_VALUE"""),2029.0)</f>
        <v>2029</v>
      </c>
      <c r="E2449">
        <f>IFERROR(__xludf.DUMMYFUNCTION("""COMPUTED_VALUE"""),2.6680772E7)</f>
        <v>26680772</v>
      </c>
    </row>
    <row r="2450">
      <c r="A2450" t="str">
        <f t="shared" si="1"/>
        <v>bfa#2030</v>
      </c>
      <c r="B2450" t="str">
        <f>IFERROR(__xludf.DUMMYFUNCTION("""COMPUTED_VALUE"""),"bfa")</f>
        <v>bfa</v>
      </c>
      <c r="C2450" t="str">
        <f>IFERROR(__xludf.DUMMYFUNCTION("""COMPUTED_VALUE"""),"Burkina Faso")</f>
        <v>Burkina Faso</v>
      </c>
      <c r="D2450">
        <f>IFERROR(__xludf.DUMMYFUNCTION("""COMPUTED_VALUE"""),2030.0)</f>
        <v>2030</v>
      </c>
      <c r="E2450">
        <f>IFERROR(__xludf.DUMMYFUNCTION("""COMPUTED_VALUE"""),2.7382488E7)</f>
        <v>27382488</v>
      </c>
    </row>
    <row r="2451">
      <c r="A2451" t="str">
        <f t="shared" si="1"/>
        <v>bfa#2031</v>
      </c>
      <c r="B2451" t="str">
        <f>IFERROR(__xludf.DUMMYFUNCTION("""COMPUTED_VALUE"""),"bfa")</f>
        <v>bfa</v>
      </c>
      <c r="C2451" t="str">
        <f>IFERROR(__xludf.DUMMYFUNCTION("""COMPUTED_VALUE"""),"Burkina Faso")</f>
        <v>Burkina Faso</v>
      </c>
      <c r="D2451">
        <f>IFERROR(__xludf.DUMMYFUNCTION("""COMPUTED_VALUE"""),2031.0)</f>
        <v>2031</v>
      </c>
      <c r="E2451">
        <f>IFERROR(__xludf.DUMMYFUNCTION("""COMPUTED_VALUE"""),2.8095447E7)</f>
        <v>28095447</v>
      </c>
    </row>
    <row r="2452">
      <c r="A2452" t="str">
        <f t="shared" si="1"/>
        <v>bfa#2032</v>
      </c>
      <c r="B2452" t="str">
        <f>IFERROR(__xludf.DUMMYFUNCTION("""COMPUTED_VALUE"""),"bfa")</f>
        <v>bfa</v>
      </c>
      <c r="C2452" t="str">
        <f>IFERROR(__xludf.DUMMYFUNCTION("""COMPUTED_VALUE"""),"Burkina Faso")</f>
        <v>Burkina Faso</v>
      </c>
      <c r="D2452">
        <f>IFERROR(__xludf.DUMMYFUNCTION("""COMPUTED_VALUE"""),2032.0)</f>
        <v>2032</v>
      </c>
      <c r="E2452">
        <f>IFERROR(__xludf.DUMMYFUNCTION("""COMPUTED_VALUE"""),2.8819358E7)</f>
        <v>28819358</v>
      </c>
    </row>
    <row r="2453">
      <c r="A2453" t="str">
        <f t="shared" si="1"/>
        <v>bfa#2033</v>
      </c>
      <c r="B2453" t="str">
        <f>IFERROR(__xludf.DUMMYFUNCTION("""COMPUTED_VALUE"""),"bfa")</f>
        <v>bfa</v>
      </c>
      <c r="C2453" t="str">
        <f>IFERROR(__xludf.DUMMYFUNCTION("""COMPUTED_VALUE"""),"Burkina Faso")</f>
        <v>Burkina Faso</v>
      </c>
      <c r="D2453">
        <f>IFERROR(__xludf.DUMMYFUNCTION("""COMPUTED_VALUE"""),2033.0)</f>
        <v>2033</v>
      </c>
      <c r="E2453">
        <f>IFERROR(__xludf.DUMMYFUNCTION("""COMPUTED_VALUE"""),2.9553841E7)</f>
        <v>29553841</v>
      </c>
    </row>
    <row r="2454">
      <c r="A2454" t="str">
        <f t="shared" si="1"/>
        <v>bfa#2034</v>
      </c>
      <c r="B2454" t="str">
        <f>IFERROR(__xludf.DUMMYFUNCTION("""COMPUTED_VALUE"""),"bfa")</f>
        <v>bfa</v>
      </c>
      <c r="C2454" t="str">
        <f>IFERROR(__xludf.DUMMYFUNCTION("""COMPUTED_VALUE"""),"Burkina Faso")</f>
        <v>Burkina Faso</v>
      </c>
      <c r="D2454">
        <f>IFERROR(__xludf.DUMMYFUNCTION("""COMPUTED_VALUE"""),2034.0)</f>
        <v>2034</v>
      </c>
      <c r="E2454">
        <f>IFERROR(__xludf.DUMMYFUNCTION("""COMPUTED_VALUE"""),3.029844E7)</f>
        <v>30298440</v>
      </c>
    </row>
    <row r="2455">
      <c r="A2455" t="str">
        <f t="shared" si="1"/>
        <v>bfa#2035</v>
      </c>
      <c r="B2455" t="str">
        <f>IFERROR(__xludf.DUMMYFUNCTION("""COMPUTED_VALUE"""),"bfa")</f>
        <v>bfa</v>
      </c>
      <c r="C2455" t="str">
        <f>IFERROR(__xludf.DUMMYFUNCTION("""COMPUTED_VALUE"""),"Burkina Faso")</f>
        <v>Burkina Faso</v>
      </c>
      <c r="D2455">
        <f>IFERROR(__xludf.DUMMYFUNCTION("""COMPUTED_VALUE"""),2035.0)</f>
        <v>2035</v>
      </c>
      <c r="E2455">
        <f>IFERROR(__xludf.DUMMYFUNCTION("""COMPUTED_VALUE"""),3.1052714E7)</f>
        <v>31052714</v>
      </c>
    </row>
    <row r="2456">
      <c r="A2456" t="str">
        <f t="shared" si="1"/>
        <v>bfa#2036</v>
      </c>
      <c r="B2456" t="str">
        <f>IFERROR(__xludf.DUMMYFUNCTION("""COMPUTED_VALUE"""),"bfa")</f>
        <v>bfa</v>
      </c>
      <c r="C2456" t="str">
        <f>IFERROR(__xludf.DUMMYFUNCTION("""COMPUTED_VALUE"""),"Burkina Faso")</f>
        <v>Burkina Faso</v>
      </c>
      <c r="D2456">
        <f>IFERROR(__xludf.DUMMYFUNCTION("""COMPUTED_VALUE"""),2036.0)</f>
        <v>2036</v>
      </c>
      <c r="E2456">
        <f>IFERROR(__xludf.DUMMYFUNCTION("""COMPUTED_VALUE"""),3.181628E7)</f>
        <v>31816280</v>
      </c>
    </row>
    <row r="2457">
      <c r="A2457" t="str">
        <f t="shared" si="1"/>
        <v>bfa#2037</v>
      </c>
      <c r="B2457" t="str">
        <f>IFERROR(__xludf.DUMMYFUNCTION("""COMPUTED_VALUE"""),"bfa")</f>
        <v>bfa</v>
      </c>
      <c r="C2457" t="str">
        <f>IFERROR(__xludf.DUMMYFUNCTION("""COMPUTED_VALUE"""),"Burkina Faso")</f>
        <v>Burkina Faso</v>
      </c>
      <c r="D2457">
        <f>IFERROR(__xludf.DUMMYFUNCTION("""COMPUTED_VALUE"""),2037.0)</f>
        <v>2037</v>
      </c>
      <c r="E2457">
        <f>IFERROR(__xludf.DUMMYFUNCTION("""COMPUTED_VALUE"""),3.2588733E7)</f>
        <v>32588733</v>
      </c>
    </row>
    <row r="2458">
      <c r="A2458" t="str">
        <f t="shared" si="1"/>
        <v>bfa#2038</v>
      </c>
      <c r="B2458" t="str">
        <f>IFERROR(__xludf.DUMMYFUNCTION("""COMPUTED_VALUE"""),"bfa")</f>
        <v>bfa</v>
      </c>
      <c r="C2458" t="str">
        <f>IFERROR(__xludf.DUMMYFUNCTION("""COMPUTED_VALUE"""),"Burkina Faso")</f>
        <v>Burkina Faso</v>
      </c>
      <c r="D2458">
        <f>IFERROR(__xludf.DUMMYFUNCTION("""COMPUTED_VALUE"""),2038.0)</f>
        <v>2038</v>
      </c>
      <c r="E2458">
        <f>IFERROR(__xludf.DUMMYFUNCTION("""COMPUTED_VALUE"""),3.3369534E7)</f>
        <v>33369534</v>
      </c>
    </row>
    <row r="2459">
      <c r="A2459" t="str">
        <f t="shared" si="1"/>
        <v>bfa#2039</v>
      </c>
      <c r="B2459" t="str">
        <f>IFERROR(__xludf.DUMMYFUNCTION("""COMPUTED_VALUE"""),"bfa")</f>
        <v>bfa</v>
      </c>
      <c r="C2459" t="str">
        <f>IFERROR(__xludf.DUMMYFUNCTION("""COMPUTED_VALUE"""),"Burkina Faso")</f>
        <v>Burkina Faso</v>
      </c>
      <c r="D2459">
        <f>IFERROR(__xludf.DUMMYFUNCTION("""COMPUTED_VALUE"""),2039.0)</f>
        <v>2039</v>
      </c>
      <c r="E2459">
        <f>IFERROR(__xludf.DUMMYFUNCTION("""COMPUTED_VALUE"""),3.4158075E7)</f>
        <v>34158075</v>
      </c>
    </row>
    <row r="2460">
      <c r="A2460" t="str">
        <f t="shared" si="1"/>
        <v>bfa#2040</v>
      </c>
      <c r="B2460" t="str">
        <f>IFERROR(__xludf.DUMMYFUNCTION("""COMPUTED_VALUE"""),"bfa")</f>
        <v>bfa</v>
      </c>
      <c r="C2460" t="str">
        <f>IFERROR(__xludf.DUMMYFUNCTION("""COMPUTED_VALUE"""),"Burkina Faso")</f>
        <v>Burkina Faso</v>
      </c>
      <c r="D2460">
        <f>IFERROR(__xludf.DUMMYFUNCTION("""COMPUTED_VALUE"""),2040.0)</f>
        <v>2040</v>
      </c>
      <c r="E2460">
        <f>IFERROR(__xludf.DUMMYFUNCTION("""COMPUTED_VALUE"""),3.4953797E7)</f>
        <v>34953797</v>
      </c>
    </row>
    <row r="2461">
      <c r="A2461" t="str">
        <f t="shared" si="1"/>
        <v>bdi#1950</v>
      </c>
      <c r="B2461" t="str">
        <f>IFERROR(__xludf.DUMMYFUNCTION("""COMPUTED_VALUE"""),"bdi")</f>
        <v>bdi</v>
      </c>
      <c r="C2461" t="str">
        <f>IFERROR(__xludf.DUMMYFUNCTION("""COMPUTED_VALUE"""),"Burundi")</f>
        <v>Burundi</v>
      </c>
      <c r="D2461">
        <f>IFERROR(__xludf.DUMMYFUNCTION("""COMPUTED_VALUE"""),1950.0)</f>
        <v>1950</v>
      </c>
      <c r="E2461">
        <f>IFERROR(__xludf.DUMMYFUNCTION("""COMPUTED_VALUE"""),2308920.0)</f>
        <v>2308920</v>
      </c>
    </row>
    <row r="2462">
      <c r="A2462" t="str">
        <f t="shared" si="1"/>
        <v>bdi#1951</v>
      </c>
      <c r="B2462" t="str">
        <f>IFERROR(__xludf.DUMMYFUNCTION("""COMPUTED_VALUE"""),"bdi")</f>
        <v>bdi</v>
      </c>
      <c r="C2462" t="str">
        <f>IFERROR(__xludf.DUMMYFUNCTION("""COMPUTED_VALUE"""),"Burundi")</f>
        <v>Burundi</v>
      </c>
      <c r="D2462">
        <f>IFERROR(__xludf.DUMMYFUNCTION("""COMPUTED_VALUE"""),1951.0)</f>
        <v>1951</v>
      </c>
      <c r="E2462">
        <f>IFERROR(__xludf.DUMMYFUNCTION("""COMPUTED_VALUE"""),2359123.0)</f>
        <v>2359123</v>
      </c>
    </row>
    <row r="2463">
      <c r="A2463" t="str">
        <f t="shared" si="1"/>
        <v>bdi#1952</v>
      </c>
      <c r="B2463" t="str">
        <f>IFERROR(__xludf.DUMMYFUNCTION("""COMPUTED_VALUE"""),"bdi")</f>
        <v>bdi</v>
      </c>
      <c r="C2463" t="str">
        <f>IFERROR(__xludf.DUMMYFUNCTION("""COMPUTED_VALUE"""),"Burundi")</f>
        <v>Burundi</v>
      </c>
      <c r="D2463">
        <f>IFERROR(__xludf.DUMMYFUNCTION("""COMPUTED_VALUE"""),1952.0)</f>
        <v>1952</v>
      </c>
      <c r="E2463">
        <f>IFERROR(__xludf.DUMMYFUNCTION("""COMPUTED_VALUE"""),2403511.0)</f>
        <v>2403511</v>
      </c>
    </row>
    <row r="2464">
      <c r="A2464" t="str">
        <f t="shared" si="1"/>
        <v>bdi#1953</v>
      </c>
      <c r="B2464" t="str">
        <f>IFERROR(__xludf.DUMMYFUNCTION("""COMPUTED_VALUE"""),"bdi")</f>
        <v>bdi</v>
      </c>
      <c r="C2464" t="str">
        <f>IFERROR(__xludf.DUMMYFUNCTION("""COMPUTED_VALUE"""),"Burundi")</f>
        <v>Burundi</v>
      </c>
      <c r="D2464">
        <f>IFERROR(__xludf.DUMMYFUNCTION("""COMPUTED_VALUE"""),1953.0)</f>
        <v>1953</v>
      </c>
      <c r="E2464">
        <f>IFERROR(__xludf.DUMMYFUNCTION("""COMPUTED_VALUE"""),2445420.0)</f>
        <v>2445420</v>
      </c>
    </row>
    <row r="2465">
      <c r="A2465" t="str">
        <f t="shared" si="1"/>
        <v>bdi#1954</v>
      </c>
      <c r="B2465" t="str">
        <f>IFERROR(__xludf.DUMMYFUNCTION("""COMPUTED_VALUE"""),"bdi")</f>
        <v>bdi</v>
      </c>
      <c r="C2465" t="str">
        <f>IFERROR(__xludf.DUMMYFUNCTION("""COMPUTED_VALUE"""),"Burundi")</f>
        <v>Burundi</v>
      </c>
      <c r="D2465">
        <f>IFERROR(__xludf.DUMMYFUNCTION("""COMPUTED_VALUE"""),1954.0)</f>
        <v>1954</v>
      </c>
      <c r="E2465">
        <f>IFERROR(__xludf.DUMMYFUNCTION("""COMPUTED_VALUE"""),2487390.0)</f>
        <v>2487390</v>
      </c>
    </row>
    <row r="2466">
      <c r="A2466" t="str">
        <f t="shared" si="1"/>
        <v>bdi#1955</v>
      </c>
      <c r="B2466" t="str">
        <f>IFERROR(__xludf.DUMMYFUNCTION("""COMPUTED_VALUE"""),"bdi")</f>
        <v>bdi</v>
      </c>
      <c r="C2466" t="str">
        <f>IFERROR(__xludf.DUMMYFUNCTION("""COMPUTED_VALUE"""),"Burundi")</f>
        <v>Burundi</v>
      </c>
      <c r="D2466">
        <f>IFERROR(__xludf.DUMMYFUNCTION("""COMPUTED_VALUE"""),1955.0)</f>
        <v>1955</v>
      </c>
      <c r="E2466">
        <f>IFERROR(__xludf.DUMMYFUNCTION("""COMPUTED_VALUE"""),2531184.0)</f>
        <v>2531184</v>
      </c>
    </row>
    <row r="2467">
      <c r="A2467" t="str">
        <f t="shared" si="1"/>
        <v>bdi#1956</v>
      </c>
      <c r="B2467" t="str">
        <f>IFERROR(__xludf.DUMMYFUNCTION("""COMPUTED_VALUE"""),"bdi")</f>
        <v>bdi</v>
      </c>
      <c r="C2467" t="str">
        <f>IFERROR(__xludf.DUMMYFUNCTION("""COMPUTED_VALUE"""),"Burundi")</f>
        <v>Burundi</v>
      </c>
      <c r="D2467">
        <f>IFERROR(__xludf.DUMMYFUNCTION("""COMPUTED_VALUE"""),1956.0)</f>
        <v>1956</v>
      </c>
      <c r="E2467">
        <f>IFERROR(__xludf.DUMMYFUNCTION("""COMPUTED_VALUE"""),2577735.0)</f>
        <v>2577735</v>
      </c>
    </row>
    <row r="2468">
      <c r="A2468" t="str">
        <f t="shared" si="1"/>
        <v>bdi#1957</v>
      </c>
      <c r="B2468" t="str">
        <f>IFERROR(__xludf.DUMMYFUNCTION("""COMPUTED_VALUE"""),"bdi")</f>
        <v>bdi</v>
      </c>
      <c r="C2468" t="str">
        <f>IFERROR(__xludf.DUMMYFUNCTION("""COMPUTED_VALUE"""),"Burundi")</f>
        <v>Burundi</v>
      </c>
      <c r="D2468">
        <f>IFERROR(__xludf.DUMMYFUNCTION("""COMPUTED_VALUE"""),1957.0)</f>
        <v>1957</v>
      </c>
      <c r="E2468">
        <f>IFERROR(__xludf.DUMMYFUNCTION("""COMPUTED_VALUE"""),2627233.0)</f>
        <v>2627233</v>
      </c>
    </row>
    <row r="2469">
      <c r="A2469" t="str">
        <f t="shared" si="1"/>
        <v>bdi#1958</v>
      </c>
      <c r="B2469" t="str">
        <f>IFERROR(__xludf.DUMMYFUNCTION("""COMPUTED_VALUE"""),"bdi")</f>
        <v>bdi</v>
      </c>
      <c r="C2469" t="str">
        <f>IFERROR(__xludf.DUMMYFUNCTION("""COMPUTED_VALUE"""),"Burundi")</f>
        <v>Burundi</v>
      </c>
      <c r="D2469">
        <f>IFERROR(__xludf.DUMMYFUNCTION("""COMPUTED_VALUE"""),1958.0)</f>
        <v>1958</v>
      </c>
      <c r="E2469">
        <f>IFERROR(__xludf.DUMMYFUNCTION("""COMPUTED_VALUE"""),2679141.0)</f>
        <v>2679141</v>
      </c>
    </row>
    <row r="2470">
      <c r="A2470" t="str">
        <f t="shared" si="1"/>
        <v>bdi#1959</v>
      </c>
      <c r="B2470" t="str">
        <f>IFERROR(__xludf.DUMMYFUNCTION("""COMPUTED_VALUE"""),"bdi")</f>
        <v>bdi</v>
      </c>
      <c r="C2470" t="str">
        <f>IFERROR(__xludf.DUMMYFUNCTION("""COMPUTED_VALUE"""),"Burundi")</f>
        <v>Burundi</v>
      </c>
      <c r="D2470">
        <f>IFERROR(__xludf.DUMMYFUNCTION("""COMPUTED_VALUE"""),1959.0)</f>
        <v>1959</v>
      </c>
      <c r="E2470">
        <f>IFERROR(__xludf.DUMMYFUNCTION("""COMPUTED_VALUE"""),2732438.0)</f>
        <v>2732438</v>
      </c>
    </row>
    <row r="2471">
      <c r="A2471" t="str">
        <f t="shared" si="1"/>
        <v>bdi#1960</v>
      </c>
      <c r="B2471" t="str">
        <f>IFERROR(__xludf.DUMMYFUNCTION("""COMPUTED_VALUE"""),"bdi")</f>
        <v>bdi</v>
      </c>
      <c r="C2471" t="str">
        <f>IFERROR(__xludf.DUMMYFUNCTION("""COMPUTED_VALUE"""),"Burundi")</f>
        <v>Burundi</v>
      </c>
      <c r="D2471">
        <f>IFERROR(__xludf.DUMMYFUNCTION("""COMPUTED_VALUE"""),1960.0)</f>
        <v>1960</v>
      </c>
      <c r="E2471">
        <f>IFERROR(__xludf.DUMMYFUNCTION("""COMPUTED_VALUE"""),2786106.0)</f>
        <v>2786106</v>
      </c>
    </row>
    <row r="2472">
      <c r="A2472" t="str">
        <f t="shared" si="1"/>
        <v>bdi#1961</v>
      </c>
      <c r="B2472" t="str">
        <f>IFERROR(__xludf.DUMMYFUNCTION("""COMPUTED_VALUE"""),"bdi")</f>
        <v>bdi</v>
      </c>
      <c r="C2472" t="str">
        <f>IFERROR(__xludf.DUMMYFUNCTION("""COMPUTED_VALUE"""),"Burundi")</f>
        <v>Burundi</v>
      </c>
      <c r="D2472">
        <f>IFERROR(__xludf.DUMMYFUNCTION("""COMPUTED_VALUE"""),1961.0)</f>
        <v>1961</v>
      </c>
      <c r="E2472">
        <f>IFERROR(__xludf.DUMMYFUNCTION("""COMPUTED_VALUE"""),2839666.0)</f>
        <v>2839666</v>
      </c>
    </row>
    <row r="2473">
      <c r="A2473" t="str">
        <f t="shared" si="1"/>
        <v>bdi#1962</v>
      </c>
      <c r="B2473" t="str">
        <f>IFERROR(__xludf.DUMMYFUNCTION("""COMPUTED_VALUE"""),"bdi")</f>
        <v>bdi</v>
      </c>
      <c r="C2473" t="str">
        <f>IFERROR(__xludf.DUMMYFUNCTION("""COMPUTED_VALUE"""),"Burundi")</f>
        <v>Burundi</v>
      </c>
      <c r="D2473">
        <f>IFERROR(__xludf.DUMMYFUNCTION("""COMPUTED_VALUE"""),1962.0)</f>
        <v>1962</v>
      </c>
      <c r="E2473">
        <f>IFERROR(__xludf.DUMMYFUNCTION("""COMPUTED_VALUE"""),2893669.0)</f>
        <v>2893669</v>
      </c>
    </row>
    <row r="2474">
      <c r="A2474" t="str">
        <f t="shared" si="1"/>
        <v>bdi#1963</v>
      </c>
      <c r="B2474" t="str">
        <f>IFERROR(__xludf.DUMMYFUNCTION("""COMPUTED_VALUE"""),"bdi")</f>
        <v>bdi</v>
      </c>
      <c r="C2474" t="str">
        <f>IFERROR(__xludf.DUMMYFUNCTION("""COMPUTED_VALUE"""),"Burundi")</f>
        <v>Burundi</v>
      </c>
      <c r="D2474">
        <f>IFERROR(__xludf.DUMMYFUNCTION("""COMPUTED_VALUE"""),1963.0)</f>
        <v>1963</v>
      </c>
      <c r="E2474">
        <f>IFERROR(__xludf.DUMMYFUNCTION("""COMPUTED_VALUE"""),2949926.0)</f>
        <v>2949926</v>
      </c>
    </row>
    <row r="2475">
      <c r="A2475" t="str">
        <f t="shared" si="1"/>
        <v>bdi#1964</v>
      </c>
      <c r="B2475" t="str">
        <f>IFERROR(__xludf.DUMMYFUNCTION("""COMPUTED_VALUE"""),"bdi")</f>
        <v>bdi</v>
      </c>
      <c r="C2475" t="str">
        <f>IFERROR(__xludf.DUMMYFUNCTION("""COMPUTED_VALUE"""),"Burundi")</f>
        <v>Burundi</v>
      </c>
      <c r="D2475">
        <f>IFERROR(__xludf.DUMMYFUNCTION("""COMPUTED_VALUE"""),1964.0)</f>
        <v>1964</v>
      </c>
      <c r="E2475">
        <f>IFERROR(__xludf.DUMMYFUNCTION("""COMPUTED_VALUE"""),3010859.0)</f>
        <v>3010859</v>
      </c>
    </row>
    <row r="2476">
      <c r="A2476" t="str">
        <f t="shared" si="1"/>
        <v>bdi#1965</v>
      </c>
      <c r="B2476" t="str">
        <f>IFERROR(__xludf.DUMMYFUNCTION("""COMPUTED_VALUE"""),"bdi")</f>
        <v>bdi</v>
      </c>
      <c r="C2476" t="str">
        <f>IFERROR(__xludf.DUMMYFUNCTION("""COMPUTED_VALUE"""),"Burundi")</f>
        <v>Burundi</v>
      </c>
      <c r="D2476">
        <f>IFERROR(__xludf.DUMMYFUNCTION("""COMPUTED_VALUE"""),1965.0)</f>
        <v>1965</v>
      </c>
      <c r="E2476">
        <f>IFERROR(__xludf.DUMMYFUNCTION("""COMPUTED_VALUE"""),3077876.0)</f>
        <v>3077876</v>
      </c>
    </row>
    <row r="2477">
      <c r="A2477" t="str">
        <f t="shared" si="1"/>
        <v>bdi#1966</v>
      </c>
      <c r="B2477" t="str">
        <f>IFERROR(__xludf.DUMMYFUNCTION("""COMPUTED_VALUE"""),"bdi")</f>
        <v>bdi</v>
      </c>
      <c r="C2477" t="str">
        <f>IFERROR(__xludf.DUMMYFUNCTION("""COMPUTED_VALUE"""),"Burundi")</f>
        <v>Burundi</v>
      </c>
      <c r="D2477">
        <f>IFERROR(__xludf.DUMMYFUNCTION("""COMPUTED_VALUE"""),1966.0)</f>
        <v>1966</v>
      </c>
      <c r="E2477">
        <f>IFERROR(__xludf.DUMMYFUNCTION("""COMPUTED_VALUE"""),3152723.0)</f>
        <v>3152723</v>
      </c>
    </row>
    <row r="2478">
      <c r="A2478" t="str">
        <f t="shared" si="1"/>
        <v>bdi#1967</v>
      </c>
      <c r="B2478" t="str">
        <f>IFERROR(__xludf.DUMMYFUNCTION("""COMPUTED_VALUE"""),"bdi")</f>
        <v>bdi</v>
      </c>
      <c r="C2478" t="str">
        <f>IFERROR(__xludf.DUMMYFUNCTION("""COMPUTED_VALUE"""),"Burundi")</f>
        <v>Burundi</v>
      </c>
      <c r="D2478">
        <f>IFERROR(__xludf.DUMMYFUNCTION("""COMPUTED_VALUE"""),1967.0)</f>
        <v>1967</v>
      </c>
      <c r="E2478">
        <f>IFERROR(__xludf.DUMMYFUNCTION("""COMPUTED_VALUE"""),3234023.0)</f>
        <v>3234023</v>
      </c>
    </row>
    <row r="2479">
      <c r="A2479" t="str">
        <f t="shared" si="1"/>
        <v>bdi#1968</v>
      </c>
      <c r="B2479" t="str">
        <f>IFERROR(__xludf.DUMMYFUNCTION("""COMPUTED_VALUE"""),"bdi")</f>
        <v>bdi</v>
      </c>
      <c r="C2479" t="str">
        <f>IFERROR(__xludf.DUMMYFUNCTION("""COMPUTED_VALUE"""),"Burundi")</f>
        <v>Burundi</v>
      </c>
      <c r="D2479">
        <f>IFERROR(__xludf.DUMMYFUNCTION("""COMPUTED_VALUE"""),1968.0)</f>
        <v>1968</v>
      </c>
      <c r="E2479">
        <f>IFERROR(__xludf.DUMMYFUNCTION("""COMPUTED_VALUE"""),3316233.0)</f>
        <v>3316233</v>
      </c>
    </row>
    <row r="2480">
      <c r="A2480" t="str">
        <f t="shared" si="1"/>
        <v>bdi#1969</v>
      </c>
      <c r="B2480" t="str">
        <f>IFERROR(__xludf.DUMMYFUNCTION("""COMPUTED_VALUE"""),"bdi")</f>
        <v>bdi</v>
      </c>
      <c r="C2480" t="str">
        <f>IFERROR(__xludf.DUMMYFUNCTION("""COMPUTED_VALUE"""),"Burundi")</f>
        <v>Burundi</v>
      </c>
      <c r="D2480">
        <f>IFERROR(__xludf.DUMMYFUNCTION("""COMPUTED_VALUE"""),1969.0)</f>
        <v>1969</v>
      </c>
      <c r="E2480">
        <f>IFERROR(__xludf.DUMMYFUNCTION("""COMPUTED_VALUE"""),3391753.0)</f>
        <v>3391753</v>
      </c>
    </row>
    <row r="2481">
      <c r="A2481" t="str">
        <f t="shared" si="1"/>
        <v>bdi#1970</v>
      </c>
      <c r="B2481" t="str">
        <f>IFERROR(__xludf.DUMMYFUNCTION("""COMPUTED_VALUE"""),"bdi")</f>
        <v>bdi</v>
      </c>
      <c r="C2481" t="str">
        <f>IFERROR(__xludf.DUMMYFUNCTION("""COMPUTED_VALUE"""),"Burundi")</f>
        <v>Burundi</v>
      </c>
      <c r="D2481">
        <f>IFERROR(__xludf.DUMMYFUNCTION("""COMPUTED_VALUE"""),1970.0)</f>
        <v>1970</v>
      </c>
      <c r="E2481">
        <f>IFERROR(__xludf.DUMMYFUNCTION("""COMPUTED_VALUE"""),3455606.0)</f>
        <v>3455606</v>
      </c>
    </row>
    <row r="2482">
      <c r="A2482" t="str">
        <f t="shared" si="1"/>
        <v>bdi#1971</v>
      </c>
      <c r="B2482" t="str">
        <f>IFERROR(__xludf.DUMMYFUNCTION("""COMPUTED_VALUE"""),"bdi")</f>
        <v>bdi</v>
      </c>
      <c r="C2482" t="str">
        <f>IFERROR(__xludf.DUMMYFUNCTION("""COMPUTED_VALUE"""),"Burundi")</f>
        <v>Burundi</v>
      </c>
      <c r="D2482">
        <f>IFERROR(__xludf.DUMMYFUNCTION("""COMPUTED_VALUE"""),1971.0)</f>
        <v>1971</v>
      </c>
      <c r="E2482">
        <f>IFERROR(__xludf.DUMMYFUNCTION("""COMPUTED_VALUE"""),3505391.0)</f>
        <v>3505391</v>
      </c>
    </row>
    <row r="2483">
      <c r="A2483" t="str">
        <f t="shared" si="1"/>
        <v>bdi#1972</v>
      </c>
      <c r="B2483" t="str">
        <f>IFERROR(__xludf.DUMMYFUNCTION("""COMPUTED_VALUE"""),"bdi")</f>
        <v>bdi</v>
      </c>
      <c r="C2483" t="str">
        <f>IFERROR(__xludf.DUMMYFUNCTION("""COMPUTED_VALUE"""),"Burundi")</f>
        <v>Burundi</v>
      </c>
      <c r="D2483">
        <f>IFERROR(__xludf.DUMMYFUNCTION("""COMPUTED_VALUE"""),1972.0)</f>
        <v>1972</v>
      </c>
      <c r="E2483">
        <f>IFERROR(__xludf.DUMMYFUNCTION("""COMPUTED_VALUE"""),3544047.0)</f>
        <v>3544047</v>
      </c>
    </row>
    <row r="2484">
      <c r="A2484" t="str">
        <f t="shared" si="1"/>
        <v>bdi#1973</v>
      </c>
      <c r="B2484" t="str">
        <f>IFERROR(__xludf.DUMMYFUNCTION("""COMPUTED_VALUE"""),"bdi")</f>
        <v>bdi</v>
      </c>
      <c r="C2484" t="str">
        <f>IFERROR(__xludf.DUMMYFUNCTION("""COMPUTED_VALUE"""),"Burundi")</f>
        <v>Burundi</v>
      </c>
      <c r="D2484">
        <f>IFERROR(__xludf.DUMMYFUNCTION("""COMPUTED_VALUE"""),1973.0)</f>
        <v>1973</v>
      </c>
      <c r="E2484">
        <f>IFERROR(__xludf.DUMMYFUNCTION("""COMPUTED_VALUE"""),3578490.0)</f>
        <v>3578490</v>
      </c>
    </row>
    <row r="2485">
      <c r="A2485" t="str">
        <f t="shared" si="1"/>
        <v>bdi#1974</v>
      </c>
      <c r="B2485" t="str">
        <f>IFERROR(__xludf.DUMMYFUNCTION("""COMPUTED_VALUE"""),"bdi")</f>
        <v>bdi</v>
      </c>
      <c r="C2485" t="str">
        <f>IFERROR(__xludf.DUMMYFUNCTION("""COMPUTED_VALUE"""),"Burundi")</f>
        <v>Burundi</v>
      </c>
      <c r="D2485">
        <f>IFERROR(__xludf.DUMMYFUNCTION("""COMPUTED_VALUE"""),1974.0)</f>
        <v>1974</v>
      </c>
      <c r="E2485">
        <f>IFERROR(__xludf.DUMMYFUNCTION("""COMPUTED_VALUE"""),3618585.0)</f>
        <v>3618585</v>
      </c>
    </row>
    <row r="2486">
      <c r="A2486" t="str">
        <f t="shared" si="1"/>
        <v>bdi#1975</v>
      </c>
      <c r="B2486" t="str">
        <f>IFERROR(__xludf.DUMMYFUNCTION("""COMPUTED_VALUE"""),"bdi")</f>
        <v>bdi</v>
      </c>
      <c r="C2486" t="str">
        <f>IFERROR(__xludf.DUMMYFUNCTION("""COMPUTED_VALUE"""),"Burundi")</f>
        <v>Burundi</v>
      </c>
      <c r="D2486">
        <f>IFERROR(__xludf.DUMMYFUNCTION("""COMPUTED_VALUE"""),1975.0)</f>
        <v>1975</v>
      </c>
      <c r="E2486">
        <f>IFERROR(__xludf.DUMMYFUNCTION("""COMPUTED_VALUE"""),3671494.0)</f>
        <v>3671494</v>
      </c>
    </row>
    <row r="2487">
      <c r="A2487" t="str">
        <f t="shared" si="1"/>
        <v>bdi#1976</v>
      </c>
      <c r="B2487" t="str">
        <f>IFERROR(__xludf.DUMMYFUNCTION("""COMPUTED_VALUE"""),"bdi")</f>
        <v>bdi</v>
      </c>
      <c r="C2487" t="str">
        <f>IFERROR(__xludf.DUMMYFUNCTION("""COMPUTED_VALUE"""),"Burundi")</f>
        <v>Burundi</v>
      </c>
      <c r="D2487">
        <f>IFERROR(__xludf.DUMMYFUNCTION("""COMPUTED_VALUE"""),1976.0)</f>
        <v>1976</v>
      </c>
      <c r="E2487">
        <f>IFERROR(__xludf.DUMMYFUNCTION("""COMPUTED_VALUE"""),3739659.0)</f>
        <v>3739659</v>
      </c>
    </row>
    <row r="2488">
      <c r="A2488" t="str">
        <f t="shared" si="1"/>
        <v>bdi#1977</v>
      </c>
      <c r="B2488" t="str">
        <f>IFERROR(__xludf.DUMMYFUNCTION("""COMPUTED_VALUE"""),"bdi")</f>
        <v>bdi</v>
      </c>
      <c r="C2488" t="str">
        <f>IFERROR(__xludf.DUMMYFUNCTION("""COMPUTED_VALUE"""),"Burundi")</f>
        <v>Burundi</v>
      </c>
      <c r="D2488">
        <f>IFERROR(__xludf.DUMMYFUNCTION("""COMPUTED_VALUE"""),1977.0)</f>
        <v>1977</v>
      </c>
      <c r="E2488">
        <f>IFERROR(__xludf.DUMMYFUNCTION("""COMPUTED_VALUE"""),3821194.0)</f>
        <v>3821194</v>
      </c>
    </row>
    <row r="2489">
      <c r="A2489" t="str">
        <f t="shared" si="1"/>
        <v>bdi#1978</v>
      </c>
      <c r="B2489" t="str">
        <f>IFERROR(__xludf.DUMMYFUNCTION("""COMPUTED_VALUE"""),"bdi")</f>
        <v>bdi</v>
      </c>
      <c r="C2489" t="str">
        <f>IFERROR(__xludf.DUMMYFUNCTION("""COMPUTED_VALUE"""),"Burundi")</f>
        <v>Burundi</v>
      </c>
      <c r="D2489">
        <f>IFERROR(__xludf.DUMMYFUNCTION("""COMPUTED_VALUE"""),1978.0)</f>
        <v>1978</v>
      </c>
      <c r="E2489">
        <f>IFERROR(__xludf.DUMMYFUNCTION("""COMPUTED_VALUE"""),3913768.0)</f>
        <v>3913768</v>
      </c>
    </row>
    <row r="2490">
      <c r="A2490" t="str">
        <f t="shared" si="1"/>
        <v>bdi#1979</v>
      </c>
      <c r="B2490" t="str">
        <f>IFERROR(__xludf.DUMMYFUNCTION("""COMPUTED_VALUE"""),"bdi")</f>
        <v>bdi</v>
      </c>
      <c r="C2490" t="str">
        <f>IFERROR(__xludf.DUMMYFUNCTION("""COMPUTED_VALUE"""),"Burundi")</f>
        <v>Burundi</v>
      </c>
      <c r="D2490">
        <f>IFERROR(__xludf.DUMMYFUNCTION("""COMPUTED_VALUE"""),1979.0)</f>
        <v>1979</v>
      </c>
      <c r="E2490">
        <f>IFERROR(__xludf.DUMMYFUNCTION("""COMPUTED_VALUE"""),4013310.0)</f>
        <v>4013310</v>
      </c>
    </row>
    <row r="2491">
      <c r="A2491" t="str">
        <f t="shared" si="1"/>
        <v>bdi#1980</v>
      </c>
      <c r="B2491" t="str">
        <f>IFERROR(__xludf.DUMMYFUNCTION("""COMPUTED_VALUE"""),"bdi")</f>
        <v>bdi</v>
      </c>
      <c r="C2491" t="str">
        <f>IFERROR(__xludf.DUMMYFUNCTION("""COMPUTED_VALUE"""),"Burundi")</f>
        <v>Burundi</v>
      </c>
      <c r="D2491">
        <f>IFERROR(__xludf.DUMMYFUNCTION("""COMPUTED_VALUE"""),1980.0)</f>
        <v>1980</v>
      </c>
      <c r="E2491">
        <f>IFERROR(__xludf.DUMMYFUNCTION("""COMPUTED_VALUE"""),4116817.0)</f>
        <v>4116817</v>
      </c>
    </row>
    <row r="2492">
      <c r="A2492" t="str">
        <f t="shared" si="1"/>
        <v>bdi#1981</v>
      </c>
      <c r="B2492" t="str">
        <f>IFERROR(__xludf.DUMMYFUNCTION("""COMPUTED_VALUE"""),"bdi")</f>
        <v>bdi</v>
      </c>
      <c r="C2492" t="str">
        <f>IFERROR(__xludf.DUMMYFUNCTION("""COMPUTED_VALUE"""),"Burundi")</f>
        <v>Burundi</v>
      </c>
      <c r="D2492">
        <f>IFERROR(__xludf.DUMMYFUNCTION("""COMPUTED_VALUE"""),1981.0)</f>
        <v>1981</v>
      </c>
      <c r="E2492">
        <f>IFERROR(__xludf.DUMMYFUNCTION("""COMPUTED_VALUE"""),4223195.0)</f>
        <v>4223195</v>
      </c>
    </row>
    <row r="2493">
      <c r="A2493" t="str">
        <f t="shared" si="1"/>
        <v>bdi#1982</v>
      </c>
      <c r="B2493" t="str">
        <f>IFERROR(__xludf.DUMMYFUNCTION("""COMPUTED_VALUE"""),"bdi")</f>
        <v>bdi</v>
      </c>
      <c r="C2493" t="str">
        <f>IFERROR(__xludf.DUMMYFUNCTION("""COMPUTED_VALUE"""),"Burundi")</f>
        <v>Burundi</v>
      </c>
      <c r="D2493">
        <f>IFERROR(__xludf.DUMMYFUNCTION("""COMPUTED_VALUE"""),1982.0)</f>
        <v>1982</v>
      </c>
      <c r="E2493">
        <f>IFERROR(__xludf.DUMMYFUNCTION("""COMPUTED_VALUE"""),4333386.0)</f>
        <v>4333386</v>
      </c>
    </row>
    <row r="2494">
      <c r="A2494" t="str">
        <f t="shared" si="1"/>
        <v>bdi#1983</v>
      </c>
      <c r="B2494" t="str">
        <f>IFERROR(__xludf.DUMMYFUNCTION("""COMPUTED_VALUE"""),"bdi")</f>
        <v>bdi</v>
      </c>
      <c r="C2494" t="str">
        <f>IFERROR(__xludf.DUMMYFUNCTION("""COMPUTED_VALUE"""),"Burundi")</f>
        <v>Burundi</v>
      </c>
      <c r="D2494">
        <f>IFERROR(__xludf.DUMMYFUNCTION("""COMPUTED_VALUE"""),1983.0)</f>
        <v>1983</v>
      </c>
      <c r="E2494">
        <f>IFERROR(__xludf.DUMMYFUNCTION("""COMPUTED_VALUE"""),4448728.0)</f>
        <v>4448728</v>
      </c>
    </row>
    <row r="2495">
      <c r="A2495" t="str">
        <f t="shared" si="1"/>
        <v>bdi#1984</v>
      </c>
      <c r="B2495" t="str">
        <f>IFERROR(__xludf.DUMMYFUNCTION("""COMPUTED_VALUE"""),"bdi")</f>
        <v>bdi</v>
      </c>
      <c r="C2495" t="str">
        <f>IFERROR(__xludf.DUMMYFUNCTION("""COMPUTED_VALUE"""),"Burundi")</f>
        <v>Burundi</v>
      </c>
      <c r="D2495">
        <f>IFERROR(__xludf.DUMMYFUNCTION("""COMPUTED_VALUE"""),1984.0)</f>
        <v>1984</v>
      </c>
      <c r="E2495">
        <f>IFERROR(__xludf.DUMMYFUNCTION("""COMPUTED_VALUE"""),4571292.0)</f>
        <v>4571292</v>
      </c>
    </row>
    <row r="2496">
      <c r="A2496" t="str">
        <f t="shared" si="1"/>
        <v>bdi#1985</v>
      </c>
      <c r="B2496" t="str">
        <f>IFERROR(__xludf.DUMMYFUNCTION("""COMPUTED_VALUE"""),"bdi")</f>
        <v>bdi</v>
      </c>
      <c r="C2496" t="str">
        <f>IFERROR(__xludf.DUMMYFUNCTION("""COMPUTED_VALUE"""),"Burundi")</f>
        <v>Burundi</v>
      </c>
      <c r="D2496">
        <f>IFERROR(__xludf.DUMMYFUNCTION("""COMPUTED_VALUE"""),1985.0)</f>
        <v>1985</v>
      </c>
      <c r="E2496">
        <f>IFERROR(__xludf.DUMMYFUNCTION("""COMPUTED_VALUE"""),4702066.0)</f>
        <v>4702066</v>
      </c>
    </row>
    <row r="2497">
      <c r="A2497" t="str">
        <f t="shared" si="1"/>
        <v>bdi#1986</v>
      </c>
      <c r="B2497" t="str">
        <f>IFERROR(__xludf.DUMMYFUNCTION("""COMPUTED_VALUE"""),"bdi")</f>
        <v>bdi</v>
      </c>
      <c r="C2497" t="str">
        <f>IFERROR(__xludf.DUMMYFUNCTION("""COMPUTED_VALUE"""),"Burundi")</f>
        <v>Burundi</v>
      </c>
      <c r="D2497">
        <f>IFERROR(__xludf.DUMMYFUNCTION("""COMPUTED_VALUE"""),1986.0)</f>
        <v>1986</v>
      </c>
      <c r="E2497">
        <f>IFERROR(__xludf.DUMMYFUNCTION("""COMPUTED_VALUE"""),4841565.0)</f>
        <v>4841565</v>
      </c>
    </row>
    <row r="2498">
      <c r="A2498" t="str">
        <f t="shared" si="1"/>
        <v>bdi#1987</v>
      </c>
      <c r="B2498" t="str">
        <f>IFERROR(__xludf.DUMMYFUNCTION("""COMPUTED_VALUE"""),"bdi")</f>
        <v>bdi</v>
      </c>
      <c r="C2498" t="str">
        <f>IFERROR(__xludf.DUMMYFUNCTION("""COMPUTED_VALUE"""),"Burundi")</f>
        <v>Burundi</v>
      </c>
      <c r="D2498">
        <f>IFERROR(__xludf.DUMMYFUNCTION("""COMPUTED_VALUE"""),1987.0)</f>
        <v>1987</v>
      </c>
      <c r="E2498">
        <f>IFERROR(__xludf.DUMMYFUNCTION("""COMPUTED_VALUE"""),4987736.0)</f>
        <v>4987736</v>
      </c>
    </row>
    <row r="2499">
      <c r="A2499" t="str">
        <f t="shared" si="1"/>
        <v>bdi#1988</v>
      </c>
      <c r="B2499" t="str">
        <f>IFERROR(__xludf.DUMMYFUNCTION("""COMPUTED_VALUE"""),"bdi")</f>
        <v>bdi</v>
      </c>
      <c r="C2499" t="str">
        <f>IFERROR(__xludf.DUMMYFUNCTION("""COMPUTED_VALUE"""),"Burundi")</f>
        <v>Burundi</v>
      </c>
      <c r="D2499">
        <f>IFERROR(__xludf.DUMMYFUNCTION("""COMPUTED_VALUE"""),1988.0)</f>
        <v>1988</v>
      </c>
      <c r="E2499">
        <f>IFERROR(__xludf.DUMMYFUNCTION("""COMPUTED_VALUE"""),5135956.0)</f>
        <v>5135956</v>
      </c>
    </row>
    <row r="2500">
      <c r="A2500" t="str">
        <f t="shared" si="1"/>
        <v>bdi#1989</v>
      </c>
      <c r="B2500" t="str">
        <f>IFERROR(__xludf.DUMMYFUNCTION("""COMPUTED_VALUE"""),"bdi")</f>
        <v>bdi</v>
      </c>
      <c r="C2500" t="str">
        <f>IFERROR(__xludf.DUMMYFUNCTION("""COMPUTED_VALUE"""),"Burundi")</f>
        <v>Burundi</v>
      </c>
      <c r="D2500">
        <f>IFERROR(__xludf.DUMMYFUNCTION("""COMPUTED_VALUE"""),1989.0)</f>
        <v>1989</v>
      </c>
      <c r="E2500">
        <f>IFERROR(__xludf.DUMMYFUNCTION("""COMPUTED_VALUE"""),5280024.0)</f>
        <v>5280024</v>
      </c>
    </row>
    <row r="2501">
      <c r="A2501" t="str">
        <f t="shared" si="1"/>
        <v>bdi#1990</v>
      </c>
      <c r="B2501" t="str">
        <f>IFERROR(__xludf.DUMMYFUNCTION("""COMPUTED_VALUE"""),"bdi")</f>
        <v>bdi</v>
      </c>
      <c r="C2501" t="str">
        <f>IFERROR(__xludf.DUMMYFUNCTION("""COMPUTED_VALUE"""),"Burundi")</f>
        <v>Burundi</v>
      </c>
      <c r="D2501">
        <f>IFERROR(__xludf.DUMMYFUNCTION("""COMPUTED_VALUE"""),1990.0)</f>
        <v>1990</v>
      </c>
      <c r="E2501">
        <f>IFERROR(__xludf.DUMMYFUNCTION("""COMPUTED_VALUE"""),5415415.0)</f>
        <v>5415415</v>
      </c>
    </row>
    <row r="2502">
      <c r="A2502" t="str">
        <f t="shared" si="1"/>
        <v>bdi#1991</v>
      </c>
      <c r="B2502" t="str">
        <f>IFERROR(__xludf.DUMMYFUNCTION("""COMPUTED_VALUE"""),"bdi")</f>
        <v>bdi</v>
      </c>
      <c r="C2502" t="str">
        <f>IFERROR(__xludf.DUMMYFUNCTION("""COMPUTED_VALUE"""),"Burundi")</f>
        <v>Burundi</v>
      </c>
      <c r="D2502">
        <f>IFERROR(__xludf.DUMMYFUNCTION("""COMPUTED_VALUE"""),1991.0)</f>
        <v>1991</v>
      </c>
      <c r="E2502">
        <f>IFERROR(__xludf.DUMMYFUNCTION("""COMPUTED_VALUE"""),5542048.0)</f>
        <v>5542048</v>
      </c>
    </row>
    <row r="2503">
      <c r="A2503" t="str">
        <f t="shared" si="1"/>
        <v>bdi#1992</v>
      </c>
      <c r="B2503" t="str">
        <f>IFERROR(__xludf.DUMMYFUNCTION("""COMPUTED_VALUE"""),"bdi")</f>
        <v>bdi</v>
      </c>
      <c r="C2503" t="str">
        <f>IFERROR(__xludf.DUMMYFUNCTION("""COMPUTED_VALUE"""),"Burundi")</f>
        <v>Burundi</v>
      </c>
      <c r="D2503">
        <f>IFERROR(__xludf.DUMMYFUNCTION("""COMPUTED_VALUE"""),1992.0)</f>
        <v>1992</v>
      </c>
      <c r="E2503">
        <f>IFERROR(__xludf.DUMMYFUNCTION("""COMPUTED_VALUE"""),5661139.0)</f>
        <v>5661139</v>
      </c>
    </row>
    <row r="2504">
      <c r="A2504" t="str">
        <f t="shared" si="1"/>
        <v>bdi#1993</v>
      </c>
      <c r="B2504" t="str">
        <f>IFERROR(__xludf.DUMMYFUNCTION("""COMPUTED_VALUE"""),"bdi")</f>
        <v>bdi</v>
      </c>
      <c r="C2504" t="str">
        <f>IFERROR(__xludf.DUMMYFUNCTION("""COMPUTED_VALUE"""),"Burundi")</f>
        <v>Burundi</v>
      </c>
      <c r="D2504">
        <f>IFERROR(__xludf.DUMMYFUNCTION("""COMPUTED_VALUE"""),1993.0)</f>
        <v>1993</v>
      </c>
      <c r="E2504">
        <f>IFERROR(__xludf.DUMMYFUNCTION("""COMPUTED_VALUE"""),5771398.0)</f>
        <v>5771398</v>
      </c>
    </row>
    <row r="2505">
      <c r="A2505" t="str">
        <f t="shared" si="1"/>
        <v>bdi#1994</v>
      </c>
      <c r="B2505" t="str">
        <f>IFERROR(__xludf.DUMMYFUNCTION("""COMPUTED_VALUE"""),"bdi")</f>
        <v>bdi</v>
      </c>
      <c r="C2505" t="str">
        <f>IFERROR(__xludf.DUMMYFUNCTION("""COMPUTED_VALUE"""),"Burundi")</f>
        <v>Burundi</v>
      </c>
      <c r="D2505">
        <f>IFERROR(__xludf.DUMMYFUNCTION("""COMPUTED_VALUE"""),1994.0)</f>
        <v>1994</v>
      </c>
      <c r="E2505">
        <f>IFERROR(__xludf.DUMMYFUNCTION("""COMPUTED_VALUE"""),5871607.0)</f>
        <v>5871607</v>
      </c>
    </row>
    <row r="2506">
      <c r="A2506" t="str">
        <f t="shared" si="1"/>
        <v>bdi#1995</v>
      </c>
      <c r="B2506" t="str">
        <f>IFERROR(__xludf.DUMMYFUNCTION("""COMPUTED_VALUE"""),"bdi")</f>
        <v>bdi</v>
      </c>
      <c r="C2506" t="str">
        <f>IFERROR(__xludf.DUMMYFUNCTION("""COMPUTED_VALUE"""),"Burundi")</f>
        <v>Burundi</v>
      </c>
      <c r="D2506">
        <f>IFERROR(__xludf.DUMMYFUNCTION("""COMPUTED_VALUE"""),1995.0)</f>
        <v>1995</v>
      </c>
      <c r="E2506">
        <f>IFERROR(__xludf.DUMMYFUNCTION("""COMPUTED_VALUE"""),5962058.0)</f>
        <v>5962058</v>
      </c>
    </row>
    <row r="2507">
      <c r="A2507" t="str">
        <f t="shared" si="1"/>
        <v>bdi#1996</v>
      </c>
      <c r="B2507" t="str">
        <f>IFERROR(__xludf.DUMMYFUNCTION("""COMPUTED_VALUE"""),"bdi")</f>
        <v>bdi</v>
      </c>
      <c r="C2507" t="str">
        <f>IFERROR(__xludf.DUMMYFUNCTION("""COMPUTED_VALUE"""),"Burundi")</f>
        <v>Burundi</v>
      </c>
      <c r="D2507">
        <f>IFERROR(__xludf.DUMMYFUNCTION("""COMPUTED_VALUE"""),1996.0)</f>
        <v>1996</v>
      </c>
      <c r="E2507">
        <f>IFERROR(__xludf.DUMMYFUNCTION("""COMPUTED_VALUE"""),6041112.0)</f>
        <v>6041112</v>
      </c>
    </row>
    <row r="2508">
      <c r="A2508" t="str">
        <f t="shared" si="1"/>
        <v>bdi#1997</v>
      </c>
      <c r="B2508" t="str">
        <f>IFERROR(__xludf.DUMMYFUNCTION("""COMPUTED_VALUE"""),"bdi")</f>
        <v>bdi</v>
      </c>
      <c r="C2508" t="str">
        <f>IFERROR(__xludf.DUMMYFUNCTION("""COMPUTED_VALUE"""),"Burundi")</f>
        <v>Burundi</v>
      </c>
      <c r="D2508">
        <f>IFERROR(__xludf.DUMMYFUNCTION("""COMPUTED_VALUE"""),1997.0)</f>
        <v>1997</v>
      </c>
      <c r="E2508">
        <f>IFERROR(__xludf.DUMMYFUNCTION("""COMPUTED_VALUE"""),6112097.0)</f>
        <v>6112097</v>
      </c>
    </row>
    <row r="2509">
      <c r="A2509" t="str">
        <f t="shared" si="1"/>
        <v>bdi#1998</v>
      </c>
      <c r="B2509" t="str">
        <f>IFERROR(__xludf.DUMMYFUNCTION("""COMPUTED_VALUE"""),"bdi")</f>
        <v>bdi</v>
      </c>
      <c r="C2509" t="str">
        <f>IFERROR(__xludf.DUMMYFUNCTION("""COMPUTED_VALUE"""),"Burundi")</f>
        <v>Burundi</v>
      </c>
      <c r="D2509">
        <f>IFERROR(__xludf.DUMMYFUNCTION("""COMPUTED_VALUE"""),1998.0)</f>
        <v>1998</v>
      </c>
      <c r="E2509">
        <f>IFERROR(__xludf.DUMMYFUNCTION("""COMPUTED_VALUE"""),6186352.0)</f>
        <v>6186352</v>
      </c>
    </row>
    <row r="2510">
      <c r="A2510" t="str">
        <f t="shared" si="1"/>
        <v>bdi#1999</v>
      </c>
      <c r="B2510" t="str">
        <f>IFERROR(__xludf.DUMMYFUNCTION("""COMPUTED_VALUE"""),"bdi")</f>
        <v>bdi</v>
      </c>
      <c r="C2510" t="str">
        <f>IFERROR(__xludf.DUMMYFUNCTION("""COMPUTED_VALUE"""),"Burundi")</f>
        <v>Burundi</v>
      </c>
      <c r="D2510">
        <f>IFERROR(__xludf.DUMMYFUNCTION("""COMPUTED_VALUE"""),1999.0)</f>
        <v>1999</v>
      </c>
      <c r="E2510">
        <f>IFERROR(__xludf.DUMMYFUNCTION("""COMPUTED_VALUE"""),6278940.0)</f>
        <v>6278940</v>
      </c>
    </row>
    <row r="2511">
      <c r="A2511" t="str">
        <f t="shared" si="1"/>
        <v>bdi#2000</v>
      </c>
      <c r="B2511" t="str">
        <f>IFERROR(__xludf.DUMMYFUNCTION("""COMPUTED_VALUE"""),"bdi")</f>
        <v>bdi</v>
      </c>
      <c r="C2511" t="str">
        <f>IFERROR(__xludf.DUMMYFUNCTION("""COMPUTED_VALUE"""),"Burundi")</f>
        <v>Burundi</v>
      </c>
      <c r="D2511">
        <f>IFERROR(__xludf.DUMMYFUNCTION("""COMPUTED_VALUE"""),2000.0)</f>
        <v>2000</v>
      </c>
      <c r="E2511">
        <f>IFERROR(__xludf.DUMMYFUNCTION("""COMPUTED_VALUE"""),6400706.0)</f>
        <v>6400706</v>
      </c>
    </row>
    <row r="2512">
      <c r="A2512" t="str">
        <f t="shared" si="1"/>
        <v>bdi#2001</v>
      </c>
      <c r="B2512" t="str">
        <f>IFERROR(__xludf.DUMMYFUNCTION("""COMPUTED_VALUE"""),"bdi")</f>
        <v>bdi</v>
      </c>
      <c r="C2512" t="str">
        <f>IFERROR(__xludf.DUMMYFUNCTION("""COMPUTED_VALUE"""),"Burundi")</f>
        <v>Burundi</v>
      </c>
      <c r="D2512">
        <f>IFERROR(__xludf.DUMMYFUNCTION("""COMPUTED_VALUE"""),2001.0)</f>
        <v>2001</v>
      </c>
      <c r="E2512">
        <f>IFERROR(__xludf.DUMMYFUNCTION("""COMPUTED_VALUE"""),6555829.0)</f>
        <v>6555829</v>
      </c>
    </row>
    <row r="2513">
      <c r="A2513" t="str">
        <f t="shared" si="1"/>
        <v>bdi#2002</v>
      </c>
      <c r="B2513" t="str">
        <f>IFERROR(__xludf.DUMMYFUNCTION("""COMPUTED_VALUE"""),"bdi")</f>
        <v>bdi</v>
      </c>
      <c r="C2513" t="str">
        <f>IFERROR(__xludf.DUMMYFUNCTION("""COMPUTED_VALUE"""),"Burundi")</f>
        <v>Burundi</v>
      </c>
      <c r="D2513">
        <f>IFERROR(__xludf.DUMMYFUNCTION("""COMPUTED_VALUE"""),2002.0)</f>
        <v>2002</v>
      </c>
      <c r="E2513">
        <f>IFERROR(__xludf.DUMMYFUNCTION("""COMPUTED_VALUE"""),6741569.0)</f>
        <v>6741569</v>
      </c>
    </row>
    <row r="2514">
      <c r="A2514" t="str">
        <f t="shared" si="1"/>
        <v>bdi#2003</v>
      </c>
      <c r="B2514" t="str">
        <f>IFERROR(__xludf.DUMMYFUNCTION("""COMPUTED_VALUE"""),"bdi")</f>
        <v>bdi</v>
      </c>
      <c r="C2514" t="str">
        <f>IFERROR(__xludf.DUMMYFUNCTION("""COMPUTED_VALUE"""),"Burundi")</f>
        <v>Burundi</v>
      </c>
      <c r="D2514">
        <f>IFERROR(__xludf.DUMMYFUNCTION("""COMPUTED_VALUE"""),2003.0)</f>
        <v>2003</v>
      </c>
      <c r="E2514">
        <f>IFERROR(__xludf.DUMMYFUNCTION("""COMPUTED_VALUE"""),6953113.0)</f>
        <v>6953113</v>
      </c>
    </row>
    <row r="2515">
      <c r="A2515" t="str">
        <f t="shared" si="1"/>
        <v>bdi#2004</v>
      </c>
      <c r="B2515" t="str">
        <f>IFERROR(__xludf.DUMMYFUNCTION("""COMPUTED_VALUE"""),"bdi")</f>
        <v>bdi</v>
      </c>
      <c r="C2515" t="str">
        <f>IFERROR(__xludf.DUMMYFUNCTION("""COMPUTED_VALUE"""),"Burundi")</f>
        <v>Burundi</v>
      </c>
      <c r="D2515">
        <f>IFERROR(__xludf.DUMMYFUNCTION("""COMPUTED_VALUE"""),2004.0)</f>
        <v>2004</v>
      </c>
      <c r="E2515">
        <f>IFERROR(__xludf.DUMMYFUNCTION("""COMPUTED_VALUE"""),7182451.0)</f>
        <v>7182451</v>
      </c>
    </row>
    <row r="2516">
      <c r="A2516" t="str">
        <f t="shared" si="1"/>
        <v>bdi#2005</v>
      </c>
      <c r="B2516" t="str">
        <f>IFERROR(__xludf.DUMMYFUNCTION("""COMPUTED_VALUE"""),"bdi")</f>
        <v>bdi</v>
      </c>
      <c r="C2516" t="str">
        <f>IFERROR(__xludf.DUMMYFUNCTION("""COMPUTED_VALUE"""),"Burundi")</f>
        <v>Burundi</v>
      </c>
      <c r="D2516">
        <f>IFERROR(__xludf.DUMMYFUNCTION("""COMPUTED_VALUE"""),2005.0)</f>
        <v>2005</v>
      </c>
      <c r="E2516">
        <f>IFERROR(__xludf.DUMMYFUNCTION("""COMPUTED_VALUE"""),7423289.0)</f>
        <v>7423289</v>
      </c>
    </row>
    <row r="2517">
      <c r="A2517" t="str">
        <f t="shared" si="1"/>
        <v>bdi#2006</v>
      </c>
      <c r="B2517" t="str">
        <f>IFERROR(__xludf.DUMMYFUNCTION("""COMPUTED_VALUE"""),"bdi")</f>
        <v>bdi</v>
      </c>
      <c r="C2517" t="str">
        <f>IFERROR(__xludf.DUMMYFUNCTION("""COMPUTED_VALUE"""),"Burundi")</f>
        <v>Burundi</v>
      </c>
      <c r="D2517">
        <f>IFERROR(__xludf.DUMMYFUNCTION("""COMPUTED_VALUE"""),2006.0)</f>
        <v>2006</v>
      </c>
      <c r="E2517">
        <f>IFERROR(__xludf.DUMMYFUNCTION("""COMPUTED_VALUE"""),7675338.0)</f>
        <v>7675338</v>
      </c>
    </row>
    <row r="2518">
      <c r="A2518" t="str">
        <f t="shared" si="1"/>
        <v>bdi#2007</v>
      </c>
      <c r="B2518" t="str">
        <f>IFERROR(__xludf.DUMMYFUNCTION("""COMPUTED_VALUE"""),"bdi")</f>
        <v>bdi</v>
      </c>
      <c r="C2518" t="str">
        <f>IFERROR(__xludf.DUMMYFUNCTION("""COMPUTED_VALUE"""),"Burundi")</f>
        <v>Burundi</v>
      </c>
      <c r="D2518">
        <f>IFERROR(__xludf.DUMMYFUNCTION("""COMPUTED_VALUE"""),2007.0)</f>
        <v>2007</v>
      </c>
      <c r="E2518">
        <f>IFERROR(__xludf.DUMMYFUNCTION("""COMPUTED_VALUE"""),7939573.0)</f>
        <v>7939573</v>
      </c>
    </row>
    <row r="2519">
      <c r="A2519" t="str">
        <f t="shared" si="1"/>
        <v>bdi#2008</v>
      </c>
      <c r="B2519" t="str">
        <f>IFERROR(__xludf.DUMMYFUNCTION("""COMPUTED_VALUE"""),"bdi")</f>
        <v>bdi</v>
      </c>
      <c r="C2519" t="str">
        <f>IFERROR(__xludf.DUMMYFUNCTION("""COMPUTED_VALUE"""),"Burundi")</f>
        <v>Burundi</v>
      </c>
      <c r="D2519">
        <f>IFERROR(__xludf.DUMMYFUNCTION("""COMPUTED_VALUE"""),2008.0)</f>
        <v>2008</v>
      </c>
      <c r="E2519">
        <f>IFERROR(__xludf.DUMMYFUNCTION("""COMPUTED_VALUE"""),8212264.0)</f>
        <v>8212264</v>
      </c>
    </row>
    <row r="2520">
      <c r="A2520" t="str">
        <f t="shared" si="1"/>
        <v>bdi#2009</v>
      </c>
      <c r="B2520" t="str">
        <f>IFERROR(__xludf.DUMMYFUNCTION("""COMPUTED_VALUE"""),"bdi")</f>
        <v>bdi</v>
      </c>
      <c r="C2520" t="str">
        <f>IFERROR(__xludf.DUMMYFUNCTION("""COMPUTED_VALUE"""),"Burundi")</f>
        <v>Burundi</v>
      </c>
      <c r="D2520">
        <f>IFERROR(__xludf.DUMMYFUNCTION("""COMPUTED_VALUE"""),2009.0)</f>
        <v>2009</v>
      </c>
      <c r="E2520">
        <f>IFERROR(__xludf.DUMMYFUNCTION("""COMPUTED_VALUE"""),8489031.0)</f>
        <v>8489031</v>
      </c>
    </row>
    <row r="2521">
      <c r="A2521" t="str">
        <f t="shared" si="1"/>
        <v>bdi#2010</v>
      </c>
      <c r="B2521" t="str">
        <f>IFERROR(__xludf.DUMMYFUNCTION("""COMPUTED_VALUE"""),"bdi")</f>
        <v>bdi</v>
      </c>
      <c r="C2521" t="str">
        <f>IFERROR(__xludf.DUMMYFUNCTION("""COMPUTED_VALUE"""),"Burundi")</f>
        <v>Burundi</v>
      </c>
      <c r="D2521">
        <f>IFERROR(__xludf.DUMMYFUNCTION("""COMPUTED_VALUE"""),2010.0)</f>
        <v>2010</v>
      </c>
      <c r="E2521">
        <f>IFERROR(__xludf.DUMMYFUNCTION("""COMPUTED_VALUE"""),8766930.0)</f>
        <v>8766930</v>
      </c>
    </row>
    <row r="2522">
      <c r="A2522" t="str">
        <f t="shared" si="1"/>
        <v>bdi#2011</v>
      </c>
      <c r="B2522" t="str">
        <f>IFERROR(__xludf.DUMMYFUNCTION("""COMPUTED_VALUE"""),"bdi")</f>
        <v>bdi</v>
      </c>
      <c r="C2522" t="str">
        <f>IFERROR(__xludf.DUMMYFUNCTION("""COMPUTED_VALUE"""),"Burundi")</f>
        <v>Burundi</v>
      </c>
      <c r="D2522">
        <f>IFERROR(__xludf.DUMMYFUNCTION("""COMPUTED_VALUE"""),2011.0)</f>
        <v>2011</v>
      </c>
      <c r="E2522">
        <f>IFERROR(__xludf.DUMMYFUNCTION("""COMPUTED_VALUE"""),9043508.0)</f>
        <v>9043508</v>
      </c>
    </row>
    <row r="2523">
      <c r="A2523" t="str">
        <f t="shared" si="1"/>
        <v>bdi#2012</v>
      </c>
      <c r="B2523" t="str">
        <f>IFERROR(__xludf.DUMMYFUNCTION("""COMPUTED_VALUE"""),"bdi")</f>
        <v>bdi</v>
      </c>
      <c r="C2523" t="str">
        <f>IFERROR(__xludf.DUMMYFUNCTION("""COMPUTED_VALUE"""),"Burundi")</f>
        <v>Burundi</v>
      </c>
      <c r="D2523">
        <f>IFERROR(__xludf.DUMMYFUNCTION("""COMPUTED_VALUE"""),2012.0)</f>
        <v>2012</v>
      </c>
      <c r="E2523">
        <f>IFERROR(__xludf.DUMMYFUNCTION("""COMPUTED_VALUE"""),9319710.0)</f>
        <v>9319710</v>
      </c>
    </row>
    <row r="2524">
      <c r="A2524" t="str">
        <f t="shared" si="1"/>
        <v>bdi#2013</v>
      </c>
      <c r="B2524" t="str">
        <f>IFERROR(__xludf.DUMMYFUNCTION("""COMPUTED_VALUE"""),"bdi")</f>
        <v>bdi</v>
      </c>
      <c r="C2524" t="str">
        <f>IFERROR(__xludf.DUMMYFUNCTION("""COMPUTED_VALUE"""),"Burundi")</f>
        <v>Burundi</v>
      </c>
      <c r="D2524">
        <f>IFERROR(__xludf.DUMMYFUNCTION("""COMPUTED_VALUE"""),2013.0)</f>
        <v>2013</v>
      </c>
      <c r="E2524">
        <f>IFERROR(__xludf.DUMMYFUNCTION("""COMPUTED_VALUE"""),9600186.0)</f>
        <v>9600186</v>
      </c>
    </row>
    <row r="2525">
      <c r="A2525" t="str">
        <f t="shared" si="1"/>
        <v>bdi#2014</v>
      </c>
      <c r="B2525" t="str">
        <f>IFERROR(__xludf.DUMMYFUNCTION("""COMPUTED_VALUE"""),"bdi")</f>
        <v>bdi</v>
      </c>
      <c r="C2525" t="str">
        <f>IFERROR(__xludf.DUMMYFUNCTION("""COMPUTED_VALUE"""),"Burundi")</f>
        <v>Burundi</v>
      </c>
      <c r="D2525">
        <f>IFERROR(__xludf.DUMMYFUNCTION("""COMPUTED_VALUE"""),2014.0)</f>
        <v>2014</v>
      </c>
      <c r="E2525">
        <f>IFERROR(__xludf.DUMMYFUNCTION("""COMPUTED_VALUE"""),9891790.0)</f>
        <v>9891790</v>
      </c>
    </row>
    <row r="2526">
      <c r="A2526" t="str">
        <f t="shared" si="1"/>
        <v>bdi#2015</v>
      </c>
      <c r="B2526" t="str">
        <f>IFERROR(__xludf.DUMMYFUNCTION("""COMPUTED_VALUE"""),"bdi")</f>
        <v>bdi</v>
      </c>
      <c r="C2526" t="str">
        <f>IFERROR(__xludf.DUMMYFUNCTION("""COMPUTED_VALUE"""),"Burundi")</f>
        <v>Burundi</v>
      </c>
      <c r="D2526">
        <f>IFERROR(__xludf.DUMMYFUNCTION("""COMPUTED_VALUE"""),2015.0)</f>
        <v>2015</v>
      </c>
      <c r="E2526">
        <f>IFERROR(__xludf.DUMMYFUNCTION("""COMPUTED_VALUE"""),1.019927E7)</f>
        <v>10199270</v>
      </c>
    </row>
    <row r="2527">
      <c r="A2527" t="str">
        <f t="shared" si="1"/>
        <v>bdi#2016</v>
      </c>
      <c r="B2527" t="str">
        <f>IFERROR(__xludf.DUMMYFUNCTION("""COMPUTED_VALUE"""),"bdi")</f>
        <v>bdi</v>
      </c>
      <c r="C2527" t="str">
        <f>IFERROR(__xludf.DUMMYFUNCTION("""COMPUTED_VALUE"""),"Burundi")</f>
        <v>Burundi</v>
      </c>
      <c r="D2527">
        <f>IFERROR(__xludf.DUMMYFUNCTION("""COMPUTED_VALUE"""),2016.0)</f>
        <v>2016</v>
      </c>
      <c r="E2527">
        <f>IFERROR(__xludf.DUMMYFUNCTION("""COMPUTED_VALUE"""),1.0524117E7)</f>
        <v>10524117</v>
      </c>
    </row>
    <row r="2528">
      <c r="A2528" t="str">
        <f t="shared" si="1"/>
        <v>bdi#2017</v>
      </c>
      <c r="B2528" t="str">
        <f>IFERROR(__xludf.DUMMYFUNCTION("""COMPUTED_VALUE"""),"bdi")</f>
        <v>bdi</v>
      </c>
      <c r="C2528" t="str">
        <f>IFERROR(__xludf.DUMMYFUNCTION("""COMPUTED_VALUE"""),"Burundi")</f>
        <v>Burundi</v>
      </c>
      <c r="D2528">
        <f>IFERROR(__xludf.DUMMYFUNCTION("""COMPUTED_VALUE"""),2017.0)</f>
        <v>2017</v>
      </c>
      <c r="E2528">
        <f>IFERROR(__xludf.DUMMYFUNCTION("""COMPUTED_VALUE"""),1.0864245E7)</f>
        <v>10864245</v>
      </c>
    </row>
    <row r="2529">
      <c r="A2529" t="str">
        <f t="shared" si="1"/>
        <v>bdi#2018</v>
      </c>
      <c r="B2529" t="str">
        <f>IFERROR(__xludf.DUMMYFUNCTION("""COMPUTED_VALUE"""),"bdi")</f>
        <v>bdi</v>
      </c>
      <c r="C2529" t="str">
        <f>IFERROR(__xludf.DUMMYFUNCTION("""COMPUTED_VALUE"""),"Burundi")</f>
        <v>Burundi</v>
      </c>
      <c r="D2529">
        <f>IFERROR(__xludf.DUMMYFUNCTION("""COMPUTED_VALUE"""),2018.0)</f>
        <v>2018</v>
      </c>
      <c r="E2529">
        <f>IFERROR(__xludf.DUMMYFUNCTION("""COMPUTED_VALUE"""),1.121645E7)</f>
        <v>11216450</v>
      </c>
    </row>
    <row r="2530">
      <c r="A2530" t="str">
        <f t="shared" si="1"/>
        <v>bdi#2019</v>
      </c>
      <c r="B2530" t="str">
        <f>IFERROR(__xludf.DUMMYFUNCTION("""COMPUTED_VALUE"""),"bdi")</f>
        <v>bdi</v>
      </c>
      <c r="C2530" t="str">
        <f>IFERROR(__xludf.DUMMYFUNCTION("""COMPUTED_VALUE"""),"Burundi")</f>
        <v>Burundi</v>
      </c>
      <c r="D2530">
        <f>IFERROR(__xludf.DUMMYFUNCTION("""COMPUTED_VALUE"""),2019.0)</f>
        <v>2019</v>
      </c>
      <c r="E2530">
        <f>IFERROR(__xludf.DUMMYFUNCTION("""COMPUTED_VALUE"""),1.1575964E7)</f>
        <v>11575964</v>
      </c>
    </row>
    <row r="2531">
      <c r="A2531" t="str">
        <f t="shared" si="1"/>
        <v>bdi#2020</v>
      </c>
      <c r="B2531" t="str">
        <f>IFERROR(__xludf.DUMMYFUNCTION("""COMPUTED_VALUE"""),"bdi")</f>
        <v>bdi</v>
      </c>
      <c r="C2531" t="str">
        <f>IFERROR(__xludf.DUMMYFUNCTION("""COMPUTED_VALUE"""),"Burundi")</f>
        <v>Burundi</v>
      </c>
      <c r="D2531">
        <f>IFERROR(__xludf.DUMMYFUNCTION("""COMPUTED_VALUE"""),2020.0)</f>
        <v>2020</v>
      </c>
      <c r="E2531">
        <f>IFERROR(__xludf.DUMMYFUNCTION("""COMPUTED_VALUE"""),1.1939227E7)</f>
        <v>11939227</v>
      </c>
    </row>
    <row r="2532">
      <c r="A2532" t="str">
        <f t="shared" si="1"/>
        <v>bdi#2021</v>
      </c>
      <c r="B2532" t="str">
        <f>IFERROR(__xludf.DUMMYFUNCTION("""COMPUTED_VALUE"""),"bdi")</f>
        <v>bdi</v>
      </c>
      <c r="C2532" t="str">
        <f>IFERROR(__xludf.DUMMYFUNCTION("""COMPUTED_VALUE"""),"Burundi")</f>
        <v>Burundi</v>
      </c>
      <c r="D2532">
        <f>IFERROR(__xludf.DUMMYFUNCTION("""COMPUTED_VALUE"""),2021.0)</f>
        <v>2021</v>
      </c>
      <c r="E2532">
        <f>IFERROR(__xludf.DUMMYFUNCTION("""COMPUTED_VALUE"""),1.2305457E7)</f>
        <v>12305457</v>
      </c>
    </row>
    <row r="2533">
      <c r="A2533" t="str">
        <f t="shared" si="1"/>
        <v>bdi#2022</v>
      </c>
      <c r="B2533" t="str">
        <f>IFERROR(__xludf.DUMMYFUNCTION("""COMPUTED_VALUE"""),"bdi")</f>
        <v>bdi</v>
      </c>
      <c r="C2533" t="str">
        <f>IFERROR(__xludf.DUMMYFUNCTION("""COMPUTED_VALUE"""),"Burundi")</f>
        <v>Burundi</v>
      </c>
      <c r="D2533">
        <f>IFERROR(__xludf.DUMMYFUNCTION("""COMPUTED_VALUE"""),2022.0)</f>
        <v>2022</v>
      </c>
      <c r="E2533">
        <f>IFERROR(__xludf.DUMMYFUNCTION("""COMPUTED_VALUE"""),1.267547E7)</f>
        <v>12675470</v>
      </c>
    </row>
    <row r="2534">
      <c r="A2534" t="str">
        <f t="shared" si="1"/>
        <v>bdi#2023</v>
      </c>
      <c r="B2534" t="str">
        <f>IFERROR(__xludf.DUMMYFUNCTION("""COMPUTED_VALUE"""),"bdi")</f>
        <v>bdi</v>
      </c>
      <c r="C2534" t="str">
        <f>IFERROR(__xludf.DUMMYFUNCTION("""COMPUTED_VALUE"""),"Burundi")</f>
        <v>Burundi</v>
      </c>
      <c r="D2534">
        <f>IFERROR(__xludf.DUMMYFUNCTION("""COMPUTED_VALUE"""),2023.0)</f>
        <v>2023</v>
      </c>
      <c r="E2534">
        <f>IFERROR(__xludf.DUMMYFUNCTION("""COMPUTED_VALUE"""),1.3049303E7)</f>
        <v>13049303</v>
      </c>
    </row>
    <row r="2535">
      <c r="A2535" t="str">
        <f t="shared" si="1"/>
        <v>bdi#2024</v>
      </c>
      <c r="B2535" t="str">
        <f>IFERROR(__xludf.DUMMYFUNCTION("""COMPUTED_VALUE"""),"bdi")</f>
        <v>bdi</v>
      </c>
      <c r="C2535" t="str">
        <f>IFERROR(__xludf.DUMMYFUNCTION("""COMPUTED_VALUE"""),"Burundi")</f>
        <v>Burundi</v>
      </c>
      <c r="D2535">
        <f>IFERROR(__xludf.DUMMYFUNCTION("""COMPUTED_VALUE"""),2024.0)</f>
        <v>2024</v>
      </c>
      <c r="E2535">
        <f>IFERROR(__xludf.DUMMYFUNCTION("""COMPUTED_VALUE"""),1.3427343E7)</f>
        <v>13427343</v>
      </c>
    </row>
    <row r="2536">
      <c r="A2536" t="str">
        <f t="shared" si="1"/>
        <v>bdi#2025</v>
      </c>
      <c r="B2536" t="str">
        <f>IFERROR(__xludf.DUMMYFUNCTION("""COMPUTED_VALUE"""),"bdi")</f>
        <v>bdi</v>
      </c>
      <c r="C2536" t="str">
        <f>IFERROR(__xludf.DUMMYFUNCTION("""COMPUTED_VALUE"""),"Burundi")</f>
        <v>Burundi</v>
      </c>
      <c r="D2536">
        <f>IFERROR(__xludf.DUMMYFUNCTION("""COMPUTED_VALUE"""),2025.0)</f>
        <v>2025</v>
      </c>
      <c r="E2536">
        <f>IFERROR(__xludf.DUMMYFUNCTION("""COMPUTED_VALUE"""),1.3810006E7)</f>
        <v>13810006</v>
      </c>
    </row>
    <row r="2537">
      <c r="A2537" t="str">
        <f t="shared" si="1"/>
        <v>bdi#2026</v>
      </c>
      <c r="B2537" t="str">
        <f>IFERROR(__xludf.DUMMYFUNCTION("""COMPUTED_VALUE"""),"bdi")</f>
        <v>bdi</v>
      </c>
      <c r="C2537" t="str">
        <f>IFERROR(__xludf.DUMMYFUNCTION("""COMPUTED_VALUE"""),"Burundi")</f>
        <v>Burundi</v>
      </c>
      <c r="D2537">
        <f>IFERROR(__xludf.DUMMYFUNCTION("""COMPUTED_VALUE"""),2026.0)</f>
        <v>2026</v>
      </c>
      <c r="E2537">
        <f>IFERROR(__xludf.DUMMYFUNCTION("""COMPUTED_VALUE"""),1.4197139E7)</f>
        <v>14197139</v>
      </c>
    </row>
    <row r="2538">
      <c r="A2538" t="str">
        <f t="shared" si="1"/>
        <v>bdi#2027</v>
      </c>
      <c r="B2538" t="str">
        <f>IFERROR(__xludf.DUMMYFUNCTION("""COMPUTED_VALUE"""),"bdi")</f>
        <v>bdi</v>
      </c>
      <c r="C2538" t="str">
        <f>IFERROR(__xludf.DUMMYFUNCTION("""COMPUTED_VALUE"""),"Burundi")</f>
        <v>Burundi</v>
      </c>
      <c r="D2538">
        <f>IFERROR(__xludf.DUMMYFUNCTION("""COMPUTED_VALUE"""),2027.0)</f>
        <v>2027</v>
      </c>
      <c r="E2538">
        <f>IFERROR(__xludf.DUMMYFUNCTION("""COMPUTED_VALUE"""),1.4588733E7)</f>
        <v>14588733</v>
      </c>
    </row>
    <row r="2539">
      <c r="A2539" t="str">
        <f t="shared" si="1"/>
        <v>bdi#2028</v>
      </c>
      <c r="B2539" t="str">
        <f>IFERROR(__xludf.DUMMYFUNCTION("""COMPUTED_VALUE"""),"bdi")</f>
        <v>bdi</v>
      </c>
      <c r="C2539" t="str">
        <f>IFERROR(__xludf.DUMMYFUNCTION("""COMPUTED_VALUE"""),"Burundi")</f>
        <v>Burundi</v>
      </c>
      <c r="D2539">
        <f>IFERROR(__xludf.DUMMYFUNCTION("""COMPUTED_VALUE"""),2028.0)</f>
        <v>2028</v>
      </c>
      <c r="E2539">
        <f>IFERROR(__xludf.DUMMYFUNCTION("""COMPUTED_VALUE"""),1.4985535E7)</f>
        <v>14985535</v>
      </c>
    </row>
    <row r="2540">
      <c r="A2540" t="str">
        <f t="shared" si="1"/>
        <v>bdi#2029</v>
      </c>
      <c r="B2540" t="str">
        <f>IFERROR(__xludf.DUMMYFUNCTION("""COMPUTED_VALUE"""),"bdi")</f>
        <v>bdi</v>
      </c>
      <c r="C2540" t="str">
        <f>IFERROR(__xludf.DUMMYFUNCTION("""COMPUTED_VALUE"""),"Burundi")</f>
        <v>Burundi</v>
      </c>
      <c r="D2540">
        <f>IFERROR(__xludf.DUMMYFUNCTION("""COMPUTED_VALUE"""),2029.0)</f>
        <v>2029</v>
      </c>
      <c r="E2540">
        <f>IFERROR(__xludf.DUMMYFUNCTION("""COMPUTED_VALUE"""),1.5388616E7)</f>
        <v>15388616</v>
      </c>
    </row>
    <row r="2541">
      <c r="A2541" t="str">
        <f t="shared" si="1"/>
        <v>bdi#2030</v>
      </c>
      <c r="B2541" t="str">
        <f>IFERROR(__xludf.DUMMYFUNCTION("""COMPUTED_VALUE"""),"bdi")</f>
        <v>bdi</v>
      </c>
      <c r="C2541" t="str">
        <f>IFERROR(__xludf.DUMMYFUNCTION("""COMPUTED_VALUE"""),"Burundi")</f>
        <v>Burundi</v>
      </c>
      <c r="D2541">
        <f>IFERROR(__xludf.DUMMYFUNCTION("""COMPUTED_VALUE"""),2030.0)</f>
        <v>2030</v>
      </c>
      <c r="E2541">
        <f>IFERROR(__xludf.DUMMYFUNCTION("""COMPUTED_VALUE"""),1.5798849E7)</f>
        <v>15798849</v>
      </c>
    </row>
    <row r="2542">
      <c r="A2542" t="str">
        <f t="shared" si="1"/>
        <v>bdi#2031</v>
      </c>
      <c r="B2542" t="str">
        <f>IFERROR(__xludf.DUMMYFUNCTION("""COMPUTED_VALUE"""),"bdi")</f>
        <v>bdi</v>
      </c>
      <c r="C2542" t="str">
        <f>IFERROR(__xludf.DUMMYFUNCTION("""COMPUTED_VALUE"""),"Burundi")</f>
        <v>Burundi</v>
      </c>
      <c r="D2542">
        <f>IFERROR(__xludf.DUMMYFUNCTION("""COMPUTED_VALUE"""),2031.0)</f>
        <v>2031</v>
      </c>
      <c r="E2542">
        <f>IFERROR(__xludf.DUMMYFUNCTION("""COMPUTED_VALUE"""),1.6216487E7)</f>
        <v>16216487</v>
      </c>
    </row>
    <row r="2543">
      <c r="A2543" t="str">
        <f t="shared" si="1"/>
        <v>bdi#2032</v>
      </c>
      <c r="B2543" t="str">
        <f>IFERROR(__xludf.DUMMYFUNCTION("""COMPUTED_VALUE"""),"bdi")</f>
        <v>bdi</v>
      </c>
      <c r="C2543" t="str">
        <f>IFERROR(__xludf.DUMMYFUNCTION("""COMPUTED_VALUE"""),"Burundi")</f>
        <v>Burundi</v>
      </c>
      <c r="D2543">
        <f>IFERROR(__xludf.DUMMYFUNCTION("""COMPUTED_VALUE"""),2032.0)</f>
        <v>2032</v>
      </c>
      <c r="E2543">
        <f>IFERROR(__xludf.DUMMYFUNCTION("""COMPUTED_VALUE"""),1.6641716E7)</f>
        <v>16641716</v>
      </c>
    </row>
    <row r="2544">
      <c r="A2544" t="str">
        <f t="shared" si="1"/>
        <v>bdi#2033</v>
      </c>
      <c r="B2544" t="str">
        <f>IFERROR(__xludf.DUMMYFUNCTION("""COMPUTED_VALUE"""),"bdi")</f>
        <v>bdi</v>
      </c>
      <c r="C2544" t="str">
        <f>IFERROR(__xludf.DUMMYFUNCTION("""COMPUTED_VALUE"""),"Burundi")</f>
        <v>Burundi</v>
      </c>
      <c r="D2544">
        <f>IFERROR(__xludf.DUMMYFUNCTION("""COMPUTED_VALUE"""),2033.0)</f>
        <v>2033</v>
      </c>
      <c r="E2544">
        <f>IFERROR(__xludf.DUMMYFUNCTION("""COMPUTED_VALUE"""),1.707525E7)</f>
        <v>17075250</v>
      </c>
    </row>
    <row r="2545">
      <c r="A2545" t="str">
        <f t="shared" si="1"/>
        <v>bdi#2034</v>
      </c>
      <c r="B2545" t="str">
        <f>IFERROR(__xludf.DUMMYFUNCTION("""COMPUTED_VALUE"""),"bdi")</f>
        <v>bdi</v>
      </c>
      <c r="C2545" t="str">
        <f>IFERROR(__xludf.DUMMYFUNCTION("""COMPUTED_VALUE"""),"Burundi")</f>
        <v>Burundi</v>
      </c>
      <c r="D2545">
        <f>IFERROR(__xludf.DUMMYFUNCTION("""COMPUTED_VALUE"""),2034.0)</f>
        <v>2034</v>
      </c>
      <c r="E2545">
        <f>IFERROR(__xludf.DUMMYFUNCTION("""COMPUTED_VALUE"""),1.7517888E7)</f>
        <v>17517888</v>
      </c>
    </row>
    <row r="2546">
      <c r="A2546" t="str">
        <f t="shared" si="1"/>
        <v>bdi#2035</v>
      </c>
      <c r="B2546" t="str">
        <f>IFERROR(__xludf.DUMMYFUNCTION("""COMPUTED_VALUE"""),"bdi")</f>
        <v>bdi</v>
      </c>
      <c r="C2546" t="str">
        <f>IFERROR(__xludf.DUMMYFUNCTION("""COMPUTED_VALUE"""),"Burundi")</f>
        <v>Burundi</v>
      </c>
      <c r="D2546">
        <f>IFERROR(__xludf.DUMMYFUNCTION("""COMPUTED_VALUE"""),2035.0)</f>
        <v>2035</v>
      </c>
      <c r="E2546">
        <f>IFERROR(__xludf.DUMMYFUNCTION("""COMPUTED_VALUE"""),1.7970195E7)</f>
        <v>17970195</v>
      </c>
    </row>
    <row r="2547">
      <c r="A2547" t="str">
        <f t="shared" si="1"/>
        <v>bdi#2036</v>
      </c>
      <c r="B2547" t="str">
        <f>IFERROR(__xludf.DUMMYFUNCTION("""COMPUTED_VALUE"""),"bdi")</f>
        <v>bdi</v>
      </c>
      <c r="C2547" t="str">
        <f>IFERROR(__xludf.DUMMYFUNCTION("""COMPUTED_VALUE"""),"Burundi")</f>
        <v>Burundi</v>
      </c>
      <c r="D2547">
        <f>IFERROR(__xludf.DUMMYFUNCTION("""COMPUTED_VALUE"""),2036.0)</f>
        <v>2036</v>
      </c>
      <c r="E2547">
        <f>IFERROR(__xludf.DUMMYFUNCTION("""COMPUTED_VALUE"""),1.8432401E7)</f>
        <v>18432401</v>
      </c>
    </row>
    <row r="2548">
      <c r="A2548" t="str">
        <f t="shared" si="1"/>
        <v>bdi#2037</v>
      </c>
      <c r="B2548" t="str">
        <f>IFERROR(__xludf.DUMMYFUNCTION("""COMPUTED_VALUE"""),"bdi")</f>
        <v>bdi</v>
      </c>
      <c r="C2548" t="str">
        <f>IFERROR(__xludf.DUMMYFUNCTION("""COMPUTED_VALUE"""),"Burundi")</f>
        <v>Burundi</v>
      </c>
      <c r="D2548">
        <f>IFERROR(__xludf.DUMMYFUNCTION("""COMPUTED_VALUE"""),2037.0)</f>
        <v>2037</v>
      </c>
      <c r="E2548">
        <f>IFERROR(__xludf.DUMMYFUNCTION("""COMPUTED_VALUE"""),1.8904397E7)</f>
        <v>18904397</v>
      </c>
    </row>
    <row r="2549">
      <c r="A2549" t="str">
        <f t="shared" si="1"/>
        <v>bdi#2038</v>
      </c>
      <c r="B2549" t="str">
        <f>IFERROR(__xludf.DUMMYFUNCTION("""COMPUTED_VALUE"""),"bdi")</f>
        <v>bdi</v>
      </c>
      <c r="C2549" t="str">
        <f>IFERROR(__xludf.DUMMYFUNCTION("""COMPUTED_VALUE"""),"Burundi")</f>
        <v>Burundi</v>
      </c>
      <c r="D2549">
        <f>IFERROR(__xludf.DUMMYFUNCTION("""COMPUTED_VALUE"""),2038.0)</f>
        <v>2038</v>
      </c>
      <c r="E2549">
        <f>IFERROR(__xludf.DUMMYFUNCTION("""COMPUTED_VALUE"""),1.9386058E7)</f>
        <v>19386058</v>
      </c>
    </row>
    <row r="2550">
      <c r="A2550" t="str">
        <f t="shared" si="1"/>
        <v>bdi#2039</v>
      </c>
      <c r="B2550" t="str">
        <f>IFERROR(__xludf.DUMMYFUNCTION("""COMPUTED_VALUE"""),"bdi")</f>
        <v>bdi</v>
      </c>
      <c r="C2550" t="str">
        <f>IFERROR(__xludf.DUMMYFUNCTION("""COMPUTED_VALUE"""),"Burundi")</f>
        <v>Burundi</v>
      </c>
      <c r="D2550">
        <f>IFERROR(__xludf.DUMMYFUNCTION("""COMPUTED_VALUE"""),2039.0)</f>
        <v>2039</v>
      </c>
      <c r="E2550">
        <f>IFERROR(__xludf.DUMMYFUNCTION("""COMPUTED_VALUE"""),1.9877068E7)</f>
        <v>19877068</v>
      </c>
    </row>
    <row r="2551">
      <c r="A2551" t="str">
        <f t="shared" si="1"/>
        <v>bdi#2040</v>
      </c>
      <c r="B2551" t="str">
        <f>IFERROR(__xludf.DUMMYFUNCTION("""COMPUTED_VALUE"""),"bdi")</f>
        <v>bdi</v>
      </c>
      <c r="C2551" t="str">
        <f>IFERROR(__xludf.DUMMYFUNCTION("""COMPUTED_VALUE"""),"Burundi")</f>
        <v>Burundi</v>
      </c>
      <c r="D2551">
        <f>IFERROR(__xludf.DUMMYFUNCTION("""COMPUTED_VALUE"""),2040.0)</f>
        <v>2040</v>
      </c>
      <c r="E2551">
        <f>IFERROR(__xludf.DUMMYFUNCTION("""COMPUTED_VALUE"""),2.0377076E7)</f>
        <v>20377076</v>
      </c>
    </row>
    <row r="2552">
      <c r="A2552" t="str">
        <f t="shared" si="1"/>
        <v>khm#1950</v>
      </c>
      <c r="B2552" t="str">
        <f>IFERROR(__xludf.DUMMYFUNCTION("""COMPUTED_VALUE"""),"khm")</f>
        <v>khm</v>
      </c>
      <c r="C2552" t="str">
        <f>IFERROR(__xludf.DUMMYFUNCTION("""COMPUTED_VALUE"""),"Cambodia")</f>
        <v>Cambodia</v>
      </c>
      <c r="D2552">
        <f>IFERROR(__xludf.DUMMYFUNCTION("""COMPUTED_VALUE"""),1950.0)</f>
        <v>1950</v>
      </c>
      <c r="E2552">
        <f>IFERROR(__xludf.DUMMYFUNCTION("""COMPUTED_VALUE"""),4432714.0)</f>
        <v>4432714</v>
      </c>
    </row>
    <row r="2553">
      <c r="A2553" t="str">
        <f t="shared" si="1"/>
        <v>khm#1951</v>
      </c>
      <c r="B2553" t="str">
        <f>IFERROR(__xludf.DUMMYFUNCTION("""COMPUTED_VALUE"""),"khm")</f>
        <v>khm</v>
      </c>
      <c r="C2553" t="str">
        <f>IFERROR(__xludf.DUMMYFUNCTION("""COMPUTED_VALUE"""),"Cambodia")</f>
        <v>Cambodia</v>
      </c>
      <c r="D2553">
        <f>IFERROR(__xludf.DUMMYFUNCTION("""COMPUTED_VALUE"""),1951.0)</f>
        <v>1951</v>
      </c>
      <c r="E2553">
        <f>IFERROR(__xludf.DUMMYFUNCTION("""COMPUTED_VALUE"""),4537543.0)</f>
        <v>4537543</v>
      </c>
    </row>
    <row r="2554">
      <c r="A2554" t="str">
        <f t="shared" si="1"/>
        <v>khm#1952</v>
      </c>
      <c r="B2554" t="str">
        <f>IFERROR(__xludf.DUMMYFUNCTION("""COMPUTED_VALUE"""),"khm")</f>
        <v>khm</v>
      </c>
      <c r="C2554" t="str">
        <f>IFERROR(__xludf.DUMMYFUNCTION("""COMPUTED_VALUE"""),"Cambodia")</f>
        <v>Cambodia</v>
      </c>
      <c r="D2554">
        <f>IFERROR(__xludf.DUMMYFUNCTION("""COMPUTED_VALUE"""),1952.0)</f>
        <v>1952</v>
      </c>
      <c r="E2554">
        <f>IFERROR(__xludf.DUMMYFUNCTION("""COMPUTED_VALUE"""),4656277.0)</f>
        <v>4656277</v>
      </c>
    </row>
    <row r="2555">
      <c r="A2555" t="str">
        <f t="shared" si="1"/>
        <v>khm#1953</v>
      </c>
      <c r="B2555" t="str">
        <f>IFERROR(__xludf.DUMMYFUNCTION("""COMPUTED_VALUE"""),"khm")</f>
        <v>khm</v>
      </c>
      <c r="C2555" t="str">
        <f>IFERROR(__xludf.DUMMYFUNCTION("""COMPUTED_VALUE"""),"Cambodia")</f>
        <v>Cambodia</v>
      </c>
      <c r="D2555">
        <f>IFERROR(__xludf.DUMMYFUNCTION("""COMPUTED_VALUE"""),1953.0)</f>
        <v>1953</v>
      </c>
      <c r="E2555">
        <f>IFERROR(__xludf.DUMMYFUNCTION("""COMPUTED_VALUE"""),4783092.0)</f>
        <v>4783092</v>
      </c>
    </row>
    <row r="2556">
      <c r="A2556" t="str">
        <f t="shared" si="1"/>
        <v>khm#1954</v>
      </c>
      <c r="B2556" t="str">
        <f>IFERROR(__xludf.DUMMYFUNCTION("""COMPUTED_VALUE"""),"khm")</f>
        <v>khm</v>
      </c>
      <c r="C2556" t="str">
        <f>IFERROR(__xludf.DUMMYFUNCTION("""COMPUTED_VALUE"""),"Cambodia")</f>
        <v>Cambodia</v>
      </c>
      <c r="D2556">
        <f>IFERROR(__xludf.DUMMYFUNCTION("""COMPUTED_VALUE"""),1954.0)</f>
        <v>1954</v>
      </c>
      <c r="E2556">
        <f>IFERROR(__xludf.DUMMYFUNCTION("""COMPUTED_VALUE"""),4913695.0)</f>
        <v>4913695</v>
      </c>
    </row>
    <row r="2557">
      <c r="A2557" t="str">
        <f t="shared" si="1"/>
        <v>khm#1955</v>
      </c>
      <c r="B2557" t="str">
        <f>IFERROR(__xludf.DUMMYFUNCTION("""COMPUTED_VALUE"""),"khm")</f>
        <v>khm</v>
      </c>
      <c r="C2557" t="str">
        <f>IFERROR(__xludf.DUMMYFUNCTION("""COMPUTED_VALUE"""),"Cambodia")</f>
        <v>Cambodia</v>
      </c>
      <c r="D2557">
        <f>IFERROR(__xludf.DUMMYFUNCTION("""COMPUTED_VALUE"""),1955.0)</f>
        <v>1955</v>
      </c>
      <c r="E2557">
        <f>IFERROR(__xludf.DUMMYFUNCTION("""COMPUTED_VALUE"""),5045288.0)</f>
        <v>5045288</v>
      </c>
    </row>
    <row r="2558">
      <c r="A2558" t="str">
        <f t="shared" si="1"/>
        <v>khm#1956</v>
      </c>
      <c r="B2558" t="str">
        <f>IFERROR(__xludf.DUMMYFUNCTION("""COMPUTED_VALUE"""),"khm")</f>
        <v>khm</v>
      </c>
      <c r="C2558" t="str">
        <f>IFERROR(__xludf.DUMMYFUNCTION("""COMPUTED_VALUE"""),"Cambodia")</f>
        <v>Cambodia</v>
      </c>
      <c r="D2558">
        <f>IFERROR(__xludf.DUMMYFUNCTION("""COMPUTED_VALUE"""),1956.0)</f>
        <v>1956</v>
      </c>
      <c r="E2558">
        <f>IFERROR(__xludf.DUMMYFUNCTION("""COMPUTED_VALUE"""),5176658.0)</f>
        <v>5176658</v>
      </c>
    </row>
    <row r="2559">
      <c r="A2559" t="str">
        <f t="shared" si="1"/>
        <v>khm#1957</v>
      </c>
      <c r="B2559" t="str">
        <f>IFERROR(__xludf.DUMMYFUNCTION("""COMPUTED_VALUE"""),"khm")</f>
        <v>khm</v>
      </c>
      <c r="C2559" t="str">
        <f>IFERROR(__xludf.DUMMYFUNCTION("""COMPUTED_VALUE"""),"Cambodia")</f>
        <v>Cambodia</v>
      </c>
      <c r="D2559">
        <f>IFERROR(__xludf.DUMMYFUNCTION("""COMPUTED_VALUE"""),1957.0)</f>
        <v>1957</v>
      </c>
      <c r="E2559">
        <f>IFERROR(__xludf.DUMMYFUNCTION("""COMPUTED_VALUE"""),5308142.0)</f>
        <v>5308142</v>
      </c>
    </row>
    <row r="2560">
      <c r="A2560" t="str">
        <f t="shared" si="1"/>
        <v>khm#1958</v>
      </c>
      <c r="B2560" t="str">
        <f>IFERROR(__xludf.DUMMYFUNCTION("""COMPUTED_VALUE"""),"khm")</f>
        <v>khm</v>
      </c>
      <c r="C2560" t="str">
        <f>IFERROR(__xludf.DUMMYFUNCTION("""COMPUTED_VALUE"""),"Cambodia")</f>
        <v>Cambodia</v>
      </c>
      <c r="D2560">
        <f>IFERROR(__xludf.DUMMYFUNCTION("""COMPUTED_VALUE"""),1958.0)</f>
        <v>1958</v>
      </c>
      <c r="E2560">
        <f>IFERROR(__xludf.DUMMYFUNCTION("""COMPUTED_VALUE"""),5441319.0)</f>
        <v>5441319</v>
      </c>
    </row>
    <row r="2561">
      <c r="A2561" t="str">
        <f t="shared" si="1"/>
        <v>khm#1959</v>
      </c>
      <c r="B2561" t="str">
        <f>IFERROR(__xludf.DUMMYFUNCTION("""COMPUTED_VALUE"""),"khm")</f>
        <v>khm</v>
      </c>
      <c r="C2561" t="str">
        <f>IFERROR(__xludf.DUMMYFUNCTION("""COMPUTED_VALUE"""),"Cambodia")</f>
        <v>Cambodia</v>
      </c>
      <c r="D2561">
        <f>IFERROR(__xludf.DUMMYFUNCTION("""COMPUTED_VALUE"""),1959.0)</f>
        <v>1959</v>
      </c>
      <c r="E2561">
        <f>IFERROR(__xludf.DUMMYFUNCTION("""COMPUTED_VALUE"""),5578675.0)</f>
        <v>5578675</v>
      </c>
    </row>
    <row r="2562">
      <c r="A2562" t="str">
        <f t="shared" si="1"/>
        <v>khm#1960</v>
      </c>
      <c r="B2562" t="str">
        <f>IFERROR(__xludf.DUMMYFUNCTION("""COMPUTED_VALUE"""),"khm")</f>
        <v>khm</v>
      </c>
      <c r="C2562" t="str">
        <f>IFERROR(__xludf.DUMMYFUNCTION("""COMPUTED_VALUE"""),"Cambodia")</f>
        <v>Cambodia</v>
      </c>
      <c r="D2562">
        <f>IFERROR(__xludf.DUMMYFUNCTION("""COMPUTED_VALUE"""),1960.0)</f>
        <v>1960</v>
      </c>
      <c r="E2562">
        <f>IFERROR(__xludf.DUMMYFUNCTION("""COMPUTED_VALUE"""),5722370.0)</f>
        <v>5722370</v>
      </c>
    </row>
    <row r="2563">
      <c r="A2563" t="str">
        <f t="shared" si="1"/>
        <v>khm#1961</v>
      </c>
      <c r="B2563" t="str">
        <f>IFERROR(__xludf.DUMMYFUNCTION("""COMPUTED_VALUE"""),"khm")</f>
        <v>khm</v>
      </c>
      <c r="C2563" t="str">
        <f>IFERROR(__xludf.DUMMYFUNCTION("""COMPUTED_VALUE"""),"Cambodia")</f>
        <v>Cambodia</v>
      </c>
      <c r="D2563">
        <f>IFERROR(__xludf.DUMMYFUNCTION("""COMPUTED_VALUE"""),1961.0)</f>
        <v>1961</v>
      </c>
      <c r="E2563">
        <f>IFERROR(__xludf.DUMMYFUNCTION("""COMPUTED_VALUE"""),5873015.0)</f>
        <v>5873015</v>
      </c>
    </row>
    <row r="2564">
      <c r="A2564" t="str">
        <f t="shared" si="1"/>
        <v>khm#1962</v>
      </c>
      <c r="B2564" t="str">
        <f>IFERROR(__xludf.DUMMYFUNCTION("""COMPUTED_VALUE"""),"khm")</f>
        <v>khm</v>
      </c>
      <c r="C2564" t="str">
        <f>IFERROR(__xludf.DUMMYFUNCTION("""COMPUTED_VALUE"""),"Cambodia")</f>
        <v>Cambodia</v>
      </c>
      <c r="D2564">
        <f>IFERROR(__xludf.DUMMYFUNCTION("""COMPUTED_VALUE"""),1962.0)</f>
        <v>1962</v>
      </c>
      <c r="E2564">
        <f>IFERROR(__xludf.DUMMYFUNCTION("""COMPUTED_VALUE"""),6028551.0)</f>
        <v>6028551</v>
      </c>
    </row>
    <row r="2565">
      <c r="A2565" t="str">
        <f t="shared" si="1"/>
        <v>khm#1963</v>
      </c>
      <c r="B2565" t="str">
        <f>IFERROR(__xludf.DUMMYFUNCTION("""COMPUTED_VALUE"""),"khm")</f>
        <v>khm</v>
      </c>
      <c r="C2565" t="str">
        <f>IFERROR(__xludf.DUMMYFUNCTION("""COMPUTED_VALUE"""),"Cambodia")</f>
        <v>Cambodia</v>
      </c>
      <c r="D2565">
        <f>IFERROR(__xludf.DUMMYFUNCTION("""COMPUTED_VALUE"""),1963.0)</f>
        <v>1963</v>
      </c>
      <c r="E2565">
        <f>IFERROR(__xludf.DUMMYFUNCTION("""COMPUTED_VALUE"""),6183747.0)</f>
        <v>6183747</v>
      </c>
    </row>
    <row r="2566">
      <c r="A2566" t="str">
        <f t="shared" si="1"/>
        <v>khm#1964</v>
      </c>
      <c r="B2566" t="str">
        <f>IFERROR(__xludf.DUMMYFUNCTION("""COMPUTED_VALUE"""),"khm")</f>
        <v>khm</v>
      </c>
      <c r="C2566" t="str">
        <f>IFERROR(__xludf.DUMMYFUNCTION("""COMPUTED_VALUE"""),"Cambodia")</f>
        <v>Cambodia</v>
      </c>
      <c r="D2566">
        <f>IFERROR(__xludf.DUMMYFUNCTION("""COMPUTED_VALUE"""),1964.0)</f>
        <v>1964</v>
      </c>
      <c r="E2566">
        <f>IFERROR(__xludf.DUMMYFUNCTION("""COMPUTED_VALUE"""),6331583.0)</f>
        <v>6331583</v>
      </c>
    </row>
    <row r="2567">
      <c r="A2567" t="str">
        <f t="shared" si="1"/>
        <v>khm#1965</v>
      </c>
      <c r="B2567" t="str">
        <f>IFERROR(__xludf.DUMMYFUNCTION("""COMPUTED_VALUE"""),"khm")</f>
        <v>khm</v>
      </c>
      <c r="C2567" t="str">
        <f>IFERROR(__xludf.DUMMYFUNCTION("""COMPUTED_VALUE"""),"Cambodia")</f>
        <v>Cambodia</v>
      </c>
      <c r="D2567">
        <f>IFERROR(__xludf.DUMMYFUNCTION("""COMPUTED_VALUE"""),1965.0)</f>
        <v>1965</v>
      </c>
      <c r="E2567">
        <f>IFERROR(__xludf.DUMMYFUNCTION("""COMPUTED_VALUE"""),6467197.0)</f>
        <v>6467197</v>
      </c>
    </row>
    <row r="2568">
      <c r="A2568" t="str">
        <f t="shared" si="1"/>
        <v>khm#1966</v>
      </c>
      <c r="B2568" t="str">
        <f>IFERROR(__xludf.DUMMYFUNCTION("""COMPUTED_VALUE"""),"khm")</f>
        <v>khm</v>
      </c>
      <c r="C2568" t="str">
        <f>IFERROR(__xludf.DUMMYFUNCTION("""COMPUTED_VALUE"""),"Cambodia")</f>
        <v>Cambodia</v>
      </c>
      <c r="D2568">
        <f>IFERROR(__xludf.DUMMYFUNCTION("""COMPUTED_VALUE"""),1966.0)</f>
        <v>1966</v>
      </c>
      <c r="E2568">
        <f>IFERROR(__xludf.DUMMYFUNCTION("""COMPUTED_VALUE"""),6584766.0)</f>
        <v>6584766</v>
      </c>
    </row>
    <row r="2569">
      <c r="A2569" t="str">
        <f t="shared" si="1"/>
        <v>khm#1967</v>
      </c>
      <c r="B2569" t="str">
        <f>IFERROR(__xludf.DUMMYFUNCTION("""COMPUTED_VALUE"""),"khm")</f>
        <v>khm</v>
      </c>
      <c r="C2569" t="str">
        <f>IFERROR(__xludf.DUMMYFUNCTION("""COMPUTED_VALUE"""),"Cambodia")</f>
        <v>Cambodia</v>
      </c>
      <c r="D2569">
        <f>IFERROR(__xludf.DUMMYFUNCTION("""COMPUTED_VALUE"""),1967.0)</f>
        <v>1967</v>
      </c>
      <c r="E2569">
        <f>IFERROR(__xludf.DUMMYFUNCTION("""COMPUTED_VALUE"""),6685321.0)</f>
        <v>6685321</v>
      </c>
    </row>
    <row r="2570">
      <c r="A2570" t="str">
        <f t="shared" si="1"/>
        <v>khm#1968</v>
      </c>
      <c r="B2570" t="str">
        <f>IFERROR(__xludf.DUMMYFUNCTION("""COMPUTED_VALUE"""),"khm")</f>
        <v>khm</v>
      </c>
      <c r="C2570" t="str">
        <f>IFERROR(__xludf.DUMMYFUNCTION("""COMPUTED_VALUE"""),"Cambodia")</f>
        <v>Cambodia</v>
      </c>
      <c r="D2570">
        <f>IFERROR(__xludf.DUMMYFUNCTION("""COMPUTED_VALUE"""),1968.0)</f>
        <v>1968</v>
      </c>
      <c r="E2570">
        <f>IFERROR(__xludf.DUMMYFUNCTION("""COMPUTED_VALUE"""),6778723.0)</f>
        <v>6778723</v>
      </c>
    </row>
    <row r="2571">
      <c r="A2571" t="str">
        <f t="shared" si="1"/>
        <v>khm#1969</v>
      </c>
      <c r="B2571" t="str">
        <f>IFERROR(__xludf.DUMMYFUNCTION("""COMPUTED_VALUE"""),"khm")</f>
        <v>khm</v>
      </c>
      <c r="C2571" t="str">
        <f>IFERROR(__xludf.DUMMYFUNCTION("""COMPUTED_VALUE"""),"Cambodia")</f>
        <v>Cambodia</v>
      </c>
      <c r="D2571">
        <f>IFERROR(__xludf.DUMMYFUNCTION("""COMPUTED_VALUE"""),1969.0)</f>
        <v>1969</v>
      </c>
      <c r="E2571">
        <f>IFERROR(__xludf.DUMMYFUNCTION("""COMPUTED_VALUE"""),6879184.0)</f>
        <v>6879184</v>
      </c>
    </row>
    <row r="2572">
      <c r="A2572" t="str">
        <f t="shared" si="1"/>
        <v>khm#1970</v>
      </c>
      <c r="B2572" t="str">
        <f>IFERROR(__xludf.DUMMYFUNCTION("""COMPUTED_VALUE"""),"khm")</f>
        <v>khm</v>
      </c>
      <c r="C2572" t="str">
        <f>IFERROR(__xludf.DUMMYFUNCTION("""COMPUTED_VALUE"""),"Cambodia")</f>
        <v>Cambodia</v>
      </c>
      <c r="D2572">
        <f>IFERROR(__xludf.DUMMYFUNCTION("""COMPUTED_VALUE"""),1970.0)</f>
        <v>1970</v>
      </c>
      <c r="E2572">
        <f>IFERROR(__xludf.DUMMYFUNCTION("""COMPUTED_VALUE"""),6994848.0)</f>
        <v>6994848</v>
      </c>
    </row>
    <row r="2573">
      <c r="A2573" t="str">
        <f t="shared" si="1"/>
        <v>khm#1971</v>
      </c>
      <c r="B2573" t="str">
        <f>IFERROR(__xludf.DUMMYFUNCTION("""COMPUTED_VALUE"""),"khm")</f>
        <v>khm</v>
      </c>
      <c r="C2573" t="str">
        <f>IFERROR(__xludf.DUMMYFUNCTION("""COMPUTED_VALUE"""),"Cambodia")</f>
        <v>Cambodia</v>
      </c>
      <c r="D2573">
        <f>IFERROR(__xludf.DUMMYFUNCTION("""COMPUTED_VALUE"""),1971.0)</f>
        <v>1971</v>
      </c>
      <c r="E2573">
        <f>IFERROR(__xludf.DUMMYFUNCTION("""COMPUTED_VALUE"""),7137749.0)</f>
        <v>7137749</v>
      </c>
    </row>
    <row r="2574">
      <c r="A2574" t="str">
        <f t="shared" si="1"/>
        <v>khm#1972</v>
      </c>
      <c r="B2574" t="str">
        <f>IFERROR(__xludf.DUMMYFUNCTION("""COMPUTED_VALUE"""),"khm")</f>
        <v>khm</v>
      </c>
      <c r="C2574" t="str">
        <f>IFERROR(__xludf.DUMMYFUNCTION("""COMPUTED_VALUE"""),"Cambodia")</f>
        <v>Cambodia</v>
      </c>
      <c r="D2574">
        <f>IFERROR(__xludf.DUMMYFUNCTION("""COMPUTED_VALUE"""),1972.0)</f>
        <v>1972</v>
      </c>
      <c r="E2574">
        <f>IFERROR(__xludf.DUMMYFUNCTION("""COMPUTED_VALUE"""),7300152.0)</f>
        <v>7300152</v>
      </c>
    </row>
    <row r="2575">
      <c r="A2575" t="str">
        <f t="shared" si="1"/>
        <v>khm#1973</v>
      </c>
      <c r="B2575" t="str">
        <f>IFERROR(__xludf.DUMMYFUNCTION("""COMPUTED_VALUE"""),"khm")</f>
        <v>khm</v>
      </c>
      <c r="C2575" t="str">
        <f>IFERROR(__xludf.DUMMYFUNCTION("""COMPUTED_VALUE"""),"Cambodia")</f>
        <v>Cambodia</v>
      </c>
      <c r="D2575">
        <f>IFERROR(__xludf.DUMMYFUNCTION("""COMPUTED_VALUE"""),1973.0)</f>
        <v>1973</v>
      </c>
      <c r="E2575">
        <f>IFERROR(__xludf.DUMMYFUNCTION("""COMPUTED_VALUE"""),7447285.0)</f>
        <v>7447285</v>
      </c>
    </row>
    <row r="2576">
      <c r="A2576" t="str">
        <f t="shared" si="1"/>
        <v>khm#1974</v>
      </c>
      <c r="B2576" t="str">
        <f>IFERROR(__xludf.DUMMYFUNCTION("""COMPUTED_VALUE"""),"khm")</f>
        <v>khm</v>
      </c>
      <c r="C2576" t="str">
        <f>IFERROR(__xludf.DUMMYFUNCTION("""COMPUTED_VALUE"""),"Cambodia")</f>
        <v>Cambodia</v>
      </c>
      <c r="D2576">
        <f>IFERROR(__xludf.DUMMYFUNCTION("""COMPUTED_VALUE"""),1974.0)</f>
        <v>1974</v>
      </c>
      <c r="E2576">
        <f>IFERROR(__xludf.DUMMYFUNCTION("""COMPUTED_VALUE"""),7531424.0)</f>
        <v>7531424</v>
      </c>
    </row>
    <row r="2577">
      <c r="A2577" t="str">
        <f t="shared" si="1"/>
        <v>khm#1975</v>
      </c>
      <c r="B2577" t="str">
        <f>IFERROR(__xludf.DUMMYFUNCTION("""COMPUTED_VALUE"""),"khm")</f>
        <v>khm</v>
      </c>
      <c r="C2577" t="str">
        <f>IFERROR(__xludf.DUMMYFUNCTION("""COMPUTED_VALUE"""),"Cambodia")</f>
        <v>Cambodia</v>
      </c>
      <c r="D2577">
        <f>IFERROR(__xludf.DUMMYFUNCTION("""COMPUTED_VALUE"""),1975.0)</f>
        <v>1975</v>
      </c>
      <c r="E2577">
        <f>IFERROR(__xludf.DUMMYFUNCTION("""COMPUTED_VALUE"""),7522593.0)</f>
        <v>7522593</v>
      </c>
    </row>
    <row r="2578">
      <c r="A2578" t="str">
        <f t="shared" si="1"/>
        <v>khm#1976</v>
      </c>
      <c r="B2578" t="str">
        <f>IFERROR(__xludf.DUMMYFUNCTION("""COMPUTED_VALUE"""),"khm")</f>
        <v>khm</v>
      </c>
      <c r="C2578" t="str">
        <f>IFERROR(__xludf.DUMMYFUNCTION("""COMPUTED_VALUE"""),"Cambodia")</f>
        <v>Cambodia</v>
      </c>
      <c r="D2578">
        <f>IFERROR(__xludf.DUMMYFUNCTION("""COMPUTED_VALUE"""),1976.0)</f>
        <v>1976</v>
      </c>
      <c r="E2578">
        <f>IFERROR(__xludf.DUMMYFUNCTION("""COMPUTED_VALUE"""),7402873.0)</f>
        <v>7402873</v>
      </c>
    </row>
    <row r="2579">
      <c r="A2579" t="str">
        <f t="shared" si="1"/>
        <v>khm#1977</v>
      </c>
      <c r="B2579" t="str">
        <f>IFERROR(__xludf.DUMMYFUNCTION("""COMPUTED_VALUE"""),"khm")</f>
        <v>khm</v>
      </c>
      <c r="C2579" t="str">
        <f>IFERROR(__xludf.DUMMYFUNCTION("""COMPUTED_VALUE"""),"Cambodia")</f>
        <v>Cambodia</v>
      </c>
      <c r="D2579">
        <f>IFERROR(__xludf.DUMMYFUNCTION("""COMPUTED_VALUE"""),1977.0)</f>
        <v>1977</v>
      </c>
      <c r="E2579">
        <f>IFERROR(__xludf.DUMMYFUNCTION("""COMPUTED_VALUE"""),7194279.0)</f>
        <v>7194279</v>
      </c>
    </row>
    <row r="2580">
      <c r="A2580" t="str">
        <f t="shared" si="1"/>
        <v>khm#1978</v>
      </c>
      <c r="B2580" t="str">
        <f>IFERROR(__xludf.DUMMYFUNCTION("""COMPUTED_VALUE"""),"khm")</f>
        <v>khm</v>
      </c>
      <c r="C2580" t="str">
        <f>IFERROR(__xludf.DUMMYFUNCTION("""COMPUTED_VALUE"""),"Cambodia")</f>
        <v>Cambodia</v>
      </c>
      <c r="D2580">
        <f>IFERROR(__xludf.DUMMYFUNCTION("""COMPUTED_VALUE"""),1978.0)</f>
        <v>1978</v>
      </c>
      <c r="E2580">
        <f>IFERROR(__xludf.DUMMYFUNCTION("""COMPUTED_VALUE"""),6955566.0)</f>
        <v>6955566</v>
      </c>
    </row>
    <row r="2581">
      <c r="A2581" t="str">
        <f t="shared" si="1"/>
        <v>khm#1979</v>
      </c>
      <c r="B2581" t="str">
        <f>IFERROR(__xludf.DUMMYFUNCTION("""COMPUTED_VALUE"""),"khm")</f>
        <v>khm</v>
      </c>
      <c r="C2581" t="str">
        <f>IFERROR(__xludf.DUMMYFUNCTION("""COMPUTED_VALUE"""),"Cambodia")</f>
        <v>Cambodia</v>
      </c>
      <c r="D2581">
        <f>IFERROR(__xludf.DUMMYFUNCTION("""COMPUTED_VALUE"""),1979.0)</f>
        <v>1979</v>
      </c>
      <c r="E2581">
        <f>IFERROR(__xludf.DUMMYFUNCTION("""COMPUTED_VALUE"""),6768724.0)</f>
        <v>6768724</v>
      </c>
    </row>
    <row r="2582">
      <c r="A2582" t="str">
        <f t="shared" si="1"/>
        <v>khm#1980</v>
      </c>
      <c r="B2582" t="str">
        <f>IFERROR(__xludf.DUMMYFUNCTION("""COMPUTED_VALUE"""),"khm")</f>
        <v>khm</v>
      </c>
      <c r="C2582" t="str">
        <f>IFERROR(__xludf.DUMMYFUNCTION("""COMPUTED_VALUE"""),"Cambodia")</f>
        <v>Cambodia</v>
      </c>
      <c r="D2582">
        <f>IFERROR(__xludf.DUMMYFUNCTION("""COMPUTED_VALUE"""),1980.0)</f>
        <v>1980</v>
      </c>
      <c r="E2582">
        <f>IFERROR(__xludf.DUMMYFUNCTION("""COMPUTED_VALUE"""),6692107.0)</f>
        <v>6692107</v>
      </c>
    </row>
    <row r="2583">
      <c r="A2583" t="str">
        <f t="shared" si="1"/>
        <v>khm#1981</v>
      </c>
      <c r="B2583" t="str">
        <f>IFERROR(__xludf.DUMMYFUNCTION("""COMPUTED_VALUE"""),"khm")</f>
        <v>khm</v>
      </c>
      <c r="C2583" t="str">
        <f>IFERROR(__xludf.DUMMYFUNCTION("""COMPUTED_VALUE"""),"Cambodia")</f>
        <v>Cambodia</v>
      </c>
      <c r="D2583">
        <f>IFERROR(__xludf.DUMMYFUNCTION("""COMPUTED_VALUE"""),1981.0)</f>
        <v>1981</v>
      </c>
      <c r="E2583">
        <f>IFERROR(__xludf.DUMMYFUNCTION("""COMPUTED_VALUE"""),6748193.0)</f>
        <v>6748193</v>
      </c>
    </row>
    <row r="2584">
      <c r="A2584" t="str">
        <f t="shared" si="1"/>
        <v>khm#1982</v>
      </c>
      <c r="B2584" t="str">
        <f>IFERROR(__xludf.DUMMYFUNCTION("""COMPUTED_VALUE"""),"khm")</f>
        <v>khm</v>
      </c>
      <c r="C2584" t="str">
        <f>IFERROR(__xludf.DUMMYFUNCTION("""COMPUTED_VALUE"""),"Cambodia")</f>
        <v>Cambodia</v>
      </c>
      <c r="D2584">
        <f>IFERROR(__xludf.DUMMYFUNCTION("""COMPUTED_VALUE"""),1982.0)</f>
        <v>1982</v>
      </c>
      <c r="E2584">
        <f>IFERROR(__xludf.DUMMYFUNCTION("""COMPUTED_VALUE"""),6918101.0)</f>
        <v>6918101</v>
      </c>
    </row>
    <row r="2585">
      <c r="A2585" t="str">
        <f t="shared" si="1"/>
        <v>khm#1983</v>
      </c>
      <c r="B2585" t="str">
        <f>IFERROR(__xludf.DUMMYFUNCTION("""COMPUTED_VALUE"""),"khm")</f>
        <v>khm</v>
      </c>
      <c r="C2585" t="str">
        <f>IFERROR(__xludf.DUMMYFUNCTION("""COMPUTED_VALUE"""),"Cambodia")</f>
        <v>Cambodia</v>
      </c>
      <c r="D2585">
        <f>IFERROR(__xludf.DUMMYFUNCTION("""COMPUTED_VALUE"""),1983.0)</f>
        <v>1983</v>
      </c>
      <c r="E2585">
        <f>IFERROR(__xludf.DUMMYFUNCTION("""COMPUTED_VALUE"""),7168236.0)</f>
        <v>7168236</v>
      </c>
    </row>
    <row r="2586">
      <c r="A2586" t="str">
        <f t="shared" si="1"/>
        <v>khm#1984</v>
      </c>
      <c r="B2586" t="str">
        <f>IFERROR(__xludf.DUMMYFUNCTION("""COMPUTED_VALUE"""),"khm")</f>
        <v>khm</v>
      </c>
      <c r="C2586" t="str">
        <f>IFERROR(__xludf.DUMMYFUNCTION("""COMPUTED_VALUE"""),"Cambodia")</f>
        <v>Cambodia</v>
      </c>
      <c r="D2586">
        <f>IFERROR(__xludf.DUMMYFUNCTION("""COMPUTED_VALUE"""),1984.0)</f>
        <v>1984</v>
      </c>
      <c r="E2586">
        <f>IFERROR(__xludf.DUMMYFUNCTION("""COMPUTED_VALUE"""),7446019.0)</f>
        <v>7446019</v>
      </c>
    </row>
    <row r="2587">
      <c r="A2587" t="str">
        <f t="shared" si="1"/>
        <v>khm#1985</v>
      </c>
      <c r="B2587" t="str">
        <f>IFERROR(__xludf.DUMMYFUNCTION("""COMPUTED_VALUE"""),"khm")</f>
        <v>khm</v>
      </c>
      <c r="C2587" t="str">
        <f>IFERROR(__xludf.DUMMYFUNCTION("""COMPUTED_VALUE"""),"Cambodia")</f>
        <v>Cambodia</v>
      </c>
      <c r="D2587">
        <f>IFERROR(__xludf.DUMMYFUNCTION("""COMPUTED_VALUE"""),1985.0)</f>
        <v>1985</v>
      </c>
      <c r="E2587">
        <f>IFERROR(__xludf.DUMMYFUNCTION("""COMPUTED_VALUE"""),7712978.0)</f>
        <v>7712978</v>
      </c>
    </row>
    <row r="2588">
      <c r="A2588" t="str">
        <f t="shared" si="1"/>
        <v>khm#1986</v>
      </c>
      <c r="B2588" t="str">
        <f>IFERROR(__xludf.DUMMYFUNCTION("""COMPUTED_VALUE"""),"khm")</f>
        <v>khm</v>
      </c>
      <c r="C2588" t="str">
        <f>IFERROR(__xludf.DUMMYFUNCTION("""COMPUTED_VALUE"""),"Cambodia")</f>
        <v>Cambodia</v>
      </c>
      <c r="D2588">
        <f>IFERROR(__xludf.DUMMYFUNCTION("""COMPUTED_VALUE"""),1986.0)</f>
        <v>1986</v>
      </c>
      <c r="E2588">
        <f>IFERROR(__xludf.DUMMYFUNCTION("""COMPUTED_VALUE"""),7958976.0)</f>
        <v>7958976</v>
      </c>
    </row>
    <row r="2589">
      <c r="A2589" t="str">
        <f t="shared" si="1"/>
        <v>khm#1987</v>
      </c>
      <c r="B2589" t="str">
        <f>IFERROR(__xludf.DUMMYFUNCTION("""COMPUTED_VALUE"""),"khm")</f>
        <v>khm</v>
      </c>
      <c r="C2589" t="str">
        <f>IFERROR(__xludf.DUMMYFUNCTION("""COMPUTED_VALUE"""),"Cambodia")</f>
        <v>Cambodia</v>
      </c>
      <c r="D2589">
        <f>IFERROR(__xludf.DUMMYFUNCTION("""COMPUTED_VALUE"""),1987.0)</f>
        <v>1987</v>
      </c>
      <c r="E2589">
        <f>IFERROR(__xludf.DUMMYFUNCTION("""COMPUTED_VALUE"""),8196037.0)</f>
        <v>8196037</v>
      </c>
    </row>
    <row r="2590">
      <c r="A2590" t="str">
        <f t="shared" si="1"/>
        <v>khm#1988</v>
      </c>
      <c r="B2590" t="str">
        <f>IFERROR(__xludf.DUMMYFUNCTION("""COMPUTED_VALUE"""),"khm")</f>
        <v>khm</v>
      </c>
      <c r="C2590" t="str">
        <f>IFERROR(__xludf.DUMMYFUNCTION("""COMPUTED_VALUE"""),"Cambodia")</f>
        <v>Cambodia</v>
      </c>
      <c r="D2590">
        <f>IFERROR(__xludf.DUMMYFUNCTION("""COMPUTED_VALUE"""),1988.0)</f>
        <v>1988</v>
      </c>
      <c r="E2590">
        <f>IFERROR(__xludf.DUMMYFUNCTION("""COMPUTED_VALUE"""),8433798.0)</f>
        <v>8433798</v>
      </c>
    </row>
    <row r="2591">
      <c r="A2591" t="str">
        <f t="shared" si="1"/>
        <v>khm#1989</v>
      </c>
      <c r="B2591" t="str">
        <f>IFERROR(__xludf.DUMMYFUNCTION("""COMPUTED_VALUE"""),"khm")</f>
        <v>khm</v>
      </c>
      <c r="C2591" t="str">
        <f>IFERROR(__xludf.DUMMYFUNCTION("""COMPUTED_VALUE"""),"Cambodia")</f>
        <v>Cambodia</v>
      </c>
      <c r="D2591">
        <f>IFERROR(__xludf.DUMMYFUNCTION("""COMPUTED_VALUE"""),1989.0)</f>
        <v>1989</v>
      </c>
      <c r="E2591">
        <f>IFERROR(__xludf.DUMMYFUNCTION("""COMPUTED_VALUE"""),8689152.0)</f>
        <v>8689152</v>
      </c>
    </row>
    <row r="2592">
      <c r="A2592" t="str">
        <f t="shared" si="1"/>
        <v>khm#1990</v>
      </c>
      <c r="B2592" t="str">
        <f>IFERROR(__xludf.DUMMYFUNCTION("""COMPUTED_VALUE"""),"khm")</f>
        <v>khm</v>
      </c>
      <c r="C2592" t="str">
        <f>IFERROR(__xludf.DUMMYFUNCTION("""COMPUTED_VALUE"""),"Cambodia")</f>
        <v>Cambodia</v>
      </c>
      <c r="D2592">
        <f>IFERROR(__xludf.DUMMYFUNCTION("""COMPUTED_VALUE"""),1990.0)</f>
        <v>1990</v>
      </c>
      <c r="E2592">
        <f>IFERROR(__xludf.DUMMYFUNCTION("""COMPUTED_VALUE"""),8973342.0)</f>
        <v>8973342</v>
      </c>
    </row>
    <row r="2593">
      <c r="A2593" t="str">
        <f t="shared" si="1"/>
        <v>khm#1991</v>
      </c>
      <c r="B2593" t="str">
        <f>IFERROR(__xludf.DUMMYFUNCTION("""COMPUTED_VALUE"""),"khm")</f>
        <v>khm</v>
      </c>
      <c r="C2593" t="str">
        <f>IFERROR(__xludf.DUMMYFUNCTION("""COMPUTED_VALUE"""),"Cambodia")</f>
        <v>Cambodia</v>
      </c>
      <c r="D2593">
        <f>IFERROR(__xludf.DUMMYFUNCTION("""COMPUTED_VALUE"""),1991.0)</f>
        <v>1991</v>
      </c>
      <c r="E2593">
        <f>IFERROR(__xludf.DUMMYFUNCTION("""COMPUTED_VALUE"""),9286976.0)</f>
        <v>9286976</v>
      </c>
    </row>
    <row r="2594">
      <c r="A2594" t="str">
        <f t="shared" si="1"/>
        <v>khm#1992</v>
      </c>
      <c r="B2594" t="str">
        <f>IFERROR(__xludf.DUMMYFUNCTION("""COMPUTED_VALUE"""),"khm")</f>
        <v>khm</v>
      </c>
      <c r="C2594" t="str">
        <f>IFERROR(__xludf.DUMMYFUNCTION("""COMPUTED_VALUE"""),"Cambodia")</f>
        <v>Cambodia</v>
      </c>
      <c r="D2594">
        <f>IFERROR(__xludf.DUMMYFUNCTION("""COMPUTED_VALUE"""),1992.0)</f>
        <v>1992</v>
      </c>
      <c r="E2594">
        <f>IFERROR(__xludf.DUMMYFUNCTION("""COMPUTED_VALUE"""),9621504.0)</f>
        <v>9621504</v>
      </c>
    </row>
    <row r="2595">
      <c r="A2595" t="str">
        <f t="shared" si="1"/>
        <v>khm#1993</v>
      </c>
      <c r="B2595" t="str">
        <f>IFERROR(__xludf.DUMMYFUNCTION("""COMPUTED_VALUE"""),"khm")</f>
        <v>khm</v>
      </c>
      <c r="C2595" t="str">
        <f>IFERROR(__xludf.DUMMYFUNCTION("""COMPUTED_VALUE"""),"Cambodia")</f>
        <v>Cambodia</v>
      </c>
      <c r="D2595">
        <f>IFERROR(__xludf.DUMMYFUNCTION("""COMPUTED_VALUE"""),1993.0)</f>
        <v>1993</v>
      </c>
      <c r="E2595">
        <f>IFERROR(__xludf.DUMMYFUNCTION("""COMPUTED_VALUE"""),9968275.0)</f>
        <v>9968275</v>
      </c>
    </row>
    <row r="2596">
      <c r="A2596" t="str">
        <f t="shared" si="1"/>
        <v>khm#1994</v>
      </c>
      <c r="B2596" t="str">
        <f>IFERROR(__xludf.DUMMYFUNCTION("""COMPUTED_VALUE"""),"khm")</f>
        <v>khm</v>
      </c>
      <c r="C2596" t="str">
        <f>IFERROR(__xludf.DUMMYFUNCTION("""COMPUTED_VALUE"""),"Cambodia")</f>
        <v>Cambodia</v>
      </c>
      <c r="D2596">
        <f>IFERROR(__xludf.DUMMYFUNCTION("""COMPUTED_VALUE"""),1994.0)</f>
        <v>1994</v>
      </c>
      <c r="E2596">
        <f>IFERROR(__xludf.DUMMYFUNCTION("""COMPUTED_VALUE"""),1.0315376E7)</f>
        <v>10315376</v>
      </c>
    </row>
    <row r="2597">
      <c r="A2597" t="str">
        <f t="shared" si="1"/>
        <v>khm#1995</v>
      </c>
      <c r="B2597" t="str">
        <f>IFERROR(__xludf.DUMMYFUNCTION("""COMPUTED_VALUE"""),"khm")</f>
        <v>khm</v>
      </c>
      <c r="C2597" t="str">
        <f>IFERROR(__xludf.DUMMYFUNCTION("""COMPUTED_VALUE"""),"Cambodia")</f>
        <v>Cambodia</v>
      </c>
      <c r="D2597">
        <f>IFERROR(__xludf.DUMMYFUNCTION("""COMPUTED_VALUE"""),1995.0)</f>
        <v>1995</v>
      </c>
      <c r="E2597">
        <f>IFERROR(__xludf.DUMMYFUNCTION("""COMPUTED_VALUE"""),1.0653558E7)</f>
        <v>10653558</v>
      </c>
    </row>
    <row r="2598">
      <c r="A2598" t="str">
        <f t="shared" si="1"/>
        <v>khm#1996</v>
      </c>
      <c r="B2598" t="str">
        <f>IFERROR(__xludf.DUMMYFUNCTION("""COMPUTED_VALUE"""),"khm")</f>
        <v>khm</v>
      </c>
      <c r="C2598" t="str">
        <f>IFERROR(__xludf.DUMMYFUNCTION("""COMPUTED_VALUE"""),"Cambodia")</f>
        <v>Cambodia</v>
      </c>
      <c r="D2598">
        <f>IFERROR(__xludf.DUMMYFUNCTION("""COMPUTED_VALUE"""),1996.0)</f>
        <v>1996</v>
      </c>
      <c r="E2598">
        <f>IFERROR(__xludf.DUMMYFUNCTION("""COMPUTED_VALUE"""),1.0980273E7)</f>
        <v>10980273</v>
      </c>
    </row>
    <row r="2599">
      <c r="A2599" t="str">
        <f t="shared" si="1"/>
        <v>khm#1997</v>
      </c>
      <c r="B2599" t="str">
        <f>IFERROR(__xludf.DUMMYFUNCTION("""COMPUTED_VALUE"""),"khm")</f>
        <v>khm</v>
      </c>
      <c r="C2599" t="str">
        <f>IFERROR(__xludf.DUMMYFUNCTION("""COMPUTED_VALUE"""),"Cambodia")</f>
        <v>Cambodia</v>
      </c>
      <c r="D2599">
        <f>IFERROR(__xludf.DUMMYFUNCTION("""COMPUTED_VALUE"""),1997.0)</f>
        <v>1997</v>
      </c>
      <c r="E2599">
        <f>IFERROR(__xludf.DUMMYFUNCTION("""COMPUTED_VALUE"""),1.129588E7)</f>
        <v>11295880</v>
      </c>
    </row>
    <row r="2600">
      <c r="A2600" t="str">
        <f t="shared" si="1"/>
        <v>khm#1998</v>
      </c>
      <c r="B2600" t="str">
        <f>IFERROR(__xludf.DUMMYFUNCTION("""COMPUTED_VALUE"""),"khm")</f>
        <v>khm</v>
      </c>
      <c r="C2600" t="str">
        <f>IFERROR(__xludf.DUMMYFUNCTION("""COMPUTED_VALUE"""),"Cambodia")</f>
        <v>Cambodia</v>
      </c>
      <c r="D2600">
        <f>IFERROR(__xludf.DUMMYFUNCTION("""COMPUTED_VALUE"""),1998.0)</f>
        <v>1998</v>
      </c>
      <c r="E2600">
        <f>IFERROR(__xludf.DUMMYFUNCTION("""COMPUTED_VALUE"""),1.1597739E7)</f>
        <v>11597739</v>
      </c>
    </row>
    <row r="2601">
      <c r="A2601" t="str">
        <f t="shared" si="1"/>
        <v>khm#1999</v>
      </c>
      <c r="B2601" t="str">
        <f>IFERROR(__xludf.DUMMYFUNCTION("""COMPUTED_VALUE"""),"khm")</f>
        <v>khm</v>
      </c>
      <c r="C2601" t="str">
        <f>IFERROR(__xludf.DUMMYFUNCTION("""COMPUTED_VALUE"""),"Cambodia")</f>
        <v>Cambodia</v>
      </c>
      <c r="D2601">
        <f>IFERROR(__xludf.DUMMYFUNCTION("""COMPUTED_VALUE"""),1999.0)</f>
        <v>1999</v>
      </c>
      <c r="E2601">
        <f>IFERROR(__xludf.DUMMYFUNCTION("""COMPUTED_VALUE"""),1.1883636E7)</f>
        <v>11883636</v>
      </c>
    </row>
    <row r="2602">
      <c r="A2602" t="str">
        <f t="shared" si="1"/>
        <v>khm#2000</v>
      </c>
      <c r="B2602" t="str">
        <f>IFERROR(__xludf.DUMMYFUNCTION("""COMPUTED_VALUE"""),"khm")</f>
        <v>khm</v>
      </c>
      <c r="C2602" t="str">
        <f>IFERROR(__xludf.DUMMYFUNCTION("""COMPUTED_VALUE"""),"Cambodia")</f>
        <v>Cambodia</v>
      </c>
      <c r="D2602">
        <f>IFERROR(__xludf.DUMMYFUNCTION("""COMPUTED_VALUE"""),2000.0)</f>
        <v>2000</v>
      </c>
      <c r="E2602">
        <f>IFERROR(__xludf.DUMMYFUNCTION("""COMPUTED_VALUE"""),1.2152354E7)</f>
        <v>12152354</v>
      </c>
    </row>
    <row r="2603">
      <c r="A2603" t="str">
        <f t="shared" si="1"/>
        <v>khm#2001</v>
      </c>
      <c r="B2603" t="str">
        <f>IFERROR(__xludf.DUMMYFUNCTION("""COMPUTED_VALUE"""),"khm")</f>
        <v>khm</v>
      </c>
      <c r="C2603" t="str">
        <f>IFERROR(__xludf.DUMMYFUNCTION("""COMPUTED_VALUE"""),"Cambodia")</f>
        <v>Cambodia</v>
      </c>
      <c r="D2603">
        <f>IFERROR(__xludf.DUMMYFUNCTION("""COMPUTED_VALUE"""),2001.0)</f>
        <v>2001</v>
      </c>
      <c r="E2603">
        <f>IFERROR(__xludf.DUMMYFUNCTION("""COMPUTED_VALUE"""),1.2402473E7)</f>
        <v>12402473</v>
      </c>
    </row>
    <row r="2604">
      <c r="A2604" t="str">
        <f t="shared" si="1"/>
        <v>khm#2002</v>
      </c>
      <c r="B2604" t="str">
        <f>IFERROR(__xludf.DUMMYFUNCTION("""COMPUTED_VALUE"""),"khm")</f>
        <v>khm</v>
      </c>
      <c r="C2604" t="str">
        <f>IFERROR(__xludf.DUMMYFUNCTION("""COMPUTED_VALUE"""),"Cambodia")</f>
        <v>Cambodia</v>
      </c>
      <c r="D2604">
        <f>IFERROR(__xludf.DUMMYFUNCTION("""COMPUTED_VALUE"""),2002.0)</f>
        <v>2002</v>
      </c>
      <c r="E2604">
        <f>IFERROR(__xludf.DUMMYFUNCTION("""COMPUTED_VALUE"""),1.2634729E7)</f>
        <v>12634729</v>
      </c>
    </row>
    <row r="2605">
      <c r="A2605" t="str">
        <f t="shared" si="1"/>
        <v>khm#2003</v>
      </c>
      <c r="B2605" t="str">
        <f>IFERROR(__xludf.DUMMYFUNCTION("""COMPUTED_VALUE"""),"khm")</f>
        <v>khm</v>
      </c>
      <c r="C2605" t="str">
        <f>IFERROR(__xludf.DUMMYFUNCTION("""COMPUTED_VALUE"""),"Cambodia")</f>
        <v>Cambodia</v>
      </c>
      <c r="D2605">
        <f>IFERROR(__xludf.DUMMYFUNCTION("""COMPUTED_VALUE"""),2003.0)</f>
        <v>2003</v>
      </c>
      <c r="E2605">
        <f>IFERROR(__xludf.DUMMYFUNCTION("""COMPUTED_VALUE"""),1.2853124E7)</f>
        <v>12853124</v>
      </c>
    </row>
    <row r="2606">
      <c r="A2606" t="str">
        <f t="shared" si="1"/>
        <v>khm#2004</v>
      </c>
      <c r="B2606" t="str">
        <f>IFERROR(__xludf.DUMMYFUNCTION("""COMPUTED_VALUE"""),"khm")</f>
        <v>khm</v>
      </c>
      <c r="C2606" t="str">
        <f>IFERROR(__xludf.DUMMYFUNCTION("""COMPUTED_VALUE"""),"Cambodia")</f>
        <v>Cambodia</v>
      </c>
      <c r="D2606">
        <f>IFERROR(__xludf.DUMMYFUNCTION("""COMPUTED_VALUE"""),2004.0)</f>
        <v>2004</v>
      </c>
      <c r="E2606">
        <f>IFERROR(__xludf.DUMMYFUNCTION("""COMPUTED_VALUE"""),1.3063377E7)</f>
        <v>13063377</v>
      </c>
    </row>
    <row r="2607">
      <c r="A2607" t="str">
        <f t="shared" si="1"/>
        <v>khm#2005</v>
      </c>
      <c r="B2607" t="str">
        <f>IFERROR(__xludf.DUMMYFUNCTION("""COMPUTED_VALUE"""),"khm")</f>
        <v>khm</v>
      </c>
      <c r="C2607" t="str">
        <f>IFERROR(__xludf.DUMMYFUNCTION("""COMPUTED_VALUE"""),"Cambodia")</f>
        <v>Cambodia</v>
      </c>
      <c r="D2607">
        <f>IFERROR(__xludf.DUMMYFUNCTION("""COMPUTED_VALUE"""),2005.0)</f>
        <v>2005</v>
      </c>
      <c r="E2607">
        <f>IFERROR(__xludf.DUMMYFUNCTION("""COMPUTED_VALUE"""),1.3270201E7)</f>
        <v>13270201</v>
      </c>
    </row>
    <row r="2608">
      <c r="A2608" t="str">
        <f t="shared" si="1"/>
        <v>khm#2006</v>
      </c>
      <c r="B2608" t="str">
        <f>IFERROR(__xludf.DUMMYFUNCTION("""COMPUTED_VALUE"""),"khm")</f>
        <v>khm</v>
      </c>
      <c r="C2608" t="str">
        <f>IFERROR(__xludf.DUMMYFUNCTION("""COMPUTED_VALUE"""),"Cambodia")</f>
        <v>Cambodia</v>
      </c>
      <c r="D2608">
        <f>IFERROR(__xludf.DUMMYFUNCTION("""COMPUTED_VALUE"""),2006.0)</f>
        <v>2006</v>
      </c>
      <c r="E2608">
        <f>IFERROR(__xludf.DUMMYFUNCTION("""COMPUTED_VALUE"""),1.3474489E7)</f>
        <v>13474489</v>
      </c>
    </row>
    <row r="2609">
      <c r="A2609" t="str">
        <f t="shared" si="1"/>
        <v>khm#2007</v>
      </c>
      <c r="B2609" t="str">
        <f>IFERROR(__xludf.DUMMYFUNCTION("""COMPUTED_VALUE"""),"khm")</f>
        <v>khm</v>
      </c>
      <c r="C2609" t="str">
        <f>IFERROR(__xludf.DUMMYFUNCTION("""COMPUTED_VALUE"""),"Cambodia")</f>
        <v>Cambodia</v>
      </c>
      <c r="D2609">
        <f>IFERROR(__xludf.DUMMYFUNCTION("""COMPUTED_VALUE"""),2007.0)</f>
        <v>2007</v>
      </c>
      <c r="E2609">
        <f>IFERROR(__xludf.DUMMYFUNCTION("""COMPUTED_VALUE"""),1.3676693E7)</f>
        <v>13676693</v>
      </c>
    </row>
    <row r="2610">
      <c r="A2610" t="str">
        <f t="shared" si="1"/>
        <v>khm#2008</v>
      </c>
      <c r="B2610" t="str">
        <f>IFERROR(__xludf.DUMMYFUNCTION("""COMPUTED_VALUE"""),"khm")</f>
        <v>khm</v>
      </c>
      <c r="C2610" t="str">
        <f>IFERROR(__xludf.DUMMYFUNCTION("""COMPUTED_VALUE"""),"Cambodia")</f>
        <v>Cambodia</v>
      </c>
      <c r="D2610">
        <f>IFERROR(__xludf.DUMMYFUNCTION("""COMPUTED_VALUE"""),2008.0)</f>
        <v>2008</v>
      </c>
      <c r="E2610">
        <f>IFERROR(__xludf.DUMMYFUNCTION("""COMPUTED_VALUE"""),1.3880509E7)</f>
        <v>13880509</v>
      </c>
    </row>
    <row r="2611">
      <c r="A2611" t="str">
        <f t="shared" si="1"/>
        <v>khm#2009</v>
      </c>
      <c r="B2611" t="str">
        <f>IFERROR(__xludf.DUMMYFUNCTION("""COMPUTED_VALUE"""),"khm")</f>
        <v>khm</v>
      </c>
      <c r="C2611" t="str">
        <f>IFERROR(__xludf.DUMMYFUNCTION("""COMPUTED_VALUE"""),"Cambodia")</f>
        <v>Cambodia</v>
      </c>
      <c r="D2611">
        <f>IFERROR(__xludf.DUMMYFUNCTION("""COMPUTED_VALUE"""),2009.0)</f>
        <v>2009</v>
      </c>
      <c r="E2611">
        <f>IFERROR(__xludf.DUMMYFUNCTION("""COMPUTED_VALUE"""),1.4090208E7)</f>
        <v>14090208</v>
      </c>
    </row>
    <row r="2612">
      <c r="A2612" t="str">
        <f t="shared" si="1"/>
        <v>khm#2010</v>
      </c>
      <c r="B2612" t="str">
        <f>IFERROR(__xludf.DUMMYFUNCTION("""COMPUTED_VALUE"""),"khm")</f>
        <v>khm</v>
      </c>
      <c r="C2612" t="str">
        <f>IFERROR(__xludf.DUMMYFUNCTION("""COMPUTED_VALUE"""),"Cambodia")</f>
        <v>Cambodia</v>
      </c>
      <c r="D2612">
        <f>IFERROR(__xludf.DUMMYFUNCTION("""COMPUTED_VALUE"""),2010.0)</f>
        <v>2010</v>
      </c>
      <c r="E2612">
        <f>IFERROR(__xludf.DUMMYFUNCTION("""COMPUTED_VALUE"""),1.430874E7)</f>
        <v>14308740</v>
      </c>
    </row>
    <row r="2613">
      <c r="A2613" t="str">
        <f t="shared" si="1"/>
        <v>khm#2011</v>
      </c>
      <c r="B2613" t="str">
        <f>IFERROR(__xludf.DUMMYFUNCTION("""COMPUTED_VALUE"""),"khm")</f>
        <v>khm</v>
      </c>
      <c r="C2613" t="str">
        <f>IFERROR(__xludf.DUMMYFUNCTION("""COMPUTED_VALUE"""),"Cambodia")</f>
        <v>Cambodia</v>
      </c>
      <c r="D2613">
        <f>IFERROR(__xludf.DUMMYFUNCTION("""COMPUTED_VALUE"""),2011.0)</f>
        <v>2011</v>
      </c>
      <c r="E2613">
        <f>IFERROR(__xludf.DUMMYFUNCTION("""COMPUTED_VALUE"""),1.4537886E7)</f>
        <v>14537886</v>
      </c>
    </row>
    <row r="2614">
      <c r="A2614" t="str">
        <f t="shared" si="1"/>
        <v>khm#2012</v>
      </c>
      <c r="B2614" t="str">
        <f>IFERROR(__xludf.DUMMYFUNCTION("""COMPUTED_VALUE"""),"khm")</f>
        <v>khm</v>
      </c>
      <c r="C2614" t="str">
        <f>IFERROR(__xludf.DUMMYFUNCTION("""COMPUTED_VALUE"""),"Cambodia")</f>
        <v>Cambodia</v>
      </c>
      <c r="D2614">
        <f>IFERROR(__xludf.DUMMYFUNCTION("""COMPUTED_VALUE"""),2012.0)</f>
        <v>2012</v>
      </c>
      <c r="E2614">
        <f>IFERROR(__xludf.DUMMYFUNCTION("""COMPUTED_VALUE"""),1.4776866E7)</f>
        <v>14776866</v>
      </c>
    </row>
    <row r="2615">
      <c r="A2615" t="str">
        <f t="shared" si="1"/>
        <v>khm#2013</v>
      </c>
      <c r="B2615" t="str">
        <f>IFERROR(__xludf.DUMMYFUNCTION("""COMPUTED_VALUE"""),"khm")</f>
        <v>khm</v>
      </c>
      <c r="C2615" t="str">
        <f>IFERROR(__xludf.DUMMYFUNCTION("""COMPUTED_VALUE"""),"Cambodia")</f>
        <v>Cambodia</v>
      </c>
      <c r="D2615">
        <f>IFERROR(__xludf.DUMMYFUNCTION("""COMPUTED_VALUE"""),2013.0)</f>
        <v>2013</v>
      </c>
      <c r="E2615">
        <f>IFERROR(__xludf.DUMMYFUNCTION("""COMPUTED_VALUE"""),1.5022692E7)</f>
        <v>15022692</v>
      </c>
    </row>
    <row r="2616">
      <c r="A2616" t="str">
        <f t="shared" si="1"/>
        <v>khm#2014</v>
      </c>
      <c r="B2616" t="str">
        <f>IFERROR(__xludf.DUMMYFUNCTION("""COMPUTED_VALUE"""),"khm")</f>
        <v>khm</v>
      </c>
      <c r="C2616" t="str">
        <f>IFERROR(__xludf.DUMMYFUNCTION("""COMPUTED_VALUE"""),"Cambodia")</f>
        <v>Cambodia</v>
      </c>
      <c r="D2616">
        <f>IFERROR(__xludf.DUMMYFUNCTION("""COMPUTED_VALUE"""),2014.0)</f>
        <v>2014</v>
      </c>
      <c r="E2616">
        <f>IFERROR(__xludf.DUMMYFUNCTION("""COMPUTED_VALUE"""),1.527079E7)</f>
        <v>15270790</v>
      </c>
    </row>
    <row r="2617">
      <c r="A2617" t="str">
        <f t="shared" si="1"/>
        <v>khm#2015</v>
      </c>
      <c r="B2617" t="str">
        <f>IFERROR(__xludf.DUMMYFUNCTION("""COMPUTED_VALUE"""),"khm")</f>
        <v>khm</v>
      </c>
      <c r="C2617" t="str">
        <f>IFERROR(__xludf.DUMMYFUNCTION("""COMPUTED_VALUE"""),"Cambodia")</f>
        <v>Cambodia</v>
      </c>
      <c r="D2617">
        <f>IFERROR(__xludf.DUMMYFUNCTION("""COMPUTED_VALUE"""),2015.0)</f>
        <v>2015</v>
      </c>
      <c r="E2617">
        <f>IFERROR(__xludf.DUMMYFUNCTION("""COMPUTED_VALUE"""),1.5517635E7)</f>
        <v>15517635</v>
      </c>
    </row>
    <row r="2618">
      <c r="A2618" t="str">
        <f t="shared" si="1"/>
        <v>khm#2016</v>
      </c>
      <c r="B2618" t="str">
        <f>IFERROR(__xludf.DUMMYFUNCTION("""COMPUTED_VALUE"""),"khm")</f>
        <v>khm</v>
      </c>
      <c r="C2618" t="str">
        <f>IFERROR(__xludf.DUMMYFUNCTION("""COMPUTED_VALUE"""),"Cambodia")</f>
        <v>Cambodia</v>
      </c>
      <c r="D2618">
        <f>IFERROR(__xludf.DUMMYFUNCTION("""COMPUTED_VALUE"""),2016.0)</f>
        <v>2016</v>
      </c>
      <c r="E2618">
        <f>IFERROR(__xludf.DUMMYFUNCTION("""COMPUTED_VALUE"""),1.576237E7)</f>
        <v>15762370</v>
      </c>
    </row>
    <row r="2619">
      <c r="A2619" t="str">
        <f t="shared" si="1"/>
        <v>khm#2017</v>
      </c>
      <c r="B2619" t="str">
        <f>IFERROR(__xludf.DUMMYFUNCTION("""COMPUTED_VALUE"""),"khm")</f>
        <v>khm</v>
      </c>
      <c r="C2619" t="str">
        <f>IFERROR(__xludf.DUMMYFUNCTION("""COMPUTED_VALUE"""),"Cambodia")</f>
        <v>Cambodia</v>
      </c>
      <c r="D2619">
        <f>IFERROR(__xludf.DUMMYFUNCTION("""COMPUTED_VALUE"""),2017.0)</f>
        <v>2017</v>
      </c>
      <c r="E2619">
        <f>IFERROR(__xludf.DUMMYFUNCTION("""COMPUTED_VALUE"""),1.6005373E7)</f>
        <v>16005373</v>
      </c>
    </row>
    <row r="2620">
      <c r="A2620" t="str">
        <f t="shared" si="1"/>
        <v>khm#2018</v>
      </c>
      <c r="B2620" t="str">
        <f>IFERROR(__xludf.DUMMYFUNCTION("""COMPUTED_VALUE"""),"khm")</f>
        <v>khm</v>
      </c>
      <c r="C2620" t="str">
        <f>IFERROR(__xludf.DUMMYFUNCTION("""COMPUTED_VALUE"""),"Cambodia")</f>
        <v>Cambodia</v>
      </c>
      <c r="D2620">
        <f>IFERROR(__xludf.DUMMYFUNCTION("""COMPUTED_VALUE"""),2018.0)</f>
        <v>2018</v>
      </c>
      <c r="E2620">
        <f>IFERROR(__xludf.DUMMYFUNCTION("""COMPUTED_VALUE"""),1.6245729E7)</f>
        <v>16245729</v>
      </c>
    </row>
    <row r="2621">
      <c r="A2621" t="str">
        <f t="shared" si="1"/>
        <v>khm#2019</v>
      </c>
      <c r="B2621" t="str">
        <f>IFERROR(__xludf.DUMMYFUNCTION("""COMPUTED_VALUE"""),"khm")</f>
        <v>khm</v>
      </c>
      <c r="C2621" t="str">
        <f>IFERROR(__xludf.DUMMYFUNCTION("""COMPUTED_VALUE"""),"Cambodia")</f>
        <v>Cambodia</v>
      </c>
      <c r="D2621">
        <f>IFERROR(__xludf.DUMMYFUNCTION("""COMPUTED_VALUE"""),2019.0)</f>
        <v>2019</v>
      </c>
      <c r="E2621">
        <f>IFERROR(__xludf.DUMMYFUNCTION("""COMPUTED_VALUE"""),1.6482646E7)</f>
        <v>16482646</v>
      </c>
    </row>
    <row r="2622">
      <c r="A2622" t="str">
        <f t="shared" si="1"/>
        <v>khm#2020</v>
      </c>
      <c r="B2622" t="str">
        <f>IFERROR(__xludf.DUMMYFUNCTION("""COMPUTED_VALUE"""),"khm")</f>
        <v>khm</v>
      </c>
      <c r="C2622" t="str">
        <f>IFERROR(__xludf.DUMMYFUNCTION("""COMPUTED_VALUE"""),"Cambodia")</f>
        <v>Cambodia</v>
      </c>
      <c r="D2622">
        <f>IFERROR(__xludf.DUMMYFUNCTION("""COMPUTED_VALUE"""),2020.0)</f>
        <v>2020</v>
      </c>
      <c r="E2622">
        <f>IFERROR(__xludf.DUMMYFUNCTION("""COMPUTED_VALUE"""),1.6715508E7)</f>
        <v>16715508</v>
      </c>
    </row>
    <row r="2623">
      <c r="A2623" t="str">
        <f t="shared" si="1"/>
        <v>khm#2021</v>
      </c>
      <c r="B2623" t="str">
        <f>IFERROR(__xludf.DUMMYFUNCTION("""COMPUTED_VALUE"""),"khm")</f>
        <v>khm</v>
      </c>
      <c r="C2623" t="str">
        <f>IFERROR(__xludf.DUMMYFUNCTION("""COMPUTED_VALUE"""),"Cambodia")</f>
        <v>Cambodia</v>
      </c>
      <c r="D2623">
        <f>IFERROR(__xludf.DUMMYFUNCTION("""COMPUTED_VALUE"""),2021.0)</f>
        <v>2021</v>
      </c>
      <c r="E2623">
        <f>IFERROR(__xludf.DUMMYFUNCTION("""COMPUTED_VALUE"""),1.6943711E7)</f>
        <v>16943711</v>
      </c>
    </row>
    <row r="2624">
      <c r="A2624" t="str">
        <f t="shared" si="1"/>
        <v>khm#2022</v>
      </c>
      <c r="B2624" t="str">
        <f>IFERROR(__xludf.DUMMYFUNCTION("""COMPUTED_VALUE"""),"khm")</f>
        <v>khm</v>
      </c>
      <c r="C2624" t="str">
        <f>IFERROR(__xludf.DUMMYFUNCTION("""COMPUTED_VALUE"""),"Cambodia")</f>
        <v>Cambodia</v>
      </c>
      <c r="D2624">
        <f>IFERROR(__xludf.DUMMYFUNCTION("""COMPUTED_VALUE"""),2022.0)</f>
        <v>2022</v>
      </c>
      <c r="E2624">
        <f>IFERROR(__xludf.DUMMYFUNCTION("""COMPUTED_VALUE"""),1.7166941E7)</f>
        <v>17166941</v>
      </c>
    </row>
    <row r="2625">
      <c r="A2625" t="str">
        <f t="shared" si="1"/>
        <v>khm#2023</v>
      </c>
      <c r="B2625" t="str">
        <f>IFERROR(__xludf.DUMMYFUNCTION("""COMPUTED_VALUE"""),"khm")</f>
        <v>khm</v>
      </c>
      <c r="C2625" t="str">
        <f>IFERROR(__xludf.DUMMYFUNCTION("""COMPUTED_VALUE"""),"Cambodia")</f>
        <v>Cambodia</v>
      </c>
      <c r="D2625">
        <f>IFERROR(__xludf.DUMMYFUNCTION("""COMPUTED_VALUE"""),2023.0)</f>
        <v>2023</v>
      </c>
      <c r="E2625">
        <f>IFERROR(__xludf.DUMMYFUNCTION("""COMPUTED_VALUE"""),1.7385301E7)</f>
        <v>17385301</v>
      </c>
    </row>
    <row r="2626">
      <c r="A2626" t="str">
        <f t="shared" si="1"/>
        <v>khm#2024</v>
      </c>
      <c r="B2626" t="str">
        <f>IFERROR(__xludf.DUMMYFUNCTION("""COMPUTED_VALUE"""),"khm")</f>
        <v>khm</v>
      </c>
      <c r="C2626" t="str">
        <f>IFERROR(__xludf.DUMMYFUNCTION("""COMPUTED_VALUE"""),"Cambodia")</f>
        <v>Cambodia</v>
      </c>
      <c r="D2626">
        <f>IFERROR(__xludf.DUMMYFUNCTION("""COMPUTED_VALUE"""),2024.0)</f>
        <v>2024</v>
      </c>
      <c r="E2626">
        <f>IFERROR(__xludf.DUMMYFUNCTION("""COMPUTED_VALUE"""),1.7599113E7)</f>
        <v>17599113</v>
      </c>
    </row>
    <row r="2627">
      <c r="A2627" t="str">
        <f t="shared" si="1"/>
        <v>khm#2025</v>
      </c>
      <c r="B2627" t="str">
        <f>IFERROR(__xludf.DUMMYFUNCTION("""COMPUTED_VALUE"""),"khm")</f>
        <v>khm</v>
      </c>
      <c r="C2627" t="str">
        <f>IFERROR(__xludf.DUMMYFUNCTION("""COMPUTED_VALUE"""),"Cambodia")</f>
        <v>Cambodia</v>
      </c>
      <c r="D2627">
        <f>IFERROR(__xludf.DUMMYFUNCTION("""COMPUTED_VALUE"""),2025.0)</f>
        <v>2025</v>
      </c>
      <c r="E2627">
        <f>IFERROR(__xludf.DUMMYFUNCTION("""COMPUTED_VALUE"""),1.7808685E7)</f>
        <v>17808685</v>
      </c>
    </row>
    <row r="2628">
      <c r="A2628" t="str">
        <f t="shared" si="1"/>
        <v>khm#2026</v>
      </c>
      <c r="B2628" t="str">
        <f>IFERROR(__xludf.DUMMYFUNCTION("""COMPUTED_VALUE"""),"khm")</f>
        <v>khm</v>
      </c>
      <c r="C2628" t="str">
        <f>IFERROR(__xludf.DUMMYFUNCTION("""COMPUTED_VALUE"""),"Cambodia")</f>
        <v>Cambodia</v>
      </c>
      <c r="D2628">
        <f>IFERROR(__xludf.DUMMYFUNCTION("""COMPUTED_VALUE"""),2026.0)</f>
        <v>2026</v>
      </c>
      <c r="E2628">
        <f>IFERROR(__xludf.DUMMYFUNCTION("""COMPUTED_VALUE"""),1.801391E7)</f>
        <v>18013910</v>
      </c>
    </row>
    <row r="2629">
      <c r="A2629" t="str">
        <f t="shared" si="1"/>
        <v>khm#2027</v>
      </c>
      <c r="B2629" t="str">
        <f>IFERROR(__xludf.DUMMYFUNCTION("""COMPUTED_VALUE"""),"khm")</f>
        <v>khm</v>
      </c>
      <c r="C2629" t="str">
        <f>IFERROR(__xludf.DUMMYFUNCTION("""COMPUTED_VALUE"""),"Cambodia")</f>
        <v>Cambodia</v>
      </c>
      <c r="D2629">
        <f>IFERROR(__xludf.DUMMYFUNCTION("""COMPUTED_VALUE"""),2027.0)</f>
        <v>2027</v>
      </c>
      <c r="E2629">
        <f>IFERROR(__xludf.DUMMYFUNCTION("""COMPUTED_VALUE"""),1.8214806E7)</f>
        <v>18214806</v>
      </c>
    </row>
    <row r="2630">
      <c r="A2630" t="str">
        <f t="shared" si="1"/>
        <v>khm#2028</v>
      </c>
      <c r="B2630" t="str">
        <f>IFERROR(__xludf.DUMMYFUNCTION("""COMPUTED_VALUE"""),"khm")</f>
        <v>khm</v>
      </c>
      <c r="C2630" t="str">
        <f>IFERROR(__xludf.DUMMYFUNCTION("""COMPUTED_VALUE"""),"Cambodia")</f>
        <v>Cambodia</v>
      </c>
      <c r="D2630">
        <f>IFERROR(__xludf.DUMMYFUNCTION("""COMPUTED_VALUE"""),2028.0)</f>
        <v>2028</v>
      </c>
      <c r="E2630">
        <f>IFERROR(__xludf.DUMMYFUNCTION("""COMPUTED_VALUE"""),1.8411936E7)</f>
        <v>18411936</v>
      </c>
    </row>
    <row r="2631">
      <c r="A2631" t="str">
        <f t="shared" si="1"/>
        <v>khm#2029</v>
      </c>
      <c r="B2631" t="str">
        <f>IFERROR(__xludf.DUMMYFUNCTION("""COMPUTED_VALUE"""),"khm")</f>
        <v>khm</v>
      </c>
      <c r="C2631" t="str">
        <f>IFERROR(__xludf.DUMMYFUNCTION("""COMPUTED_VALUE"""),"Cambodia")</f>
        <v>Cambodia</v>
      </c>
      <c r="D2631">
        <f>IFERROR(__xludf.DUMMYFUNCTION("""COMPUTED_VALUE"""),2029.0)</f>
        <v>2029</v>
      </c>
      <c r="E2631">
        <f>IFERROR(__xludf.DUMMYFUNCTION("""COMPUTED_VALUE"""),1.8606102E7)</f>
        <v>18606102</v>
      </c>
    </row>
    <row r="2632">
      <c r="A2632" t="str">
        <f t="shared" si="1"/>
        <v>khm#2030</v>
      </c>
      <c r="B2632" t="str">
        <f>IFERROR(__xludf.DUMMYFUNCTION("""COMPUTED_VALUE"""),"khm")</f>
        <v>khm</v>
      </c>
      <c r="C2632" t="str">
        <f>IFERROR(__xludf.DUMMYFUNCTION("""COMPUTED_VALUE"""),"Cambodia")</f>
        <v>Cambodia</v>
      </c>
      <c r="D2632">
        <f>IFERROR(__xludf.DUMMYFUNCTION("""COMPUTED_VALUE"""),2030.0)</f>
        <v>2030</v>
      </c>
      <c r="E2632">
        <f>IFERROR(__xludf.DUMMYFUNCTION("""COMPUTED_VALUE"""),1.8797878E7)</f>
        <v>18797878</v>
      </c>
    </row>
    <row r="2633">
      <c r="A2633" t="str">
        <f t="shared" si="1"/>
        <v>khm#2031</v>
      </c>
      <c r="B2633" t="str">
        <f>IFERROR(__xludf.DUMMYFUNCTION("""COMPUTED_VALUE"""),"khm")</f>
        <v>khm</v>
      </c>
      <c r="C2633" t="str">
        <f>IFERROR(__xludf.DUMMYFUNCTION("""COMPUTED_VALUE"""),"Cambodia")</f>
        <v>Cambodia</v>
      </c>
      <c r="D2633">
        <f>IFERROR(__xludf.DUMMYFUNCTION("""COMPUTED_VALUE"""),2031.0)</f>
        <v>2031</v>
      </c>
      <c r="E2633">
        <f>IFERROR(__xludf.DUMMYFUNCTION("""COMPUTED_VALUE"""),1.8987419E7)</f>
        <v>18987419</v>
      </c>
    </row>
    <row r="2634">
      <c r="A2634" t="str">
        <f t="shared" si="1"/>
        <v>khm#2032</v>
      </c>
      <c r="B2634" t="str">
        <f>IFERROR(__xludf.DUMMYFUNCTION("""COMPUTED_VALUE"""),"khm")</f>
        <v>khm</v>
      </c>
      <c r="C2634" t="str">
        <f>IFERROR(__xludf.DUMMYFUNCTION("""COMPUTED_VALUE"""),"Cambodia")</f>
        <v>Cambodia</v>
      </c>
      <c r="D2634">
        <f>IFERROR(__xludf.DUMMYFUNCTION("""COMPUTED_VALUE"""),2032.0)</f>
        <v>2032</v>
      </c>
      <c r="E2634">
        <f>IFERROR(__xludf.DUMMYFUNCTION("""COMPUTED_VALUE"""),1.9174678E7)</f>
        <v>19174678</v>
      </c>
    </row>
    <row r="2635">
      <c r="A2635" t="str">
        <f t="shared" si="1"/>
        <v>khm#2033</v>
      </c>
      <c r="B2635" t="str">
        <f>IFERROR(__xludf.DUMMYFUNCTION("""COMPUTED_VALUE"""),"khm")</f>
        <v>khm</v>
      </c>
      <c r="C2635" t="str">
        <f>IFERROR(__xludf.DUMMYFUNCTION("""COMPUTED_VALUE"""),"Cambodia")</f>
        <v>Cambodia</v>
      </c>
      <c r="D2635">
        <f>IFERROR(__xludf.DUMMYFUNCTION("""COMPUTED_VALUE"""),2033.0)</f>
        <v>2033</v>
      </c>
      <c r="E2635">
        <f>IFERROR(__xludf.DUMMYFUNCTION("""COMPUTED_VALUE"""),1.9359792E7)</f>
        <v>19359792</v>
      </c>
    </row>
    <row r="2636">
      <c r="A2636" t="str">
        <f t="shared" si="1"/>
        <v>khm#2034</v>
      </c>
      <c r="B2636" t="str">
        <f>IFERROR(__xludf.DUMMYFUNCTION("""COMPUTED_VALUE"""),"khm")</f>
        <v>khm</v>
      </c>
      <c r="C2636" t="str">
        <f>IFERROR(__xludf.DUMMYFUNCTION("""COMPUTED_VALUE"""),"Cambodia")</f>
        <v>Cambodia</v>
      </c>
      <c r="D2636">
        <f>IFERROR(__xludf.DUMMYFUNCTION("""COMPUTED_VALUE"""),2034.0)</f>
        <v>2034</v>
      </c>
      <c r="E2636">
        <f>IFERROR(__xludf.DUMMYFUNCTION("""COMPUTED_VALUE"""),1.9542826E7)</f>
        <v>19542826</v>
      </c>
    </row>
    <row r="2637">
      <c r="A2637" t="str">
        <f t="shared" si="1"/>
        <v>khm#2035</v>
      </c>
      <c r="B2637" t="str">
        <f>IFERROR(__xludf.DUMMYFUNCTION("""COMPUTED_VALUE"""),"khm")</f>
        <v>khm</v>
      </c>
      <c r="C2637" t="str">
        <f>IFERROR(__xludf.DUMMYFUNCTION("""COMPUTED_VALUE"""),"Cambodia")</f>
        <v>Cambodia</v>
      </c>
      <c r="D2637">
        <f>IFERROR(__xludf.DUMMYFUNCTION("""COMPUTED_VALUE"""),2035.0)</f>
        <v>2035</v>
      </c>
      <c r="E2637">
        <f>IFERROR(__xludf.DUMMYFUNCTION("""COMPUTED_VALUE"""),1.9723795E7)</f>
        <v>19723795</v>
      </c>
    </row>
    <row r="2638">
      <c r="A2638" t="str">
        <f t="shared" si="1"/>
        <v>khm#2036</v>
      </c>
      <c r="B2638" t="str">
        <f>IFERROR(__xludf.DUMMYFUNCTION("""COMPUTED_VALUE"""),"khm")</f>
        <v>khm</v>
      </c>
      <c r="C2638" t="str">
        <f>IFERROR(__xludf.DUMMYFUNCTION("""COMPUTED_VALUE"""),"Cambodia")</f>
        <v>Cambodia</v>
      </c>
      <c r="D2638">
        <f>IFERROR(__xludf.DUMMYFUNCTION("""COMPUTED_VALUE"""),2036.0)</f>
        <v>2036</v>
      </c>
      <c r="E2638">
        <f>IFERROR(__xludf.DUMMYFUNCTION("""COMPUTED_VALUE"""),1.9902725E7)</f>
        <v>19902725</v>
      </c>
    </row>
    <row r="2639">
      <c r="A2639" t="str">
        <f t="shared" si="1"/>
        <v>khm#2037</v>
      </c>
      <c r="B2639" t="str">
        <f>IFERROR(__xludf.DUMMYFUNCTION("""COMPUTED_VALUE"""),"khm")</f>
        <v>khm</v>
      </c>
      <c r="C2639" t="str">
        <f>IFERROR(__xludf.DUMMYFUNCTION("""COMPUTED_VALUE"""),"Cambodia")</f>
        <v>Cambodia</v>
      </c>
      <c r="D2639">
        <f>IFERROR(__xludf.DUMMYFUNCTION("""COMPUTED_VALUE"""),2037.0)</f>
        <v>2037</v>
      </c>
      <c r="E2639">
        <f>IFERROR(__xludf.DUMMYFUNCTION("""COMPUTED_VALUE"""),2.0079472E7)</f>
        <v>20079472</v>
      </c>
    </row>
    <row r="2640">
      <c r="A2640" t="str">
        <f t="shared" si="1"/>
        <v>khm#2038</v>
      </c>
      <c r="B2640" t="str">
        <f>IFERROR(__xludf.DUMMYFUNCTION("""COMPUTED_VALUE"""),"khm")</f>
        <v>khm</v>
      </c>
      <c r="C2640" t="str">
        <f>IFERROR(__xludf.DUMMYFUNCTION("""COMPUTED_VALUE"""),"Cambodia")</f>
        <v>Cambodia</v>
      </c>
      <c r="D2640">
        <f>IFERROR(__xludf.DUMMYFUNCTION("""COMPUTED_VALUE"""),2038.0)</f>
        <v>2038</v>
      </c>
      <c r="E2640">
        <f>IFERROR(__xludf.DUMMYFUNCTION("""COMPUTED_VALUE"""),2.0253651E7)</f>
        <v>20253651</v>
      </c>
    </row>
    <row r="2641">
      <c r="A2641" t="str">
        <f t="shared" si="1"/>
        <v>khm#2039</v>
      </c>
      <c r="B2641" t="str">
        <f>IFERROR(__xludf.DUMMYFUNCTION("""COMPUTED_VALUE"""),"khm")</f>
        <v>khm</v>
      </c>
      <c r="C2641" t="str">
        <f>IFERROR(__xludf.DUMMYFUNCTION("""COMPUTED_VALUE"""),"Cambodia")</f>
        <v>Cambodia</v>
      </c>
      <c r="D2641">
        <f>IFERROR(__xludf.DUMMYFUNCTION("""COMPUTED_VALUE"""),2039.0)</f>
        <v>2039</v>
      </c>
      <c r="E2641">
        <f>IFERROR(__xludf.DUMMYFUNCTION("""COMPUTED_VALUE"""),2.042478E7)</f>
        <v>20424780</v>
      </c>
    </row>
    <row r="2642">
      <c r="A2642" t="str">
        <f t="shared" si="1"/>
        <v>khm#2040</v>
      </c>
      <c r="B2642" t="str">
        <f>IFERROR(__xludf.DUMMYFUNCTION("""COMPUTED_VALUE"""),"khm")</f>
        <v>khm</v>
      </c>
      <c r="C2642" t="str">
        <f>IFERROR(__xludf.DUMMYFUNCTION("""COMPUTED_VALUE"""),"Cambodia")</f>
        <v>Cambodia</v>
      </c>
      <c r="D2642">
        <f>IFERROR(__xludf.DUMMYFUNCTION("""COMPUTED_VALUE"""),2040.0)</f>
        <v>2040</v>
      </c>
      <c r="E2642">
        <f>IFERROR(__xludf.DUMMYFUNCTION("""COMPUTED_VALUE"""),2.0592416E7)</f>
        <v>20592416</v>
      </c>
    </row>
    <row r="2643">
      <c r="A2643" t="str">
        <f t="shared" si="1"/>
        <v>cmr#1950</v>
      </c>
      <c r="B2643" t="str">
        <f>IFERROR(__xludf.DUMMYFUNCTION("""COMPUTED_VALUE"""),"cmr")</f>
        <v>cmr</v>
      </c>
      <c r="C2643" t="str">
        <f>IFERROR(__xludf.DUMMYFUNCTION("""COMPUTED_VALUE"""),"Cameroon")</f>
        <v>Cameroon</v>
      </c>
      <c r="D2643">
        <f>IFERROR(__xludf.DUMMYFUNCTION("""COMPUTED_VALUE"""),1950.0)</f>
        <v>1950</v>
      </c>
      <c r="E2643">
        <f>IFERROR(__xludf.DUMMYFUNCTION("""COMPUTED_VALUE"""),4307022.0)</f>
        <v>4307022</v>
      </c>
    </row>
    <row r="2644">
      <c r="A2644" t="str">
        <f t="shared" si="1"/>
        <v>cmr#1951</v>
      </c>
      <c r="B2644" t="str">
        <f>IFERROR(__xludf.DUMMYFUNCTION("""COMPUTED_VALUE"""),"cmr")</f>
        <v>cmr</v>
      </c>
      <c r="C2644" t="str">
        <f>IFERROR(__xludf.DUMMYFUNCTION("""COMPUTED_VALUE"""),"Cameroon")</f>
        <v>Cameroon</v>
      </c>
      <c r="D2644">
        <f>IFERROR(__xludf.DUMMYFUNCTION("""COMPUTED_VALUE"""),1951.0)</f>
        <v>1951</v>
      </c>
      <c r="E2644">
        <f>IFERROR(__xludf.DUMMYFUNCTION("""COMPUTED_VALUE"""),4382927.0)</f>
        <v>4382927</v>
      </c>
    </row>
    <row r="2645">
      <c r="A2645" t="str">
        <f t="shared" si="1"/>
        <v>cmr#1952</v>
      </c>
      <c r="B2645" t="str">
        <f>IFERROR(__xludf.DUMMYFUNCTION("""COMPUTED_VALUE"""),"cmr")</f>
        <v>cmr</v>
      </c>
      <c r="C2645" t="str">
        <f>IFERROR(__xludf.DUMMYFUNCTION("""COMPUTED_VALUE"""),"Cameroon")</f>
        <v>Cameroon</v>
      </c>
      <c r="D2645">
        <f>IFERROR(__xludf.DUMMYFUNCTION("""COMPUTED_VALUE"""),1952.0)</f>
        <v>1952</v>
      </c>
      <c r="E2645">
        <f>IFERROR(__xludf.DUMMYFUNCTION("""COMPUTED_VALUE"""),4460318.0)</f>
        <v>4460318</v>
      </c>
    </row>
    <row r="2646">
      <c r="A2646" t="str">
        <f t="shared" si="1"/>
        <v>cmr#1953</v>
      </c>
      <c r="B2646" t="str">
        <f>IFERROR(__xludf.DUMMYFUNCTION("""COMPUTED_VALUE"""),"cmr")</f>
        <v>cmr</v>
      </c>
      <c r="C2646" t="str">
        <f>IFERROR(__xludf.DUMMYFUNCTION("""COMPUTED_VALUE"""),"Cameroon")</f>
        <v>Cameroon</v>
      </c>
      <c r="D2646">
        <f>IFERROR(__xludf.DUMMYFUNCTION("""COMPUTED_VALUE"""),1953.0)</f>
        <v>1953</v>
      </c>
      <c r="E2646">
        <f>IFERROR(__xludf.DUMMYFUNCTION("""COMPUTED_VALUE"""),4539443.0)</f>
        <v>4539443</v>
      </c>
    </row>
    <row r="2647">
      <c r="A2647" t="str">
        <f t="shared" si="1"/>
        <v>cmr#1954</v>
      </c>
      <c r="B2647" t="str">
        <f>IFERROR(__xludf.DUMMYFUNCTION("""COMPUTED_VALUE"""),"cmr")</f>
        <v>cmr</v>
      </c>
      <c r="C2647" t="str">
        <f>IFERROR(__xludf.DUMMYFUNCTION("""COMPUTED_VALUE"""),"Cameroon")</f>
        <v>Cameroon</v>
      </c>
      <c r="D2647">
        <f>IFERROR(__xludf.DUMMYFUNCTION("""COMPUTED_VALUE"""),1954.0)</f>
        <v>1954</v>
      </c>
      <c r="E2647">
        <f>IFERROR(__xludf.DUMMYFUNCTION("""COMPUTED_VALUE"""),4620627.0)</f>
        <v>4620627</v>
      </c>
    </row>
    <row r="2648">
      <c r="A2648" t="str">
        <f t="shared" si="1"/>
        <v>cmr#1955</v>
      </c>
      <c r="B2648" t="str">
        <f>IFERROR(__xludf.DUMMYFUNCTION("""COMPUTED_VALUE"""),"cmr")</f>
        <v>cmr</v>
      </c>
      <c r="C2648" t="str">
        <f>IFERROR(__xludf.DUMMYFUNCTION("""COMPUTED_VALUE"""),"Cameroon")</f>
        <v>Cameroon</v>
      </c>
      <c r="D2648">
        <f>IFERROR(__xludf.DUMMYFUNCTION("""COMPUTED_VALUE"""),1955.0)</f>
        <v>1955</v>
      </c>
      <c r="E2648">
        <f>IFERROR(__xludf.DUMMYFUNCTION("""COMPUTED_VALUE"""),4704233.0)</f>
        <v>4704233</v>
      </c>
    </row>
    <row r="2649">
      <c r="A2649" t="str">
        <f t="shared" si="1"/>
        <v>cmr#1956</v>
      </c>
      <c r="B2649" t="str">
        <f>IFERROR(__xludf.DUMMYFUNCTION("""COMPUTED_VALUE"""),"cmr")</f>
        <v>cmr</v>
      </c>
      <c r="C2649" t="str">
        <f>IFERROR(__xludf.DUMMYFUNCTION("""COMPUTED_VALUE"""),"Cameroon")</f>
        <v>Cameroon</v>
      </c>
      <c r="D2649">
        <f>IFERROR(__xludf.DUMMYFUNCTION("""COMPUTED_VALUE"""),1956.0)</f>
        <v>1956</v>
      </c>
      <c r="E2649">
        <f>IFERROR(__xludf.DUMMYFUNCTION("""COMPUTED_VALUE"""),4790714.0)</f>
        <v>4790714</v>
      </c>
    </row>
    <row r="2650">
      <c r="A2650" t="str">
        <f t="shared" si="1"/>
        <v>cmr#1957</v>
      </c>
      <c r="B2650" t="str">
        <f>IFERROR(__xludf.DUMMYFUNCTION("""COMPUTED_VALUE"""),"cmr")</f>
        <v>cmr</v>
      </c>
      <c r="C2650" t="str">
        <f>IFERROR(__xludf.DUMMYFUNCTION("""COMPUTED_VALUE"""),"Cameroon")</f>
        <v>Cameroon</v>
      </c>
      <c r="D2650">
        <f>IFERROR(__xludf.DUMMYFUNCTION("""COMPUTED_VALUE"""),1957.0)</f>
        <v>1957</v>
      </c>
      <c r="E2650">
        <f>IFERROR(__xludf.DUMMYFUNCTION("""COMPUTED_VALUE"""),4880594.0)</f>
        <v>4880594</v>
      </c>
    </row>
    <row r="2651">
      <c r="A2651" t="str">
        <f t="shared" si="1"/>
        <v>cmr#1958</v>
      </c>
      <c r="B2651" t="str">
        <f>IFERROR(__xludf.DUMMYFUNCTION("""COMPUTED_VALUE"""),"cmr")</f>
        <v>cmr</v>
      </c>
      <c r="C2651" t="str">
        <f>IFERROR(__xludf.DUMMYFUNCTION("""COMPUTED_VALUE"""),"Cameroon")</f>
        <v>Cameroon</v>
      </c>
      <c r="D2651">
        <f>IFERROR(__xludf.DUMMYFUNCTION("""COMPUTED_VALUE"""),1958.0)</f>
        <v>1958</v>
      </c>
      <c r="E2651">
        <f>IFERROR(__xludf.DUMMYFUNCTION("""COMPUTED_VALUE"""),4974431.0)</f>
        <v>4974431</v>
      </c>
    </row>
    <row r="2652">
      <c r="A2652" t="str">
        <f t="shared" si="1"/>
        <v>cmr#1959</v>
      </c>
      <c r="B2652" t="str">
        <f>IFERROR(__xludf.DUMMYFUNCTION("""COMPUTED_VALUE"""),"cmr")</f>
        <v>cmr</v>
      </c>
      <c r="C2652" t="str">
        <f>IFERROR(__xludf.DUMMYFUNCTION("""COMPUTED_VALUE"""),"Cameroon")</f>
        <v>Cameroon</v>
      </c>
      <c r="D2652">
        <f>IFERROR(__xludf.DUMMYFUNCTION("""COMPUTED_VALUE"""),1959.0)</f>
        <v>1959</v>
      </c>
      <c r="E2652">
        <f>IFERROR(__xludf.DUMMYFUNCTION("""COMPUTED_VALUE"""),5072801.0)</f>
        <v>5072801</v>
      </c>
    </row>
    <row r="2653">
      <c r="A2653" t="str">
        <f t="shared" si="1"/>
        <v>cmr#1960</v>
      </c>
      <c r="B2653" t="str">
        <f>IFERROR(__xludf.DUMMYFUNCTION("""COMPUTED_VALUE"""),"cmr")</f>
        <v>cmr</v>
      </c>
      <c r="C2653" t="str">
        <f>IFERROR(__xludf.DUMMYFUNCTION("""COMPUTED_VALUE"""),"Cameroon")</f>
        <v>Cameroon</v>
      </c>
      <c r="D2653">
        <f>IFERROR(__xludf.DUMMYFUNCTION("""COMPUTED_VALUE"""),1960.0)</f>
        <v>1960</v>
      </c>
      <c r="E2653">
        <f>IFERROR(__xludf.DUMMYFUNCTION("""COMPUTED_VALUE"""),5176268.0)</f>
        <v>5176268</v>
      </c>
    </row>
    <row r="2654">
      <c r="A2654" t="str">
        <f t="shared" si="1"/>
        <v>cmr#1961</v>
      </c>
      <c r="B2654" t="str">
        <f>IFERROR(__xludf.DUMMYFUNCTION("""COMPUTED_VALUE"""),"cmr")</f>
        <v>cmr</v>
      </c>
      <c r="C2654" t="str">
        <f>IFERROR(__xludf.DUMMYFUNCTION("""COMPUTED_VALUE"""),"Cameroon")</f>
        <v>Cameroon</v>
      </c>
      <c r="D2654">
        <f>IFERROR(__xludf.DUMMYFUNCTION("""COMPUTED_VALUE"""),1961.0)</f>
        <v>1961</v>
      </c>
      <c r="E2654">
        <f>IFERROR(__xludf.DUMMYFUNCTION("""COMPUTED_VALUE"""),5285231.0)</f>
        <v>5285231</v>
      </c>
    </row>
    <row r="2655">
      <c r="A2655" t="str">
        <f t="shared" si="1"/>
        <v>cmr#1962</v>
      </c>
      <c r="B2655" t="str">
        <f>IFERROR(__xludf.DUMMYFUNCTION("""COMPUTED_VALUE"""),"cmr")</f>
        <v>cmr</v>
      </c>
      <c r="C2655" t="str">
        <f>IFERROR(__xludf.DUMMYFUNCTION("""COMPUTED_VALUE"""),"Cameroon")</f>
        <v>Cameroon</v>
      </c>
      <c r="D2655">
        <f>IFERROR(__xludf.DUMMYFUNCTION("""COMPUTED_VALUE"""),1962.0)</f>
        <v>1962</v>
      </c>
      <c r="E2655">
        <f>IFERROR(__xludf.DUMMYFUNCTION("""COMPUTED_VALUE"""),5399922.0)</f>
        <v>5399922</v>
      </c>
    </row>
    <row r="2656">
      <c r="A2656" t="str">
        <f t="shared" si="1"/>
        <v>cmr#1963</v>
      </c>
      <c r="B2656" t="str">
        <f>IFERROR(__xludf.DUMMYFUNCTION("""COMPUTED_VALUE"""),"cmr")</f>
        <v>cmr</v>
      </c>
      <c r="C2656" t="str">
        <f>IFERROR(__xludf.DUMMYFUNCTION("""COMPUTED_VALUE"""),"Cameroon")</f>
        <v>Cameroon</v>
      </c>
      <c r="D2656">
        <f>IFERROR(__xludf.DUMMYFUNCTION("""COMPUTED_VALUE"""),1963.0)</f>
        <v>1963</v>
      </c>
      <c r="E2656">
        <f>IFERROR(__xludf.DUMMYFUNCTION("""COMPUTED_VALUE"""),5520332.0)</f>
        <v>5520332</v>
      </c>
    </row>
    <row r="2657">
      <c r="A2657" t="str">
        <f t="shared" si="1"/>
        <v>cmr#1964</v>
      </c>
      <c r="B2657" t="str">
        <f>IFERROR(__xludf.DUMMYFUNCTION("""COMPUTED_VALUE"""),"cmr")</f>
        <v>cmr</v>
      </c>
      <c r="C2657" t="str">
        <f>IFERROR(__xludf.DUMMYFUNCTION("""COMPUTED_VALUE"""),"Cameroon")</f>
        <v>Cameroon</v>
      </c>
      <c r="D2657">
        <f>IFERROR(__xludf.DUMMYFUNCTION("""COMPUTED_VALUE"""),1964.0)</f>
        <v>1964</v>
      </c>
      <c r="E2657">
        <f>IFERROR(__xludf.DUMMYFUNCTION("""COMPUTED_VALUE"""),5646316.0)</f>
        <v>5646316</v>
      </c>
    </row>
    <row r="2658">
      <c r="A2658" t="str">
        <f t="shared" si="1"/>
        <v>cmr#1965</v>
      </c>
      <c r="B2658" t="str">
        <f>IFERROR(__xludf.DUMMYFUNCTION("""COMPUTED_VALUE"""),"cmr")</f>
        <v>cmr</v>
      </c>
      <c r="C2658" t="str">
        <f>IFERROR(__xludf.DUMMYFUNCTION("""COMPUTED_VALUE"""),"Cameroon")</f>
        <v>Cameroon</v>
      </c>
      <c r="D2658">
        <f>IFERROR(__xludf.DUMMYFUNCTION("""COMPUTED_VALUE"""),1965.0)</f>
        <v>1965</v>
      </c>
      <c r="E2658">
        <f>IFERROR(__xludf.DUMMYFUNCTION("""COMPUTED_VALUE"""),5777834.0)</f>
        <v>5777834</v>
      </c>
    </row>
    <row r="2659">
      <c r="A2659" t="str">
        <f t="shared" si="1"/>
        <v>cmr#1966</v>
      </c>
      <c r="B2659" t="str">
        <f>IFERROR(__xludf.DUMMYFUNCTION("""COMPUTED_VALUE"""),"cmr")</f>
        <v>cmr</v>
      </c>
      <c r="C2659" t="str">
        <f>IFERROR(__xludf.DUMMYFUNCTION("""COMPUTED_VALUE"""),"Cameroon")</f>
        <v>Cameroon</v>
      </c>
      <c r="D2659">
        <f>IFERROR(__xludf.DUMMYFUNCTION("""COMPUTED_VALUE"""),1966.0)</f>
        <v>1966</v>
      </c>
      <c r="E2659">
        <f>IFERROR(__xludf.DUMMYFUNCTION("""COMPUTED_VALUE"""),5915123.0)</f>
        <v>5915123</v>
      </c>
    </row>
    <row r="2660">
      <c r="A2660" t="str">
        <f t="shared" si="1"/>
        <v>cmr#1967</v>
      </c>
      <c r="B2660" t="str">
        <f>IFERROR(__xludf.DUMMYFUNCTION("""COMPUTED_VALUE"""),"cmr")</f>
        <v>cmr</v>
      </c>
      <c r="C2660" t="str">
        <f>IFERROR(__xludf.DUMMYFUNCTION("""COMPUTED_VALUE"""),"Cameroon")</f>
        <v>Cameroon</v>
      </c>
      <c r="D2660">
        <f>IFERROR(__xludf.DUMMYFUNCTION("""COMPUTED_VALUE"""),1967.0)</f>
        <v>1967</v>
      </c>
      <c r="E2660">
        <f>IFERROR(__xludf.DUMMYFUNCTION("""COMPUTED_VALUE"""),6058539.0)</f>
        <v>6058539</v>
      </c>
    </row>
    <row r="2661">
      <c r="A2661" t="str">
        <f t="shared" si="1"/>
        <v>cmr#1968</v>
      </c>
      <c r="B2661" t="str">
        <f>IFERROR(__xludf.DUMMYFUNCTION("""COMPUTED_VALUE"""),"cmr")</f>
        <v>cmr</v>
      </c>
      <c r="C2661" t="str">
        <f>IFERROR(__xludf.DUMMYFUNCTION("""COMPUTED_VALUE"""),"Cameroon")</f>
        <v>Cameroon</v>
      </c>
      <c r="D2661">
        <f>IFERROR(__xludf.DUMMYFUNCTION("""COMPUTED_VALUE"""),1968.0)</f>
        <v>1968</v>
      </c>
      <c r="E2661">
        <f>IFERROR(__xludf.DUMMYFUNCTION("""COMPUTED_VALUE"""),6208282.0)</f>
        <v>6208282</v>
      </c>
    </row>
    <row r="2662">
      <c r="A2662" t="str">
        <f t="shared" si="1"/>
        <v>cmr#1969</v>
      </c>
      <c r="B2662" t="str">
        <f>IFERROR(__xludf.DUMMYFUNCTION("""COMPUTED_VALUE"""),"cmr")</f>
        <v>cmr</v>
      </c>
      <c r="C2662" t="str">
        <f>IFERROR(__xludf.DUMMYFUNCTION("""COMPUTED_VALUE"""),"Cameroon")</f>
        <v>Cameroon</v>
      </c>
      <c r="D2662">
        <f>IFERROR(__xludf.DUMMYFUNCTION("""COMPUTED_VALUE"""),1969.0)</f>
        <v>1969</v>
      </c>
      <c r="E2662">
        <f>IFERROR(__xludf.DUMMYFUNCTION("""COMPUTED_VALUE"""),6364569.0)</f>
        <v>6364569</v>
      </c>
    </row>
    <row r="2663">
      <c r="A2663" t="str">
        <f t="shared" si="1"/>
        <v>cmr#1970</v>
      </c>
      <c r="B2663" t="str">
        <f>IFERROR(__xludf.DUMMYFUNCTION("""COMPUTED_VALUE"""),"cmr")</f>
        <v>cmr</v>
      </c>
      <c r="C2663" t="str">
        <f>IFERROR(__xludf.DUMMYFUNCTION("""COMPUTED_VALUE"""),"Cameroon")</f>
        <v>Cameroon</v>
      </c>
      <c r="D2663">
        <f>IFERROR(__xludf.DUMMYFUNCTION("""COMPUTED_VALUE"""),1970.0)</f>
        <v>1970</v>
      </c>
      <c r="E2663">
        <f>IFERROR(__xludf.DUMMYFUNCTION("""COMPUTED_VALUE"""),6527635.0)</f>
        <v>6527635</v>
      </c>
    </row>
    <row r="2664">
      <c r="A2664" t="str">
        <f t="shared" si="1"/>
        <v>cmr#1971</v>
      </c>
      <c r="B2664" t="str">
        <f>IFERROR(__xludf.DUMMYFUNCTION("""COMPUTED_VALUE"""),"cmr")</f>
        <v>cmr</v>
      </c>
      <c r="C2664" t="str">
        <f>IFERROR(__xludf.DUMMYFUNCTION("""COMPUTED_VALUE"""),"Cameroon")</f>
        <v>Cameroon</v>
      </c>
      <c r="D2664">
        <f>IFERROR(__xludf.DUMMYFUNCTION("""COMPUTED_VALUE"""),1971.0)</f>
        <v>1971</v>
      </c>
      <c r="E2664">
        <f>IFERROR(__xludf.DUMMYFUNCTION("""COMPUTED_VALUE"""),6697745.0)</f>
        <v>6697745</v>
      </c>
    </row>
    <row r="2665">
      <c r="A2665" t="str">
        <f t="shared" si="1"/>
        <v>cmr#1972</v>
      </c>
      <c r="B2665" t="str">
        <f>IFERROR(__xludf.DUMMYFUNCTION("""COMPUTED_VALUE"""),"cmr")</f>
        <v>cmr</v>
      </c>
      <c r="C2665" t="str">
        <f>IFERROR(__xludf.DUMMYFUNCTION("""COMPUTED_VALUE"""),"Cameroon")</f>
        <v>Cameroon</v>
      </c>
      <c r="D2665">
        <f>IFERROR(__xludf.DUMMYFUNCTION("""COMPUTED_VALUE"""),1972.0)</f>
        <v>1972</v>
      </c>
      <c r="E2665">
        <f>IFERROR(__xludf.DUMMYFUNCTION("""COMPUTED_VALUE"""),6875228.0)</f>
        <v>6875228</v>
      </c>
    </row>
    <row r="2666">
      <c r="A2666" t="str">
        <f t="shared" si="1"/>
        <v>cmr#1973</v>
      </c>
      <c r="B2666" t="str">
        <f>IFERROR(__xludf.DUMMYFUNCTION("""COMPUTED_VALUE"""),"cmr")</f>
        <v>cmr</v>
      </c>
      <c r="C2666" t="str">
        <f>IFERROR(__xludf.DUMMYFUNCTION("""COMPUTED_VALUE"""),"Cameroon")</f>
        <v>Cameroon</v>
      </c>
      <c r="D2666">
        <f>IFERROR(__xludf.DUMMYFUNCTION("""COMPUTED_VALUE"""),1973.0)</f>
        <v>1973</v>
      </c>
      <c r="E2666">
        <f>IFERROR(__xludf.DUMMYFUNCTION("""COMPUTED_VALUE"""),7060603.0)</f>
        <v>7060603</v>
      </c>
    </row>
    <row r="2667">
      <c r="A2667" t="str">
        <f t="shared" si="1"/>
        <v>cmr#1974</v>
      </c>
      <c r="B2667" t="str">
        <f>IFERROR(__xludf.DUMMYFUNCTION("""COMPUTED_VALUE"""),"cmr")</f>
        <v>cmr</v>
      </c>
      <c r="C2667" t="str">
        <f>IFERROR(__xludf.DUMMYFUNCTION("""COMPUTED_VALUE"""),"Cameroon")</f>
        <v>Cameroon</v>
      </c>
      <c r="D2667">
        <f>IFERROR(__xludf.DUMMYFUNCTION("""COMPUTED_VALUE"""),1974.0)</f>
        <v>1974</v>
      </c>
      <c r="E2667">
        <f>IFERROR(__xludf.DUMMYFUNCTION("""COMPUTED_VALUE"""),7254468.0)</f>
        <v>7254468</v>
      </c>
    </row>
    <row r="2668">
      <c r="A2668" t="str">
        <f t="shared" si="1"/>
        <v>cmr#1975</v>
      </c>
      <c r="B2668" t="str">
        <f>IFERROR(__xludf.DUMMYFUNCTION("""COMPUTED_VALUE"""),"cmr")</f>
        <v>cmr</v>
      </c>
      <c r="C2668" t="str">
        <f>IFERROR(__xludf.DUMMYFUNCTION("""COMPUTED_VALUE"""),"Cameroon")</f>
        <v>Cameroon</v>
      </c>
      <c r="D2668">
        <f>IFERROR(__xludf.DUMMYFUNCTION("""COMPUTED_VALUE"""),1975.0)</f>
        <v>1975</v>
      </c>
      <c r="E2668">
        <f>IFERROR(__xludf.DUMMYFUNCTION("""COMPUTED_VALUE"""),7457362.0)</f>
        <v>7457362</v>
      </c>
    </row>
    <row r="2669">
      <c r="A2669" t="str">
        <f t="shared" si="1"/>
        <v>cmr#1976</v>
      </c>
      <c r="B2669" t="str">
        <f>IFERROR(__xludf.DUMMYFUNCTION("""COMPUTED_VALUE"""),"cmr")</f>
        <v>cmr</v>
      </c>
      <c r="C2669" t="str">
        <f>IFERROR(__xludf.DUMMYFUNCTION("""COMPUTED_VALUE"""),"Cameroon")</f>
        <v>Cameroon</v>
      </c>
      <c r="D2669">
        <f>IFERROR(__xludf.DUMMYFUNCTION("""COMPUTED_VALUE"""),1976.0)</f>
        <v>1976</v>
      </c>
      <c r="E2669">
        <f>IFERROR(__xludf.DUMMYFUNCTION("""COMPUTED_VALUE"""),7669445.0)</f>
        <v>7669445</v>
      </c>
    </row>
    <row r="2670">
      <c r="A2670" t="str">
        <f t="shared" si="1"/>
        <v>cmr#1977</v>
      </c>
      <c r="B2670" t="str">
        <f>IFERROR(__xludf.DUMMYFUNCTION("""COMPUTED_VALUE"""),"cmr")</f>
        <v>cmr</v>
      </c>
      <c r="C2670" t="str">
        <f>IFERROR(__xludf.DUMMYFUNCTION("""COMPUTED_VALUE"""),"Cameroon")</f>
        <v>Cameroon</v>
      </c>
      <c r="D2670">
        <f>IFERROR(__xludf.DUMMYFUNCTION("""COMPUTED_VALUE"""),1977.0)</f>
        <v>1977</v>
      </c>
      <c r="E2670">
        <f>IFERROR(__xludf.DUMMYFUNCTION("""COMPUTED_VALUE"""),7890969.0)</f>
        <v>7890969</v>
      </c>
    </row>
    <row r="2671">
      <c r="A2671" t="str">
        <f t="shared" si="1"/>
        <v>cmr#1978</v>
      </c>
      <c r="B2671" t="str">
        <f>IFERROR(__xludf.DUMMYFUNCTION("""COMPUTED_VALUE"""),"cmr")</f>
        <v>cmr</v>
      </c>
      <c r="C2671" t="str">
        <f>IFERROR(__xludf.DUMMYFUNCTION("""COMPUTED_VALUE"""),"Cameroon")</f>
        <v>Cameroon</v>
      </c>
      <c r="D2671">
        <f>IFERROR(__xludf.DUMMYFUNCTION("""COMPUTED_VALUE"""),1978.0)</f>
        <v>1978</v>
      </c>
      <c r="E2671">
        <f>IFERROR(__xludf.DUMMYFUNCTION("""COMPUTED_VALUE"""),8122529.0)</f>
        <v>8122529</v>
      </c>
    </row>
    <row r="2672">
      <c r="A2672" t="str">
        <f t="shared" si="1"/>
        <v>cmr#1979</v>
      </c>
      <c r="B2672" t="str">
        <f>IFERROR(__xludf.DUMMYFUNCTION("""COMPUTED_VALUE"""),"cmr")</f>
        <v>cmr</v>
      </c>
      <c r="C2672" t="str">
        <f>IFERROR(__xludf.DUMMYFUNCTION("""COMPUTED_VALUE"""),"Cameroon")</f>
        <v>Cameroon</v>
      </c>
      <c r="D2672">
        <f>IFERROR(__xludf.DUMMYFUNCTION("""COMPUTED_VALUE"""),1979.0)</f>
        <v>1979</v>
      </c>
      <c r="E2672">
        <f>IFERROR(__xludf.DUMMYFUNCTION("""COMPUTED_VALUE"""),8364835.0)</f>
        <v>8364835</v>
      </c>
    </row>
    <row r="2673">
      <c r="A2673" t="str">
        <f t="shared" si="1"/>
        <v>cmr#1980</v>
      </c>
      <c r="B2673" t="str">
        <f>IFERROR(__xludf.DUMMYFUNCTION("""COMPUTED_VALUE"""),"cmr")</f>
        <v>cmr</v>
      </c>
      <c r="C2673" t="str">
        <f>IFERROR(__xludf.DUMMYFUNCTION("""COMPUTED_VALUE"""),"Cameroon")</f>
        <v>Cameroon</v>
      </c>
      <c r="D2673">
        <f>IFERROR(__xludf.DUMMYFUNCTION("""COMPUTED_VALUE"""),1980.0)</f>
        <v>1980</v>
      </c>
      <c r="E2673">
        <f>IFERROR(__xludf.DUMMYFUNCTION("""COMPUTED_VALUE"""),8618354.0)</f>
        <v>8618354</v>
      </c>
    </row>
    <row r="2674">
      <c r="A2674" t="str">
        <f t="shared" si="1"/>
        <v>cmr#1981</v>
      </c>
      <c r="B2674" t="str">
        <f>IFERROR(__xludf.DUMMYFUNCTION("""COMPUTED_VALUE"""),"cmr")</f>
        <v>cmr</v>
      </c>
      <c r="C2674" t="str">
        <f>IFERROR(__xludf.DUMMYFUNCTION("""COMPUTED_VALUE"""),"Cameroon")</f>
        <v>Cameroon</v>
      </c>
      <c r="D2674">
        <f>IFERROR(__xludf.DUMMYFUNCTION("""COMPUTED_VALUE"""),1981.0)</f>
        <v>1981</v>
      </c>
      <c r="E2674">
        <f>IFERROR(__xludf.DUMMYFUNCTION("""COMPUTED_VALUE"""),8883016.0)</f>
        <v>8883016</v>
      </c>
    </row>
    <row r="2675">
      <c r="A2675" t="str">
        <f t="shared" si="1"/>
        <v>cmr#1982</v>
      </c>
      <c r="B2675" t="str">
        <f>IFERROR(__xludf.DUMMYFUNCTION("""COMPUTED_VALUE"""),"cmr")</f>
        <v>cmr</v>
      </c>
      <c r="C2675" t="str">
        <f>IFERROR(__xludf.DUMMYFUNCTION("""COMPUTED_VALUE"""),"Cameroon")</f>
        <v>Cameroon</v>
      </c>
      <c r="D2675">
        <f>IFERROR(__xludf.DUMMYFUNCTION("""COMPUTED_VALUE"""),1982.0)</f>
        <v>1982</v>
      </c>
      <c r="E2675">
        <f>IFERROR(__xludf.DUMMYFUNCTION("""COMPUTED_VALUE"""),9158566.0)</f>
        <v>9158566</v>
      </c>
    </row>
    <row r="2676">
      <c r="A2676" t="str">
        <f t="shared" si="1"/>
        <v>cmr#1983</v>
      </c>
      <c r="B2676" t="str">
        <f>IFERROR(__xludf.DUMMYFUNCTION("""COMPUTED_VALUE"""),"cmr")</f>
        <v>cmr</v>
      </c>
      <c r="C2676" t="str">
        <f>IFERROR(__xludf.DUMMYFUNCTION("""COMPUTED_VALUE"""),"Cameroon")</f>
        <v>Cameroon</v>
      </c>
      <c r="D2676">
        <f>IFERROR(__xludf.DUMMYFUNCTION("""COMPUTED_VALUE"""),1983.0)</f>
        <v>1983</v>
      </c>
      <c r="E2676">
        <f>IFERROR(__xludf.DUMMYFUNCTION("""COMPUTED_VALUE"""),9445003.0)</f>
        <v>9445003</v>
      </c>
    </row>
    <row r="2677">
      <c r="A2677" t="str">
        <f t="shared" si="1"/>
        <v>cmr#1984</v>
      </c>
      <c r="B2677" t="str">
        <f>IFERROR(__xludf.DUMMYFUNCTION("""COMPUTED_VALUE"""),"cmr")</f>
        <v>cmr</v>
      </c>
      <c r="C2677" t="str">
        <f>IFERROR(__xludf.DUMMYFUNCTION("""COMPUTED_VALUE"""),"Cameroon")</f>
        <v>Cameroon</v>
      </c>
      <c r="D2677">
        <f>IFERROR(__xludf.DUMMYFUNCTION("""COMPUTED_VALUE"""),1984.0)</f>
        <v>1984</v>
      </c>
      <c r="E2677">
        <f>IFERROR(__xludf.DUMMYFUNCTION("""COMPUTED_VALUE"""),9742263.0)</f>
        <v>9742263</v>
      </c>
    </row>
    <row r="2678">
      <c r="A2678" t="str">
        <f t="shared" si="1"/>
        <v>cmr#1985</v>
      </c>
      <c r="B2678" t="str">
        <f>IFERROR(__xludf.DUMMYFUNCTION("""COMPUTED_VALUE"""),"cmr")</f>
        <v>cmr</v>
      </c>
      <c r="C2678" t="str">
        <f>IFERROR(__xludf.DUMMYFUNCTION("""COMPUTED_VALUE"""),"Cameroon")</f>
        <v>Cameroon</v>
      </c>
      <c r="D2678">
        <f>IFERROR(__xludf.DUMMYFUNCTION("""COMPUTED_VALUE"""),1985.0)</f>
        <v>1985</v>
      </c>
      <c r="E2678">
        <f>IFERROR(__xludf.DUMMYFUNCTION("""COMPUTED_VALUE"""),1.0050023E7)</f>
        <v>10050023</v>
      </c>
    </row>
    <row r="2679">
      <c r="A2679" t="str">
        <f t="shared" si="1"/>
        <v>cmr#1986</v>
      </c>
      <c r="B2679" t="str">
        <f>IFERROR(__xludf.DUMMYFUNCTION("""COMPUTED_VALUE"""),"cmr")</f>
        <v>cmr</v>
      </c>
      <c r="C2679" t="str">
        <f>IFERROR(__xludf.DUMMYFUNCTION("""COMPUTED_VALUE"""),"Cameroon")</f>
        <v>Cameroon</v>
      </c>
      <c r="D2679">
        <f>IFERROR(__xludf.DUMMYFUNCTION("""COMPUTED_VALUE"""),1986.0)</f>
        <v>1986</v>
      </c>
      <c r="E2679">
        <f>IFERROR(__xludf.DUMMYFUNCTION("""COMPUTED_VALUE"""),1.03683E7)</f>
        <v>10368300</v>
      </c>
    </row>
    <row r="2680">
      <c r="A2680" t="str">
        <f t="shared" si="1"/>
        <v>cmr#1987</v>
      </c>
      <c r="B2680" t="str">
        <f>IFERROR(__xludf.DUMMYFUNCTION("""COMPUTED_VALUE"""),"cmr")</f>
        <v>cmr</v>
      </c>
      <c r="C2680" t="str">
        <f>IFERROR(__xludf.DUMMYFUNCTION("""COMPUTED_VALUE"""),"Cameroon")</f>
        <v>Cameroon</v>
      </c>
      <c r="D2680">
        <f>IFERROR(__xludf.DUMMYFUNCTION("""COMPUTED_VALUE"""),1987.0)</f>
        <v>1987</v>
      </c>
      <c r="E2680">
        <f>IFERROR(__xludf.DUMMYFUNCTION("""COMPUTED_VALUE"""),1.0696274E7)</f>
        <v>10696274</v>
      </c>
    </row>
    <row r="2681">
      <c r="A2681" t="str">
        <f t="shared" si="1"/>
        <v>cmr#1988</v>
      </c>
      <c r="B2681" t="str">
        <f>IFERROR(__xludf.DUMMYFUNCTION("""COMPUTED_VALUE"""),"cmr")</f>
        <v>cmr</v>
      </c>
      <c r="C2681" t="str">
        <f>IFERROR(__xludf.DUMMYFUNCTION("""COMPUTED_VALUE"""),"Cameroon")</f>
        <v>Cameroon</v>
      </c>
      <c r="D2681">
        <f>IFERROR(__xludf.DUMMYFUNCTION("""COMPUTED_VALUE"""),1988.0)</f>
        <v>1988</v>
      </c>
      <c r="E2681">
        <f>IFERROR(__xludf.DUMMYFUNCTION("""COMPUTED_VALUE"""),1.1031817E7)</f>
        <v>11031817</v>
      </c>
    </row>
    <row r="2682">
      <c r="A2682" t="str">
        <f t="shared" si="1"/>
        <v>cmr#1989</v>
      </c>
      <c r="B2682" t="str">
        <f>IFERROR(__xludf.DUMMYFUNCTION("""COMPUTED_VALUE"""),"cmr")</f>
        <v>cmr</v>
      </c>
      <c r="C2682" t="str">
        <f>IFERROR(__xludf.DUMMYFUNCTION("""COMPUTED_VALUE"""),"Cameroon")</f>
        <v>Cameroon</v>
      </c>
      <c r="D2682">
        <f>IFERROR(__xludf.DUMMYFUNCTION("""COMPUTED_VALUE"""),1989.0)</f>
        <v>1989</v>
      </c>
      <c r="E2682">
        <f>IFERROR(__xludf.DUMMYFUNCTION("""COMPUTED_VALUE"""),1.137216E7)</f>
        <v>11372160</v>
      </c>
    </row>
    <row r="2683">
      <c r="A2683" t="str">
        <f t="shared" si="1"/>
        <v>cmr#1990</v>
      </c>
      <c r="B2683" t="str">
        <f>IFERROR(__xludf.DUMMYFUNCTION("""COMPUTED_VALUE"""),"cmr")</f>
        <v>cmr</v>
      </c>
      <c r="C2683" t="str">
        <f>IFERROR(__xludf.DUMMYFUNCTION("""COMPUTED_VALUE"""),"Cameroon")</f>
        <v>Cameroon</v>
      </c>
      <c r="D2683">
        <f>IFERROR(__xludf.DUMMYFUNCTION("""COMPUTED_VALUE"""),1990.0)</f>
        <v>1990</v>
      </c>
      <c r="E2683">
        <f>IFERROR(__xludf.DUMMYFUNCTION("""COMPUTED_VALUE"""),1.1715218E7)</f>
        <v>11715218</v>
      </c>
    </row>
    <row r="2684">
      <c r="A2684" t="str">
        <f t="shared" si="1"/>
        <v>cmr#1991</v>
      </c>
      <c r="B2684" t="str">
        <f>IFERROR(__xludf.DUMMYFUNCTION("""COMPUTED_VALUE"""),"cmr")</f>
        <v>cmr</v>
      </c>
      <c r="C2684" t="str">
        <f>IFERROR(__xludf.DUMMYFUNCTION("""COMPUTED_VALUE"""),"Cameroon")</f>
        <v>Cameroon</v>
      </c>
      <c r="D2684">
        <f>IFERROR(__xludf.DUMMYFUNCTION("""COMPUTED_VALUE"""),1991.0)</f>
        <v>1991</v>
      </c>
      <c r="E2684">
        <f>IFERROR(__xludf.DUMMYFUNCTION("""COMPUTED_VALUE"""),1.2060729E7)</f>
        <v>12060729</v>
      </c>
    </row>
    <row r="2685">
      <c r="A2685" t="str">
        <f t="shared" si="1"/>
        <v>cmr#1992</v>
      </c>
      <c r="B2685" t="str">
        <f>IFERROR(__xludf.DUMMYFUNCTION("""COMPUTED_VALUE"""),"cmr")</f>
        <v>cmr</v>
      </c>
      <c r="C2685" t="str">
        <f>IFERROR(__xludf.DUMMYFUNCTION("""COMPUTED_VALUE"""),"Cameroon")</f>
        <v>Cameroon</v>
      </c>
      <c r="D2685">
        <f>IFERROR(__xludf.DUMMYFUNCTION("""COMPUTED_VALUE"""),1992.0)</f>
        <v>1992</v>
      </c>
      <c r="E2685">
        <f>IFERROR(__xludf.DUMMYFUNCTION("""COMPUTED_VALUE"""),1.2408931E7)</f>
        <v>12408931</v>
      </c>
    </row>
    <row r="2686">
      <c r="A2686" t="str">
        <f t="shared" si="1"/>
        <v>cmr#1993</v>
      </c>
      <c r="B2686" t="str">
        <f>IFERROR(__xludf.DUMMYFUNCTION("""COMPUTED_VALUE"""),"cmr")</f>
        <v>cmr</v>
      </c>
      <c r="C2686" t="str">
        <f>IFERROR(__xludf.DUMMYFUNCTION("""COMPUTED_VALUE"""),"Cameroon")</f>
        <v>Cameroon</v>
      </c>
      <c r="D2686">
        <f>IFERROR(__xludf.DUMMYFUNCTION("""COMPUTED_VALUE"""),1993.0)</f>
        <v>1993</v>
      </c>
      <c r="E2686">
        <f>IFERROR(__xludf.DUMMYFUNCTION("""COMPUTED_VALUE"""),1.2758881E7)</f>
        <v>12758881</v>
      </c>
    </row>
    <row r="2687">
      <c r="A2687" t="str">
        <f t="shared" si="1"/>
        <v>cmr#1994</v>
      </c>
      <c r="B2687" t="str">
        <f>IFERROR(__xludf.DUMMYFUNCTION("""COMPUTED_VALUE"""),"cmr")</f>
        <v>cmr</v>
      </c>
      <c r="C2687" t="str">
        <f>IFERROR(__xludf.DUMMYFUNCTION("""COMPUTED_VALUE"""),"Cameroon")</f>
        <v>Cameroon</v>
      </c>
      <c r="D2687">
        <f>IFERROR(__xludf.DUMMYFUNCTION("""COMPUTED_VALUE"""),1994.0)</f>
        <v>1994</v>
      </c>
      <c r="E2687">
        <f>IFERROR(__xludf.DUMMYFUNCTION("""COMPUTED_VALUE"""),1.310966E7)</f>
        <v>13109660</v>
      </c>
    </row>
    <row r="2688">
      <c r="A2688" t="str">
        <f t="shared" si="1"/>
        <v>cmr#1995</v>
      </c>
      <c r="B2688" t="str">
        <f>IFERROR(__xludf.DUMMYFUNCTION("""COMPUTED_VALUE"""),"cmr")</f>
        <v>cmr</v>
      </c>
      <c r="C2688" t="str">
        <f>IFERROR(__xludf.DUMMYFUNCTION("""COMPUTED_VALUE"""),"Cameroon")</f>
        <v>Cameroon</v>
      </c>
      <c r="D2688">
        <f>IFERROR(__xludf.DUMMYFUNCTION("""COMPUTED_VALUE"""),1995.0)</f>
        <v>1995</v>
      </c>
      <c r="E2688">
        <f>IFERROR(__xludf.DUMMYFUNCTION("""COMPUTED_VALUE"""),1.3460994E7)</f>
        <v>13460994</v>
      </c>
    </row>
    <row r="2689">
      <c r="A2689" t="str">
        <f t="shared" si="1"/>
        <v>cmr#1996</v>
      </c>
      <c r="B2689" t="str">
        <f>IFERROR(__xludf.DUMMYFUNCTION("""COMPUTED_VALUE"""),"cmr")</f>
        <v>cmr</v>
      </c>
      <c r="C2689" t="str">
        <f>IFERROR(__xludf.DUMMYFUNCTION("""COMPUTED_VALUE"""),"Cameroon")</f>
        <v>Cameroon</v>
      </c>
      <c r="D2689">
        <f>IFERROR(__xludf.DUMMYFUNCTION("""COMPUTED_VALUE"""),1996.0)</f>
        <v>1996</v>
      </c>
      <c r="E2689">
        <f>IFERROR(__xludf.DUMMYFUNCTION("""COMPUTED_VALUE"""),1.3812472E7)</f>
        <v>13812472</v>
      </c>
    </row>
    <row r="2690">
      <c r="A2690" t="str">
        <f t="shared" si="1"/>
        <v>cmr#1997</v>
      </c>
      <c r="B2690" t="str">
        <f>IFERROR(__xludf.DUMMYFUNCTION("""COMPUTED_VALUE"""),"cmr")</f>
        <v>cmr</v>
      </c>
      <c r="C2690" t="str">
        <f>IFERROR(__xludf.DUMMYFUNCTION("""COMPUTED_VALUE"""),"Cameroon")</f>
        <v>Cameroon</v>
      </c>
      <c r="D2690">
        <f>IFERROR(__xludf.DUMMYFUNCTION("""COMPUTED_VALUE"""),1997.0)</f>
        <v>1997</v>
      </c>
      <c r="E2690">
        <f>IFERROR(__xludf.DUMMYFUNCTION("""COMPUTED_VALUE"""),1.4165423E7)</f>
        <v>14165423</v>
      </c>
    </row>
    <row r="2691">
      <c r="A2691" t="str">
        <f t="shared" si="1"/>
        <v>cmr#1998</v>
      </c>
      <c r="B2691" t="str">
        <f>IFERROR(__xludf.DUMMYFUNCTION("""COMPUTED_VALUE"""),"cmr")</f>
        <v>cmr</v>
      </c>
      <c r="C2691" t="str">
        <f>IFERROR(__xludf.DUMMYFUNCTION("""COMPUTED_VALUE"""),"Cameroon")</f>
        <v>Cameroon</v>
      </c>
      <c r="D2691">
        <f>IFERROR(__xludf.DUMMYFUNCTION("""COMPUTED_VALUE"""),1998.0)</f>
        <v>1998</v>
      </c>
      <c r="E2691">
        <f>IFERROR(__xludf.DUMMYFUNCTION("""COMPUTED_VALUE"""),1.452357E7)</f>
        <v>14523570</v>
      </c>
    </row>
    <row r="2692">
      <c r="A2692" t="str">
        <f t="shared" si="1"/>
        <v>cmr#1999</v>
      </c>
      <c r="B2692" t="str">
        <f>IFERROR(__xludf.DUMMYFUNCTION("""COMPUTED_VALUE"""),"cmr")</f>
        <v>cmr</v>
      </c>
      <c r="C2692" t="str">
        <f>IFERROR(__xludf.DUMMYFUNCTION("""COMPUTED_VALUE"""),"Cameroon")</f>
        <v>Cameroon</v>
      </c>
      <c r="D2692">
        <f>IFERROR(__xludf.DUMMYFUNCTION("""COMPUTED_VALUE"""),1999.0)</f>
        <v>1999</v>
      </c>
      <c r="E2692">
        <f>IFERROR(__xludf.DUMMYFUNCTION("""COMPUTED_VALUE"""),1.4891891E7)</f>
        <v>14891891</v>
      </c>
    </row>
    <row r="2693">
      <c r="A2693" t="str">
        <f t="shared" si="1"/>
        <v>cmr#2000</v>
      </c>
      <c r="B2693" t="str">
        <f>IFERROR(__xludf.DUMMYFUNCTION("""COMPUTED_VALUE"""),"cmr")</f>
        <v>cmr</v>
      </c>
      <c r="C2693" t="str">
        <f>IFERROR(__xludf.DUMMYFUNCTION("""COMPUTED_VALUE"""),"Cameroon")</f>
        <v>Cameroon</v>
      </c>
      <c r="D2693">
        <f>IFERROR(__xludf.DUMMYFUNCTION("""COMPUTED_VALUE"""),2000.0)</f>
        <v>2000</v>
      </c>
      <c r="E2693">
        <f>IFERROR(__xludf.DUMMYFUNCTION("""COMPUTED_VALUE"""),1.5274234E7)</f>
        <v>15274234</v>
      </c>
    </row>
    <row r="2694">
      <c r="A2694" t="str">
        <f t="shared" si="1"/>
        <v>cmr#2001</v>
      </c>
      <c r="B2694" t="str">
        <f>IFERROR(__xludf.DUMMYFUNCTION("""COMPUTED_VALUE"""),"cmr")</f>
        <v>cmr</v>
      </c>
      <c r="C2694" t="str">
        <f>IFERROR(__xludf.DUMMYFUNCTION("""COMPUTED_VALUE"""),"Cameroon")</f>
        <v>Cameroon</v>
      </c>
      <c r="D2694">
        <f>IFERROR(__xludf.DUMMYFUNCTION("""COMPUTED_VALUE"""),2001.0)</f>
        <v>2001</v>
      </c>
      <c r="E2694">
        <f>IFERROR(__xludf.DUMMYFUNCTION("""COMPUTED_VALUE"""),1.5671927E7)</f>
        <v>15671927</v>
      </c>
    </row>
    <row r="2695">
      <c r="A2695" t="str">
        <f t="shared" si="1"/>
        <v>cmr#2002</v>
      </c>
      <c r="B2695" t="str">
        <f>IFERROR(__xludf.DUMMYFUNCTION("""COMPUTED_VALUE"""),"cmr")</f>
        <v>cmr</v>
      </c>
      <c r="C2695" t="str">
        <f>IFERROR(__xludf.DUMMYFUNCTION("""COMPUTED_VALUE"""),"Cameroon")</f>
        <v>Cameroon</v>
      </c>
      <c r="D2695">
        <f>IFERROR(__xludf.DUMMYFUNCTION("""COMPUTED_VALUE"""),2002.0)</f>
        <v>2002</v>
      </c>
      <c r="E2695">
        <f>IFERROR(__xludf.DUMMYFUNCTION("""COMPUTED_VALUE"""),1.6084886E7)</f>
        <v>16084886</v>
      </c>
    </row>
    <row r="2696">
      <c r="A2696" t="str">
        <f t="shared" si="1"/>
        <v>cmr#2003</v>
      </c>
      <c r="B2696" t="str">
        <f>IFERROR(__xludf.DUMMYFUNCTION("""COMPUTED_VALUE"""),"cmr")</f>
        <v>cmr</v>
      </c>
      <c r="C2696" t="str">
        <f>IFERROR(__xludf.DUMMYFUNCTION("""COMPUTED_VALUE"""),"Cameroon")</f>
        <v>Cameroon</v>
      </c>
      <c r="D2696">
        <f>IFERROR(__xludf.DUMMYFUNCTION("""COMPUTED_VALUE"""),2003.0)</f>
        <v>2003</v>
      </c>
      <c r="E2696">
        <f>IFERROR(__xludf.DUMMYFUNCTION("""COMPUTED_VALUE"""),1.6513822E7)</f>
        <v>16513822</v>
      </c>
    </row>
    <row r="2697">
      <c r="A2697" t="str">
        <f t="shared" si="1"/>
        <v>cmr#2004</v>
      </c>
      <c r="B2697" t="str">
        <f>IFERROR(__xludf.DUMMYFUNCTION("""COMPUTED_VALUE"""),"cmr")</f>
        <v>cmr</v>
      </c>
      <c r="C2697" t="str">
        <f>IFERROR(__xludf.DUMMYFUNCTION("""COMPUTED_VALUE"""),"Cameroon")</f>
        <v>Cameroon</v>
      </c>
      <c r="D2697">
        <f>IFERROR(__xludf.DUMMYFUNCTION("""COMPUTED_VALUE"""),2004.0)</f>
        <v>2004</v>
      </c>
      <c r="E2697">
        <f>IFERROR(__xludf.DUMMYFUNCTION("""COMPUTED_VALUE"""),1.6959081E7)</f>
        <v>16959081</v>
      </c>
    </row>
    <row r="2698">
      <c r="A2698" t="str">
        <f t="shared" si="1"/>
        <v>cmr#2005</v>
      </c>
      <c r="B2698" t="str">
        <f>IFERROR(__xludf.DUMMYFUNCTION("""COMPUTED_VALUE"""),"cmr")</f>
        <v>cmr</v>
      </c>
      <c r="C2698" t="str">
        <f>IFERROR(__xludf.DUMMYFUNCTION("""COMPUTED_VALUE"""),"Cameroon")</f>
        <v>Cameroon</v>
      </c>
      <c r="D2698">
        <f>IFERROR(__xludf.DUMMYFUNCTION("""COMPUTED_VALUE"""),2005.0)</f>
        <v>2005</v>
      </c>
      <c r="E2698">
        <f>IFERROR(__xludf.DUMMYFUNCTION("""COMPUTED_VALUE"""),1.7420795E7)</f>
        <v>17420795</v>
      </c>
    </row>
    <row r="2699">
      <c r="A2699" t="str">
        <f t="shared" si="1"/>
        <v>cmr#2006</v>
      </c>
      <c r="B2699" t="str">
        <f>IFERROR(__xludf.DUMMYFUNCTION("""COMPUTED_VALUE"""),"cmr")</f>
        <v>cmr</v>
      </c>
      <c r="C2699" t="str">
        <f>IFERROR(__xludf.DUMMYFUNCTION("""COMPUTED_VALUE"""),"Cameroon")</f>
        <v>Cameroon</v>
      </c>
      <c r="D2699">
        <f>IFERROR(__xludf.DUMMYFUNCTION("""COMPUTED_VALUE"""),2006.0)</f>
        <v>2006</v>
      </c>
      <c r="E2699">
        <f>IFERROR(__xludf.DUMMYFUNCTION("""COMPUTED_VALUE"""),1.7899562E7)</f>
        <v>17899562</v>
      </c>
    </row>
    <row r="2700">
      <c r="A2700" t="str">
        <f t="shared" si="1"/>
        <v>cmr#2007</v>
      </c>
      <c r="B2700" t="str">
        <f>IFERROR(__xludf.DUMMYFUNCTION("""COMPUTED_VALUE"""),"cmr")</f>
        <v>cmr</v>
      </c>
      <c r="C2700" t="str">
        <f>IFERROR(__xludf.DUMMYFUNCTION("""COMPUTED_VALUE"""),"Cameroon")</f>
        <v>Cameroon</v>
      </c>
      <c r="D2700">
        <f>IFERROR(__xludf.DUMMYFUNCTION("""COMPUTED_VALUE"""),2007.0)</f>
        <v>2007</v>
      </c>
      <c r="E2700">
        <f>IFERROR(__xludf.DUMMYFUNCTION("""COMPUTED_VALUE"""),1.8395389E7)</f>
        <v>18395389</v>
      </c>
    </row>
    <row r="2701">
      <c r="A2701" t="str">
        <f t="shared" si="1"/>
        <v>cmr#2008</v>
      </c>
      <c r="B2701" t="str">
        <f>IFERROR(__xludf.DUMMYFUNCTION("""COMPUTED_VALUE"""),"cmr")</f>
        <v>cmr</v>
      </c>
      <c r="C2701" t="str">
        <f>IFERROR(__xludf.DUMMYFUNCTION("""COMPUTED_VALUE"""),"Cameroon")</f>
        <v>Cameroon</v>
      </c>
      <c r="D2701">
        <f>IFERROR(__xludf.DUMMYFUNCTION("""COMPUTED_VALUE"""),2008.0)</f>
        <v>2008</v>
      </c>
      <c r="E2701">
        <f>IFERROR(__xludf.DUMMYFUNCTION("""COMPUTED_VALUE"""),1.8907008E7)</f>
        <v>18907008</v>
      </c>
    </row>
    <row r="2702">
      <c r="A2702" t="str">
        <f t="shared" si="1"/>
        <v>cmr#2009</v>
      </c>
      <c r="B2702" t="str">
        <f>IFERROR(__xludf.DUMMYFUNCTION("""COMPUTED_VALUE"""),"cmr")</f>
        <v>cmr</v>
      </c>
      <c r="C2702" t="str">
        <f>IFERROR(__xludf.DUMMYFUNCTION("""COMPUTED_VALUE"""),"Cameroon")</f>
        <v>Cameroon</v>
      </c>
      <c r="D2702">
        <f>IFERROR(__xludf.DUMMYFUNCTION("""COMPUTED_VALUE"""),2009.0)</f>
        <v>2009</v>
      </c>
      <c r="E2702">
        <f>IFERROR(__xludf.DUMMYFUNCTION("""COMPUTED_VALUE"""),1.9432541E7)</f>
        <v>19432541</v>
      </c>
    </row>
    <row r="2703">
      <c r="A2703" t="str">
        <f t="shared" si="1"/>
        <v>cmr#2010</v>
      </c>
      <c r="B2703" t="str">
        <f>IFERROR(__xludf.DUMMYFUNCTION("""COMPUTED_VALUE"""),"cmr")</f>
        <v>cmr</v>
      </c>
      <c r="C2703" t="str">
        <f>IFERROR(__xludf.DUMMYFUNCTION("""COMPUTED_VALUE"""),"Cameroon")</f>
        <v>Cameroon</v>
      </c>
      <c r="D2703">
        <f>IFERROR(__xludf.DUMMYFUNCTION("""COMPUTED_VALUE"""),2010.0)</f>
        <v>2010</v>
      </c>
      <c r="E2703">
        <f>IFERROR(__xludf.DUMMYFUNCTION("""COMPUTED_VALUE"""),1.9970495E7)</f>
        <v>19970495</v>
      </c>
    </row>
    <row r="2704">
      <c r="A2704" t="str">
        <f t="shared" si="1"/>
        <v>cmr#2011</v>
      </c>
      <c r="B2704" t="str">
        <f>IFERROR(__xludf.DUMMYFUNCTION("""COMPUTED_VALUE"""),"cmr")</f>
        <v>cmr</v>
      </c>
      <c r="C2704" t="str">
        <f>IFERROR(__xludf.DUMMYFUNCTION("""COMPUTED_VALUE"""),"Cameroon")</f>
        <v>Cameroon</v>
      </c>
      <c r="D2704">
        <f>IFERROR(__xludf.DUMMYFUNCTION("""COMPUTED_VALUE"""),2011.0)</f>
        <v>2011</v>
      </c>
      <c r="E2704">
        <f>IFERROR(__xludf.DUMMYFUNCTION("""COMPUTED_VALUE"""),2.0520447E7)</f>
        <v>20520447</v>
      </c>
    </row>
    <row r="2705">
      <c r="A2705" t="str">
        <f t="shared" si="1"/>
        <v>cmr#2012</v>
      </c>
      <c r="B2705" t="str">
        <f>IFERROR(__xludf.DUMMYFUNCTION("""COMPUTED_VALUE"""),"cmr")</f>
        <v>cmr</v>
      </c>
      <c r="C2705" t="str">
        <f>IFERROR(__xludf.DUMMYFUNCTION("""COMPUTED_VALUE"""),"Cameroon")</f>
        <v>Cameroon</v>
      </c>
      <c r="D2705">
        <f>IFERROR(__xludf.DUMMYFUNCTION("""COMPUTED_VALUE"""),2012.0)</f>
        <v>2012</v>
      </c>
      <c r="E2705">
        <f>IFERROR(__xludf.DUMMYFUNCTION("""COMPUTED_VALUE"""),2.1082383E7)</f>
        <v>21082383</v>
      </c>
    </row>
    <row r="2706">
      <c r="A2706" t="str">
        <f t="shared" si="1"/>
        <v>cmr#2013</v>
      </c>
      <c r="B2706" t="str">
        <f>IFERROR(__xludf.DUMMYFUNCTION("""COMPUTED_VALUE"""),"cmr")</f>
        <v>cmr</v>
      </c>
      <c r="C2706" t="str">
        <f>IFERROR(__xludf.DUMMYFUNCTION("""COMPUTED_VALUE"""),"Cameroon")</f>
        <v>Cameroon</v>
      </c>
      <c r="D2706">
        <f>IFERROR(__xludf.DUMMYFUNCTION("""COMPUTED_VALUE"""),2013.0)</f>
        <v>2013</v>
      </c>
      <c r="E2706">
        <f>IFERROR(__xludf.DUMMYFUNCTION("""COMPUTED_VALUE"""),2.1655715E7)</f>
        <v>21655715</v>
      </c>
    </row>
    <row r="2707">
      <c r="A2707" t="str">
        <f t="shared" si="1"/>
        <v>cmr#2014</v>
      </c>
      <c r="B2707" t="str">
        <f>IFERROR(__xludf.DUMMYFUNCTION("""COMPUTED_VALUE"""),"cmr")</f>
        <v>cmr</v>
      </c>
      <c r="C2707" t="str">
        <f>IFERROR(__xludf.DUMMYFUNCTION("""COMPUTED_VALUE"""),"Cameroon")</f>
        <v>Cameroon</v>
      </c>
      <c r="D2707">
        <f>IFERROR(__xludf.DUMMYFUNCTION("""COMPUTED_VALUE"""),2014.0)</f>
        <v>2014</v>
      </c>
      <c r="E2707">
        <f>IFERROR(__xludf.DUMMYFUNCTION("""COMPUTED_VALUE"""),2.2239904E7)</f>
        <v>22239904</v>
      </c>
    </row>
    <row r="2708">
      <c r="A2708" t="str">
        <f t="shared" si="1"/>
        <v>cmr#2015</v>
      </c>
      <c r="B2708" t="str">
        <f>IFERROR(__xludf.DUMMYFUNCTION("""COMPUTED_VALUE"""),"cmr")</f>
        <v>cmr</v>
      </c>
      <c r="C2708" t="str">
        <f>IFERROR(__xludf.DUMMYFUNCTION("""COMPUTED_VALUE"""),"Cameroon")</f>
        <v>Cameroon</v>
      </c>
      <c r="D2708">
        <f>IFERROR(__xludf.DUMMYFUNCTION("""COMPUTED_VALUE"""),2015.0)</f>
        <v>2015</v>
      </c>
      <c r="E2708">
        <f>IFERROR(__xludf.DUMMYFUNCTION("""COMPUTED_VALUE"""),2.2834522E7)</f>
        <v>22834522</v>
      </c>
    </row>
    <row r="2709">
      <c r="A2709" t="str">
        <f t="shared" si="1"/>
        <v>cmr#2016</v>
      </c>
      <c r="B2709" t="str">
        <f>IFERROR(__xludf.DUMMYFUNCTION("""COMPUTED_VALUE"""),"cmr")</f>
        <v>cmr</v>
      </c>
      <c r="C2709" t="str">
        <f>IFERROR(__xludf.DUMMYFUNCTION("""COMPUTED_VALUE"""),"Cameroon")</f>
        <v>Cameroon</v>
      </c>
      <c r="D2709">
        <f>IFERROR(__xludf.DUMMYFUNCTION("""COMPUTED_VALUE"""),2016.0)</f>
        <v>2016</v>
      </c>
      <c r="E2709">
        <f>IFERROR(__xludf.DUMMYFUNCTION("""COMPUTED_VALUE"""),2.3439189E7)</f>
        <v>23439189</v>
      </c>
    </row>
    <row r="2710">
      <c r="A2710" t="str">
        <f t="shared" si="1"/>
        <v>cmr#2017</v>
      </c>
      <c r="B2710" t="str">
        <f>IFERROR(__xludf.DUMMYFUNCTION("""COMPUTED_VALUE"""),"cmr")</f>
        <v>cmr</v>
      </c>
      <c r="C2710" t="str">
        <f>IFERROR(__xludf.DUMMYFUNCTION("""COMPUTED_VALUE"""),"Cameroon")</f>
        <v>Cameroon</v>
      </c>
      <c r="D2710">
        <f>IFERROR(__xludf.DUMMYFUNCTION("""COMPUTED_VALUE"""),2017.0)</f>
        <v>2017</v>
      </c>
      <c r="E2710">
        <f>IFERROR(__xludf.DUMMYFUNCTION("""COMPUTED_VALUE"""),2.4053727E7)</f>
        <v>24053727</v>
      </c>
    </row>
    <row r="2711">
      <c r="A2711" t="str">
        <f t="shared" si="1"/>
        <v>cmr#2018</v>
      </c>
      <c r="B2711" t="str">
        <f>IFERROR(__xludf.DUMMYFUNCTION("""COMPUTED_VALUE"""),"cmr")</f>
        <v>cmr</v>
      </c>
      <c r="C2711" t="str">
        <f>IFERROR(__xludf.DUMMYFUNCTION("""COMPUTED_VALUE"""),"Cameroon")</f>
        <v>Cameroon</v>
      </c>
      <c r="D2711">
        <f>IFERROR(__xludf.DUMMYFUNCTION("""COMPUTED_VALUE"""),2018.0)</f>
        <v>2018</v>
      </c>
      <c r="E2711">
        <f>IFERROR(__xludf.DUMMYFUNCTION("""COMPUTED_VALUE"""),2.4678234E7)</f>
        <v>24678234</v>
      </c>
    </row>
    <row r="2712">
      <c r="A2712" t="str">
        <f t="shared" si="1"/>
        <v>cmr#2019</v>
      </c>
      <c r="B2712" t="str">
        <f>IFERROR(__xludf.DUMMYFUNCTION("""COMPUTED_VALUE"""),"cmr")</f>
        <v>cmr</v>
      </c>
      <c r="C2712" t="str">
        <f>IFERROR(__xludf.DUMMYFUNCTION("""COMPUTED_VALUE"""),"Cameroon")</f>
        <v>Cameroon</v>
      </c>
      <c r="D2712">
        <f>IFERROR(__xludf.DUMMYFUNCTION("""COMPUTED_VALUE"""),2019.0)</f>
        <v>2019</v>
      </c>
      <c r="E2712">
        <f>IFERROR(__xludf.DUMMYFUNCTION("""COMPUTED_VALUE"""),2.5312993E7)</f>
        <v>25312993</v>
      </c>
    </row>
    <row r="2713">
      <c r="A2713" t="str">
        <f t="shared" si="1"/>
        <v>cmr#2020</v>
      </c>
      <c r="B2713" t="str">
        <f>IFERROR(__xludf.DUMMYFUNCTION("""COMPUTED_VALUE"""),"cmr")</f>
        <v>cmr</v>
      </c>
      <c r="C2713" t="str">
        <f>IFERROR(__xludf.DUMMYFUNCTION("""COMPUTED_VALUE"""),"Cameroon")</f>
        <v>Cameroon</v>
      </c>
      <c r="D2713">
        <f>IFERROR(__xludf.DUMMYFUNCTION("""COMPUTED_VALUE"""),2020.0)</f>
        <v>2020</v>
      </c>
      <c r="E2713">
        <f>IFERROR(__xludf.DUMMYFUNCTION("""COMPUTED_VALUE"""),2.5958184E7)</f>
        <v>25958184</v>
      </c>
    </row>
    <row r="2714">
      <c r="A2714" t="str">
        <f t="shared" si="1"/>
        <v>cmr#2021</v>
      </c>
      <c r="B2714" t="str">
        <f>IFERROR(__xludf.DUMMYFUNCTION("""COMPUTED_VALUE"""),"cmr")</f>
        <v>cmr</v>
      </c>
      <c r="C2714" t="str">
        <f>IFERROR(__xludf.DUMMYFUNCTION("""COMPUTED_VALUE"""),"Cameroon")</f>
        <v>Cameroon</v>
      </c>
      <c r="D2714">
        <f>IFERROR(__xludf.DUMMYFUNCTION("""COMPUTED_VALUE"""),2021.0)</f>
        <v>2021</v>
      </c>
      <c r="E2714">
        <f>IFERROR(__xludf.DUMMYFUNCTION("""COMPUTED_VALUE"""),2.6613765E7)</f>
        <v>26613765</v>
      </c>
    </row>
    <row r="2715">
      <c r="A2715" t="str">
        <f t="shared" si="1"/>
        <v>cmr#2022</v>
      </c>
      <c r="B2715" t="str">
        <f>IFERROR(__xludf.DUMMYFUNCTION("""COMPUTED_VALUE"""),"cmr")</f>
        <v>cmr</v>
      </c>
      <c r="C2715" t="str">
        <f>IFERROR(__xludf.DUMMYFUNCTION("""COMPUTED_VALUE"""),"Cameroon")</f>
        <v>Cameroon</v>
      </c>
      <c r="D2715">
        <f>IFERROR(__xludf.DUMMYFUNCTION("""COMPUTED_VALUE"""),2022.0)</f>
        <v>2022</v>
      </c>
      <c r="E2715">
        <f>IFERROR(__xludf.DUMMYFUNCTION("""COMPUTED_VALUE"""),2.7279608E7)</f>
        <v>27279608</v>
      </c>
    </row>
    <row r="2716">
      <c r="A2716" t="str">
        <f t="shared" si="1"/>
        <v>cmr#2023</v>
      </c>
      <c r="B2716" t="str">
        <f>IFERROR(__xludf.DUMMYFUNCTION("""COMPUTED_VALUE"""),"cmr")</f>
        <v>cmr</v>
      </c>
      <c r="C2716" t="str">
        <f>IFERROR(__xludf.DUMMYFUNCTION("""COMPUTED_VALUE"""),"Cameroon")</f>
        <v>Cameroon</v>
      </c>
      <c r="D2716">
        <f>IFERROR(__xludf.DUMMYFUNCTION("""COMPUTED_VALUE"""),2023.0)</f>
        <v>2023</v>
      </c>
      <c r="E2716">
        <f>IFERROR(__xludf.DUMMYFUNCTION("""COMPUTED_VALUE"""),2.7955755E7)</f>
        <v>27955755</v>
      </c>
    </row>
    <row r="2717">
      <c r="A2717" t="str">
        <f t="shared" si="1"/>
        <v>cmr#2024</v>
      </c>
      <c r="B2717" t="str">
        <f>IFERROR(__xludf.DUMMYFUNCTION("""COMPUTED_VALUE"""),"cmr")</f>
        <v>cmr</v>
      </c>
      <c r="C2717" t="str">
        <f>IFERROR(__xludf.DUMMYFUNCTION("""COMPUTED_VALUE"""),"Cameroon")</f>
        <v>Cameroon</v>
      </c>
      <c r="D2717">
        <f>IFERROR(__xludf.DUMMYFUNCTION("""COMPUTED_VALUE"""),2024.0)</f>
        <v>2024</v>
      </c>
      <c r="E2717">
        <f>IFERROR(__xludf.DUMMYFUNCTION("""COMPUTED_VALUE"""),2.8642234E7)</f>
        <v>28642234</v>
      </c>
    </row>
    <row r="2718">
      <c r="A2718" t="str">
        <f t="shared" si="1"/>
        <v>cmr#2025</v>
      </c>
      <c r="B2718" t="str">
        <f>IFERROR(__xludf.DUMMYFUNCTION("""COMPUTED_VALUE"""),"cmr")</f>
        <v>cmr</v>
      </c>
      <c r="C2718" t="str">
        <f>IFERROR(__xludf.DUMMYFUNCTION("""COMPUTED_VALUE"""),"Cameroon")</f>
        <v>Cameroon</v>
      </c>
      <c r="D2718">
        <f>IFERROR(__xludf.DUMMYFUNCTION("""COMPUTED_VALUE"""),2025.0)</f>
        <v>2025</v>
      </c>
      <c r="E2718">
        <f>IFERROR(__xludf.DUMMYFUNCTION("""COMPUTED_VALUE"""),2.9339083E7)</f>
        <v>29339083</v>
      </c>
    </row>
    <row r="2719">
      <c r="A2719" t="str">
        <f t="shared" si="1"/>
        <v>cmr#2026</v>
      </c>
      <c r="B2719" t="str">
        <f>IFERROR(__xludf.DUMMYFUNCTION("""COMPUTED_VALUE"""),"cmr")</f>
        <v>cmr</v>
      </c>
      <c r="C2719" t="str">
        <f>IFERROR(__xludf.DUMMYFUNCTION("""COMPUTED_VALUE"""),"Cameroon")</f>
        <v>Cameroon</v>
      </c>
      <c r="D2719">
        <f>IFERROR(__xludf.DUMMYFUNCTION("""COMPUTED_VALUE"""),2026.0)</f>
        <v>2026</v>
      </c>
      <c r="E2719">
        <f>IFERROR(__xludf.DUMMYFUNCTION("""COMPUTED_VALUE"""),3.0046222E7)</f>
        <v>30046222</v>
      </c>
    </row>
    <row r="2720">
      <c r="A2720" t="str">
        <f t="shared" si="1"/>
        <v>cmr#2027</v>
      </c>
      <c r="B2720" t="str">
        <f>IFERROR(__xludf.DUMMYFUNCTION("""COMPUTED_VALUE"""),"cmr")</f>
        <v>cmr</v>
      </c>
      <c r="C2720" t="str">
        <f>IFERROR(__xludf.DUMMYFUNCTION("""COMPUTED_VALUE"""),"Cameroon")</f>
        <v>Cameroon</v>
      </c>
      <c r="D2720">
        <f>IFERROR(__xludf.DUMMYFUNCTION("""COMPUTED_VALUE"""),2027.0)</f>
        <v>2027</v>
      </c>
      <c r="E2720">
        <f>IFERROR(__xludf.DUMMYFUNCTION("""COMPUTED_VALUE"""),3.0763659E7)</f>
        <v>30763659</v>
      </c>
    </row>
    <row r="2721">
      <c r="A2721" t="str">
        <f t="shared" si="1"/>
        <v>cmr#2028</v>
      </c>
      <c r="B2721" t="str">
        <f>IFERROR(__xludf.DUMMYFUNCTION("""COMPUTED_VALUE"""),"cmr")</f>
        <v>cmr</v>
      </c>
      <c r="C2721" t="str">
        <f>IFERROR(__xludf.DUMMYFUNCTION("""COMPUTED_VALUE"""),"Cameroon")</f>
        <v>Cameroon</v>
      </c>
      <c r="D2721">
        <f>IFERROR(__xludf.DUMMYFUNCTION("""COMPUTED_VALUE"""),2028.0)</f>
        <v>2028</v>
      </c>
      <c r="E2721">
        <f>IFERROR(__xludf.DUMMYFUNCTION("""COMPUTED_VALUE"""),3.1491572E7)</f>
        <v>31491572</v>
      </c>
    </row>
    <row r="2722">
      <c r="A2722" t="str">
        <f t="shared" si="1"/>
        <v>cmr#2029</v>
      </c>
      <c r="B2722" t="str">
        <f>IFERROR(__xludf.DUMMYFUNCTION("""COMPUTED_VALUE"""),"cmr")</f>
        <v>cmr</v>
      </c>
      <c r="C2722" t="str">
        <f>IFERROR(__xludf.DUMMYFUNCTION("""COMPUTED_VALUE"""),"Cameroon")</f>
        <v>Cameroon</v>
      </c>
      <c r="D2722">
        <f>IFERROR(__xludf.DUMMYFUNCTION("""COMPUTED_VALUE"""),2029.0)</f>
        <v>2029</v>
      </c>
      <c r="E2722">
        <f>IFERROR(__xludf.DUMMYFUNCTION("""COMPUTED_VALUE"""),3.223019E7)</f>
        <v>32230190</v>
      </c>
    </row>
    <row r="2723">
      <c r="A2723" t="str">
        <f t="shared" si="1"/>
        <v>cmr#2030</v>
      </c>
      <c r="B2723" t="str">
        <f>IFERROR(__xludf.DUMMYFUNCTION("""COMPUTED_VALUE"""),"cmr")</f>
        <v>cmr</v>
      </c>
      <c r="C2723" t="str">
        <f>IFERROR(__xludf.DUMMYFUNCTION("""COMPUTED_VALUE"""),"Cameroon")</f>
        <v>Cameroon</v>
      </c>
      <c r="D2723">
        <f>IFERROR(__xludf.DUMMYFUNCTION("""COMPUTED_VALUE"""),2030.0)</f>
        <v>2030</v>
      </c>
      <c r="E2723">
        <f>IFERROR(__xludf.DUMMYFUNCTION("""COMPUTED_VALUE"""),3.2979644E7)</f>
        <v>32979644</v>
      </c>
    </row>
    <row r="2724">
      <c r="A2724" t="str">
        <f t="shared" si="1"/>
        <v>cmr#2031</v>
      </c>
      <c r="B2724" t="str">
        <f>IFERROR(__xludf.DUMMYFUNCTION("""COMPUTED_VALUE"""),"cmr")</f>
        <v>cmr</v>
      </c>
      <c r="C2724" t="str">
        <f>IFERROR(__xludf.DUMMYFUNCTION("""COMPUTED_VALUE"""),"Cameroon")</f>
        <v>Cameroon</v>
      </c>
      <c r="D2724">
        <f>IFERROR(__xludf.DUMMYFUNCTION("""COMPUTED_VALUE"""),2031.0)</f>
        <v>2031</v>
      </c>
      <c r="E2724">
        <f>IFERROR(__xludf.DUMMYFUNCTION("""COMPUTED_VALUE"""),3.3739916E7)</f>
        <v>33739916</v>
      </c>
    </row>
    <row r="2725">
      <c r="A2725" t="str">
        <f t="shared" si="1"/>
        <v>cmr#2032</v>
      </c>
      <c r="B2725" t="str">
        <f>IFERROR(__xludf.DUMMYFUNCTION("""COMPUTED_VALUE"""),"cmr")</f>
        <v>cmr</v>
      </c>
      <c r="C2725" t="str">
        <f>IFERROR(__xludf.DUMMYFUNCTION("""COMPUTED_VALUE"""),"Cameroon")</f>
        <v>Cameroon</v>
      </c>
      <c r="D2725">
        <f>IFERROR(__xludf.DUMMYFUNCTION("""COMPUTED_VALUE"""),2032.0)</f>
        <v>2032</v>
      </c>
      <c r="E2725">
        <f>IFERROR(__xludf.DUMMYFUNCTION("""COMPUTED_VALUE"""),3.4510776E7)</f>
        <v>34510776</v>
      </c>
    </row>
    <row r="2726">
      <c r="A2726" t="str">
        <f t="shared" si="1"/>
        <v>cmr#2033</v>
      </c>
      <c r="B2726" t="str">
        <f>IFERROR(__xludf.DUMMYFUNCTION("""COMPUTED_VALUE"""),"cmr")</f>
        <v>cmr</v>
      </c>
      <c r="C2726" t="str">
        <f>IFERROR(__xludf.DUMMYFUNCTION("""COMPUTED_VALUE"""),"Cameroon")</f>
        <v>Cameroon</v>
      </c>
      <c r="D2726">
        <f>IFERROR(__xludf.DUMMYFUNCTION("""COMPUTED_VALUE"""),2033.0)</f>
        <v>2033</v>
      </c>
      <c r="E2726">
        <f>IFERROR(__xludf.DUMMYFUNCTION("""COMPUTED_VALUE"""),3.5291925E7)</f>
        <v>35291925</v>
      </c>
    </row>
    <row r="2727">
      <c r="A2727" t="str">
        <f t="shared" si="1"/>
        <v>cmr#2034</v>
      </c>
      <c r="B2727" t="str">
        <f>IFERROR(__xludf.DUMMYFUNCTION("""COMPUTED_VALUE"""),"cmr")</f>
        <v>cmr</v>
      </c>
      <c r="C2727" t="str">
        <f>IFERROR(__xludf.DUMMYFUNCTION("""COMPUTED_VALUE"""),"Cameroon")</f>
        <v>Cameroon</v>
      </c>
      <c r="D2727">
        <f>IFERROR(__xludf.DUMMYFUNCTION("""COMPUTED_VALUE"""),2034.0)</f>
        <v>2034</v>
      </c>
      <c r="E2727">
        <f>IFERROR(__xludf.DUMMYFUNCTION("""COMPUTED_VALUE"""),3.6083001E7)</f>
        <v>36083001</v>
      </c>
    </row>
    <row r="2728">
      <c r="A2728" t="str">
        <f t="shared" si="1"/>
        <v>cmr#2035</v>
      </c>
      <c r="B2728" t="str">
        <f>IFERROR(__xludf.DUMMYFUNCTION("""COMPUTED_VALUE"""),"cmr")</f>
        <v>cmr</v>
      </c>
      <c r="C2728" t="str">
        <f>IFERROR(__xludf.DUMMYFUNCTION("""COMPUTED_VALUE"""),"Cameroon")</f>
        <v>Cameroon</v>
      </c>
      <c r="D2728">
        <f>IFERROR(__xludf.DUMMYFUNCTION("""COMPUTED_VALUE"""),2035.0)</f>
        <v>2035</v>
      </c>
      <c r="E2728">
        <f>IFERROR(__xludf.DUMMYFUNCTION("""COMPUTED_VALUE"""),3.6883632E7)</f>
        <v>36883632</v>
      </c>
    </row>
    <row r="2729">
      <c r="A2729" t="str">
        <f t="shared" si="1"/>
        <v>cmr#2036</v>
      </c>
      <c r="B2729" t="str">
        <f>IFERROR(__xludf.DUMMYFUNCTION("""COMPUTED_VALUE"""),"cmr")</f>
        <v>cmr</v>
      </c>
      <c r="C2729" t="str">
        <f>IFERROR(__xludf.DUMMYFUNCTION("""COMPUTED_VALUE"""),"Cameroon")</f>
        <v>Cameroon</v>
      </c>
      <c r="D2729">
        <f>IFERROR(__xludf.DUMMYFUNCTION("""COMPUTED_VALUE"""),2036.0)</f>
        <v>2036</v>
      </c>
      <c r="E2729">
        <f>IFERROR(__xludf.DUMMYFUNCTION("""COMPUTED_VALUE"""),3.7693541E7)</f>
        <v>37693541</v>
      </c>
    </row>
    <row r="2730">
      <c r="A2730" t="str">
        <f t="shared" si="1"/>
        <v>cmr#2037</v>
      </c>
      <c r="B2730" t="str">
        <f>IFERROR(__xludf.DUMMYFUNCTION("""COMPUTED_VALUE"""),"cmr")</f>
        <v>cmr</v>
      </c>
      <c r="C2730" t="str">
        <f>IFERROR(__xludf.DUMMYFUNCTION("""COMPUTED_VALUE"""),"Cameroon")</f>
        <v>Cameroon</v>
      </c>
      <c r="D2730">
        <f>IFERROR(__xludf.DUMMYFUNCTION("""COMPUTED_VALUE"""),2037.0)</f>
        <v>2037</v>
      </c>
      <c r="E2730">
        <f>IFERROR(__xludf.DUMMYFUNCTION("""COMPUTED_VALUE"""),3.8512499E7)</f>
        <v>38512499</v>
      </c>
    </row>
    <row r="2731">
      <c r="A2731" t="str">
        <f t="shared" si="1"/>
        <v>cmr#2038</v>
      </c>
      <c r="B2731" t="str">
        <f>IFERROR(__xludf.DUMMYFUNCTION("""COMPUTED_VALUE"""),"cmr")</f>
        <v>cmr</v>
      </c>
      <c r="C2731" t="str">
        <f>IFERROR(__xludf.DUMMYFUNCTION("""COMPUTED_VALUE"""),"Cameroon")</f>
        <v>Cameroon</v>
      </c>
      <c r="D2731">
        <f>IFERROR(__xludf.DUMMYFUNCTION("""COMPUTED_VALUE"""),2038.0)</f>
        <v>2038</v>
      </c>
      <c r="E2731">
        <f>IFERROR(__xludf.DUMMYFUNCTION("""COMPUTED_VALUE"""),3.9340228E7)</f>
        <v>39340228</v>
      </c>
    </row>
    <row r="2732">
      <c r="A2732" t="str">
        <f t="shared" si="1"/>
        <v>cmr#2039</v>
      </c>
      <c r="B2732" t="str">
        <f>IFERROR(__xludf.DUMMYFUNCTION("""COMPUTED_VALUE"""),"cmr")</f>
        <v>cmr</v>
      </c>
      <c r="C2732" t="str">
        <f>IFERROR(__xludf.DUMMYFUNCTION("""COMPUTED_VALUE"""),"Cameroon")</f>
        <v>Cameroon</v>
      </c>
      <c r="D2732">
        <f>IFERROR(__xludf.DUMMYFUNCTION("""COMPUTED_VALUE"""),2039.0)</f>
        <v>2039</v>
      </c>
      <c r="E2732">
        <f>IFERROR(__xludf.DUMMYFUNCTION("""COMPUTED_VALUE"""),4.0176449E7)</f>
        <v>40176449</v>
      </c>
    </row>
    <row r="2733">
      <c r="A2733" t="str">
        <f t="shared" si="1"/>
        <v>cmr#2040</v>
      </c>
      <c r="B2733" t="str">
        <f>IFERROR(__xludf.DUMMYFUNCTION("""COMPUTED_VALUE"""),"cmr")</f>
        <v>cmr</v>
      </c>
      <c r="C2733" t="str">
        <f>IFERROR(__xludf.DUMMYFUNCTION("""COMPUTED_VALUE"""),"Cameroon")</f>
        <v>Cameroon</v>
      </c>
      <c r="D2733">
        <f>IFERROR(__xludf.DUMMYFUNCTION("""COMPUTED_VALUE"""),2040.0)</f>
        <v>2040</v>
      </c>
      <c r="E2733">
        <f>IFERROR(__xludf.DUMMYFUNCTION("""COMPUTED_VALUE"""),4.1020839E7)</f>
        <v>41020839</v>
      </c>
    </row>
    <row r="2734">
      <c r="A2734" t="str">
        <f t="shared" si="1"/>
        <v>can#1950</v>
      </c>
      <c r="B2734" t="str">
        <f>IFERROR(__xludf.DUMMYFUNCTION("""COMPUTED_VALUE"""),"can")</f>
        <v>can</v>
      </c>
      <c r="C2734" t="str">
        <f>IFERROR(__xludf.DUMMYFUNCTION("""COMPUTED_VALUE"""),"Canada")</f>
        <v>Canada</v>
      </c>
      <c r="D2734">
        <f>IFERROR(__xludf.DUMMYFUNCTION("""COMPUTED_VALUE"""),1950.0)</f>
        <v>1950</v>
      </c>
      <c r="E2734">
        <f>IFERROR(__xludf.DUMMYFUNCTION("""COMPUTED_VALUE"""),1.3733402E7)</f>
        <v>13733402</v>
      </c>
    </row>
    <row r="2735">
      <c r="A2735" t="str">
        <f t="shared" si="1"/>
        <v>can#1951</v>
      </c>
      <c r="B2735" t="str">
        <f>IFERROR(__xludf.DUMMYFUNCTION("""COMPUTED_VALUE"""),"can")</f>
        <v>can</v>
      </c>
      <c r="C2735" t="str">
        <f>IFERROR(__xludf.DUMMYFUNCTION("""COMPUTED_VALUE"""),"Canada")</f>
        <v>Canada</v>
      </c>
      <c r="D2735">
        <f>IFERROR(__xludf.DUMMYFUNCTION("""COMPUTED_VALUE"""),1951.0)</f>
        <v>1951</v>
      </c>
      <c r="E2735">
        <f>IFERROR(__xludf.DUMMYFUNCTION("""COMPUTED_VALUE"""),1.4098675E7)</f>
        <v>14098675</v>
      </c>
    </row>
    <row r="2736">
      <c r="A2736" t="str">
        <f t="shared" si="1"/>
        <v>can#1952</v>
      </c>
      <c r="B2736" t="str">
        <f>IFERROR(__xludf.DUMMYFUNCTION("""COMPUTED_VALUE"""),"can")</f>
        <v>can</v>
      </c>
      <c r="C2736" t="str">
        <f>IFERROR(__xludf.DUMMYFUNCTION("""COMPUTED_VALUE"""),"Canada")</f>
        <v>Canada</v>
      </c>
      <c r="D2736">
        <f>IFERROR(__xludf.DUMMYFUNCTION("""COMPUTED_VALUE"""),1952.0)</f>
        <v>1952</v>
      </c>
      <c r="E2736">
        <f>IFERROR(__xludf.DUMMYFUNCTION("""COMPUTED_VALUE"""),1.4482057E7)</f>
        <v>14482057</v>
      </c>
    </row>
    <row r="2737">
      <c r="A2737" t="str">
        <f t="shared" si="1"/>
        <v>can#1953</v>
      </c>
      <c r="B2737" t="str">
        <f>IFERROR(__xludf.DUMMYFUNCTION("""COMPUTED_VALUE"""),"can")</f>
        <v>can</v>
      </c>
      <c r="C2737" t="str">
        <f>IFERROR(__xludf.DUMMYFUNCTION("""COMPUTED_VALUE"""),"Canada")</f>
        <v>Canada</v>
      </c>
      <c r="D2737">
        <f>IFERROR(__xludf.DUMMYFUNCTION("""COMPUTED_VALUE"""),1953.0)</f>
        <v>1953</v>
      </c>
      <c r="E2737">
        <f>IFERROR(__xludf.DUMMYFUNCTION("""COMPUTED_VALUE"""),1.4884172E7)</f>
        <v>14884172</v>
      </c>
    </row>
    <row r="2738">
      <c r="A2738" t="str">
        <f t="shared" si="1"/>
        <v>can#1954</v>
      </c>
      <c r="B2738" t="str">
        <f>IFERROR(__xludf.DUMMYFUNCTION("""COMPUTED_VALUE"""),"can")</f>
        <v>can</v>
      </c>
      <c r="C2738" t="str">
        <f>IFERROR(__xludf.DUMMYFUNCTION("""COMPUTED_VALUE"""),"Canada")</f>
        <v>Canada</v>
      </c>
      <c r="D2738">
        <f>IFERROR(__xludf.DUMMYFUNCTION("""COMPUTED_VALUE"""),1954.0)</f>
        <v>1954</v>
      </c>
      <c r="E2738">
        <f>IFERROR(__xludf.DUMMYFUNCTION("""COMPUTED_VALUE"""),1.5303889E7)</f>
        <v>15303889</v>
      </c>
    </row>
    <row r="2739">
      <c r="A2739" t="str">
        <f t="shared" si="1"/>
        <v>can#1955</v>
      </c>
      <c r="B2739" t="str">
        <f>IFERROR(__xludf.DUMMYFUNCTION("""COMPUTED_VALUE"""),"can")</f>
        <v>can</v>
      </c>
      <c r="C2739" t="str">
        <f>IFERROR(__xludf.DUMMYFUNCTION("""COMPUTED_VALUE"""),"Canada")</f>
        <v>Canada</v>
      </c>
      <c r="D2739">
        <f>IFERROR(__xludf.DUMMYFUNCTION("""COMPUTED_VALUE"""),1955.0)</f>
        <v>1955</v>
      </c>
      <c r="E2739">
        <f>IFERROR(__xludf.DUMMYFUNCTION("""COMPUTED_VALUE"""),1.5738362E7)</f>
        <v>15738362</v>
      </c>
    </row>
    <row r="2740">
      <c r="A2740" t="str">
        <f t="shared" si="1"/>
        <v>can#1956</v>
      </c>
      <c r="B2740" t="str">
        <f>IFERROR(__xludf.DUMMYFUNCTION("""COMPUTED_VALUE"""),"can")</f>
        <v>can</v>
      </c>
      <c r="C2740" t="str">
        <f>IFERROR(__xludf.DUMMYFUNCTION("""COMPUTED_VALUE"""),"Canada")</f>
        <v>Canada</v>
      </c>
      <c r="D2740">
        <f>IFERROR(__xludf.DUMMYFUNCTION("""COMPUTED_VALUE"""),1956.0)</f>
        <v>1956</v>
      </c>
      <c r="E2740">
        <f>IFERROR(__xludf.DUMMYFUNCTION("""COMPUTED_VALUE"""),1.6182877E7)</f>
        <v>16182877</v>
      </c>
    </row>
    <row r="2741">
      <c r="A2741" t="str">
        <f t="shared" si="1"/>
        <v>can#1957</v>
      </c>
      <c r="B2741" t="str">
        <f>IFERROR(__xludf.DUMMYFUNCTION("""COMPUTED_VALUE"""),"can")</f>
        <v>can</v>
      </c>
      <c r="C2741" t="str">
        <f>IFERROR(__xludf.DUMMYFUNCTION("""COMPUTED_VALUE"""),"Canada")</f>
        <v>Canada</v>
      </c>
      <c r="D2741">
        <f>IFERROR(__xludf.DUMMYFUNCTION("""COMPUTED_VALUE"""),1957.0)</f>
        <v>1957</v>
      </c>
      <c r="E2741">
        <f>IFERROR(__xludf.DUMMYFUNCTION("""COMPUTED_VALUE"""),1.6630976E7)</f>
        <v>16630976</v>
      </c>
    </row>
    <row r="2742">
      <c r="A2742" t="str">
        <f t="shared" si="1"/>
        <v>can#1958</v>
      </c>
      <c r="B2742" t="str">
        <f>IFERROR(__xludf.DUMMYFUNCTION("""COMPUTED_VALUE"""),"can")</f>
        <v>can</v>
      </c>
      <c r="C2742" t="str">
        <f>IFERROR(__xludf.DUMMYFUNCTION("""COMPUTED_VALUE"""),"Canada")</f>
        <v>Canada</v>
      </c>
      <c r="D2742">
        <f>IFERROR(__xludf.DUMMYFUNCTION("""COMPUTED_VALUE"""),1958.0)</f>
        <v>1958</v>
      </c>
      <c r="E2742">
        <f>IFERROR(__xludf.DUMMYFUNCTION("""COMPUTED_VALUE"""),1.7074869E7)</f>
        <v>17074869</v>
      </c>
    </row>
    <row r="2743">
      <c r="A2743" t="str">
        <f t="shared" si="1"/>
        <v>can#1959</v>
      </c>
      <c r="B2743" t="str">
        <f>IFERROR(__xludf.DUMMYFUNCTION("""COMPUTED_VALUE"""),"can")</f>
        <v>can</v>
      </c>
      <c r="C2743" t="str">
        <f>IFERROR(__xludf.DUMMYFUNCTION("""COMPUTED_VALUE"""),"Canada")</f>
        <v>Canada</v>
      </c>
      <c r="D2743">
        <f>IFERROR(__xludf.DUMMYFUNCTION("""COMPUTED_VALUE"""),1959.0)</f>
        <v>1959</v>
      </c>
      <c r="E2743">
        <f>IFERROR(__xludf.DUMMYFUNCTION("""COMPUTED_VALUE"""),1.7506053E7)</f>
        <v>17506053</v>
      </c>
    </row>
    <row r="2744">
      <c r="A2744" t="str">
        <f t="shared" si="1"/>
        <v>can#1960</v>
      </c>
      <c r="B2744" t="str">
        <f>IFERROR(__xludf.DUMMYFUNCTION("""COMPUTED_VALUE"""),"can")</f>
        <v>can</v>
      </c>
      <c r="C2744" t="str">
        <f>IFERROR(__xludf.DUMMYFUNCTION("""COMPUTED_VALUE"""),"Canada")</f>
        <v>Canada</v>
      </c>
      <c r="D2744">
        <f>IFERROR(__xludf.DUMMYFUNCTION("""COMPUTED_VALUE"""),1960.0)</f>
        <v>1960</v>
      </c>
      <c r="E2744">
        <f>IFERROR(__xludf.DUMMYFUNCTION("""COMPUTED_VALUE"""),1.7917236E7)</f>
        <v>17917236</v>
      </c>
    </row>
    <row r="2745">
      <c r="A2745" t="str">
        <f t="shared" si="1"/>
        <v>can#1961</v>
      </c>
      <c r="B2745" t="str">
        <f>IFERROR(__xludf.DUMMYFUNCTION("""COMPUTED_VALUE"""),"can")</f>
        <v>can</v>
      </c>
      <c r="C2745" t="str">
        <f>IFERROR(__xludf.DUMMYFUNCTION("""COMPUTED_VALUE"""),"Canada")</f>
        <v>Canada</v>
      </c>
      <c r="D2745">
        <f>IFERROR(__xludf.DUMMYFUNCTION("""COMPUTED_VALUE"""),1961.0)</f>
        <v>1961</v>
      </c>
      <c r="E2745">
        <f>IFERROR(__xludf.DUMMYFUNCTION("""COMPUTED_VALUE"""),1.8304387E7)</f>
        <v>18304387</v>
      </c>
    </row>
    <row r="2746">
      <c r="A2746" t="str">
        <f t="shared" si="1"/>
        <v>can#1962</v>
      </c>
      <c r="B2746" t="str">
        <f>IFERROR(__xludf.DUMMYFUNCTION("""COMPUTED_VALUE"""),"can")</f>
        <v>can</v>
      </c>
      <c r="C2746" t="str">
        <f>IFERROR(__xludf.DUMMYFUNCTION("""COMPUTED_VALUE"""),"Canada")</f>
        <v>Canada</v>
      </c>
      <c r="D2746">
        <f>IFERROR(__xludf.DUMMYFUNCTION("""COMPUTED_VALUE"""),1962.0)</f>
        <v>1962</v>
      </c>
      <c r="E2746">
        <f>IFERROR(__xludf.DUMMYFUNCTION("""COMPUTED_VALUE"""),1.8668576E7)</f>
        <v>18668576</v>
      </c>
    </row>
    <row r="2747">
      <c r="A2747" t="str">
        <f t="shared" si="1"/>
        <v>can#1963</v>
      </c>
      <c r="B2747" t="str">
        <f>IFERROR(__xludf.DUMMYFUNCTION("""COMPUTED_VALUE"""),"can")</f>
        <v>can</v>
      </c>
      <c r="C2747" t="str">
        <f>IFERROR(__xludf.DUMMYFUNCTION("""COMPUTED_VALUE"""),"Canada")</f>
        <v>Canada</v>
      </c>
      <c r="D2747">
        <f>IFERROR(__xludf.DUMMYFUNCTION("""COMPUTED_VALUE"""),1963.0)</f>
        <v>1963</v>
      </c>
      <c r="E2747">
        <f>IFERROR(__xludf.DUMMYFUNCTION("""COMPUTED_VALUE"""),1.9016655E7)</f>
        <v>19016655</v>
      </c>
    </row>
    <row r="2748">
      <c r="A2748" t="str">
        <f t="shared" si="1"/>
        <v>can#1964</v>
      </c>
      <c r="B2748" t="str">
        <f>IFERROR(__xludf.DUMMYFUNCTION("""COMPUTED_VALUE"""),"can")</f>
        <v>can</v>
      </c>
      <c r="C2748" t="str">
        <f>IFERROR(__xludf.DUMMYFUNCTION("""COMPUTED_VALUE"""),"Canada")</f>
        <v>Canada</v>
      </c>
      <c r="D2748">
        <f>IFERROR(__xludf.DUMMYFUNCTION("""COMPUTED_VALUE"""),1964.0)</f>
        <v>1964</v>
      </c>
      <c r="E2748">
        <f>IFERROR(__xludf.DUMMYFUNCTION("""COMPUTED_VALUE"""),1.9359165E7)</f>
        <v>19359165</v>
      </c>
    </row>
    <row r="2749">
      <c r="A2749" t="str">
        <f t="shared" si="1"/>
        <v>can#1965</v>
      </c>
      <c r="B2749" t="str">
        <f>IFERROR(__xludf.DUMMYFUNCTION("""COMPUTED_VALUE"""),"can")</f>
        <v>can</v>
      </c>
      <c r="C2749" t="str">
        <f>IFERROR(__xludf.DUMMYFUNCTION("""COMPUTED_VALUE"""),"Canada")</f>
        <v>Canada</v>
      </c>
      <c r="D2749">
        <f>IFERROR(__xludf.DUMMYFUNCTION("""COMPUTED_VALUE"""),1965.0)</f>
        <v>1965</v>
      </c>
      <c r="E2749">
        <f>IFERROR(__xludf.DUMMYFUNCTION("""COMPUTED_VALUE"""),1.9703883E7)</f>
        <v>19703883</v>
      </c>
    </row>
    <row r="2750">
      <c r="A2750" t="str">
        <f t="shared" si="1"/>
        <v>can#1966</v>
      </c>
      <c r="B2750" t="str">
        <f>IFERROR(__xludf.DUMMYFUNCTION("""COMPUTED_VALUE"""),"can")</f>
        <v>can</v>
      </c>
      <c r="C2750" t="str">
        <f>IFERROR(__xludf.DUMMYFUNCTION("""COMPUTED_VALUE"""),"Canada")</f>
        <v>Canada</v>
      </c>
      <c r="D2750">
        <f>IFERROR(__xludf.DUMMYFUNCTION("""COMPUTED_VALUE"""),1966.0)</f>
        <v>1966</v>
      </c>
      <c r="E2750">
        <f>IFERROR(__xludf.DUMMYFUNCTION("""COMPUTED_VALUE"""),2.005196E7)</f>
        <v>20051960</v>
      </c>
    </row>
    <row r="2751">
      <c r="A2751" t="str">
        <f t="shared" si="1"/>
        <v>can#1967</v>
      </c>
      <c r="B2751" t="str">
        <f>IFERROR(__xludf.DUMMYFUNCTION("""COMPUTED_VALUE"""),"can")</f>
        <v>can</v>
      </c>
      <c r="C2751" t="str">
        <f>IFERROR(__xludf.DUMMYFUNCTION("""COMPUTED_VALUE"""),"Canada")</f>
        <v>Canada</v>
      </c>
      <c r="D2751">
        <f>IFERROR(__xludf.DUMMYFUNCTION("""COMPUTED_VALUE"""),1967.0)</f>
        <v>1967</v>
      </c>
      <c r="E2751">
        <f>IFERROR(__xludf.DUMMYFUNCTION("""COMPUTED_VALUE"""),2.0401082E7)</f>
        <v>20401082</v>
      </c>
    </row>
    <row r="2752">
      <c r="A2752" t="str">
        <f t="shared" si="1"/>
        <v>can#1968</v>
      </c>
      <c r="B2752" t="str">
        <f>IFERROR(__xludf.DUMMYFUNCTION("""COMPUTED_VALUE"""),"can")</f>
        <v>can</v>
      </c>
      <c r="C2752" t="str">
        <f>IFERROR(__xludf.DUMMYFUNCTION("""COMPUTED_VALUE"""),"Canada")</f>
        <v>Canada</v>
      </c>
      <c r="D2752">
        <f>IFERROR(__xludf.DUMMYFUNCTION("""COMPUTED_VALUE"""),1968.0)</f>
        <v>1968</v>
      </c>
      <c r="E2752">
        <f>IFERROR(__xludf.DUMMYFUNCTION("""COMPUTED_VALUE"""),2.0751373E7)</f>
        <v>20751373</v>
      </c>
    </row>
    <row r="2753">
      <c r="A2753" t="str">
        <f t="shared" si="1"/>
        <v>can#1969</v>
      </c>
      <c r="B2753" t="str">
        <f>IFERROR(__xludf.DUMMYFUNCTION("""COMPUTED_VALUE"""),"can")</f>
        <v>can</v>
      </c>
      <c r="C2753" t="str">
        <f>IFERROR(__xludf.DUMMYFUNCTION("""COMPUTED_VALUE"""),"Canada")</f>
        <v>Canada</v>
      </c>
      <c r="D2753">
        <f>IFERROR(__xludf.DUMMYFUNCTION("""COMPUTED_VALUE"""),1969.0)</f>
        <v>1969</v>
      </c>
      <c r="E2753">
        <f>IFERROR(__xludf.DUMMYFUNCTION("""COMPUTED_VALUE"""),2.110223E7)</f>
        <v>21102230</v>
      </c>
    </row>
    <row r="2754">
      <c r="A2754" t="str">
        <f t="shared" si="1"/>
        <v>can#1970</v>
      </c>
      <c r="B2754" t="str">
        <f>IFERROR(__xludf.DUMMYFUNCTION("""COMPUTED_VALUE"""),"can")</f>
        <v>can</v>
      </c>
      <c r="C2754" t="str">
        <f>IFERROR(__xludf.DUMMYFUNCTION("""COMPUTED_VALUE"""),"Canada")</f>
        <v>Canada</v>
      </c>
      <c r="D2754">
        <f>IFERROR(__xludf.DUMMYFUNCTION("""COMPUTED_VALUE"""),1970.0)</f>
        <v>1970</v>
      </c>
      <c r="E2754">
        <f>IFERROR(__xludf.DUMMYFUNCTION("""COMPUTED_VALUE"""),2.1452737E7)</f>
        <v>21452737</v>
      </c>
    </row>
    <row r="2755">
      <c r="A2755" t="str">
        <f t="shared" si="1"/>
        <v>can#1971</v>
      </c>
      <c r="B2755" t="str">
        <f>IFERROR(__xludf.DUMMYFUNCTION("""COMPUTED_VALUE"""),"can")</f>
        <v>can</v>
      </c>
      <c r="C2755" t="str">
        <f>IFERROR(__xludf.DUMMYFUNCTION("""COMPUTED_VALUE"""),"Canada")</f>
        <v>Canada</v>
      </c>
      <c r="D2755">
        <f>IFERROR(__xludf.DUMMYFUNCTION("""COMPUTED_VALUE"""),1971.0)</f>
        <v>1971</v>
      </c>
      <c r="E2755">
        <f>IFERROR(__xludf.DUMMYFUNCTION("""COMPUTED_VALUE"""),2.1804269E7)</f>
        <v>21804269</v>
      </c>
    </row>
    <row r="2756">
      <c r="A2756" t="str">
        <f t="shared" si="1"/>
        <v>can#1972</v>
      </c>
      <c r="B2756" t="str">
        <f>IFERROR(__xludf.DUMMYFUNCTION("""COMPUTED_VALUE"""),"can")</f>
        <v>can</v>
      </c>
      <c r="C2756" t="str">
        <f>IFERROR(__xludf.DUMMYFUNCTION("""COMPUTED_VALUE"""),"Canada")</f>
        <v>Canada</v>
      </c>
      <c r="D2756">
        <f>IFERROR(__xludf.DUMMYFUNCTION("""COMPUTED_VALUE"""),1972.0)</f>
        <v>1972</v>
      </c>
      <c r="E2756">
        <f>IFERROR(__xludf.DUMMYFUNCTION("""COMPUTED_VALUE"""),2.2156208E7)</f>
        <v>22156208</v>
      </c>
    </row>
    <row r="2757">
      <c r="A2757" t="str">
        <f t="shared" si="1"/>
        <v>can#1973</v>
      </c>
      <c r="B2757" t="str">
        <f>IFERROR(__xludf.DUMMYFUNCTION("""COMPUTED_VALUE"""),"can")</f>
        <v>can</v>
      </c>
      <c r="C2757" t="str">
        <f>IFERROR(__xludf.DUMMYFUNCTION("""COMPUTED_VALUE"""),"Canada")</f>
        <v>Canada</v>
      </c>
      <c r="D2757">
        <f>IFERROR(__xludf.DUMMYFUNCTION("""COMPUTED_VALUE"""),1973.0)</f>
        <v>1973</v>
      </c>
      <c r="E2757">
        <f>IFERROR(__xludf.DUMMYFUNCTION("""COMPUTED_VALUE"""),2.2503243E7)</f>
        <v>22503243</v>
      </c>
    </row>
    <row r="2758">
      <c r="A2758" t="str">
        <f t="shared" si="1"/>
        <v>can#1974</v>
      </c>
      <c r="B2758" t="str">
        <f>IFERROR(__xludf.DUMMYFUNCTION("""COMPUTED_VALUE"""),"can")</f>
        <v>can</v>
      </c>
      <c r="C2758" t="str">
        <f>IFERROR(__xludf.DUMMYFUNCTION("""COMPUTED_VALUE"""),"Canada")</f>
        <v>Canada</v>
      </c>
      <c r="D2758">
        <f>IFERROR(__xludf.DUMMYFUNCTION("""COMPUTED_VALUE"""),1974.0)</f>
        <v>1974</v>
      </c>
      <c r="E2758">
        <f>IFERROR(__xludf.DUMMYFUNCTION("""COMPUTED_VALUE"""),2.283819E7)</f>
        <v>22838190</v>
      </c>
    </row>
    <row r="2759">
      <c r="A2759" t="str">
        <f t="shared" si="1"/>
        <v>can#1975</v>
      </c>
      <c r="B2759" t="str">
        <f>IFERROR(__xludf.DUMMYFUNCTION("""COMPUTED_VALUE"""),"can")</f>
        <v>can</v>
      </c>
      <c r="C2759" t="str">
        <f>IFERROR(__xludf.DUMMYFUNCTION("""COMPUTED_VALUE"""),"Canada")</f>
        <v>Canada</v>
      </c>
      <c r="D2759">
        <f>IFERROR(__xludf.DUMMYFUNCTION("""COMPUTED_VALUE"""),1975.0)</f>
        <v>1975</v>
      </c>
      <c r="E2759">
        <f>IFERROR(__xludf.DUMMYFUNCTION("""COMPUTED_VALUE"""),2.3156209E7)</f>
        <v>23156209</v>
      </c>
    </row>
    <row r="2760">
      <c r="A2760" t="str">
        <f t="shared" si="1"/>
        <v>can#1976</v>
      </c>
      <c r="B2760" t="str">
        <f>IFERROR(__xludf.DUMMYFUNCTION("""COMPUTED_VALUE"""),"can")</f>
        <v>can</v>
      </c>
      <c r="C2760" t="str">
        <f>IFERROR(__xludf.DUMMYFUNCTION("""COMPUTED_VALUE"""),"Canada")</f>
        <v>Canada</v>
      </c>
      <c r="D2760">
        <f>IFERROR(__xludf.DUMMYFUNCTION("""COMPUTED_VALUE"""),1976.0)</f>
        <v>1976</v>
      </c>
      <c r="E2760">
        <f>IFERROR(__xludf.DUMMYFUNCTION("""COMPUTED_VALUE"""),2.3456507E7)</f>
        <v>23456507</v>
      </c>
    </row>
    <row r="2761">
      <c r="A2761" t="str">
        <f t="shared" si="1"/>
        <v>can#1977</v>
      </c>
      <c r="B2761" t="str">
        <f>IFERROR(__xludf.DUMMYFUNCTION("""COMPUTED_VALUE"""),"can")</f>
        <v>can</v>
      </c>
      <c r="C2761" t="str">
        <f>IFERROR(__xludf.DUMMYFUNCTION("""COMPUTED_VALUE"""),"Canada")</f>
        <v>Canada</v>
      </c>
      <c r="D2761">
        <f>IFERROR(__xludf.DUMMYFUNCTION("""COMPUTED_VALUE"""),1977.0)</f>
        <v>1977</v>
      </c>
      <c r="E2761">
        <f>IFERROR(__xludf.DUMMYFUNCTION("""COMPUTED_VALUE"""),2.3741589E7)</f>
        <v>23741589</v>
      </c>
    </row>
    <row r="2762">
      <c r="A2762" t="str">
        <f t="shared" si="1"/>
        <v>can#1978</v>
      </c>
      <c r="B2762" t="str">
        <f>IFERROR(__xludf.DUMMYFUNCTION("""COMPUTED_VALUE"""),"can")</f>
        <v>can</v>
      </c>
      <c r="C2762" t="str">
        <f>IFERROR(__xludf.DUMMYFUNCTION("""COMPUTED_VALUE"""),"Canada")</f>
        <v>Canada</v>
      </c>
      <c r="D2762">
        <f>IFERROR(__xludf.DUMMYFUNCTION("""COMPUTED_VALUE"""),1978.0)</f>
        <v>1978</v>
      </c>
      <c r="E2762">
        <f>IFERROR(__xludf.DUMMYFUNCTION("""COMPUTED_VALUE"""),2.4014082E7)</f>
        <v>24014082</v>
      </c>
    </row>
    <row r="2763">
      <c r="A2763" t="str">
        <f t="shared" si="1"/>
        <v>can#1979</v>
      </c>
      <c r="B2763" t="str">
        <f>IFERROR(__xludf.DUMMYFUNCTION("""COMPUTED_VALUE"""),"can")</f>
        <v>can</v>
      </c>
      <c r="C2763" t="str">
        <f>IFERROR(__xludf.DUMMYFUNCTION("""COMPUTED_VALUE"""),"Canada")</f>
        <v>Canada</v>
      </c>
      <c r="D2763">
        <f>IFERROR(__xludf.DUMMYFUNCTION("""COMPUTED_VALUE"""),1979.0)</f>
        <v>1979</v>
      </c>
      <c r="E2763">
        <f>IFERROR(__xludf.DUMMYFUNCTION("""COMPUTED_VALUE"""),2.4278047E7)</f>
        <v>24278047</v>
      </c>
    </row>
    <row r="2764">
      <c r="A2764" t="str">
        <f t="shared" si="1"/>
        <v>can#1980</v>
      </c>
      <c r="B2764" t="str">
        <f>IFERROR(__xludf.DUMMYFUNCTION("""COMPUTED_VALUE"""),"can")</f>
        <v>can</v>
      </c>
      <c r="C2764" t="str">
        <f>IFERROR(__xludf.DUMMYFUNCTION("""COMPUTED_VALUE"""),"Canada")</f>
        <v>Canada</v>
      </c>
      <c r="D2764">
        <f>IFERROR(__xludf.DUMMYFUNCTION("""COMPUTED_VALUE"""),1980.0)</f>
        <v>1980</v>
      </c>
      <c r="E2764">
        <f>IFERROR(__xludf.DUMMYFUNCTION("""COMPUTED_VALUE"""),2.4537422E7)</f>
        <v>24537422</v>
      </c>
    </row>
    <row r="2765">
      <c r="A2765" t="str">
        <f t="shared" si="1"/>
        <v>can#1981</v>
      </c>
      <c r="B2765" t="str">
        <f>IFERROR(__xludf.DUMMYFUNCTION("""COMPUTED_VALUE"""),"can")</f>
        <v>can</v>
      </c>
      <c r="C2765" t="str">
        <f>IFERROR(__xludf.DUMMYFUNCTION("""COMPUTED_VALUE"""),"Canada")</f>
        <v>Canada</v>
      </c>
      <c r="D2765">
        <f>IFERROR(__xludf.DUMMYFUNCTION("""COMPUTED_VALUE"""),1981.0)</f>
        <v>1981</v>
      </c>
      <c r="E2765">
        <f>IFERROR(__xludf.DUMMYFUNCTION("""COMPUTED_VALUE"""),2.4791139E7)</f>
        <v>24791139</v>
      </c>
    </row>
    <row r="2766">
      <c r="A2766" t="str">
        <f t="shared" si="1"/>
        <v>can#1982</v>
      </c>
      <c r="B2766" t="str">
        <f>IFERROR(__xludf.DUMMYFUNCTION("""COMPUTED_VALUE"""),"can")</f>
        <v>can</v>
      </c>
      <c r="C2766" t="str">
        <f>IFERROR(__xludf.DUMMYFUNCTION("""COMPUTED_VALUE"""),"Canada")</f>
        <v>Canada</v>
      </c>
      <c r="D2766">
        <f>IFERROR(__xludf.DUMMYFUNCTION("""COMPUTED_VALUE"""),1982.0)</f>
        <v>1982</v>
      </c>
      <c r="E2766">
        <f>IFERROR(__xludf.DUMMYFUNCTION("""COMPUTED_VALUE"""),2.5040948E7)</f>
        <v>25040948</v>
      </c>
    </row>
    <row r="2767">
      <c r="A2767" t="str">
        <f t="shared" si="1"/>
        <v>can#1983</v>
      </c>
      <c r="B2767" t="str">
        <f>IFERROR(__xludf.DUMMYFUNCTION("""COMPUTED_VALUE"""),"can")</f>
        <v>can</v>
      </c>
      <c r="C2767" t="str">
        <f>IFERROR(__xludf.DUMMYFUNCTION("""COMPUTED_VALUE"""),"Canada")</f>
        <v>Canada</v>
      </c>
      <c r="D2767">
        <f>IFERROR(__xludf.DUMMYFUNCTION("""COMPUTED_VALUE"""),1983.0)</f>
        <v>1983</v>
      </c>
      <c r="E2767">
        <f>IFERROR(__xludf.DUMMYFUNCTION("""COMPUTED_VALUE"""),2.529684E7)</f>
        <v>25296840</v>
      </c>
    </row>
    <row r="2768">
      <c r="A2768" t="str">
        <f t="shared" si="1"/>
        <v>can#1984</v>
      </c>
      <c r="B2768" t="str">
        <f>IFERROR(__xludf.DUMMYFUNCTION("""COMPUTED_VALUE"""),"can")</f>
        <v>can</v>
      </c>
      <c r="C2768" t="str">
        <f>IFERROR(__xludf.DUMMYFUNCTION("""COMPUTED_VALUE"""),"Canada")</f>
        <v>Canada</v>
      </c>
      <c r="D2768">
        <f>IFERROR(__xludf.DUMMYFUNCTION("""COMPUTED_VALUE"""),1984.0)</f>
        <v>1984</v>
      </c>
      <c r="E2768">
        <f>IFERROR(__xludf.DUMMYFUNCTION("""COMPUTED_VALUE"""),2.5571673E7)</f>
        <v>25571673</v>
      </c>
    </row>
    <row r="2769">
      <c r="A2769" t="str">
        <f t="shared" si="1"/>
        <v>can#1985</v>
      </c>
      <c r="B2769" t="str">
        <f>IFERROR(__xludf.DUMMYFUNCTION("""COMPUTED_VALUE"""),"can")</f>
        <v>can</v>
      </c>
      <c r="C2769" t="str">
        <f>IFERROR(__xludf.DUMMYFUNCTION("""COMPUTED_VALUE"""),"Canada")</f>
        <v>Canada</v>
      </c>
      <c r="D2769">
        <f>IFERROR(__xludf.DUMMYFUNCTION("""COMPUTED_VALUE"""),1985.0)</f>
        <v>1985</v>
      </c>
      <c r="E2769">
        <f>IFERROR(__xludf.DUMMYFUNCTION("""COMPUTED_VALUE"""),2.5873949E7)</f>
        <v>25873949</v>
      </c>
    </row>
    <row r="2770">
      <c r="A2770" t="str">
        <f t="shared" si="1"/>
        <v>can#1986</v>
      </c>
      <c r="B2770" t="str">
        <f>IFERROR(__xludf.DUMMYFUNCTION("""COMPUTED_VALUE"""),"can")</f>
        <v>can</v>
      </c>
      <c r="C2770" t="str">
        <f>IFERROR(__xludf.DUMMYFUNCTION("""COMPUTED_VALUE"""),"Canada")</f>
        <v>Canada</v>
      </c>
      <c r="D2770">
        <f>IFERROR(__xludf.DUMMYFUNCTION("""COMPUTED_VALUE"""),1986.0)</f>
        <v>1986</v>
      </c>
      <c r="E2770">
        <f>IFERROR(__xludf.DUMMYFUNCTION("""COMPUTED_VALUE"""),2.620808E7)</f>
        <v>26208080</v>
      </c>
    </row>
    <row r="2771">
      <c r="A2771" t="str">
        <f t="shared" si="1"/>
        <v>can#1987</v>
      </c>
      <c r="B2771" t="str">
        <f>IFERROR(__xludf.DUMMYFUNCTION("""COMPUTED_VALUE"""),"can")</f>
        <v>can</v>
      </c>
      <c r="C2771" t="str">
        <f>IFERROR(__xludf.DUMMYFUNCTION("""COMPUTED_VALUE"""),"Canada")</f>
        <v>Canada</v>
      </c>
      <c r="D2771">
        <f>IFERROR(__xludf.DUMMYFUNCTION("""COMPUTED_VALUE"""),1987.0)</f>
        <v>1987</v>
      </c>
      <c r="E2771">
        <f>IFERROR(__xludf.DUMMYFUNCTION("""COMPUTED_VALUE"""),2.6569766E7)</f>
        <v>26569766</v>
      </c>
    </row>
    <row r="2772">
      <c r="A2772" t="str">
        <f t="shared" si="1"/>
        <v>can#1988</v>
      </c>
      <c r="B2772" t="str">
        <f>IFERROR(__xludf.DUMMYFUNCTION("""COMPUTED_VALUE"""),"can")</f>
        <v>can</v>
      </c>
      <c r="C2772" t="str">
        <f>IFERROR(__xludf.DUMMYFUNCTION("""COMPUTED_VALUE"""),"Canada")</f>
        <v>Canada</v>
      </c>
      <c r="D2772">
        <f>IFERROR(__xludf.DUMMYFUNCTION("""COMPUTED_VALUE"""),1988.0)</f>
        <v>1988</v>
      </c>
      <c r="E2772">
        <f>IFERROR(__xludf.DUMMYFUNCTION("""COMPUTED_VALUE"""),2.6947842E7)</f>
        <v>26947842</v>
      </c>
    </row>
    <row r="2773">
      <c r="A2773" t="str">
        <f t="shared" si="1"/>
        <v>can#1989</v>
      </c>
      <c r="B2773" t="str">
        <f>IFERROR(__xludf.DUMMYFUNCTION("""COMPUTED_VALUE"""),"can")</f>
        <v>can</v>
      </c>
      <c r="C2773" t="str">
        <f>IFERROR(__xludf.DUMMYFUNCTION("""COMPUTED_VALUE"""),"Canada")</f>
        <v>Canada</v>
      </c>
      <c r="D2773">
        <f>IFERROR(__xludf.DUMMYFUNCTION("""COMPUTED_VALUE"""),1989.0)</f>
        <v>1989</v>
      </c>
      <c r="E2773">
        <f>IFERROR(__xludf.DUMMYFUNCTION("""COMPUTED_VALUE"""),2.7326166E7)</f>
        <v>27326166</v>
      </c>
    </row>
    <row r="2774">
      <c r="A2774" t="str">
        <f t="shared" si="1"/>
        <v>can#1990</v>
      </c>
      <c r="B2774" t="str">
        <f>IFERROR(__xludf.DUMMYFUNCTION("""COMPUTED_VALUE"""),"can")</f>
        <v>can</v>
      </c>
      <c r="C2774" t="str">
        <f>IFERROR(__xludf.DUMMYFUNCTION("""COMPUTED_VALUE"""),"Canada")</f>
        <v>Canada</v>
      </c>
      <c r="D2774">
        <f>IFERROR(__xludf.DUMMYFUNCTION("""COMPUTED_VALUE"""),1990.0)</f>
        <v>1990</v>
      </c>
      <c r="E2774">
        <f>IFERROR(__xludf.DUMMYFUNCTION("""COMPUTED_VALUE"""),2.769268E7)</f>
        <v>27692680</v>
      </c>
    </row>
    <row r="2775">
      <c r="A2775" t="str">
        <f t="shared" si="1"/>
        <v>can#1991</v>
      </c>
      <c r="B2775" t="str">
        <f>IFERROR(__xludf.DUMMYFUNCTION("""COMPUTED_VALUE"""),"can")</f>
        <v>can</v>
      </c>
      <c r="C2775" t="str">
        <f>IFERROR(__xludf.DUMMYFUNCTION("""COMPUTED_VALUE"""),"Canada")</f>
        <v>Canada</v>
      </c>
      <c r="D2775">
        <f>IFERROR(__xludf.DUMMYFUNCTION("""COMPUTED_VALUE"""),1991.0)</f>
        <v>1991</v>
      </c>
      <c r="E2775">
        <f>IFERROR(__xludf.DUMMYFUNCTION("""COMPUTED_VALUE"""),2.8044606E7)</f>
        <v>28044606</v>
      </c>
    </row>
    <row r="2776">
      <c r="A2776" t="str">
        <f t="shared" si="1"/>
        <v>can#1992</v>
      </c>
      <c r="B2776" t="str">
        <f>IFERROR(__xludf.DUMMYFUNCTION("""COMPUTED_VALUE"""),"can")</f>
        <v>can</v>
      </c>
      <c r="C2776" t="str">
        <f>IFERROR(__xludf.DUMMYFUNCTION("""COMPUTED_VALUE"""),"Canada")</f>
        <v>Canada</v>
      </c>
      <c r="D2776">
        <f>IFERROR(__xludf.DUMMYFUNCTION("""COMPUTED_VALUE"""),1992.0)</f>
        <v>1992</v>
      </c>
      <c r="E2776">
        <f>IFERROR(__xludf.DUMMYFUNCTION("""COMPUTED_VALUE"""),2.838435E7)</f>
        <v>28384350</v>
      </c>
    </row>
    <row r="2777">
      <c r="A2777" t="str">
        <f t="shared" si="1"/>
        <v>can#1993</v>
      </c>
      <c r="B2777" t="str">
        <f>IFERROR(__xludf.DUMMYFUNCTION("""COMPUTED_VALUE"""),"can")</f>
        <v>can</v>
      </c>
      <c r="C2777" t="str">
        <f>IFERROR(__xludf.DUMMYFUNCTION("""COMPUTED_VALUE"""),"Canada")</f>
        <v>Canada</v>
      </c>
      <c r="D2777">
        <f>IFERROR(__xludf.DUMMYFUNCTION("""COMPUTED_VALUE"""),1993.0)</f>
        <v>1993</v>
      </c>
      <c r="E2777">
        <f>IFERROR(__xludf.DUMMYFUNCTION("""COMPUTED_VALUE"""),2.8711303E7)</f>
        <v>28711303</v>
      </c>
    </row>
    <row r="2778">
      <c r="A2778" t="str">
        <f t="shared" si="1"/>
        <v>can#1994</v>
      </c>
      <c r="B2778" t="str">
        <f>IFERROR(__xludf.DUMMYFUNCTION("""COMPUTED_VALUE"""),"can")</f>
        <v>can</v>
      </c>
      <c r="C2778" t="str">
        <f>IFERROR(__xludf.DUMMYFUNCTION("""COMPUTED_VALUE"""),"Canada")</f>
        <v>Canada</v>
      </c>
      <c r="D2778">
        <f>IFERROR(__xludf.DUMMYFUNCTION("""COMPUTED_VALUE"""),1994.0)</f>
        <v>1994</v>
      </c>
      <c r="E2778">
        <f>IFERROR(__xludf.DUMMYFUNCTION("""COMPUTED_VALUE"""),2.9026188E7)</f>
        <v>29026188</v>
      </c>
    </row>
    <row r="2779">
      <c r="A2779" t="str">
        <f t="shared" si="1"/>
        <v>can#1995</v>
      </c>
      <c r="B2779" t="str">
        <f>IFERROR(__xludf.DUMMYFUNCTION("""COMPUTED_VALUE"""),"can")</f>
        <v>can</v>
      </c>
      <c r="C2779" t="str">
        <f>IFERROR(__xludf.DUMMYFUNCTION("""COMPUTED_VALUE"""),"Canada")</f>
        <v>Canada</v>
      </c>
      <c r="D2779">
        <f>IFERROR(__xludf.DUMMYFUNCTION("""COMPUTED_VALUE"""),1995.0)</f>
        <v>1995</v>
      </c>
      <c r="E2779">
        <f>IFERROR(__xludf.DUMMYFUNCTION("""COMPUTED_VALUE"""),2.9330073E7)</f>
        <v>29330073</v>
      </c>
    </row>
    <row r="2780">
      <c r="A2780" t="str">
        <f t="shared" si="1"/>
        <v>can#1996</v>
      </c>
      <c r="B2780" t="str">
        <f>IFERROR(__xludf.DUMMYFUNCTION("""COMPUTED_VALUE"""),"can")</f>
        <v>can</v>
      </c>
      <c r="C2780" t="str">
        <f>IFERROR(__xludf.DUMMYFUNCTION("""COMPUTED_VALUE"""),"Canada")</f>
        <v>Canada</v>
      </c>
      <c r="D2780">
        <f>IFERROR(__xludf.DUMMYFUNCTION("""COMPUTED_VALUE"""),1996.0)</f>
        <v>1996</v>
      </c>
      <c r="E2780">
        <f>IFERROR(__xludf.DUMMYFUNCTION("""COMPUTED_VALUE"""),2.9622132E7)</f>
        <v>29622132</v>
      </c>
    </row>
    <row r="2781">
      <c r="A2781" t="str">
        <f t="shared" si="1"/>
        <v>can#1997</v>
      </c>
      <c r="B2781" t="str">
        <f>IFERROR(__xludf.DUMMYFUNCTION("""COMPUTED_VALUE"""),"can")</f>
        <v>can</v>
      </c>
      <c r="C2781" t="str">
        <f>IFERROR(__xludf.DUMMYFUNCTION("""COMPUTED_VALUE"""),"Canada")</f>
        <v>Canada</v>
      </c>
      <c r="D2781">
        <f>IFERROR(__xludf.DUMMYFUNCTION("""COMPUTED_VALUE"""),1997.0)</f>
        <v>1997</v>
      </c>
      <c r="E2781">
        <f>IFERROR(__xludf.DUMMYFUNCTION("""COMPUTED_VALUE"""),2.990315E7)</f>
        <v>29903150</v>
      </c>
    </row>
    <row r="2782">
      <c r="A2782" t="str">
        <f t="shared" si="1"/>
        <v>can#1998</v>
      </c>
      <c r="B2782" t="str">
        <f>IFERROR(__xludf.DUMMYFUNCTION("""COMPUTED_VALUE"""),"can")</f>
        <v>can</v>
      </c>
      <c r="C2782" t="str">
        <f>IFERROR(__xludf.DUMMYFUNCTION("""COMPUTED_VALUE"""),"Canada")</f>
        <v>Canada</v>
      </c>
      <c r="D2782">
        <f>IFERROR(__xludf.DUMMYFUNCTION("""COMPUTED_VALUE"""),1998.0)</f>
        <v>1998</v>
      </c>
      <c r="E2782">
        <f>IFERROR(__xludf.DUMMYFUNCTION("""COMPUTED_VALUE"""),3.0178134E7)</f>
        <v>30178134</v>
      </c>
    </row>
    <row r="2783">
      <c r="A2783" t="str">
        <f t="shared" si="1"/>
        <v>can#1999</v>
      </c>
      <c r="B2783" t="str">
        <f>IFERROR(__xludf.DUMMYFUNCTION("""COMPUTED_VALUE"""),"can")</f>
        <v>can</v>
      </c>
      <c r="C2783" t="str">
        <f>IFERROR(__xludf.DUMMYFUNCTION("""COMPUTED_VALUE"""),"Canada")</f>
        <v>Canada</v>
      </c>
      <c r="D2783">
        <f>IFERROR(__xludf.DUMMYFUNCTION("""COMPUTED_VALUE"""),1999.0)</f>
        <v>1999</v>
      </c>
      <c r="E2783">
        <f>IFERROR(__xludf.DUMMYFUNCTION("""COMPUTED_VALUE"""),3.0453884E7)</f>
        <v>30453884</v>
      </c>
    </row>
    <row r="2784">
      <c r="A2784" t="str">
        <f t="shared" si="1"/>
        <v>can#2000</v>
      </c>
      <c r="B2784" t="str">
        <f>IFERROR(__xludf.DUMMYFUNCTION("""COMPUTED_VALUE"""),"can")</f>
        <v>can</v>
      </c>
      <c r="C2784" t="str">
        <f>IFERROR(__xludf.DUMMYFUNCTION("""COMPUTED_VALUE"""),"Canada")</f>
        <v>Canada</v>
      </c>
      <c r="D2784">
        <f>IFERROR(__xludf.DUMMYFUNCTION("""COMPUTED_VALUE"""),2000.0)</f>
        <v>2000</v>
      </c>
      <c r="E2784">
        <f>IFERROR(__xludf.DUMMYFUNCTION("""COMPUTED_VALUE"""),3.0735773E7)</f>
        <v>30735773</v>
      </c>
    </row>
    <row r="2785">
      <c r="A2785" t="str">
        <f t="shared" si="1"/>
        <v>can#2001</v>
      </c>
      <c r="B2785" t="str">
        <f>IFERROR(__xludf.DUMMYFUNCTION("""COMPUTED_VALUE"""),"can")</f>
        <v>can</v>
      </c>
      <c r="C2785" t="str">
        <f>IFERROR(__xludf.DUMMYFUNCTION("""COMPUTED_VALUE"""),"Canada")</f>
        <v>Canada</v>
      </c>
      <c r="D2785">
        <f>IFERROR(__xludf.DUMMYFUNCTION("""COMPUTED_VALUE"""),2001.0)</f>
        <v>2001</v>
      </c>
      <c r="E2785">
        <f>IFERROR(__xludf.DUMMYFUNCTION("""COMPUTED_VALUE"""),3.1024732E7)</f>
        <v>31024732</v>
      </c>
    </row>
    <row r="2786">
      <c r="A2786" t="str">
        <f t="shared" si="1"/>
        <v>can#2002</v>
      </c>
      <c r="B2786" t="str">
        <f>IFERROR(__xludf.DUMMYFUNCTION("""COMPUTED_VALUE"""),"can")</f>
        <v>can</v>
      </c>
      <c r="C2786" t="str">
        <f>IFERROR(__xludf.DUMMYFUNCTION("""COMPUTED_VALUE"""),"Canada")</f>
        <v>Canada</v>
      </c>
      <c r="D2786">
        <f>IFERROR(__xludf.DUMMYFUNCTION("""COMPUTED_VALUE"""),2002.0)</f>
        <v>2002</v>
      </c>
      <c r="E2786">
        <f>IFERROR(__xludf.DUMMYFUNCTION("""COMPUTED_VALUE"""),3.1320889E7)</f>
        <v>31320889</v>
      </c>
    </row>
    <row r="2787">
      <c r="A2787" t="str">
        <f t="shared" si="1"/>
        <v>can#2003</v>
      </c>
      <c r="B2787" t="str">
        <f>IFERROR(__xludf.DUMMYFUNCTION("""COMPUTED_VALUE"""),"can")</f>
        <v>can</v>
      </c>
      <c r="C2787" t="str">
        <f>IFERROR(__xludf.DUMMYFUNCTION("""COMPUTED_VALUE"""),"Canada")</f>
        <v>Canada</v>
      </c>
      <c r="D2787">
        <f>IFERROR(__xludf.DUMMYFUNCTION("""COMPUTED_VALUE"""),2003.0)</f>
        <v>2003</v>
      </c>
      <c r="E2787">
        <f>IFERROR(__xludf.DUMMYFUNCTION("""COMPUTED_VALUE"""),3.1627806E7)</f>
        <v>31627806</v>
      </c>
    </row>
    <row r="2788">
      <c r="A2788" t="str">
        <f t="shared" si="1"/>
        <v>can#2004</v>
      </c>
      <c r="B2788" t="str">
        <f>IFERROR(__xludf.DUMMYFUNCTION("""COMPUTED_VALUE"""),"can")</f>
        <v>can</v>
      </c>
      <c r="C2788" t="str">
        <f>IFERROR(__xludf.DUMMYFUNCTION("""COMPUTED_VALUE"""),"Canada")</f>
        <v>Canada</v>
      </c>
      <c r="D2788">
        <f>IFERROR(__xludf.DUMMYFUNCTION("""COMPUTED_VALUE"""),2004.0)</f>
        <v>2004</v>
      </c>
      <c r="E2788">
        <f>IFERROR(__xludf.DUMMYFUNCTION("""COMPUTED_VALUE"""),3.1949417E7)</f>
        <v>31949417</v>
      </c>
    </row>
    <row r="2789">
      <c r="A2789" t="str">
        <f t="shared" si="1"/>
        <v>can#2005</v>
      </c>
      <c r="B2789" t="str">
        <f>IFERROR(__xludf.DUMMYFUNCTION("""COMPUTED_VALUE"""),"can")</f>
        <v>can</v>
      </c>
      <c r="C2789" t="str">
        <f>IFERROR(__xludf.DUMMYFUNCTION("""COMPUTED_VALUE"""),"Canada")</f>
        <v>Canada</v>
      </c>
      <c r="D2789">
        <f>IFERROR(__xludf.DUMMYFUNCTION("""COMPUTED_VALUE"""),2005.0)</f>
        <v>2005</v>
      </c>
      <c r="E2789">
        <f>IFERROR(__xludf.DUMMYFUNCTION("""COMPUTED_VALUE"""),3.228798E7)</f>
        <v>32287980</v>
      </c>
    </row>
    <row r="2790">
      <c r="A2790" t="str">
        <f t="shared" si="1"/>
        <v>can#2006</v>
      </c>
      <c r="B2790" t="str">
        <f>IFERROR(__xludf.DUMMYFUNCTION("""COMPUTED_VALUE"""),"can")</f>
        <v>can</v>
      </c>
      <c r="C2790" t="str">
        <f>IFERROR(__xludf.DUMMYFUNCTION("""COMPUTED_VALUE"""),"Canada")</f>
        <v>Canada</v>
      </c>
      <c r="D2790">
        <f>IFERROR(__xludf.DUMMYFUNCTION("""COMPUTED_VALUE"""),2006.0)</f>
        <v>2006</v>
      </c>
      <c r="E2790">
        <f>IFERROR(__xludf.DUMMYFUNCTION("""COMPUTED_VALUE"""),3.2645483E7)</f>
        <v>32645483</v>
      </c>
    </row>
    <row r="2791">
      <c r="A2791" t="str">
        <f t="shared" si="1"/>
        <v>can#2007</v>
      </c>
      <c r="B2791" t="str">
        <f>IFERROR(__xludf.DUMMYFUNCTION("""COMPUTED_VALUE"""),"can")</f>
        <v>can</v>
      </c>
      <c r="C2791" t="str">
        <f>IFERROR(__xludf.DUMMYFUNCTION("""COMPUTED_VALUE"""),"Canada")</f>
        <v>Canada</v>
      </c>
      <c r="D2791">
        <f>IFERROR(__xludf.DUMMYFUNCTION("""COMPUTED_VALUE"""),2007.0)</f>
        <v>2007</v>
      </c>
      <c r="E2791">
        <f>IFERROR(__xludf.DUMMYFUNCTION("""COMPUTED_VALUE"""),3.3019932E7)</f>
        <v>33019932</v>
      </c>
    </row>
    <row r="2792">
      <c r="A2792" t="str">
        <f t="shared" si="1"/>
        <v>can#2008</v>
      </c>
      <c r="B2792" t="str">
        <f>IFERROR(__xludf.DUMMYFUNCTION("""COMPUTED_VALUE"""),"can")</f>
        <v>can</v>
      </c>
      <c r="C2792" t="str">
        <f>IFERROR(__xludf.DUMMYFUNCTION("""COMPUTED_VALUE"""),"Canada")</f>
        <v>Canada</v>
      </c>
      <c r="D2792">
        <f>IFERROR(__xludf.DUMMYFUNCTION("""COMPUTED_VALUE"""),2008.0)</f>
        <v>2008</v>
      </c>
      <c r="E2792">
        <f>IFERROR(__xludf.DUMMYFUNCTION("""COMPUTED_VALUE"""),3.3404548E7)</f>
        <v>33404548</v>
      </c>
    </row>
    <row r="2793">
      <c r="A2793" t="str">
        <f t="shared" si="1"/>
        <v>can#2009</v>
      </c>
      <c r="B2793" t="str">
        <f>IFERROR(__xludf.DUMMYFUNCTION("""COMPUTED_VALUE"""),"can")</f>
        <v>can</v>
      </c>
      <c r="C2793" t="str">
        <f>IFERROR(__xludf.DUMMYFUNCTION("""COMPUTED_VALUE"""),"Canada")</f>
        <v>Canada</v>
      </c>
      <c r="D2793">
        <f>IFERROR(__xludf.DUMMYFUNCTION("""COMPUTED_VALUE"""),2009.0)</f>
        <v>2009</v>
      </c>
      <c r="E2793">
        <f>IFERROR(__xludf.DUMMYFUNCTION("""COMPUTED_VALUE"""),3.3789831E7)</f>
        <v>33789831</v>
      </c>
    </row>
    <row r="2794">
      <c r="A2794" t="str">
        <f t="shared" si="1"/>
        <v>can#2010</v>
      </c>
      <c r="B2794" t="str">
        <f>IFERROR(__xludf.DUMMYFUNCTION("""COMPUTED_VALUE"""),"can")</f>
        <v>can</v>
      </c>
      <c r="C2794" t="str">
        <f>IFERROR(__xludf.DUMMYFUNCTION("""COMPUTED_VALUE"""),"Canada")</f>
        <v>Canada</v>
      </c>
      <c r="D2794">
        <f>IFERROR(__xludf.DUMMYFUNCTION("""COMPUTED_VALUE"""),2010.0)</f>
        <v>2010</v>
      </c>
      <c r="E2794">
        <f>IFERROR(__xludf.DUMMYFUNCTION("""COMPUTED_VALUE"""),3.4168668E7)</f>
        <v>34168668</v>
      </c>
    </row>
    <row r="2795">
      <c r="A2795" t="str">
        <f t="shared" si="1"/>
        <v>can#2011</v>
      </c>
      <c r="B2795" t="str">
        <f>IFERROR(__xludf.DUMMYFUNCTION("""COMPUTED_VALUE"""),"can")</f>
        <v>can</v>
      </c>
      <c r="C2795" t="str">
        <f>IFERROR(__xludf.DUMMYFUNCTION("""COMPUTED_VALUE"""),"Canada")</f>
        <v>Canada</v>
      </c>
      <c r="D2795">
        <f>IFERROR(__xludf.DUMMYFUNCTION("""COMPUTED_VALUE"""),2011.0)</f>
        <v>2011</v>
      </c>
      <c r="E2795">
        <f>IFERROR(__xludf.DUMMYFUNCTION("""COMPUTED_VALUE"""),3.4538622E7)</f>
        <v>34538622</v>
      </c>
    </row>
    <row r="2796">
      <c r="A2796" t="str">
        <f t="shared" si="1"/>
        <v>can#2012</v>
      </c>
      <c r="B2796" t="str">
        <f>IFERROR(__xludf.DUMMYFUNCTION("""COMPUTED_VALUE"""),"can")</f>
        <v>can</v>
      </c>
      <c r="C2796" t="str">
        <f>IFERROR(__xludf.DUMMYFUNCTION("""COMPUTED_VALUE"""),"Canada")</f>
        <v>Canada</v>
      </c>
      <c r="D2796">
        <f>IFERROR(__xludf.DUMMYFUNCTION("""COMPUTED_VALUE"""),2012.0)</f>
        <v>2012</v>
      </c>
      <c r="E2796">
        <f>IFERROR(__xludf.DUMMYFUNCTION("""COMPUTED_VALUE"""),3.4900705E7)</f>
        <v>34900705</v>
      </c>
    </row>
    <row r="2797">
      <c r="A2797" t="str">
        <f t="shared" si="1"/>
        <v>can#2013</v>
      </c>
      <c r="B2797" t="str">
        <f>IFERROR(__xludf.DUMMYFUNCTION("""COMPUTED_VALUE"""),"can")</f>
        <v>can</v>
      </c>
      <c r="C2797" t="str">
        <f>IFERROR(__xludf.DUMMYFUNCTION("""COMPUTED_VALUE"""),"Canada")</f>
        <v>Canada</v>
      </c>
      <c r="D2797">
        <f>IFERROR(__xludf.DUMMYFUNCTION("""COMPUTED_VALUE"""),2013.0)</f>
        <v>2013</v>
      </c>
      <c r="E2797">
        <f>IFERROR(__xludf.DUMMYFUNCTION("""COMPUTED_VALUE"""),3.5255495E7)</f>
        <v>35255495</v>
      </c>
    </row>
    <row r="2798">
      <c r="A2798" t="str">
        <f t="shared" si="1"/>
        <v>can#2014</v>
      </c>
      <c r="B2798" t="str">
        <f>IFERROR(__xludf.DUMMYFUNCTION("""COMPUTED_VALUE"""),"can")</f>
        <v>can</v>
      </c>
      <c r="C2798" t="str">
        <f>IFERROR(__xludf.DUMMYFUNCTION("""COMPUTED_VALUE"""),"Canada")</f>
        <v>Canada</v>
      </c>
      <c r="D2798">
        <f>IFERROR(__xludf.DUMMYFUNCTION("""COMPUTED_VALUE"""),2014.0)</f>
        <v>2014</v>
      </c>
      <c r="E2798">
        <f>IFERROR(__xludf.DUMMYFUNCTION("""COMPUTED_VALUE"""),3.5604728E7)</f>
        <v>35604728</v>
      </c>
    </row>
    <row r="2799">
      <c r="A2799" t="str">
        <f t="shared" si="1"/>
        <v>can#2015</v>
      </c>
      <c r="B2799" t="str">
        <f>IFERROR(__xludf.DUMMYFUNCTION("""COMPUTED_VALUE"""),"can")</f>
        <v>can</v>
      </c>
      <c r="C2799" t="str">
        <f>IFERROR(__xludf.DUMMYFUNCTION("""COMPUTED_VALUE"""),"Canada")</f>
        <v>Canada</v>
      </c>
      <c r="D2799">
        <f>IFERROR(__xludf.DUMMYFUNCTION("""COMPUTED_VALUE"""),2015.0)</f>
        <v>2015</v>
      </c>
      <c r="E2799">
        <f>IFERROR(__xludf.DUMMYFUNCTION("""COMPUTED_VALUE"""),3.5949709E7)</f>
        <v>35949709</v>
      </c>
    </row>
    <row r="2800">
      <c r="A2800" t="str">
        <f t="shared" si="1"/>
        <v>can#2016</v>
      </c>
      <c r="B2800" t="str">
        <f>IFERROR(__xludf.DUMMYFUNCTION("""COMPUTED_VALUE"""),"can")</f>
        <v>can</v>
      </c>
      <c r="C2800" t="str">
        <f>IFERROR(__xludf.DUMMYFUNCTION("""COMPUTED_VALUE"""),"Canada")</f>
        <v>Canada</v>
      </c>
      <c r="D2800">
        <f>IFERROR(__xludf.DUMMYFUNCTION("""COMPUTED_VALUE"""),2016.0)</f>
        <v>2016</v>
      </c>
      <c r="E2800">
        <f>IFERROR(__xludf.DUMMYFUNCTION("""COMPUTED_VALUE"""),3.6289822E7)</f>
        <v>36289822</v>
      </c>
    </row>
    <row r="2801">
      <c r="A2801" t="str">
        <f t="shared" si="1"/>
        <v>can#2017</v>
      </c>
      <c r="B2801" t="str">
        <f>IFERROR(__xludf.DUMMYFUNCTION("""COMPUTED_VALUE"""),"can")</f>
        <v>can</v>
      </c>
      <c r="C2801" t="str">
        <f>IFERROR(__xludf.DUMMYFUNCTION("""COMPUTED_VALUE"""),"Canada")</f>
        <v>Canada</v>
      </c>
      <c r="D2801">
        <f>IFERROR(__xludf.DUMMYFUNCTION("""COMPUTED_VALUE"""),2017.0)</f>
        <v>2017</v>
      </c>
      <c r="E2801">
        <f>IFERROR(__xludf.DUMMYFUNCTION("""COMPUTED_VALUE"""),3.6624199E7)</f>
        <v>36624199</v>
      </c>
    </row>
    <row r="2802">
      <c r="A2802" t="str">
        <f t="shared" si="1"/>
        <v>can#2018</v>
      </c>
      <c r="B2802" t="str">
        <f>IFERROR(__xludf.DUMMYFUNCTION("""COMPUTED_VALUE"""),"can")</f>
        <v>can</v>
      </c>
      <c r="C2802" t="str">
        <f>IFERROR(__xludf.DUMMYFUNCTION("""COMPUTED_VALUE"""),"Canada")</f>
        <v>Canada</v>
      </c>
      <c r="D2802">
        <f>IFERROR(__xludf.DUMMYFUNCTION("""COMPUTED_VALUE"""),2018.0)</f>
        <v>2018</v>
      </c>
      <c r="E2802">
        <f>IFERROR(__xludf.DUMMYFUNCTION("""COMPUTED_VALUE"""),3.6953765E7)</f>
        <v>36953765</v>
      </c>
    </row>
    <row r="2803">
      <c r="A2803" t="str">
        <f t="shared" si="1"/>
        <v>can#2019</v>
      </c>
      <c r="B2803" t="str">
        <f>IFERROR(__xludf.DUMMYFUNCTION("""COMPUTED_VALUE"""),"can")</f>
        <v>can</v>
      </c>
      <c r="C2803" t="str">
        <f>IFERROR(__xludf.DUMMYFUNCTION("""COMPUTED_VALUE"""),"Canada")</f>
        <v>Canada</v>
      </c>
      <c r="D2803">
        <f>IFERROR(__xludf.DUMMYFUNCTION("""COMPUTED_VALUE"""),2019.0)</f>
        <v>2019</v>
      </c>
      <c r="E2803">
        <f>IFERROR(__xludf.DUMMYFUNCTION("""COMPUTED_VALUE"""),3.7279811E7)</f>
        <v>37279811</v>
      </c>
    </row>
    <row r="2804">
      <c r="A2804" t="str">
        <f t="shared" si="1"/>
        <v>can#2020</v>
      </c>
      <c r="B2804" t="str">
        <f>IFERROR(__xludf.DUMMYFUNCTION("""COMPUTED_VALUE"""),"can")</f>
        <v>can</v>
      </c>
      <c r="C2804" t="str">
        <f>IFERROR(__xludf.DUMMYFUNCTION("""COMPUTED_VALUE"""),"Canada")</f>
        <v>Canada</v>
      </c>
      <c r="D2804">
        <f>IFERROR(__xludf.DUMMYFUNCTION("""COMPUTED_VALUE"""),2020.0)</f>
        <v>2020</v>
      </c>
      <c r="E2804">
        <f>IFERROR(__xludf.DUMMYFUNCTION("""COMPUTED_VALUE"""),3.7603205E7)</f>
        <v>37603205</v>
      </c>
    </row>
    <row r="2805">
      <c r="A2805" t="str">
        <f t="shared" si="1"/>
        <v>can#2021</v>
      </c>
      <c r="B2805" t="str">
        <f>IFERROR(__xludf.DUMMYFUNCTION("""COMPUTED_VALUE"""),"can")</f>
        <v>can</v>
      </c>
      <c r="C2805" t="str">
        <f>IFERROR(__xludf.DUMMYFUNCTION("""COMPUTED_VALUE"""),"Canada")</f>
        <v>Canada</v>
      </c>
      <c r="D2805">
        <f>IFERROR(__xludf.DUMMYFUNCTION("""COMPUTED_VALUE"""),2021.0)</f>
        <v>2021</v>
      </c>
      <c r="E2805">
        <f>IFERROR(__xludf.DUMMYFUNCTION("""COMPUTED_VALUE"""),3.7924162E7)</f>
        <v>37924162</v>
      </c>
    </row>
    <row r="2806">
      <c r="A2806" t="str">
        <f t="shared" si="1"/>
        <v>can#2022</v>
      </c>
      <c r="B2806" t="str">
        <f>IFERROR(__xludf.DUMMYFUNCTION("""COMPUTED_VALUE"""),"can")</f>
        <v>can</v>
      </c>
      <c r="C2806" t="str">
        <f>IFERROR(__xludf.DUMMYFUNCTION("""COMPUTED_VALUE"""),"Canada")</f>
        <v>Canada</v>
      </c>
      <c r="D2806">
        <f>IFERROR(__xludf.DUMMYFUNCTION("""COMPUTED_VALUE"""),2022.0)</f>
        <v>2022</v>
      </c>
      <c r="E2806">
        <f>IFERROR(__xludf.DUMMYFUNCTION("""COMPUTED_VALUE"""),3.8242226E7)</f>
        <v>38242226</v>
      </c>
    </row>
    <row r="2807">
      <c r="A2807" t="str">
        <f t="shared" si="1"/>
        <v>can#2023</v>
      </c>
      <c r="B2807" t="str">
        <f>IFERROR(__xludf.DUMMYFUNCTION("""COMPUTED_VALUE"""),"can")</f>
        <v>can</v>
      </c>
      <c r="C2807" t="str">
        <f>IFERROR(__xludf.DUMMYFUNCTION("""COMPUTED_VALUE"""),"Canada")</f>
        <v>Canada</v>
      </c>
      <c r="D2807">
        <f>IFERROR(__xludf.DUMMYFUNCTION("""COMPUTED_VALUE"""),2023.0)</f>
        <v>2023</v>
      </c>
      <c r="E2807">
        <f>IFERROR(__xludf.DUMMYFUNCTION("""COMPUTED_VALUE"""),3.8556901E7)</f>
        <v>38556901</v>
      </c>
    </row>
    <row r="2808">
      <c r="A2808" t="str">
        <f t="shared" si="1"/>
        <v>can#2024</v>
      </c>
      <c r="B2808" t="str">
        <f>IFERROR(__xludf.DUMMYFUNCTION("""COMPUTED_VALUE"""),"can")</f>
        <v>can</v>
      </c>
      <c r="C2808" t="str">
        <f>IFERROR(__xludf.DUMMYFUNCTION("""COMPUTED_VALUE"""),"Canada")</f>
        <v>Canada</v>
      </c>
      <c r="D2808">
        <f>IFERROR(__xludf.DUMMYFUNCTION("""COMPUTED_VALUE"""),2024.0)</f>
        <v>2024</v>
      </c>
      <c r="E2808">
        <f>IFERROR(__xludf.DUMMYFUNCTION("""COMPUTED_VALUE"""),3.8867347E7)</f>
        <v>38867347</v>
      </c>
    </row>
    <row r="2809">
      <c r="A2809" t="str">
        <f t="shared" si="1"/>
        <v>can#2025</v>
      </c>
      <c r="B2809" t="str">
        <f>IFERROR(__xludf.DUMMYFUNCTION("""COMPUTED_VALUE"""),"can")</f>
        <v>can</v>
      </c>
      <c r="C2809" t="str">
        <f>IFERROR(__xludf.DUMMYFUNCTION("""COMPUTED_VALUE"""),"Canada")</f>
        <v>Canada</v>
      </c>
      <c r="D2809">
        <f>IFERROR(__xludf.DUMMYFUNCTION("""COMPUTED_VALUE"""),2025.0)</f>
        <v>2025</v>
      </c>
      <c r="E2809">
        <f>IFERROR(__xludf.DUMMYFUNCTION("""COMPUTED_VALUE"""),3.9172922E7)</f>
        <v>39172922</v>
      </c>
    </row>
    <row r="2810">
      <c r="A2810" t="str">
        <f t="shared" si="1"/>
        <v>can#2026</v>
      </c>
      <c r="B2810" t="str">
        <f>IFERROR(__xludf.DUMMYFUNCTION("""COMPUTED_VALUE"""),"can")</f>
        <v>can</v>
      </c>
      <c r="C2810" t="str">
        <f>IFERROR(__xludf.DUMMYFUNCTION("""COMPUTED_VALUE"""),"Canada")</f>
        <v>Canada</v>
      </c>
      <c r="D2810">
        <f>IFERROR(__xludf.DUMMYFUNCTION("""COMPUTED_VALUE"""),2026.0)</f>
        <v>2026</v>
      </c>
      <c r="E2810">
        <f>IFERROR(__xludf.DUMMYFUNCTION("""COMPUTED_VALUE"""),3.9473509E7)</f>
        <v>39473509</v>
      </c>
    </row>
    <row r="2811">
      <c r="A2811" t="str">
        <f t="shared" si="1"/>
        <v>can#2027</v>
      </c>
      <c r="B2811" t="str">
        <f>IFERROR(__xludf.DUMMYFUNCTION("""COMPUTED_VALUE"""),"can")</f>
        <v>can</v>
      </c>
      <c r="C2811" t="str">
        <f>IFERROR(__xludf.DUMMYFUNCTION("""COMPUTED_VALUE"""),"Canada")</f>
        <v>Canada</v>
      </c>
      <c r="D2811">
        <f>IFERROR(__xludf.DUMMYFUNCTION("""COMPUTED_VALUE"""),2027.0)</f>
        <v>2027</v>
      </c>
      <c r="E2811">
        <f>IFERROR(__xludf.DUMMYFUNCTION("""COMPUTED_VALUE"""),3.9768996E7)</f>
        <v>39768996</v>
      </c>
    </row>
    <row r="2812">
      <c r="A2812" t="str">
        <f t="shared" si="1"/>
        <v>can#2028</v>
      </c>
      <c r="B2812" t="str">
        <f>IFERROR(__xludf.DUMMYFUNCTION("""COMPUTED_VALUE"""),"can")</f>
        <v>can</v>
      </c>
      <c r="C2812" t="str">
        <f>IFERROR(__xludf.DUMMYFUNCTION("""COMPUTED_VALUE"""),"Canada")</f>
        <v>Canada</v>
      </c>
      <c r="D2812">
        <f>IFERROR(__xludf.DUMMYFUNCTION("""COMPUTED_VALUE"""),2028.0)</f>
        <v>2028</v>
      </c>
      <c r="E2812">
        <f>IFERROR(__xludf.DUMMYFUNCTION("""COMPUTED_VALUE"""),4.0058684E7)</f>
        <v>40058684</v>
      </c>
    </row>
    <row r="2813">
      <c r="A2813" t="str">
        <f t="shared" si="1"/>
        <v>can#2029</v>
      </c>
      <c r="B2813" t="str">
        <f>IFERROR(__xludf.DUMMYFUNCTION("""COMPUTED_VALUE"""),"can")</f>
        <v>can</v>
      </c>
      <c r="C2813" t="str">
        <f>IFERROR(__xludf.DUMMYFUNCTION("""COMPUTED_VALUE"""),"Canada")</f>
        <v>Canada</v>
      </c>
      <c r="D2813">
        <f>IFERROR(__xludf.DUMMYFUNCTION("""COMPUTED_VALUE"""),2029.0)</f>
        <v>2029</v>
      </c>
      <c r="E2813">
        <f>IFERROR(__xludf.DUMMYFUNCTION("""COMPUTED_VALUE"""),4.0341729E7)</f>
        <v>40341729</v>
      </c>
    </row>
    <row r="2814">
      <c r="A2814" t="str">
        <f t="shared" si="1"/>
        <v>can#2030</v>
      </c>
      <c r="B2814" t="str">
        <f>IFERROR(__xludf.DUMMYFUNCTION("""COMPUTED_VALUE"""),"can")</f>
        <v>can</v>
      </c>
      <c r="C2814" t="str">
        <f>IFERROR(__xludf.DUMMYFUNCTION("""COMPUTED_VALUE"""),"Canada")</f>
        <v>Canada</v>
      </c>
      <c r="D2814">
        <f>IFERROR(__xludf.DUMMYFUNCTION("""COMPUTED_VALUE"""),2030.0)</f>
        <v>2030</v>
      </c>
      <c r="E2814">
        <f>IFERROR(__xludf.DUMMYFUNCTION("""COMPUTED_VALUE"""),4.0617535E7)</f>
        <v>40617535</v>
      </c>
    </row>
    <row r="2815">
      <c r="A2815" t="str">
        <f t="shared" si="1"/>
        <v>can#2031</v>
      </c>
      <c r="B2815" t="str">
        <f>IFERROR(__xludf.DUMMYFUNCTION("""COMPUTED_VALUE"""),"can")</f>
        <v>can</v>
      </c>
      <c r="C2815" t="str">
        <f>IFERROR(__xludf.DUMMYFUNCTION("""COMPUTED_VALUE"""),"Canada")</f>
        <v>Canada</v>
      </c>
      <c r="D2815">
        <f>IFERROR(__xludf.DUMMYFUNCTION("""COMPUTED_VALUE"""),2031.0)</f>
        <v>2031</v>
      </c>
      <c r="E2815">
        <f>IFERROR(__xludf.DUMMYFUNCTION("""COMPUTED_VALUE"""),4.0885845E7)</f>
        <v>40885845</v>
      </c>
    </row>
    <row r="2816">
      <c r="A2816" t="str">
        <f t="shared" si="1"/>
        <v>can#2032</v>
      </c>
      <c r="B2816" t="str">
        <f>IFERROR(__xludf.DUMMYFUNCTION("""COMPUTED_VALUE"""),"can")</f>
        <v>can</v>
      </c>
      <c r="C2816" t="str">
        <f>IFERROR(__xludf.DUMMYFUNCTION("""COMPUTED_VALUE"""),"Canada")</f>
        <v>Canada</v>
      </c>
      <c r="D2816">
        <f>IFERROR(__xludf.DUMMYFUNCTION("""COMPUTED_VALUE"""),2032.0)</f>
        <v>2032</v>
      </c>
      <c r="E2816">
        <f>IFERROR(__xludf.DUMMYFUNCTION("""COMPUTED_VALUE"""),4.1146793E7)</f>
        <v>41146793</v>
      </c>
    </row>
    <row r="2817">
      <c r="A2817" t="str">
        <f t="shared" si="1"/>
        <v>can#2033</v>
      </c>
      <c r="B2817" t="str">
        <f>IFERROR(__xludf.DUMMYFUNCTION("""COMPUTED_VALUE"""),"can")</f>
        <v>can</v>
      </c>
      <c r="C2817" t="str">
        <f>IFERROR(__xludf.DUMMYFUNCTION("""COMPUTED_VALUE"""),"Canada")</f>
        <v>Canada</v>
      </c>
      <c r="D2817">
        <f>IFERROR(__xludf.DUMMYFUNCTION("""COMPUTED_VALUE"""),2033.0)</f>
        <v>2033</v>
      </c>
      <c r="E2817">
        <f>IFERROR(__xludf.DUMMYFUNCTION("""COMPUTED_VALUE"""),4.1400585E7)</f>
        <v>41400585</v>
      </c>
    </row>
    <row r="2818">
      <c r="A2818" t="str">
        <f t="shared" si="1"/>
        <v>can#2034</v>
      </c>
      <c r="B2818" t="str">
        <f>IFERROR(__xludf.DUMMYFUNCTION("""COMPUTED_VALUE"""),"can")</f>
        <v>can</v>
      </c>
      <c r="C2818" t="str">
        <f>IFERROR(__xludf.DUMMYFUNCTION("""COMPUTED_VALUE"""),"Canada")</f>
        <v>Canada</v>
      </c>
      <c r="D2818">
        <f>IFERROR(__xludf.DUMMYFUNCTION("""COMPUTED_VALUE"""),2034.0)</f>
        <v>2034</v>
      </c>
      <c r="E2818">
        <f>IFERROR(__xludf.DUMMYFUNCTION("""COMPUTED_VALUE"""),4.1647652E7)</f>
        <v>41647652</v>
      </c>
    </row>
    <row r="2819">
      <c r="A2819" t="str">
        <f t="shared" si="1"/>
        <v>can#2035</v>
      </c>
      <c r="B2819" t="str">
        <f>IFERROR(__xludf.DUMMYFUNCTION("""COMPUTED_VALUE"""),"can")</f>
        <v>can</v>
      </c>
      <c r="C2819" t="str">
        <f>IFERROR(__xludf.DUMMYFUNCTION("""COMPUTED_VALUE"""),"Canada")</f>
        <v>Canada</v>
      </c>
      <c r="D2819">
        <f>IFERROR(__xludf.DUMMYFUNCTION("""COMPUTED_VALUE"""),2035.0)</f>
        <v>2035</v>
      </c>
      <c r="E2819">
        <f>IFERROR(__xludf.DUMMYFUNCTION("""COMPUTED_VALUE"""),4.1888356E7)</f>
        <v>41888356</v>
      </c>
    </row>
    <row r="2820">
      <c r="A2820" t="str">
        <f t="shared" si="1"/>
        <v>can#2036</v>
      </c>
      <c r="B2820" t="str">
        <f>IFERROR(__xludf.DUMMYFUNCTION("""COMPUTED_VALUE"""),"can")</f>
        <v>can</v>
      </c>
      <c r="C2820" t="str">
        <f>IFERROR(__xludf.DUMMYFUNCTION("""COMPUTED_VALUE"""),"Canada")</f>
        <v>Canada</v>
      </c>
      <c r="D2820">
        <f>IFERROR(__xludf.DUMMYFUNCTION("""COMPUTED_VALUE"""),2036.0)</f>
        <v>2036</v>
      </c>
      <c r="E2820">
        <f>IFERROR(__xludf.DUMMYFUNCTION("""COMPUTED_VALUE"""),4.2122835E7)</f>
        <v>42122835</v>
      </c>
    </row>
    <row r="2821">
      <c r="A2821" t="str">
        <f t="shared" si="1"/>
        <v>can#2037</v>
      </c>
      <c r="B2821" t="str">
        <f>IFERROR(__xludf.DUMMYFUNCTION("""COMPUTED_VALUE"""),"can")</f>
        <v>can</v>
      </c>
      <c r="C2821" t="str">
        <f>IFERROR(__xludf.DUMMYFUNCTION("""COMPUTED_VALUE"""),"Canada")</f>
        <v>Canada</v>
      </c>
      <c r="D2821">
        <f>IFERROR(__xludf.DUMMYFUNCTION("""COMPUTED_VALUE"""),2037.0)</f>
        <v>2037</v>
      </c>
      <c r="E2821">
        <f>IFERROR(__xludf.DUMMYFUNCTION("""COMPUTED_VALUE"""),4.2351232E7)</f>
        <v>42351232</v>
      </c>
    </row>
    <row r="2822">
      <c r="A2822" t="str">
        <f t="shared" si="1"/>
        <v>can#2038</v>
      </c>
      <c r="B2822" t="str">
        <f>IFERROR(__xludf.DUMMYFUNCTION("""COMPUTED_VALUE"""),"can")</f>
        <v>can</v>
      </c>
      <c r="C2822" t="str">
        <f>IFERROR(__xludf.DUMMYFUNCTION("""COMPUTED_VALUE"""),"Canada")</f>
        <v>Canada</v>
      </c>
      <c r="D2822">
        <f>IFERROR(__xludf.DUMMYFUNCTION("""COMPUTED_VALUE"""),2038.0)</f>
        <v>2038</v>
      </c>
      <c r="E2822">
        <f>IFERROR(__xludf.DUMMYFUNCTION("""COMPUTED_VALUE"""),4.2573987E7)</f>
        <v>42573987</v>
      </c>
    </row>
    <row r="2823">
      <c r="A2823" t="str">
        <f t="shared" si="1"/>
        <v>can#2039</v>
      </c>
      <c r="B2823" t="str">
        <f>IFERROR(__xludf.DUMMYFUNCTION("""COMPUTED_VALUE"""),"can")</f>
        <v>can</v>
      </c>
      <c r="C2823" t="str">
        <f>IFERROR(__xludf.DUMMYFUNCTION("""COMPUTED_VALUE"""),"Canada")</f>
        <v>Canada</v>
      </c>
      <c r="D2823">
        <f>IFERROR(__xludf.DUMMYFUNCTION("""COMPUTED_VALUE"""),2039.0)</f>
        <v>2039</v>
      </c>
      <c r="E2823">
        <f>IFERROR(__xludf.DUMMYFUNCTION("""COMPUTED_VALUE"""),4.2791656E7)</f>
        <v>42791656</v>
      </c>
    </row>
    <row r="2824">
      <c r="A2824" t="str">
        <f t="shared" si="1"/>
        <v>can#2040</v>
      </c>
      <c r="B2824" t="str">
        <f>IFERROR(__xludf.DUMMYFUNCTION("""COMPUTED_VALUE"""),"can")</f>
        <v>can</v>
      </c>
      <c r="C2824" t="str">
        <f>IFERROR(__xludf.DUMMYFUNCTION("""COMPUTED_VALUE"""),"Canada")</f>
        <v>Canada</v>
      </c>
      <c r="D2824">
        <f>IFERROR(__xludf.DUMMYFUNCTION("""COMPUTED_VALUE"""),2040.0)</f>
        <v>2040</v>
      </c>
      <c r="E2824">
        <f>IFERROR(__xludf.DUMMYFUNCTION("""COMPUTED_VALUE"""),4.3004685E7)</f>
        <v>43004685</v>
      </c>
    </row>
    <row r="2825">
      <c r="A2825" t="str">
        <f t="shared" si="1"/>
        <v>cpv#1950</v>
      </c>
      <c r="B2825" t="str">
        <f>IFERROR(__xludf.DUMMYFUNCTION("""COMPUTED_VALUE"""),"cpv")</f>
        <v>cpv</v>
      </c>
      <c r="C2825" t="str">
        <f>IFERROR(__xludf.DUMMYFUNCTION("""COMPUTED_VALUE"""),"Cape Verde")</f>
        <v>Cape Verde</v>
      </c>
      <c r="D2825">
        <f>IFERROR(__xludf.DUMMYFUNCTION("""COMPUTED_VALUE"""),1950.0)</f>
        <v>1950</v>
      </c>
      <c r="E2825">
        <f>IFERROR(__xludf.DUMMYFUNCTION("""COMPUTED_VALUE"""),178066.0)</f>
        <v>178066</v>
      </c>
    </row>
    <row r="2826">
      <c r="A2826" t="str">
        <f t="shared" si="1"/>
        <v>cpv#1951</v>
      </c>
      <c r="B2826" t="str">
        <f>IFERROR(__xludf.DUMMYFUNCTION("""COMPUTED_VALUE"""),"cpv")</f>
        <v>cpv</v>
      </c>
      <c r="C2826" t="str">
        <f>IFERROR(__xludf.DUMMYFUNCTION("""COMPUTED_VALUE"""),"Cape Verde")</f>
        <v>Cape Verde</v>
      </c>
      <c r="D2826">
        <f>IFERROR(__xludf.DUMMYFUNCTION("""COMPUTED_VALUE"""),1951.0)</f>
        <v>1951</v>
      </c>
      <c r="E2826">
        <f>IFERROR(__xludf.DUMMYFUNCTION("""COMPUTED_VALUE"""),186130.0)</f>
        <v>186130</v>
      </c>
    </row>
    <row r="2827">
      <c r="A2827" t="str">
        <f t="shared" si="1"/>
        <v>cpv#1952</v>
      </c>
      <c r="B2827" t="str">
        <f>IFERROR(__xludf.DUMMYFUNCTION("""COMPUTED_VALUE"""),"cpv")</f>
        <v>cpv</v>
      </c>
      <c r="C2827" t="str">
        <f>IFERROR(__xludf.DUMMYFUNCTION("""COMPUTED_VALUE"""),"Cape Verde")</f>
        <v>Cape Verde</v>
      </c>
      <c r="D2827">
        <f>IFERROR(__xludf.DUMMYFUNCTION("""COMPUTED_VALUE"""),1952.0)</f>
        <v>1952</v>
      </c>
      <c r="E2827">
        <f>IFERROR(__xludf.DUMMYFUNCTION("""COMPUTED_VALUE"""),191527.0)</f>
        <v>191527</v>
      </c>
    </row>
    <row r="2828">
      <c r="A2828" t="str">
        <f t="shared" si="1"/>
        <v>cpv#1953</v>
      </c>
      <c r="B2828" t="str">
        <f>IFERROR(__xludf.DUMMYFUNCTION("""COMPUTED_VALUE"""),"cpv")</f>
        <v>cpv</v>
      </c>
      <c r="C2828" t="str">
        <f>IFERROR(__xludf.DUMMYFUNCTION("""COMPUTED_VALUE"""),"Cape Verde")</f>
        <v>Cape Verde</v>
      </c>
      <c r="D2828">
        <f>IFERROR(__xludf.DUMMYFUNCTION("""COMPUTED_VALUE"""),1953.0)</f>
        <v>1953</v>
      </c>
      <c r="E2828">
        <f>IFERROR(__xludf.DUMMYFUNCTION("""COMPUTED_VALUE"""),194837.0)</f>
        <v>194837</v>
      </c>
    </row>
    <row r="2829">
      <c r="A2829" t="str">
        <f t="shared" si="1"/>
        <v>cpv#1954</v>
      </c>
      <c r="B2829" t="str">
        <f>IFERROR(__xludf.DUMMYFUNCTION("""COMPUTED_VALUE"""),"cpv")</f>
        <v>cpv</v>
      </c>
      <c r="C2829" t="str">
        <f>IFERROR(__xludf.DUMMYFUNCTION("""COMPUTED_VALUE"""),"Cape Verde")</f>
        <v>Cape Verde</v>
      </c>
      <c r="D2829">
        <f>IFERROR(__xludf.DUMMYFUNCTION("""COMPUTED_VALUE"""),1954.0)</f>
        <v>1954</v>
      </c>
      <c r="E2829">
        <f>IFERROR(__xludf.DUMMYFUNCTION("""COMPUTED_VALUE"""),196635.0)</f>
        <v>196635</v>
      </c>
    </row>
    <row r="2830">
      <c r="A2830" t="str">
        <f t="shared" si="1"/>
        <v>cpv#1955</v>
      </c>
      <c r="B2830" t="str">
        <f>IFERROR(__xludf.DUMMYFUNCTION("""COMPUTED_VALUE"""),"cpv")</f>
        <v>cpv</v>
      </c>
      <c r="C2830" t="str">
        <f>IFERROR(__xludf.DUMMYFUNCTION("""COMPUTED_VALUE"""),"Cape Verde")</f>
        <v>Cape Verde</v>
      </c>
      <c r="D2830">
        <f>IFERROR(__xludf.DUMMYFUNCTION("""COMPUTED_VALUE"""),1955.0)</f>
        <v>1955</v>
      </c>
      <c r="E2830">
        <f>IFERROR(__xludf.DUMMYFUNCTION("""COMPUTED_VALUE"""),197421.0)</f>
        <v>197421</v>
      </c>
    </row>
    <row r="2831">
      <c r="A2831" t="str">
        <f t="shared" si="1"/>
        <v>cpv#1956</v>
      </c>
      <c r="B2831" t="str">
        <f>IFERROR(__xludf.DUMMYFUNCTION("""COMPUTED_VALUE"""),"cpv")</f>
        <v>cpv</v>
      </c>
      <c r="C2831" t="str">
        <f>IFERROR(__xludf.DUMMYFUNCTION("""COMPUTED_VALUE"""),"Cape Verde")</f>
        <v>Cape Verde</v>
      </c>
      <c r="D2831">
        <f>IFERROR(__xludf.DUMMYFUNCTION("""COMPUTED_VALUE"""),1956.0)</f>
        <v>1956</v>
      </c>
      <c r="E2831">
        <f>IFERROR(__xludf.DUMMYFUNCTION("""COMPUTED_VALUE"""),197700.0)</f>
        <v>197700</v>
      </c>
    </row>
    <row r="2832">
      <c r="A2832" t="str">
        <f t="shared" si="1"/>
        <v>cpv#1957</v>
      </c>
      <c r="B2832" t="str">
        <f>IFERROR(__xludf.DUMMYFUNCTION("""COMPUTED_VALUE"""),"cpv")</f>
        <v>cpv</v>
      </c>
      <c r="C2832" t="str">
        <f>IFERROR(__xludf.DUMMYFUNCTION("""COMPUTED_VALUE"""),"Cape Verde")</f>
        <v>Cape Verde</v>
      </c>
      <c r="D2832">
        <f>IFERROR(__xludf.DUMMYFUNCTION("""COMPUTED_VALUE"""),1957.0)</f>
        <v>1957</v>
      </c>
      <c r="E2832">
        <f>IFERROR(__xludf.DUMMYFUNCTION("""COMPUTED_VALUE"""),197928.0)</f>
        <v>197928</v>
      </c>
    </row>
    <row r="2833">
      <c r="A2833" t="str">
        <f t="shared" si="1"/>
        <v>cpv#1958</v>
      </c>
      <c r="B2833" t="str">
        <f>IFERROR(__xludf.DUMMYFUNCTION("""COMPUTED_VALUE"""),"cpv")</f>
        <v>cpv</v>
      </c>
      <c r="C2833" t="str">
        <f>IFERROR(__xludf.DUMMYFUNCTION("""COMPUTED_VALUE"""),"Cape Verde")</f>
        <v>Cape Verde</v>
      </c>
      <c r="D2833">
        <f>IFERROR(__xludf.DUMMYFUNCTION("""COMPUTED_VALUE"""),1958.0)</f>
        <v>1958</v>
      </c>
      <c r="E2833">
        <f>IFERROR(__xludf.DUMMYFUNCTION("""COMPUTED_VALUE"""),198539.0)</f>
        <v>198539</v>
      </c>
    </row>
    <row r="2834">
      <c r="A2834" t="str">
        <f t="shared" si="1"/>
        <v>cpv#1959</v>
      </c>
      <c r="B2834" t="str">
        <f>IFERROR(__xludf.DUMMYFUNCTION("""COMPUTED_VALUE"""),"cpv")</f>
        <v>cpv</v>
      </c>
      <c r="C2834" t="str">
        <f>IFERROR(__xludf.DUMMYFUNCTION("""COMPUTED_VALUE"""),"Cape Verde")</f>
        <v>Cape Verde</v>
      </c>
      <c r="D2834">
        <f>IFERROR(__xludf.DUMMYFUNCTION("""COMPUTED_VALUE"""),1959.0)</f>
        <v>1959</v>
      </c>
      <c r="E2834">
        <f>IFERROR(__xludf.DUMMYFUNCTION("""COMPUTED_VALUE"""),199906.0)</f>
        <v>199906</v>
      </c>
    </row>
    <row r="2835">
      <c r="A2835" t="str">
        <f t="shared" si="1"/>
        <v>cpv#1960</v>
      </c>
      <c r="B2835" t="str">
        <f>IFERROR(__xludf.DUMMYFUNCTION("""COMPUTED_VALUE"""),"cpv")</f>
        <v>cpv</v>
      </c>
      <c r="C2835" t="str">
        <f>IFERROR(__xludf.DUMMYFUNCTION("""COMPUTED_VALUE"""),"Cape Verde")</f>
        <v>Cape Verde</v>
      </c>
      <c r="D2835">
        <f>IFERROR(__xludf.DUMMYFUNCTION("""COMPUTED_VALUE"""),1960.0)</f>
        <v>1960</v>
      </c>
      <c r="E2835">
        <f>IFERROR(__xludf.DUMMYFUNCTION("""COMPUTED_VALUE"""),202310.0)</f>
        <v>202310</v>
      </c>
    </row>
    <row r="2836">
      <c r="A2836" t="str">
        <f t="shared" si="1"/>
        <v>cpv#1961</v>
      </c>
      <c r="B2836" t="str">
        <f>IFERROR(__xludf.DUMMYFUNCTION("""COMPUTED_VALUE"""),"cpv")</f>
        <v>cpv</v>
      </c>
      <c r="C2836" t="str">
        <f>IFERROR(__xludf.DUMMYFUNCTION("""COMPUTED_VALUE"""),"Cape Verde")</f>
        <v>Cape Verde</v>
      </c>
      <c r="D2836">
        <f>IFERROR(__xludf.DUMMYFUNCTION("""COMPUTED_VALUE"""),1961.0)</f>
        <v>1961</v>
      </c>
      <c r="E2836">
        <f>IFERROR(__xludf.DUMMYFUNCTION("""COMPUTED_VALUE"""),205956.0)</f>
        <v>205956</v>
      </c>
    </row>
    <row r="2837">
      <c r="A2837" t="str">
        <f t="shared" si="1"/>
        <v>cpv#1962</v>
      </c>
      <c r="B2837" t="str">
        <f>IFERROR(__xludf.DUMMYFUNCTION("""COMPUTED_VALUE"""),"cpv")</f>
        <v>cpv</v>
      </c>
      <c r="C2837" t="str">
        <f>IFERROR(__xludf.DUMMYFUNCTION("""COMPUTED_VALUE"""),"Cape Verde")</f>
        <v>Cape Verde</v>
      </c>
      <c r="D2837">
        <f>IFERROR(__xludf.DUMMYFUNCTION("""COMPUTED_VALUE"""),1962.0)</f>
        <v>1962</v>
      </c>
      <c r="E2837">
        <f>IFERROR(__xludf.DUMMYFUNCTION("""COMPUTED_VALUE"""),210867.0)</f>
        <v>210867</v>
      </c>
    </row>
    <row r="2838">
      <c r="A2838" t="str">
        <f t="shared" si="1"/>
        <v>cpv#1963</v>
      </c>
      <c r="B2838" t="str">
        <f>IFERROR(__xludf.DUMMYFUNCTION("""COMPUTED_VALUE"""),"cpv")</f>
        <v>cpv</v>
      </c>
      <c r="C2838" t="str">
        <f>IFERROR(__xludf.DUMMYFUNCTION("""COMPUTED_VALUE"""),"Cape Verde")</f>
        <v>Cape Verde</v>
      </c>
      <c r="D2838">
        <f>IFERROR(__xludf.DUMMYFUNCTION("""COMPUTED_VALUE"""),1963.0)</f>
        <v>1963</v>
      </c>
      <c r="E2838">
        <f>IFERROR(__xludf.DUMMYFUNCTION("""COMPUTED_VALUE"""),216908.0)</f>
        <v>216908</v>
      </c>
    </row>
    <row r="2839">
      <c r="A2839" t="str">
        <f t="shared" si="1"/>
        <v>cpv#1964</v>
      </c>
      <c r="B2839" t="str">
        <f>IFERROR(__xludf.DUMMYFUNCTION("""COMPUTED_VALUE"""),"cpv")</f>
        <v>cpv</v>
      </c>
      <c r="C2839" t="str">
        <f>IFERROR(__xludf.DUMMYFUNCTION("""COMPUTED_VALUE"""),"Cape Verde")</f>
        <v>Cape Verde</v>
      </c>
      <c r="D2839">
        <f>IFERROR(__xludf.DUMMYFUNCTION("""COMPUTED_VALUE"""),1964.0)</f>
        <v>1964</v>
      </c>
      <c r="E2839">
        <f>IFERROR(__xludf.DUMMYFUNCTION("""COMPUTED_VALUE"""),223846.0)</f>
        <v>223846</v>
      </c>
    </row>
    <row r="2840">
      <c r="A2840" t="str">
        <f t="shared" si="1"/>
        <v>cpv#1965</v>
      </c>
      <c r="B2840" t="str">
        <f>IFERROR(__xludf.DUMMYFUNCTION("""COMPUTED_VALUE"""),"cpv")</f>
        <v>cpv</v>
      </c>
      <c r="C2840" t="str">
        <f>IFERROR(__xludf.DUMMYFUNCTION("""COMPUTED_VALUE"""),"Cape Verde")</f>
        <v>Cape Verde</v>
      </c>
      <c r="D2840">
        <f>IFERROR(__xludf.DUMMYFUNCTION("""COMPUTED_VALUE"""),1965.0)</f>
        <v>1965</v>
      </c>
      <c r="E2840">
        <f>IFERROR(__xludf.DUMMYFUNCTION("""COMPUTED_VALUE"""),231428.0)</f>
        <v>231428</v>
      </c>
    </row>
    <row r="2841">
      <c r="A2841" t="str">
        <f t="shared" si="1"/>
        <v>cpv#1966</v>
      </c>
      <c r="B2841" t="str">
        <f>IFERROR(__xludf.DUMMYFUNCTION("""COMPUTED_VALUE"""),"cpv")</f>
        <v>cpv</v>
      </c>
      <c r="C2841" t="str">
        <f>IFERROR(__xludf.DUMMYFUNCTION("""COMPUTED_VALUE"""),"Cape Verde")</f>
        <v>Cape Verde</v>
      </c>
      <c r="D2841">
        <f>IFERROR(__xludf.DUMMYFUNCTION("""COMPUTED_VALUE"""),1966.0)</f>
        <v>1966</v>
      </c>
      <c r="E2841">
        <f>IFERROR(__xludf.DUMMYFUNCTION("""COMPUTED_VALUE"""),239770.0)</f>
        <v>239770</v>
      </c>
    </row>
    <row r="2842">
      <c r="A2842" t="str">
        <f t="shared" si="1"/>
        <v>cpv#1967</v>
      </c>
      <c r="B2842" t="str">
        <f>IFERROR(__xludf.DUMMYFUNCTION("""COMPUTED_VALUE"""),"cpv")</f>
        <v>cpv</v>
      </c>
      <c r="C2842" t="str">
        <f>IFERROR(__xludf.DUMMYFUNCTION("""COMPUTED_VALUE"""),"Cape Verde")</f>
        <v>Cape Verde</v>
      </c>
      <c r="D2842">
        <f>IFERROR(__xludf.DUMMYFUNCTION("""COMPUTED_VALUE"""),1967.0)</f>
        <v>1967</v>
      </c>
      <c r="E2842">
        <f>IFERROR(__xludf.DUMMYFUNCTION("""COMPUTED_VALUE"""),248747.0)</f>
        <v>248747</v>
      </c>
    </row>
    <row r="2843">
      <c r="A2843" t="str">
        <f t="shared" si="1"/>
        <v>cpv#1968</v>
      </c>
      <c r="B2843" t="str">
        <f>IFERROR(__xludf.DUMMYFUNCTION("""COMPUTED_VALUE"""),"cpv")</f>
        <v>cpv</v>
      </c>
      <c r="C2843" t="str">
        <f>IFERROR(__xludf.DUMMYFUNCTION("""COMPUTED_VALUE"""),"Cape Verde")</f>
        <v>Cape Verde</v>
      </c>
      <c r="D2843">
        <f>IFERROR(__xludf.DUMMYFUNCTION("""COMPUTED_VALUE"""),1968.0)</f>
        <v>1968</v>
      </c>
      <c r="E2843">
        <f>IFERROR(__xludf.DUMMYFUNCTION("""COMPUTED_VALUE"""),257509.0)</f>
        <v>257509</v>
      </c>
    </row>
    <row r="2844">
      <c r="A2844" t="str">
        <f t="shared" si="1"/>
        <v>cpv#1969</v>
      </c>
      <c r="B2844" t="str">
        <f>IFERROR(__xludf.DUMMYFUNCTION("""COMPUTED_VALUE"""),"cpv")</f>
        <v>cpv</v>
      </c>
      <c r="C2844" t="str">
        <f>IFERROR(__xludf.DUMMYFUNCTION("""COMPUTED_VALUE"""),"Cape Verde")</f>
        <v>Cape Verde</v>
      </c>
      <c r="D2844">
        <f>IFERROR(__xludf.DUMMYFUNCTION("""COMPUTED_VALUE"""),1969.0)</f>
        <v>1969</v>
      </c>
      <c r="E2844">
        <f>IFERROR(__xludf.DUMMYFUNCTION("""COMPUTED_VALUE"""),264909.0)</f>
        <v>264909</v>
      </c>
    </row>
    <row r="2845">
      <c r="A2845" t="str">
        <f t="shared" si="1"/>
        <v>cpv#1970</v>
      </c>
      <c r="B2845" t="str">
        <f>IFERROR(__xludf.DUMMYFUNCTION("""COMPUTED_VALUE"""),"cpv")</f>
        <v>cpv</v>
      </c>
      <c r="C2845" t="str">
        <f>IFERROR(__xludf.DUMMYFUNCTION("""COMPUTED_VALUE"""),"Cape Verde")</f>
        <v>Cape Verde</v>
      </c>
      <c r="D2845">
        <f>IFERROR(__xludf.DUMMYFUNCTION("""COMPUTED_VALUE"""),1970.0)</f>
        <v>1970</v>
      </c>
      <c r="E2845">
        <f>IFERROR(__xludf.DUMMYFUNCTION("""COMPUTED_VALUE"""),270198.0)</f>
        <v>270198</v>
      </c>
    </row>
    <row r="2846">
      <c r="A2846" t="str">
        <f t="shared" si="1"/>
        <v>cpv#1971</v>
      </c>
      <c r="B2846" t="str">
        <f>IFERROR(__xludf.DUMMYFUNCTION("""COMPUTED_VALUE"""),"cpv")</f>
        <v>cpv</v>
      </c>
      <c r="C2846" t="str">
        <f>IFERROR(__xludf.DUMMYFUNCTION("""COMPUTED_VALUE"""),"Cape Verde")</f>
        <v>Cape Verde</v>
      </c>
      <c r="D2846">
        <f>IFERROR(__xludf.DUMMYFUNCTION("""COMPUTED_VALUE"""),1971.0)</f>
        <v>1971</v>
      </c>
      <c r="E2846">
        <f>IFERROR(__xludf.DUMMYFUNCTION("""COMPUTED_VALUE"""),272992.0)</f>
        <v>272992</v>
      </c>
    </row>
    <row r="2847">
      <c r="A2847" t="str">
        <f t="shared" si="1"/>
        <v>cpv#1972</v>
      </c>
      <c r="B2847" t="str">
        <f>IFERROR(__xludf.DUMMYFUNCTION("""COMPUTED_VALUE"""),"cpv")</f>
        <v>cpv</v>
      </c>
      <c r="C2847" t="str">
        <f>IFERROR(__xludf.DUMMYFUNCTION("""COMPUTED_VALUE"""),"Cape Verde")</f>
        <v>Cape Verde</v>
      </c>
      <c r="D2847">
        <f>IFERROR(__xludf.DUMMYFUNCTION("""COMPUTED_VALUE"""),1972.0)</f>
        <v>1972</v>
      </c>
      <c r="E2847">
        <f>IFERROR(__xludf.DUMMYFUNCTION("""COMPUTED_VALUE"""),273651.0)</f>
        <v>273651</v>
      </c>
    </row>
    <row r="2848">
      <c r="A2848" t="str">
        <f t="shared" si="1"/>
        <v>cpv#1973</v>
      </c>
      <c r="B2848" t="str">
        <f>IFERROR(__xludf.DUMMYFUNCTION("""COMPUTED_VALUE"""),"cpv")</f>
        <v>cpv</v>
      </c>
      <c r="C2848" t="str">
        <f>IFERROR(__xludf.DUMMYFUNCTION("""COMPUTED_VALUE"""),"Cape Verde")</f>
        <v>Cape Verde</v>
      </c>
      <c r="D2848">
        <f>IFERROR(__xludf.DUMMYFUNCTION("""COMPUTED_VALUE"""),1973.0)</f>
        <v>1973</v>
      </c>
      <c r="E2848">
        <f>IFERROR(__xludf.DUMMYFUNCTION("""COMPUTED_VALUE"""),273005.0)</f>
        <v>273005</v>
      </c>
    </row>
    <row r="2849">
      <c r="A2849" t="str">
        <f t="shared" si="1"/>
        <v>cpv#1974</v>
      </c>
      <c r="B2849" t="str">
        <f>IFERROR(__xludf.DUMMYFUNCTION("""COMPUTED_VALUE"""),"cpv")</f>
        <v>cpv</v>
      </c>
      <c r="C2849" t="str">
        <f>IFERROR(__xludf.DUMMYFUNCTION("""COMPUTED_VALUE"""),"Cape Verde")</f>
        <v>Cape Verde</v>
      </c>
      <c r="D2849">
        <f>IFERROR(__xludf.DUMMYFUNCTION("""COMPUTED_VALUE"""),1974.0)</f>
        <v>1974</v>
      </c>
      <c r="E2849">
        <f>IFERROR(__xludf.DUMMYFUNCTION("""COMPUTED_VALUE"""),272292.0)</f>
        <v>272292</v>
      </c>
    </row>
    <row r="2850">
      <c r="A2850" t="str">
        <f t="shared" si="1"/>
        <v>cpv#1975</v>
      </c>
      <c r="B2850" t="str">
        <f>IFERROR(__xludf.DUMMYFUNCTION("""COMPUTED_VALUE"""),"cpv")</f>
        <v>cpv</v>
      </c>
      <c r="C2850" t="str">
        <f>IFERROR(__xludf.DUMMYFUNCTION("""COMPUTED_VALUE"""),"Cape Verde")</f>
        <v>Cape Verde</v>
      </c>
      <c r="D2850">
        <f>IFERROR(__xludf.DUMMYFUNCTION("""COMPUTED_VALUE"""),1975.0)</f>
        <v>1975</v>
      </c>
      <c r="E2850">
        <f>IFERROR(__xludf.DUMMYFUNCTION("""COMPUTED_VALUE"""),272423.0)</f>
        <v>272423</v>
      </c>
    </row>
    <row r="2851">
      <c r="A2851" t="str">
        <f t="shared" si="1"/>
        <v>cpv#1976</v>
      </c>
      <c r="B2851" t="str">
        <f>IFERROR(__xludf.DUMMYFUNCTION("""COMPUTED_VALUE"""),"cpv")</f>
        <v>cpv</v>
      </c>
      <c r="C2851" t="str">
        <f>IFERROR(__xludf.DUMMYFUNCTION("""COMPUTED_VALUE"""),"Cape Verde")</f>
        <v>Cape Verde</v>
      </c>
      <c r="D2851">
        <f>IFERROR(__xludf.DUMMYFUNCTION("""COMPUTED_VALUE"""),1976.0)</f>
        <v>1976</v>
      </c>
      <c r="E2851">
        <f>IFERROR(__xludf.DUMMYFUNCTION("""COMPUTED_VALUE"""),273652.0)</f>
        <v>273652</v>
      </c>
    </row>
    <row r="2852">
      <c r="A2852" t="str">
        <f t="shared" si="1"/>
        <v>cpv#1977</v>
      </c>
      <c r="B2852" t="str">
        <f>IFERROR(__xludf.DUMMYFUNCTION("""COMPUTED_VALUE"""),"cpv")</f>
        <v>cpv</v>
      </c>
      <c r="C2852" t="str">
        <f>IFERROR(__xludf.DUMMYFUNCTION("""COMPUTED_VALUE"""),"Cape Verde")</f>
        <v>Cape Verde</v>
      </c>
      <c r="D2852">
        <f>IFERROR(__xludf.DUMMYFUNCTION("""COMPUTED_VALUE"""),1977.0)</f>
        <v>1977</v>
      </c>
      <c r="E2852">
        <f>IFERROR(__xludf.DUMMYFUNCTION("""COMPUTED_VALUE"""),275767.0)</f>
        <v>275767</v>
      </c>
    </row>
    <row r="2853">
      <c r="A2853" t="str">
        <f t="shared" si="1"/>
        <v>cpv#1978</v>
      </c>
      <c r="B2853" t="str">
        <f>IFERROR(__xludf.DUMMYFUNCTION("""COMPUTED_VALUE"""),"cpv")</f>
        <v>cpv</v>
      </c>
      <c r="C2853" t="str">
        <f>IFERROR(__xludf.DUMMYFUNCTION("""COMPUTED_VALUE"""),"Cape Verde")</f>
        <v>Cape Verde</v>
      </c>
      <c r="D2853">
        <f>IFERROR(__xludf.DUMMYFUNCTION("""COMPUTED_VALUE"""),1978.0)</f>
        <v>1978</v>
      </c>
      <c r="E2853">
        <f>IFERROR(__xludf.DUMMYFUNCTION("""COMPUTED_VALUE"""),278739.0)</f>
        <v>278739</v>
      </c>
    </row>
    <row r="2854">
      <c r="A2854" t="str">
        <f t="shared" si="1"/>
        <v>cpv#1979</v>
      </c>
      <c r="B2854" t="str">
        <f>IFERROR(__xludf.DUMMYFUNCTION("""COMPUTED_VALUE"""),"cpv")</f>
        <v>cpv</v>
      </c>
      <c r="C2854" t="str">
        <f>IFERROR(__xludf.DUMMYFUNCTION("""COMPUTED_VALUE"""),"Cape Verde")</f>
        <v>Cape Verde</v>
      </c>
      <c r="D2854">
        <f>IFERROR(__xludf.DUMMYFUNCTION("""COMPUTED_VALUE"""),1979.0)</f>
        <v>1979</v>
      </c>
      <c r="E2854">
        <f>IFERROR(__xludf.DUMMYFUNCTION("""COMPUTED_VALUE"""),282415.0)</f>
        <v>282415</v>
      </c>
    </row>
    <row r="2855">
      <c r="A2855" t="str">
        <f t="shared" si="1"/>
        <v>cpv#1980</v>
      </c>
      <c r="B2855" t="str">
        <f>IFERROR(__xludf.DUMMYFUNCTION("""COMPUTED_VALUE"""),"cpv")</f>
        <v>cpv</v>
      </c>
      <c r="C2855" t="str">
        <f>IFERROR(__xludf.DUMMYFUNCTION("""COMPUTED_VALUE"""),"Cape Verde")</f>
        <v>Cape Verde</v>
      </c>
      <c r="D2855">
        <f>IFERROR(__xludf.DUMMYFUNCTION("""COMPUTED_VALUE"""),1980.0)</f>
        <v>1980</v>
      </c>
      <c r="E2855">
        <f>IFERROR(__xludf.DUMMYFUNCTION("""COMPUTED_VALUE"""),286657.0)</f>
        <v>286657</v>
      </c>
    </row>
    <row r="2856">
      <c r="A2856" t="str">
        <f t="shared" si="1"/>
        <v>cpv#1981</v>
      </c>
      <c r="B2856" t="str">
        <f>IFERROR(__xludf.DUMMYFUNCTION("""COMPUTED_VALUE"""),"cpv")</f>
        <v>cpv</v>
      </c>
      <c r="C2856" t="str">
        <f>IFERROR(__xludf.DUMMYFUNCTION("""COMPUTED_VALUE"""),"Cape Verde")</f>
        <v>Cape Verde</v>
      </c>
      <c r="D2856">
        <f>IFERROR(__xludf.DUMMYFUNCTION("""COMPUTED_VALUE"""),1981.0)</f>
        <v>1981</v>
      </c>
      <c r="E2856">
        <f>IFERROR(__xludf.DUMMYFUNCTION("""COMPUTED_VALUE"""),291602.0)</f>
        <v>291602</v>
      </c>
    </row>
    <row r="2857">
      <c r="A2857" t="str">
        <f t="shared" si="1"/>
        <v>cpv#1982</v>
      </c>
      <c r="B2857" t="str">
        <f>IFERROR(__xludf.DUMMYFUNCTION("""COMPUTED_VALUE"""),"cpv")</f>
        <v>cpv</v>
      </c>
      <c r="C2857" t="str">
        <f>IFERROR(__xludf.DUMMYFUNCTION("""COMPUTED_VALUE"""),"Cape Verde")</f>
        <v>Cape Verde</v>
      </c>
      <c r="D2857">
        <f>IFERROR(__xludf.DUMMYFUNCTION("""COMPUTED_VALUE"""),1982.0)</f>
        <v>1982</v>
      </c>
      <c r="E2857">
        <f>IFERROR(__xludf.DUMMYFUNCTION("""COMPUTED_VALUE"""),297285.0)</f>
        <v>297285</v>
      </c>
    </row>
    <row r="2858">
      <c r="A2858" t="str">
        <f t="shared" si="1"/>
        <v>cpv#1983</v>
      </c>
      <c r="B2858" t="str">
        <f>IFERROR(__xludf.DUMMYFUNCTION("""COMPUTED_VALUE"""),"cpv")</f>
        <v>cpv</v>
      </c>
      <c r="C2858" t="str">
        <f>IFERROR(__xludf.DUMMYFUNCTION("""COMPUTED_VALUE"""),"Cape Verde")</f>
        <v>Cape Verde</v>
      </c>
      <c r="D2858">
        <f>IFERROR(__xludf.DUMMYFUNCTION("""COMPUTED_VALUE"""),1983.0)</f>
        <v>1983</v>
      </c>
      <c r="E2858">
        <f>IFERROR(__xludf.DUMMYFUNCTION("""COMPUTED_VALUE"""),303368.0)</f>
        <v>303368</v>
      </c>
    </row>
    <row r="2859">
      <c r="A2859" t="str">
        <f t="shared" si="1"/>
        <v>cpv#1984</v>
      </c>
      <c r="B2859" t="str">
        <f>IFERROR(__xludf.DUMMYFUNCTION("""COMPUTED_VALUE"""),"cpv")</f>
        <v>cpv</v>
      </c>
      <c r="C2859" t="str">
        <f>IFERROR(__xludf.DUMMYFUNCTION("""COMPUTED_VALUE"""),"Cape Verde")</f>
        <v>Cape Verde</v>
      </c>
      <c r="D2859">
        <f>IFERROR(__xludf.DUMMYFUNCTION("""COMPUTED_VALUE"""),1984.0)</f>
        <v>1984</v>
      </c>
      <c r="E2859">
        <f>IFERROR(__xludf.DUMMYFUNCTION("""COMPUTED_VALUE"""),309397.0)</f>
        <v>309397</v>
      </c>
    </row>
    <row r="2860">
      <c r="A2860" t="str">
        <f t="shared" si="1"/>
        <v>cpv#1985</v>
      </c>
      <c r="B2860" t="str">
        <f>IFERROR(__xludf.DUMMYFUNCTION("""COMPUTED_VALUE"""),"cpv")</f>
        <v>cpv</v>
      </c>
      <c r="C2860" t="str">
        <f>IFERROR(__xludf.DUMMYFUNCTION("""COMPUTED_VALUE"""),"Cape Verde")</f>
        <v>Cape Verde</v>
      </c>
      <c r="D2860">
        <f>IFERROR(__xludf.DUMMYFUNCTION("""COMPUTED_VALUE"""),1985.0)</f>
        <v>1985</v>
      </c>
      <c r="E2860">
        <f>IFERROR(__xludf.DUMMYFUNCTION("""COMPUTED_VALUE"""),315069.0)</f>
        <v>315069</v>
      </c>
    </row>
    <row r="2861">
      <c r="A2861" t="str">
        <f t="shared" si="1"/>
        <v>cpv#1986</v>
      </c>
      <c r="B2861" t="str">
        <f>IFERROR(__xludf.DUMMYFUNCTION("""COMPUTED_VALUE"""),"cpv")</f>
        <v>cpv</v>
      </c>
      <c r="C2861" t="str">
        <f>IFERROR(__xludf.DUMMYFUNCTION("""COMPUTED_VALUE"""),"Cape Verde")</f>
        <v>Cape Verde</v>
      </c>
      <c r="D2861">
        <f>IFERROR(__xludf.DUMMYFUNCTION("""COMPUTED_VALUE"""),1986.0)</f>
        <v>1986</v>
      </c>
      <c r="E2861">
        <f>IFERROR(__xludf.DUMMYFUNCTION("""COMPUTED_VALUE"""),320183.0)</f>
        <v>320183</v>
      </c>
    </row>
    <row r="2862">
      <c r="A2862" t="str">
        <f t="shared" si="1"/>
        <v>cpv#1987</v>
      </c>
      <c r="B2862" t="str">
        <f>IFERROR(__xludf.DUMMYFUNCTION("""COMPUTED_VALUE"""),"cpv")</f>
        <v>cpv</v>
      </c>
      <c r="C2862" t="str">
        <f>IFERROR(__xludf.DUMMYFUNCTION("""COMPUTED_VALUE"""),"Cape Verde")</f>
        <v>Cape Verde</v>
      </c>
      <c r="D2862">
        <f>IFERROR(__xludf.DUMMYFUNCTION("""COMPUTED_VALUE"""),1987.0)</f>
        <v>1987</v>
      </c>
      <c r="E2862">
        <f>IFERROR(__xludf.DUMMYFUNCTION("""COMPUTED_VALUE"""),324893.0)</f>
        <v>324893</v>
      </c>
    </row>
    <row r="2863">
      <c r="A2863" t="str">
        <f t="shared" si="1"/>
        <v>cpv#1988</v>
      </c>
      <c r="B2863" t="str">
        <f>IFERROR(__xludf.DUMMYFUNCTION("""COMPUTED_VALUE"""),"cpv")</f>
        <v>cpv</v>
      </c>
      <c r="C2863" t="str">
        <f>IFERROR(__xludf.DUMMYFUNCTION("""COMPUTED_VALUE"""),"Cape Verde")</f>
        <v>Cape Verde</v>
      </c>
      <c r="D2863">
        <f>IFERROR(__xludf.DUMMYFUNCTION("""COMPUTED_VALUE"""),1988.0)</f>
        <v>1988</v>
      </c>
      <c r="E2863">
        <f>IFERROR(__xludf.DUMMYFUNCTION("""COMPUTED_VALUE"""),329671.0)</f>
        <v>329671</v>
      </c>
    </row>
    <row r="2864">
      <c r="A2864" t="str">
        <f t="shared" si="1"/>
        <v>cpv#1989</v>
      </c>
      <c r="B2864" t="str">
        <f>IFERROR(__xludf.DUMMYFUNCTION("""COMPUTED_VALUE"""),"cpv")</f>
        <v>cpv</v>
      </c>
      <c r="C2864" t="str">
        <f>IFERROR(__xludf.DUMMYFUNCTION("""COMPUTED_VALUE"""),"Cape Verde")</f>
        <v>Cape Verde</v>
      </c>
      <c r="D2864">
        <f>IFERROR(__xludf.DUMMYFUNCTION("""COMPUTED_VALUE"""),1989.0)</f>
        <v>1989</v>
      </c>
      <c r="E2864">
        <f>IFERROR(__xludf.DUMMYFUNCTION("""COMPUTED_VALUE"""),335184.0)</f>
        <v>335184</v>
      </c>
    </row>
    <row r="2865">
      <c r="A2865" t="str">
        <f t="shared" si="1"/>
        <v>cpv#1990</v>
      </c>
      <c r="B2865" t="str">
        <f>IFERROR(__xludf.DUMMYFUNCTION("""COMPUTED_VALUE"""),"cpv")</f>
        <v>cpv</v>
      </c>
      <c r="C2865" t="str">
        <f>IFERROR(__xludf.DUMMYFUNCTION("""COMPUTED_VALUE"""),"Cape Verde")</f>
        <v>Cape Verde</v>
      </c>
      <c r="D2865">
        <f>IFERROR(__xludf.DUMMYFUNCTION("""COMPUTED_VALUE"""),1990.0)</f>
        <v>1990</v>
      </c>
      <c r="E2865">
        <f>IFERROR(__xludf.DUMMYFUNCTION("""COMPUTED_VALUE"""),341883.0)</f>
        <v>341883</v>
      </c>
    </row>
    <row r="2866">
      <c r="A2866" t="str">
        <f t="shared" si="1"/>
        <v>cpv#1991</v>
      </c>
      <c r="B2866" t="str">
        <f>IFERROR(__xludf.DUMMYFUNCTION("""COMPUTED_VALUE"""),"cpv")</f>
        <v>cpv</v>
      </c>
      <c r="C2866" t="str">
        <f>IFERROR(__xludf.DUMMYFUNCTION("""COMPUTED_VALUE"""),"Cape Verde")</f>
        <v>Cape Verde</v>
      </c>
      <c r="D2866">
        <f>IFERROR(__xludf.DUMMYFUNCTION("""COMPUTED_VALUE"""),1991.0)</f>
        <v>1991</v>
      </c>
      <c r="E2866">
        <f>IFERROR(__xludf.DUMMYFUNCTION("""COMPUTED_VALUE"""),349934.0)</f>
        <v>349934</v>
      </c>
    </row>
    <row r="2867">
      <c r="A2867" t="str">
        <f t="shared" si="1"/>
        <v>cpv#1992</v>
      </c>
      <c r="B2867" t="str">
        <f>IFERROR(__xludf.DUMMYFUNCTION("""COMPUTED_VALUE"""),"cpv")</f>
        <v>cpv</v>
      </c>
      <c r="C2867" t="str">
        <f>IFERROR(__xludf.DUMMYFUNCTION("""COMPUTED_VALUE"""),"Cape Verde")</f>
        <v>Cape Verde</v>
      </c>
      <c r="D2867">
        <f>IFERROR(__xludf.DUMMYFUNCTION("""COMPUTED_VALUE"""),1992.0)</f>
        <v>1992</v>
      </c>
      <c r="E2867">
        <f>IFERROR(__xludf.DUMMYFUNCTION("""COMPUTED_VALUE"""),359090.0)</f>
        <v>359090</v>
      </c>
    </row>
    <row r="2868">
      <c r="A2868" t="str">
        <f t="shared" si="1"/>
        <v>cpv#1993</v>
      </c>
      <c r="B2868" t="str">
        <f>IFERROR(__xludf.DUMMYFUNCTION("""COMPUTED_VALUE"""),"cpv")</f>
        <v>cpv</v>
      </c>
      <c r="C2868" t="str">
        <f>IFERROR(__xludf.DUMMYFUNCTION("""COMPUTED_VALUE"""),"Cape Verde")</f>
        <v>Cape Verde</v>
      </c>
      <c r="D2868">
        <f>IFERROR(__xludf.DUMMYFUNCTION("""COMPUTED_VALUE"""),1993.0)</f>
        <v>1993</v>
      </c>
      <c r="E2868">
        <f>IFERROR(__xludf.DUMMYFUNCTION("""COMPUTED_VALUE"""),369014.0)</f>
        <v>369014</v>
      </c>
    </row>
    <row r="2869">
      <c r="A2869" t="str">
        <f t="shared" si="1"/>
        <v>cpv#1994</v>
      </c>
      <c r="B2869" t="str">
        <f>IFERROR(__xludf.DUMMYFUNCTION("""COMPUTED_VALUE"""),"cpv")</f>
        <v>cpv</v>
      </c>
      <c r="C2869" t="str">
        <f>IFERROR(__xludf.DUMMYFUNCTION("""COMPUTED_VALUE"""),"Cape Verde")</f>
        <v>Cape Verde</v>
      </c>
      <c r="D2869">
        <f>IFERROR(__xludf.DUMMYFUNCTION("""COMPUTED_VALUE"""),1994.0)</f>
        <v>1994</v>
      </c>
      <c r="E2869">
        <f>IFERROR(__xludf.DUMMYFUNCTION("""COMPUTED_VALUE"""),379156.0)</f>
        <v>379156</v>
      </c>
    </row>
    <row r="2870">
      <c r="A2870" t="str">
        <f t="shared" si="1"/>
        <v>cpv#1995</v>
      </c>
      <c r="B2870" t="str">
        <f>IFERROR(__xludf.DUMMYFUNCTION("""COMPUTED_VALUE"""),"cpv")</f>
        <v>cpv</v>
      </c>
      <c r="C2870" t="str">
        <f>IFERROR(__xludf.DUMMYFUNCTION("""COMPUTED_VALUE"""),"Cape Verde")</f>
        <v>Cape Verde</v>
      </c>
      <c r="D2870">
        <f>IFERROR(__xludf.DUMMYFUNCTION("""COMPUTED_VALUE"""),1995.0)</f>
        <v>1995</v>
      </c>
      <c r="E2870">
        <f>IFERROR(__xludf.DUMMYFUNCTION("""COMPUTED_VALUE"""),389127.0)</f>
        <v>389127</v>
      </c>
    </row>
    <row r="2871">
      <c r="A2871" t="str">
        <f t="shared" si="1"/>
        <v>cpv#1996</v>
      </c>
      <c r="B2871" t="str">
        <f>IFERROR(__xludf.DUMMYFUNCTION("""COMPUTED_VALUE"""),"cpv")</f>
        <v>cpv</v>
      </c>
      <c r="C2871" t="str">
        <f>IFERROR(__xludf.DUMMYFUNCTION("""COMPUTED_VALUE"""),"Cape Verde")</f>
        <v>Cape Verde</v>
      </c>
      <c r="D2871">
        <f>IFERROR(__xludf.DUMMYFUNCTION("""COMPUTED_VALUE"""),1996.0)</f>
        <v>1996</v>
      </c>
      <c r="E2871">
        <f>IFERROR(__xludf.DUMMYFUNCTION("""COMPUTED_VALUE"""),398773.0)</f>
        <v>398773</v>
      </c>
    </row>
    <row r="2872">
      <c r="A2872" t="str">
        <f t="shared" si="1"/>
        <v>cpv#1997</v>
      </c>
      <c r="B2872" t="str">
        <f>IFERROR(__xludf.DUMMYFUNCTION("""COMPUTED_VALUE"""),"cpv")</f>
        <v>cpv</v>
      </c>
      <c r="C2872" t="str">
        <f>IFERROR(__xludf.DUMMYFUNCTION("""COMPUTED_VALUE"""),"Cape Verde")</f>
        <v>Cape Verde</v>
      </c>
      <c r="D2872">
        <f>IFERROR(__xludf.DUMMYFUNCTION("""COMPUTED_VALUE"""),1997.0)</f>
        <v>1997</v>
      </c>
      <c r="E2872">
        <f>IFERROR(__xludf.DUMMYFUNCTION("""COMPUTED_VALUE"""),408175.0)</f>
        <v>408175</v>
      </c>
    </row>
    <row r="2873">
      <c r="A2873" t="str">
        <f t="shared" si="1"/>
        <v>cpv#1998</v>
      </c>
      <c r="B2873" t="str">
        <f>IFERROR(__xludf.DUMMYFUNCTION("""COMPUTED_VALUE"""),"cpv")</f>
        <v>cpv</v>
      </c>
      <c r="C2873" t="str">
        <f>IFERROR(__xludf.DUMMYFUNCTION("""COMPUTED_VALUE"""),"Cape Verde")</f>
        <v>Cape Verde</v>
      </c>
      <c r="D2873">
        <f>IFERROR(__xludf.DUMMYFUNCTION("""COMPUTED_VALUE"""),1998.0)</f>
        <v>1998</v>
      </c>
      <c r="E2873">
        <f>IFERROR(__xludf.DUMMYFUNCTION("""COMPUTED_VALUE"""),417323.0)</f>
        <v>417323</v>
      </c>
    </row>
    <row r="2874">
      <c r="A2874" t="str">
        <f t="shared" si="1"/>
        <v>cpv#1999</v>
      </c>
      <c r="B2874" t="str">
        <f>IFERROR(__xludf.DUMMYFUNCTION("""COMPUTED_VALUE"""),"cpv")</f>
        <v>cpv</v>
      </c>
      <c r="C2874" t="str">
        <f>IFERROR(__xludf.DUMMYFUNCTION("""COMPUTED_VALUE"""),"Cape Verde")</f>
        <v>Cape Verde</v>
      </c>
      <c r="D2874">
        <f>IFERROR(__xludf.DUMMYFUNCTION("""COMPUTED_VALUE"""),1999.0)</f>
        <v>1999</v>
      </c>
      <c r="E2874">
        <f>IFERROR(__xludf.DUMMYFUNCTION("""COMPUTED_VALUE"""),426285.0)</f>
        <v>426285</v>
      </c>
    </row>
    <row r="2875">
      <c r="A2875" t="str">
        <f t="shared" si="1"/>
        <v>cpv#2000</v>
      </c>
      <c r="B2875" t="str">
        <f>IFERROR(__xludf.DUMMYFUNCTION("""COMPUTED_VALUE"""),"cpv")</f>
        <v>cpv</v>
      </c>
      <c r="C2875" t="str">
        <f>IFERROR(__xludf.DUMMYFUNCTION("""COMPUTED_VALUE"""),"Cape Verde")</f>
        <v>Cape Verde</v>
      </c>
      <c r="D2875">
        <f>IFERROR(__xludf.DUMMYFUNCTION("""COMPUTED_VALUE"""),2000.0)</f>
        <v>2000</v>
      </c>
      <c r="E2875">
        <f>IFERROR(__xludf.DUMMYFUNCTION("""COMPUTED_VALUE"""),435079.0)</f>
        <v>435079</v>
      </c>
    </row>
    <row r="2876">
      <c r="A2876" t="str">
        <f t="shared" si="1"/>
        <v>cpv#2001</v>
      </c>
      <c r="B2876" t="str">
        <f>IFERROR(__xludf.DUMMYFUNCTION("""COMPUTED_VALUE"""),"cpv")</f>
        <v>cpv</v>
      </c>
      <c r="C2876" t="str">
        <f>IFERROR(__xludf.DUMMYFUNCTION("""COMPUTED_VALUE"""),"Cape Verde")</f>
        <v>Cape Verde</v>
      </c>
      <c r="D2876">
        <f>IFERROR(__xludf.DUMMYFUNCTION("""COMPUTED_VALUE"""),2001.0)</f>
        <v>2001</v>
      </c>
      <c r="E2876">
        <f>IFERROR(__xludf.DUMMYFUNCTION("""COMPUTED_VALUE"""),443716.0)</f>
        <v>443716</v>
      </c>
    </row>
    <row r="2877">
      <c r="A2877" t="str">
        <f t="shared" si="1"/>
        <v>cpv#2002</v>
      </c>
      <c r="B2877" t="str">
        <f>IFERROR(__xludf.DUMMYFUNCTION("""COMPUTED_VALUE"""),"cpv")</f>
        <v>cpv</v>
      </c>
      <c r="C2877" t="str">
        <f>IFERROR(__xludf.DUMMYFUNCTION("""COMPUTED_VALUE"""),"Cape Verde")</f>
        <v>Cape Verde</v>
      </c>
      <c r="D2877">
        <f>IFERROR(__xludf.DUMMYFUNCTION("""COMPUTED_VALUE"""),2002.0)</f>
        <v>2002</v>
      </c>
      <c r="E2877">
        <f>IFERROR(__xludf.DUMMYFUNCTION("""COMPUTED_VALUE"""),452106.0)</f>
        <v>452106</v>
      </c>
    </row>
    <row r="2878">
      <c r="A2878" t="str">
        <f t="shared" si="1"/>
        <v>cpv#2003</v>
      </c>
      <c r="B2878" t="str">
        <f>IFERROR(__xludf.DUMMYFUNCTION("""COMPUTED_VALUE"""),"cpv")</f>
        <v>cpv</v>
      </c>
      <c r="C2878" t="str">
        <f>IFERROR(__xludf.DUMMYFUNCTION("""COMPUTED_VALUE"""),"Cape Verde")</f>
        <v>Cape Verde</v>
      </c>
      <c r="D2878">
        <f>IFERROR(__xludf.DUMMYFUNCTION("""COMPUTED_VALUE"""),2003.0)</f>
        <v>2003</v>
      </c>
      <c r="E2878">
        <f>IFERROR(__xludf.DUMMYFUNCTION("""COMPUTED_VALUE"""),460147.0)</f>
        <v>460147</v>
      </c>
    </row>
    <row r="2879">
      <c r="A2879" t="str">
        <f t="shared" si="1"/>
        <v>cpv#2004</v>
      </c>
      <c r="B2879" t="str">
        <f>IFERROR(__xludf.DUMMYFUNCTION("""COMPUTED_VALUE"""),"cpv")</f>
        <v>cpv</v>
      </c>
      <c r="C2879" t="str">
        <f>IFERROR(__xludf.DUMMYFUNCTION("""COMPUTED_VALUE"""),"Cape Verde")</f>
        <v>Cape Verde</v>
      </c>
      <c r="D2879">
        <f>IFERROR(__xludf.DUMMYFUNCTION("""COMPUTED_VALUE"""),2004.0)</f>
        <v>2004</v>
      </c>
      <c r="E2879">
        <f>IFERROR(__xludf.DUMMYFUNCTION("""COMPUTED_VALUE"""),467664.0)</f>
        <v>467664</v>
      </c>
    </row>
    <row r="2880">
      <c r="A2880" t="str">
        <f t="shared" si="1"/>
        <v>cpv#2005</v>
      </c>
      <c r="B2880" t="str">
        <f>IFERROR(__xludf.DUMMYFUNCTION("""COMPUTED_VALUE"""),"cpv")</f>
        <v>cpv</v>
      </c>
      <c r="C2880" t="str">
        <f>IFERROR(__xludf.DUMMYFUNCTION("""COMPUTED_VALUE"""),"Cape Verde")</f>
        <v>Cape Verde</v>
      </c>
      <c r="D2880">
        <f>IFERROR(__xludf.DUMMYFUNCTION("""COMPUTED_VALUE"""),2005.0)</f>
        <v>2005</v>
      </c>
      <c r="E2880">
        <f>IFERROR(__xludf.DUMMYFUNCTION("""COMPUTED_VALUE"""),474567.0)</f>
        <v>474567</v>
      </c>
    </row>
    <row r="2881">
      <c r="A2881" t="str">
        <f t="shared" si="1"/>
        <v>cpv#2006</v>
      </c>
      <c r="B2881" t="str">
        <f>IFERROR(__xludf.DUMMYFUNCTION("""COMPUTED_VALUE"""),"cpv")</f>
        <v>cpv</v>
      </c>
      <c r="C2881" t="str">
        <f>IFERROR(__xludf.DUMMYFUNCTION("""COMPUTED_VALUE"""),"Cape Verde")</f>
        <v>Cape Verde</v>
      </c>
      <c r="D2881">
        <f>IFERROR(__xludf.DUMMYFUNCTION("""COMPUTED_VALUE"""),2006.0)</f>
        <v>2006</v>
      </c>
      <c r="E2881">
        <f>IFERROR(__xludf.DUMMYFUNCTION("""COMPUTED_VALUE"""),480795.0)</f>
        <v>480795</v>
      </c>
    </row>
    <row r="2882">
      <c r="A2882" t="str">
        <f t="shared" si="1"/>
        <v>cpv#2007</v>
      </c>
      <c r="B2882" t="str">
        <f>IFERROR(__xludf.DUMMYFUNCTION("""COMPUTED_VALUE"""),"cpv")</f>
        <v>cpv</v>
      </c>
      <c r="C2882" t="str">
        <f>IFERROR(__xludf.DUMMYFUNCTION("""COMPUTED_VALUE"""),"Cape Verde")</f>
        <v>Cape Verde</v>
      </c>
      <c r="D2882">
        <f>IFERROR(__xludf.DUMMYFUNCTION("""COMPUTED_VALUE"""),2007.0)</f>
        <v>2007</v>
      </c>
      <c r="E2882">
        <f>IFERROR(__xludf.DUMMYFUNCTION("""COMPUTED_VALUE"""),486438.0)</f>
        <v>486438</v>
      </c>
    </row>
    <row r="2883">
      <c r="A2883" t="str">
        <f t="shared" si="1"/>
        <v>cpv#2008</v>
      </c>
      <c r="B2883" t="str">
        <f>IFERROR(__xludf.DUMMYFUNCTION("""COMPUTED_VALUE"""),"cpv")</f>
        <v>cpv</v>
      </c>
      <c r="C2883" t="str">
        <f>IFERROR(__xludf.DUMMYFUNCTION("""COMPUTED_VALUE"""),"Cape Verde")</f>
        <v>Cape Verde</v>
      </c>
      <c r="D2883">
        <f>IFERROR(__xludf.DUMMYFUNCTION("""COMPUTED_VALUE"""),2008.0)</f>
        <v>2008</v>
      </c>
      <c r="E2883">
        <f>IFERROR(__xludf.DUMMYFUNCTION("""COMPUTED_VALUE"""),491723.0)</f>
        <v>491723</v>
      </c>
    </row>
    <row r="2884">
      <c r="A2884" t="str">
        <f t="shared" si="1"/>
        <v>cpv#2009</v>
      </c>
      <c r="B2884" t="str">
        <f>IFERROR(__xludf.DUMMYFUNCTION("""COMPUTED_VALUE"""),"cpv")</f>
        <v>cpv</v>
      </c>
      <c r="C2884" t="str">
        <f>IFERROR(__xludf.DUMMYFUNCTION("""COMPUTED_VALUE"""),"Cape Verde")</f>
        <v>Cape Verde</v>
      </c>
      <c r="D2884">
        <f>IFERROR(__xludf.DUMMYFUNCTION("""COMPUTED_VALUE"""),2009.0)</f>
        <v>2009</v>
      </c>
      <c r="E2884">
        <f>IFERROR(__xludf.DUMMYFUNCTION("""COMPUTED_VALUE"""),496963.0)</f>
        <v>496963</v>
      </c>
    </row>
    <row r="2885">
      <c r="A2885" t="str">
        <f t="shared" si="1"/>
        <v>cpv#2010</v>
      </c>
      <c r="B2885" t="str">
        <f>IFERROR(__xludf.DUMMYFUNCTION("""COMPUTED_VALUE"""),"cpv")</f>
        <v>cpv</v>
      </c>
      <c r="C2885" t="str">
        <f>IFERROR(__xludf.DUMMYFUNCTION("""COMPUTED_VALUE"""),"Cape Verde")</f>
        <v>Cape Verde</v>
      </c>
      <c r="D2885">
        <f>IFERROR(__xludf.DUMMYFUNCTION("""COMPUTED_VALUE"""),2010.0)</f>
        <v>2010</v>
      </c>
      <c r="E2885">
        <f>IFERROR(__xludf.DUMMYFUNCTION("""COMPUTED_VALUE"""),502384.0)</f>
        <v>502384</v>
      </c>
    </row>
    <row r="2886">
      <c r="A2886" t="str">
        <f t="shared" si="1"/>
        <v>cpv#2011</v>
      </c>
      <c r="B2886" t="str">
        <f>IFERROR(__xludf.DUMMYFUNCTION("""COMPUTED_VALUE"""),"cpv")</f>
        <v>cpv</v>
      </c>
      <c r="C2886" t="str">
        <f>IFERROR(__xludf.DUMMYFUNCTION("""COMPUTED_VALUE"""),"Cape Verde")</f>
        <v>Cape Verde</v>
      </c>
      <c r="D2886">
        <f>IFERROR(__xludf.DUMMYFUNCTION("""COMPUTED_VALUE"""),2011.0)</f>
        <v>2011</v>
      </c>
      <c r="E2886">
        <f>IFERROR(__xludf.DUMMYFUNCTION("""COMPUTED_VALUE"""),508067.0)</f>
        <v>508067</v>
      </c>
    </row>
    <row r="2887">
      <c r="A2887" t="str">
        <f t="shared" si="1"/>
        <v>cpv#2012</v>
      </c>
      <c r="B2887" t="str">
        <f>IFERROR(__xludf.DUMMYFUNCTION("""COMPUTED_VALUE"""),"cpv")</f>
        <v>cpv</v>
      </c>
      <c r="C2887" t="str">
        <f>IFERROR(__xludf.DUMMYFUNCTION("""COMPUTED_VALUE"""),"Cape Verde")</f>
        <v>Cape Verde</v>
      </c>
      <c r="D2887">
        <f>IFERROR(__xludf.DUMMYFUNCTION("""COMPUTED_VALUE"""),2012.0)</f>
        <v>2012</v>
      </c>
      <c r="E2887">
        <f>IFERROR(__xludf.DUMMYFUNCTION("""COMPUTED_VALUE"""),513979.0)</f>
        <v>513979</v>
      </c>
    </row>
    <row r="2888">
      <c r="A2888" t="str">
        <f t="shared" si="1"/>
        <v>cpv#2013</v>
      </c>
      <c r="B2888" t="str">
        <f>IFERROR(__xludf.DUMMYFUNCTION("""COMPUTED_VALUE"""),"cpv")</f>
        <v>cpv</v>
      </c>
      <c r="C2888" t="str">
        <f>IFERROR(__xludf.DUMMYFUNCTION("""COMPUTED_VALUE"""),"Cape Verde")</f>
        <v>Cape Verde</v>
      </c>
      <c r="D2888">
        <f>IFERROR(__xludf.DUMMYFUNCTION("""COMPUTED_VALUE"""),2013.0)</f>
        <v>2013</v>
      </c>
      <c r="E2888">
        <f>IFERROR(__xludf.DUMMYFUNCTION("""COMPUTED_VALUE"""),520106.0)</f>
        <v>520106</v>
      </c>
    </row>
    <row r="2889">
      <c r="A2889" t="str">
        <f t="shared" si="1"/>
        <v>cpv#2014</v>
      </c>
      <c r="B2889" t="str">
        <f>IFERROR(__xludf.DUMMYFUNCTION("""COMPUTED_VALUE"""),"cpv")</f>
        <v>cpv</v>
      </c>
      <c r="C2889" t="str">
        <f>IFERROR(__xludf.DUMMYFUNCTION("""COMPUTED_VALUE"""),"Cape Verde")</f>
        <v>Cape Verde</v>
      </c>
      <c r="D2889">
        <f>IFERROR(__xludf.DUMMYFUNCTION("""COMPUTED_VALUE"""),2014.0)</f>
        <v>2014</v>
      </c>
      <c r="E2889">
        <f>IFERROR(__xludf.DUMMYFUNCTION("""COMPUTED_VALUE"""),526437.0)</f>
        <v>526437</v>
      </c>
    </row>
    <row r="2890">
      <c r="A2890" t="str">
        <f t="shared" si="1"/>
        <v>cpv#2015</v>
      </c>
      <c r="B2890" t="str">
        <f>IFERROR(__xludf.DUMMYFUNCTION("""COMPUTED_VALUE"""),"cpv")</f>
        <v>cpv</v>
      </c>
      <c r="C2890" t="str">
        <f>IFERROR(__xludf.DUMMYFUNCTION("""COMPUTED_VALUE"""),"Cape Verde")</f>
        <v>Cape Verde</v>
      </c>
      <c r="D2890">
        <f>IFERROR(__xludf.DUMMYFUNCTION("""COMPUTED_VALUE"""),2015.0)</f>
        <v>2015</v>
      </c>
      <c r="E2890">
        <f>IFERROR(__xludf.DUMMYFUNCTION("""COMPUTED_VALUE"""),532913.0)</f>
        <v>532913</v>
      </c>
    </row>
    <row r="2891">
      <c r="A2891" t="str">
        <f t="shared" si="1"/>
        <v>cpv#2016</v>
      </c>
      <c r="B2891" t="str">
        <f>IFERROR(__xludf.DUMMYFUNCTION("""COMPUTED_VALUE"""),"cpv")</f>
        <v>cpv</v>
      </c>
      <c r="C2891" t="str">
        <f>IFERROR(__xludf.DUMMYFUNCTION("""COMPUTED_VALUE"""),"Cape Verde")</f>
        <v>Cape Verde</v>
      </c>
      <c r="D2891">
        <f>IFERROR(__xludf.DUMMYFUNCTION("""COMPUTED_VALUE"""),2016.0)</f>
        <v>2016</v>
      </c>
      <c r="E2891">
        <f>IFERROR(__xludf.DUMMYFUNCTION("""COMPUTED_VALUE"""),539560.0)</f>
        <v>539560</v>
      </c>
    </row>
    <row r="2892">
      <c r="A2892" t="str">
        <f t="shared" si="1"/>
        <v>cpv#2017</v>
      </c>
      <c r="B2892" t="str">
        <f>IFERROR(__xludf.DUMMYFUNCTION("""COMPUTED_VALUE"""),"cpv")</f>
        <v>cpv</v>
      </c>
      <c r="C2892" t="str">
        <f>IFERROR(__xludf.DUMMYFUNCTION("""COMPUTED_VALUE"""),"Cape Verde")</f>
        <v>Cape Verde</v>
      </c>
      <c r="D2892">
        <f>IFERROR(__xludf.DUMMYFUNCTION("""COMPUTED_VALUE"""),2017.0)</f>
        <v>2017</v>
      </c>
      <c r="E2892">
        <f>IFERROR(__xludf.DUMMYFUNCTION("""COMPUTED_VALUE"""),546388.0)</f>
        <v>546388</v>
      </c>
    </row>
    <row r="2893">
      <c r="A2893" t="str">
        <f t="shared" si="1"/>
        <v>cpv#2018</v>
      </c>
      <c r="B2893" t="str">
        <f>IFERROR(__xludf.DUMMYFUNCTION("""COMPUTED_VALUE"""),"cpv")</f>
        <v>cpv</v>
      </c>
      <c r="C2893" t="str">
        <f>IFERROR(__xludf.DUMMYFUNCTION("""COMPUTED_VALUE"""),"Cape Verde")</f>
        <v>Cape Verde</v>
      </c>
      <c r="D2893">
        <f>IFERROR(__xludf.DUMMYFUNCTION("""COMPUTED_VALUE"""),2018.0)</f>
        <v>2018</v>
      </c>
      <c r="E2893">
        <f>IFERROR(__xludf.DUMMYFUNCTION("""COMPUTED_VALUE"""),553335.0)</f>
        <v>553335</v>
      </c>
    </row>
    <row r="2894">
      <c r="A2894" t="str">
        <f t="shared" si="1"/>
        <v>cpv#2019</v>
      </c>
      <c r="B2894" t="str">
        <f>IFERROR(__xludf.DUMMYFUNCTION("""COMPUTED_VALUE"""),"cpv")</f>
        <v>cpv</v>
      </c>
      <c r="C2894" t="str">
        <f>IFERROR(__xludf.DUMMYFUNCTION("""COMPUTED_VALUE"""),"Cape Verde")</f>
        <v>Cape Verde</v>
      </c>
      <c r="D2894">
        <f>IFERROR(__xludf.DUMMYFUNCTION("""COMPUTED_VALUE"""),2019.0)</f>
        <v>2019</v>
      </c>
      <c r="E2894">
        <f>IFERROR(__xludf.DUMMYFUNCTION("""COMPUTED_VALUE"""),560349.0)</f>
        <v>560349</v>
      </c>
    </row>
    <row r="2895">
      <c r="A2895" t="str">
        <f t="shared" si="1"/>
        <v>cpv#2020</v>
      </c>
      <c r="B2895" t="str">
        <f>IFERROR(__xludf.DUMMYFUNCTION("""COMPUTED_VALUE"""),"cpv")</f>
        <v>cpv</v>
      </c>
      <c r="C2895" t="str">
        <f>IFERROR(__xludf.DUMMYFUNCTION("""COMPUTED_VALUE"""),"Cape Verde")</f>
        <v>Cape Verde</v>
      </c>
      <c r="D2895">
        <f>IFERROR(__xludf.DUMMYFUNCTION("""COMPUTED_VALUE"""),2020.0)</f>
        <v>2020</v>
      </c>
      <c r="E2895">
        <f>IFERROR(__xludf.DUMMYFUNCTION("""COMPUTED_VALUE"""),567348.0)</f>
        <v>567348</v>
      </c>
    </row>
    <row r="2896">
      <c r="A2896" t="str">
        <f t="shared" si="1"/>
        <v>cpv#2021</v>
      </c>
      <c r="B2896" t="str">
        <f>IFERROR(__xludf.DUMMYFUNCTION("""COMPUTED_VALUE"""),"cpv")</f>
        <v>cpv</v>
      </c>
      <c r="C2896" t="str">
        <f>IFERROR(__xludf.DUMMYFUNCTION("""COMPUTED_VALUE"""),"Cape Verde")</f>
        <v>Cape Verde</v>
      </c>
      <c r="D2896">
        <f>IFERROR(__xludf.DUMMYFUNCTION("""COMPUTED_VALUE"""),2021.0)</f>
        <v>2021</v>
      </c>
      <c r="E2896">
        <f>IFERROR(__xludf.DUMMYFUNCTION("""COMPUTED_VALUE"""),574312.0)</f>
        <v>574312</v>
      </c>
    </row>
    <row r="2897">
      <c r="A2897" t="str">
        <f t="shared" si="1"/>
        <v>cpv#2022</v>
      </c>
      <c r="B2897" t="str">
        <f>IFERROR(__xludf.DUMMYFUNCTION("""COMPUTED_VALUE"""),"cpv")</f>
        <v>cpv</v>
      </c>
      <c r="C2897" t="str">
        <f>IFERROR(__xludf.DUMMYFUNCTION("""COMPUTED_VALUE"""),"Cape Verde")</f>
        <v>Cape Verde</v>
      </c>
      <c r="D2897">
        <f>IFERROR(__xludf.DUMMYFUNCTION("""COMPUTED_VALUE"""),2022.0)</f>
        <v>2022</v>
      </c>
      <c r="E2897">
        <f>IFERROR(__xludf.DUMMYFUNCTION("""COMPUTED_VALUE"""),581247.0)</f>
        <v>581247</v>
      </c>
    </row>
    <row r="2898">
      <c r="A2898" t="str">
        <f t="shared" si="1"/>
        <v>cpv#2023</v>
      </c>
      <c r="B2898" t="str">
        <f>IFERROR(__xludf.DUMMYFUNCTION("""COMPUTED_VALUE"""),"cpv")</f>
        <v>cpv</v>
      </c>
      <c r="C2898" t="str">
        <f>IFERROR(__xludf.DUMMYFUNCTION("""COMPUTED_VALUE"""),"Cape Verde")</f>
        <v>Cape Verde</v>
      </c>
      <c r="D2898">
        <f>IFERROR(__xludf.DUMMYFUNCTION("""COMPUTED_VALUE"""),2023.0)</f>
        <v>2023</v>
      </c>
      <c r="E2898">
        <f>IFERROR(__xludf.DUMMYFUNCTION("""COMPUTED_VALUE"""),588146.0)</f>
        <v>588146</v>
      </c>
    </row>
    <row r="2899">
      <c r="A2899" t="str">
        <f t="shared" si="1"/>
        <v>cpv#2024</v>
      </c>
      <c r="B2899" t="str">
        <f>IFERROR(__xludf.DUMMYFUNCTION("""COMPUTED_VALUE"""),"cpv")</f>
        <v>cpv</v>
      </c>
      <c r="C2899" t="str">
        <f>IFERROR(__xludf.DUMMYFUNCTION("""COMPUTED_VALUE"""),"Cape Verde")</f>
        <v>Cape Verde</v>
      </c>
      <c r="D2899">
        <f>IFERROR(__xludf.DUMMYFUNCTION("""COMPUTED_VALUE"""),2024.0)</f>
        <v>2024</v>
      </c>
      <c r="E2899">
        <f>IFERROR(__xludf.DUMMYFUNCTION("""COMPUTED_VALUE"""),595016.0)</f>
        <v>595016</v>
      </c>
    </row>
    <row r="2900">
      <c r="A2900" t="str">
        <f t="shared" si="1"/>
        <v>cpv#2025</v>
      </c>
      <c r="B2900" t="str">
        <f>IFERROR(__xludf.DUMMYFUNCTION("""COMPUTED_VALUE"""),"cpv")</f>
        <v>cpv</v>
      </c>
      <c r="C2900" t="str">
        <f>IFERROR(__xludf.DUMMYFUNCTION("""COMPUTED_VALUE"""),"Cape Verde")</f>
        <v>Cape Verde</v>
      </c>
      <c r="D2900">
        <f>IFERROR(__xludf.DUMMYFUNCTION("""COMPUTED_VALUE"""),2025.0)</f>
        <v>2025</v>
      </c>
      <c r="E2900">
        <f>IFERROR(__xludf.DUMMYFUNCTION("""COMPUTED_VALUE"""),601854.0)</f>
        <v>601854</v>
      </c>
    </row>
    <row r="2901">
      <c r="A2901" t="str">
        <f t="shared" si="1"/>
        <v>cpv#2026</v>
      </c>
      <c r="B2901" t="str">
        <f>IFERROR(__xludf.DUMMYFUNCTION("""COMPUTED_VALUE"""),"cpv")</f>
        <v>cpv</v>
      </c>
      <c r="C2901" t="str">
        <f>IFERROR(__xludf.DUMMYFUNCTION("""COMPUTED_VALUE"""),"Cape Verde")</f>
        <v>Cape Verde</v>
      </c>
      <c r="D2901">
        <f>IFERROR(__xludf.DUMMYFUNCTION("""COMPUTED_VALUE"""),2026.0)</f>
        <v>2026</v>
      </c>
      <c r="E2901">
        <f>IFERROR(__xludf.DUMMYFUNCTION("""COMPUTED_VALUE"""),608651.0)</f>
        <v>608651</v>
      </c>
    </row>
    <row r="2902">
      <c r="A2902" t="str">
        <f t="shared" si="1"/>
        <v>cpv#2027</v>
      </c>
      <c r="B2902" t="str">
        <f>IFERROR(__xludf.DUMMYFUNCTION("""COMPUTED_VALUE"""),"cpv")</f>
        <v>cpv</v>
      </c>
      <c r="C2902" t="str">
        <f>IFERROR(__xludf.DUMMYFUNCTION("""COMPUTED_VALUE"""),"Cape Verde")</f>
        <v>Cape Verde</v>
      </c>
      <c r="D2902">
        <f>IFERROR(__xludf.DUMMYFUNCTION("""COMPUTED_VALUE"""),2027.0)</f>
        <v>2027</v>
      </c>
      <c r="E2902">
        <f>IFERROR(__xludf.DUMMYFUNCTION("""COMPUTED_VALUE"""),615385.0)</f>
        <v>615385</v>
      </c>
    </row>
    <row r="2903">
      <c r="A2903" t="str">
        <f t="shared" si="1"/>
        <v>cpv#2028</v>
      </c>
      <c r="B2903" t="str">
        <f>IFERROR(__xludf.DUMMYFUNCTION("""COMPUTED_VALUE"""),"cpv")</f>
        <v>cpv</v>
      </c>
      <c r="C2903" t="str">
        <f>IFERROR(__xludf.DUMMYFUNCTION("""COMPUTED_VALUE"""),"Cape Verde")</f>
        <v>Cape Verde</v>
      </c>
      <c r="D2903">
        <f>IFERROR(__xludf.DUMMYFUNCTION("""COMPUTED_VALUE"""),2028.0)</f>
        <v>2028</v>
      </c>
      <c r="E2903">
        <f>IFERROR(__xludf.DUMMYFUNCTION("""COMPUTED_VALUE"""),622042.0)</f>
        <v>622042</v>
      </c>
    </row>
    <row r="2904">
      <c r="A2904" t="str">
        <f t="shared" si="1"/>
        <v>cpv#2029</v>
      </c>
      <c r="B2904" t="str">
        <f>IFERROR(__xludf.DUMMYFUNCTION("""COMPUTED_VALUE"""),"cpv")</f>
        <v>cpv</v>
      </c>
      <c r="C2904" t="str">
        <f>IFERROR(__xludf.DUMMYFUNCTION("""COMPUTED_VALUE"""),"Cape Verde")</f>
        <v>Cape Verde</v>
      </c>
      <c r="D2904">
        <f>IFERROR(__xludf.DUMMYFUNCTION("""COMPUTED_VALUE"""),2029.0)</f>
        <v>2029</v>
      </c>
      <c r="E2904">
        <f>IFERROR(__xludf.DUMMYFUNCTION("""COMPUTED_VALUE"""),628608.0)</f>
        <v>628608</v>
      </c>
    </row>
    <row r="2905">
      <c r="A2905" t="str">
        <f t="shared" si="1"/>
        <v>cpv#2030</v>
      </c>
      <c r="B2905" t="str">
        <f>IFERROR(__xludf.DUMMYFUNCTION("""COMPUTED_VALUE"""),"cpv")</f>
        <v>cpv</v>
      </c>
      <c r="C2905" t="str">
        <f>IFERROR(__xludf.DUMMYFUNCTION("""COMPUTED_VALUE"""),"Cape Verde")</f>
        <v>Cape Verde</v>
      </c>
      <c r="D2905">
        <f>IFERROR(__xludf.DUMMYFUNCTION("""COMPUTED_VALUE"""),2030.0)</f>
        <v>2030</v>
      </c>
      <c r="E2905">
        <f>IFERROR(__xludf.DUMMYFUNCTION("""COMPUTED_VALUE"""),635072.0)</f>
        <v>635072</v>
      </c>
    </row>
    <row r="2906">
      <c r="A2906" t="str">
        <f t="shared" si="1"/>
        <v>cpv#2031</v>
      </c>
      <c r="B2906" t="str">
        <f>IFERROR(__xludf.DUMMYFUNCTION("""COMPUTED_VALUE"""),"cpv")</f>
        <v>cpv</v>
      </c>
      <c r="C2906" t="str">
        <f>IFERROR(__xludf.DUMMYFUNCTION("""COMPUTED_VALUE"""),"Cape Verde")</f>
        <v>Cape Verde</v>
      </c>
      <c r="D2906">
        <f>IFERROR(__xludf.DUMMYFUNCTION("""COMPUTED_VALUE"""),2031.0)</f>
        <v>2031</v>
      </c>
      <c r="E2906">
        <f>IFERROR(__xludf.DUMMYFUNCTION("""COMPUTED_VALUE"""),641408.0)</f>
        <v>641408</v>
      </c>
    </row>
    <row r="2907">
      <c r="A2907" t="str">
        <f t="shared" si="1"/>
        <v>cpv#2032</v>
      </c>
      <c r="B2907" t="str">
        <f>IFERROR(__xludf.DUMMYFUNCTION("""COMPUTED_VALUE"""),"cpv")</f>
        <v>cpv</v>
      </c>
      <c r="C2907" t="str">
        <f>IFERROR(__xludf.DUMMYFUNCTION("""COMPUTED_VALUE"""),"Cape Verde")</f>
        <v>Cape Verde</v>
      </c>
      <c r="D2907">
        <f>IFERROR(__xludf.DUMMYFUNCTION("""COMPUTED_VALUE"""),2032.0)</f>
        <v>2032</v>
      </c>
      <c r="E2907">
        <f>IFERROR(__xludf.DUMMYFUNCTION("""COMPUTED_VALUE"""),647630.0)</f>
        <v>647630</v>
      </c>
    </row>
    <row r="2908">
      <c r="A2908" t="str">
        <f t="shared" si="1"/>
        <v>cpv#2033</v>
      </c>
      <c r="B2908" t="str">
        <f>IFERROR(__xludf.DUMMYFUNCTION("""COMPUTED_VALUE"""),"cpv")</f>
        <v>cpv</v>
      </c>
      <c r="C2908" t="str">
        <f>IFERROR(__xludf.DUMMYFUNCTION("""COMPUTED_VALUE"""),"Cape Verde")</f>
        <v>Cape Verde</v>
      </c>
      <c r="D2908">
        <f>IFERROR(__xludf.DUMMYFUNCTION("""COMPUTED_VALUE"""),2033.0)</f>
        <v>2033</v>
      </c>
      <c r="E2908">
        <f>IFERROR(__xludf.DUMMYFUNCTION("""COMPUTED_VALUE"""),653712.0)</f>
        <v>653712</v>
      </c>
    </row>
    <row r="2909">
      <c r="A2909" t="str">
        <f t="shared" si="1"/>
        <v>cpv#2034</v>
      </c>
      <c r="B2909" t="str">
        <f>IFERROR(__xludf.DUMMYFUNCTION("""COMPUTED_VALUE"""),"cpv")</f>
        <v>cpv</v>
      </c>
      <c r="C2909" t="str">
        <f>IFERROR(__xludf.DUMMYFUNCTION("""COMPUTED_VALUE"""),"Cape Verde")</f>
        <v>Cape Verde</v>
      </c>
      <c r="D2909">
        <f>IFERROR(__xludf.DUMMYFUNCTION("""COMPUTED_VALUE"""),2034.0)</f>
        <v>2034</v>
      </c>
      <c r="E2909">
        <f>IFERROR(__xludf.DUMMYFUNCTION("""COMPUTED_VALUE"""),659663.0)</f>
        <v>659663</v>
      </c>
    </row>
    <row r="2910">
      <c r="A2910" t="str">
        <f t="shared" si="1"/>
        <v>cpv#2035</v>
      </c>
      <c r="B2910" t="str">
        <f>IFERROR(__xludf.DUMMYFUNCTION("""COMPUTED_VALUE"""),"cpv")</f>
        <v>cpv</v>
      </c>
      <c r="C2910" t="str">
        <f>IFERROR(__xludf.DUMMYFUNCTION("""COMPUTED_VALUE"""),"Cape Verde")</f>
        <v>Cape Verde</v>
      </c>
      <c r="D2910">
        <f>IFERROR(__xludf.DUMMYFUNCTION("""COMPUTED_VALUE"""),2035.0)</f>
        <v>2035</v>
      </c>
      <c r="E2910">
        <f>IFERROR(__xludf.DUMMYFUNCTION("""COMPUTED_VALUE"""),665467.0)</f>
        <v>665467</v>
      </c>
    </row>
    <row r="2911">
      <c r="A2911" t="str">
        <f t="shared" si="1"/>
        <v>cpv#2036</v>
      </c>
      <c r="B2911" t="str">
        <f>IFERROR(__xludf.DUMMYFUNCTION("""COMPUTED_VALUE"""),"cpv")</f>
        <v>cpv</v>
      </c>
      <c r="C2911" t="str">
        <f>IFERROR(__xludf.DUMMYFUNCTION("""COMPUTED_VALUE"""),"Cape Verde")</f>
        <v>Cape Verde</v>
      </c>
      <c r="D2911">
        <f>IFERROR(__xludf.DUMMYFUNCTION("""COMPUTED_VALUE"""),2036.0)</f>
        <v>2036</v>
      </c>
      <c r="E2911">
        <f>IFERROR(__xludf.DUMMYFUNCTION("""COMPUTED_VALUE"""),671121.0)</f>
        <v>671121</v>
      </c>
    </row>
    <row r="2912">
      <c r="A2912" t="str">
        <f t="shared" si="1"/>
        <v>cpv#2037</v>
      </c>
      <c r="B2912" t="str">
        <f>IFERROR(__xludf.DUMMYFUNCTION("""COMPUTED_VALUE"""),"cpv")</f>
        <v>cpv</v>
      </c>
      <c r="C2912" t="str">
        <f>IFERROR(__xludf.DUMMYFUNCTION("""COMPUTED_VALUE"""),"Cape Verde")</f>
        <v>Cape Verde</v>
      </c>
      <c r="D2912">
        <f>IFERROR(__xludf.DUMMYFUNCTION("""COMPUTED_VALUE"""),2037.0)</f>
        <v>2037</v>
      </c>
      <c r="E2912">
        <f>IFERROR(__xludf.DUMMYFUNCTION("""COMPUTED_VALUE"""),676628.0)</f>
        <v>676628</v>
      </c>
    </row>
    <row r="2913">
      <c r="A2913" t="str">
        <f t="shared" si="1"/>
        <v>cpv#2038</v>
      </c>
      <c r="B2913" t="str">
        <f>IFERROR(__xludf.DUMMYFUNCTION("""COMPUTED_VALUE"""),"cpv")</f>
        <v>cpv</v>
      </c>
      <c r="C2913" t="str">
        <f>IFERROR(__xludf.DUMMYFUNCTION("""COMPUTED_VALUE"""),"Cape Verde")</f>
        <v>Cape Verde</v>
      </c>
      <c r="D2913">
        <f>IFERROR(__xludf.DUMMYFUNCTION("""COMPUTED_VALUE"""),2038.0)</f>
        <v>2038</v>
      </c>
      <c r="E2913">
        <f>IFERROR(__xludf.DUMMYFUNCTION("""COMPUTED_VALUE"""),681976.0)</f>
        <v>681976</v>
      </c>
    </row>
    <row r="2914">
      <c r="A2914" t="str">
        <f t="shared" si="1"/>
        <v>cpv#2039</v>
      </c>
      <c r="B2914" t="str">
        <f>IFERROR(__xludf.DUMMYFUNCTION("""COMPUTED_VALUE"""),"cpv")</f>
        <v>cpv</v>
      </c>
      <c r="C2914" t="str">
        <f>IFERROR(__xludf.DUMMYFUNCTION("""COMPUTED_VALUE"""),"Cape Verde")</f>
        <v>Cape Verde</v>
      </c>
      <c r="D2914">
        <f>IFERROR(__xludf.DUMMYFUNCTION("""COMPUTED_VALUE"""),2039.0)</f>
        <v>2039</v>
      </c>
      <c r="E2914">
        <f>IFERROR(__xludf.DUMMYFUNCTION("""COMPUTED_VALUE"""),687170.0)</f>
        <v>687170</v>
      </c>
    </row>
    <row r="2915">
      <c r="A2915" t="str">
        <f t="shared" si="1"/>
        <v>cpv#2040</v>
      </c>
      <c r="B2915" t="str">
        <f>IFERROR(__xludf.DUMMYFUNCTION("""COMPUTED_VALUE"""),"cpv")</f>
        <v>cpv</v>
      </c>
      <c r="C2915" t="str">
        <f>IFERROR(__xludf.DUMMYFUNCTION("""COMPUTED_VALUE"""),"Cape Verde")</f>
        <v>Cape Verde</v>
      </c>
      <c r="D2915">
        <f>IFERROR(__xludf.DUMMYFUNCTION("""COMPUTED_VALUE"""),2040.0)</f>
        <v>2040</v>
      </c>
      <c r="E2915">
        <f>IFERROR(__xludf.DUMMYFUNCTION("""COMPUTED_VALUE"""),692212.0)</f>
        <v>692212</v>
      </c>
    </row>
    <row r="2916">
      <c r="A2916" t="str">
        <f t="shared" si="1"/>
        <v>caf#1950</v>
      </c>
      <c r="B2916" t="str">
        <f>IFERROR(__xludf.DUMMYFUNCTION("""COMPUTED_VALUE"""),"caf")</f>
        <v>caf</v>
      </c>
      <c r="C2916" t="str">
        <f>IFERROR(__xludf.DUMMYFUNCTION("""COMPUTED_VALUE"""),"Central African Republic")</f>
        <v>Central African Republic</v>
      </c>
      <c r="D2916">
        <f>IFERROR(__xludf.DUMMYFUNCTION("""COMPUTED_VALUE"""),1950.0)</f>
        <v>1950</v>
      </c>
      <c r="E2916">
        <f>IFERROR(__xludf.DUMMYFUNCTION("""COMPUTED_VALUE"""),1326652.0)</f>
        <v>1326652</v>
      </c>
    </row>
    <row r="2917">
      <c r="A2917" t="str">
        <f t="shared" si="1"/>
        <v>caf#1951</v>
      </c>
      <c r="B2917" t="str">
        <f>IFERROR(__xludf.DUMMYFUNCTION("""COMPUTED_VALUE"""),"caf")</f>
        <v>caf</v>
      </c>
      <c r="C2917" t="str">
        <f>IFERROR(__xludf.DUMMYFUNCTION("""COMPUTED_VALUE"""),"Central African Republic")</f>
        <v>Central African Republic</v>
      </c>
      <c r="D2917">
        <f>IFERROR(__xludf.DUMMYFUNCTION("""COMPUTED_VALUE"""),1951.0)</f>
        <v>1951</v>
      </c>
      <c r="E2917">
        <f>IFERROR(__xludf.DUMMYFUNCTION("""COMPUTED_VALUE"""),1339840.0)</f>
        <v>1339840</v>
      </c>
    </row>
    <row r="2918">
      <c r="A2918" t="str">
        <f t="shared" si="1"/>
        <v>caf#1952</v>
      </c>
      <c r="B2918" t="str">
        <f>IFERROR(__xludf.DUMMYFUNCTION("""COMPUTED_VALUE"""),"caf")</f>
        <v>caf</v>
      </c>
      <c r="C2918" t="str">
        <f>IFERROR(__xludf.DUMMYFUNCTION("""COMPUTED_VALUE"""),"Central African Republic")</f>
        <v>Central African Republic</v>
      </c>
      <c r="D2918">
        <f>IFERROR(__xludf.DUMMYFUNCTION("""COMPUTED_VALUE"""),1952.0)</f>
        <v>1952</v>
      </c>
      <c r="E2918">
        <f>IFERROR(__xludf.DUMMYFUNCTION("""COMPUTED_VALUE"""),1353470.0)</f>
        <v>1353470</v>
      </c>
    </row>
    <row r="2919">
      <c r="A2919" t="str">
        <f t="shared" si="1"/>
        <v>caf#1953</v>
      </c>
      <c r="B2919" t="str">
        <f>IFERROR(__xludf.DUMMYFUNCTION("""COMPUTED_VALUE"""),"caf")</f>
        <v>caf</v>
      </c>
      <c r="C2919" t="str">
        <f>IFERROR(__xludf.DUMMYFUNCTION("""COMPUTED_VALUE"""),"Central African Republic")</f>
        <v>Central African Republic</v>
      </c>
      <c r="D2919">
        <f>IFERROR(__xludf.DUMMYFUNCTION("""COMPUTED_VALUE"""),1953.0)</f>
        <v>1953</v>
      </c>
      <c r="E2919">
        <f>IFERROR(__xludf.DUMMYFUNCTION("""COMPUTED_VALUE"""),1367797.0)</f>
        <v>1367797</v>
      </c>
    </row>
    <row r="2920">
      <c r="A2920" t="str">
        <f t="shared" si="1"/>
        <v>caf#1954</v>
      </c>
      <c r="B2920" t="str">
        <f>IFERROR(__xludf.DUMMYFUNCTION("""COMPUTED_VALUE"""),"caf")</f>
        <v>caf</v>
      </c>
      <c r="C2920" t="str">
        <f>IFERROR(__xludf.DUMMYFUNCTION("""COMPUTED_VALUE"""),"Central African Republic")</f>
        <v>Central African Republic</v>
      </c>
      <c r="D2920">
        <f>IFERROR(__xludf.DUMMYFUNCTION("""COMPUTED_VALUE"""),1954.0)</f>
        <v>1954</v>
      </c>
      <c r="E2920">
        <f>IFERROR(__xludf.DUMMYFUNCTION("""COMPUTED_VALUE"""),1383073.0)</f>
        <v>1383073</v>
      </c>
    </row>
    <row r="2921">
      <c r="A2921" t="str">
        <f t="shared" si="1"/>
        <v>caf#1955</v>
      </c>
      <c r="B2921" t="str">
        <f>IFERROR(__xludf.DUMMYFUNCTION("""COMPUTED_VALUE"""),"caf")</f>
        <v>caf</v>
      </c>
      <c r="C2921" t="str">
        <f>IFERROR(__xludf.DUMMYFUNCTION("""COMPUTED_VALUE"""),"Central African Republic")</f>
        <v>Central African Republic</v>
      </c>
      <c r="D2921">
        <f>IFERROR(__xludf.DUMMYFUNCTION("""COMPUTED_VALUE"""),1955.0)</f>
        <v>1955</v>
      </c>
      <c r="E2921">
        <f>IFERROR(__xludf.DUMMYFUNCTION("""COMPUTED_VALUE"""),1399487.0)</f>
        <v>1399487</v>
      </c>
    </row>
    <row r="2922">
      <c r="A2922" t="str">
        <f t="shared" si="1"/>
        <v>caf#1956</v>
      </c>
      <c r="B2922" t="str">
        <f>IFERROR(__xludf.DUMMYFUNCTION("""COMPUTED_VALUE"""),"caf")</f>
        <v>caf</v>
      </c>
      <c r="C2922" t="str">
        <f>IFERROR(__xludf.DUMMYFUNCTION("""COMPUTED_VALUE"""),"Central African Republic")</f>
        <v>Central African Republic</v>
      </c>
      <c r="D2922">
        <f>IFERROR(__xludf.DUMMYFUNCTION("""COMPUTED_VALUE"""),1956.0)</f>
        <v>1956</v>
      </c>
      <c r="E2922">
        <f>IFERROR(__xludf.DUMMYFUNCTION("""COMPUTED_VALUE"""),1417218.0)</f>
        <v>1417218</v>
      </c>
    </row>
    <row r="2923">
      <c r="A2923" t="str">
        <f t="shared" si="1"/>
        <v>caf#1957</v>
      </c>
      <c r="B2923" t="str">
        <f>IFERROR(__xludf.DUMMYFUNCTION("""COMPUTED_VALUE"""),"caf")</f>
        <v>caf</v>
      </c>
      <c r="C2923" t="str">
        <f>IFERROR(__xludf.DUMMYFUNCTION("""COMPUTED_VALUE"""),"Central African Republic")</f>
        <v>Central African Republic</v>
      </c>
      <c r="D2923">
        <f>IFERROR(__xludf.DUMMYFUNCTION("""COMPUTED_VALUE"""),1957.0)</f>
        <v>1957</v>
      </c>
      <c r="E2923">
        <f>IFERROR(__xludf.DUMMYFUNCTION("""COMPUTED_VALUE"""),1436391.0)</f>
        <v>1436391</v>
      </c>
    </row>
    <row r="2924">
      <c r="A2924" t="str">
        <f t="shared" si="1"/>
        <v>caf#1958</v>
      </c>
      <c r="B2924" t="str">
        <f>IFERROR(__xludf.DUMMYFUNCTION("""COMPUTED_VALUE"""),"caf")</f>
        <v>caf</v>
      </c>
      <c r="C2924" t="str">
        <f>IFERROR(__xludf.DUMMYFUNCTION("""COMPUTED_VALUE"""),"Central African Republic")</f>
        <v>Central African Republic</v>
      </c>
      <c r="D2924">
        <f>IFERROR(__xludf.DUMMYFUNCTION("""COMPUTED_VALUE"""),1958.0)</f>
        <v>1958</v>
      </c>
      <c r="E2924">
        <f>IFERROR(__xludf.DUMMYFUNCTION("""COMPUTED_VALUE"""),1457113.0)</f>
        <v>1457113</v>
      </c>
    </row>
    <row r="2925">
      <c r="A2925" t="str">
        <f t="shared" si="1"/>
        <v>caf#1959</v>
      </c>
      <c r="B2925" t="str">
        <f>IFERROR(__xludf.DUMMYFUNCTION("""COMPUTED_VALUE"""),"caf")</f>
        <v>caf</v>
      </c>
      <c r="C2925" t="str">
        <f>IFERROR(__xludf.DUMMYFUNCTION("""COMPUTED_VALUE"""),"Central African Republic")</f>
        <v>Central African Republic</v>
      </c>
      <c r="D2925">
        <f>IFERROR(__xludf.DUMMYFUNCTION("""COMPUTED_VALUE"""),1959.0)</f>
        <v>1959</v>
      </c>
      <c r="E2925">
        <f>IFERROR(__xludf.DUMMYFUNCTION("""COMPUTED_VALUE"""),1479470.0)</f>
        <v>1479470</v>
      </c>
    </row>
    <row r="2926">
      <c r="A2926" t="str">
        <f t="shared" si="1"/>
        <v>caf#1960</v>
      </c>
      <c r="B2926" t="str">
        <f>IFERROR(__xludf.DUMMYFUNCTION("""COMPUTED_VALUE"""),"caf")</f>
        <v>caf</v>
      </c>
      <c r="C2926" t="str">
        <f>IFERROR(__xludf.DUMMYFUNCTION("""COMPUTED_VALUE"""),"Central African Republic")</f>
        <v>Central African Republic</v>
      </c>
      <c r="D2926">
        <f>IFERROR(__xludf.DUMMYFUNCTION("""COMPUTED_VALUE"""),1960.0)</f>
        <v>1960</v>
      </c>
      <c r="E2926">
        <f>IFERROR(__xludf.DUMMYFUNCTION("""COMPUTED_VALUE"""),1503508.0)</f>
        <v>1503508</v>
      </c>
    </row>
    <row r="2927">
      <c r="A2927" t="str">
        <f t="shared" si="1"/>
        <v>caf#1961</v>
      </c>
      <c r="B2927" t="str">
        <f>IFERROR(__xludf.DUMMYFUNCTION("""COMPUTED_VALUE"""),"caf")</f>
        <v>caf</v>
      </c>
      <c r="C2927" t="str">
        <f>IFERROR(__xludf.DUMMYFUNCTION("""COMPUTED_VALUE"""),"Central African Republic")</f>
        <v>Central African Republic</v>
      </c>
      <c r="D2927">
        <f>IFERROR(__xludf.DUMMYFUNCTION("""COMPUTED_VALUE"""),1961.0)</f>
        <v>1961</v>
      </c>
      <c r="E2927">
        <f>IFERROR(__xludf.DUMMYFUNCTION("""COMPUTED_VALUE"""),1529227.0)</f>
        <v>1529227</v>
      </c>
    </row>
    <row r="2928">
      <c r="A2928" t="str">
        <f t="shared" si="1"/>
        <v>caf#1962</v>
      </c>
      <c r="B2928" t="str">
        <f>IFERROR(__xludf.DUMMYFUNCTION("""COMPUTED_VALUE"""),"caf")</f>
        <v>caf</v>
      </c>
      <c r="C2928" t="str">
        <f>IFERROR(__xludf.DUMMYFUNCTION("""COMPUTED_VALUE"""),"Central African Republic")</f>
        <v>Central African Republic</v>
      </c>
      <c r="D2928">
        <f>IFERROR(__xludf.DUMMYFUNCTION("""COMPUTED_VALUE"""),1962.0)</f>
        <v>1962</v>
      </c>
      <c r="E2928">
        <f>IFERROR(__xludf.DUMMYFUNCTION("""COMPUTED_VALUE"""),1556661.0)</f>
        <v>1556661</v>
      </c>
    </row>
    <row r="2929">
      <c r="A2929" t="str">
        <f t="shared" si="1"/>
        <v>caf#1963</v>
      </c>
      <c r="B2929" t="str">
        <f>IFERROR(__xludf.DUMMYFUNCTION("""COMPUTED_VALUE"""),"caf")</f>
        <v>caf</v>
      </c>
      <c r="C2929" t="str">
        <f>IFERROR(__xludf.DUMMYFUNCTION("""COMPUTED_VALUE"""),"Central African Republic")</f>
        <v>Central African Republic</v>
      </c>
      <c r="D2929">
        <f>IFERROR(__xludf.DUMMYFUNCTION("""COMPUTED_VALUE"""),1963.0)</f>
        <v>1963</v>
      </c>
      <c r="E2929">
        <f>IFERROR(__xludf.DUMMYFUNCTION("""COMPUTED_VALUE"""),1585763.0)</f>
        <v>1585763</v>
      </c>
    </row>
    <row r="2930">
      <c r="A2930" t="str">
        <f t="shared" si="1"/>
        <v>caf#1964</v>
      </c>
      <c r="B2930" t="str">
        <f>IFERROR(__xludf.DUMMYFUNCTION("""COMPUTED_VALUE"""),"caf")</f>
        <v>caf</v>
      </c>
      <c r="C2930" t="str">
        <f>IFERROR(__xludf.DUMMYFUNCTION("""COMPUTED_VALUE"""),"Central African Republic")</f>
        <v>Central African Republic</v>
      </c>
      <c r="D2930">
        <f>IFERROR(__xludf.DUMMYFUNCTION("""COMPUTED_VALUE"""),1964.0)</f>
        <v>1964</v>
      </c>
      <c r="E2930">
        <f>IFERROR(__xludf.DUMMYFUNCTION("""COMPUTED_VALUE"""),1616516.0)</f>
        <v>1616516</v>
      </c>
    </row>
    <row r="2931">
      <c r="A2931" t="str">
        <f t="shared" si="1"/>
        <v>caf#1965</v>
      </c>
      <c r="B2931" t="str">
        <f>IFERROR(__xludf.DUMMYFUNCTION("""COMPUTED_VALUE"""),"caf")</f>
        <v>caf</v>
      </c>
      <c r="C2931" t="str">
        <f>IFERROR(__xludf.DUMMYFUNCTION("""COMPUTED_VALUE"""),"Central African Republic")</f>
        <v>Central African Republic</v>
      </c>
      <c r="D2931">
        <f>IFERROR(__xludf.DUMMYFUNCTION("""COMPUTED_VALUE"""),1965.0)</f>
        <v>1965</v>
      </c>
      <c r="E2931">
        <f>IFERROR(__xludf.DUMMYFUNCTION("""COMPUTED_VALUE"""),1648833.0)</f>
        <v>1648833</v>
      </c>
    </row>
    <row r="2932">
      <c r="A2932" t="str">
        <f t="shared" si="1"/>
        <v>caf#1966</v>
      </c>
      <c r="B2932" t="str">
        <f>IFERROR(__xludf.DUMMYFUNCTION("""COMPUTED_VALUE"""),"caf")</f>
        <v>caf</v>
      </c>
      <c r="C2932" t="str">
        <f>IFERROR(__xludf.DUMMYFUNCTION("""COMPUTED_VALUE"""),"Central African Republic")</f>
        <v>Central African Republic</v>
      </c>
      <c r="D2932">
        <f>IFERROR(__xludf.DUMMYFUNCTION("""COMPUTED_VALUE"""),1966.0)</f>
        <v>1966</v>
      </c>
      <c r="E2932">
        <f>IFERROR(__xludf.DUMMYFUNCTION("""COMPUTED_VALUE"""),1682885.0)</f>
        <v>1682885</v>
      </c>
    </row>
    <row r="2933">
      <c r="A2933" t="str">
        <f t="shared" si="1"/>
        <v>caf#1967</v>
      </c>
      <c r="B2933" t="str">
        <f>IFERROR(__xludf.DUMMYFUNCTION("""COMPUTED_VALUE"""),"caf")</f>
        <v>caf</v>
      </c>
      <c r="C2933" t="str">
        <f>IFERROR(__xludf.DUMMYFUNCTION("""COMPUTED_VALUE"""),"Central African Republic")</f>
        <v>Central African Republic</v>
      </c>
      <c r="D2933">
        <f>IFERROR(__xludf.DUMMYFUNCTION("""COMPUTED_VALUE"""),1967.0)</f>
        <v>1967</v>
      </c>
      <c r="E2933">
        <f>IFERROR(__xludf.DUMMYFUNCTION("""COMPUTED_VALUE"""),1718603.0)</f>
        <v>1718603</v>
      </c>
    </row>
    <row r="2934">
      <c r="A2934" t="str">
        <f t="shared" si="1"/>
        <v>caf#1968</v>
      </c>
      <c r="B2934" t="str">
        <f>IFERROR(__xludf.DUMMYFUNCTION("""COMPUTED_VALUE"""),"caf")</f>
        <v>caf</v>
      </c>
      <c r="C2934" t="str">
        <f>IFERROR(__xludf.DUMMYFUNCTION("""COMPUTED_VALUE"""),"Central African Republic")</f>
        <v>Central African Republic</v>
      </c>
      <c r="D2934">
        <f>IFERROR(__xludf.DUMMYFUNCTION("""COMPUTED_VALUE"""),1968.0)</f>
        <v>1968</v>
      </c>
      <c r="E2934">
        <f>IFERROR(__xludf.DUMMYFUNCTION("""COMPUTED_VALUE"""),1755344.0)</f>
        <v>1755344</v>
      </c>
    </row>
    <row r="2935">
      <c r="A2935" t="str">
        <f t="shared" si="1"/>
        <v>caf#1969</v>
      </c>
      <c r="B2935" t="str">
        <f>IFERROR(__xludf.DUMMYFUNCTION("""COMPUTED_VALUE"""),"caf")</f>
        <v>caf</v>
      </c>
      <c r="C2935" t="str">
        <f>IFERROR(__xludf.DUMMYFUNCTION("""COMPUTED_VALUE"""),"Central African Republic")</f>
        <v>Central African Republic</v>
      </c>
      <c r="D2935">
        <f>IFERROR(__xludf.DUMMYFUNCTION("""COMPUTED_VALUE"""),1969.0)</f>
        <v>1969</v>
      </c>
      <c r="E2935">
        <f>IFERROR(__xludf.DUMMYFUNCTION("""COMPUTED_VALUE"""),1792220.0)</f>
        <v>1792220</v>
      </c>
    </row>
    <row r="2936">
      <c r="A2936" t="str">
        <f t="shared" si="1"/>
        <v>caf#1970</v>
      </c>
      <c r="B2936" t="str">
        <f>IFERROR(__xludf.DUMMYFUNCTION("""COMPUTED_VALUE"""),"caf")</f>
        <v>caf</v>
      </c>
      <c r="C2936" t="str">
        <f>IFERROR(__xludf.DUMMYFUNCTION("""COMPUTED_VALUE"""),"Central African Republic")</f>
        <v>Central African Republic</v>
      </c>
      <c r="D2936">
        <f>IFERROR(__xludf.DUMMYFUNCTION("""COMPUTED_VALUE"""),1970.0)</f>
        <v>1970</v>
      </c>
      <c r="E2936">
        <f>IFERROR(__xludf.DUMMYFUNCTION("""COMPUTED_VALUE"""),1828709.0)</f>
        <v>1828709</v>
      </c>
    </row>
    <row r="2937">
      <c r="A2937" t="str">
        <f t="shared" si="1"/>
        <v>caf#1971</v>
      </c>
      <c r="B2937" t="str">
        <f>IFERROR(__xludf.DUMMYFUNCTION("""COMPUTED_VALUE"""),"caf")</f>
        <v>caf</v>
      </c>
      <c r="C2937" t="str">
        <f>IFERROR(__xludf.DUMMYFUNCTION("""COMPUTED_VALUE"""),"Central African Republic")</f>
        <v>Central African Republic</v>
      </c>
      <c r="D2937">
        <f>IFERROR(__xludf.DUMMYFUNCTION("""COMPUTED_VALUE"""),1971.0)</f>
        <v>1971</v>
      </c>
      <c r="E2937">
        <f>IFERROR(__xludf.DUMMYFUNCTION("""COMPUTED_VALUE"""),1864598.0)</f>
        <v>1864598</v>
      </c>
    </row>
    <row r="2938">
      <c r="A2938" t="str">
        <f t="shared" si="1"/>
        <v>caf#1972</v>
      </c>
      <c r="B2938" t="str">
        <f>IFERROR(__xludf.DUMMYFUNCTION("""COMPUTED_VALUE"""),"caf")</f>
        <v>caf</v>
      </c>
      <c r="C2938" t="str">
        <f>IFERROR(__xludf.DUMMYFUNCTION("""COMPUTED_VALUE"""),"Central African Republic")</f>
        <v>Central African Republic</v>
      </c>
      <c r="D2938">
        <f>IFERROR(__xludf.DUMMYFUNCTION("""COMPUTED_VALUE"""),1972.0)</f>
        <v>1972</v>
      </c>
      <c r="E2938">
        <f>IFERROR(__xludf.DUMMYFUNCTION("""COMPUTED_VALUE"""),1900317.0)</f>
        <v>1900317</v>
      </c>
    </row>
    <row r="2939">
      <c r="A2939" t="str">
        <f t="shared" si="1"/>
        <v>caf#1973</v>
      </c>
      <c r="B2939" t="str">
        <f>IFERROR(__xludf.DUMMYFUNCTION("""COMPUTED_VALUE"""),"caf")</f>
        <v>caf</v>
      </c>
      <c r="C2939" t="str">
        <f>IFERROR(__xludf.DUMMYFUNCTION("""COMPUTED_VALUE"""),"Central African Republic")</f>
        <v>Central African Republic</v>
      </c>
      <c r="D2939">
        <f>IFERROR(__xludf.DUMMYFUNCTION("""COMPUTED_VALUE"""),1973.0)</f>
        <v>1973</v>
      </c>
      <c r="E2939">
        <f>IFERROR(__xludf.DUMMYFUNCTION("""COMPUTED_VALUE"""),1936841.0)</f>
        <v>1936841</v>
      </c>
    </row>
    <row r="2940">
      <c r="A2940" t="str">
        <f t="shared" si="1"/>
        <v>caf#1974</v>
      </c>
      <c r="B2940" t="str">
        <f>IFERROR(__xludf.DUMMYFUNCTION("""COMPUTED_VALUE"""),"caf")</f>
        <v>caf</v>
      </c>
      <c r="C2940" t="str">
        <f>IFERROR(__xludf.DUMMYFUNCTION("""COMPUTED_VALUE"""),"Central African Republic")</f>
        <v>Central African Republic</v>
      </c>
      <c r="D2940">
        <f>IFERROR(__xludf.DUMMYFUNCTION("""COMPUTED_VALUE"""),1974.0)</f>
        <v>1974</v>
      </c>
      <c r="E2940">
        <f>IFERROR(__xludf.DUMMYFUNCTION("""COMPUTED_VALUE"""),1975521.0)</f>
        <v>1975521</v>
      </c>
    </row>
    <row r="2941">
      <c r="A2941" t="str">
        <f t="shared" si="1"/>
        <v>caf#1975</v>
      </c>
      <c r="B2941" t="str">
        <f>IFERROR(__xludf.DUMMYFUNCTION("""COMPUTED_VALUE"""),"caf")</f>
        <v>caf</v>
      </c>
      <c r="C2941" t="str">
        <f>IFERROR(__xludf.DUMMYFUNCTION("""COMPUTED_VALUE"""),"Central African Republic")</f>
        <v>Central African Republic</v>
      </c>
      <c r="D2941">
        <f>IFERROR(__xludf.DUMMYFUNCTION("""COMPUTED_VALUE"""),1975.0)</f>
        <v>1975</v>
      </c>
      <c r="E2941">
        <f>IFERROR(__xludf.DUMMYFUNCTION("""COMPUTED_VALUE"""),2017372.0)</f>
        <v>2017372</v>
      </c>
    </row>
    <row r="2942">
      <c r="A2942" t="str">
        <f t="shared" si="1"/>
        <v>caf#1976</v>
      </c>
      <c r="B2942" t="str">
        <f>IFERROR(__xludf.DUMMYFUNCTION("""COMPUTED_VALUE"""),"caf")</f>
        <v>caf</v>
      </c>
      <c r="C2942" t="str">
        <f>IFERROR(__xludf.DUMMYFUNCTION("""COMPUTED_VALUE"""),"Central African Republic")</f>
        <v>Central African Republic</v>
      </c>
      <c r="D2942">
        <f>IFERROR(__xludf.DUMMYFUNCTION("""COMPUTED_VALUE"""),1976.0)</f>
        <v>1976</v>
      </c>
      <c r="E2942">
        <f>IFERROR(__xludf.DUMMYFUNCTION("""COMPUTED_VALUE"""),2062405.0)</f>
        <v>2062405</v>
      </c>
    </row>
    <row r="2943">
      <c r="A2943" t="str">
        <f t="shared" si="1"/>
        <v>caf#1977</v>
      </c>
      <c r="B2943" t="str">
        <f>IFERROR(__xludf.DUMMYFUNCTION("""COMPUTED_VALUE"""),"caf")</f>
        <v>caf</v>
      </c>
      <c r="C2943" t="str">
        <f>IFERROR(__xludf.DUMMYFUNCTION("""COMPUTED_VALUE"""),"Central African Republic")</f>
        <v>Central African Republic</v>
      </c>
      <c r="D2943">
        <f>IFERROR(__xludf.DUMMYFUNCTION("""COMPUTED_VALUE"""),1977.0)</f>
        <v>1977</v>
      </c>
      <c r="E2943">
        <f>IFERROR(__xludf.DUMMYFUNCTION("""COMPUTED_VALUE"""),2110457.0)</f>
        <v>2110457</v>
      </c>
    </row>
    <row r="2944">
      <c r="A2944" t="str">
        <f t="shared" si="1"/>
        <v>caf#1978</v>
      </c>
      <c r="B2944" t="str">
        <f>IFERROR(__xludf.DUMMYFUNCTION("""COMPUTED_VALUE"""),"caf")</f>
        <v>caf</v>
      </c>
      <c r="C2944" t="str">
        <f>IFERROR(__xludf.DUMMYFUNCTION("""COMPUTED_VALUE"""),"Central African Republic")</f>
        <v>Central African Republic</v>
      </c>
      <c r="D2944">
        <f>IFERROR(__xludf.DUMMYFUNCTION("""COMPUTED_VALUE"""),1978.0)</f>
        <v>1978</v>
      </c>
      <c r="E2944">
        <f>IFERROR(__xludf.DUMMYFUNCTION("""COMPUTED_VALUE"""),2162249.0)</f>
        <v>2162249</v>
      </c>
    </row>
    <row r="2945">
      <c r="A2945" t="str">
        <f t="shared" si="1"/>
        <v>caf#1979</v>
      </c>
      <c r="B2945" t="str">
        <f>IFERROR(__xludf.DUMMYFUNCTION("""COMPUTED_VALUE"""),"caf")</f>
        <v>caf</v>
      </c>
      <c r="C2945" t="str">
        <f>IFERROR(__xludf.DUMMYFUNCTION("""COMPUTED_VALUE"""),"Central African Republic")</f>
        <v>Central African Republic</v>
      </c>
      <c r="D2945">
        <f>IFERROR(__xludf.DUMMYFUNCTION("""COMPUTED_VALUE"""),1979.0)</f>
        <v>1979</v>
      </c>
      <c r="E2945">
        <f>IFERROR(__xludf.DUMMYFUNCTION("""COMPUTED_VALUE"""),2218575.0)</f>
        <v>2218575</v>
      </c>
    </row>
    <row r="2946">
      <c r="A2946" t="str">
        <f t="shared" si="1"/>
        <v>caf#1980</v>
      </c>
      <c r="B2946" t="str">
        <f>IFERROR(__xludf.DUMMYFUNCTION("""COMPUTED_VALUE"""),"caf")</f>
        <v>caf</v>
      </c>
      <c r="C2946" t="str">
        <f>IFERROR(__xludf.DUMMYFUNCTION("""COMPUTED_VALUE"""),"Central African Republic")</f>
        <v>Central African Republic</v>
      </c>
      <c r="D2946">
        <f>IFERROR(__xludf.DUMMYFUNCTION("""COMPUTED_VALUE"""),1980.0)</f>
        <v>1980</v>
      </c>
      <c r="E2946">
        <f>IFERROR(__xludf.DUMMYFUNCTION("""COMPUTED_VALUE"""),2279821.0)</f>
        <v>2279821</v>
      </c>
    </row>
    <row r="2947">
      <c r="A2947" t="str">
        <f t="shared" si="1"/>
        <v>caf#1981</v>
      </c>
      <c r="B2947" t="str">
        <f>IFERROR(__xludf.DUMMYFUNCTION("""COMPUTED_VALUE"""),"caf")</f>
        <v>caf</v>
      </c>
      <c r="C2947" t="str">
        <f>IFERROR(__xludf.DUMMYFUNCTION("""COMPUTED_VALUE"""),"Central African Republic")</f>
        <v>Central African Republic</v>
      </c>
      <c r="D2947">
        <f>IFERROR(__xludf.DUMMYFUNCTION("""COMPUTED_VALUE"""),1981.0)</f>
        <v>1981</v>
      </c>
      <c r="E2947">
        <f>IFERROR(__xludf.DUMMYFUNCTION("""COMPUTED_VALUE"""),2346797.0)</f>
        <v>2346797</v>
      </c>
    </row>
    <row r="2948">
      <c r="A2948" t="str">
        <f t="shared" si="1"/>
        <v>caf#1982</v>
      </c>
      <c r="B2948" t="str">
        <f>IFERROR(__xludf.DUMMYFUNCTION("""COMPUTED_VALUE"""),"caf")</f>
        <v>caf</v>
      </c>
      <c r="C2948" t="str">
        <f>IFERROR(__xludf.DUMMYFUNCTION("""COMPUTED_VALUE"""),"Central African Republic")</f>
        <v>Central African Republic</v>
      </c>
      <c r="D2948">
        <f>IFERROR(__xludf.DUMMYFUNCTION("""COMPUTED_VALUE"""),1982.0)</f>
        <v>1982</v>
      </c>
      <c r="E2948">
        <f>IFERROR(__xludf.DUMMYFUNCTION("""COMPUTED_VALUE"""),2418844.0)</f>
        <v>2418844</v>
      </c>
    </row>
    <row r="2949">
      <c r="A2949" t="str">
        <f t="shared" si="1"/>
        <v>caf#1983</v>
      </c>
      <c r="B2949" t="str">
        <f>IFERROR(__xludf.DUMMYFUNCTION("""COMPUTED_VALUE"""),"caf")</f>
        <v>caf</v>
      </c>
      <c r="C2949" t="str">
        <f>IFERROR(__xludf.DUMMYFUNCTION("""COMPUTED_VALUE"""),"Central African Republic")</f>
        <v>Central African Republic</v>
      </c>
      <c r="D2949">
        <f>IFERROR(__xludf.DUMMYFUNCTION("""COMPUTED_VALUE"""),1983.0)</f>
        <v>1983</v>
      </c>
      <c r="E2949">
        <f>IFERROR(__xludf.DUMMYFUNCTION("""COMPUTED_VALUE"""),2493135.0)</f>
        <v>2493135</v>
      </c>
    </row>
    <row r="2950">
      <c r="A2950" t="str">
        <f t="shared" si="1"/>
        <v>caf#1984</v>
      </c>
      <c r="B2950" t="str">
        <f>IFERROR(__xludf.DUMMYFUNCTION("""COMPUTED_VALUE"""),"caf")</f>
        <v>caf</v>
      </c>
      <c r="C2950" t="str">
        <f>IFERROR(__xludf.DUMMYFUNCTION("""COMPUTED_VALUE"""),"Central African Republic")</f>
        <v>Central African Republic</v>
      </c>
      <c r="D2950">
        <f>IFERROR(__xludf.DUMMYFUNCTION("""COMPUTED_VALUE"""),1984.0)</f>
        <v>1984</v>
      </c>
      <c r="E2950">
        <f>IFERROR(__xludf.DUMMYFUNCTION("""COMPUTED_VALUE"""),2565803.0)</f>
        <v>2565803</v>
      </c>
    </row>
    <row r="2951">
      <c r="A2951" t="str">
        <f t="shared" si="1"/>
        <v>caf#1985</v>
      </c>
      <c r="B2951" t="str">
        <f>IFERROR(__xludf.DUMMYFUNCTION("""COMPUTED_VALUE"""),"caf")</f>
        <v>caf</v>
      </c>
      <c r="C2951" t="str">
        <f>IFERROR(__xludf.DUMMYFUNCTION("""COMPUTED_VALUE"""),"Central African Republic")</f>
        <v>Central African Republic</v>
      </c>
      <c r="D2951">
        <f>IFERROR(__xludf.DUMMYFUNCTION("""COMPUTED_VALUE"""),1985.0)</f>
        <v>1985</v>
      </c>
      <c r="E2951">
        <f>IFERROR(__xludf.DUMMYFUNCTION("""COMPUTED_VALUE"""),2634232.0)</f>
        <v>2634232</v>
      </c>
    </row>
    <row r="2952">
      <c r="A2952" t="str">
        <f t="shared" si="1"/>
        <v>caf#1986</v>
      </c>
      <c r="B2952" t="str">
        <f>IFERROR(__xludf.DUMMYFUNCTION("""COMPUTED_VALUE"""),"caf")</f>
        <v>caf</v>
      </c>
      <c r="C2952" t="str">
        <f>IFERROR(__xludf.DUMMYFUNCTION("""COMPUTED_VALUE"""),"Central African Republic")</f>
        <v>Central African Republic</v>
      </c>
      <c r="D2952">
        <f>IFERROR(__xludf.DUMMYFUNCTION("""COMPUTED_VALUE"""),1986.0)</f>
        <v>1986</v>
      </c>
      <c r="E2952">
        <f>IFERROR(__xludf.DUMMYFUNCTION("""COMPUTED_VALUE"""),2696982.0)</f>
        <v>2696982</v>
      </c>
    </row>
    <row r="2953">
      <c r="A2953" t="str">
        <f t="shared" si="1"/>
        <v>caf#1987</v>
      </c>
      <c r="B2953" t="str">
        <f>IFERROR(__xludf.DUMMYFUNCTION("""COMPUTED_VALUE"""),"caf")</f>
        <v>caf</v>
      </c>
      <c r="C2953" t="str">
        <f>IFERROR(__xludf.DUMMYFUNCTION("""COMPUTED_VALUE"""),"Central African Republic")</f>
        <v>Central African Republic</v>
      </c>
      <c r="D2953">
        <f>IFERROR(__xludf.DUMMYFUNCTION("""COMPUTED_VALUE"""),1987.0)</f>
        <v>1987</v>
      </c>
      <c r="E2953">
        <f>IFERROR(__xludf.DUMMYFUNCTION("""COMPUTED_VALUE"""),2755244.0)</f>
        <v>2755244</v>
      </c>
    </row>
    <row r="2954">
      <c r="A2954" t="str">
        <f t="shared" si="1"/>
        <v>caf#1988</v>
      </c>
      <c r="B2954" t="str">
        <f>IFERROR(__xludf.DUMMYFUNCTION("""COMPUTED_VALUE"""),"caf")</f>
        <v>caf</v>
      </c>
      <c r="C2954" t="str">
        <f>IFERROR(__xludf.DUMMYFUNCTION("""COMPUTED_VALUE"""),"Central African Republic")</f>
        <v>Central African Republic</v>
      </c>
      <c r="D2954">
        <f>IFERROR(__xludf.DUMMYFUNCTION("""COMPUTED_VALUE"""),1988.0)</f>
        <v>1988</v>
      </c>
      <c r="E2954">
        <f>IFERROR(__xludf.DUMMYFUNCTION("""COMPUTED_VALUE"""),2812244.0)</f>
        <v>2812244</v>
      </c>
    </row>
    <row r="2955">
      <c r="A2955" t="str">
        <f t="shared" si="1"/>
        <v>caf#1989</v>
      </c>
      <c r="B2955" t="str">
        <f>IFERROR(__xludf.DUMMYFUNCTION("""COMPUTED_VALUE"""),"caf")</f>
        <v>caf</v>
      </c>
      <c r="C2955" t="str">
        <f>IFERROR(__xludf.DUMMYFUNCTION("""COMPUTED_VALUE"""),"Central African Republic")</f>
        <v>Central African Republic</v>
      </c>
      <c r="D2955">
        <f>IFERROR(__xludf.DUMMYFUNCTION("""COMPUTED_VALUE"""),1989.0)</f>
        <v>1989</v>
      </c>
      <c r="E2955">
        <f>IFERROR(__xludf.DUMMYFUNCTION("""COMPUTED_VALUE"""),2872668.0)</f>
        <v>2872668</v>
      </c>
    </row>
    <row r="2956">
      <c r="A2956" t="str">
        <f t="shared" si="1"/>
        <v>caf#1990</v>
      </c>
      <c r="B2956" t="str">
        <f>IFERROR(__xludf.DUMMYFUNCTION("""COMPUTED_VALUE"""),"caf")</f>
        <v>caf</v>
      </c>
      <c r="C2956" t="str">
        <f>IFERROR(__xludf.DUMMYFUNCTION("""COMPUTED_VALUE"""),"Central African Republic")</f>
        <v>Central African Republic</v>
      </c>
      <c r="D2956">
        <f>IFERROR(__xludf.DUMMYFUNCTION("""COMPUTED_VALUE"""),1990.0)</f>
        <v>1990</v>
      </c>
      <c r="E2956">
        <f>IFERROR(__xludf.DUMMYFUNCTION("""COMPUTED_VALUE"""),2939780.0)</f>
        <v>2939780</v>
      </c>
    </row>
    <row r="2957">
      <c r="A2957" t="str">
        <f t="shared" si="1"/>
        <v>caf#1991</v>
      </c>
      <c r="B2957" t="str">
        <f>IFERROR(__xludf.DUMMYFUNCTION("""COMPUTED_VALUE"""),"caf")</f>
        <v>caf</v>
      </c>
      <c r="C2957" t="str">
        <f>IFERROR(__xludf.DUMMYFUNCTION("""COMPUTED_VALUE"""),"Central African Republic")</f>
        <v>Central African Republic</v>
      </c>
      <c r="D2957">
        <f>IFERROR(__xludf.DUMMYFUNCTION("""COMPUTED_VALUE"""),1991.0)</f>
        <v>1991</v>
      </c>
      <c r="E2957">
        <f>IFERROR(__xludf.DUMMYFUNCTION("""COMPUTED_VALUE"""),3014624.0)</f>
        <v>3014624</v>
      </c>
    </row>
    <row r="2958">
      <c r="A2958" t="str">
        <f t="shared" si="1"/>
        <v>caf#1992</v>
      </c>
      <c r="B2958" t="str">
        <f>IFERROR(__xludf.DUMMYFUNCTION("""COMPUTED_VALUE"""),"caf")</f>
        <v>caf</v>
      </c>
      <c r="C2958" t="str">
        <f>IFERROR(__xludf.DUMMYFUNCTION("""COMPUTED_VALUE"""),"Central African Republic")</f>
        <v>Central African Republic</v>
      </c>
      <c r="D2958">
        <f>IFERROR(__xludf.DUMMYFUNCTION("""COMPUTED_VALUE"""),1992.0)</f>
        <v>1992</v>
      </c>
      <c r="E2958">
        <f>IFERROR(__xludf.DUMMYFUNCTION("""COMPUTED_VALUE"""),3095807.0)</f>
        <v>3095807</v>
      </c>
    </row>
    <row r="2959">
      <c r="A2959" t="str">
        <f t="shared" si="1"/>
        <v>caf#1993</v>
      </c>
      <c r="B2959" t="str">
        <f>IFERROR(__xludf.DUMMYFUNCTION("""COMPUTED_VALUE"""),"caf")</f>
        <v>caf</v>
      </c>
      <c r="C2959" t="str">
        <f>IFERROR(__xludf.DUMMYFUNCTION("""COMPUTED_VALUE"""),"Central African Republic")</f>
        <v>Central African Republic</v>
      </c>
      <c r="D2959">
        <f>IFERROR(__xludf.DUMMYFUNCTION("""COMPUTED_VALUE"""),1993.0)</f>
        <v>1993</v>
      </c>
      <c r="E2959">
        <f>IFERROR(__xludf.DUMMYFUNCTION("""COMPUTED_VALUE"""),3181222.0)</f>
        <v>3181222</v>
      </c>
    </row>
    <row r="2960">
      <c r="A2960" t="str">
        <f t="shared" si="1"/>
        <v>caf#1994</v>
      </c>
      <c r="B2960" t="str">
        <f>IFERROR(__xludf.DUMMYFUNCTION("""COMPUTED_VALUE"""),"caf")</f>
        <v>caf</v>
      </c>
      <c r="C2960" t="str">
        <f>IFERROR(__xludf.DUMMYFUNCTION("""COMPUTED_VALUE"""),"Central African Republic")</f>
        <v>Central African Republic</v>
      </c>
      <c r="D2960">
        <f>IFERROR(__xludf.DUMMYFUNCTION("""COMPUTED_VALUE"""),1994.0)</f>
        <v>1994</v>
      </c>
      <c r="E2960">
        <f>IFERROR(__xludf.DUMMYFUNCTION("""COMPUTED_VALUE"""),3267670.0)</f>
        <v>3267670</v>
      </c>
    </row>
    <row r="2961">
      <c r="A2961" t="str">
        <f t="shared" si="1"/>
        <v>caf#1995</v>
      </c>
      <c r="B2961" t="str">
        <f>IFERROR(__xludf.DUMMYFUNCTION("""COMPUTED_VALUE"""),"caf")</f>
        <v>caf</v>
      </c>
      <c r="C2961" t="str">
        <f>IFERROR(__xludf.DUMMYFUNCTION("""COMPUTED_VALUE"""),"Central African Republic")</f>
        <v>Central African Republic</v>
      </c>
      <c r="D2961">
        <f>IFERROR(__xludf.DUMMYFUNCTION("""COMPUTED_VALUE"""),1995.0)</f>
        <v>1995</v>
      </c>
      <c r="E2961">
        <f>IFERROR(__xludf.DUMMYFUNCTION("""COMPUTED_VALUE"""),3352767.0)</f>
        <v>3352767</v>
      </c>
    </row>
    <row r="2962">
      <c r="A2962" t="str">
        <f t="shared" si="1"/>
        <v>caf#1996</v>
      </c>
      <c r="B2962" t="str">
        <f>IFERROR(__xludf.DUMMYFUNCTION("""COMPUTED_VALUE"""),"caf")</f>
        <v>caf</v>
      </c>
      <c r="C2962" t="str">
        <f>IFERROR(__xludf.DUMMYFUNCTION("""COMPUTED_VALUE"""),"Central African Republic")</f>
        <v>Central African Republic</v>
      </c>
      <c r="D2962">
        <f>IFERROR(__xludf.DUMMYFUNCTION("""COMPUTED_VALUE"""),1996.0)</f>
        <v>1996</v>
      </c>
      <c r="E2962">
        <f>IFERROR(__xludf.DUMMYFUNCTION("""COMPUTED_VALUE"""),3435821.0)</f>
        <v>3435821</v>
      </c>
    </row>
    <row r="2963">
      <c r="A2963" t="str">
        <f t="shared" si="1"/>
        <v>caf#1997</v>
      </c>
      <c r="B2963" t="str">
        <f>IFERROR(__xludf.DUMMYFUNCTION("""COMPUTED_VALUE"""),"caf")</f>
        <v>caf</v>
      </c>
      <c r="C2963" t="str">
        <f>IFERROR(__xludf.DUMMYFUNCTION("""COMPUTED_VALUE"""),"Central African Republic")</f>
        <v>Central African Republic</v>
      </c>
      <c r="D2963">
        <f>IFERROR(__xludf.DUMMYFUNCTION("""COMPUTED_VALUE"""),1997.0)</f>
        <v>1997</v>
      </c>
      <c r="E2963">
        <f>IFERROR(__xludf.DUMMYFUNCTION("""COMPUTED_VALUE"""),3517309.0)</f>
        <v>3517309</v>
      </c>
    </row>
    <row r="2964">
      <c r="A2964" t="str">
        <f t="shared" si="1"/>
        <v>caf#1998</v>
      </c>
      <c r="B2964" t="str">
        <f>IFERROR(__xludf.DUMMYFUNCTION("""COMPUTED_VALUE"""),"caf")</f>
        <v>caf</v>
      </c>
      <c r="C2964" t="str">
        <f>IFERROR(__xludf.DUMMYFUNCTION("""COMPUTED_VALUE"""),"Central African Republic")</f>
        <v>Central African Republic</v>
      </c>
      <c r="D2964">
        <f>IFERROR(__xludf.DUMMYFUNCTION("""COMPUTED_VALUE"""),1998.0)</f>
        <v>1998</v>
      </c>
      <c r="E2964">
        <f>IFERROR(__xludf.DUMMYFUNCTION("""COMPUTED_VALUE"""),3597385.0)</f>
        <v>3597385</v>
      </c>
    </row>
    <row r="2965">
      <c r="A2965" t="str">
        <f t="shared" si="1"/>
        <v>caf#1999</v>
      </c>
      <c r="B2965" t="str">
        <f>IFERROR(__xludf.DUMMYFUNCTION("""COMPUTED_VALUE"""),"caf")</f>
        <v>caf</v>
      </c>
      <c r="C2965" t="str">
        <f>IFERROR(__xludf.DUMMYFUNCTION("""COMPUTED_VALUE"""),"Central African Republic")</f>
        <v>Central African Republic</v>
      </c>
      <c r="D2965">
        <f>IFERROR(__xludf.DUMMYFUNCTION("""COMPUTED_VALUE"""),1999.0)</f>
        <v>1999</v>
      </c>
      <c r="E2965">
        <f>IFERROR(__xludf.DUMMYFUNCTION("""COMPUTED_VALUE"""),3676508.0)</f>
        <v>3676508</v>
      </c>
    </row>
    <row r="2966">
      <c r="A2966" t="str">
        <f t="shared" si="1"/>
        <v>caf#2000</v>
      </c>
      <c r="B2966" t="str">
        <f>IFERROR(__xludf.DUMMYFUNCTION("""COMPUTED_VALUE"""),"caf")</f>
        <v>caf</v>
      </c>
      <c r="C2966" t="str">
        <f>IFERROR(__xludf.DUMMYFUNCTION("""COMPUTED_VALUE"""),"Central African Republic")</f>
        <v>Central African Republic</v>
      </c>
      <c r="D2966">
        <f>IFERROR(__xludf.DUMMYFUNCTION("""COMPUTED_VALUE"""),2000.0)</f>
        <v>2000</v>
      </c>
      <c r="E2966">
        <f>IFERROR(__xludf.DUMMYFUNCTION("""COMPUTED_VALUE"""),3754986.0)</f>
        <v>3754986</v>
      </c>
    </row>
    <row r="2967">
      <c r="A2967" t="str">
        <f t="shared" si="1"/>
        <v>caf#2001</v>
      </c>
      <c r="B2967" t="str">
        <f>IFERROR(__xludf.DUMMYFUNCTION("""COMPUTED_VALUE"""),"caf")</f>
        <v>caf</v>
      </c>
      <c r="C2967" t="str">
        <f>IFERROR(__xludf.DUMMYFUNCTION("""COMPUTED_VALUE"""),"Central African Republic")</f>
        <v>Central African Republic</v>
      </c>
      <c r="D2967">
        <f>IFERROR(__xludf.DUMMYFUNCTION("""COMPUTED_VALUE"""),2001.0)</f>
        <v>2001</v>
      </c>
      <c r="E2967">
        <f>IFERROR(__xludf.DUMMYFUNCTION("""COMPUTED_VALUE"""),3832203.0)</f>
        <v>3832203</v>
      </c>
    </row>
    <row r="2968">
      <c r="A2968" t="str">
        <f t="shared" si="1"/>
        <v>caf#2002</v>
      </c>
      <c r="B2968" t="str">
        <f>IFERROR(__xludf.DUMMYFUNCTION("""COMPUTED_VALUE"""),"caf")</f>
        <v>caf</v>
      </c>
      <c r="C2968" t="str">
        <f>IFERROR(__xludf.DUMMYFUNCTION("""COMPUTED_VALUE"""),"Central African Republic")</f>
        <v>Central African Republic</v>
      </c>
      <c r="D2968">
        <f>IFERROR(__xludf.DUMMYFUNCTION("""COMPUTED_VALUE"""),2002.0)</f>
        <v>2002</v>
      </c>
      <c r="E2968">
        <f>IFERROR(__xludf.DUMMYFUNCTION("""COMPUTED_VALUE"""),3907612.0)</f>
        <v>3907612</v>
      </c>
    </row>
    <row r="2969">
      <c r="A2969" t="str">
        <f t="shared" si="1"/>
        <v>caf#2003</v>
      </c>
      <c r="B2969" t="str">
        <f>IFERROR(__xludf.DUMMYFUNCTION("""COMPUTED_VALUE"""),"caf")</f>
        <v>caf</v>
      </c>
      <c r="C2969" t="str">
        <f>IFERROR(__xludf.DUMMYFUNCTION("""COMPUTED_VALUE"""),"Central African Republic")</f>
        <v>Central African Republic</v>
      </c>
      <c r="D2969">
        <f>IFERROR(__xludf.DUMMYFUNCTION("""COMPUTED_VALUE"""),2003.0)</f>
        <v>2003</v>
      </c>
      <c r="E2969">
        <f>IFERROR(__xludf.DUMMYFUNCTION("""COMPUTED_VALUE"""),3981665.0)</f>
        <v>3981665</v>
      </c>
    </row>
    <row r="2970">
      <c r="A2970" t="str">
        <f t="shared" si="1"/>
        <v>caf#2004</v>
      </c>
      <c r="B2970" t="str">
        <f>IFERROR(__xludf.DUMMYFUNCTION("""COMPUTED_VALUE"""),"caf")</f>
        <v>caf</v>
      </c>
      <c r="C2970" t="str">
        <f>IFERROR(__xludf.DUMMYFUNCTION("""COMPUTED_VALUE"""),"Central African Republic")</f>
        <v>Central African Republic</v>
      </c>
      <c r="D2970">
        <f>IFERROR(__xludf.DUMMYFUNCTION("""COMPUTED_VALUE"""),2004.0)</f>
        <v>2004</v>
      </c>
      <c r="E2970">
        <f>IFERROR(__xludf.DUMMYFUNCTION("""COMPUTED_VALUE"""),4055036.0)</f>
        <v>4055036</v>
      </c>
    </row>
    <row r="2971">
      <c r="A2971" t="str">
        <f t="shared" si="1"/>
        <v>caf#2005</v>
      </c>
      <c r="B2971" t="str">
        <f>IFERROR(__xludf.DUMMYFUNCTION("""COMPUTED_VALUE"""),"caf")</f>
        <v>caf</v>
      </c>
      <c r="C2971" t="str">
        <f>IFERROR(__xludf.DUMMYFUNCTION("""COMPUTED_VALUE"""),"Central African Republic")</f>
        <v>Central African Republic</v>
      </c>
      <c r="D2971">
        <f>IFERROR(__xludf.DUMMYFUNCTION("""COMPUTED_VALUE"""),2005.0)</f>
        <v>2005</v>
      </c>
      <c r="E2971">
        <f>IFERROR(__xludf.DUMMYFUNCTION("""COMPUTED_VALUE"""),4127910.0)</f>
        <v>4127910</v>
      </c>
    </row>
    <row r="2972">
      <c r="A2972" t="str">
        <f t="shared" si="1"/>
        <v>caf#2006</v>
      </c>
      <c r="B2972" t="str">
        <f>IFERROR(__xludf.DUMMYFUNCTION("""COMPUTED_VALUE"""),"caf")</f>
        <v>caf</v>
      </c>
      <c r="C2972" t="str">
        <f>IFERROR(__xludf.DUMMYFUNCTION("""COMPUTED_VALUE"""),"Central African Republic")</f>
        <v>Central African Republic</v>
      </c>
      <c r="D2972">
        <f>IFERROR(__xludf.DUMMYFUNCTION("""COMPUTED_VALUE"""),2006.0)</f>
        <v>2006</v>
      </c>
      <c r="E2972">
        <f>IFERROR(__xludf.DUMMYFUNCTION("""COMPUTED_VALUE"""),4201758.0)</f>
        <v>4201758</v>
      </c>
    </row>
    <row r="2973">
      <c r="A2973" t="str">
        <f t="shared" si="1"/>
        <v>caf#2007</v>
      </c>
      <c r="B2973" t="str">
        <f>IFERROR(__xludf.DUMMYFUNCTION("""COMPUTED_VALUE"""),"caf")</f>
        <v>caf</v>
      </c>
      <c r="C2973" t="str">
        <f>IFERROR(__xludf.DUMMYFUNCTION("""COMPUTED_VALUE"""),"Central African Republic")</f>
        <v>Central African Republic</v>
      </c>
      <c r="D2973">
        <f>IFERROR(__xludf.DUMMYFUNCTION("""COMPUTED_VALUE"""),2007.0)</f>
        <v>2007</v>
      </c>
      <c r="E2973">
        <f>IFERROR(__xludf.DUMMYFUNCTION("""COMPUTED_VALUE"""),4275800.0)</f>
        <v>4275800</v>
      </c>
    </row>
    <row r="2974">
      <c r="A2974" t="str">
        <f t="shared" si="1"/>
        <v>caf#2008</v>
      </c>
      <c r="B2974" t="str">
        <f>IFERROR(__xludf.DUMMYFUNCTION("""COMPUTED_VALUE"""),"caf")</f>
        <v>caf</v>
      </c>
      <c r="C2974" t="str">
        <f>IFERROR(__xludf.DUMMYFUNCTION("""COMPUTED_VALUE"""),"Central African Republic")</f>
        <v>Central African Republic</v>
      </c>
      <c r="D2974">
        <f>IFERROR(__xludf.DUMMYFUNCTION("""COMPUTED_VALUE"""),2008.0)</f>
        <v>2008</v>
      </c>
      <c r="E2974">
        <f>IFERROR(__xludf.DUMMYFUNCTION("""COMPUTED_VALUE"""),4345386.0)</f>
        <v>4345386</v>
      </c>
    </row>
    <row r="2975">
      <c r="A2975" t="str">
        <f t="shared" si="1"/>
        <v>caf#2009</v>
      </c>
      <c r="B2975" t="str">
        <f>IFERROR(__xludf.DUMMYFUNCTION("""COMPUTED_VALUE"""),"caf")</f>
        <v>caf</v>
      </c>
      <c r="C2975" t="str">
        <f>IFERROR(__xludf.DUMMYFUNCTION("""COMPUTED_VALUE"""),"Central African Republic")</f>
        <v>Central African Republic</v>
      </c>
      <c r="D2975">
        <f>IFERROR(__xludf.DUMMYFUNCTION("""COMPUTED_VALUE"""),2009.0)</f>
        <v>2009</v>
      </c>
      <c r="E2975">
        <f>IFERROR(__xludf.DUMMYFUNCTION("""COMPUTED_VALUE"""),4404230.0)</f>
        <v>4404230</v>
      </c>
    </row>
    <row r="2976">
      <c r="A2976" t="str">
        <f t="shared" si="1"/>
        <v>caf#2010</v>
      </c>
      <c r="B2976" t="str">
        <f>IFERROR(__xludf.DUMMYFUNCTION("""COMPUTED_VALUE"""),"caf")</f>
        <v>caf</v>
      </c>
      <c r="C2976" t="str">
        <f>IFERROR(__xludf.DUMMYFUNCTION("""COMPUTED_VALUE"""),"Central African Republic")</f>
        <v>Central African Republic</v>
      </c>
      <c r="D2976">
        <f>IFERROR(__xludf.DUMMYFUNCTION("""COMPUTED_VALUE"""),2010.0)</f>
        <v>2010</v>
      </c>
      <c r="E2976">
        <f>IFERROR(__xludf.DUMMYFUNCTION("""COMPUTED_VALUE"""),4448525.0)</f>
        <v>4448525</v>
      </c>
    </row>
    <row r="2977">
      <c r="A2977" t="str">
        <f t="shared" si="1"/>
        <v>caf#2011</v>
      </c>
      <c r="B2977" t="str">
        <f>IFERROR(__xludf.DUMMYFUNCTION("""COMPUTED_VALUE"""),"caf")</f>
        <v>caf</v>
      </c>
      <c r="C2977" t="str">
        <f>IFERROR(__xludf.DUMMYFUNCTION("""COMPUTED_VALUE"""),"Central African Republic")</f>
        <v>Central African Republic</v>
      </c>
      <c r="D2977">
        <f>IFERROR(__xludf.DUMMYFUNCTION("""COMPUTED_VALUE"""),2011.0)</f>
        <v>2011</v>
      </c>
      <c r="E2977">
        <f>IFERROR(__xludf.DUMMYFUNCTION("""COMPUTED_VALUE"""),4476153.0)</f>
        <v>4476153</v>
      </c>
    </row>
    <row r="2978">
      <c r="A2978" t="str">
        <f t="shared" si="1"/>
        <v>caf#2012</v>
      </c>
      <c r="B2978" t="str">
        <f>IFERROR(__xludf.DUMMYFUNCTION("""COMPUTED_VALUE"""),"caf")</f>
        <v>caf</v>
      </c>
      <c r="C2978" t="str">
        <f>IFERROR(__xludf.DUMMYFUNCTION("""COMPUTED_VALUE"""),"Central African Republic")</f>
        <v>Central African Republic</v>
      </c>
      <c r="D2978">
        <f>IFERROR(__xludf.DUMMYFUNCTION("""COMPUTED_VALUE"""),2012.0)</f>
        <v>2012</v>
      </c>
      <c r="E2978">
        <f>IFERROR(__xludf.DUMMYFUNCTION("""COMPUTED_VALUE"""),4490416.0)</f>
        <v>4490416</v>
      </c>
    </row>
    <row r="2979">
      <c r="A2979" t="str">
        <f t="shared" si="1"/>
        <v>caf#2013</v>
      </c>
      <c r="B2979" t="str">
        <f>IFERROR(__xludf.DUMMYFUNCTION("""COMPUTED_VALUE"""),"caf")</f>
        <v>caf</v>
      </c>
      <c r="C2979" t="str">
        <f>IFERROR(__xludf.DUMMYFUNCTION("""COMPUTED_VALUE"""),"Central African Republic")</f>
        <v>Central African Republic</v>
      </c>
      <c r="D2979">
        <f>IFERROR(__xludf.DUMMYFUNCTION("""COMPUTED_VALUE"""),2013.0)</f>
        <v>2013</v>
      </c>
      <c r="E2979">
        <f>IFERROR(__xludf.DUMMYFUNCTION("""COMPUTED_VALUE"""),4499653.0)</f>
        <v>4499653</v>
      </c>
    </row>
    <row r="2980">
      <c r="A2980" t="str">
        <f t="shared" si="1"/>
        <v>caf#2014</v>
      </c>
      <c r="B2980" t="str">
        <f>IFERROR(__xludf.DUMMYFUNCTION("""COMPUTED_VALUE"""),"caf")</f>
        <v>caf</v>
      </c>
      <c r="C2980" t="str">
        <f>IFERROR(__xludf.DUMMYFUNCTION("""COMPUTED_VALUE"""),"Central African Republic")</f>
        <v>Central African Republic</v>
      </c>
      <c r="D2980">
        <f>IFERROR(__xludf.DUMMYFUNCTION("""COMPUTED_VALUE"""),2014.0)</f>
        <v>2014</v>
      </c>
      <c r="E2980">
        <f>IFERROR(__xludf.DUMMYFUNCTION("""COMPUTED_VALUE"""),4515392.0)</f>
        <v>4515392</v>
      </c>
    </row>
    <row r="2981">
      <c r="A2981" t="str">
        <f t="shared" si="1"/>
        <v>caf#2015</v>
      </c>
      <c r="B2981" t="str">
        <f>IFERROR(__xludf.DUMMYFUNCTION("""COMPUTED_VALUE"""),"caf")</f>
        <v>caf</v>
      </c>
      <c r="C2981" t="str">
        <f>IFERROR(__xludf.DUMMYFUNCTION("""COMPUTED_VALUE"""),"Central African Republic")</f>
        <v>Central African Republic</v>
      </c>
      <c r="D2981">
        <f>IFERROR(__xludf.DUMMYFUNCTION("""COMPUTED_VALUE"""),2015.0)</f>
        <v>2015</v>
      </c>
      <c r="E2981">
        <f>IFERROR(__xludf.DUMMYFUNCTION("""COMPUTED_VALUE"""),4546100.0)</f>
        <v>4546100</v>
      </c>
    </row>
    <row r="2982">
      <c r="A2982" t="str">
        <f t="shared" si="1"/>
        <v>caf#2016</v>
      </c>
      <c r="B2982" t="str">
        <f>IFERROR(__xludf.DUMMYFUNCTION("""COMPUTED_VALUE"""),"caf")</f>
        <v>caf</v>
      </c>
      <c r="C2982" t="str">
        <f>IFERROR(__xludf.DUMMYFUNCTION("""COMPUTED_VALUE"""),"Central African Republic")</f>
        <v>Central African Republic</v>
      </c>
      <c r="D2982">
        <f>IFERROR(__xludf.DUMMYFUNCTION("""COMPUTED_VALUE"""),2016.0)</f>
        <v>2016</v>
      </c>
      <c r="E2982">
        <f>IFERROR(__xludf.DUMMYFUNCTION("""COMPUTED_VALUE"""),4594621.0)</f>
        <v>4594621</v>
      </c>
    </row>
    <row r="2983">
      <c r="A2983" t="str">
        <f t="shared" si="1"/>
        <v>caf#2017</v>
      </c>
      <c r="B2983" t="str">
        <f>IFERROR(__xludf.DUMMYFUNCTION("""COMPUTED_VALUE"""),"caf")</f>
        <v>caf</v>
      </c>
      <c r="C2983" t="str">
        <f>IFERROR(__xludf.DUMMYFUNCTION("""COMPUTED_VALUE"""),"Central African Republic")</f>
        <v>Central African Republic</v>
      </c>
      <c r="D2983">
        <f>IFERROR(__xludf.DUMMYFUNCTION("""COMPUTED_VALUE"""),2017.0)</f>
        <v>2017</v>
      </c>
      <c r="E2983">
        <f>IFERROR(__xludf.DUMMYFUNCTION("""COMPUTED_VALUE"""),4659080.0)</f>
        <v>4659080</v>
      </c>
    </row>
    <row r="2984">
      <c r="A2984" t="str">
        <f t="shared" si="1"/>
        <v>caf#2018</v>
      </c>
      <c r="B2984" t="str">
        <f>IFERROR(__xludf.DUMMYFUNCTION("""COMPUTED_VALUE"""),"caf")</f>
        <v>caf</v>
      </c>
      <c r="C2984" t="str">
        <f>IFERROR(__xludf.DUMMYFUNCTION("""COMPUTED_VALUE"""),"Central African Republic")</f>
        <v>Central African Republic</v>
      </c>
      <c r="D2984">
        <f>IFERROR(__xludf.DUMMYFUNCTION("""COMPUTED_VALUE"""),2018.0)</f>
        <v>2018</v>
      </c>
      <c r="E2984">
        <f>IFERROR(__xludf.DUMMYFUNCTION("""COMPUTED_VALUE"""),4737423.0)</f>
        <v>4737423</v>
      </c>
    </row>
    <row r="2985">
      <c r="A2985" t="str">
        <f t="shared" si="1"/>
        <v>caf#2019</v>
      </c>
      <c r="B2985" t="str">
        <f>IFERROR(__xludf.DUMMYFUNCTION("""COMPUTED_VALUE"""),"caf")</f>
        <v>caf</v>
      </c>
      <c r="C2985" t="str">
        <f>IFERROR(__xludf.DUMMYFUNCTION("""COMPUTED_VALUE"""),"Central African Republic")</f>
        <v>Central African Republic</v>
      </c>
      <c r="D2985">
        <f>IFERROR(__xludf.DUMMYFUNCTION("""COMPUTED_VALUE"""),2019.0)</f>
        <v>2019</v>
      </c>
      <c r="E2985">
        <f>IFERROR(__xludf.DUMMYFUNCTION("""COMPUTED_VALUE"""),4825711.0)</f>
        <v>4825711</v>
      </c>
    </row>
    <row r="2986">
      <c r="A2986" t="str">
        <f t="shared" si="1"/>
        <v>caf#2020</v>
      </c>
      <c r="B2986" t="str">
        <f>IFERROR(__xludf.DUMMYFUNCTION("""COMPUTED_VALUE"""),"caf")</f>
        <v>caf</v>
      </c>
      <c r="C2986" t="str">
        <f>IFERROR(__xludf.DUMMYFUNCTION("""COMPUTED_VALUE"""),"Central African Republic")</f>
        <v>Central African Republic</v>
      </c>
      <c r="D2986">
        <f>IFERROR(__xludf.DUMMYFUNCTION("""COMPUTED_VALUE"""),2020.0)</f>
        <v>2020</v>
      </c>
      <c r="E2986">
        <f>IFERROR(__xludf.DUMMYFUNCTION("""COMPUTED_VALUE"""),4920889.0)</f>
        <v>4920889</v>
      </c>
    </row>
    <row r="2987">
      <c r="A2987" t="str">
        <f t="shared" si="1"/>
        <v>caf#2021</v>
      </c>
      <c r="B2987" t="str">
        <f>IFERROR(__xludf.DUMMYFUNCTION("""COMPUTED_VALUE"""),"caf")</f>
        <v>caf</v>
      </c>
      <c r="C2987" t="str">
        <f>IFERROR(__xludf.DUMMYFUNCTION("""COMPUTED_VALUE"""),"Central African Republic")</f>
        <v>Central African Republic</v>
      </c>
      <c r="D2987">
        <f>IFERROR(__xludf.DUMMYFUNCTION("""COMPUTED_VALUE"""),2021.0)</f>
        <v>2021</v>
      </c>
      <c r="E2987">
        <f>IFERROR(__xludf.DUMMYFUNCTION("""COMPUTED_VALUE"""),5022853.0)</f>
        <v>5022853</v>
      </c>
    </row>
    <row r="2988">
      <c r="A2988" t="str">
        <f t="shared" si="1"/>
        <v>caf#2022</v>
      </c>
      <c r="B2988" t="str">
        <f>IFERROR(__xludf.DUMMYFUNCTION("""COMPUTED_VALUE"""),"caf")</f>
        <v>caf</v>
      </c>
      <c r="C2988" t="str">
        <f>IFERROR(__xludf.DUMMYFUNCTION("""COMPUTED_VALUE"""),"Central African Republic")</f>
        <v>Central African Republic</v>
      </c>
      <c r="D2988">
        <f>IFERROR(__xludf.DUMMYFUNCTION("""COMPUTED_VALUE"""),2022.0)</f>
        <v>2022</v>
      </c>
      <c r="E2988">
        <f>IFERROR(__xludf.DUMMYFUNCTION("""COMPUTED_VALUE"""),5132270.0)</f>
        <v>5132270</v>
      </c>
    </row>
    <row r="2989">
      <c r="A2989" t="str">
        <f t="shared" si="1"/>
        <v>caf#2023</v>
      </c>
      <c r="B2989" t="str">
        <f>IFERROR(__xludf.DUMMYFUNCTION("""COMPUTED_VALUE"""),"caf")</f>
        <v>caf</v>
      </c>
      <c r="C2989" t="str">
        <f>IFERROR(__xludf.DUMMYFUNCTION("""COMPUTED_VALUE"""),"Central African Republic")</f>
        <v>Central African Republic</v>
      </c>
      <c r="D2989">
        <f>IFERROR(__xludf.DUMMYFUNCTION("""COMPUTED_VALUE"""),2023.0)</f>
        <v>2023</v>
      </c>
      <c r="E2989">
        <f>IFERROR(__xludf.DUMMYFUNCTION("""COMPUTED_VALUE"""),5247586.0)</f>
        <v>5247586</v>
      </c>
    </row>
    <row r="2990">
      <c r="A2990" t="str">
        <f t="shared" si="1"/>
        <v>caf#2024</v>
      </c>
      <c r="B2990" t="str">
        <f>IFERROR(__xludf.DUMMYFUNCTION("""COMPUTED_VALUE"""),"caf")</f>
        <v>caf</v>
      </c>
      <c r="C2990" t="str">
        <f>IFERROR(__xludf.DUMMYFUNCTION("""COMPUTED_VALUE"""),"Central African Republic")</f>
        <v>Central African Republic</v>
      </c>
      <c r="D2990">
        <f>IFERROR(__xludf.DUMMYFUNCTION("""COMPUTED_VALUE"""),2024.0)</f>
        <v>2024</v>
      </c>
      <c r="E2990">
        <f>IFERROR(__xludf.DUMMYFUNCTION("""COMPUTED_VALUE"""),5366949.0)</f>
        <v>5366949</v>
      </c>
    </row>
    <row r="2991">
      <c r="A2991" t="str">
        <f t="shared" si="1"/>
        <v>caf#2025</v>
      </c>
      <c r="B2991" t="str">
        <f>IFERROR(__xludf.DUMMYFUNCTION("""COMPUTED_VALUE"""),"caf")</f>
        <v>caf</v>
      </c>
      <c r="C2991" t="str">
        <f>IFERROR(__xludf.DUMMYFUNCTION("""COMPUTED_VALUE"""),"Central African Republic")</f>
        <v>Central African Republic</v>
      </c>
      <c r="D2991">
        <f>IFERROR(__xludf.DUMMYFUNCTION("""COMPUTED_VALUE"""),2025.0)</f>
        <v>2025</v>
      </c>
      <c r="E2991">
        <f>IFERROR(__xludf.DUMMYFUNCTION("""COMPUTED_VALUE"""),5488896.0)</f>
        <v>5488896</v>
      </c>
    </row>
    <row r="2992">
      <c r="A2992" t="str">
        <f t="shared" si="1"/>
        <v>caf#2026</v>
      </c>
      <c r="B2992" t="str">
        <f>IFERROR(__xludf.DUMMYFUNCTION("""COMPUTED_VALUE"""),"caf")</f>
        <v>caf</v>
      </c>
      <c r="C2992" t="str">
        <f>IFERROR(__xludf.DUMMYFUNCTION("""COMPUTED_VALUE"""),"Central African Republic")</f>
        <v>Central African Republic</v>
      </c>
      <c r="D2992">
        <f>IFERROR(__xludf.DUMMYFUNCTION("""COMPUTED_VALUE"""),2026.0)</f>
        <v>2026</v>
      </c>
      <c r="E2992">
        <f>IFERROR(__xludf.DUMMYFUNCTION("""COMPUTED_VALUE"""),5612532.0)</f>
        <v>5612532</v>
      </c>
    </row>
    <row r="2993">
      <c r="A2993" t="str">
        <f t="shared" si="1"/>
        <v>caf#2027</v>
      </c>
      <c r="B2993" t="str">
        <f>IFERROR(__xludf.DUMMYFUNCTION("""COMPUTED_VALUE"""),"caf")</f>
        <v>caf</v>
      </c>
      <c r="C2993" t="str">
        <f>IFERROR(__xludf.DUMMYFUNCTION("""COMPUTED_VALUE"""),"Central African Republic")</f>
        <v>Central African Republic</v>
      </c>
      <c r="D2993">
        <f>IFERROR(__xludf.DUMMYFUNCTION("""COMPUTED_VALUE"""),2027.0)</f>
        <v>2027</v>
      </c>
      <c r="E2993">
        <f>IFERROR(__xludf.DUMMYFUNCTION("""COMPUTED_VALUE"""),5737657.0)</f>
        <v>5737657</v>
      </c>
    </row>
    <row r="2994">
      <c r="A2994" t="str">
        <f t="shared" si="1"/>
        <v>caf#2028</v>
      </c>
      <c r="B2994" t="str">
        <f>IFERROR(__xludf.DUMMYFUNCTION("""COMPUTED_VALUE"""),"caf")</f>
        <v>caf</v>
      </c>
      <c r="C2994" t="str">
        <f>IFERROR(__xludf.DUMMYFUNCTION("""COMPUTED_VALUE"""),"Central African Republic")</f>
        <v>Central African Republic</v>
      </c>
      <c r="D2994">
        <f>IFERROR(__xludf.DUMMYFUNCTION("""COMPUTED_VALUE"""),2028.0)</f>
        <v>2028</v>
      </c>
      <c r="E2994">
        <f>IFERROR(__xludf.DUMMYFUNCTION("""COMPUTED_VALUE"""),5864322.0)</f>
        <v>5864322</v>
      </c>
    </row>
    <row r="2995">
      <c r="A2995" t="str">
        <f t="shared" si="1"/>
        <v>caf#2029</v>
      </c>
      <c r="B2995" t="str">
        <f>IFERROR(__xludf.DUMMYFUNCTION("""COMPUTED_VALUE"""),"caf")</f>
        <v>caf</v>
      </c>
      <c r="C2995" t="str">
        <f>IFERROR(__xludf.DUMMYFUNCTION("""COMPUTED_VALUE"""),"Central African Republic")</f>
        <v>Central African Republic</v>
      </c>
      <c r="D2995">
        <f>IFERROR(__xludf.DUMMYFUNCTION("""COMPUTED_VALUE"""),2029.0)</f>
        <v>2029</v>
      </c>
      <c r="E2995">
        <f>IFERROR(__xludf.DUMMYFUNCTION("""COMPUTED_VALUE"""),5992915.0)</f>
        <v>5992915</v>
      </c>
    </row>
    <row r="2996">
      <c r="A2996" t="str">
        <f t="shared" si="1"/>
        <v>caf#2030</v>
      </c>
      <c r="B2996" t="str">
        <f>IFERROR(__xludf.DUMMYFUNCTION("""COMPUTED_VALUE"""),"caf")</f>
        <v>caf</v>
      </c>
      <c r="C2996" t="str">
        <f>IFERROR(__xludf.DUMMYFUNCTION("""COMPUTED_VALUE"""),"Central African Republic")</f>
        <v>Central African Republic</v>
      </c>
      <c r="D2996">
        <f>IFERROR(__xludf.DUMMYFUNCTION("""COMPUTED_VALUE"""),2030.0)</f>
        <v>2030</v>
      </c>
      <c r="E2996">
        <f>IFERROR(__xludf.DUMMYFUNCTION("""COMPUTED_VALUE"""),6123615.0)</f>
        <v>6123615</v>
      </c>
    </row>
    <row r="2997">
      <c r="A2997" t="str">
        <f t="shared" si="1"/>
        <v>caf#2031</v>
      </c>
      <c r="B2997" t="str">
        <f>IFERROR(__xludf.DUMMYFUNCTION("""COMPUTED_VALUE"""),"caf")</f>
        <v>caf</v>
      </c>
      <c r="C2997" t="str">
        <f>IFERROR(__xludf.DUMMYFUNCTION("""COMPUTED_VALUE"""),"Central African Republic")</f>
        <v>Central African Republic</v>
      </c>
      <c r="D2997">
        <f>IFERROR(__xludf.DUMMYFUNCTION("""COMPUTED_VALUE"""),2031.0)</f>
        <v>2031</v>
      </c>
      <c r="E2997">
        <f>IFERROR(__xludf.DUMMYFUNCTION("""COMPUTED_VALUE"""),6256230.0)</f>
        <v>6256230</v>
      </c>
    </row>
    <row r="2998">
      <c r="A2998" t="str">
        <f t="shared" si="1"/>
        <v>caf#2032</v>
      </c>
      <c r="B2998" t="str">
        <f>IFERROR(__xludf.DUMMYFUNCTION("""COMPUTED_VALUE"""),"caf")</f>
        <v>caf</v>
      </c>
      <c r="C2998" t="str">
        <f>IFERROR(__xludf.DUMMYFUNCTION("""COMPUTED_VALUE"""),"Central African Republic")</f>
        <v>Central African Republic</v>
      </c>
      <c r="D2998">
        <f>IFERROR(__xludf.DUMMYFUNCTION("""COMPUTED_VALUE"""),2032.0)</f>
        <v>2032</v>
      </c>
      <c r="E2998">
        <f>IFERROR(__xludf.DUMMYFUNCTION("""COMPUTED_VALUE"""),6390254.0)</f>
        <v>6390254</v>
      </c>
    </row>
    <row r="2999">
      <c r="A2999" t="str">
        <f t="shared" si="1"/>
        <v>caf#2033</v>
      </c>
      <c r="B2999" t="str">
        <f>IFERROR(__xludf.DUMMYFUNCTION("""COMPUTED_VALUE"""),"caf")</f>
        <v>caf</v>
      </c>
      <c r="C2999" t="str">
        <f>IFERROR(__xludf.DUMMYFUNCTION("""COMPUTED_VALUE"""),"Central African Republic")</f>
        <v>Central African Republic</v>
      </c>
      <c r="D2999">
        <f>IFERROR(__xludf.DUMMYFUNCTION("""COMPUTED_VALUE"""),2033.0)</f>
        <v>2033</v>
      </c>
      <c r="E2999">
        <f>IFERROR(__xludf.DUMMYFUNCTION("""COMPUTED_VALUE"""),6525376.0)</f>
        <v>6525376</v>
      </c>
    </row>
    <row r="3000">
      <c r="A3000" t="str">
        <f t="shared" si="1"/>
        <v>caf#2034</v>
      </c>
      <c r="B3000" t="str">
        <f>IFERROR(__xludf.DUMMYFUNCTION("""COMPUTED_VALUE"""),"caf")</f>
        <v>caf</v>
      </c>
      <c r="C3000" t="str">
        <f>IFERROR(__xludf.DUMMYFUNCTION("""COMPUTED_VALUE"""),"Central African Republic")</f>
        <v>Central African Republic</v>
      </c>
      <c r="D3000">
        <f>IFERROR(__xludf.DUMMYFUNCTION("""COMPUTED_VALUE"""),2034.0)</f>
        <v>2034</v>
      </c>
      <c r="E3000">
        <f>IFERROR(__xludf.DUMMYFUNCTION("""COMPUTED_VALUE"""),6661223.0)</f>
        <v>6661223</v>
      </c>
    </row>
    <row r="3001">
      <c r="A3001" t="str">
        <f t="shared" si="1"/>
        <v>caf#2035</v>
      </c>
      <c r="B3001" t="str">
        <f>IFERROR(__xludf.DUMMYFUNCTION("""COMPUTED_VALUE"""),"caf")</f>
        <v>caf</v>
      </c>
      <c r="C3001" t="str">
        <f>IFERROR(__xludf.DUMMYFUNCTION("""COMPUTED_VALUE"""),"Central African Republic")</f>
        <v>Central African Republic</v>
      </c>
      <c r="D3001">
        <f>IFERROR(__xludf.DUMMYFUNCTION("""COMPUTED_VALUE"""),2035.0)</f>
        <v>2035</v>
      </c>
      <c r="E3001">
        <f>IFERROR(__xludf.DUMMYFUNCTION("""COMPUTED_VALUE"""),6797519.0)</f>
        <v>6797519</v>
      </c>
    </row>
    <row r="3002">
      <c r="A3002" t="str">
        <f t="shared" si="1"/>
        <v>caf#2036</v>
      </c>
      <c r="B3002" t="str">
        <f>IFERROR(__xludf.DUMMYFUNCTION("""COMPUTED_VALUE"""),"caf")</f>
        <v>caf</v>
      </c>
      <c r="C3002" t="str">
        <f>IFERROR(__xludf.DUMMYFUNCTION("""COMPUTED_VALUE"""),"Central African Republic")</f>
        <v>Central African Republic</v>
      </c>
      <c r="D3002">
        <f>IFERROR(__xludf.DUMMYFUNCTION("""COMPUTED_VALUE"""),2036.0)</f>
        <v>2036</v>
      </c>
      <c r="E3002">
        <f>IFERROR(__xludf.DUMMYFUNCTION("""COMPUTED_VALUE"""),6934059.0)</f>
        <v>6934059</v>
      </c>
    </row>
    <row r="3003">
      <c r="A3003" t="str">
        <f t="shared" si="1"/>
        <v>caf#2037</v>
      </c>
      <c r="B3003" t="str">
        <f>IFERROR(__xludf.DUMMYFUNCTION("""COMPUTED_VALUE"""),"caf")</f>
        <v>caf</v>
      </c>
      <c r="C3003" t="str">
        <f>IFERROR(__xludf.DUMMYFUNCTION("""COMPUTED_VALUE"""),"Central African Republic")</f>
        <v>Central African Republic</v>
      </c>
      <c r="D3003">
        <f>IFERROR(__xludf.DUMMYFUNCTION("""COMPUTED_VALUE"""),2037.0)</f>
        <v>2037</v>
      </c>
      <c r="E3003">
        <f>IFERROR(__xludf.DUMMYFUNCTION("""COMPUTED_VALUE"""),7070780.0)</f>
        <v>7070780</v>
      </c>
    </row>
    <row r="3004">
      <c r="A3004" t="str">
        <f t="shared" si="1"/>
        <v>caf#2038</v>
      </c>
      <c r="B3004" t="str">
        <f>IFERROR(__xludf.DUMMYFUNCTION("""COMPUTED_VALUE"""),"caf")</f>
        <v>caf</v>
      </c>
      <c r="C3004" t="str">
        <f>IFERROR(__xludf.DUMMYFUNCTION("""COMPUTED_VALUE"""),"Central African Republic")</f>
        <v>Central African Republic</v>
      </c>
      <c r="D3004">
        <f>IFERROR(__xludf.DUMMYFUNCTION("""COMPUTED_VALUE"""),2038.0)</f>
        <v>2038</v>
      </c>
      <c r="E3004">
        <f>IFERROR(__xludf.DUMMYFUNCTION("""COMPUTED_VALUE"""),7207592.0)</f>
        <v>7207592</v>
      </c>
    </row>
    <row r="3005">
      <c r="A3005" t="str">
        <f t="shared" si="1"/>
        <v>caf#2039</v>
      </c>
      <c r="B3005" t="str">
        <f>IFERROR(__xludf.DUMMYFUNCTION("""COMPUTED_VALUE"""),"caf")</f>
        <v>caf</v>
      </c>
      <c r="C3005" t="str">
        <f>IFERROR(__xludf.DUMMYFUNCTION("""COMPUTED_VALUE"""),"Central African Republic")</f>
        <v>Central African Republic</v>
      </c>
      <c r="D3005">
        <f>IFERROR(__xludf.DUMMYFUNCTION("""COMPUTED_VALUE"""),2039.0)</f>
        <v>2039</v>
      </c>
      <c r="E3005">
        <f>IFERROR(__xludf.DUMMYFUNCTION("""COMPUTED_VALUE"""),7344487.0)</f>
        <v>7344487</v>
      </c>
    </row>
    <row r="3006">
      <c r="A3006" t="str">
        <f t="shared" si="1"/>
        <v>caf#2040</v>
      </c>
      <c r="B3006" t="str">
        <f>IFERROR(__xludf.DUMMYFUNCTION("""COMPUTED_VALUE"""),"caf")</f>
        <v>caf</v>
      </c>
      <c r="C3006" t="str">
        <f>IFERROR(__xludf.DUMMYFUNCTION("""COMPUTED_VALUE"""),"Central African Republic")</f>
        <v>Central African Republic</v>
      </c>
      <c r="D3006">
        <f>IFERROR(__xludf.DUMMYFUNCTION("""COMPUTED_VALUE"""),2040.0)</f>
        <v>2040</v>
      </c>
      <c r="E3006">
        <f>IFERROR(__xludf.DUMMYFUNCTION("""COMPUTED_VALUE"""),7481447.0)</f>
        <v>7481447</v>
      </c>
    </row>
    <row r="3007">
      <c r="A3007" t="str">
        <f t="shared" si="1"/>
        <v>tcd#1950</v>
      </c>
      <c r="B3007" t="str">
        <f>IFERROR(__xludf.DUMMYFUNCTION("""COMPUTED_VALUE"""),"tcd")</f>
        <v>tcd</v>
      </c>
      <c r="C3007" t="str">
        <f>IFERROR(__xludf.DUMMYFUNCTION("""COMPUTED_VALUE"""),"Chad")</f>
        <v>Chad</v>
      </c>
      <c r="D3007">
        <f>IFERROR(__xludf.DUMMYFUNCTION("""COMPUTED_VALUE"""),1950.0)</f>
        <v>1950</v>
      </c>
      <c r="E3007">
        <f>IFERROR(__xludf.DUMMYFUNCTION("""COMPUTED_VALUE"""),2502317.0)</f>
        <v>2502317</v>
      </c>
    </row>
    <row r="3008">
      <c r="A3008" t="str">
        <f t="shared" si="1"/>
        <v>tcd#1951</v>
      </c>
      <c r="B3008" t="str">
        <f>IFERROR(__xludf.DUMMYFUNCTION("""COMPUTED_VALUE"""),"tcd")</f>
        <v>tcd</v>
      </c>
      <c r="C3008" t="str">
        <f>IFERROR(__xludf.DUMMYFUNCTION("""COMPUTED_VALUE"""),"Chad")</f>
        <v>Chad</v>
      </c>
      <c r="D3008">
        <f>IFERROR(__xludf.DUMMYFUNCTION("""COMPUTED_VALUE"""),1951.0)</f>
        <v>1951</v>
      </c>
      <c r="E3008">
        <f>IFERROR(__xludf.DUMMYFUNCTION("""COMPUTED_VALUE"""),2543900.0)</f>
        <v>2543900</v>
      </c>
    </row>
    <row r="3009">
      <c r="A3009" t="str">
        <f t="shared" si="1"/>
        <v>tcd#1952</v>
      </c>
      <c r="B3009" t="str">
        <f>IFERROR(__xludf.DUMMYFUNCTION("""COMPUTED_VALUE"""),"tcd")</f>
        <v>tcd</v>
      </c>
      <c r="C3009" t="str">
        <f>IFERROR(__xludf.DUMMYFUNCTION("""COMPUTED_VALUE"""),"Chad")</f>
        <v>Chad</v>
      </c>
      <c r="D3009">
        <f>IFERROR(__xludf.DUMMYFUNCTION("""COMPUTED_VALUE"""),1952.0)</f>
        <v>1952</v>
      </c>
      <c r="E3009">
        <f>IFERROR(__xludf.DUMMYFUNCTION("""COMPUTED_VALUE"""),2588905.0)</f>
        <v>2588905</v>
      </c>
    </row>
    <row r="3010">
      <c r="A3010" t="str">
        <f t="shared" si="1"/>
        <v>tcd#1953</v>
      </c>
      <c r="B3010" t="str">
        <f>IFERROR(__xludf.DUMMYFUNCTION("""COMPUTED_VALUE"""),"tcd")</f>
        <v>tcd</v>
      </c>
      <c r="C3010" t="str">
        <f>IFERROR(__xludf.DUMMYFUNCTION("""COMPUTED_VALUE"""),"Chad")</f>
        <v>Chad</v>
      </c>
      <c r="D3010">
        <f>IFERROR(__xludf.DUMMYFUNCTION("""COMPUTED_VALUE"""),1953.0)</f>
        <v>1953</v>
      </c>
      <c r="E3010">
        <f>IFERROR(__xludf.DUMMYFUNCTION("""COMPUTED_VALUE"""),2636261.0)</f>
        <v>2636261</v>
      </c>
    </row>
    <row r="3011">
      <c r="A3011" t="str">
        <f t="shared" si="1"/>
        <v>tcd#1954</v>
      </c>
      <c r="B3011" t="str">
        <f>IFERROR(__xludf.DUMMYFUNCTION("""COMPUTED_VALUE"""),"tcd")</f>
        <v>tcd</v>
      </c>
      <c r="C3011" t="str">
        <f>IFERROR(__xludf.DUMMYFUNCTION("""COMPUTED_VALUE"""),"Chad")</f>
        <v>Chad</v>
      </c>
      <c r="D3011">
        <f>IFERROR(__xludf.DUMMYFUNCTION("""COMPUTED_VALUE"""),1954.0)</f>
        <v>1954</v>
      </c>
      <c r="E3011">
        <f>IFERROR(__xludf.DUMMYFUNCTION("""COMPUTED_VALUE"""),2685204.0)</f>
        <v>2685204</v>
      </c>
    </row>
    <row r="3012">
      <c r="A3012" t="str">
        <f t="shared" si="1"/>
        <v>tcd#1955</v>
      </c>
      <c r="B3012" t="str">
        <f>IFERROR(__xludf.DUMMYFUNCTION("""COMPUTED_VALUE"""),"tcd")</f>
        <v>tcd</v>
      </c>
      <c r="C3012" t="str">
        <f>IFERROR(__xludf.DUMMYFUNCTION("""COMPUTED_VALUE"""),"Chad")</f>
        <v>Chad</v>
      </c>
      <c r="D3012">
        <f>IFERROR(__xludf.DUMMYFUNCTION("""COMPUTED_VALUE"""),1955.0)</f>
        <v>1955</v>
      </c>
      <c r="E3012">
        <f>IFERROR(__xludf.DUMMYFUNCTION("""COMPUTED_VALUE"""),2735208.0)</f>
        <v>2735208</v>
      </c>
    </row>
    <row r="3013">
      <c r="A3013" t="str">
        <f t="shared" si="1"/>
        <v>tcd#1956</v>
      </c>
      <c r="B3013" t="str">
        <f>IFERROR(__xludf.DUMMYFUNCTION("""COMPUTED_VALUE"""),"tcd")</f>
        <v>tcd</v>
      </c>
      <c r="C3013" t="str">
        <f>IFERROR(__xludf.DUMMYFUNCTION("""COMPUTED_VALUE"""),"Chad")</f>
        <v>Chad</v>
      </c>
      <c r="D3013">
        <f>IFERROR(__xludf.DUMMYFUNCTION("""COMPUTED_VALUE"""),1956.0)</f>
        <v>1956</v>
      </c>
      <c r="E3013">
        <f>IFERROR(__xludf.DUMMYFUNCTION("""COMPUTED_VALUE"""),2786049.0)</f>
        <v>2786049</v>
      </c>
    </row>
    <row r="3014">
      <c r="A3014" t="str">
        <f t="shared" si="1"/>
        <v>tcd#1957</v>
      </c>
      <c r="B3014" t="str">
        <f>IFERROR(__xludf.DUMMYFUNCTION("""COMPUTED_VALUE"""),"tcd")</f>
        <v>tcd</v>
      </c>
      <c r="C3014" t="str">
        <f>IFERROR(__xludf.DUMMYFUNCTION("""COMPUTED_VALUE"""),"Chad")</f>
        <v>Chad</v>
      </c>
      <c r="D3014">
        <f>IFERROR(__xludf.DUMMYFUNCTION("""COMPUTED_VALUE"""),1957.0)</f>
        <v>1957</v>
      </c>
      <c r="E3014">
        <f>IFERROR(__xludf.DUMMYFUNCTION("""COMPUTED_VALUE"""),2837762.0)</f>
        <v>2837762</v>
      </c>
    </row>
    <row r="3015">
      <c r="A3015" t="str">
        <f t="shared" si="1"/>
        <v>tcd#1958</v>
      </c>
      <c r="B3015" t="str">
        <f>IFERROR(__xludf.DUMMYFUNCTION("""COMPUTED_VALUE"""),"tcd")</f>
        <v>tcd</v>
      </c>
      <c r="C3015" t="str">
        <f>IFERROR(__xludf.DUMMYFUNCTION("""COMPUTED_VALUE"""),"Chad")</f>
        <v>Chad</v>
      </c>
      <c r="D3015">
        <f>IFERROR(__xludf.DUMMYFUNCTION("""COMPUTED_VALUE"""),1958.0)</f>
        <v>1958</v>
      </c>
      <c r="E3015">
        <f>IFERROR(__xludf.DUMMYFUNCTION("""COMPUTED_VALUE"""),2890635.0)</f>
        <v>2890635</v>
      </c>
    </row>
    <row r="3016">
      <c r="A3016" t="str">
        <f t="shared" si="1"/>
        <v>tcd#1959</v>
      </c>
      <c r="B3016" t="str">
        <f>IFERROR(__xludf.DUMMYFUNCTION("""COMPUTED_VALUE"""),"tcd")</f>
        <v>tcd</v>
      </c>
      <c r="C3016" t="str">
        <f>IFERROR(__xludf.DUMMYFUNCTION("""COMPUTED_VALUE"""),"Chad")</f>
        <v>Chad</v>
      </c>
      <c r="D3016">
        <f>IFERROR(__xludf.DUMMYFUNCTION("""COMPUTED_VALUE"""),1959.0)</f>
        <v>1959</v>
      </c>
      <c r="E3016">
        <f>IFERROR(__xludf.DUMMYFUNCTION("""COMPUTED_VALUE"""),2945101.0)</f>
        <v>2945101</v>
      </c>
    </row>
    <row r="3017">
      <c r="A3017" t="str">
        <f t="shared" si="1"/>
        <v>tcd#1960</v>
      </c>
      <c r="B3017" t="str">
        <f>IFERROR(__xludf.DUMMYFUNCTION("""COMPUTED_VALUE"""),"tcd")</f>
        <v>tcd</v>
      </c>
      <c r="C3017" t="str">
        <f>IFERROR(__xludf.DUMMYFUNCTION("""COMPUTED_VALUE"""),"Chad")</f>
        <v>Chad</v>
      </c>
      <c r="D3017">
        <f>IFERROR(__xludf.DUMMYFUNCTION("""COMPUTED_VALUE"""),1960.0)</f>
        <v>1960</v>
      </c>
      <c r="E3017">
        <f>IFERROR(__xludf.DUMMYFUNCTION("""COMPUTED_VALUE"""),3001593.0)</f>
        <v>3001593</v>
      </c>
    </row>
    <row r="3018">
      <c r="A3018" t="str">
        <f t="shared" si="1"/>
        <v>tcd#1961</v>
      </c>
      <c r="B3018" t="str">
        <f>IFERROR(__xludf.DUMMYFUNCTION("""COMPUTED_VALUE"""),"tcd")</f>
        <v>tcd</v>
      </c>
      <c r="C3018" t="str">
        <f>IFERROR(__xludf.DUMMYFUNCTION("""COMPUTED_VALUE"""),"Chad")</f>
        <v>Chad</v>
      </c>
      <c r="D3018">
        <f>IFERROR(__xludf.DUMMYFUNCTION("""COMPUTED_VALUE"""),1961.0)</f>
        <v>1961</v>
      </c>
      <c r="E3018">
        <f>IFERROR(__xludf.DUMMYFUNCTION("""COMPUTED_VALUE"""),3060355.0)</f>
        <v>3060355</v>
      </c>
    </row>
    <row r="3019">
      <c r="A3019" t="str">
        <f t="shared" si="1"/>
        <v>tcd#1962</v>
      </c>
      <c r="B3019" t="str">
        <f>IFERROR(__xludf.DUMMYFUNCTION("""COMPUTED_VALUE"""),"tcd")</f>
        <v>tcd</v>
      </c>
      <c r="C3019" t="str">
        <f>IFERROR(__xludf.DUMMYFUNCTION("""COMPUTED_VALUE"""),"Chad")</f>
        <v>Chad</v>
      </c>
      <c r="D3019">
        <f>IFERROR(__xludf.DUMMYFUNCTION("""COMPUTED_VALUE"""),1962.0)</f>
        <v>1962</v>
      </c>
      <c r="E3019">
        <f>IFERROR(__xludf.DUMMYFUNCTION("""COMPUTED_VALUE"""),3121216.0)</f>
        <v>3121216</v>
      </c>
    </row>
    <row r="3020">
      <c r="A3020" t="str">
        <f t="shared" si="1"/>
        <v>tcd#1963</v>
      </c>
      <c r="B3020" t="str">
        <f>IFERROR(__xludf.DUMMYFUNCTION("""COMPUTED_VALUE"""),"tcd")</f>
        <v>tcd</v>
      </c>
      <c r="C3020" t="str">
        <f>IFERROR(__xludf.DUMMYFUNCTION("""COMPUTED_VALUE"""),"Chad")</f>
        <v>Chad</v>
      </c>
      <c r="D3020">
        <f>IFERROR(__xludf.DUMMYFUNCTION("""COMPUTED_VALUE"""),1963.0)</f>
        <v>1963</v>
      </c>
      <c r="E3020">
        <f>IFERROR(__xludf.DUMMYFUNCTION("""COMPUTED_VALUE"""),3183551.0)</f>
        <v>3183551</v>
      </c>
    </row>
    <row r="3021">
      <c r="A3021" t="str">
        <f t="shared" si="1"/>
        <v>tcd#1964</v>
      </c>
      <c r="B3021" t="str">
        <f>IFERROR(__xludf.DUMMYFUNCTION("""COMPUTED_VALUE"""),"tcd")</f>
        <v>tcd</v>
      </c>
      <c r="C3021" t="str">
        <f>IFERROR(__xludf.DUMMYFUNCTION("""COMPUTED_VALUE"""),"Chad")</f>
        <v>Chad</v>
      </c>
      <c r="D3021">
        <f>IFERROR(__xludf.DUMMYFUNCTION("""COMPUTED_VALUE"""),1964.0)</f>
        <v>1964</v>
      </c>
      <c r="E3021">
        <f>IFERROR(__xludf.DUMMYFUNCTION("""COMPUTED_VALUE"""),3246505.0)</f>
        <v>3246505</v>
      </c>
    </row>
    <row r="3022">
      <c r="A3022" t="str">
        <f t="shared" si="1"/>
        <v>tcd#1965</v>
      </c>
      <c r="B3022" t="str">
        <f>IFERROR(__xludf.DUMMYFUNCTION("""COMPUTED_VALUE"""),"tcd")</f>
        <v>tcd</v>
      </c>
      <c r="C3022" t="str">
        <f>IFERROR(__xludf.DUMMYFUNCTION("""COMPUTED_VALUE"""),"Chad")</f>
        <v>Chad</v>
      </c>
      <c r="D3022">
        <f>IFERROR(__xludf.DUMMYFUNCTION("""COMPUTED_VALUE"""),1965.0)</f>
        <v>1965</v>
      </c>
      <c r="E3022">
        <f>IFERROR(__xludf.DUMMYFUNCTION("""COMPUTED_VALUE"""),3309573.0)</f>
        <v>3309573</v>
      </c>
    </row>
    <row r="3023">
      <c r="A3023" t="str">
        <f t="shared" si="1"/>
        <v>tcd#1966</v>
      </c>
      <c r="B3023" t="str">
        <f>IFERROR(__xludf.DUMMYFUNCTION("""COMPUTED_VALUE"""),"tcd")</f>
        <v>tcd</v>
      </c>
      <c r="C3023" t="str">
        <f>IFERROR(__xludf.DUMMYFUNCTION("""COMPUTED_VALUE"""),"Chad")</f>
        <v>Chad</v>
      </c>
      <c r="D3023">
        <f>IFERROR(__xludf.DUMMYFUNCTION("""COMPUTED_VALUE"""),1966.0)</f>
        <v>1966</v>
      </c>
      <c r="E3023">
        <f>IFERROR(__xludf.DUMMYFUNCTION("""COMPUTED_VALUE"""),3372170.0)</f>
        <v>3372170</v>
      </c>
    </row>
    <row r="3024">
      <c r="A3024" t="str">
        <f t="shared" si="1"/>
        <v>tcd#1967</v>
      </c>
      <c r="B3024" t="str">
        <f>IFERROR(__xludf.DUMMYFUNCTION("""COMPUTED_VALUE"""),"tcd")</f>
        <v>tcd</v>
      </c>
      <c r="C3024" t="str">
        <f>IFERROR(__xludf.DUMMYFUNCTION("""COMPUTED_VALUE"""),"Chad")</f>
        <v>Chad</v>
      </c>
      <c r="D3024">
        <f>IFERROR(__xludf.DUMMYFUNCTION("""COMPUTED_VALUE"""),1967.0)</f>
        <v>1967</v>
      </c>
      <c r="E3024">
        <f>IFERROR(__xludf.DUMMYFUNCTION("""COMPUTED_VALUE"""),3434811.0)</f>
        <v>3434811</v>
      </c>
    </row>
    <row r="3025">
      <c r="A3025" t="str">
        <f t="shared" si="1"/>
        <v>tcd#1968</v>
      </c>
      <c r="B3025" t="str">
        <f>IFERROR(__xludf.DUMMYFUNCTION("""COMPUTED_VALUE"""),"tcd")</f>
        <v>tcd</v>
      </c>
      <c r="C3025" t="str">
        <f>IFERROR(__xludf.DUMMYFUNCTION("""COMPUTED_VALUE"""),"Chad")</f>
        <v>Chad</v>
      </c>
      <c r="D3025">
        <f>IFERROR(__xludf.DUMMYFUNCTION("""COMPUTED_VALUE"""),1968.0)</f>
        <v>1968</v>
      </c>
      <c r="E3025">
        <f>IFERROR(__xludf.DUMMYFUNCTION("""COMPUTED_VALUE"""),3499352.0)</f>
        <v>3499352</v>
      </c>
    </row>
    <row r="3026">
      <c r="A3026" t="str">
        <f t="shared" si="1"/>
        <v>tcd#1969</v>
      </c>
      <c r="B3026" t="str">
        <f>IFERROR(__xludf.DUMMYFUNCTION("""COMPUTED_VALUE"""),"tcd")</f>
        <v>tcd</v>
      </c>
      <c r="C3026" t="str">
        <f>IFERROR(__xludf.DUMMYFUNCTION("""COMPUTED_VALUE"""),"Chad")</f>
        <v>Chad</v>
      </c>
      <c r="D3026">
        <f>IFERROR(__xludf.DUMMYFUNCTION("""COMPUTED_VALUE"""),1969.0)</f>
        <v>1969</v>
      </c>
      <c r="E3026">
        <f>IFERROR(__xludf.DUMMYFUNCTION("""COMPUTED_VALUE"""),3568376.0)</f>
        <v>3568376</v>
      </c>
    </row>
    <row r="3027">
      <c r="A3027" t="str">
        <f t="shared" si="1"/>
        <v>tcd#1970</v>
      </c>
      <c r="B3027" t="str">
        <f>IFERROR(__xludf.DUMMYFUNCTION("""COMPUTED_VALUE"""),"tcd")</f>
        <v>tcd</v>
      </c>
      <c r="C3027" t="str">
        <f>IFERROR(__xludf.DUMMYFUNCTION("""COMPUTED_VALUE"""),"Chad")</f>
        <v>Chad</v>
      </c>
      <c r="D3027">
        <f>IFERROR(__xludf.DUMMYFUNCTION("""COMPUTED_VALUE"""),1970.0)</f>
        <v>1970</v>
      </c>
      <c r="E3027">
        <f>IFERROR(__xludf.DUMMYFUNCTION("""COMPUTED_VALUE"""),3643549.0)</f>
        <v>3643549</v>
      </c>
    </row>
    <row r="3028">
      <c r="A3028" t="str">
        <f t="shared" si="1"/>
        <v>tcd#1971</v>
      </c>
      <c r="B3028" t="str">
        <f>IFERROR(__xludf.DUMMYFUNCTION("""COMPUTED_VALUE"""),"tcd")</f>
        <v>tcd</v>
      </c>
      <c r="C3028" t="str">
        <f>IFERROR(__xludf.DUMMYFUNCTION("""COMPUTED_VALUE"""),"Chad")</f>
        <v>Chad</v>
      </c>
      <c r="D3028">
        <f>IFERROR(__xludf.DUMMYFUNCTION("""COMPUTED_VALUE"""),1971.0)</f>
        <v>1971</v>
      </c>
      <c r="E3028">
        <f>IFERROR(__xludf.DUMMYFUNCTION("""COMPUTED_VALUE"""),3726091.0)</f>
        <v>3726091</v>
      </c>
    </row>
    <row r="3029">
      <c r="A3029" t="str">
        <f t="shared" si="1"/>
        <v>tcd#1972</v>
      </c>
      <c r="B3029" t="str">
        <f>IFERROR(__xludf.DUMMYFUNCTION("""COMPUTED_VALUE"""),"tcd")</f>
        <v>tcd</v>
      </c>
      <c r="C3029" t="str">
        <f>IFERROR(__xludf.DUMMYFUNCTION("""COMPUTED_VALUE"""),"Chad")</f>
        <v>Chad</v>
      </c>
      <c r="D3029">
        <f>IFERROR(__xludf.DUMMYFUNCTION("""COMPUTED_VALUE"""),1972.0)</f>
        <v>1972</v>
      </c>
      <c r="E3029">
        <f>IFERROR(__xludf.DUMMYFUNCTION("""COMPUTED_VALUE"""),3815103.0)</f>
        <v>3815103</v>
      </c>
    </row>
    <row r="3030">
      <c r="A3030" t="str">
        <f t="shared" si="1"/>
        <v>tcd#1973</v>
      </c>
      <c r="B3030" t="str">
        <f>IFERROR(__xludf.DUMMYFUNCTION("""COMPUTED_VALUE"""),"tcd")</f>
        <v>tcd</v>
      </c>
      <c r="C3030" t="str">
        <f>IFERROR(__xludf.DUMMYFUNCTION("""COMPUTED_VALUE"""),"Chad")</f>
        <v>Chad</v>
      </c>
      <c r="D3030">
        <f>IFERROR(__xludf.DUMMYFUNCTION("""COMPUTED_VALUE"""),1973.0)</f>
        <v>1973</v>
      </c>
      <c r="E3030">
        <f>IFERROR(__xludf.DUMMYFUNCTION("""COMPUTED_VALUE"""),3907632.0)</f>
        <v>3907632</v>
      </c>
    </row>
    <row r="3031">
      <c r="A3031" t="str">
        <f t="shared" si="1"/>
        <v>tcd#1974</v>
      </c>
      <c r="B3031" t="str">
        <f>IFERROR(__xludf.DUMMYFUNCTION("""COMPUTED_VALUE"""),"tcd")</f>
        <v>tcd</v>
      </c>
      <c r="C3031" t="str">
        <f>IFERROR(__xludf.DUMMYFUNCTION("""COMPUTED_VALUE"""),"Chad")</f>
        <v>Chad</v>
      </c>
      <c r="D3031">
        <f>IFERROR(__xludf.DUMMYFUNCTION("""COMPUTED_VALUE"""),1974.0)</f>
        <v>1974</v>
      </c>
      <c r="E3031">
        <f>IFERROR(__xludf.DUMMYFUNCTION("""COMPUTED_VALUE"""),3999512.0)</f>
        <v>3999512</v>
      </c>
    </row>
    <row r="3032">
      <c r="A3032" t="str">
        <f t="shared" si="1"/>
        <v>tcd#1975</v>
      </c>
      <c r="B3032" t="str">
        <f>IFERROR(__xludf.DUMMYFUNCTION("""COMPUTED_VALUE"""),"tcd")</f>
        <v>tcd</v>
      </c>
      <c r="C3032" t="str">
        <f>IFERROR(__xludf.DUMMYFUNCTION("""COMPUTED_VALUE"""),"Chad")</f>
        <v>Chad</v>
      </c>
      <c r="D3032">
        <f>IFERROR(__xludf.DUMMYFUNCTION("""COMPUTED_VALUE"""),1975.0)</f>
        <v>1975</v>
      </c>
      <c r="E3032">
        <f>IFERROR(__xludf.DUMMYFUNCTION("""COMPUTED_VALUE"""),4087948.0)</f>
        <v>4087948</v>
      </c>
    </row>
    <row r="3033">
      <c r="A3033" t="str">
        <f t="shared" si="1"/>
        <v>tcd#1976</v>
      </c>
      <c r="B3033" t="str">
        <f>IFERROR(__xludf.DUMMYFUNCTION("""COMPUTED_VALUE"""),"tcd")</f>
        <v>tcd</v>
      </c>
      <c r="C3033" t="str">
        <f>IFERROR(__xludf.DUMMYFUNCTION("""COMPUTED_VALUE"""),"Chad")</f>
        <v>Chad</v>
      </c>
      <c r="D3033">
        <f>IFERROR(__xludf.DUMMYFUNCTION("""COMPUTED_VALUE"""),1976.0)</f>
        <v>1976</v>
      </c>
      <c r="E3033">
        <f>IFERROR(__xludf.DUMMYFUNCTION("""COMPUTED_VALUE"""),4172230.0)</f>
        <v>4172230</v>
      </c>
    </row>
    <row r="3034">
      <c r="A3034" t="str">
        <f t="shared" si="1"/>
        <v>tcd#1977</v>
      </c>
      <c r="B3034" t="str">
        <f>IFERROR(__xludf.DUMMYFUNCTION("""COMPUTED_VALUE"""),"tcd")</f>
        <v>tcd</v>
      </c>
      <c r="C3034" t="str">
        <f>IFERROR(__xludf.DUMMYFUNCTION("""COMPUTED_VALUE"""),"Chad")</f>
        <v>Chad</v>
      </c>
      <c r="D3034">
        <f>IFERROR(__xludf.DUMMYFUNCTION("""COMPUTED_VALUE"""),1977.0)</f>
        <v>1977</v>
      </c>
      <c r="E3034">
        <f>IFERROR(__xludf.DUMMYFUNCTION("""COMPUTED_VALUE"""),4253989.0)</f>
        <v>4253989</v>
      </c>
    </row>
    <row r="3035">
      <c r="A3035" t="str">
        <f t="shared" si="1"/>
        <v>tcd#1978</v>
      </c>
      <c r="B3035" t="str">
        <f>IFERROR(__xludf.DUMMYFUNCTION("""COMPUTED_VALUE"""),"tcd")</f>
        <v>tcd</v>
      </c>
      <c r="C3035" t="str">
        <f>IFERROR(__xludf.DUMMYFUNCTION("""COMPUTED_VALUE"""),"Chad")</f>
        <v>Chad</v>
      </c>
      <c r="D3035">
        <f>IFERROR(__xludf.DUMMYFUNCTION("""COMPUTED_VALUE"""),1978.0)</f>
        <v>1978</v>
      </c>
      <c r="E3035">
        <f>IFERROR(__xludf.DUMMYFUNCTION("""COMPUTED_VALUE"""),4335645.0)</f>
        <v>4335645</v>
      </c>
    </row>
    <row r="3036">
      <c r="A3036" t="str">
        <f t="shared" si="1"/>
        <v>tcd#1979</v>
      </c>
      <c r="B3036" t="str">
        <f>IFERROR(__xludf.DUMMYFUNCTION("""COMPUTED_VALUE"""),"tcd")</f>
        <v>tcd</v>
      </c>
      <c r="C3036" t="str">
        <f>IFERROR(__xludf.DUMMYFUNCTION("""COMPUTED_VALUE"""),"Chad")</f>
        <v>Chad</v>
      </c>
      <c r="D3036">
        <f>IFERROR(__xludf.DUMMYFUNCTION("""COMPUTED_VALUE"""),1979.0)</f>
        <v>1979</v>
      </c>
      <c r="E3036">
        <f>IFERROR(__xludf.DUMMYFUNCTION("""COMPUTED_VALUE"""),4420716.0)</f>
        <v>4420716</v>
      </c>
    </row>
    <row r="3037">
      <c r="A3037" t="str">
        <f t="shared" si="1"/>
        <v>tcd#1980</v>
      </c>
      <c r="B3037" t="str">
        <f>IFERROR(__xludf.DUMMYFUNCTION("""COMPUTED_VALUE"""),"tcd")</f>
        <v>tcd</v>
      </c>
      <c r="C3037" t="str">
        <f>IFERROR(__xludf.DUMMYFUNCTION("""COMPUTED_VALUE"""),"Chad")</f>
        <v>Chad</v>
      </c>
      <c r="D3037">
        <f>IFERROR(__xludf.DUMMYFUNCTION("""COMPUTED_VALUE"""),1980.0)</f>
        <v>1980</v>
      </c>
      <c r="E3037">
        <f>IFERROR(__xludf.DUMMYFUNCTION("""COMPUTED_VALUE"""),4512042.0)</f>
        <v>4512042</v>
      </c>
    </row>
    <row r="3038">
      <c r="A3038" t="str">
        <f t="shared" si="1"/>
        <v>tcd#1981</v>
      </c>
      <c r="B3038" t="str">
        <f>IFERROR(__xludf.DUMMYFUNCTION("""COMPUTED_VALUE"""),"tcd")</f>
        <v>tcd</v>
      </c>
      <c r="C3038" t="str">
        <f>IFERROR(__xludf.DUMMYFUNCTION("""COMPUTED_VALUE"""),"Chad")</f>
        <v>Chad</v>
      </c>
      <c r="D3038">
        <f>IFERROR(__xludf.DUMMYFUNCTION("""COMPUTED_VALUE"""),1981.0)</f>
        <v>1981</v>
      </c>
      <c r="E3038">
        <f>IFERROR(__xludf.DUMMYFUNCTION("""COMPUTED_VALUE"""),4610167.0)</f>
        <v>4610167</v>
      </c>
    </row>
    <row r="3039">
      <c r="A3039" t="str">
        <f t="shared" si="1"/>
        <v>tcd#1982</v>
      </c>
      <c r="B3039" t="str">
        <f>IFERROR(__xludf.DUMMYFUNCTION("""COMPUTED_VALUE"""),"tcd")</f>
        <v>tcd</v>
      </c>
      <c r="C3039" t="str">
        <f>IFERROR(__xludf.DUMMYFUNCTION("""COMPUTED_VALUE"""),"Chad")</f>
        <v>Chad</v>
      </c>
      <c r="D3039">
        <f>IFERROR(__xludf.DUMMYFUNCTION("""COMPUTED_VALUE"""),1982.0)</f>
        <v>1982</v>
      </c>
      <c r="E3039">
        <f>IFERROR(__xludf.DUMMYFUNCTION("""COMPUTED_VALUE"""),4715197.0)</f>
        <v>4715197</v>
      </c>
    </row>
    <row r="3040">
      <c r="A3040" t="str">
        <f t="shared" si="1"/>
        <v>tcd#1983</v>
      </c>
      <c r="B3040" t="str">
        <f>IFERROR(__xludf.DUMMYFUNCTION("""COMPUTED_VALUE"""),"tcd")</f>
        <v>tcd</v>
      </c>
      <c r="C3040" t="str">
        <f>IFERROR(__xludf.DUMMYFUNCTION("""COMPUTED_VALUE"""),"Chad")</f>
        <v>Chad</v>
      </c>
      <c r="D3040">
        <f>IFERROR(__xludf.DUMMYFUNCTION("""COMPUTED_VALUE"""),1983.0)</f>
        <v>1983</v>
      </c>
      <c r="E3040">
        <f>IFERROR(__xludf.DUMMYFUNCTION("""COMPUTED_VALUE"""),4829094.0)</f>
        <v>4829094</v>
      </c>
    </row>
    <row r="3041">
      <c r="A3041" t="str">
        <f t="shared" si="1"/>
        <v>tcd#1984</v>
      </c>
      <c r="B3041" t="str">
        <f>IFERROR(__xludf.DUMMYFUNCTION("""COMPUTED_VALUE"""),"tcd")</f>
        <v>tcd</v>
      </c>
      <c r="C3041" t="str">
        <f>IFERROR(__xludf.DUMMYFUNCTION("""COMPUTED_VALUE"""),"Chad")</f>
        <v>Chad</v>
      </c>
      <c r="D3041">
        <f>IFERROR(__xludf.DUMMYFUNCTION("""COMPUTED_VALUE"""),1984.0)</f>
        <v>1984</v>
      </c>
      <c r="E3041">
        <f>IFERROR(__xludf.DUMMYFUNCTION("""COMPUTED_VALUE"""),4954046.0)</f>
        <v>4954046</v>
      </c>
    </row>
    <row r="3042">
      <c r="A3042" t="str">
        <f t="shared" si="1"/>
        <v>tcd#1985</v>
      </c>
      <c r="B3042" t="str">
        <f>IFERROR(__xludf.DUMMYFUNCTION("""COMPUTED_VALUE"""),"tcd")</f>
        <v>tcd</v>
      </c>
      <c r="C3042" t="str">
        <f>IFERROR(__xludf.DUMMYFUNCTION("""COMPUTED_VALUE"""),"Chad")</f>
        <v>Chad</v>
      </c>
      <c r="D3042">
        <f>IFERROR(__xludf.DUMMYFUNCTION("""COMPUTED_VALUE"""),1985.0)</f>
        <v>1985</v>
      </c>
      <c r="E3042">
        <f>IFERROR(__xludf.DUMMYFUNCTION("""COMPUTED_VALUE"""),5091535.0)</f>
        <v>5091535</v>
      </c>
    </row>
    <row r="3043">
      <c r="A3043" t="str">
        <f t="shared" si="1"/>
        <v>tcd#1986</v>
      </c>
      <c r="B3043" t="str">
        <f>IFERROR(__xludf.DUMMYFUNCTION("""COMPUTED_VALUE"""),"tcd")</f>
        <v>tcd</v>
      </c>
      <c r="C3043" t="str">
        <f>IFERROR(__xludf.DUMMYFUNCTION("""COMPUTED_VALUE"""),"Chad")</f>
        <v>Chad</v>
      </c>
      <c r="D3043">
        <f>IFERROR(__xludf.DUMMYFUNCTION("""COMPUTED_VALUE"""),1986.0)</f>
        <v>1986</v>
      </c>
      <c r="E3043">
        <f>IFERROR(__xludf.DUMMYFUNCTION("""COMPUTED_VALUE"""),5243006.0)</f>
        <v>5243006</v>
      </c>
    </row>
    <row r="3044">
      <c r="A3044" t="str">
        <f t="shared" si="1"/>
        <v>tcd#1987</v>
      </c>
      <c r="B3044" t="str">
        <f>IFERROR(__xludf.DUMMYFUNCTION("""COMPUTED_VALUE"""),"tcd")</f>
        <v>tcd</v>
      </c>
      <c r="C3044" t="str">
        <f>IFERROR(__xludf.DUMMYFUNCTION("""COMPUTED_VALUE"""),"Chad")</f>
        <v>Chad</v>
      </c>
      <c r="D3044">
        <f>IFERROR(__xludf.DUMMYFUNCTION("""COMPUTED_VALUE"""),1987.0)</f>
        <v>1987</v>
      </c>
      <c r="E3044">
        <f>IFERROR(__xludf.DUMMYFUNCTION("""COMPUTED_VALUE"""),5408087.0)</f>
        <v>5408087</v>
      </c>
    </row>
    <row r="3045">
      <c r="A3045" t="str">
        <f t="shared" si="1"/>
        <v>tcd#1988</v>
      </c>
      <c r="B3045" t="str">
        <f>IFERROR(__xludf.DUMMYFUNCTION("""COMPUTED_VALUE"""),"tcd")</f>
        <v>tcd</v>
      </c>
      <c r="C3045" t="str">
        <f>IFERROR(__xludf.DUMMYFUNCTION("""COMPUTED_VALUE"""),"Chad")</f>
        <v>Chad</v>
      </c>
      <c r="D3045">
        <f>IFERROR(__xludf.DUMMYFUNCTION("""COMPUTED_VALUE"""),1988.0)</f>
        <v>1988</v>
      </c>
      <c r="E3045">
        <f>IFERROR(__xludf.DUMMYFUNCTION("""COMPUTED_VALUE"""),5584339.0)</f>
        <v>5584339</v>
      </c>
    </row>
    <row r="3046">
      <c r="A3046" t="str">
        <f t="shared" si="1"/>
        <v>tcd#1989</v>
      </c>
      <c r="B3046" t="str">
        <f>IFERROR(__xludf.DUMMYFUNCTION("""COMPUTED_VALUE"""),"tcd")</f>
        <v>tcd</v>
      </c>
      <c r="C3046" t="str">
        <f>IFERROR(__xludf.DUMMYFUNCTION("""COMPUTED_VALUE"""),"Chad")</f>
        <v>Chad</v>
      </c>
      <c r="D3046">
        <f>IFERROR(__xludf.DUMMYFUNCTION("""COMPUTED_VALUE"""),1989.0)</f>
        <v>1989</v>
      </c>
      <c r="E3046">
        <f>IFERROR(__xludf.DUMMYFUNCTION("""COMPUTED_VALUE"""),5768086.0)</f>
        <v>5768086</v>
      </c>
    </row>
    <row r="3047">
      <c r="A3047" t="str">
        <f t="shared" si="1"/>
        <v>tcd#1990</v>
      </c>
      <c r="B3047" t="str">
        <f>IFERROR(__xludf.DUMMYFUNCTION("""COMPUTED_VALUE"""),"tcd")</f>
        <v>tcd</v>
      </c>
      <c r="C3047" t="str">
        <f>IFERROR(__xludf.DUMMYFUNCTION("""COMPUTED_VALUE"""),"Chad")</f>
        <v>Chad</v>
      </c>
      <c r="D3047">
        <f>IFERROR(__xludf.DUMMYFUNCTION("""COMPUTED_VALUE"""),1990.0)</f>
        <v>1990</v>
      </c>
      <c r="E3047">
        <f>IFERROR(__xludf.DUMMYFUNCTION("""COMPUTED_VALUE"""),5956859.0)</f>
        <v>5956859</v>
      </c>
    </row>
    <row r="3048">
      <c r="A3048" t="str">
        <f t="shared" si="1"/>
        <v>tcd#1991</v>
      </c>
      <c r="B3048" t="str">
        <f>IFERROR(__xludf.DUMMYFUNCTION("""COMPUTED_VALUE"""),"tcd")</f>
        <v>tcd</v>
      </c>
      <c r="C3048" t="str">
        <f>IFERROR(__xludf.DUMMYFUNCTION("""COMPUTED_VALUE"""),"Chad")</f>
        <v>Chad</v>
      </c>
      <c r="D3048">
        <f>IFERROR(__xludf.DUMMYFUNCTION("""COMPUTED_VALUE"""),1991.0)</f>
        <v>1991</v>
      </c>
      <c r="E3048">
        <f>IFERROR(__xludf.DUMMYFUNCTION("""COMPUTED_VALUE"""),6150081.0)</f>
        <v>6150081</v>
      </c>
    </row>
    <row r="3049">
      <c r="A3049" t="str">
        <f t="shared" si="1"/>
        <v>tcd#1992</v>
      </c>
      <c r="B3049" t="str">
        <f>IFERROR(__xludf.DUMMYFUNCTION("""COMPUTED_VALUE"""),"tcd")</f>
        <v>tcd</v>
      </c>
      <c r="C3049" t="str">
        <f>IFERROR(__xludf.DUMMYFUNCTION("""COMPUTED_VALUE"""),"Chad")</f>
        <v>Chad</v>
      </c>
      <c r="D3049">
        <f>IFERROR(__xludf.DUMMYFUNCTION("""COMPUTED_VALUE"""),1992.0)</f>
        <v>1992</v>
      </c>
      <c r="E3049">
        <f>IFERROR(__xludf.DUMMYFUNCTION("""COMPUTED_VALUE"""),6349089.0)</f>
        <v>6349089</v>
      </c>
    </row>
    <row r="3050">
      <c r="A3050" t="str">
        <f t="shared" si="1"/>
        <v>tcd#1993</v>
      </c>
      <c r="B3050" t="str">
        <f>IFERROR(__xludf.DUMMYFUNCTION("""COMPUTED_VALUE"""),"tcd")</f>
        <v>tcd</v>
      </c>
      <c r="C3050" t="str">
        <f>IFERROR(__xludf.DUMMYFUNCTION("""COMPUTED_VALUE"""),"Chad")</f>
        <v>Chad</v>
      </c>
      <c r="D3050">
        <f>IFERROR(__xludf.DUMMYFUNCTION("""COMPUTED_VALUE"""),1993.0)</f>
        <v>1993</v>
      </c>
      <c r="E3050">
        <f>IFERROR(__xludf.DUMMYFUNCTION("""COMPUTED_VALUE"""),6555603.0)</f>
        <v>6555603</v>
      </c>
    </row>
    <row r="3051">
      <c r="A3051" t="str">
        <f t="shared" si="1"/>
        <v>tcd#1994</v>
      </c>
      <c r="B3051" t="str">
        <f>IFERROR(__xludf.DUMMYFUNCTION("""COMPUTED_VALUE"""),"tcd")</f>
        <v>tcd</v>
      </c>
      <c r="C3051" t="str">
        <f>IFERROR(__xludf.DUMMYFUNCTION("""COMPUTED_VALUE"""),"Chad")</f>
        <v>Chad</v>
      </c>
      <c r="D3051">
        <f>IFERROR(__xludf.DUMMYFUNCTION("""COMPUTED_VALUE"""),1994.0)</f>
        <v>1994</v>
      </c>
      <c r="E3051">
        <f>IFERROR(__xludf.DUMMYFUNCTION("""COMPUTED_VALUE"""),6772133.0)</f>
        <v>6772133</v>
      </c>
    </row>
    <row r="3052">
      <c r="A3052" t="str">
        <f t="shared" si="1"/>
        <v>tcd#1995</v>
      </c>
      <c r="B3052" t="str">
        <f>IFERROR(__xludf.DUMMYFUNCTION("""COMPUTED_VALUE"""),"tcd")</f>
        <v>tcd</v>
      </c>
      <c r="C3052" t="str">
        <f>IFERROR(__xludf.DUMMYFUNCTION("""COMPUTED_VALUE"""),"Chad")</f>
        <v>Chad</v>
      </c>
      <c r="D3052">
        <f>IFERROR(__xludf.DUMMYFUNCTION("""COMPUTED_VALUE"""),1995.0)</f>
        <v>1995</v>
      </c>
      <c r="E3052">
        <f>IFERROR(__xludf.DUMMYFUNCTION("""COMPUTED_VALUE"""),7000722.0)</f>
        <v>7000722</v>
      </c>
    </row>
    <row r="3053">
      <c r="A3053" t="str">
        <f t="shared" si="1"/>
        <v>tcd#1996</v>
      </c>
      <c r="B3053" t="str">
        <f>IFERROR(__xludf.DUMMYFUNCTION("""COMPUTED_VALUE"""),"tcd")</f>
        <v>tcd</v>
      </c>
      <c r="C3053" t="str">
        <f>IFERROR(__xludf.DUMMYFUNCTION("""COMPUTED_VALUE"""),"Chad")</f>
        <v>Chad</v>
      </c>
      <c r="D3053">
        <f>IFERROR(__xludf.DUMMYFUNCTION("""COMPUTED_VALUE"""),1996.0)</f>
        <v>1996</v>
      </c>
      <c r="E3053">
        <f>IFERROR(__xludf.DUMMYFUNCTION("""COMPUTED_VALUE"""),7241134.0)</f>
        <v>7241134</v>
      </c>
    </row>
    <row r="3054">
      <c r="A3054" t="str">
        <f t="shared" si="1"/>
        <v>tcd#1997</v>
      </c>
      <c r="B3054" t="str">
        <f>IFERROR(__xludf.DUMMYFUNCTION("""COMPUTED_VALUE"""),"tcd")</f>
        <v>tcd</v>
      </c>
      <c r="C3054" t="str">
        <f>IFERROR(__xludf.DUMMYFUNCTION("""COMPUTED_VALUE"""),"Chad")</f>
        <v>Chad</v>
      </c>
      <c r="D3054">
        <f>IFERROR(__xludf.DUMMYFUNCTION("""COMPUTED_VALUE"""),1997.0)</f>
        <v>1997</v>
      </c>
      <c r="E3054">
        <f>IFERROR(__xludf.DUMMYFUNCTION("""COMPUTED_VALUE"""),7493251.0)</f>
        <v>7493251</v>
      </c>
    </row>
    <row r="3055">
      <c r="A3055" t="str">
        <f t="shared" si="1"/>
        <v>tcd#1998</v>
      </c>
      <c r="B3055" t="str">
        <f>IFERROR(__xludf.DUMMYFUNCTION("""COMPUTED_VALUE"""),"tcd")</f>
        <v>tcd</v>
      </c>
      <c r="C3055" t="str">
        <f>IFERROR(__xludf.DUMMYFUNCTION("""COMPUTED_VALUE"""),"Chad")</f>
        <v>Chad</v>
      </c>
      <c r="D3055">
        <f>IFERROR(__xludf.DUMMYFUNCTION("""COMPUTED_VALUE"""),1998.0)</f>
        <v>1998</v>
      </c>
      <c r="E3055">
        <f>IFERROR(__xludf.DUMMYFUNCTION("""COMPUTED_VALUE"""),7759258.0)</f>
        <v>7759258</v>
      </c>
    </row>
    <row r="3056">
      <c r="A3056" t="str">
        <f t="shared" si="1"/>
        <v>tcd#1999</v>
      </c>
      <c r="B3056" t="str">
        <f>IFERROR(__xludf.DUMMYFUNCTION("""COMPUTED_VALUE"""),"tcd")</f>
        <v>tcd</v>
      </c>
      <c r="C3056" t="str">
        <f>IFERROR(__xludf.DUMMYFUNCTION("""COMPUTED_VALUE"""),"Chad")</f>
        <v>Chad</v>
      </c>
      <c r="D3056">
        <f>IFERROR(__xludf.DUMMYFUNCTION("""COMPUTED_VALUE"""),1999.0)</f>
        <v>1999</v>
      </c>
      <c r="E3056">
        <f>IFERROR(__xludf.DUMMYFUNCTION("""COMPUTED_VALUE"""),8041846.0)</f>
        <v>8041846</v>
      </c>
    </row>
    <row r="3057">
      <c r="A3057" t="str">
        <f t="shared" si="1"/>
        <v>tcd#2000</v>
      </c>
      <c r="B3057" t="str">
        <f>IFERROR(__xludf.DUMMYFUNCTION("""COMPUTED_VALUE"""),"tcd")</f>
        <v>tcd</v>
      </c>
      <c r="C3057" t="str">
        <f>IFERROR(__xludf.DUMMYFUNCTION("""COMPUTED_VALUE"""),"Chad")</f>
        <v>Chad</v>
      </c>
      <c r="D3057">
        <f>IFERROR(__xludf.DUMMYFUNCTION("""COMPUTED_VALUE"""),2000.0)</f>
        <v>2000</v>
      </c>
      <c r="E3057">
        <f>IFERROR(__xludf.DUMMYFUNCTION("""COMPUTED_VALUE"""),8342559.0)</f>
        <v>8342559</v>
      </c>
    </row>
    <row r="3058">
      <c r="A3058" t="str">
        <f t="shared" si="1"/>
        <v>tcd#2001</v>
      </c>
      <c r="B3058" t="str">
        <f>IFERROR(__xludf.DUMMYFUNCTION("""COMPUTED_VALUE"""),"tcd")</f>
        <v>tcd</v>
      </c>
      <c r="C3058" t="str">
        <f>IFERROR(__xludf.DUMMYFUNCTION("""COMPUTED_VALUE"""),"Chad")</f>
        <v>Chad</v>
      </c>
      <c r="D3058">
        <f>IFERROR(__xludf.DUMMYFUNCTION("""COMPUTED_VALUE"""),2001.0)</f>
        <v>2001</v>
      </c>
      <c r="E3058">
        <f>IFERROR(__xludf.DUMMYFUNCTION("""COMPUTED_VALUE"""),8663012.0)</f>
        <v>8663012</v>
      </c>
    </row>
    <row r="3059">
      <c r="A3059" t="str">
        <f t="shared" si="1"/>
        <v>tcd#2002</v>
      </c>
      <c r="B3059" t="str">
        <f>IFERROR(__xludf.DUMMYFUNCTION("""COMPUTED_VALUE"""),"tcd")</f>
        <v>tcd</v>
      </c>
      <c r="C3059" t="str">
        <f>IFERROR(__xludf.DUMMYFUNCTION("""COMPUTED_VALUE"""),"Chad")</f>
        <v>Chad</v>
      </c>
      <c r="D3059">
        <f>IFERROR(__xludf.DUMMYFUNCTION("""COMPUTED_VALUE"""),2002.0)</f>
        <v>2002</v>
      </c>
      <c r="E3059">
        <f>IFERROR(__xludf.DUMMYFUNCTION("""COMPUTED_VALUE"""),9001689.0)</f>
        <v>9001689</v>
      </c>
    </row>
    <row r="3060">
      <c r="A3060" t="str">
        <f t="shared" si="1"/>
        <v>tcd#2003</v>
      </c>
      <c r="B3060" t="str">
        <f>IFERROR(__xludf.DUMMYFUNCTION("""COMPUTED_VALUE"""),"tcd")</f>
        <v>tcd</v>
      </c>
      <c r="C3060" t="str">
        <f>IFERROR(__xludf.DUMMYFUNCTION("""COMPUTED_VALUE"""),"Chad")</f>
        <v>Chad</v>
      </c>
      <c r="D3060">
        <f>IFERROR(__xludf.DUMMYFUNCTION("""COMPUTED_VALUE"""),2003.0)</f>
        <v>2003</v>
      </c>
      <c r="E3060">
        <f>IFERROR(__xludf.DUMMYFUNCTION("""COMPUTED_VALUE"""),9353201.0)</f>
        <v>9353201</v>
      </c>
    </row>
    <row r="3061">
      <c r="A3061" t="str">
        <f t="shared" si="1"/>
        <v>tcd#2004</v>
      </c>
      <c r="B3061" t="str">
        <f>IFERROR(__xludf.DUMMYFUNCTION("""COMPUTED_VALUE"""),"tcd")</f>
        <v>tcd</v>
      </c>
      <c r="C3061" t="str">
        <f>IFERROR(__xludf.DUMMYFUNCTION("""COMPUTED_VALUE"""),"Chad")</f>
        <v>Chad</v>
      </c>
      <c r="D3061">
        <f>IFERROR(__xludf.DUMMYFUNCTION("""COMPUTED_VALUE"""),2004.0)</f>
        <v>2004</v>
      </c>
      <c r="E3061">
        <f>IFERROR(__xludf.DUMMYFUNCTION("""COMPUTED_VALUE"""),9710043.0)</f>
        <v>9710043</v>
      </c>
    </row>
    <row r="3062">
      <c r="A3062" t="str">
        <f t="shared" si="1"/>
        <v>tcd#2005</v>
      </c>
      <c r="B3062" t="str">
        <f>IFERROR(__xludf.DUMMYFUNCTION("""COMPUTED_VALUE"""),"tcd")</f>
        <v>tcd</v>
      </c>
      <c r="C3062" t="str">
        <f>IFERROR(__xludf.DUMMYFUNCTION("""COMPUTED_VALUE"""),"Chad")</f>
        <v>Chad</v>
      </c>
      <c r="D3062">
        <f>IFERROR(__xludf.DUMMYFUNCTION("""COMPUTED_VALUE"""),2005.0)</f>
        <v>2005</v>
      </c>
      <c r="E3062">
        <f>IFERROR(__xludf.DUMMYFUNCTION("""COMPUTED_VALUE"""),1.0067009E7)</f>
        <v>10067009</v>
      </c>
    </row>
    <row r="3063">
      <c r="A3063" t="str">
        <f t="shared" si="1"/>
        <v>tcd#2006</v>
      </c>
      <c r="B3063" t="str">
        <f>IFERROR(__xludf.DUMMYFUNCTION("""COMPUTED_VALUE"""),"tcd")</f>
        <v>tcd</v>
      </c>
      <c r="C3063" t="str">
        <f>IFERROR(__xludf.DUMMYFUNCTION("""COMPUTED_VALUE"""),"Chad")</f>
        <v>Chad</v>
      </c>
      <c r="D3063">
        <f>IFERROR(__xludf.DUMMYFUNCTION("""COMPUTED_VALUE"""),2006.0)</f>
        <v>2006</v>
      </c>
      <c r="E3063">
        <f>IFERROR(__xludf.DUMMYFUNCTION("""COMPUTED_VALUE"""),1.0421597E7)</f>
        <v>10421597</v>
      </c>
    </row>
    <row r="3064">
      <c r="A3064" t="str">
        <f t="shared" si="1"/>
        <v>tcd#2007</v>
      </c>
      <c r="B3064" t="str">
        <f>IFERROR(__xludf.DUMMYFUNCTION("""COMPUTED_VALUE"""),"tcd")</f>
        <v>tcd</v>
      </c>
      <c r="C3064" t="str">
        <f>IFERROR(__xludf.DUMMYFUNCTION("""COMPUTED_VALUE"""),"Chad")</f>
        <v>Chad</v>
      </c>
      <c r="D3064">
        <f>IFERROR(__xludf.DUMMYFUNCTION("""COMPUTED_VALUE"""),2007.0)</f>
        <v>2007</v>
      </c>
      <c r="E3064">
        <f>IFERROR(__xludf.DUMMYFUNCTION("""COMPUTED_VALUE"""),1.0775708E7)</f>
        <v>10775708</v>
      </c>
    </row>
    <row r="3065">
      <c r="A3065" t="str">
        <f t="shared" si="1"/>
        <v>tcd#2008</v>
      </c>
      <c r="B3065" t="str">
        <f>IFERROR(__xludf.DUMMYFUNCTION("""COMPUTED_VALUE"""),"tcd")</f>
        <v>tcd</v>
      </c>
      <c r="C3065" t="str">
        <f>IFERROR(__xludf.DUMMYFUNCTION("""COMPUTED_VALUE"""),"Chad")</f>
        <v>Chad</v>
      </c>
      <c r="D3065">
        <f>IFERROR(__xludf.DUMMYFUNCTION("""COMPUTED_VALUE"""),2008.0)</f>
        <v>2008</v>
      </c>
      <c r="E3065">
        <f>IFERROR(__xludf.DUMMYFUNCTION("""COMPUTED_VALUE"""),1.1133861E7)</f>
        <v>11133861</v>
      </c>
    </row>
    <row r="3066">
      <c r="A3066" t="str">
        <f t="shared" si="1"/>
        <v>tcd#2009</v>
      </c>
      <c r="B3066" t="str">
        <f>IFERROR(__xludf.DUMMYFUNCTION("""COMPUTED_VALUE"""),"tcd")</f>
        <v>tcd</v>
      </c>
      <c r="C3066" t="str">
        <f>IFERROR(__xludf.DUMMYFUNCTION("""COMPUTED_VALUE"""),"Chad")</f>
        <v>Chad</v>
      </c>
      <c r="D3066">
        <f>IFERROR(__xludf.DUMMYFUNCTION("""COMPUTED_VALUE"""),2009.0)</f>
        <v>2009</v>
      </c>
      <c r="E3066">
        <f>IFERROR(__xludf.DUMMYFUNCTION("""COMPUTED_VALUE"""),1.1502786E7)</f>
        <v>11502786</v>
      </c>
    </row>
    <row r="3067">
      <c r="A3067" t="str">
        <f t="shared" si="1"/>
        <v>tcd#2010</v>
      </c>
      <c r="B3067" t="str">
        <f>IFERROR(__xludf.DUMMYFUNCTION("""COMPUTED_VALUE"""),"tcd")</f>
        <v>tcd</v>
      </c>
      <c r="C3067" t="str">
        <f>IFERROR(__xludf.DUMMYFUNCTION("""COMPUTED_VALUE"""),"Chad")</f>
        <v>Chad</v>
      </c>
      <c r="D3067">
        <f>IFERROR(__xludf.DUMMYFUNCTION("""COMPUTED_VALUE"""),2010.0)</f>
        <v>2010</v>
      </c>
      <c r="E3067">
        <f>IFERROR(__xludf.DUMMYFUNCTION("""COMPUTED_VALUE"""),1.1887202E7)</f>
        <v>11887202</v>
      </c>
    </row>
    <row r="3068">
      <c r="A3068" t="str">
        <f t="shared" si="1"/>
        <v>tcd#2011</v>
      </c>
      <c r="B3068" t="str">
        <f>IFERROR(__xludf.DUMMYFUNCTION("""COMPUTED_VALUE"""),"tcd")</f>
        <v>tcd</v>
      </c>
      <c r="C3068" t="str">
        <f>IFERROR(__xludf.DUMMYFUNCTION("""COMPUTED_VALUE"""),"Chad")</f>
        <v>Chad</v>
      </c>
      <c r="D3068">
        <f>IFERROR(__xludf.DUMMYFUNCTION("""COMPUTED_VALUE"""),2011.0)</f>
        <v>2011</v>
      </c>
      <c r="E3068">
        <f>IFERROR(__xludf.DUMMYFUNCTION("""COMPUTED_VALUE"""),1.2288651E7)</f>
        <v>12288651</v>
      </c>
    </row>
    <row r="3069">
      <c r="A3069" t="str">
        <f t="shared" si="1"/>
        <v>tcd#2012</v>
      </c>
      <c r="B3069" t="str">
        <f>IFERROR(__xludf.DUMMYFUNCTION("""COMPUTED_VALUE"""),"tcd")</f>
        <v>tcd</v>
      </c>
      <c r="C3069" t="str">
        <f>IFERROR(__xludf.DUMMYFUNCTION("""COMPUTED_VALUE"""),"Chad")</f>
        <v>Chad</v>
      </c>
      <c r="D3069">
        <f>IFERROR(__xludf.DUMMYFUNCTION("""COMPUTED_VALUE"""),2012.0)</f>
        <v>2012</v>
      </c>
      <c r="E3069">
        <f>IFERROR(__xludf.DUMMYFUNCTION("""COMPUTED_VALUE"""),1.2705135E7)</f>
        <v>12705135</v>
      </c>
    </row>
    <row r="3070">
      <c r="A3070" t="str">
        <f t="shared" si="1"/>
        <v>tcd#2013</v>
      </c>
      <c r="B3070" t="str">
        <f>IFERROR(__xludf.DUMMYFUNCTION("""COMPUTED_VALUE"""),"tcd")</f>
        <v>tcd</v>
      </c>
      <c r="C3070" t="str">
        <f>IFERROR(__xludf.DUMMYFUNCTION("""COMPUTED_VALUE"""),"Chad")</f>
        <v>Chad</v>
      </c>
      <c r="D3070">
        <f>IFERROR(__xludf.DUMMYFUNCTION("""COMPUTED_VALUE"""),2013.0)</f>
        <v>2013</v>
      </c>
      <c r="E3070">
        <f>IFERROR(__xludf.DUMMYFUNCTION("""COMPUTED_VALUE"""),1.3133589E7)</f>
        <v>13133589</v>
      </c>
    </row>
    <row r="3071">
      <c r="A3071" t="str">
        <f t="shared" si="1"/>
        <v>tcd#2014</v>
      </c>
      <c r="B3071" t="str">
        <f>IFERROR(__xludf.DUMMYFUNCTION("""COMPUTED_VALUE"""),"tcd")</f>
        <v>tcd</v>
      </c>
      <c r="C3071" t="str">
        <f>IFERROR(__xludf.DUMMYFUNCTION("""COMPUTED_VALUE"""),"Chad")</f>
        <v>Chad</v>
      </c>
      <c r="D3071">
        <f>IFERROR(__xludf.DUMMYFUNCTION("""COMPUTED_VALUE"""),2014.0)</f>
        <v>2014</v>
      </c>
      <c r="E3071">
        <f>IFERROR(__xludf.DUMMYFUNCTION("""COMPUTED_VALUE"""),1.3569438E7)</f>
        <v>13569438</v>
      </c>
    </row>
    <row r="3072">
      <c r="A3072" t="str">
        <f t="shared" si="1"/>
        <v>tcd#2015</v>
      </c>
      <c r="B3072" t="str">
        <f>IFERROR(__xludf.DUMMYFUNCTION("""COMPUTED_VALUE"""),"tcd")</f>
        <v>tcd</v>
      </c>
      <c r="C3072" t="str">
        <f>IFERROR(__xludf.DUMMYFUNCTION("""COMPUTED_VALUE"""),"Chad")</f>
        <v>Chad</v>
      </c>
      <c r="D3072">
        <f>IFERROR(__xludf.DUMMYFUNCTION("""COMPUTED_VALUE"""),2015.0)</f>
        <v>2015</v>
      </c>
      <c r="E3072">
        <f>IFERROR(__xludf.DUMMYFUNCTION("""COMPUTED_VALUE"""),1.4009413E7)</f>
        <v>14009413</v>
      </c>
    </row>
    <row r="3073">
      <c r="A3073" t="str">
        <f t="shared" si="1"/>
        <v>tcd#2016</v>
      </c>
      <c r="B3073" t="str">
        <f>IFERROR(__xludf.DUMMYFUNCTION("""COMPUTED_VALUE"""),"tcd")</f>
        <v>tcd</v>
      </c>
      <c r="C3073" t="str">
        <f>IFERROR(__xludf.DUMMYFUNCTION("""COMPUTED_VALUE"""),"Chad")</f>
        <v>Chad</v>
      </c>
      <c r="D3073">
        <f>IFERROR(__xludf.DUMMYFUNCTION("""COMPUTED_VALUE"""),2016.0)</f>
        <v>2016</v>
      </c>
      <c r="E3073">
        <f>IFERROR(__xludf.DUMMYFUNCTION("""COMPUTED_VALUE"""),1.4452543E7)</f>
        <v>14452543</v>
      </c>
    </row>
    <row r="3074">
      <c r="A3074" t="str">
        <f t="shared" si="1"/>
        <v>tcd#2017</v>
      </c>
      <c r="B3074" t="str">
        <f>IFERROR(__xludf.DUMMYFUNCTION("""COMPUTED_VALUE"""),"tcd")</f>
        <v>tcd</v>
      </c>
      <c r="C3074" t="str">
        <f>IFERROR(__xludf.DUMMYFUNCTION("""COMPUTED_VALUE"""),"Chad")</f>
        <v>Chad</v>
      </c>
      <c r="D3074">
        <f>IFERROR(__xludf.DUMMYFUNCTION("""COMPUTED_VALUE"""),2017.0)</f>
        <v>2017</v>
      </c>
      <c r="E3074">
        <f>IFERROR(__xludf.DUMMYFUNCTION("""COMPUTED_VALUE"""),1.4899994E7)</f>
        <v>14899994</v>
      </c>
    </row>
    <row r="3075">
      <c r="A3075" t="str">
        <f t="shared" si="1"/>
        <v>tcd#2018</v>
      </c>
      <c r="B3075" t="str">
        <f>IFERROR(__xludf.DUMMYFUNCTION("""COMPUTED_VALUE"""),"tcd")</f>
        <v>tcd</v>
      </c>
      <c r="C3075" t="str">
        <f>IFERROR(__xludf.DUMMYFUNCTION("""COMPUTED_VALUE"""),"Chad")</f>
        <v>Chad</v>
      </c>
      <c r="D3075">
        <f>IFERROR(__xludf.DUMMYFUNCTION("""COMPUTED_VALUE"""),2018.0)</f>
        <v>2018</v>
      </c>
      <c r="E3075">
        <f>IFERROR(__xludf.DUMMYFUNCTION("""COMPUTED_VALUE"""),1.5353184E7)</f>
        <v>15353184</v>
      </c>
    </row>
    <row r="3076">
      <c r="A3076" t="str">
        <f t="shared" si="1"/>
        <v>tcd#2019</v>
      </c>
      <c r="B3076" t="str">
        <f>IFERROR(__xludf.DUMMYFUNCTION("""COMPUTED_VALUE"""),"tcd")</f>
        <v>tcd</v>
      </c>
      <c r="C3076" t="str">
        <f>IFERROR(__xludf.DUMMYFUNCTION("""COMPUTED_VALUE"""),"Chad")</f>
        <v>Chad</v>
      </c>
      <c r="D3076">
        <f>IFERROR(__xludf.DUMMYFUNCTION("""COMPUTED_VALUE"""),2019.0)</f>
        <v>2019</v>
      </c>
      <c r="E3076">
        <f>IFERROR(__xludf.DUMMYFUNCTION("""COMPUTED_VALUE"""),1.5814345E7)</f>
        <v>15814345</v>
      </c>
    </row>
    <row r="3077">
      <c r="A3077" t="str">
        <f t="shared" si="1"/>
        <v>tcd#2020</v>
      </c>
      <c r="B3077" t="str">
        <f>IFERROR(__xludf.DUMMYFUNCTION("""COMPUTED_VALUE"""),"tcd")</f>
        <v>tcd</v>
      </c>
      <c r="C3077" t="str">
        <f>IFERROR(__xludf.DUMMYFUNCTION("""COMPUTED_VALUE"""),"Chad")</f>
        <v>Chad</v>
      </c>
      <c r="D3077">
        <f>IFERROR(__xludf.DUMMYFUNCTION("""COMPUTED_VALUE"""),2020.0)</f>
        <v>2020</v>
      </c>
      <c r="E3077">
        <f>IFERROR(__xludf.DUMMYFUNCTION("""COMPUTED_VALUE"""),1.6285093E7)</f>
        <v>16285093</v>
      </c>
    </row>
    <row r="3078">
      <c r="A3078" t="str">
        <f t="shared" si="1"/>
        <v>tcd#2021</v>
      </c>
      <c r="B3078" t="str">
        <f>IFERROR(__xludf.DUMMYFUNCTION("""COMPUTED_VALUE"""),"tcd")</f>
        <v>tcd</v>
      </c>
      <c r="C3078" t="str">
        <f>IFERROR(__xludf.DUMMYFUNCTION("""COMPUTED_VALUE"""),"Chad")</f>
        <v>Chad</v>
      </c>
      <c r="D3078">
        <f>IFERROR(__xludf.DUMMYFUNCTION("""COMPUTED_VALUE"""),2021.0)</f>
        <v>2021</v>
      </c>
      <c r="E3078">
        <f>IFERROR(__xludf.DUMMYFUNCTION("""COMPUTED_VALUE"""),1.6765714E7)</f>
        <v>16765714</v>
      </c>
    </row>
    <row r="3079">
      <c r="A3079" t="str">
        <f t="shared" si="1"/>
        <v>tcd#2022</v>
      </c>
      <c r="B3079" t="str">
        <f>IFERROR(__xludf.DUMMYFUNCTION("""COMPUTED_VALUE"""),"tcd")</f>
        <v>tcd</v>
      </c>
      <c r="C3079" t="str">
        <f>IFERROR(__xludf.DUMMYFUNCTION("""COMPUTED_VALUE"""),"Chad")</f>
        <v>Chad</v>
      </c>
      <c r="D3079">
        <f>IFERROR(__xludf.DUMMYFUNCTION("""COMPUTED_VALUE"""),2022.0)</f>
        <v>2022</v>
      </c>
      <c r="E3079">
        <f>IFERROR(__xludf.DUMMYFUNCTION("""COMPUTED_VALUE"""),1.7255546E7)</f>
        <v>17255546</v>
      </c>
    </row>
    <row r="3080">
      <c r="A3080" t="str">
        <f t="shared" si="1"/>
        <v>tcd#2023</v>
      </c>
      <c r="B3080" t="str">
        <f>IFERROR(__xludf.DUMMYFUNCTION("""COMPUTED_VALUE"""),"tcd")</f>
        <v>tcd</v>
      </c>
      <c r="C3080" t="str">
        <f>IFERROR(__xludf.DUMMYFUNCTION("""COMPUTED_VALUE"""),"Chad")</f>
        <v>Chad</v>
      </c>
      <c r="D3080">
        <f>IFERROR(__xludf.DUMMYFUNCTION("""COMPUTED_VALUE"""),2023.0)</f>
        <v>2023</v>
      </c>
      <c r="E3080">
        <f>IFERROR(__xludf.DUMMYFUNCTION("""COMPUTED_VALUE"""),1.775422E7)</f>
        <v>17754220</v>
      </c>
    </row>
    <row r="3081">
      <c r="A3081" t="str">
        <f t="shared" si="1"/>
        <v>tcd#2024</v>
      </c>
      <c r="B3081" t="str">
        <f>IFERROR(__xludf.DUMMYFUNCTION("""COMPUTED_VALUE"""),"tcd")</f>
        <v>tcd</v>
      </c>
      <c r="C3081" t="str">
        <f>IFERROR(__xludf.DUMMYFUNCTION("""COMPUTED_VALUE"""),"Chad")</f>
        <v>Chad</v>
      </c>
      <c r="D3081">
        <f>IFERROR(__xludf.DUMMYFUNCTION("""COMPUTED_VALUE"""),2024.0)</f>
        <v>2024</v>
      </c>
      <c r="E3081">
        <f>IFERROR(__xludf.DUMMYFUNCTION("""COMPUTED_VALUE"""),1.8261067E7)</f>
        <v>18261067</v>
      </c>
    </row>
    <row r="3082">
      <c r="A3082" t="str">
        <f t="shared" si="1"/>
        <v>tcd#2025</v>
      </c>
      <c r="B3082" t="str">
        <f>IFERROR(__xludf.DUMMYFUNCTION("""COMPUTED_VALUE"""),"tcd")</f>
        <v>tcd</v>
      </c>
      <c r="C3082" t="str">
        <f>IFERROR(__xludf.DUMMYFUNCTION("""COMPUTED_VALUE"""),"Chad")</f>
        <v>Chad</v>
      </c>
      <c r="D3082">
        <f>IFERROR(__xludf.DUMMYFUNCTION("""COMPUTED_VALUE"""),2025.0)</f>
        <v>2025</v>
      </c>
      <c r="E3082">
        <f>IFERROR(__xludf.DUMMYFUNCTION("""COMPUTED_VALUE"""),1.8775565E7)</f>
        <v>18775565</v>
      </c>
    </row>
    <row r="3083">
      <c r="A3083" t="str">
        <f t="shared" si="1"/>
        <v>tcd#2026</v>
      </c>
      <c r="B3083" t="str">
        <f>IFERROR(__xludf.DUMMYFUNCTION("""COMPUTED_VALUE"""),"tcd")</f>
        <v>tcd</v>
      </c>
      <c r="C3083" t="str">
        <f>IFERROR(__xludf.DUMMYFUNCTION("""COMPUTED_VALUE"""),"Chad")</f>
        <v>Chad</v>
      </c>
      <c r="D3083">
        <f>IFERROR(__xludf.DUMMYFUNCTION("""COMPUTED_VALUE"""),2026.0)</f>
        <v>2026</v>
      </c>
      <c r="E3083">
        <f>IFERROR(__xludf.DUMMYFUNCTION("""COMPUTED_VALUE"""),1.9297583E7)</f>
        <v>19297583</v>
      </c>
    </row>
    <row r="3084">
      <c r="A3084" t="str">
        <f t="shared" si="1"/>
        <v>tcd#2027</v>
      </c>
      <c r="B3084" t="str">
        <f>IFERROR(__xludf.DUMMYFUNCTION("""COMPUTED_VALUE"""),"tcd")</f>
        <v>tcd</v>
      </c>
      <c r="C3084" t="str">
        <f>IFERROR(__xludf.DUMMYFUNCTION("""COMPUTED_VALUE"""),"Chad")</f>
        <v>Chad</v>
      </c>
      <c r="D3084">
        <f>IFERROR(__xludf.DUMMYFUNCTION("""COMPUTED_VALUE"""),2027.0)</f>
        <v>2027</v>
      </c>
      <c r="E3084">
        <f>IFERROR(__xludf.DUMMYFUNCTION("""COMPUTED_VALUE"""),1.9827182E7)</f>
        <v>19827182</v>
      </c>
    </row>
    <row r="3085">
      <c r="A3085" t="str">
        <f t="shared" si="1"/>
        <v>tcd#2028</v>
      </c>
      <c r="B3085" t="str">
        <f>IFERROR(__xludf.DUMMYFUNCTION("""COMPUTED_VALUE"""),"tcd")</f>
        <v>tcd</v>
      </c>
      <c r="C3085" t="str">
        <f>IFERROR(__xludf.DUMMYFUNCTION("""COMPUTED_VALUE"""),"Chad")</f>
        <v>Chad</v>
      </c>
      <c r="D3085">
        <f>IFERROR(__xludf.DUMMYFUNCTION("""COMPUTED_VALUE"""),2028.0)</f>
        <v>2028</v>
      </c>
      <c r="E3085">
        <f>IFERROR(__xludf.DUMMYFUNCTION("""COMPUTED_VALUE"""),2.0364197E7)</f>
        <v>20364197</v>
      </c>
    </row>
    <row r="3086">
      <c r="A3086" t="str">
        <f t="shared" si="1"/>
        <v>tcd#2029</v>
      </c>
      <c r="B3086" t="str">
        <f>IFERROR(__xludf.DUMMYFUNCTION("""COMPUTED_VALUE"""),"tcd")</f>
        <v>tcd</v>
      </c>
      <c r="C3086" t="str">
        <f>IFERROR(__xludf.DUMMYFUNCTION("""COMPUTED_VALUE"""),"Chad")</f>
        <v>Chad</v>
      </c>
      <c r="D3086">
        <f>IFERROR(__xludf.DUMMYFUNCTION("""COMPUTED_VALUE"""),2029.0)</f>
        <v>2029</v>
      </c>
      <c r="E3086">
        <f>IFERROR(__xludf.DUMMYFUNCTION("""COMPUTED_VALUE"""),2.090851E7)</f>
        <v>20908510</v>
      </c>
    </row>
    <row r="3087">
      <c r="A3087" t="str">
        <f t="shared" si="1"/>
        <v>tcd#2030</v>
      </c>
      <c r="B3087" t="str">
        <f>IFERROR(__xludf.DUMMYFUNCTION("""COMPUTED_VALUE"""),"tcd")</f>
        <v>tcd</v>
      </c>
      <c r="C3087" t="str">
        <f>IFERROR(__xludf.DUMMYFUNCTION("""COMPUTED_VALUE"""),"Chad")</f>
        <v>Chad</v>
      </c>
      <c r="D3087">
        <f>IFERROR(__xludf.DUMMYFUNCTION("""COMPUTED_VALUE"""),2030.0)</f>
        <v>2030</v>
      </c>
      <c r="E3087">
        <f>IFERROR(__xludf.DUMMYFUNCTION("""COMPUTED_VALUE"""),2.1459963E7)</f>
        <v>21459963</v>
      </c>
    </row>
    <row r="3088">
      <c r="A3088" t="str">
        <f t="shared" si="1"/>
        <v>tcd#2031</v>
      </c>
      <c r="B3088" t="str">
        <f>IFERROR(__xludf.DUMMYFUNCTION("""COMPUTED_VALUE"""),"tcd")</f>
        <v>tcd</v>
      </c>
      <c r="C3088" t="str">
        <f>IFERROR(__xludf.DUMMYFUNCTION("""COMPUTED_VALUE"""),"Chad")</f>
        <v>Chad</v>
      </c>
      <c r="D3088">
        <f>IFERROR(__xludf.DUMMYFUNCTION("""COMPUTED_VALUE"""),2031.0)</f>
        <v>2031</v>
      </c>
      <c r="E3088">
        <f>IFERROR(__xludf.DUMMYFUNCTION("""COMPUTED_VALUE"""),2.201836E7)</f>
        <v>22018360</v>
      </c>
    </row>
    <row r="3089">
      <c r="A3089" t="str">
        <f t="shared" si="1"/>
        <v>tcd#2032</v>
      </c>
      <c r="B3089" t="str">
        <f>IFERROR(__xludf.DUMMYFUNCTION("""COMPUTED_VALUE"""),"tcd")</f>
        <v>tcd</v>
      </c>
      <c r="C3089" t="str">
        <f>IFERROR(__xludf.DUMMYFUNCTION("""COMPUTED_VALUE"""),"Chad")</f>
        <v>Chad</v>
      </c>
      <c r="D3089">
        <f>IFERROR(__xludf.DUMMYFUNCTION("""COMPUTED_VALUE"""),2032.0)</f>
        <v>2032</v>
      </c>
      <c r="E3089">
        <f>IFERROR(__xludf.DUMMYFUNCTION("""COMPUTED_VALUE"""),2.2583505E7)</f>
        <v>22583505</v>
      </c>
    </row>
    <row r="3090">
      <c r="A3090" t="str">
        <f t="shared" si="1"/>
        <v>tcd#2033</v>
      </c>
      <c r="B3090" t="str">
        <f>IFERROR(__xludf.DUMMYFUNCTION("""COMPUTED_VALUE"""),"tcd")</f>
        <v>tcd</v>
      </c>
      <c r="C3090" t="str">
        <f>IFERROR(__xludf.DUMMYFUNCTION("""COMPUTED_VALUE"""),"Chad")</f>
        <v>Chad</v>
      </c>
      <c r="D3090">
        <f>IFERROR(__xludf.DUMMYFUNCTION("""COMPUTED_VALUE"""),2033.0)</f>
        <v>2033</v>
      </c>
      <c r="E3090">
        <f>IFERROR(__xludf.DUMMYFUNCTION("""COMPUTED_VALUE"""),2.3155184E7)</f>
        <v>23155184</v>
      </c>
    </row>
    <row r="3091">
      <c r="A3091" t="str">
        <f t="shared" si="1"/>
        <v>tcd#2034</v>
      </c>
      <c r="B3091" t="str">
        <f>IFERROR(__xludf.DUMMYFUNCTION("""COMPUTED_VALUE"""),"tcd")</f>
        <v>tcd</v>
      </c>
      <c r="C3091" t="str">
        <f>IFERROR(__xludf.DUMMYFUNCTION("""COMPUTED_VALUE"""),"Chad")</f>
        <v>Chad</v>
      </c>
      <c r="D3091">
        <f>IFERROR(__xludf.DUMMYFUNCTION("""COMPUTED_VALUE"""),2034.0)</f>
        <v>2034</v>
      </c>
      <c r="E3091">
        <f>IFERROR(__xludf.DUMMYFUNCTION("""COMPUTED_VALUE"""),2.3733187E7)</f>
        <v>23733187</v>
      </c>
    </row>
    <row r="3092">
      <c r="A3092" t="str">
        <f t="shared" si="1"/>
        <v>tcd#2035</v>
      </c>
      <c r="B3092" t="str">
        <f>IFERROR(__xludf.DUMMYFUNCTION("""COMPUTED_VALUE"""),"tcd")</f>
        <v>tcd</v>
      </c>
      <c r="C3092" t="str">
        <f>IFERROR(__xludf.DUMMYFUNCTION("""COMPUTED_VALUE"""),"Chad")</f>
        <v>Chad</v>
      </c>
      <c r="D3092">
        <f>IFERROR(__xludf.DUMMYFUNCTION("""COMPUTED_VALUE"""),2035.0)</f>
        <v>2035</v>
      </c>
      <c r="E3092">
        <f>IFERROR(__xludf.DUMMYFUNCTION("""COMPUTED_VALUE"""),2.4317309E7)</f>
        <v>24317309</v>
      </c>
    </row>
    <row r="3093">
      <c r="A3093" t="str">
        <f t="shared" si="1"/>
        <v>tcd#2036</v>
      </c>
      <c r="B3093" t="str">
        <f>IFERROR(__xludf.DUMMYFUNCTION("""COMPUTED_VALUE"""),"tcd")</f>
        <v>tcd</v>
      </c>
      <c r="C3093" t="str">
        <f>IFERROR(__xludf.DUMMYFUNCTION("""COMPUTED_VALUE"""),"Chad")</f>
        <v>Chad</v>
      </c>
      <c r="D3093">
        <f>IFERROR(__xludf.DUMMYFUNCTION("""COMPUTED_VALUE"""),2036.0)</f>
        <v>2036</v>
      </c>
      <c r="E3093">
        <f>IFERROR(__xludf.DUMMYFUNCTION("""COMPUTED_VALUE"""),2.4907304E7)</f>
        <v>24907304</v>
      </c>
    </row>
    <row r="3094">
      <c r="A3094" t="str">
        <f t="shared" si="1"/>
        <v>tcd#2037</v>
      </c>
      <c r="B3094" t="str">
        <f>IFERROR(__xludf.DUMMYFUNCTION("""COMPUTED_VALUE"""),"tcd")</f>
        <v>tcd</v>
      </c>
      <c r="C3094" t="str">
        <f>IFERROR(__xludf.DUMMYFUNCTION("""COMPUTED_VALUE"""),"Chad")</f>
        <v>Chad</v>
      </c>
      <c r="D3094">
        <f>IFERROR(__xludf.DUMMYFUNCTION("""COMPUTED_VALUE"""),2037.0)</f>
        <v>2037</v>
      </c>
      <c r="E3094">
        <f>IFERROR(__xludf.DUMMYFUNCTION("""COMPUTED_VALUE"""),2.5502961E7)</f>
        <v>25502961</v>
      </c>
    </row>
    <row r="3095">
      <c r="A3095" t="str">
        <f t="shared" si="1"/>
        <v>tcd#2038</v>
      </c>
      <c r="B3095" t="str">
        <f>IFERROR(__xludf.DUMMYFUNCTION("""COMPUTED_VALUE"""),"tcd")</f>
        <v>tcd</v>
      </c>
      <c r="C3095" t="str">
        <f>IFERROR(__xludf.DUMMYFUNCTION("""COMPUTED_VALUE"""),"Chad")</f>
        <v>Chad</v>
      </c>
      <c r="D3095">
        <f>IFERROR(__xludf.DUMMYFUNCTION("""COMPUTED_VALUE"""),2038.0)</f>
        <v>2038</v>
      </c>
      <c r="E3095">
        <f>IFERROR(__xludf.DUMMYFUNCTION("""COMPUTED_VALUE"""),2.6103996E7)</f>
        <v>26103996</v>
      </c>
    </row>
    <row r="3096">
      <c r="A3096" t="str">
        <f t="shared" si="1"/>
        <v>tcd#2039</v>
      </c>
      <c r="B3096" t="str">
        <f>IFERROR(__xludf.DUMMYFUNCTION("""COMPUTED_VALUE"""),"tcd")</f>
        <v>tcd</v>
      </c>
      <c r="C3096" t="str">
        <f>IFERROR(__xludf.DUMMYFUNCTION("""COMPUTED_VALUE"""),"Chad")</f>
        <v>Chad</v>
      </c>
      <c r="D3096">
        <f>IFERROR(__xludf.DUMMYFUNCTION("""COMPUTED_VALUE"""),2039.0)</f>
        <v>2039</v>
      </c>
      <c r="E3096">
        <f>IFERROR(__xludf.DUMMYFUNCTION("""COMPUTED_VALUE"""),2.6710161E7)</f>
        <v>26710161</v>
      </c>
    </row>
    <row r="3097">
      <c r="A3097" t="str">
        <f t="shared" si="1"/>
        <v>tcd#2040</v>
      </c>
      <c r="B3097" t="str">
        <f>IFERROR(__xludf.DUMMYFUNCTION("""COMPUTED_VALUE"""),"tcd")</f>
        <v>tcd</v>
      </c>
      <c r="C3097" t="str">
        <f>IFERROR(__xludf.DUMMYFUNCTION("""COMPUTED_VALUE"""),"Chad")</f>
        <v>Chad</v>
      </c>
      <c r="D3097">
        <f>IFERROR(__xludf.DUMMYFUNCTION("""COMPUTED_VALUE"""),2040.0)</f>
        <v>2040</v>
      </c>
      <c r="E3097">
        <f>IFERROR(__xludf.DUMMYFUNCTION("""COMPUTED_VALUE"""),2.7321154E7)</f>
        <v>27321154</v>
      </c>
    </row>
    <row r="3098">
      <c r="A3098" t="str">
        <f t="shared" si="1"/>
        <v>chl#1950</v>
      </c>
      <c r="B3098" t="str">
        <f>IFERROR(__xludf.DUMMYFUNCTION("""COMPUTED_VALUE"""),"chl")</f>
        <v>chl</v>
      </c>
      <c r="C3098" t="str">
        <f>IFERROR(__xludf.DUMMYFUNCTION("""COMPUTED_VALUE"""),"Chile")</f>
        <v>Chile</v>
      </c>
      <c r="D3098">
        <f>IFERROR(__xludf.DUMMYFUNCTION("""COMPUTED_VALUE"""),1950.0)</f>
        <v>1950</v>
      </c>
      <c r="E3098">
        <f>IFERROR(__xludf.DUMMYFUNCTION("""COMPUTED_VALUE"""),6188284.0)</f>
        <v>6188284</v>
      </c>
    </row>
    <row r="3099">
      <c r="A3099" t="str">
        <f t="shared" si="1"/>
        <v>chl#1951</v>
      </c>
      <c r="B3099" t="str">
        <f>IFERROR(__xludf.DUMMYFUNCTION("""COMPUTED_VALUE"""),"chl")</f>
        <v>chl</v>
      </c>
      <c r="C3099" t="str">
        <f>IFERROR(__xludf.DUMMYFUNCTION("""COMPUTED_VALUE"""),"Chile")</f>
        <v>Chile</v>
      </c>
      <c r="D3099">
        <f>IFERROR(__xludf.DUMMYFUNCTION("""COMPUTED_VALUE"""),1951.0)</f>
        <v>1951</v>
      </c>
      <c r="E3099">
        <f>IFERROR(__xludf.DUMMYFUNCTION("""COMPUTED_VALUE"""),6327085.0)</f>
        <v>6327085</v>
      </c>
    </row>
    <row r="3100">
      <c r="A3100" t="str">
        <f t="shared" si="1"/>
        <v>chl#1952</v>
      </c>
      <c r="B3100" t="str">
        <f>IFERROR(__xludf.DUMMYFUNCTION("""COMPUTED_VALUE"""),"chl")</f>
        <v>chl</v>
      </c>
      <c r="C3100" t="str">
        <f>IFERROR(__xludf.DUMMYFUNCTION("""COMPUTED_VALUE"""),"Chile")</f>
        <v>Chile</v>
      </c>
      <c r="D3100">
        <f>IFERROR(__xludf.DUMMYFUNCTION("""COMPUTED_VALUE"""),1952.0)</f>
        <v>1952</v>
      </c>
      <c r="E3100">
        <f>IFERROR(__xludf.DUMMYFUNCTION("""COMPUTED_VALUE"""),6467640.0)</f>
        <v>6467640</v>
      </c>
    </row>
    <row r="3101">
      <c r="A3101" t="str">
        <f t="shared" si="1"/>
        <v>chl#1953</v>
      </c>
      <c r="B3101" t="str">
        <f>IFERROR(__xludf.DUMMYFUNCTION("""COMPUTED_VALUE"""),"chl")</f>
        <v>chl</v>
      </c>
      <c r="C3101" t="str">
        <f>IFERROR(__xludf.DUMMYFUNCTION("""COMPUTED_VALUE"""),"Chile")</f>
        <v>Chile</v>
      </c>
      <c r="D3101">
        <f>IFERROR(__xludf.DUMMYFUNCTION("""COMPUTED_VALUE"""),1953.0)</f>
        <v>1953</v>
      </c>
      <c r="E3101">
        <f>IFERROR(__xludf.DUMMYFUNCTION("""COMPUTED_VALUE"""),6610731.0)</f>
        <v>6610731</v>
      </c>
    </row>
    <row r="3102">
      <c r="A3102" t="str">
        <f t="shared" si="1"/>
        <v>chl#1954</v>
      </c>
      <c r="B3102" t="str">
        <f>IFERROR(__xludf.DUMMYFUNCTION("""COMPUTED_VALUE"""),"chl")</f>
        <v>chl</v>
      </c>
      <c r="C3102" t="str">
        <f>IFERROR(__xludf.DUMMYFUNCTION("""COMPUTED_VALUE"""),"Chile")</f>
        <v>Chile</v>
      </c>
      <c r="D3102">
        <f>IFERROR(__xludf.DUMMYFUNCTION("""COMPUTED_VALUE"""),1954.0)</f>
        <v>1954</v>
      </c>
      <c r="E3102">
        <f>IFERROR(__xludf.DUMMYFUNCTION("""COMPUTED_VALUE"""),6756969.0)</f>
        <v>6756969</v>
      </c>
    </row>
    <row r="3103">
      <c r="A3103" t="str">
        <f t="shared" si="1"/>
        <v>chl#1955</v>
      </c>
      <c r="B3103" t="str">
        <f>IFERROR(__xludf.DUMMYFUNCTION("""COMPUTED_VALUE"""),"chl")</f>
        <v>chl</v>
      </c>
      <c r="C3103" t="str">
        <f>IFERROR(__xludf.DUMMYFUNCTION("""COMPUTED_VALUE"""),"Chile")</f>
        <v>Chile</v>
      </c>
      <c r="D3103">
        <f>IFERROR(__xludf.DUMMYFUNCTION("""COMPUTED_VALUE"""),1955.0)</f>
        <v>1955</v>
      </c>
      <c r="E3103">
        <f>IFERROR(__xludf.DUMMYFUNCTION("""COMPUTED_VALUE"""),6906838.0)</f>
        <v>6906838</v>
      </c>
    </row>
    <row r="3104">
      <c r="A3104" t="str">
        <f t="shared" si="1"/>
        <v>chl#1956</v>
      </c>
      <c r="B3104" t="str">
        <f>IFERROR(__xludf.DUMMYFUNCTION("""COMPUTED_VALUE"""),"chl")</f>
        <v>chl</v>
      </c>
      <c r="C3104" t="str">
        <f>IFERROR(__xludf.DUMMYFUNCTION("""COMPUTED_VALUE"""),"Chile")</f>
        <v>Chile</v>
      </c>
      <c r="D3104">
        <f>IFERROR(__xludf.DUMMYFUNCTION("""COMPUTED_VALUE"""),1956.0)</f>
        <v>1956</v>
      </c>
      <c r="E3104">
        <f>IFERROR(__xludf.DUMMYFUNCTION("""COMPUTED_VALUE"""),7060663.0)</f>
        <v>7060663</v>
      </c>
    </row>
    <row r="3105">
      <c r="A3105" t="str">
        <f t="shared" si="1"/>
        <v>chl#1957</v>
      </c>
      <c r="B3105" t="str">
        <f>IFERROR(__xludf.DUMMYFUNCTION("""COMPUTED_VALUE"""),"chl")</f>
        <v>chl</v>
      </c>
      <c r="C3105" t="str">
        <f>IFERROR(__xludf.DUMMYFUNCTION("""COMPUTED_VALUE"""),"Chile")</f>
        <v>Chile</v>
      </c>
      <c r="D3105">
        <f>IFERROR(__xludf.DUMMYFUNCTION("""COMPUTED_VALUE"""),1957.0)</f>
        <v>1957</v>
      </c>
      <c r="E3105">
        <f>IFERROR(__xludf.DUMMYFUNCTION("""COMPUTED_VALUE"""),7218587.0)</f>
        <v>7218587</v>
      </c>
    </row>
    <row r="3106">
      <c r="A3106" t="str">
        <f t="shared" si="1"/>
        <v>chl#1958</v>
      </c>
      <c r="B3106" t="str">
        <f>IFERROR(__xludf.DUMMYFUNCTION("""COMPUTED_VALUE"""),"chl")</f>
        <v>chl</v>
      </c>
      <c r="C3106" t="str">
        <f>IFERROR(__xludf.DUMMYFUNCTION("""COMPUTED_VALUE"""),"Chile")</f>
        <v>Chile</v>
      </c>
      <c r="D3106">
        <f>IFERROR(__xludf.DUMMYFUNCTION("""COMPUTED_VALUE"""),1958.0)</f>
        <v>1958</v>
      </c>
      <c r="E3106">
        <f>IFERROR(__xludf.DUMMYFUNCTION("""COMPUTED_VALUE"""),7380642.0)</f>
        <v>7380642</v>
      </c>
    </row>
    <row r="3107">
      <c r="A3107" t="str">
        <f t="shared" si="1"/>
        <v>chl#1959</v>
      </c>
      <c r="B3107" t="str">
        <f>IFERROR(__xludf.DUMMYFUNCTION("""COMPUTED_VALUE"""),"chl")</f>
        <v>chl</v>
      </c>
      <c r="C3107" t="str">
        <f>IFERROR(__xludf.DUMMYFUNCTION("""COMPUTED_VALUE"""),"Chile")</f>
        <v>Chile</v>
      </c>
      <c r="D3107">
        <f>IFERROR(__xludf.DUMMYFUNCTION("""COMPUTED_VALUE"""),1959.0)</f>
        <v>1959</v>
      </c>
      <c r="E3107">
        <f>IFERROR(__xludf.DUMMYFUNCTION("""COMPUTED_VALUE"""),7546713.0)</f>
        <v>7546713</v>
      </c>
    </row>
    <row r="3108">
      <c r="A3108" t="str">
        <f t="shared" si="1"/>
        <v>chl#1960</v>
      </c>
      <c r="B3108" t="str">
        <f>IFERROR(__xludf.DUMMYFUNCTION("""COMPUTED_VALUE"""),"chl")</f>
        <v>chl</v>
      </c>
      <c r="C3108" t="str">
        <f>IFERROR(__xludf.DUMMYFUNCTION("""COMPUTED_VALUE"""),"Chile")</f>
        <v>Chile</v>
      </c>
      <c r="D3108">
        <f>IFERROR(__xludf.DUMMYFUNCTION("""COMPUTED_VALUE"""),1960.0)</f>
        <v>1960</v>
      </c>
      <c r="E3108">
        <f>IFERROR(__xludf.DUMMYFUNCTION("""COMPUTED_VALUE"""),7716625.0)</f>
        <v>7716625</v>
      </c>
    </row>
    <row r="3109">
      <c r="A3109" t="str">
        <f t="shared" si="1"/>
        <v>chl#1961</v>
      </c>
      <c r="B3109" t="str">
        <f>IFERROR(__xludf.DUMMYFUNCTION("""COMPUTED_VALUE"""),"chl")</f>
        <v>chl</v>
      </c>
      <c r="C3109" t="str">
        <f>IFERROR(__xludf.DUMMYFUNCTION("""COMPUTED_VALUE"""),"Chile")</f>
        <v>Chile</v>
      </c>
      <c r="D3109">
        <f>IFERROR(__xludf.DUMMYFUNCTION("""COMPUTED_VALUE"""),1961.0)</f>
        <v>1961</v>
      </c>
      <c r="E3109">
        <f>IFERROR(__xludf.DUMMYFUNCTION("""COMPUTED_VALUE"""),7890156.0)</f>
        <v>7890156</v>
      </c>
    </row>
    <row r="3110">
      <c r="A3110" t="str">
        <f t="shared" si="1"/>
        <v>chl#1962</v>
      </c>
      <c r="B3110" t="str">
        <f>IFERROR(__xludf.DUMMYFUNCTION("""COMPUTED_VALUE"""),"chl")</f>
        <v>chl</v>
      </c>
      <c r="C3110" t="str">
        <f>IFERROR(__xludf.DUMMYFUNCTION("""COMPUTED_VALUE"""),"Chile")</f>
        <v>Chile</v>
      </c>
      <c r="D3110">
        <f>IFERROR(__xludf.DUMMYFUNCTION("""COMPUTED_VALUE"""),1962.0)</f>
        <v>1962</v>
      </c>
      <c r="E3110">
        <f>IFERROR(__xludf.DUMMYFUNCTION("""COMPUTED_VALUE"""),8067136.0)</f>
        <v>8067136</v>
      </c>
    </row>
    <row r="3111">
      <c r="A3111" t="str">
        <f t="shared" si="1"/>
        <v>chl#1963</v>
      </c>
      <c r="B3111" t="str">
        <f>IFERROR(__xludf.DUMMYFUNCTION("""COMPUTED_VALUE"""),"chl")</f>
        <v>chl</v>
      </c>
      <c r="C3111" t="str">
        <f>IFERROR(__xludf.DUMMYFUNCTION("""COMPUTED_VALUE"""),"Chile")</f>
        <v>Chile</v>
      </c>
      <c r="D3111">
        <f>IFERROR(__xludf.DUMMYFUNCTION("""COMPUTED_VALUE"""),1963.0)</f>
        <v>1963</v>
      </c>
      <c r="E3111">
        <f>IFERROR(__xludf.DUMMYFUNCTION("""COMPUTED_VALUE"""),8247415.0)</f>
        <v>8247415</v>
      </c>
    </row>
    <row r="3112">
      <c r="A3112" t="str">
        <f t="shared" si="1"/>
        <v>chl#1964</v>
      </c>
      <c r="B3112" t="str">
        <f>IFERROR(__xludf.DUMMYFUNCTION("""COMPUTED_VALUE"""),"chl")</f>
        <v>chl</v>
      </c>
      <c r="C3112" t="str">
        <f>IFERROR(__xludf.DUMMYFUNCTION("""COMPUTED_VALUE"""),"Chile")</f>
        <v>Chile</v>
      </c>
      <c r="D3112">
        <f>IFERROR(__xludf.DUMMYFUNCTION("""COMPUTED_VALUE"""),1964.0)</f>
        <v>1964</v>
      </c>
      <c r="E3112">
        <f>IFERROR(__xludf.DUMMYFUNCTION("""COMPUTED_VALUE"""),8430838.0)</f>
        <v>8430838</v>
      </c>
    </row>
    <row r="3113">
      <c r="A3113" t="str">
        <f t="shared" si="1"/>
        <v>chl#1965</v>
      </c>
      <c r="B3113" t="str">
        <f>IFERROR(__xludf.DUMMYFUNCTION("""COMPUTED_VALUE"""),"chl")</f>
        <v>chl</v>
      </c>
      <c r="C3113" t="str">
        <f>IFERROR(__xludf.DUMMYFUNCTION("""COMPUTED_VALUE"""),"Chile")</f>
        <v>Chile</v>
      </c>
      <c r="D3113">
        <f>IFERROR(__xludf.DUMMYFUNCTION("""COMPUTED_VALUE"""),1965.0)</f>
        <v>1965</v>
      </c>
      <c r="E3113">
        <f>IFERROR(__xludf.DUMMYFUNCTION("""COMPUTED_VALUE"""),8617077.0)</f>
        <v>8617077</v>
      </c>
    </row>
    <row r="3114">
      <c r="A3114" t="str">
        <f t="shared" si="1"/>
        <v>chl#1966</v>
      </c>
      <c r="B3114" t="str">
        <f>IFERROR(__xludf.DUMMYFUNCTION("""COMPUTED_VALUE"""),"chl")</f>
        <v>chl</v>
      </c>
      <c r="C3114" t="str">
        <f>IFERROR(__xludf.DUMMYFUNCTION("""COMPUTED_VALUE"""),"Chile")</f>
        <v>Chile</v>
      </c>
      <c r="D3114">
        <f>IFERROR(__xludf.DUMMYFUNCTION("""COMPUTED_VALUE"""),1966.0)</f>
        <v>1966</v>
      </c>
      <c r="E3114">
        <f>IFERROR(__xludf.DUMMYFUNCTION("""COMPUTED_VALUE"""),8806137.0)</f>
        <v>8806137</v>
      </c>
    </row>
    <row r="3115">
      <c r="A3115" t="str">
        <f t="shared" si="1"/>
        <v>chl#1967</v>
      </c>
      <c r="B3115" t="str">
        <f>IFERROR(__xludf.DUMMYFUNCTION("""COMPUTED_VALUE"""),"chl")</f>
        <v>chl</v>
      </c>
      <c r="C3115" t="str">
        <f>IFERROR(__xludf.DUMMYFUNCTION("""COMPUTED_VALUE"""),"Chile")</f>
        <v>Chile</v>
      </c>
      <c r="D3115">
        <f>IFERROR(__xludf.DUMMYFUNCTION("""COMPUTED_VALUE"""),1967.0)</f>
        <v>1967</v>
      </c>
      <c r="E3115">
        <f>IFERROR(__xludf.DUMMYFUNCTION("""COMPUTED_VALUE"""),8997325.0)</f>
        <v>8997325</v>
      </c>
    </row>
    <row r="3116">
      <c r="A3116" t="str">
        <f t="shared" si="1"/>
        <v>chl#1968</v>
      </c>
      <c r="B3116" t="str">
        <f>IFERROR(__xludf.DUMMYFUNCTION("""COMPUTED_VALUE"""),"chl")</f>
        <v>chl</v>
      </c>
      <c r="C3116" t="str">
        <f>IFERROR(__xludf.DUMMYFUNCTION("""COMPUTED_VALUE"""),"Chile")</f>
        <v>Chile</v>
      </c>
      <c r="D3116">
        <f>IFERROR(__xludf.DUMMYFUNCTION("""COMPUTED_VALUE"""),1968.0)</f>
        <v>1968</v>
      </c>
      <c r="E3116">
        <f>IFERROR(__xludf.DUMMYFUNCTION("""COMPUTED_VALUE"""),9188822.0)</f>
        <v>9188822</v>
      </c>
    </row>
    <row r="3117">
      <c r="A3117" t="str">
        <f t="shared" si="1"/>
        <v>chl#1969</v>
      </c>
      <c r="B3117" t="str">
        <f>IFERROR(__xludf.DUMMYFUNCTION("""COMPUTED_VALUE"""),"chl")</f>
        <v>chl</v>
      </c>
      <c r="C3117" t="str">
        <f>IFERROR(__xludf.DUMMYFUNCTION("""COMPUTED_VALUE"""),"Chile")</f>
        <v>Chile</v>
      </c>
      <c r="D3117">
        <f>IFERROR(__xludf.DUMMYFUNCTION("""COMPUTED_VALUE"""),1969.0)</f>
        <v>1969</v>
      </c>
      <c r="E3117">
        <f>IFERROR(__xludf.DUMMYFUNCTION("""COMPUTED_VALUE"""),9378243.0)</f>
        <v>9378243</v>
      </c>
    </row>
    <row r="3118">
      <c r="A3118" t="str">
        <f t="shared" si="1"/>
        <v>chl#1970</v>
      </c>
      <c r="B3118" t="str">
        <f>IFERROR(__xludf.DUMMYFUNCTION("""COMPUTED_VALUE"""),"chl")</f>
        <v>chl</v>
      </c>
      <c r="C3118" t="str">
        <f>IFERROR(__xludf.DUMMYFUNCTION("""COMPUTED_VALUE"""),"Chile")</f>
        <v>Chile</v>
      </c>
      <c r="D3118">
        <f>IFERROR(__xludf.DUMMYFUNCTION("""COMPUTED_VALUE"""),1970.0)</f>
        <v>1970</v>
      </c>
      <c r="E3118">
        <f>IFERROR(__xludf.DUMMYFUNCTION("""COMPUTED_VALUE"""),9563865.0)</f>
        <v>9563865</v>
      </c>
    </row>
    <row r="3119">
      <c r="A3119" t="str">
        <f t="shared" si="1"/>
        <v>chl#1971</v>
      </c>
      <c r="B3119" t="str">
        <f>IFERROR(__xludf.DUMMYFUNCTION("""COMPUTED_VALUE"""),"chl")</f>
        <v>chl</v>
      </c>
      <c r="C3119" t="str">
        <f>IFERROR(__xludf.DUMMYFUNCTION("""COMPUTED_VALUE"""),"Chile")</f>
        <v>Chile</v>
      </c>
      <c r="D3119">
        <f>IFERROR(__xludf.DUMMYFUNCTION("""COMPUTED_VALUE"""),1971.0)</f>
        <v>1971</v>
      </c>
      <c r="E3119">
        <f>IFERROR(__xludf.DUMMYFUNCTION("""COMPUTED_VALUE"""),9745189.0)</f>
        <v>9745189</v>
      </c>
    </row>
    <row r="3120">
      <c r="A3120" t="str">
        <f t="shared" si="1"/>
        <v>chl#1972</v>
      </c>
      <c r="B3120" t="str">
        <f>IFERROR(__xludf.DUMMYFUNCTION("""COMPUTED_VALUE"""),"chl")</f>
        <v>chl</v>
      </c>
      <c r="C3120" t="str">
        <f>IFERROR(__xludf.DUMMYFUNCTION("""COMPUTED_VALUE"""),"Chile")</f>
        <v>Chile</v>
      </c>
      <c r="D3120">
        <f>IFERROR(__xludf.DUMMYFUNCTION("""COMPUTED_VALUE"""),1972.0)</f>
        <v>1972</v>
      </c>
      <c r="E3120">
        <f>IFERROR(__xludf.DUMMYFUNCTION("""COMPUTED_VALUE"""),9922558.0)</f>
        <v>9922558</v>
      </c>
    </row>
    <row r="3121">
      <c r="A3121" t="str">
        <f t="shared" si="1"/>
        <v>chl#1973</v>
      </c>
      <c r="B3121" t="str">
        <f>IFERROR(__xludf.DUMMYFUNCTION("""COMPUTED_VALUE"""),"chl")</f>
        <v>chl</v>
      </c>
      <c r="C3121" t="str">
        <f>IFERROR(__xludf.DUMMYFUNCTION("""COMPUTED_VALUE"""),"Chile")</f>
        <v>Chile</v>
      </c>
      <c r="D3121">
        <f>IFERROR(__xludf.DUMMYFUNCTION("""COMPUTED_VALUE"""),1973.0)</f>
        <v>1973</v>
      </c>
      <c r="E3121">
        <f>IFERROR(__xludf.DUMMYFUNCTION("""COMPUTED_VALUE"""),1.0096295E7)</f>
        <v>10096295</v>
      </c>
    </row>
    <row r="3122">
      <c r="A3122" t="str">
        <f t="shared" si="1"/>
        <v>chl#1974</v>
      </c>
      <c r="B3122" t="str">
        <f>IFERROR(__xludf.DUMMYFUNCTION("""COMPUTED_VALUE"""),"chl")</f>
        <v>chl</v>
      </c>
      <c r="C3122" t="str">
        <f>IFERROR(__xludf.DUMMYFUNCTION("""COMPUTED_VALUE"""),"Chile")</f>
        <v>Chile</v>
      </c>
      <c r="D3122">
        <f>IFERROR(__xludf.DUMMYFUNCTION("""COMPUTED_VALUE"""),1974.0)</f>
        <v>1974</v>
      </c>
      <c r="E3122">
        <f>IFERROR(__xludf.DUMMYFUNCTION("""COMPUTED_VALUE"""),1.0267056E7)</f>
        <v>10267056</v>
      </c>
    </row>
    <row r="3123">
      <c r="A3123" t="str">
        <f t="shared" si="1"/>
        <v>chl#1975</v>
      </c>
      <c r="B3123" t="str">
        <f>IFERROR(__xludf.DUMMYFUNCTION("""COMPUTED_VALUE"""),"chl")</f>
        <v>chl</v>
      </c>
      <c r="C3123" t="str">
        <f>IFERROR(__xludf.DUMMYFUNCTION("""COMPUTED_VALUE"""),"Chile")</f>
        <v>Chile</v>
      </c>
      <c r="D3123">
        <f>IFERROR(__xludf.DUMMYFUNCTION("""COMPUTED_VALUE"""),1975.0)</f>
        <v>1975</v>
      </c>
      <c r="E3123">
        <f>IFERROR(__xludf.DUMMYFUNCTION("""COMPUTED_VALUE"""),1.0435534E7)</f>
        <v>10435534</v>
      </c>
    </row>
    <row r="3124">
      <c r="A3124" t="str">
        <f t="shared" si="1"/>
        <v>chl#1976</v>
      </c>
      <c r="B3124" t="str">
        <f>IFERROR(__xludf.DUMMYFUNCTION("""COMPUTED_VALUE"""),"chl")</f>
        <v>chl</v>
      </c>
      <c r="C3124" t="str">
        <f>IFERROR(__xludf.DUMMYFUNCTION("""COMPUTED_VALUE"""),"Chile")</f>
        <v>Chile</v>
      </c>
      <c r="D3124">
        <f>IFERROR(__xludf.DUMMYFUNCTION("""COMPUTED_VALUE"""),1976.0)</f>
        <v>1976</v>
      </c>
      <c r="E3124">
        <f>IFERROR(__xludf.DUMMYFUNCTION("""COMPUTED_VALUE"""),1.0601836E7)</f>
        <v>10601836</v>
      </c>
    </row>
    <row r="3125">
      <c r="A3125" t="str">
        <f t="shared" si="1"/>
        <v>chl#1977</v>
      </c>
      <c r="B3125" t="str">
        <f>IFERROR(__xludf.DUMMYFUNCTION("""COMPUTED_VALUE"""),"chl")</f>
        <v>chl</v>
      </c>
      <c r="C3125" t="str">
        <f>IFERROR(__xludf.DUMMYFUNCTION("""COMPUTED_VALUE"""),"Chile")</f>
        <v>Chile</v>
      </c>
      <c r="D3125">
        <f>IFERROR(__xludf.DUMMYFUNCTION("""COMPUTED_VALUE"""),1977.0)</f>
        <v>1977</v>
      </c>
      <c r="E3125">
        <f>IFERROR(__xludf.DUMMYFUNCTION("""COMPUTED_VALUE"""),1.0766419E7)</f>
        <v>10766419</v>
      </c>
    </row>
    <row r="3126">
      <c r="A3126" t="str">
        <f t="shared" si="1"/>
        <v>chl#1978</v>
      </c>
      <c r="B3126" t="str">
        <f>IFERROR(__xludf.DUMMYFUNCTION("""COMPUTED_VALUE"""),"chl")</f>
        <v>chl</v>
      </c>
      <c r="C3126" t="str">
        <f>IFERROR(__xludf.DUMMYFUNCTION("""COMPUTED_VALUE"""),"Chile")</f>
        <v>Chile</v>
      </c>
      <c r="D3126">
        <f>IFERROR(__xludf.DUMMYFUNCTION("""COMPUTED_VALUE"""),1978.0)</f>
        <v>1978</v>
      </c>
      <c r="E3126">
        <f>IFERROR(__xludf.DUMMYFUNCTION("""COMPUTED_VALUE"""),1.0930783E7)</f>
        <v>10930783</v>
      </c>
    </row>
    <row r="3127">
      <c r="A3127" t="str">
        <f t="shared" si="1"/>
        <v>chl#1979</v>
      </c>
      <c r="B3127" t="str">
        <f>IFERROR(__xludf.DUMMYFUNCTION("""COMPUTED_VALUE"""),"chl")</f>
        <v>chl</v>
      </c>
      <c r="C3127" t="str">
        <f>IFERROR(__xludf.DUMMYFUNCTION("""COMPUTED_VALUE"""),"Chile")</f>
        <v>Chile</v>
      </c>
      <c r="D3127">
        <f>IFERROR(__xludf.DUMMYFUNCTION("""COMPUTED_VALUE"""),1979.0)</f>
        <v>1979</v>
      </c>
      <c r="E3127">
        <f>IFERROR(__xludf.DUMMYFUNCTION("""COMPUTED_VALUE"""),1.1096868E7)</f>
        <v>11096868</v>
      </c>
    </row>
    <row r="3128">
      <c r="A3128" t="str">
        <f t="shared" si="1"/>
        <v>chl#1980</v>
      </c>
      <c r="B3128" t="str">
        <f>IFERROR(__xludf.DUMMYFUNCTION("""COMPUTED_VALUE"""),"chl")</f>
        <v>chl</v>
      </c>
      <c r="C3128" t="str">
        <f>IFERROR(__xludf.DUMMYFUNCTION("""COMPUTED_VALUE"""),"Chile")</f>
        <v>Chile</v>
      </c>
      <c r="D3128">
        <f>IFERROR(__xludf.DUMMYFUNCTION("""COMPUTED_VALUE"""),1980.0)</f>
        <v>1980</v>
      </c>
      <c r="E3128">
        <f>IFERROR(__xludf.DUMMYFUNCTION("""COMPUTED_VALUE"""),1.1266226E7)</f>
        <v>11266226</v>
      </c>
    </row>
    <row r="3129">
      <c r="A3129" t="str">
        <f t="shared" si="1"/>
        <v>chl#1981</v>
      </c>
      <c r="B3129" t="str">
        <f>IFERROR(__xludf.DUMMYFUNCTION("""COMPUTED_VALUE"""),"chl")</f>
        <v>chl</v>
      </c>
      <c r="C3129" t="str">
        <f>IFERROR(__xludf.DUMMYFUNCTION("""COMPUTED_VALUE"""),"Chile")</f>
        <v>Chile</v>
      </c>
      <c r="D3129">
        <f>IFERROR(__xludf.DUMMYFUNCTION("""COMPUTED_VALUE"""),1981.0)</f>
        <v>1981</v>
      </c>
      <c r="E3129">
        <f>IFERROR(__xludf.DUMMYFUNCTION("""COMPUTED_VALUE"""),1.1439144E7)</f>
        <v>11439144</v>
      </c>
    </row>
    <row r="3130">
      <c r="A3130" t="str">
        <f t="shared" si="1"/>
        <v>chl#1982</v>
      </c>
      <c r="B3130" t="str">
        <f>IFERROR(__xludf.DUMMYFUNCTION("""COMPUTED_VALUE"""),"chl")</f>
        <v>chl</v>
      </c>
      <c r="C3130" t="str">
        <f>IFERROR(__xludf.DUMMYFUNCTION("""COMPUTED_VALUE"""),"Chile")</f>
        <v>Chile</v>
      </c>
      <c r="D3130">
        <f>IFERROR(__xludf.DUMMYFUNCTION("""COMPUTED_VALUE"""),1982.0)</f>
        <v>1982</v>
      </c>
      <c r="E3130">
        <f>IFERROR(__xludf.DUMMYFUNCTION("""COMPUTED_VALUE"""),1.1615836E7)</f>
        <v>11615836</v>
      </c>
    </row>
    <row r="3131">
      <c r="A3131" t="str">
        <f t="shared" si="1"/>
        <v>chl#1983</v>
      </c>
      <c r="B3131" t="str">
        <f>IFERROR(__xludf.DUMMYFUNCTION("""COMPUTED_VALUE"""),"chl")</f>
        <v>chl</v>
      </c>
      <c r="C3131" t="str">
        <f>IFERROR(__xludf.DUMMYFUNCTION("""COMPUTED_VALUE"""),"Chile")</f>
        <v>Chile</v>
      </c>
      <c r="D3131">
        <f>IFERROR(__xludf.DUMMYFUNCTION("""COMPUTED_VALUE"""),1983.0)</f>
        <v>1983</v>
      </c>
      <c r="E3131">
        <f>IFERROR(__xludf.DUMMYFUNCTION("""COMPUTED_VALUE"""),1.1797534E7)</f>
        <v>11797534</v>
      </c>
    </row>
    <row r="3132">
      <c r="A3132" t="str">
        <f t="shared" si="1"/>
        <v>chl#1984</v>
      </c>
      <c r="B3132" t="str">
        <f>IFERROR(__xludf.DUMMYFUNCTION("""COMPUTED_VALUE"""),"chl")</f>
        <v>chl</v>
      </c>
      <c r="C3132" t="str">
        <f>IFERROR(__xludf.DUMMYFUNCTION("""COMPUTED_VALUE"""),"Chile")</f>
        <v>Chile</v>
      </c>
      <c r="D3132">
        <f>IFERROR(__xludf.DUMMYFUNCTION("""COMPUTED_VALUE"""),1984.0)</f>
        <v>1984</v>
      </c>
      <c r="E3132">
        <f>IFERROR(__xludf.DUMMYFUNCTION("""COMPUTED_VALUE"""),1.1985658E7)</f>
        <v>11985658</v>
      </c>
    </row>
    <row r="3133">
      <c r="A3133" t="str">
        <f t="shared" si="1"/>
        <v>chl#1985</v>
      </c>
      <c r="B3133" t="str">
        <f>IFERROR(__xludf.DUMMYFUNCTION("""COMPUTED_VALUE"""),"chl")</f>
        <v>chl</v>
      </c>
      <c r="C3133" t="str">
        <f>IFERROR(__xludf.DUMMYFUNCTION("""COMPUTED_VALUE"""),"Chile")</f>
        <v>Chile</v>
      </c>
      <c r="D3133">
        <f>IFERROR(__xludf.DUMMYFUNCTION("""COMPUTED_VALUE"""),1985.0)</f>
        <v>1985</v>
      </c>
      <c r="E3133">
        <f>IFERROR(__xludf.DUMMYFUNCTION("""COMPUTED_VALUE"""),1.2181028E7)</f>
        <v>12181028</v>
      </c>
    </row>
    <row r="3134">
      <c r="A3134" t="str">
        <f t="shared" si="1"/>
        <v>chl#1986</v>
      </c>
      <c r="B3134" t="str">
        <f>IFERROR(__xludf.DUMMYFUNCTION("""COMPUTED_VALUE"""),"chl")</f>
        <v>chl</v>
      </c>
      <c r="C3134" t="str">
        <f>IFERROR(__xludf.DUMMYFUNCTION("""COMPUTED_VALUE"""),"Chile")</f>
        <v>Chile</v>
      </c>
      <c r="D3134">
        <f>IFERROR(__xludf.DUMMYFUNCTION("""COMPUTED_VALUE"""),1986.0)</f>
        <v>1986</v>
      </c>
      <c r="E3134">
        <f>IFERROR(__xludf.DUMMYFUNCTION("""COMPUTED_VALUE"""),1.2384108E7)</f>
        <v>12384108</v>
      </c>
    </row>
    <row r="3135">
      <c r="A3135" t="str">
        <f t="shared" si="1"/>
        <v>chl#1987</v>
      </c>
      <c r="B3135" t="str">
        <f>IFERROR(__xludf.DUMMYFUNCTION("""COMPUTED_VALUE"""),"chl")</f>
        <v>chl</v>
      </c>
      <c r="C3135" t="str">
        <f>IFERROR(__xludf.DUMMYFUNCTION("""COMPUTED_VALUE"""),"Chile")</f>
        <v>Chile</v>
      </c>
      <c r="D3135">
        <f>IFERROR(__xludf.DUMMYFUNCTION("""COMPUTED_VALUE"""),1987.0)</f>
        <v>1987</v>
      </c>
      <c r="E3135">
        <f>IFERROR(__xludf.DUMMYFUNCTION("""COMPUTED_VALUE"""),1.2594145E7)</f>
        <v>12594145</v>
      </c>
    </row>
    <row r="3136">
      <c r="A3136" t="str">
        <f t="shared" si="1"/>
        <v>chl#1988</v>
      </c>
      <c r="B3136" t="str">
        <f>IFERROR(__xludf.DUMMYFUNCTION("""COMPUTED_VALUE"""),"chl")</f>
        <v>chl</v>
      </c>
      <c r="C3136" t="str">
        <f>IFERROR(__xludf.DUMMYFUNCTION("""COMPUTED_VALUE"""),"Chile")</f>
        <v>Chile</v>
      </c>
      <c r="D3136">
        <f>IFERROR(__xludf.DUMMYFUNCTION("""COMPUTED_VALUE"""),1988.0)</f>
        <v>1988</v>
      </c>
      <c r="E3136">
        <f>IFERROR(__xludf.DUMMYFUNCTION("""COMPUTED_VALUE"""),1.2809025E7)</f>
        <v>12809025</v>
      </c>
    </row>
    <row r="3137">
      <c r="A3137" t="str">
        <f t="shared" si="1"/>
        <v>chl#1989</v>
      </c>
      <c r="B3137" t="str">
        <f>IFERROR(__xludf.DUMMYFUNCTION("""COMPUTED_VALUE"""),"chl")</f>
        <v>chl</v>
      </c>
      <c r="C3137" t="str">
        <f>IFERROR(__xludf.DUMMYFUNCTION("""COMPUTED_VALUE"""),"Chile")</f>
        <v>Chile</v>
      </c>
      <c r="D3137">
        <f>IFERROR(__xludf.DUMMYFUNCTION("""COMPUTED_VALUE"""),1989.0)</f>
        <v>1989</v>
      </c>
      <c r="E3137">
        <f>IFERROR(__xludf.DUMMYFUNCTION("""COMPUTED_VALUE"""),1.3025797E7)</f>
        <v>13025797</v>
      </c>
    </row>
    <row r="3138">
      <c r="A3138" t="str">
        <f t="shared" si="1"/>
        <v>chl#1990</v>
      </c>
      <c r="B3138" t="str">
        <f>IFERROR(__xludf.DUMMYFUNCTION("""COMPUTED_VALUE"""),"chl")</f>
        <v>chl</v>
      </c>
      <c r="C3138" t="str">
        <f>IFERROR(__xludf.DUMMYFUNCTION("""COMPUTED_VALUE"""),"Chile")</f>
        <v>Chile</v>
      </c>
      <c r="D3138">
        <f>IFERROR(__xludf.DUMMYFUNCTION("""COMPUTED_VALUE"""),1990.0)</f>
        <v>1990</v>
      </c>
      <c r="E3138">
        <f>IFERROR(__xludf.DUMMYFUNCTION("""COMPUTED_VALUE"""),1.3242132E7)</f>
        <v>13242132</v>
      </c>
    </row>
    <row r="3139">
      <c r="A3139" t="str">
        <f t="shared" si="1"/>
        <v>chl#1991</v>
      </c>
      <c r="B3139" t="str">
        <f>IFERROR(__xludf.DUMMYFUNCTION("""COMPUTED_VALUE"""),"chl")</f>
        <v>chl</v>
      </c>
      <c r="C3139" t="str">
        <f>IFERROR(__xludf.DUMMYFUNCTION("""COMPUTED_VALUE"""),"Chile")</f>
        <v>Chile</v>
      </c>
      <c r="D3139">
        <f>IFERROR(__xludf.DUMMYFUNCTION("""COMPUTED_VALUE"""),1991.0)</f>
        <v>1991</v>
      </c>
      <c r="E3139">
        <f>IFERROR(__xludf.DUMMYFUNCTION("""COMPUTED_VALUE"""),1.3457244E7)</f>
        <v>13457244</v>
      </c>
    </row>
    <row r="3140">
      <c r="A3140" t="str">
        <f t="shared" si="1"/>
        <v>chl#1992</v>
      </c>
      <c r="B3140" t="str">
        <f>IFERROR(__xludf.DUMMYFUNCTION("""COMPUTED_VALUE"""),"chl")</f>
        <v>chl</v>
      </c>
      <c r="C3140" t="str">
        <f>IFERROR(__xludf.DUMMYFUNCTION("""COMPUTED_VALUE"""),"Chile")</f>
        <v>Chile</v>
      </c>
      <c r="D3140">
        <f>IFERROR(__xludf.DUMMYFUNCTION("""COMPUTED_VALUE"""),1992.0)</f>
        <v>1992</v>
      </c>
      <c r="E3140">
        <f>IFERROR(__xludf.DUMMYFUNCTION("""COMPUTED_VALUE"""),1.3671033E7)</f>
        <v>13671033</v>
      </c>
    </row>
    <row r="3141">
      <c r="A3141" t="str">
        <f t="shared" si="1"/>
        <v>chl#1993</v>
      </c>
      <c r="B3141" t="str">
        <f>IFERROR(__xludf.DUMMYFUNCTION("""COMPUTED_VALUE"""),"chl")</f>
        <v>chl</v>
      </c>
      <c r="C3141" t="str">
        <f>IFERROR(__xludf.DUMMYFUNCTION("""COMPUTED_VALUE"""),"Chile")</f>
        <v>Chile</v>
      </c>
      <c r="D3141">
        <f>IFERROR(__xludf.DUMMYFUNCTION("""COMPUTED_VALUE"""),1993.0)</f>
        <v>1993</v>
      </c>
      <c r="E3141">
        <f>IFERROR(__xludf.DUMMYFUNCTION("""COMPUTED_VALUE"""),1.3882668E7)</f>
        <v>13882668</v>
      </c>
    </row>
    <row r="3142">
      <c r="A3142" t="str">
        <f t="shared" si="1"/>
        <v>chl#1994</v>
      </c>
      <c r="B3142" t="str">
        <f>IFERROR(__xludf.DUMMYFUNCTION("""COMPUTED_VALUE"""),"chl")</f>
        <v>chl</v>
      </c>
      <c r="C3142" t="str">
        <f>IFERROR(__xludf.DUMMYFUNCTION("""COMPUTED_VALUE"""),"Chile")</f>
        <v>Chile</v>
      </c>
      <c r="D3142">
        <f>IFERROR(__xludf.DUMMYFUNCTION("""COMPUTED_VALUE"""),1994.0)</f>
        <v>1994</v>
      </c>
      <c r="E3142">
        <f>IFERROR(__xludf.DUMMYFUNCTION("""COMPUTED_VALUE"""),1.4091389E7)</f>
        <v>14091389</v>
      </c>
    </row>
    <row r="3143">
      <c r="A3143" t="str">
        <f t="shared" si="1"/>
        <v>chl#1995</v>
      </c>
      <c r="B3143" t="str">
        <f>IFERROR(__xludf.DUMMYFUNCTION("""COMPUTED_VALUE"""),"chl")</f>
        <v>chl</v>
      </c>
      <c r="C3143" t="str">
        <f>IFERROR(__xludf.DUMMYFUNCTION("""COMPUTED_VALUE"""),"Chile")</f>
        <v>Chile</v>
      </c>
      <c r="D3143">
        <f>IFERROR(__xludf.DUMMYFUNCTION("""COMPUTED_VALUE"""),1995.0)</f>
        <v>1995</v>
      </c>
      <c r="E3143">
        <f>IFERROR(__xludf.DUMMYFUNCTION("""COMPUTED_VALUE"""),1.4296613E7)</f>
        <v>14296613</v>
      </c>
    </row>
    <row r="3144">
      <c r="A3144" t="str">
        <f t="shared" si="1"/>
        <v>chl#1996</v>
      </c>
      <c r="B3144" t="str">
        <f>IFERROR(__xludf.DUMMYFUNCTION("""COMPUTED_VALUE"""),"chl")</f>
        <v>chl</v>
      </c>
      <c r="C3144" t="str">
        <f>IFERROR(__xludf.DUMMYFUNCTION("""COMPUTED_VALUE"""),"Chile")</f>
        <v>Chile</v>
      </c>
      <c r="D3144">
        <f>IFERROR(__xludf.DUMMYFUNCTION("""COMPUTED_VALUE"""),1996.0)</f>
        <v>1996</v>
      </c>
      <c r="E3144">
        <f>IFERROR(__xludf.DUMMYFUNCTION("""COMPUTED_VALUE"""),1.4497826E7)</f>
        <v>14497826</v>
      </c>
    </row>
    <row r="3145">
      <c r="A3145" t="str">
        <f t="shared" si="1"/>
        <v>chl#1997</v>
      </c>
      <c r="B3145" t="str">
        <f>IFERROR(__xludf.DUMMYFUNCTION("""COMPUTED_VALUE"""),"chl")</f>
        <v>chl</v>
      </c>
      <c r="C3145" t="str">
        <f>IFERROR(__xludf.DUMMYFUNCTION("""COMPUTED_VALUE"""),"Chile")</f>
        <v>Chile</v>
      </c>
      <c r="D3145">
        <f>IFERROR(__xludf.DUMMYFUNCTION("""COMPUTED_VALUE"""),1997.0)</f>
        <v>1997</v>
      </c>
      <c r="E3145">
        <f>IFERROR(__xludf.DUMMYFUNCTION("""COMPUTED_VALUE"""),1.4694835E7)</f>
        <v>14694835</v>
      </c>
    </row>
    <row r="3146">
      <c r="A3146" t="str">
        <f t="shared" si="1"/>
        <v>chl#1998</v>
      </c>
      <c r="B3146" t="str">
        <f>IFERROR(__xludf.DUMMYFUNCTION("""COMPUTED_VALUE"""),"chl")</f>
        <v>chl</v>
      </c>
      <c r="C3146" t="str">
        <f>IFERROR(__xludf.DUMMYFUNCTION("""COMPUTED_VALUE"""),"Chile")</f>
        <v>Chile</v>
      </c>
      <c r="D3146">
        <f>IFERROR(__xludf.DUMMYFUNCTION("""COMPUTED_VALUE"""),1998.0)</f>
        <v>1998</v>
      </c>
      <c r="E3146">
        <f>IFERROR(__xludf.DUMMYFUNCTION("""COMPUTED_VALUE"""),1.4887756E7)</f>
        <v>14887756</v>
      </c>
    </row>
    <row r="3147">
      <c r="A3147" t="str">
        <f t="shared" si="1"/>
        <v>chl#1999</v>
      </c>
      <c r="B3147" t="str">
        <f>IFERROR(__xludf.DUMMYFUNCTION("""COMPUTED_VALUE"""),"chl")</f>
        <v>chl</v>
      </c>
      <c r="C3147" t="str">
        <f>IFERROR(__xludf.DUMMYFUNCTION("""COMPUTED_VALUE"""),"Chile")</f>
        <v>Chile</v>
      </c>
      <c r="D3147">
        <f>IFERROR(__xludf.DUMMYFUNCTION("""COMPUTED_VALUE"""),1999.0)</f>
        <v>1999</v>
      </c>
      <c r="E3147">
        <f>IFERROR(__xludf.DUMMYFUNCTION("""COMPUTED_VALUE"""),1.5076952E7)</f>
        <v>15076952</v>
      </c>
    </row>
    <row r="3148">
      <c r="A3148" t="str">
        <f t="shared" si="1"/>
        <v>chl#2000</v>
      </c>
      <c r="B3148" t="str">
        <f>IFERROR(__xludf.DUMMYFUNCTION("""COMPUTED_VALUE"""),"chl")</f>
        <v>chl</v>
      </c>
      <c r="C3148" t="str">
        <f>IFERROR(__xludf.DUMMYFUNCTION("""COMPUTED_VALUE"""),"Chile")</f>
        <v>Chile</v>
      </c>
      <c r="D3148">
        <f>IFERROR(__xludf.DUMMYFUNCTION("""COMPUTED_VALUE"""),2000.0)</f>
        <v>2000</v>
      </c>
      <c r="E3148">
        <f>IFERROR(__xludf.DUMMYFUNCTION("""COMPUTED_VALUE"""),1.5262754E7)</f>
        <v>15262754</v>
      </c>
    </row>
    <row r="3149">
      <c r="A3149" t="str">
        <f t="shared" si="1"/>
        <v>chl#2001</v>
      </c>
      <c r="B3149" t="str">
        <f>IFERROR(__xludf.DUMMYFUNCTION("""COMPUTED_VALUE"""),"chl")</f>
        <v>chl</v>
      </c>
      <c r="C3149" t="str">
        <f>IFERROR(__xludf.DUMMYFUNCTION("""COMPUTED_VALUE"""),"Chile")</f>
        <v>Chile</v>
      </c>
      <c r="D3149">
        <f>IFERROR(__xludf.DUMMYFUNCTION("""COMPUTED_VALUE"""),2001.0)</f>
        <v>2001</v>
      </c>
      <c r="E3149">
        <f>IFERROR(__xludf.DUMMYFUNCTION("""COMPUTED_VALUE"""),1.5444969E7)</f>
        <v>15444969</v>
      </c>
    </row>
    <row r="3150">
      <c r="A3150" t="str">
        <f t="shared" si="1"/>
        <v>chl#2002</v>
      </c>
      <c r="B3150" t="str">
        <f>IFERROR(__xludf.DUMMYFUNCTION("""COMPUTED_VALUE"""),"chl")</f>
        <v>chl</v>
      </c>
      <c r="C3150" t="str">
        <f>IFERROR(__xludf.DUMMYFUNCTION("""COMPUTED_VALUE"""),"Chile")</f>
        <v>Chile</v>
      </c>
      <c r="D3150">
        <f>IFERROR(__xludf.DUMMYFUNCTION("""COMPUTED_VALUE"""),2002.0)</f>
        <v>2002</v>
      </c>
      <c r="E3150">
        <f>IFERROR(__xludf.DUMMYFUNCTION("""COMPUTED_VALUE"""),1.5623635E7)</f>
        <v>15623635</v>
      </c>
    </row>
    <row r="3151">
      <c r="A3151" t="str">
        <f t="shared" si="1"/>
        <v>chl#2003</v>
      </c>
      <c r="B3151" t="str">
        <f>IFERROR(__xludf.DUMMYFUNCTION("""COMPUTED_VALUE"""),"chl")</f>
        <v>chl</v>
      </c>
      <c r="C3151" t="str">
        <f>IFERROR(__xludf.DUMMYFUNCTION("""COMPUTED_VALUE"""),"Chile")</f>
        <v>Chile</v>
      </c>
      <c r="D3151">
        <f>IFERROR(__xludf.DUMMYFUNCTION("""COMPUTED_VALUE"""),2003.0)</f>
        <v>2003</v>
      </c>
      <c r="E3151">
        <f>IFERROR(__xludf.DUMMYFUNCTION("""COMPUTED_VALUE"""),1.5799542E7)</f>
        <v>15799542</v>
      </c>
    </row>
    <row r="3152">
      <c r="A3152" t="str">
        <f t="shared" si="1"/>
        <v>chl#2004</v>
      </c>
      <c r="B3152" t="str">
        <f>IFERROR(__xludf.DUMMYFUNCTION("""COMPUTED_VALUE"""),"chl")</f>
        <v>chl</v>
      </c>
      <c r="C3152" t="str">
        <f>IFERROR(__xludf.DUMMYFUNCTION("""COMPUTED_VALUE"""),"Chile")</f>
        <v>Chile</v>
      </c>
      <c r="D3152">
        <f>IFERROR(__xludf.DUMMYFUNCTION("""COMPUTED_VALUE"""),2004.0)</f>
        <v>2004</v>
      </c>
      <c r="E3152">
        <f>IFERROR(__xludf.DUMMYFUNCTION("""COMPUTED_VALUE"""),1.5973778E7)</f>
        <v>15973778</v>
      </c>
    </row>
    <row r="3153">
      <c r="A3153" t="str">
        <f t="shared" si="1"/>
        <v>chl#2005</v>
      </c>
      <c r="B3153" t="str">
        <f>IFERROR(__xludf.DUMMYFUNCTION("""COMPUTED_VALUE"""),"chl")</f>
        <v>chl</v>
      </c>
      <c r="C3153" t="str">
        <f>IFERROR(__xludf.DUMMYFUNCTION("""COMPUTED_VALUE"""),"Chile")</f>
        <v>Chile</v>
      </c>
      <c r="D3153">
        <f>IFERROR(__xludf.DUMMYFUNCTION("""COMPUTED_VALUE"""),2005.0)</f>
        <v>2005</v>
      </c>
      <c r="E3153">
        <f>IFERROR(__xludf.DUMMYFUNCTION("""COMPUTED_VALUE"""),1.6147064E7)</f>
        <v>16147064</v>
      </c>
    </row>
    <row r="3154">
      <c r="A3154" t="str">
        <f t="shared" si="1"/>
        <v>chl#2006</v>
      </c>
      <c r="B3154" t="str">
        <f>IFERROR(__xludf.DUMMYFUNCTION("""COMPUTED_VALUE"""),"chl")</f>
        <v>chl</v>
      </c>
      <c r="C3154" t="str">
        <f>IFERROR(__xludf.DUMMYFUNCTION("""COMPUTED_VALUE"""),"Chile")</f>
        <v>Chile</v>
      </c>
      <c r="D3154">
        <f>IFERROR(__xludf.DUMMYFUNCTION("""COMPUTED_VALUE"""),2006.0)</f>
        <v>2006</v>
      </c>
      <c r="E3154">
        <f>IFERROR(__xludf.DUMMYFUNCTION("""COMPUTED_VALUE"""),1.6319792E7)</f>
        <v>16319792</v>
      </c>
    </row>
    <row r="3155">
      <c r="A3155" t="str">
        <f t="shared" si="1"/>
        <v>chl#2007</v>
      </c>
      <c r="B3155" t="str">
        <f>IFERROR(__xludf.DUMMYFUNCTION("""COMPUTED_VALUE"""),"chl")</f>
        <v>chl</v>
      </c>
      <c r="C3155" t="str">
        <f>IFERROR(__xludf.DUMMYFUNCTION("""COMPUTED_VALUE"""),"Chile")</f>
        <v>Chile</v>
      </c>
      <c r="D3155">
        <f>IFERROR(__xludf.DUMMYFUNCTION("""COMPUTED_VALUE"""),2007.0)</f>
        <v>2007</v>
      </c>
      <c r="E3155">
        <f>IFERROR(__xludf.DUMMYFUNCTION("""COMPUTED_VALUE"""),1.6491687E7)</f>
        <v>16491687</v>
      </c>
    </row>
    <row r="3156">
      <c r="A3156" t="str">
        <f t="shared" si="1"/>
        <v>chl#2008</v>
      </c>
      <c r="B3156" t="str">
        <f>IFERROR(__xludf.DUMMYFUNCTION("""COMPUTED_VALUE"""),"chl")</f>
        <v>chl</v>
      </c>
      <c r="C3156" t="str">
        <f>IFERROR(__xludf.DUMMYFUNCTION("""COMPUTED_VALUE"""),"Chile")</f>
        <v>Chile</v>
      </c>
      <c r="D3156">
        <f>IFERROR(__xludf.DUMMYFUNCTION("""COMPUTED_VALUE"""),2008.0)</f>
        <v>2008</v>
      </c>
      <c r="E3156">
        <f>IFERROR(__xludf.DUMMYFUNCTION("""COMPUTED_VALUE"""),1.6661942E7)</f>
        <v>16661942</v>
      </c>
    </row>
    <row r="3157">
      <c r="A3157" t="str">
        <f t="shared" si="1"/>
        <v>chl#2009</v>
      </c>
      <c r="B3157" t="str">
        <f>IFERROR(__xludf.DUMMYFUNCTION("""COMPUTED_VALUE"""),"chl")</f>
        <v>chl</v>
      </c>
      <c r="C3157" t="str">
        <f>IFERROR(__xludf.DUMMYFUNCTION("""COMPUTED_VALUE"""),"Chile")</f>
        <v>Chile</v>
      </c>
      <c r="D3157">
        <f>IFERROR(__xludf.DUMMYFUNCTION("""COMPUTED_VALUE"""),2009.0)</f>
        <v>2009</v>
      </c>
      <c r="E3157">
        <f>IFERROR(__xludf.DUMMYFUNCTION("""COMPUTED_VALUE"""),1.6829442E7)</f>
        <v>16829442</v>
      </c>
    </row>
    <row r="3158">
      <c r="A3158" t="str">
        <f t="shared" si="1"/>
        <v>chl#2010</v>
      </c>
      <c r="B3158" t="str">
        <f>IFERROR(__xludf.DUMMYFUNCTION("""COMPUTED_VALUE"""),"chl")</f>
        <v>chl</v>
      </c>
      <c r="C3158" t="str">
        <f>IFERROR(__xludf.DUMMYFUNCTION("""COMPUTED_VALUE"""),"Chile")</f>
        <v>Chile</v>
      </c>
      <c r="D3158">
        <f>IFERROR(__xludf.DUMMYFUNCTION("""COMPUTED_VALUE"""),2010.0)</f>
        <v>2010</v>
      </c>
      <c r="E3158">
        <f>IFERROR(__xludf.DUMMYFUNCTION("""COMPUTED_VALUE"""),1.6993354E7)</f>
        <v>16993354</v>
      </c>
    </row>
    <row r="3159">
      <c r="A3159" t="str">
        <f t="shared" si="1"/>
        <v>chl#2011</v>
      </c>
      <c r="B3159" t="str">
        <f>IFERROR(__xludf.DUMMYFUNCTION("""COMPUTED_VALUE"""),"chl")</f>
        <v>chl</v>
      </c>
      <c r="C3159" t="str">
        <f>IFERROR(__xludf.DUMMYFUNCTION("""COMPUTED_VALUE"""),"Chile")</f>
        <v>Chile</v>
      </c>
      <c r="D3159">
        <f>IFERROR(__xludf.DUMMYFUNCTION("""COMPUTED_VALUE"""),2011.0)</f>
        <v>2011</v>
      </c>
      <c r="E3159">
        <f>IFERROR(__xludf.DUMMYFUNCTION("""COMPUTED_VALUE"""),1.7153357E7)</f>
        <v>17153357</v>
      </c>
    </row>
    <row r="3160">
      <c r="A3160" t="str">
        <f t="shared" si="1"/>
        <v>chl#2012</v>
      </c>
      <c r="B3160" t="str">
        <f>IFERROR(__xludf.DUMMYFUNCTION("""COMPUTED_VALUE"""),"chl")</f>
        <v>chl</v>
      </c>
      <c r="C3160" t="str">
        <f>IFERROR(__xludf.DUMMYFUNCTION("""COMPUTED_VALUE"""),"Chile")</f>
        <v>Chile</v>
      </c>
      <c r="D3160">
        <f>IFERROR(__xludf.DUMMYFUNCTION("""COMPUTED_VALUE"""),2012.0)</f>
        <v>2012</v>
      </c>
      <c r="E3160">
        <f>IFERROR(__xludf.DUMMYFUNCTION("""COMPUTED_VALUE"""),1.7309746E7)</f>
        <v>17309746</v>
      </c>
    </row>
    <row r="3161">
      <c r="A3161" t="str">
        <f t="shared" si="1"/>
        <v>chl#2013</v>
      </c>
      <c r="B3161" t="str">
        <f>IFERROR(__xludf.DUMMYFUNCTION("""COMPUTED_VALUE"""),"chl")</f>
        <v>chl</v>
      </c>
      <c r="C3161" t="str">
        <f>IFERROR(__xludf.DUMMYFUNCTION("""COMPUTED_VALUE"""),"Chile")</f>
        <v>Chile</v>
      </c>
      <c r="D3161">
        <f>IFERROR(__xludf.DUMMYFUNCTION("""COMPUTED_VALUE"""),2013.0)</f>
        <v>2013</v>
      </c>
      <c r="E3161">
        <f>IFERROR(__xludf.DUMMYFUNCTION("""COMPUTED_VALUE"""),1.7462982E7)</f>
        <v>17462982</v>
      </c>
    </row>
    <row r="3162">
      <c r="A3162" t="str">
        <f t="shared" si="1"/>
        <v>chl#2014</v>
      </c>
      <c r="B3162" t="str">
        <f>IFERROR(__xludf.DUMMYFUNCTION("""COMPUTED_VALUE"""),"chl")</f>
        <v>chl</v>
      </c>
      <c r="C3162" t="str">
        <f>IFERROR(__xludf.DUMMYFUNCTION("""COMPUTED_VALUE"""),"Chile")</f>
        <v>Chile</v>
      </c>
      <c r="D3162">
        <f>IFERROR(__xludf.DUMMYFUNCTION("""COMPUTED_VALUE"""),2014.0)</f>
        <v>2014</v>
      </c>
      <c r="E3162">
        <f>IFERROR(__xludf.DUMMYFUNCTION("""COMPUTED_VALUE"""),1.7613798E7)</f>
        <v>17613798</v>
      </c>
    </row>
    <row r="3163">
      <c r="A3163" t="str">
        <f t="shared" si="1"/>
        <v>chl#2015</v>
      </c>
      <c r="B3163" t="str">
        <f>IFERROR(__xludf.DUMMYFUNCTION("""COMPUTED_VALUE"""),"chl")</f>
        <v>chl</v>
      </c>
      <c r="C3163" t="str">
        <f>IFERROR(__xludf.DUMMYFUNCTION("""COMPUTED_VALUE"""),"Chile")</f>
        <v>Chile</v>
      </c>
      <c r="D3163">
        <f>IFERROR(__xludf.DUMMYFUNCTION("""COMPUTED_VALUE"""),2015.0)</f>
        <v>2015</v>
      </c>
      <c r="E3163">
        <f>IFERROR(__xludf.DUMMYFUNCTION("""COMPUTED_VALUE"""),1.7762681E7)</f>
        <v>17762681</v>
      </c>
    </row>
    <row r="3164">
      <c r="A3164" t="str">
        <f t="shared" si="1"/>
        <v>chl#2016</v>
      </c>
      <c r="B3164" t="str">
        <f>IFERROR(__xludf.DUMMYFUNCTION("""COMPUTED_VALUE"""),"chl")</f>
        <v>chl</v>
      </c>
      <c r="C3164" t="str">
        <f>IFERROR(__xludf.DUMMYFUNCTION("""COMPUTED_VALUE"""),"Chile")</f>
        <v>Chile</v>
      </c>
      <c r="D3164">
        <f>IFERROR(__xludf.DUMMYFUNCTION("""COMPUTED_VALUE"""),2016.0)</f>
        <v>2016</v>
      </c>
      <c r="E3164">
        <f>IFERROR(__xludf.DUMMYFUNCTION("""COMPUTED_VALUE"""),1.7909754E7)</f>
        <v>17909754</v>
      </c>
    </row>
    <row r="3165">
      <c r="A3165" t="str">
        <f t="shared" si="1"/>
        <v>chl#2017</v>
      </c>
      <c r="B3165" t="str">
        <f>IFERROR(__xludf.DUMMYFUNCTION("""COMPUTED_VALUE"""),"chl")</f>
        <v>chl</v>
      </c>
      <c r="C3165" t="str">
        <f>IFERROR(__xludf.DUMMYFUNCTION("""COMPUTED_VALUE"""),"Chile")</f>
        <v>Chile</v>
      </c>
      <c r="D3165">
        <f>IFERROR(__xludf.DUMMYFUNCTION("""COMPUTED_VALUE"""),2017.0)</f>
        <v>2017</v>
      </c>
      <c r="E3165">
        <f>IFERROR(__xludf.DUMMYFUNCTION("""COMPUTED_VALUE"""),1.8054726E7)</f>
        <v>18054726</v>
      </c>
    </row>
    <row r="3166">
      <c r="A3166" t="str">
        <f t="shared" si="1"/>
        <v>chl#2018</v>
      </c>
      <c r="B3166" t="str">
        <f>IFERROR(__xludf.DUMMYFUNCTION("""COMPUTED_VALUE"""),"chl")</f>
        <v>chl</v>
      </c>
      <c r="C3166" t="str">
        <f>IFERROR(__xludf.DUMMYFUNCTION("""COMPUTED_VALUE"""),"Chile")</f>
        <v>Chile</v>
      </c>
      <c r="D3166">
        <f>IFERROR(__xludf.DUMMYFUNCTION("""COMPUTED_VALUE"""),2018.0)</f>
        <v>2018</v>
      </c>
      <c r="E3166">
        <f>IFERROR(__xludf.DUMMYFUNCTION("""COMPUTED_VALUE"""),1.8197209E7)</f>
        <v>18197209</v>
      </c>
    </row>
    <row r="3167">
      <c r="A3167" t="str">
        <f t="shared" si="1"/>
        <v>chl#2019</v>
      </c>
      <c r="B3167" t="str">
        <f>IFERROR(__xludf.DUMMYFUNCTION("""COMPUTED_VALUE"""),"chl")</f>
        <v>chl</v>
      </c>
      <c r="C3167" t="str">
        <f>IFERROR(__xludf.DUMMYFUNCTION("""COMPUTED_VALUE"""),"Chile")</f>
        <v>Chile</v>
      </c>
      <c r="D3167">
        <f>IFERROR(__xludf.DUMMYFUNCTION("""COMPUTED_VALUE"""),2019.0)</f>
        <v>2019</v>
      </c>
      <c r="E3167">
        <f>IFERROR(__xludf.DUMMYFUNCTION("""COMPUTED_VALUE"""),1.8336653E7)</f>
        <v>18336653</v>
      </c>
    </row>
    <row r="3168">
      <c r="A3168" t="str">
        <f t="shared" si="1"/>
        <v>chl#2020</v>
      </c>
      <c r="B3168" t="str">
        <f>IFERROR(__xludf.DUMMYFUNCTION("""COMPUTED_VALUE"""),"chl")</f>
        <v>chl</v>
      </c>
      <c r="C3168" t="str">
        <f>IFERROR(__xludf.DUMMYFUNCTION("""COMPUTED_VALUE"""),"Chile")</f>
        <v>Chile</v>
      </c>
      <c r="D3168">
        <f>IFERROR(__xludf.DUMMYFUNCTION("""COMPUTED_VALUE"""),2020.0)</f>
        <v>2020</v>
      </c>
      <c r="E3168">
        <f>IFERROR(__xludf.DUMMYFUNCTION("""COMPUTED_VALUE"""),1.8472639E7)</f>
        <v>18472639</v>
      </c>
    </row>
    <row r="3169">
      <c r="A3169" t="str">
        <f t="shared" si="1"/>
        <v>chl#2021</v>
      </c>
      <c r="B3169" t="str">
        <f>IFERROR(__xludf.DUMMYFUNCTION("""COMPUTED_VALUE"""),"chl")</f>
        <v>chl</v>
      </c>
      <c r="C3169" t="str">
        <f>IFERROR(__xludf.DUMMYFUNCTION("""COMPUTED_VALUE"""),"Chile")</f>
        <v>Chile</v>
      </c>
      <c r="D3169">
        <f>IFERROR(__xludf.DUMMYFUNCTION("""COMPUTED_VALUE"""),2021.0)</f>
        <v>2021</v>
      </c>
      <c r="E3169">
        <f>IFERROR(__xludf.DUMMYFUNCTION("""COMPUTED_VALUE"""),1.8604946E7)</f>
        <v>18604946</v>
      </c>
    </row>
    <row r="3170">
      <c r="A3170" t="str">
        <f t="shared" si="1"/>
        <v>chl#2022</v>
      </c>
      <c r="B3170" t="str">
        <f>IFERROR(__xludf.DUMMYFUNCTION("""COMPUTED_VALUE"""),"chl")</f>
        <v>chl</v>
      </c>
      <c r="C3170" t="str">
        <f>IFERROR(__xludf.DUMMYFUNCTION("""COMPUTED_VALUE"""),"Chile")</f>
        <v>Chile</v>
      </c>
      <c r="D3170">
        <f>IFERROR(__xludf.DUMMYFUNCTION("""COMPUTED_VALUE"""),2022.0)</f>
        <v>2022</v>
      </c>
      <c r="E3170">
        <f>IFERROR(__xludf.DUMMYFUNCTION("""COMPUTED_VALUE"""),1.8733622E7)</f>
        <v>18733622</v>
      </c>
    </row>
    <row r="3171">
      <c r="A3171" t="str">
        <f t="shared" si="1"/>
        <v>chl#2023</v>
      </c>
      <c r="B3171" t="str">
        <f>IFERROR(__xludf.DUMMYFUNCTION("""COMPUTED_VALUE"""),"chl")</f>
        <v>chl</v>
      </c>
      <c r="C3171" t="str">
        <f>IFERROR(__xludf.DUMMYFUNCTION("""COMPUTED_VALUE"""),"Chile")</f>
        <v>Chile</v>
      </c>
      <c r="D3171">
        <f>IFERROR(__xludf.DUMMYFUNCTION("""COMPUTED_VALUE"""),2023.0)</f>
        <v>2023</v>
      </c>
      <c r="E3171">
        <f>IFERROR(__xludf.DUMMYFUNCTION("""COMPUTED_VALUE"""),1.8858777E7)</f>
        <v>18858777</v>
      </c>
    </row>
    <row r="3172">
      <c r="A3172" t="str">
        <f t="shared" si="1"/>
        <v>chl#2024</v>
      </c>
      <c r="B3172" t="str">
        <f>IFERROR(__xludf.DUMMYFUNCTION("""COMPUTED_VALUE"""),"chl")</f>
        <v>chl</v>
      </c>
      <c r="C3172" t="str">
        <f>IFERROR(__xludf.DUMMYFUNCTION("""COMPUTED_VALUE"""),"Chile")</f>
        <v>Chile</v>
      </c>
      <c r="D3172">
        <f>IFERROR(__xludf.DUMMYFUNCTION("""COMPUTED_VALUE"""),2024.0)</f>
        <v>2024</v>
      </c>
      <c r="E3172">
        <f>IFERROR(__xludf.DUMMYFUNCTION("""COMPUTED_VALUE"""),1.8980612E7)</f>
        <v>18980612</v>
      </c>
    </row>
    <row r="3173">
      <c r="A3173" t="str">
        <f t="shared" si="1"/>
        <v>chl#2025</v>
      </c>
      <c r="B3173" t="str">
        <f>IFERROR(__xludf.DUMMYFUNCTION("""COMPUTED_VALUE"""),"chl")</f>
        <v>chl</v>
      </c>
      <c r="C3173" t="str">
        <f>IFERROR(__xludf.DUMMYFUNCTION("""COMPUTED_VALUE"""),"Chile")</f>
        <v>Chile</v>
      </c>
      <c r="D3173">
        <f>IFERROR(__xludf.DUMMYFUNCTION("""COMPUTED_VALUE"""),2025.0)</f>
        <v>2025</v>
      </c>
      <c r="E3173">
        <f>IFERROR(__xludf.DUMMYFUNCTION("""COMPUTED_VALUE"""),1.9099237E7)</f>
        <v>19099237</v>
      </c>
    </row>
    <row r="3174">
      <c r="A3174" t="str">
        <f t="shared" si="1"/>
        <v>chl#2026</v>
      </c>
      <c r="B3174" t="str">
        <f>IFERROR(__xludf.DUMMYFUNCTION("""COMPUTED_VALUE"""),"chl")</f>
        <v>chl</v>
      </c>
      <c r="C3174" t="str">
        <f>IFERROR(__xludf.DUMMYFUNCTION("""COMPUTED_VALUE"""),"Chile")</f>
        <v>Chile</v>
      </c>
      <c r="D3174">
        <f>IFERROR(__xludf.DUMMYFUNCTION("""COMPUTED_VALUE"""),2026.0)</f>
        <v>2026</v>
      </c>
      <c r="E3174">
        <f>IFERROR(__xludf.DUMMYFUNCTION("""COMPUTED_VALUE"""),1.9214669E7)</f>
        <v>19214669</v>
      </c>
    </row>
    <row r="3175">
      <c r="A3175" t="str">
        <f t="shared" si="1"/>
        <v>chl#2027</v>
      </c>
      <c r="B3175" t="str">
        <f>IFERROR(__xludf.DUMMYFUNCTION("""COMPUTED_VALUE"""),"chl")</f>
        <v>chl</v>
      </c>
      <c r="C3175" t="str">
        <f>IFERROR(__xludf.DUMMYFUNCTION("""COMPUTED_VALUE"""),"Chile")</f>
        <v>Chile</v>
      </c>
      <c r="D3175">
        <f>IFERROR(__xludf.DUMMYFUNCTION("""COMPUTED_VALUE"""),2027.0)</f>
        <v>2027</v>
      </c>
      <c r="E3175">
        <f>IFERROR(__xludf.DUMMYFUNCTION("""COMPUTED_VALUE"""),1.932671E7)</f>
        <v>19326710</v>
      </c>
    </row>
    <row r="3176">
      <c r="A3176" t="str">
        <f t="shared" si="1"/>
        <v>chl#2028</v>
      </c>
      <c r="B3176" t="str">
        <f>IFERROR(__xludf.DUMMYFUNCTION("""COMPUTED_VALUE"""),"chl")</f>
        <v>chl</v>
      </c>
      <c r="C3176" t="str">
        <f>IFERROR(__xludf.DUMMYFUNCTION("""COMPUTED_VALUE"""),"Chile")</f>
        <v>Chile</v>
      </c>
      <c r="D3176">
        <f>IFERROR(__xludf.DUMMYFUNCTION("""COMPUTED_VALUE"""),2028.0)</f>
        <v>2028</v>
      </c>
      <c r="E3176">
        <f>IFERROR(__xludf.DUMMYFUNCTION("""COMPUTED_VALUE"""),1.9434879E7)</f>
        <v>19434879</v>
      </c>
    </row>
    <row r="3177">
      <c r="A3177" t="str">
        <f t="shared" si="1"/>
        <v>chl#2029</v>
      </c>
      <c r="B3177" t="str">
        <f>IFERROR(__xludf.DUMMYFUNCTION("""COMPUTED_VALUE"""),"chl")</f>
        <v>chl</v>
      </c>
      <c r="C3177" t="str">
        <f>IFERROR(__xludf.DUMMYFUNCTION("""COMPUTED_VALUE"""),"Chile")</f>
        <v>Chile</v>
      </c>
      <c r="D3177">
        <f>IFERROR(__xludf.DUMMYFUNCTION("""COMPUTED_VALUE"""),2029.0)</f>
        <v>2029</v>
      </c>
      <c r="E3177">
        <f>IFERROR(__xludf.DUMMYFUNCTION("""COMPUTED_VALUE"""),1.9538564E7)</f>
        <v>19538564</v>
      </c>
    </row>
    <row r="3178">
      <c r="A3178" t="str">
        <f t="shared" si="1"/>
        <v>chl#2030</v>
      </c>
      <c r="B3178" t="str">
        <f>IFERROR(__xludf.DUMMYFUNCTION("""COMPUTED_VALUE"""),"chl")</f>
        <v>chl</v>
      </c>
      <c r="C3178" t="str">
        <f>IFERROR(__xludf.DUMMYFUNCTION("""COMPUTED_VALUE"""),"Chile")</f>
        <v>Chile</v>
      </c>
      <c r="D3178">
        <f>IFERROR(__xludf.DUMMYFUNCTION("""COMPUTED_VALUE"""),2030.0)</f>
        <v>2030</v>
      </c>
      <c r="E3178">
        <f>IFERROR(__xludf.DUMMYFUNCTION("""COMPUTED_VALUE"""),1.9637321E7)</f>
        <v>19637321</v>
      </c>
    </row>
    <row r="3179">
      <c r="A3179" t="str">
        <f t="shared" si="1"/>
        <v>chl#2031</v>
      </c>
      <c r="B3179" t="str">
        <f>IFERROR(__xludf.DUMMYFUNCTION("""COMPUTED_VALUE"""),"chl")</f>
        <v>chl</v>
      </c>
      <c r="C3179" t="str">
        <f>IFERROR(__xludf.DUMMYFUNCTION("""COMPUTED_VALUE"""),"Chile")</f>
        <v>Chile</v>
      </c>
      <c r="D3179">
        <f>IFERROR(__xludf.DUMMYFUNCTION("""COMPUTED_VALUE"""),2031.0)</f>
        <v>2031</v>
      </c>
      <c r="E3179">
        <f>IFERROR(__xludf.DUMMYFUNCTION("""COMPUTED_VALUE"""),1.9730966E7)</f>
        <v>19730966</v>
      </c>
    </row>
    <row r="3180">
      <c r="A3180" t="str">
        <f t="shared" si="1"/>
        <v>chl#2032</v>
      </c>
      <c r="B3180" t="str">
        <f>IFERROR(__xludf.DUMMYFUNCTION("""COMPUTED_VALUE"""),"chl")</f>
        <v>chl</v>
      </c>
      <c r="C3180" t="str">
        <f>IFERROR(__xludf.DUMMYFUNCTION("""COMPUTED_VALUE"""),"Chile")</f>
        <v>Chile</v>
      </c>
      <c r="D3180">
        <f>IFERROR(__xludf.DUMMYFUNCTION("""COMPUTED_VALUE"""),2032.0)</f>
        <v>2032</v>
      </c>
      <c r="E3180">
        <f>IFERROR(__xludf.DUMMYFUNCTION("""COMPUTED_VALUE"""),1.9819612E7)</f>
        <v>19819612</v>
      </c>
    </row>
    <row r="3181">
      <c r="A3181" t="str">
        <f t="shared" si="1"/>
        <v>chl#2033</v>
      </c>
      <c r="B3181" t="str">
        <f>IFERROR(__xludf.DUMMYFUNCTION("""COMPUTED_VALUE"""),"chl")</f>
        <v>chl</v>
      </c>
      <c r="C3181" t="str">
        <f>IFERROR(__xludf.DUMMYFUNCTION("""COMPUTED_VALUE"""),"Chile")</f>
        <v>Chile</v>
      </c>
      <c r="D3181">
        <f>IFERROR(__xludf.DUMMYFUNCTION("""COMPUTED_VALUE"""),2033.0)</f>
        <v>2033</v>
      </c>
      <c r="E3181">
        <f>IFERROR(__xludf.DUMMYFUNCTION("""COMPUTED_VALUE"""),1.9903549E7)</f>
        <v>19903549</v>
      </c>
    </row>
    <row r="3182">
      <c r="A3182" t="str">
        <f t="shared" si="1"/>
        <v>chl#2034</v>
      </c>
      <c r="B3182" t="str">
        <f>IFERROR(__xludf.DUMMYFUNCTION("""COMPUTED_VALUE"""),"chl")</f>
        <v>chl</v>
      </c>
      <c r="C3182" t="str">
        <f>IFERROR(__xludf.DUMMYFUNCTION("""COMPUTED_VALUE"""),"Chile")</f>
        <v>Chile</v>
      </c>
      <c r="D3182">
        <f>IFERROR(__xludf.DUMMYFUNCTION("""COMPUTED_VALUE"""),2034.0)</f>
        <v>2034</v>
      </c>
      <c r="E3182">
        <f>IFERROR(__xludf.DUMMYFUNCTION("""COMPUTED_VALUE"""),1.9983218E7)</f>
        <v>19983218</v>
      </c>
    </row>
    <row r="3183">
      <c r="A3183" t="str">
        <f t="shared" si="1"/>
        <v>chl#2035</v>
      </c>
      <c r="B3183" t="str">
        <f>IFERROR(__xludf.DUMMYFUNCTION("""COMPUTED_VALUE"""),"chl")</f>
        <v>chl</v>
      </c>
      <c r="C3183" t="str">
        <f>IFERROR(__xludf.DUMMYFUNCTION("""COMPUTED_VALUE"""),"Chile")</f>
        <v>Chile</v>
      </c>
      <c r="D3183">
        <f>IFERROR(__xludf.DUMMYFUNCTION("""COMPUTED_VALUE"""),2035.0)</f>
        <v>2035</v>
      </c>
      <c r="E3183">
        <f>IFERROR(__xludf.DUMMYFUNCTION("""COMPUTED_VALUE"""),2.0058957E7)</f>
        <v>20058957</v>
      </c>
    </row>
    <row r="3184">
      <c r="A3184" t="str">
        <f t="shared" si="1"/>
        <v>chl#2036</v>
      </c>
      <c r="B3184" t="str">
        <f>IFERROR(__xludf.DUMMYFUNCTION("""COMPUTED_VALUE"""),"chl")</f>
        <v>chl</v>
      </c>
      <c r="C3184" t="str">
        <f>IFERROR(__xludf.DUMMYFUNCTION("""COMPUTED_VALUE"""),"Chile")</f>
        <v>Chile</v>
      </c>
      <c r="D3184">
        <f>IFERROR(__xludf.DUMMYFUNCTION("""COMPUTED_VALUE"""),2036.0)</f>
        <v>2036</v>
      </c>
      <c r="E3184">
        <f>IFERROR(__xludf.DUMMYFUNCTION("""COMPUTED_VALUE"""),2.0130836E7)</f>
        <v>20130836</v>
      </c>
    </row>
    <row r="3185">
      <c r="A3185" t="str">
        <f t="shared" si="1"/>
        <v>chl#2037</v>
      </c>
      <c r="B3185" t="str">
        <f>IFERROR(__xludf.DUMMYFUNCTION("""COMPUTED_VALUE"""),"chl")</f>
        <v>chl</v>
      </c>
      <c r="C3185" t="str">
        <f>IFERROR(__xludf.DUMMYFUNCTION("""COMPUTED_VALUE"""),"Chile")</f>
        <v>Chile</v>
      </c>
      <c r="D3185">
        <f>IFERROR(__xludf.DUMMYFUNCTION("""COMPUTED_VALUE"""),2037.0)</f>
        <v>2037</v>
      </c>
      <c r="E3185">
        <f>IFERROR(__xludf.DUMMYFUNCTION("""COMPUTED_VALUE"""),2.0198771E7)</f>
        <v>20198771</v>
      </c>
    </row>
    <row r="3186">
      <c r="A3186" t="str">
        <f t="shared" si="1"/>
        <v>chl#2038</v>
      </c>
      <c r="B3186" t="str">
        <f>IFERROR(__xludf.DUMMYFUNCTION("""COMPUTED_VALUE"""),"chl")</f>
        <v>chl</v>
      </c>
      <c r="C3186" t="str">
        <f>IFERROR(__xludf.DUMMYFUNCTION("""COMPUTED_VALUE"""),"Chile")</f>
        <v>Chile</v>
      </c>
      <c r="D3186">
        <f>IFERROR(__xludf.DUMMYFUNCTION("""COMPUTED_VALUE"""),2038.0)</f>
        <v>2038</v>
      </c>
      <c r="E3186">
        <f>IFERROR(__xludf.DUMMYFUNCTION("""COMPUTED_VALUE"""),2.0262747E7)</f>
        <v>20262747</v>
      </c>
    </row>
    <row r="3187">
      <c r="A3187" t="str">
        <f t="shared" si="1"/>
        <v>chl#2039</v>
      </c>
      <c r="B3187" t="str">
        <f>IFERROR(__xludf.DUMMYFUNCTION("""COMPUTED_VALUE"""),"chl")</f>
        <v>chl</v>
      </c>
      <c r="C3187" t="str">
        <f>IFERROR(__xludf.DUMMYFUNCTION("""COMPUTED_VALUE"""),"Chile")</f>
        <v>Chile</v>
      </c>
      <c r="D3187">
        <f>IFERROR(__xludf.DUMMYFUNCTION("""COMPUTED_VALUE"""),2039.0)</f>
        <v>2039</v>
      </c>
      <c r="E3187">
        <f>IFERROR(__xludf.DUMMYFUNCTION("""COMPUTED_VALUE"""),2.03227E7)</f>
        <v>20322700</v>
      </c>
    </row>
    <row r="3188">
      <c r="A3188" t="str">
        <f t="shared" si="1"/>
        <v>chl#2040</v>
      </c>
      <c r="B3188" t="str">
        <f>IFERROR(__xludf.DUMMYFUNCTION("""COMPUTED_VALUE"""),"chl")</f>
        <v>chl</v>
      </c>
      <c r="C3188" t="str">
        <f>IFERROR(__xludf.DUMMYFUNCTION("""COMPUTED_VALUE"""),"Chile")</f>
        <v>Chile</v>
      </c>
      <c r="D3188">
        <f>IFERROR(__xludf.DUMMYFUNCTION("""COMPUTED_VALUE"""),2040.0)</f>
        <v>2040</v>
      </c>
      <c r="E3188">
        <f>IFERROR(__xludf.DUMMYFUNCTION("""COMPUTED_VALUE"""),2.0378604E7)</f>
        <v>20378604</v>
      </c>
    </row>
    <row r="3189">
      <c r="A3189" t="str">
        <f t="shared" si="1"/>
        <v>chn#1950</v>
      </c>
      <c r="B3189" t="str">
        <f>IFERROR(__xludf.DUMMYFUNCTION("""COMPUTED_VALUE"""),"chn")</f>
        <v>chn</v>
      </c>
      <c r="C3189" t="str">
        <f>IFERROR(__xludf.DUMMYFUNCTION("""COMPUTED_VALUE"""),"China")</f>
        <v>China</v>
      </c>
      <c r="D3189">
        <f>IFERROR(__xludf.DUMMYFUNCTION("""COMPUTED_VALUE"""),1950.0)</f>
        <v>1950</v>
      </c>
      <c r="E3189">
        <f>IFERROR(__xludf.DUMMYFUNCTION("""COMPUTED_VALUE"""),5.54419275E8)</f>
        <v>554419275</v>
      </c>
    </row>
    <row r="3190">
      <c r="A3190" t="str">
        <f t="shared" si="1"/>
        <v>chn#1951</v>
      </c>
      <c r="B3190" t="str">
        <f>IFERROR(__xludf.DUMMYFUNCTION("""COMPUTED_VALUE"""),"chn")</f>
        <v>chn</v>
      </c>
      <c r="C3190" t="str">
        <f>IFERROR(__xludf.DUMMYFUNCTION("""COMPUTED_VALUE"""),"China")</f>
        <v>China</v>
      </c>
      <c r="D3190">
        <f>IFERROR(__xludf.DUMMYFUNCTION("""COMPUTED_VALUE"""),1951.0)</f>
        <v>1951</v>
      </c>
      <c r="E3190">
        <f>IFERROR(__xludf.DUMMYFUNCTION("""COMPUTED_VALUE"""),5.69611075E8)</f>
        <v>569611075</v>
      </c>
    </row>
    <row r="3191">
      <c r="A3191" t="str">
        <f t="shared" si="1"/>
        <v>chn#1952</v>
      </c>
      <c r="B3191" t="str">
        <f>IFERROR(__xludf.DUMMYFUNCTION("""COMPUTED_VALUE"""),"chn")</f>
        <v>chn</v>
      </c>
      <c r="C3191" t="str">
        <f>IFERROR(__xludf.DUMMYFUNCTION("""COMPUTED_VALUE"""),"China")</f>
        <v>China</v>
      </c>
      <c r="D3191">
        <f>IFERROR(__xludf.DUMMYFUNCTION("""COMPUTED_VALUE"""),1952.0)</f>
        <v>1952</v>
      </c>
      <c r="E3191">
        <f>IFERROR(__xludf.DUMMYFUNCTION("""COMPUTED_VALUE"""),5.82029301E8)</f>
        <v>582029301</v>
      </c>
    </row>
    <row r="3192">
      <c r="A3192" t="str">
        <f t="shared" si="1"/>
        <v>chn#1953</v>
      </c>
      <c r="B3192" t="str">
        <f>IFERROR(__xludf.DUMMYFUNCTION("""COMPUTED_VALUE"""),"chn")</f>
        <v>chn</v>
      </c>
      <c r="C3192" t="str">
        <f>IFERROR(__xludf.DUMMYFUNCTION("""COMPUTED_VALUE"""),"China")</f>
        <v>China</v>
      </c>
      <c r="D3192">
        <f>IFERROR(__xludf.DUMMYFUNCTION("""COMPUTED_VALUE"""),1953.0)</f>
        <v>1953</v>
      </c>
      <c r="E3192">
        <f>IFERROR(__xludf.DUMMYFUNCTION("""COMPUTED_VALUE"""),5.92567861E8)</f>
        <v>592567861</v>
      </c>
    </row>
    <row r="3193">
      <c r="A3193" t="str">
        <f t="shared" si="1"/>
        <v>chn#1954</v>
      </c>
      <c r="B3193" t="str">
        <f>IFERROR(__xludf.DUMMYFUNCTION("""COMPUTED_VALUE"""),"chn")</f>
        <v>chn</v>
      </c>
      <c r="C3193" t="str">
        <f>IFERROR(__xludf.DUMMYFUNCTION("""COMPUTED_VALUE"""),"China")</f>
        <v>China</v>
      </c>
      <c r="D3193">
        <f>IFERROR(__xludf.DUMMYFUNCTION("""COMPUTED_VALUE"""),1954.0)</f>
        <v>1954</v>
      </c>
      <c r="E3193">
        <f>IFERROR(__xludf.DUMMYFUNCTION("""COMPUTED_VALUE"""),6.01971218E8)</f>
        <v>601971218</v>
      </c>
    </row>
    <row r="3194">
      <c r="A3194" t="str">
        <f t="shared" si="1"/>
        <v>chn#1955</v>
      </c>
      <c r="B3194" t="str">
        <f>IFERROR(__xludf.DUMMYFUNCTION("""COMPUTED_VALUE"""),"chn")</f>
        <v>chn</v>
      </c>
      <c r="C3194" t="str">
        <f>IFERROR(__xludf.DUMMYFUNCTION("""COMPUTED_VALUE"""),"China")</f>
        <v>China</v>
      </c>
      <c r="D3194">
        <f>IFERROR(__xludf.DUMMYFUNCTION("""COMPUTED_VALUE"""),1955.0)</f>
        <v>1955</v>
      </c>
      <c r="E3194">
        <f>IFERROR(__xludf.DUMMYFUNCTION("""COMPUTED_VALUE"""),6.10834396E8)</f>
        <v>610834396</v>
      </c>
    </row>
    <row r="3195">
      <c r="A3195" t="str">
        <f t="shared" si="1"/>
        <v>chn#1956</v>
      </c>
      <c r="B3195" t="str">
        <f>IFERROR(__xludf.DUMMYFUNCTION("""COMPUTED_VALUE"""),"chn")</f>
        <v>chn</v>
      </c>
      <c r="C3195" t="str">
        <f>IFERROR(__xludf.DUMMYFUNCTION("""COMPUTED_VALUE"""),"China")</f>
        <v>China</v>
      </c>
      <c r="D3195">
        <f>IFERROR(__xludf.DUMMYFUNCTION("""COMPUTED_VALUE"""),1956.0)</f>
        <v>1956</v>
      </c>
      <c r="E3195">
        <f>IFERROR(__xludf.DUMMYFUNCTION("""COMPUTED_VALUE"""),6.19597547E8)</f>
        <v>619597547</v>
      </c>
    </row>
    <row r="3196">
      <c r="A3196" t="str">
        <f t="shared" si="1"/>
        <v>chn#1957</v>
      </c>
      <c r="B3196" t="str">
        <f>IFERROR(__xludf.DUMMYFUNCTION("""COMPUTED_VALUE"""),"chn")</f>
        <v>chn</v>
      </c>
      <c r="C3196" t="str">
        <f>IFERROR(__xludf.DUMMYFUNCTION("""COMPUTED_VALUE"""),"China")</f>
        <v>China</v>
      </c>
      <c r="D3196">
        <f>IFERROR(__xludf.DUMMYFUNCTION("""COMPUTED_VALUE"""),1957.0)</f>
        <v>1957</v>
      </c>
      <c r="E3196">
        <f>IFERROR(__xludf.DUMMYFUNCTION("""COMPUTED_VALUE"""),6.28551405E8)</f>
        <v>628551405</v>
      </c>
    </row>
    <row r="3197">
      <c r="A3197" t="str">
        <f t="shared" si="1"/>
        <v>chn#1958</v>
      </c>
      <c r="B3197" t="str">
        <f>IFERROR(__xludf.DUMMYFUNCTION("""COMPUTED_VALUE"""),"chn")</f>
        <v>chn</v>
      </c>
      <c r="C3197" t="str">
        <f>IFERROR(__xludf.DUMMYFUNCTION("""COMPUTED_VALUE"""),"China")</f>
        <v>China</v>
      </c>
      <c r="D3197">
        <f>IFERROR(__xludf.DUMMYFUNCTION("""COMPUTED_VALUE"""),1958.0)</f>
        <v>1958</v>
      </c>
      <c r="E3197">
        <f>IFERROR(__xludf.DUMMYFUNCTION("""COMPUTED_VALUE"""),6.37853609E8)</f>
        <v>637853609</v>
      </c>
    </row>
    <row r="3198">
      <c r="A3198" t="str">
        <f t="shared" si="1"/>
        <v>chn#1959</v>
      </c>
      <c r="B3198" t="str">
        <f>IFERROR(__xludf.DUMMYFUNCTION("""COMPUTED_VALUE"""),"chn")</f>
        <v>chn</v>
      </c>
      <c r="C3198" t="str">
        <f>IFERROR(__xludf.DUMMYFUNCTION("""COMPUTED_VALUE"""),"China")</f>
        <v>China</v>
      </c>
      <c r="D3198">
        <f>IFERROR(__xludf.DUMMYFUNCTION("""COMPUTED_VALUE"""),1959.0)</f>
        <v>1959</v>
      </c>
      <c r="E3198">
        <f>IFERROR(__xludf.DUMMYFUNCTION("""COMPUTED_VALUE"""),6.47555963E8)</f>
        <v>647555963</v>
      </c>
    </row>
    <row r="3199">
      <c r="A3199" t="str">
        <f t="shared" si="1"/>
        <v>chn#1960</v>
      </c>
      <c r="B3199" t="str">
        <f>IFERROR(__xludf.DUMMYFUNCTION("""COMPUTED_VALUE"""),"chn")</f>
        <v>chn</v>
      </c>
      <c r="C3199" t="str">
        <f>IFERROR(__xludf.DUMMYFUNCTION("""COMPUTED_VALUE"""),"China")</f>
        <v>China</v>
      </c>
      <c r="D3199">
        <f>IFERROR(__xludf.DUMMYFUNCTION("""COMPUTED_VALUE"""),1960.0)</f>
        <v>1960</v>
      </c>
      <c r="E3199">
        <f>IFERROR(__xludf.DUMMYFUNCTION("""COMPUTED_VALUE"""),6.57686143E8)</f>
        <v>657686143</v>
      </c>
    </row>
    <row r="3200">
      <c r="A3200" t="str">
        <f t="shared" si="1"/>
        <v>chn#1961</v>
      </c>
      <c r="B3200" t="str">
        <f>IFERROR(__xludf.DUMMYFUNCTION("""COMPUTED_VALUE"""),"chn")</f>
        <v>chn</v>
      </c>
      <c r="C3200" t="str">
        <f>IFERROR(__xludf.DUMMYFUNCTION("""COMPUTED_VALUE"""),"China")</f>
        <v>China</v>
      </c>
      <c r="D3200">
        <f>IFERROR(__xludf.DUMMYFUNCTION("""COMPUTED_VALUE"""),1961.0)</f>
        <v>1961</v>
      </c>
      <c r="E3200">
        <f>IFERROR(__xludf.DUMMYFUNCTION("""COMPUTED_VALUE"""),6.68334897E8)</f>
        <v>668334897</v>
      </c>
    </row>
    <row r="3201">
      <c r="A3201" t="str">
        <f t="shared" si="1"/>
        <v>chn#1962</v>
      </c>
      <c r="B3201" t="str">
        <f>IFERROR(__xludf.DUMMYFUNCTION("""COMPUTED_VALUE"""),"chn")</f>
        <v>chn</v>
      </c>
      <c r="C3201" t="str">
        <f>IFERROR(__xludf.DUMMYFUNCTION("""COMPUTED_VALUE"""),"China")</f>
        <v>China</v>
      </c>
      <c r="D3201">
        <f>IFERROR(__xludf.DUMMYFUNCTION("""COMPUTED_VALUE"""),1962.0)</f>
        <v>1962</v>
      </c>
      <c r="E3201">
        <f>IFERROR(__xludf.DUMMYFUNCTION("""COMPUTED_VALUE"""),6.79732315E8)</f>
        <v>679732315</v>
      </c>
    </row>
    <row r="3202">
      <c r="A3202" t="str">
        <f t="shared" si="1"/>
        <v>chn#1963</v>
      </c>
      <c r="B3202" t="str">
        <f>IFERROR(__xludf.DUMMYFUNCTION("""COMPUTED_VALUE"""),"chn")</f>
        <v>chn</v>
      </c>
      <c r="C3202" t="str">
        <f>IFERROR(__xludf.DUMMYFUNCTION("""COMPUTED_VALUE"""),"China")</f>
        <v>China</v>
      </c>
      <c r="D3202">
        <f>IFERROR(__xludf.DUMMYFUNCTION("""COMPUTED_VALUE"""),1963.0)</f>
        <v>1963</v>
      </c>
      <c r="E3202">
        <f>IFERROR(__xludf.DUMMYFUNCTION("""COMPUTED_VALUE"""),6.9228049E8)</f>
        <v>692280490</v>
      </c>
    </row>
    <row r="3203">
      <c r="A3203" t="str">
        <f t="shared" si="1"/>
        <v>chn#1964</v>
      </c>
      <c r="B3203" t="str">
        <f>IFERROR(__xludf.DUMMYFUNCTION("""COMPUTED_VALUE"""),"chn")</f>
        <v>chn</v>
      </c>
      <c r="C3203" t="str">
        <f>IFERROR(__xludf.DUMMYFUNCTION("""COMPUTED_VALUE"""),"China")</f>
        <v>China</v>
      </c>
      <c r="D3203">
        <f>IFERROR(__xludf.DUMMYFUNCTION("""COMPUTED_VALUE"""),1964.0)</f>
        <v>1964</v>
      </c>
      <c r="E3203">
        <f>IFERROR(__xludf.DUMMYFUNCTION("""COMPUTED_VALUE"""),7.06460953E8)</f>
        <v>706460953</v>
      </c>
    </row>
    <row r="3204">
      <c r="A3204" t="str">
        <f t="shared" si="1"/>
        <v>chn#1965</v>
      </c>
      <c r="B3204" t="str">
        <f>IFERROR(__xludf.DUMMYFUNCTION("""COMPUTED_VALUE"""),"chn")</f>
        <v>chn</v>
      </c>
      <c r="C3204" t="str">
        <f>IFERROR(__xludf.DUMMYFUNCTION("""COMPUTED_VALUE"""),"China")</f>
        <v>China</v>
      </c>
      <c r="D3204">
        <f>IFERROR(__xludf.DUMMYFUNCTION("""COMPUTED_VALUE"""),1965.0)</f>
        <v>1965</v>
      </c>
      <c r="E3204">
        <f>IFERROR(__xludf.DUMMYFUNCTION("""COMPUTED_VALUE"""),7.22562183E8)</f>
        <v>722562183</v>
      </c>
    </row>
    <row r="3205">
      <c r="A3205" t="str">
        <f t="shared" si="1"/>
        <v>chn#1966</v>
      </c>
      <c r="B3205" t="str">
        <f>IFERROR(__xludf.DUMMYFUNCTION("""COMPUTED_VALUE"""),"chn")</f>
        <v>chn</v>
      </c>
      <c r="C3205" t="str">
        <f>IFERROR(__xludf.DUMMYFUNCTION("""COMPUTED_VALUE"""),"China")</f>
        <v>China</v>
      </c>
      <c r="D3205">
        <f>IFERROR(__xludf.DUMMYFUNCTION("""COMPUTED_VALUE"""),1966.0)</f>
        <v>1966</v>
      </c>
      <c r="E3205">
        <f>IFERROR(__xludf.DUMMYFUNCTION("""COMPUTED_VALUE"""),7.40745642E8)</f>
        <v>740745642</v>
      </c>
    </row>
    <row r="3206">
      <c r="A3206" t="str">
        <f t="shared" si="1"/>
        <v>chn#1967</v>
      </c>
      <c r="B3206" t="str">
        <f>IFERROR(__xludf.DUMMYFUNCTION("""COMPUTED_VALUE"""),"chn")</f>
        <v>chn</v>
      </c>
      <c r="C3206" t="str">
        <f>IFERROR(__xludf.DUMMYFUNCTION("""COMPUTED_VALUE"""),"China")</f>
        <v>China</v>
      </c>
      <c r="D3206">
        <f>IFERROR(__xludf.DUMMYFUNCTION("""COMPUTED_VALUE"""),1967.0)</f>
        <v>1967</v>
      </c>
      <c r="E3206">
        <f>IFERROR(__xludf.DUMMYFUNCTION("""COMPUTED_VALUE"""),7.60771063E8)</f>
        <v>760771063</v>
      </c>
    </row>
    <row r="3207">
      <c r="A3207" t="str">
        <f t="shared" si="1"/>
        <v>chn#1968</v>
      </c>
      <c r="B3207" t="str">
        <f>IFERROR(__xludf.DUMMYFUNCTION("""COMPUTED_VALUE"""),"chn")</f>
        <v>chn</v>
      </c>
      <c r="C3207" t="str">
        <f>IFERROR(__xludf.DUMMYFUNCTION("""COMPUTED_VALUE"""),"China")</f>
        <v>China</v>
      </c>
      <c r="D3207">
        <f>IFERROR(__xludf.DUMMYFUNCTION("""COMPUTED_VALUE"""),1968.0)</f>
        <v>1968</v>
      </c>
      <c r="E3207">
        <f>IFERROR(__xludf.DUMMYFUNCTION("""COMPUTED_VALUE"""),7.82008729E8)</f>
        <v>782008729</v>
      </c>
    </row>
    <row r="3208">
      <c r="A3208" t="str">
        <f t="shared" si="1"/>
        <v>chn#1969</v>
      </c>
      <c r="B3208" t="str">
        <f>IFERROR(__xludf.DUMMYFUNCTION("""COMPUTED_VALUE"""),"chn")</f>
        <v>chn</v>
      </c>
      <c r="C3208" t="str">
        <f>IFERROR(__xludf.DUMMYFUNCTION("""COMPUTED_VALUE"""),"China")</f>
        <v>China</v>
      </c>
      <c r="D3208">
        <f>IFERROR(__xludf.DUMMYFUNCTION("""COMPUTED_VALUE"""),1969.0)</f>
        <v>1969</v>
      </c>
      <c r="E3208">
        <f>IFERROR(__xludf.DUMMYFUNCTION("""COMPUTED_VALUE"""),8.03577221E8)</f>
        <v>803577221</v>
      </c>
    </row>
    <row r="3209">
      <c r="A3209" t="str">
        <f t="shared" si="1"/>
        <v>chn#1970</v>
      </c>
      <c r="B3209" t="str">
        <f>IFERROR(__xludf.DUMMYFUNCTION("""COMPUTED_VALUE"""),"chn")</f>
        <v>chn</v>
      </c>
      <c r="C3209" t="str">
        <f>IFERROR(__xludf.DUMMYFUNCTION("""COMPUTED_VALUE"""),"China")</f>
        <v>China</v>
      </c>
      <c r="D3209">
        <f>IFERROR(__xludf.DUMMYFUNCTION("""COMPUTED_VALUE"""),1970.0)</f>
        <v>1970</v>
      </c>
      <c r="E3209">
        <f>IFERROR(__xludf.DUMMYFUNCTION("""COMPUTED_VALUE"""),8.24788457E8)</f>
        <v>824788457</v>
      </c>
    </row>
    <row r="3210">
      <c r="A3210" t="str">
        <f t="shared" si="1"/>
        <v>chn#1971</v>
      </c>
      <c r="B3210" t="str">
        <f>IFERROR(__xludf.DUMMYFUNCTION("""COMPUTED_VALUE"""),"chn")</f>
        <v>chn</v>
      </c>
      <c r="C3210" t="str">
        <f>IFERROR(__xludf.DUMMYFUNCTION("""COMPUTED_VALUE"""),"China")</f>
        <v>China</v>
      </c>
      <c r="D3210">
        <f>IFERROR(__xludf.DUMMYFUNCTION("""COMPUTED_VALUE"""),1971.0)</f>
        <v>1971</v>
      </c>
      <c r="E3210">
        <f>IFERROR(__xludf.DUMMYFUNCTION("""COMPUTED_VALUE"""),8.45481578E8)</f>
        <v>845481578</v>
      </c>
    </row>
    <row r="3211">
      <c r="A3211" t="str">
        <f t="shared" si="1"/>
        <v>chn#1972</v>
      </c>
      <c r="B3211" t="str">
        <f>IFERROR(__xludf.DUMMYFUNCTION("""COMPUTED_VALUE"""),"chn")</f>
        <v>chn</v>
      </c>
      <c r="C3211" t="str">
        <f>IFERROR(__xludf.DUMMYFUNCTION("""COMPUTED_VALUE"""),"China")</f>
        <v>China</v>
      </c>
      <c r="D3211">
        <f>IFERROR(__xludf.DUMMYFUNCTION("""COMPUTED_VALUE"""),1972.0)</f>
        <v>1972</v>
      </c>
      <c r="E3211">
        <f>IFERROR(__xludf.DUMMYFUNCTION("""COMPUTED_VALUE"""),8.6568653E8)</f>
        <v>865686530</v>
      </c>
    </row>
    <row r="3212">
      <c r="A3212" t="str">
        <f t="shared" si="1"/>
        <v>chn#1973</v>
      </c>
      <c r="B3212" t="str">
        <f>IFERROR(__xludf.DUMMYFUNCTION("""COMPUTED_VALUE"""),"chn")</f>
        <v>chn</v>
      </c>
      <c r="C3212" t="str">
        <f>IFERROR(__xludf.DUMMYFUNCTION("""COMPUTED_VALUE"""),"China")</f>
        <v>China</v>
      </c>
      <c r="D3212">
        <f>IFERROR(__xludf.DUMMYFUNCTION("""COMPUTED_VALUE"""),1973.0)</f>
        <v>1973</v>
      </c>
      <c r="E3212">
        <f>IFERROR(__xludf.DUMMYFUNCTION("""COMPUTED_VALUE"""),8.85145933E8)</f>
        <v>885145933</v>
      </c>
    </row>
    <row r="3213">
      <c r="A3213" t="str">
        <f t="shared" si="1"/>
        <v>chn#1974</v>
      </c>
      <c r="B3213" t="str">
        <f>IFERROR(__xludf.DUMMYFUNCTION("""COMPUTED_VALUE"""),"chn")</f>
        <v>chn</v>
      </c>
      <c r="C3213" t="str">
        <f>IFERROR(__xludf.DUMMYFUNCTION("""COMPUTED_VALUE"""),"China")</f>
        <v>China</v>
      </c>
      <c r="D3213">
        <f>IFERROR(__xludf.DUMMYFUNCTION("""COMPUTED_VALUE"""),1974.0)</f>
        <v>1974</v>
      </c>
      <c r="E3213">
        <f>IFERROR(__xludf.DUMMYFUNCTION("""COMPUTED_VALUE"""),9.03613538E8)</f>
        <v>903613538</v>
      </c>
    </row>
    <row r="3214">
      <c r="A3214" t="str">
        <f t="shared" si="1"/>
        <v>chn#1975</v>
      </c>
      <c r="B3214" t="str">
        <f>IFERROR(__xludf.DUMMYFUNCTION("""COMPUTED_VALUE"""),"chn")</f>
        <v>chn</v>
      </c>
      <c r="C3214" t="str">
        <f>IFERROR(__xludf.DUMMYFUNCTION("""COMPUTED_VALUE"""),"China")</f>
        <v>China</v>
      </c>
      <c r="D3214">
        <f>IFERROR(__xludf.DUMMYFUNCTION("""COMPUTED_VALUE"""),1975.0)</f>
        <v>1975</v>
      </c>
      <c r="E3214">
        <f>IFERROR(__xludf.DUMMYFUNCTION("""COMPUTED_VALUE"""),9.20945083E8)</f>
        <v>920945083</v>
      </c>
    </row>
    <row r="3215">
      <c r="A3215" t="str">
        <f t="shared" si="1"/>
        <v>chn#1976</v>
      </c>
      <c r="B3215" t="str">
        <f>IFERROR(__xludf.DUMMYFUNCTION("""COMPUTED_VALUE"""),"chn")</f>
        <v>chn</v>
      </c>
      <c r="C3215" t="str">
        <f>IFERROR(__xludf.DUMMYFUNCTION("""COMPUTED_VALUE"""),"China")</f>
        <v>China</v>
      </c>
      <c r="D3215">
        <f>IFERROR(__xludf.DUMMYFUNCTION("""COMPUTED_VALUE"""),1976.0)</f>
        <v>1976</v>
      </c>
      <c r="E3215">
        <f>IFERROR(__xludf.DUMMYFUNCTION("""COMPUTED_VALUE"""),9.37018252E8)</f>
        <v>937018252</v>
      </c>
    </row>
    <row r="3216">
      <c r="A3216" t="str">
        <f t="shared" si="1"/>
        <v>chn#1977</v>
      </c>
      <c r="B3216" t="str">
        <f>IFERROR(__xludf.DUMMYFUNCTION("""COMPUTED_VALUE"""),"chn")</f>
        <v>chn</v>
      </c>
      <c r="C3216" t="str">
        <f>IFERROR(__xludf.DUMMYFUNCTION("""COMPUTED_VALUE"""),"China")</f>
        <v>China</v>
      </c>
      <c r="D3216">
        <f>IFERROR(__xludf.DUMMYFUNCTION("""COMPUTED_VALUE"""),1977.0)</f>
        <v>1977</v>
      </c>
      <c r="E3216">
        <f>IFERROR(__xludf.DUMMYFUNCTION("""COMPUTED_VALUE"""),9.51927444E8)</f>
        <v>951927444</v>
      </c>
    </row>
    <row r="3217">
      <c r="A3217" t="str">
        <f t="shared" si="1"/>
        <v>chn#1978</v>
      </c>
      <c r="B3217" t="str">
        <f>IFERROR(__xludf.DUMMYFUNCTION("""COMPUTED_VALUE"""),"chn")</f>
        <v>chn</v>
      </c>
      <c r="C3217" t="str">
        <f>IFERROR(__xludf.DUMMYFUNCTION("""COMPUTED_VALUE"""),"China")</f>
        <v>China</v>
      </c>
      <c r="D3217">
        <f>IFERROR(__xludf.DUMMYFUNCTION("""COMPUTED_VALUE"""),1978.0)</f>
        <v>1978</v>
      </c>
      <c r="E3217">
        <f>IFERROR(__xludf.DUMMYFUNCTION("""COMPUTED_VALUE"""),9.66039822E8)</f>
        <v>966039822</v>
      </c>
    </row>
    <row r="3218">
      <c r="A3218" t="str">
        <f t="shared" si="1"/>
        <v>chn#1979</v>
      </c>
      <c r="B3218" t="str">
        <f>IFERROR(__xludf.DUMMYFUNCTION("""COMPUTED_VALUE"""),"chn")</f>
        <v>chn</v>
      </c>
      <c r="C3218" t="str">
        <f>IFERROR(__xludf.DUMMYFUNCTION("""COMPUTED_VALUE"""),"China")</f>
        <v>China</v>
      </c>
      <c r="D3218">
        <f>IFERROR(__xludf.DUMMYFUNCTION("""COMPUTED_VALUE"""),1979.0)</f>
        <v>1979</v>
      </c>
      <c r="E3218">
        <f>IFERROR(__xludf.DUMMYFUNCTION("""COMPUTED_VALUE"""),9.79880619E8)</f>
        <v>979880619</v>
      </c>
    </row>
    <row r="3219">
      <c r="A3219" t="str">
        <f t="shared" si="1"/>
        <v>chn#1980</v>
      </c>
      <c r="B3219" t="str">
        <f>IFERROR(__xludf.DUMMYFUNCTION("""COMPUTED_VALUE"""),"chn")</f>
        <v>chn</v>
      </c>
      <c r="C3219" t="str">
        <f>IFERROR(__xludf.DUMMYFUNCTION("""COMPUTED_VALUE"""),"China")</f>
        <v>China</v>
      </c>
      <c r="D3219">
        <f>IFERROR(__xludf.DUMMYFUNCTION("""COMPUTED_VALUE"""),1980.0)</f>
        <v>1980</v>
      </c>
      <c r="E3219">
        <f>IFERROR(__xludf.DUMMYFUNCTION("""COMPUTED_VALUE"""),9.9387731E8)</f>
        <v>993877310</v>
      </c>
    </row>
    <row r="3220">
      <c r="A3220" t="str">
        <f t="shared" si="1"/>
        <v>chn#1981</v>
      </c>
      <c r="B3220" t="str">
        <f>IFERROR(__xludf.DUMMYFUNCTION("""COMPUTED_VALUE"""),"chn")</f>
        <v>chn</v>
      </c>
      <c r="C3220" t="str">
        <f>IFERROR(__xludf.DUMMYFUNCTION("""COMPUTED_VALUE"""),"China")</f>
        <v>China</v>
      </c>
      <c r="D3220">
        <f>IFERROR(__xludf.DUMMYFUNCTION("""COMPUTED_VALUE"""),1981.0)</f>
        <v>1981</v>
      </c>
      <c r="E3220">
        <f>IFERROR(__xludf.DUMMYFUNCTION("""COMPUTED_VALUE"""),1.008000152E9)</f>
        <v>1008000152</v>
      </c>
    </row>
    <row r="3221">
      <c r="A3221" t="str">
        <f t="shared" si="1"/>
        <v>chn#1982</v>
      </c>
      <c r="B3221" t="str">
        <f>IFERROR(__xludf.DUMMYFUNCTION("""COMPUTED_VALUE"""),"chn")</f>
        <v>chn</v>
      </c>
      <c r="C3221" t="str">
        <f>IFERROR(__xludf.DUMMYFUNCTION("""COMPUTED_VALUE"""),"China")</f>
        <v>China</v>
      </c>
      <c r="D3221">
        <f>IFERROR(__xludf.DUMMYFUNCTION("""COMPUTED_VALUE"""),1982.0)</f>
        <v>1982</v>
      </c>
      <c r="E3221">
        <f>IFERROR(__xludf.DUMMYFUNCTION("""COMPUTED_VALUE"""),1.022253396E9)</f>
        <v>1022253396</v>
      </c>
    </row>
    <row r="3222">
      <c r="A3222" t="str">
        <f t="shared" si="1"/>
        <v>chn#1983</v>
      </c>
      <c r="B3222" t="str">
        <f>IFERROR(__xludf.DUMMYFUNCTION("""COMPUTED_VALUE"""),"chn")</f>
        <v>chn</v>
      </c>
      <c r="C3222" t="str">
        <f>IFERROR(__xludf.DUMMYFUNCTION("""COMPUTED_VALUE"""),"China")</f>
        <v>China</v>
      </c>
      <c r="D3222">
        <f>IFERROR(__xludf.DUMMYFUNCTION("""COMPUTED_VALUE"""),1983.0)</f>
        <v>1983</v>
      </c>
      <c r="E3222">
        <f>IFERROR(__xludf.DUMMYFUNCTION("""COMPUTED_VALUE"""),1.037123834E9)</f>
        <v>1037123834</v>
      </c>
    </row>
    <row r="3223">
      <c r="A3223" t="str">
        <f t="shared" si="1"/>
        <v>chn#1984</v>
      </c>
      <c r="B3223" t="str">
        <f>IFERROR(__xludf.DUMMYFUNCTION("""COMPUTED_VALUE"""),"chn")</f>
        <v>chn</v>
      </c>
      <c r="C3223" t="str">
        <f>IFERROR(__xludf.DUMMYFUNCTION("""COMPUTED_VALUE"""),"China")</f>
        <v>China</v>
      </c>
      <c r="D3223">
        <f>IFERROR(__xludf.DUMMYFUNCTION("""COMPUTED_VALUE"""),1984.0)</f>
        <v>1984</v>
      </c>
      <c r="E3223">
        <f>IFERROR(__xludf.DUMMYFUNCTION("""COMPUTED_VALUE"""),1.053210735E9)</f>
        <v>1053210735</v>
      </c>
    </row>
    <row r="3224">
      <c r="A3224" t="str">
        <f t="shared" si="1"/>
        <v>chn#1985</v>
      </c>
      <c r="B3224" t="str">
        <f>IFERROR(__xludf.DUMMYFUNCTION("""COMPUTED_VALUE"""),"chn")</f>
        <v>chn</v>
      </c>
      <c r="C3224" t="str">
        <f>IFERROR(__xludf.DUMMYFUNCTION("""COMPUTED_VALUE"""),"China")</f>
        <v>China</v>
      </c>
      <c r="D3224">
        <f>IFERROR(__xludf.DUMMYFUNCTION("""COMPUTED_VALUE"""),1985.0)</f>
        <v>1985</v>
      </c>
      <c r="E3224">
        <f>IFERROR(__xludf.DUMMYFUNCTION("""COMPUTED_VALUE"""),1.070863389E9)</f>
        <v>1070863389</v>
      </c>
    </row>
    <row r="3225">
      <c r="A3225" t="str">
        <f t="shared" si="1"/>
        <v>chn#1986</v>
      </c>
      <c r="B3225" t="str">
        <f>IFERROR(__xludf.DUMMYFUNCTION("""COMPUTED_VALUE"""),"chn")</f>
        <v>chn</v>
      </c>
      <c r="C3225" t="str">
        <f>IFERROR(__xludf.DUMMYFUNCTION("""COMPUTED_VALUE"""),"China")</f>
        <v>China</v>
      </c>
      <c r="D3225">
        <f>IFERROR(__xludf.DUMMYFUNCTION("""COMPUTED_VALUE"""),1986.0)</f>
        <v>1986</v>
      </c>
      <c r="E3225">
        <f>IFERROR(__xludf.DUMMYFUNCTION("""COMPUTED_VALUE"""),1.090348056E9)</f>
        <v>1090348056</v>
      </c>
    </row>
    <row r="3226">
      <c r="A3226" t="str">
        <f t="shared" si="1"/>
        <v>chn#1987</v>
      </c>
      <c r="B3226" t="str">
        <f>IFERROR(__xludf.DUMMYFUNCTION("""COMPUTED_VALUE"""),"chn")</f>
        <v>chn</v>
      </c>
      <c r="C3226" t="str">
        <f>IFERROR(__xludf.DUMMYFUNCTION("""COMPUTED_VALUE"""),"China")</f>
        <v>China</v>
      </c>
      <c r="D3226">
        <f>IFERROR(__xludf.DUMMYFUNCTION("""COMPUTED_VALUE"""),1987.0)</f>
        <v>1987</v>
      </c>
      <c r="E3226">
        <f>IFERROR(__xludf.DUMMYFUNCTION("""COMPUTED_VALUE"""),1.111341725E9)</f>
        <v>1111341725</v>
      </c>
    </row>
    <row r="3227">
      <c r="A3227" t="str">
        <f t="shared" si="1"/>
        <v>chn#1988</v>
      </c>
      <c r="B3227" t="str">
        <f>IFERROR(__xludf.DUMMYFUNCTION("""COMPUTED_VALUE"""),"chn")</f>
        <v>chn</v>
      </c>
      <c r="C3227" t="str">
        <f>IFERROR(__xludf.DUMMYFUNCTION("""COMPUTED_VALUE"""),"China")</f>
        <v>China</v>
      </c>
      <c r="D3227">
        <f>IFERROR(__xludf.DUMMYFUNCTION("""COMPUTED_VALUE"""),1988.0)</f>
        <v>1988</v>
      </c>
      <c r="E3227">
        <f>IFERROR(__xludf.DUMMYFUNCTION("""COMPUTED_VALUE"""),1.132866344E9)</f>
        <v>1132866344</v>
      </c>
    </row>
    <row r="3228">
      <c r="A3228" t="str">
        <f t="shared" si="1"/>
        <v>chn#1989</v>
      </c>
      <c r="B3228" t="str">
        <f>IFERROR(__xludf.DUMMYFUNCTION("""COMPUTED_VALUE"""),"chn")</f>
        <v>chn</v>
      </c>
      <c r="C3228" t="str">
        <f>IFERROR(__xludf.DUMMYFUNCTION("""COMPUTED_VALUE"""),"China")</f>
        <v>China</v>
      </c>
      <c r="D3228">
        <f>IFERROR(__xludf.DUMMYFUNCTION("""COMPUTED_VALUE"""),1989.0)</f>
        <v>1989</v>
      </c>
      <c r="E3228">
        <f>IFERROR(__xludf.DUMMYFUNCTION("""COMPUTED_VALUE"""),1.153565894E9)</f>
        <v>1153565894</v>
      </c>
    </row>
    <row r="3229">
      <c r="A3229" t="str">
        <f t="shared" si="1"/>
        <v>chn#1990</v>
      </c>
      <c r="B3229" t="str">
        <f>IFERROR(__xludf.DUMMYFUNCTION("""COMPUTED_VALUE"""),"chn")</f>
        <v>chn</v>
      </c>
      <c r="C3229" t="str">
        <f>IFERROR(__xludf.DUMMYFUNCTION("""COMPUTED_VALUE"""),"China")</f>
        <v>China</v>
      </c>
      <c r="D3229">
        <f>IFERROR(__xludf.DUMMYFUNCTION("""COMPUTED_VALUE"""),1990.0)</f>
        <v>1990</v>
      </c>
      <c r="E3229">
        <f>IFERROR(__xludf.DUMMYFUNCTION("""COMPUTED_VALUE"""),1.1724452E9)</f>
        <v>1172445200</v>
      </c>
    </row>
    <row r="3230">
      <c r="A3230" t="str">
        <f t="shared" si="1"/>
        <v>chn#1991</v>
      </c>
      <c r="B3230" t="str">
        <f>IFERROR(__xludf.DUMMYFUNCTION("""COMPUTED_VALUE"""),"chn")</f>
        <v>chn</v>
      </c>
      <c r="C3230" t="str">
        <f>IFERROR(__xludf.DUMMYFUNCTION("""COMPUTED_VALUE"""),"China")</f>
        <v>China</v>
      </c>
      <c r="D3230">
        <f>IFERROR(__xludf.DUMMYFUNCTION("""COMPUTED_VALUE"""),1991.0)</f>
        <v>1991</v>
      </c>
      <c r="E3230">
        <f>IFERROR(__xludf.DUMMYFUNCTION("""COMPUTED_VALUE"""),1.189183522E9)</f>
        <v>1189183522</v>
      </c>
    </row>
    <row r="3231">
      <c r="A3231" t="str">
        <f t="shared" si="1"/>
        <v>chn#1992</v>
      </c>
      <c r="B3231" t="str">
        <f>IFERROR(__xludf.DUMMYFUNCTION("""COMPUTED_VALUE"""),"chn")</f>
        <v>chn</v>
      </c>
      <c r="C3231" t="str">
        <f>IFERROR(__xludf.DUMMYFUNCTION("""COMPUTED_VALUE"""),"China")</f>
        <v>China</v>
      </c>
      <c r="D3231">
        <f>IFERROR(__xludf.DUMMYFUNCTION("""COMPUTED_VALUE"""),1992.0)</f>
        <v>1992</v>
      </c>
      <c r="E3231">
        <f>IFERROR(__xludf.DUMMYFUNCTION("""COMPUTED_VALUE"""),1.204003901E9)</f>
        <v>1204003901</v>
      </c>
    </row>
    <row r="3232">
      <c r="A3232" t="str">
        <f t="shared" si="1"/>
        <v>chn#1993</v>
      </c>
      <c r="B3232" t="str">
        <f>IFERROR(__xludf.DUMMYFUNCTION("""COMPUTED_VALUE"""),"chn")</f>
        <v>chn</v>
      </c>
      <c r="C3232" t="str">
        <f>IFERROR(__xludf.DUMMYFUNCTION("""COMPUTED_VALUE"""),"China")</f>
        <v>China</v>
      </c>
      <c r="D3232">
        <f>IFERROR(__xludf.DUMMYFUNCTION("""COMPUTED_VALUE"""),1993.0)</f>
        <v>1993</v>
      </c>
      <c r="E3232">
        <f>IFERROR(__xludf.DUMMYFUNCTION("""COMPUTED_VALUE"""),1.217129133E9)</f>
        <v>1217129133</v>
      </c>
    </row>
    <row r="3233">
      <c r="A3233" t="str">
        <f t="shared" si="1"/>
        <v>chn#1994</v>
      </c>
      <c r="B3233" t="str">
        <f>IFERROR(__xludf.DUMMYFUNCTION("""COMPUTED_VALUE"""),"chn")</f>
        <v>chn</v>
      </c>
      <c r="C3233" t="str">
        <f>IFERROR(__xludf.DUMMYFUNCTION("""COMPUTED_VALUE"""),"China")</f>
        <v>China</v>
      </c>
      <c r="D3233">
        <f>IFERROR(__xludf.DUMMYFUNCTION("""COMPUTED_VALUE"""),1994.0)</f>
        <v>1994</v>
      </c>
      <c r="E3233">
        <f>IFERROR(__xludf.DUMMYFUNCTION("""COMPUTED_VALUE"""),1.228991932E9)</f>
        <v>1228991932</v>
      </c>
    </row>
    <row r="3234">
      <c r="A3234" t="str">
        <f t="shared" si="1"/>
        <v>chn#1995</v>
      </c>
      <c r="B3234" t="str">
        <f>IFERROR(__xludf.DUMMYFUNCTION("""COMPUTED_VALUE"""),"chn")</f>
        <v>chn</v>
      </c>
      <c r="C3234" t="str">
        <f>IFERROR(__xludf.DUMMYFUNCTION("""COMPUTED_VALUE"""),"China")</f>
        <v>China</v>
      </c>
      <c r="D3234">
        <f>IFERROR(__xludf.DUMMYFUNCTION("""COMPUTED_VALUE"""),1995.0)</f>
        <v>1995</v>
      </c>
      <c r="E3234">
        <f>IFERROR(__xludf.DUMMYFUNCTION("""COMPUTED_VALUE"""),1.239940004E9)</f>
        <v>1239940004</v>
      </c>
    </row>
    <row r="3235">
      <c r="A3235" t="str">
        <f t="shared" si="1"/>
        <v>chn#1996</v>
      </c>
      <c r="B3235" t="str">
        <f>IFERROR(__xludf.DUMMYFUNCTION("""COMPUTED_VALUE"""),"chn")</f>
        <v>chn</v>
      </c>
      <c r="C3235" t="str">
        <f>IFERROR(__xludf.DUMMYFUNCTION("""COMPUTED_VALUE"""),"China")</f>
        <v>China</v>
      </c>
      <c r="D3235">
        <f>IFERROR(__xludf.DUMMYFUNCTION("""COMPUTED_VALUE"""),1996.0)</f>
        <v>1996</v>
      </c>
      <c r="E3235">
        <f>IFERROR(__xludf.DUMMYFUNCTION("""COMPUTED_VALUE"""),1.249981441E9)</f>
        <v>1249981441</v>
      </c>
    </row>
    <row r="3236">
      <c r="A3236" t="str">
        <f t="shared" si="1"/>
        <v>chn#1997</v>
      </c>
      <c r="B3236" t="str">
        <f>IFERROR(__xludf.DUMMYFUNCTION("""COMPUTED_VALUE"""),"chn")</f>
        <v>chn</v>
      </c>
      <c r="C3236" t="str">
        <f>IFERROR(__xludf.DUMMYFUNCTION("""COMPUTED_VALUE"""),"China")</f>
        <v>China</v>
      </c>
      <c r="D3236">
        <f>IFERROR(__xludf.DUMMYFUNCTION("""COMPUTED_VALUE"""),1997.0)</f>
        <v>1997</v>
      </c>
      <c r="E3236">
        <f>IFERROR(__xludf.DUMMYFUNCTION("""COMPUTED_VALUE"""),1.259066974E9)</f>
        <v>1259066974</v>
      </c>
    </row>
    <row r="3237">
      <c r="A3237" t="str">
        <f t="shared" si="1"/>
        <v>chn#1998</v>
      </c>
      <c r="B3237" t="str">
        <f>IFERROR(__xludf.DUMMYFUNCTION("""COMPUTED_VALUE"""),"chn")</f>
        <v>chn</v>
      </c>
      <c r="C3237" t="str">
        <f>IFERROR(__xludf.DUMMYFUNCTION("""COMPUTED_VALUE"""),"China")</f>
        <v>China</v>
      </c>
      <c r="D3237">
        <f>IFERROR(__xludf.DUMMYFUNCTION("""COMPUTED_VALUE"""),1998.0)</f>
        <v>1998</v>
      </c>
      <c r="E3237">
        <f>IFERROR(__xludf.DUMMYFUNCTION("""COMPUTED_VALUE"""),1.267441503E9)</f>
        <v>1267441503</v>
      </c>
    </row>
    <row r="3238">
      <c r="A3238" t="str">
        <f t="shared" si="1"/>
        <v>chn#1999</v>
      </c>
      <c r="B3238" t="str">
        <f>IFERROR(__xludf.DUMMYFUNCTION("""COMPUTED_VALUE"""),"chn")</f>
        <v>chn</v>
      </c>
      <c r="C3238" t="str">
        <f>IFERROR(__xludf.DUMMYFUNCTION("""COMPUTED_VALUE"""),"China")</f>
        <v>China</v>
      </c>
      <c r="D3238">
        <f>IFERROR(__xludf.DUMMYFUNCTION("""COMPUTED_VALUE"""),1999.0)</f>
        <v>1999</v>
      </c>
      <c r="E3238">
        <f>IFERROR(__xludf.DUMMYFUNCTION("""COMPUTED_VALUE"""),1.275406699E9)</f>
        <v>1275406699</v>
      </c>
    </row>
    <row r="3239">
      <c r="A3239" t="str">
        <f t="shared" si="1"/>
        <v>chn#2000</v>
      </c>
      <c r="B3239" t="str">
        <f>IFERROR(__xludf.DUMMYFUNCTION("""COMPUTED_VALUE"""),"chn")</f>
        <v>chn</v>
      </c>
      <c r="C3239" t="str">
        <f>IFERROR(__xludf.DUMMYFUNCTION("""COMPUTED_VALUE"""),"China")</f>
        <v>China</v>
      </c>
      <c r="D3239">
        <f>IFERROR(__xludf.DUMMYFUNCTION("""COMPUTED_VALUE"""),2000.0)</f>
        <v>2000</v>
      </c>
      <c r="E3239">
        <f>IFERROR(__xludf.DUMMYFUNCTION("""COMPUTED_VALUE"""),1.28319897E9)</f>
        <v>1283198970</v>
      </c>
    </row>
    <row r="3240">
      <c r="A3240" t="str">
        <f t="shared" si="1"/>
        <v>chn#2001</v>
      </c>
      <c r="B3240" t="str">
        <f>IFERROR(__xludf.DUMMYFUNCTION("""COMPUTED_VALUE"""),"chn")</f>
        <v>chn</v>
      </c>
      <c r="C3240" t="str">
        <f>IFERROR(__xludf.DUMMYFUNCTION("""COMPUTED_VALUE"""),"China")</f>
        <v>China</v>
      </c>
      <c r="D3240">
        <f>IFERROR(__xludf.DUMMYFUNCTION("""COMPUTED_VALUE"""),2001.0)</f>
        <v>2001</v>
      </c>
      <c r="E3240">
        <f>IFERROR(__xludf.DUMMYFUNCTION("""COMPUTED_VALUE"""),1.290937649E9)</f>
        <v>1290937649</v>
      </c>
    </row>
    <row r="3241">
      <c r="A3241" t="str">
        <f t="shared" si="1"/>
        <v>chn#2002</v>
      </c>
      <c r="B3241" t="str">
        <f>IFERROR(__xludf.DUMMYFUNCTION("""COMPUTED_VALUE"""),"chn")</f>
        <v>chn</v>
      </c>
      <c r="C3241" t="str">
        <f>IFERROR(__xludf.DUMMYFUNCTION("""COMPUTED_VALUE"""),"China")</f>
        <v>China</v>
      </c>
      <c r="D3241">
        <f>IFERROR(__xludf.DUMMYFUNCTION("""COMPUTED_VALUE"""),2002.0)</f>
        <v>2002</v>
      </c>
      <c r="E3241">
        <f>IFERROR(__xludf.DUMMYFUNCTION("""COMPUTED_VALUE"""),1.298646577E9)</f>
        <v>1298646577</v>
      </c>
    </row>
    <row r="3242">
      <c r="A3242" t="str">
        <f t="shared" si="1"/>
        <v>chn#2003</v>
      </c>
      <c r="B3242" t="str">
        <f>IFERROR(__xludf.DUMMYFUNCTION("""COMPUTED_VALUE"""),"chn")</f>
        <v>chn</v>
      </c>
      <c r="C3242" t="str">
        <f>IFERROR(__xludf.DUMMYFUNCTION("""COMPUTED_VALUE"""),"China")</f>
        <v>China</v>
      </c>
      <c r="D3242">
        <f>IFERROR(__xludf.DUMMYFUNCTION("""COMPUTED_VALUE"""),2003.0)</f>
        <v>2003</v>
      </c>
      <c r="E3242">
        <f>IFERROR(__xludf.DUMMYFUNCTION("""COMPUTED_VALUE"""),1.306343911E9)</f>
        <v>1306343911</v>
      </c>
    </row>
    <row r="3243">
      <c r="A3243" t="str">
        <f t="shared" si="1"/>
        <v>chn#2004</v>
      </c>
      <c r="B3243" t="str">
        <f>IFERROR(__xludf.DUMMYFUNCTION("""COMPUTED_VALUE"""),"chn")</f>
        <v>chn</v>
      </c>
      <c r="C3243" t="str">
        <f>IFERROR(__xludf.DUMMYFUNCTION("""COMPUTED_VALUE"""),"China")</f>
        <v>China</v>
      </c>
      <c r="D3243">
        <f>IFERROR(__xludf.DUMMYFUNCTION("""COMPUTED_VALUE"""),2004.0)</f>
        <v>2004</v>
      </c>
      <c r="E3243">
        <f>IFERROR(__xludf.DUMMYFUNCTION("""COMPUTED_VALUE"""),1.314007478E9)</f>
        <v>1314007478</v>
      </c>
    </row>
    <row r="3244">
      <c r="A3244" t="str">
        <f t="shared" si="1"/>
        <v>chn#2005</v>
      </c>
      <c r="B3244" t="str">
        <f>IFERROR(__xludf.DUMMYFUNCTION("""COMPUTED_VALUE"""),"chn")</f>
        <v>chn</v>
      </c>
      <c r="C3244" t="str">
        <f>IFERROR(__xludf.DUMMYFUNCTION("""COMPUTED_VALUE"""),"China")</f>
        <v>China</v>
      </c>
      <c r="D3244">
        <f>IFERROR(__xludf.DUMMYFUNCTION("""COMPUTED_VALUE"""),2005.0)</f>
        <v>2005</v>
      </c>
      <c r="E3244">
        <f>IFERROR(__xludf.DUMMYFUNCTION("""COMPUTED_VALUE"""),1.32162349E9)</f>
        <v>1321623490</v>
      </c>
    </row>
    <row r="3245">
      <c r="A3245" t="str">
        <f t="shared" si="1"/>
        <v>chn#2006</v>
      </c>
      <c r="B3245" t="str">
        <f>IFERROR(__xludf.DUMMYFUNCTION("""COMPUTED_VALUE"""),"chn")</f>
        <v>chn</v>
      </c>
      <c r="C3245" t="str">
        <f>IFERROR(__xludf.DUMMYFUNCTION("""COMPUTED_VALUE"""),"China")</f>
        <v>China</v>
      </c>
      <c r="D3245">
        <f>IFERROR(__xludf.DUMMYFUNCTION("""COMPUTED_VALUE"""),2006.0)</f>
        <v>2006</v>
      </c>
      <c r="E3245">
        <f>IFERROR(__xludf.DUMMYFUNCTION("""COMPUTED_VALUE"""),1.329209094E9)</f>
        <v>1329209094</v>
      </c>
    </row>
    <row r="3246">
      <c r="A3246" t="str">
        <f t="shared" si="1"/>
        <v>chn#2007</v>
      </c>
      <c r="B3246" t="str">
        <f>IFERROR(__xludf.DUMMYFUNCTION("""COMPUTED_VALUE"""),"chn")</f>
        <v>chn</v>
      </c>
      <c r="C3246" t="str">
        <f>IFERROR(__xludf.DUMMYFUNCTION("""COMPUTED_VALUE"""),"China")</f>
        <v>China</v>
      </c>
      <c r="D3246">
        <f>IFERROR(__xludf.DUMMYFUNCTION("""COMPUTED_VALUE"""),2007.0)</f>
        <v>2007</v>
      </c>
      <c r="E3246">
        <f>IFERROR(__xludf.DUMMYFUNCTION("""COMPUTED_VALUE"""),1.336800506E9)</f>
        <v>1336800506</v>
      </c>
    </row>
    <row r="3247">
      <c r="A3247" t="str">
        <f t="shared" si="1"/>
        <v>chn#2008</v>
      </c>
      <c r="B3247" t="str">
        <f>IFERROR(__xludf.DUMMYFUNCTION("""COMPUTED_VALUE"""),"chn")</f>
        <v>chn</v>
      </c>
      <c r="C3247" t="str">
        <f>IFERROR(__xludf.DUMMYFUNCTION("""COMPUTED_VALUE"""),"China")</f>
        <v>China</v>
      </c>
      <c r="D3247">
        <f>IFERROR(__xludf.DUMMYFUNCTION("""COMPUTED_VALUE"""),2008.0)</f>
        <v>2008</v>
      </c>
      <c r="E3247">
        <f>IFERROR(__xludf.DUMMYFUNCTION("""COMPUTED_VALUE"""),1.344415227E9)</f>
        <v>1344415227</v>
      </c>
    </row>
    <row r="3248">
      <c r="A3248" t="str">
        <f t="shared" si="1"/>
        <v>chn#2009</v>
      </c>
      <c r="B3248" t="str">
        <f>IFERROR(__xludf.DUMMYFUNCTION("""COMPUTED_VALUE"""),"chn")</f>
        <v>chn</v>
      </c>
      <c r="C3248" t="str">
        <f>IFERROR(__xludf.DUMMYFUNCTION("""COMPUTED_VALUE"""),"China")</f>
        <v>China</v>
      </c>
      <c r="D3248">
        <f>IFERROR(__xludf.DUMMYFUNCTION("""COMPUTED_VALUE"""),2009.0)</f>
        <v>2009</v>
      </c>
      <c r="E3248">
        <f>IFERROR(__xludf.DUMMYFUNCTION("""COMPUTED_VALUE"""),1.352068091E9)</f>
        <v>1352068091</v>
      </c>
    </row>
    <row r="3249">
      <c r="A3249" t="str">
        <f t="shared" si="1"/>
        <v>chn#2010</v>
      </c>
      <c r="B3249" t="str">
        <f>IFERROR(__xludf.DUMMYFUNCTION("""COMPUTED_VALUE"""),"chn")</f>
        <v>chn</v>
      </c>
      <c r="C3249" t="str">
        <f>IFERROR(__xludf.DUMMYFUNCTION("""COMPUTED_VALUE"""),"China")</f>
        <v>China</v>
      </c>
      <c r="D3249">
        <f>IFERROR(__xludf.DUMMYFUNCTION("""COMPUTED_VALUE"""),2010.0)</f>
        <v>2010</v>
      </c>
      <c r="E3249">
        <f>IFERROR(__xludf.DUMMYFUNCTION("""COMPUTED_VALUE"""),1.359755102E9)</f>
        <v>1359755102</v>
      </c>
    </row>
    <row r="3250">
      <c r="A3250" t="str">
        <f t="shared" si="1"/>
        <v>chn#2011</v>
      </c>
      <c r="B3250" t="str">
        <f>IFERROR(__xludf.DUMMYFUNCTION("""COMPUTED_VALUE"""),"chn")</f>
        <v>chn</v>
      </c>
      <c r="C3250" t="str">
        <f>IFERROR(__xludf.DUMMYFUNCTION("""COMPUTED_VALUE"""),"China")</f>
        <v>China</v>
      </c>
      <c r="D3250">
        <f>IFERROR(__xludf.DUMMYFUNCTION("""COMPUTED_VALUE"""),2011.0)</f>
        <v>2011</v>
      </c>
      <c r="E3250">
        <f>IFERROR(__xludf.DUMMYFUNCTION("""COMPUTED_VALUE"""),1.367480264E9)</f>
        <v>1367480264</v>
      </c>
    </row>
    <row r="3251">
      <c r="A3251" t="str">
        <f t="shared" si="1"/>
        <v>chn#2012</v>
      </c>
      <c r="B3251" t="str">
        <f>IFERROR(__xludf.DUMMYFUNCTION("""COMPUTED_VALUE"""),"chn")</f>
        <v>chn</v>
      </c>
      <c r="C3251" t="str">
        <f>IFERROR(__xludf.DUMMYFUNCTION("""COMPUTED_VALUE"""),"China")</f>
        <v>China</v>
      </c>
      <c r="D3251">
        <f>IFERROR(__xludf.DUMMYFUNCTION("""COMPUTED_VALUE"""),2012.0)</f>
        <v>2012</v>
      </c>
      <c r="E3251">
        <f>IFERROR(__xludf.DUMMYFUNCTION("""COMPUTED_VALUE"""),1.375198619E9)</f>
        <v>1375198619</v>
      </c>
    </row>
    <row r="3252">
      <c r="A3252" t="str">
        <f t="shared" si="1"/>
        <v>chn#2013</v>
      </c>
      <c r="B3252" t="str">
        <f>IFERROR(__xludf.DUMMYFUNCTION("""COMPUTED_VALUE"""),"chn")</f>
        <v>chn</v>
      </c>
      <c r="C3252" t="str">
        <f>IFERROR(__xludf.DUMMYFUNCTION("""COMPUTED_VALUE"""),"China")</f>
        <v>China</v>
      </c>
      <c r="D3252">
        <f>IFERROR(__xludf.DUMMYFUNCTION("""COMPUTED_VALUE"""),2013.0)</f>
        <v>2013</v>
      </c>
      <c r="E3252">
        <f>IFERROR(__xludf.DUMMYFUNCTION("""COMPUTED_VALUE"""),1.382793212E9)</f>
        <v>1382793212</v>
      </c>
    </row>
    <row r="3253">
      <c r="A3253" t="str">
        <f t="shared" si="1"/>
        <v>chn#2014</v>
      </c>
      <c r="B3253" t="str">
        <f>IFERROR(__xludf.DUMMYFUNCTION("""COMPUTED_VALUE"""),"chn")</f>
        <v>chn</v>
      </c>
      <c r="C3253" t="str">
        <f>IFERROR(__xludf.DUMMYFUNCTION("""COMPUTED_VALUE"""),"China")</f>
        <v>China</v>
      </c>
      <c r="D3253">
        <f>IFERROR(__xludf.DUMMYFUNCTION("""COMPUTED_VALUE"""),2014.0)</f>
        <v>2014</v>
      </c>
      <c r="E3253">
        <f>IFERROR(__xludf.DUMMYFUNCTION("""COMPUTED_VALUE"""),1.390110388E9)</f>
        <v>1390110388</v>
      </c>
    </row>
    <row r="3254">
      <c r="A3254" t="str">
        <f t="shared" si="1"/>
        <v>chn#2015</v>
      </c>
      <c r="B3254" t="str">
        <f>IFERROR(__xludf.DUMMYFUNCTION("""COMPUTED_VALUE"""),"chn")</f>
        <v>chn</v>
      </c>
      <c r="C3254" t="str">
        <f>IFERROR(__xludf.DUMMYFUNCTION("""COMPUTED_VALUE"""),"China")</f>
        <v>China</v>
      </c>
      <c r="D3254">
        <f>IFERROR(__xludf.DUMMYFUNCTION("""COMPUTED_VALUE"""),2015.0)</f>
        <v>2015</v>
      </c>
      <c r="E3254">
        <f>IFERROR(__xludf.DUMMYFUNCTION("""COMPUTED_VALUE"""),1.397028553E9)</f>
        <v>1397028553</v>
      </c>
    </row>
    <row r="3255">
      <c r="A3255" t="str">
        <f t="shared" si="1"/>
        <v>chn#2016</v>
      </c>
      <c r="B3255" t="str">
        <f>IFERROR(__xludf.DUMMYFUNCTION("""COMPUTED_VALUE"""),"chn")</f>
        <v>chn</v>
      </c>
      <c r="C3255" t="str">
        <f>IFERROR(__xludf.DUMMYFUNCTION("""COMPUTED_VALUE"""),"China")</f>
        <v>China</v>
      </c>
      <c r="D3255">
        <f>IFERROR(__xludf.DUMMYFUNCTION("""COMPUTED_VALUE"""),2016.0)</f>
        <v>2016</v>
      </c>
      <c r="E3255">
        <f>IFERROR(__xludf.DUMMYFUNCTION("""COMPUTED_VALUE"""),1.403500365E9)</f>
        <v>1403500365</v>
      </c>
    </row>
    <row r="3256">
      <c r="A3256" t="str">
        <f t="shared" si="1"/>
        <v>chn#2017</v>
      </c>
      <c r="B3256" t="str">
        <f>IFERROR(__xludf.DUMMYFUNCTION("""COMPUTED_VALUE"""),"chn")</f>
        <v>chn</v>
      </c>
      <c r="C3256" t="str">
        <f>IFERROR(__xludf.DUMMYFUNCTION("""COMPUTED_VALUE"""),"China")</f>
        <v>China</v>
      </c>
      <c r="D3256">
        <f>IFERROR(__xludf.DUMMYFUNCTION("""COMPUTED_VALUE"""),2017.0)</f>
        <v>2017</v>
      </c>
      <c r="E3256">
        <f>IFERROR(__xludf.DUMMYFUNCTION("""COMPUTED_VALUE"""),1.409517397E9)</f>
        <v>1409517397</v>
      </c>
    </row>
    <row r="3257">
      <c r="A3257" t="str">
        <f t="shared" si="1"/>
        <v>chn#2018</v>
      </c>
      <c r="B3257" t="str">
        <f>IFERROR(__xludf.DUMMYFUNCTION("""COMPUTED_VALUE"""),"chn")</f>
        <v>chn</v>
      </c>
      <c r="C3257" t="str">
        <f>IFERROR(__xludf.DUMMYFUNCTION("""COMPUTED_VALUE"""),"China")</f>
        <v>China</v>
      </c>
      <c r="D3257">
        <f>IFERROR(__xludf.DUMMYFUNCTION("""COMPUTED_VALUE"""),2018.0)</f>
        <v>2018</v>
      </c>
      <c r="E3257">
        <f>IFERROR(__xludf.DUMMYFUNCTION("""COMPUTED_VALUE"""),1.415045928E9)</f>
        <v>1415045928</v>
      </c>
    </row>
    <row r="3258">
      <c r="A3258" t="str">
        <f t="shared" si="1"/>
        <v>chn#2019</v>
      </c>
      <c r="B3258" t="str">
        <f>IFERROR(__xludf.DUMMYFUNCTION("""COMPUTED_VALUE"""),"chn")</f>
        <v>chn</v>
      </c>
      <c r="C3258" t="str">
        <f>IFERROR(__xludf.DUMMYFUNCTION("""COMPUTED_VALUE"""),"China")</f>
        <v>China</v>
      </c>
      <c r="D3258">
        <f>IFERROR(__xludf.DUMMYFUNCTION("""COMPUTED_VALUE"""),2019.0)</f>
        <v>2019</v>
      </c>
      <c r="E3258">
        <f>IFERROR(__xludf.DUMMYFUNCTION("""COMPUTED_VALUE"""),1.420062022E9)</f>
        <v>1420062022</v>
      </c>
    </row>
    <row r="3259">
      <c r="A3259" t="str">
        <f t="shared" si="1"/>
        <v>chn#2020</v>
      </c>
      <c r="B3259" t="str">
        <f>IFERROR(__xludf.DUMMYFUNCTION("""COMPUTED_VALUE"""),"chn")</f>
        <v>chn</v>
      </c>
      <c r="C3259" t="str">
        <f>IFERROR(__xludf.DUMMYFUNCTION("""COMPUTED_VALUE"""),"China")</f>
        <v>China</v>
      </c>
      <c r="D3259">
        <f>IFERROR(__xludf.DUMMYFUNCTION("""COMPUTED_VALUE"""),2020.0)</f>
        <v>2020</v>
      </c>
      <c r="E3259">
        <f>IFERROR(__xludf.DUMMYFUNCTION("""COMPUTED_VALUE"""),1.424548266E9)</f>
        <v>1424548266</v>
      </c>
    </row>
    <row r="3260">
      <c r="A3260" t="str">
        <f t="shared" si="1"/>
        <v>chn#2021</v>
      </c>
      <c r="B3260" t="str">
        <f>IFERROR(__xludf.DUMMYFUNCTION("""COMPUTED_VALUE"""),"chn")</f>
        <v>chn</v>
      </c>
      <c r="C3260" t="str">
        <f>IFERROR(__xludf.DUMMYFUNCTION("""COMPUTED_VALUE"""),"China")</f>
        <v>China</v>
      </c>
      <c r="D3260">
        <f>IFERROR(__xludf.DUMMYFUNCTION("""COMPUTED_VALUE"""),2021.0)</f>
        <v>2021</v>
      </c>
      <c r="E3260">
        <f>IFERROR(__xludf.DUMMYFUNCTION("""COMPUTED_VALUE"""),1.428480534E9)</f>
        <v>1428480534</v>
      </c>
    </row>
    <row r="3261">
      <c r="A3261" t="str">
        <f t="shared" si="1"/>
        <v>chn#2022</v>
      </c>
      <c r="B3261" t="str">
        <f>IFERROR(__xludf.DUMMYFUNCTION("""COMPUTED_VALUE"""),"chn")</f>
        <v>chn</v>
      </c>
      <c r="C3261" t="str">
        <f>IFERROR(__xludf.DUMMYFUNCTION("""COMPUTED_VALUE"""),"China")</f>
        <v>China</v>
      </c>
      <c r="D3261">
        <f>IFERROR(__xludf.DUMMYFUNCTION("""COMPUTED_VALUE"""),2022.0)</f>
        <v>2022</v>
      </c>
      <c r="E3261">
        <f>IFERROR(__xludf.DUMMYFUNCTION("""COMPUTED_VALUE"""),1.431849651E9)</f>
        <v>1431849651</v>
      </c>
    </row>
    <row r="3262">
      <c r="A3262" t="str">
        <f t="shared" si="1"/>
        <v>chn#2023</v>
      </c>
      <c r="B3262" t="str">
        <f>IFERROR(__xludf.DUMMYFUNCTION("""COMPUTED_VALUE"""),"chn")</f>
        <v>chn</v>
      </c>
      <c r="C3262" t="str">
        <f>IFERROR(__xludf.DUMMYFUNCTION("""COMPUTED_VALUE"""),"China")</f>
        <v>China</v>
      </c>
      <c r="D3262">
        <f>IFERROR(__xludf.DUMMYFUNCTION("""COMPUTED_VALUE"""),2023.0)</f>
        <v>2023</v>
      </c>
      <c r="E3262">
        <f>IFERROR(__xludf.DUMMYFUNCTION("""COMPUTED_VALUE"""),1.434676116E9)</f>
        <v>1434676116</v>
      </c>
    </row>
    <row r="3263">
      <c r="A3263" t="str">
        <f t="shared" si="1"/>
        <v>chn#2024</v>
      </c>
      <c r="B3263" t="str">
        <f>IFERROR(__xludf.DUMMYFUNCTION("""COMPUTED_VALUE"""),"chn")</f>
        <v>chn</v>
      </c>
      <c r="C3263" t="str">
        <f>IFERROR(__xludf.DUMMYFUNCTION("""COMPUTED_VALUE"""),"China")</f>
        <v>China</v>
      </c>
      <c r="D3263">
        <f>IFERROR(__xludf.DUMMYFUNCTION("""COMPUTED_VALUE"""),2024.0)</f>
        <v>2024</v>
      </c>
      <c r="E3263">
        <f>IFERROR(__xludf.DUMMYFUNCTION("""COMPUTED_VALUE"""),1.436995094E9)</f>
        <v>1436995094</v>
      </c>
    </row>
    <row r="3264">
      <c r="A3264" t="str">
        <f t="shared" si="1"/>
        <v>chn#2025</v>
      </c>
      <c r="B3264" t="str">
        <f>IFERROR(__xludf.DUMMYFUNCTION("""COMPUTED_VALUE"""),"chn")</f>
        <v>chn</v>
      </c>
      <c r="C3264" t="str">
        <f>IFERROR(__xludf.DUMMYFUNCTION("""COMPUTED_VALUE"""),"China")</f>
        <v>China</v>
      </c>
      <c r="D3264">
        <f>IFERROR(__xludf.DUMMYFUNCTION("""COMPUTED_VALUE"""),2025.0)</f>
        <v>2025</v>
      </c>
      <c r="E3264">
        <f>IFERROR(__xludf.DUMMYFUNCTION("""COMPUTED_VALUE"""),1.438835697E9)</f>
        <v>1438835697</v>
      </c>
    </row>
    <row r="3265">
      <c r="A3265" t="str">
        <f t="shared" si="1"/>
        <v>chn#2026</v>
      </c>
      <c r="B3265" t="str">
        <f>IFERROR(__xludf.DUMMYFUNCTION("""COMPUTED_VALUE"""),"chn")</f>
        <v>chn</v>
      </c>
      <c r="C3265" t="str">
        <f>IFERROR(__xludf.DUMMYFUNCTION("""COMPUTED_VALUE"""),"China")</f>
        <v>China</v>
      </c>
      <c r="D3265">
        <f>IFERROR(__xludf.DUMMYFUNCTION("""COMPUTED_VALUE"""),2026.0)</f>
        <v>2026</v>
      </c>
      <c r="E3265">
        <f>IFERROR(__xludf.DUMMYFUNCTION("""COMPUTED_VALUE"""),1.440205376E9)</f>
        <v>1440205376</v>
      </c>
    </row>
    <row r="3266">
      <c r="A3266" t="str">
        <f t="shared" si="1"/>
        <v>chn#2027</v>
      </c>
      <c r="B3266" t="str">
        <f>IFERROR(__xludf.DUMMYFUNCTION("""COMPUTED_VALUE"""),"chn")</f>
        <v>chn</v>
      </c>
      <c r="C3266" t="str">
        <f>IFERROR(__xludf.DUMMYFUNCTION("""COMPUTED_VALUE"""),"China")</f>
        <v>China</v>
      </c>
      <c r="D3266">
        <f>IFERROR(__xludf.DUMMYFUNCTION("""COMPUTED_VALUE"""),2027.0)</f>
        <v>2027</v>
      </c>
      <c r="E3266">
        <f>IFERROR(__xludf.DUMMYFUNCTION("""COMPUTED_VALUE"""),1.441105792E9)</f>
        <v>1441105792</v>
      </c>
    </row>
    <row r="3267">
      <c r="A3267" t="str">
        <f t="shared" si="1"/>
        <v>chn#2028</v>
      </c>
      <c r="B3267" t="str">
        <f>IFERROR(__xludf.DUMMYFUNCTION("""COMPUTED_VALUE"""),"chn")</f>
        <v>chn</v>
      </c>
      <c r="C3267" t="str">
        <f>IFERROR(__xludf.DUMMYFUNCTION("""COMPUTED_VALUE"""),"China")</f>
        <v>China</v>
      </c>
      <c r="D3267">
        <f>IFERROR(__xludf.DUMMYFUNCTION("""COMPUTED_VALUE"""),2028.0)</f>
        <v>2028</v>
      </c>
      <c r="E3267">
        <f>IFERROR(__xludf.DUMMYFUNCTION("""COMPUTED_VALUE"""),1.441555143E9)</f>
        <v>1441555143</v>
      </c>
    </row>
    <row r="3268">
      <c r="A3268" t="str">
        <f t="shared" si="1"/>
        <v>chn#2029</v>
      </c>
      <c r="B3268" t="str">
        <f>IFERROR(__xludf.DUMMYFUNCTION("""COMPUTED_VALUE"""),"chn")</f>
        <v>chn</v>
      </c>
      <c r="C3268" t="str">
        <f>IFERROR(__xludf.DUMMYFUNCTION("""COMPUTED_VALUE"""),"China")</f>
        <v>China</v>
      </c>
      <c r="D3268">
        <f>IFERROR(__xludf.DUMMYFUNCTION("""COMPUTED_VALUE"""),2029.0)</f>
        <v>2029</v>
      </c>
      <c r="E3268">
        <f>IFERROR(__xludf.DUMMYFUNCTION("""COMPUTED_VALUE"""),1.441574218E9)</f>
        <v>1441574218</v>
      </c>
    </row>
    <row r="3269">
      <c r="A3269" t="str">
        <f t="shared" si="1"/>
        <v>chn#2030</v>
      </c>
      <c r="B3269" t="str">
        <f>IFERROR(__xludf.DUMMYFUNCTION("""COMPUTED_VALUE"""),"chn")</f>
        <v>chn</v>
      </c>
      <c r="C3269" t="str">
        <f>IFERROR(__xludf.DUMMYFUNCTION("""COMPUTED_VALUE"""),"China")</f>
        <v>China</v>
      </c>
      <c r="D3269">
        <f>IFERROR(__xludf.DUMMYFUNCTION("""COMPUTED_VALUE"""),2030.0)</f>
        <v>2030</v>
      </c>
      <c r="E3269">
        <f>IFERROR(__xludf.DUMMYFUNCTION("""COMPUTED_VALUE"""),1.441181813E9)</f>
        <v>1441181813</v>
      </c>
    </row>
    <row r="3270">
      <c r="A3270" t="str">
        <f t="shared" si="1"/>
        <v>chn#2031</v>
      </c>
      <c r="B3270" t="str">
        <f>IFERROR(__xludf.DUMMYFUNCTION("""COMPUTED_VALUE"""),"chn")</f>
        <v>chn</v>
      </c>
      <c r="C3270" t="str">
        <f>IFERROR(__xludf.DUMMYFUNCTION("""COMPUTED_VALUE"""),"China")</f>
        <v>China</v>
      </c>
      <c r="D3270">
        <f>IFERROR(__xludf.DUMMYFUNCTION("""COMPUTED_VALUE"""),2031.0)</f>
        <v>2031</v>
      </c>
      <c r="E3270">
        <f>IFERROR(__xludf.DUMMYFUNCTION("""COMPUTED_VALUE"""),1.44039165E9)</f>
        <v>1440391650</v>
      </c>
    </row>
    <row r="3271">
      <c r="A3271" t="str">
        <f t="shared" si="1"/>
        <v>chn#2032</v>
      </c>
      <c r="B3271" t="str">
        <f>IFERROR(__xludf.DUMMYFUNCTION("""COMPUTED_VALUE"""),"chn")</f>
        <v>chn</v>
      </c>
      <c r="C3271" t="str">
        <f>IFERROR(__xludf.DUMMYFUNCTION("""COMPUTED_VALUE"""),"China")</f>
        <v>China</v>
      </c>
      <c r="D3271">
        <f>IFERROR(__xludf.DUMMYFUNCTION("""COMPUTED_VALUE"""),2032.0)</f>
        <v>2032</v>
      </c>
      <c r="E3271">
        <f>IFERROR(__xludf.DUMMYFUNCTION("""COMPUTED_VALUE"""),1.439215347E9)</f>
        <v>1439215347</v>
      </c>
    </row>
    <row r="3272">
      <c r="A3272" t="str">
        <f t="shared" si="1"/>
        <v>chn#2033</v>
      </c>
      <c r="B3272" t="str">
        <f>IFERROR(__xludf.DUMMYFUNCTION("""COMPUTED_VALUE"""),"chn")</f>
        <v>chn</v>
      </c>
      <c r="C3272" t="str">
        <f>IFERROR(__xludf.DUMMYFUNCTION("""COMPUTED_VALUE"""),"China")</f>
        <v>China</v>
      </c>
      <c r="D3272">
        <f>IFERROR(__xludf.DUMMYFUNCTION("""COMPUTED_VALUE"""),2033.0)</f>
        <v>2033</v>
      </c>
      <c r="E3272">
        <f>IFERROR(__xludf.DUMMYFUNCTION("""COMPUTED_VALUE"""),1.437667004E9)</f>
        <v>1437667004</v>
      </c>
    </row>
    <row r="3273">
      <c r="A3273" t="str">
        <f t="shared" si="1"/>
        <v>chn#2034</v>
      </c>
      <c r="B3273" t="str">
        <f>IFERROR(__xludf.DUMMYFUNCTION("""COMPUTED_VALUE"""),"chn")</f>
        <v>chn</v>
      </c>
      <c r="C3273" t="str">
        <f>IFERROR(__xludf.DUMMYFUNCTION("""COMPUTED_VALUE"""),"China")</f>
        <v>China</v>
      </c>
      <c r="D3273">
        <f>IFERROR(__xludf.DUMMYFUNCTION("""COMPUTED_VALUE"""),2034.0)</f>
        <v>2034</v>
      </c>
      <c r="E3273">
        <f>IFERROR(__xludf.DUMMYFUNCTION("""COMPUTED_VALUE"""),1.435760478E9)</f>
        <v>1435760478</v>
      </c>
    </row>
    <row r="3274">
      <c r="A3274" t="str">
        <f t="shared" si="1"/>
        <v>chn#2035</v>
      </c>
      <c r="B3274" t="str">
        <f>IFERROR(__xludf.DUMMYFUNCTION("""COMPUTED_VALUE"""),"chn")</f>
        <v>chn</v>
      </c>
      <c r="C3274" t="str">
        <f>IFERROR(__xludf.DUMMYFUNCTION("""COMPUTED_VALUE"""),"China")</f>
        <v>China</v>
      </c>
      <c r="D3274">
        <f>IFERROR(__xludf.DUMMYFUNCTION("""COMPUTED_VALUE"""),2035.0)</f>
        <v>2035</v>
      </c>
      <c r="E3274">
        <f>IFERROR(__xludf.DUMMYFUNCTION("""COMPUTED_VALUE"""),1.433508888E9)</f>
        <v>1433508888</v>
      </c>
    </row>
    <row r="3275">
      <c r="A3275" t="str">
        <f t="shared" si="1"/>
        <v>chn#2036</v>
      </c>
      <c r="B3275" t="str">
        <f>IFERROR(__xludf.DUMMYFUNCTION("""COMPUTED_VALUE"""),"chn")</f>
        <v>chn</v>
      </c>
      <c r="C3275" t="str">
        <f>IFERROR(__xludf.DUMMYFUNCTION("""COMPUTED_VALUE"""),"China")</f>
        <v>China</v>
      </c>
      <c r="D3275">
        <f>IFERROR(__xludf.DUMMYFUNCTION("""COMPUTED_VALUE"""),2036.0)</f>
        <v>2036</v>
      </c>
      <c r="E3275">
        <f>IFERROR(__xludf.DUMMYFUNCTION("""COMPUTED_VALUE"""),1.430922498E9)</f>
        <v>1430922498</v>
      </c>
    </row>
    <row r="3276">
      <c r="A3276" t="str">
        <f t="shared" si="1"/>
        <v>chn#2037</v>
      </c>
      <c r="B3276" t="str">
        <f>IFERROR(__xludf.DUMMYFUNCTION("""COMPUTED_VALUE"""),"chn")</f>
        <v>chn</v>
      </c>
      <c r="C3276" t="str">
        <f>IFERROR(__xludf.DUMMYFUNCTION("""COMPUTED_VALUE"""),"China")</f>
        <v>China</v>
      </c>
      <c r="D3276">
        <f>IFERROR(__xludf.DUMMYFUNCTION("""COMPUTED_VALUE"""),2037.0)</f>
        <v>2037</v>
      </c>
      <c r="E3276">
        <f>IFERROR(__xludf.DUMMYFUNCTION("""COMPUTED_VALUE"""),1.428012154E9)</f>
        <v>1428012154</v>
      </c>
    </row>
    <row r="3277">
      <c r="A3277" t="str">
        <f t="shared" si="1"/>
        <v>chn#2038</v>
      </c>
      <c r="B3277" t="str">
        <f>IFERROR(__xludf.DUMMYFUNCTION("""COMPUTED_VALUE"""),"chn")</f>
        <v>chn</v>
      </c>
      <c r="C3277" t="str">
        <f>IFERROR(__xludf.DUMMYFUNCTION("""COMPUTED_VALUE"""),"China")</f>
        <v>China</v>
      </c>
      <c r="D3277">
        <f>IFERROR(__xludf.DUMMYFUNCTION("""COMPUTED_VALUE"""),2038.0)</f>
        <v>2038</v>
      </c>
      <c r="E3277">
        <f>IFERROR(__xludf.DUMMYFUNCTION("""COMPUTED_VALUE"""),1.424791461E9)</f>
        <v>1424791461</v>
      </c>
    </row>
    <row r="3278">
      <c r="A3278" t="str">
        <f t="shared" si="1"/>
        <v>chn#2039</v>
      </c>
      <c r="B3278" t="str">
        <f>IFERROR(__xludf.DUMMYFUNCTION("""COMPUTED_VALUE"""),"chn")</f>
        <v>chn</v>
      </c>
      <c r="C3278" t="str">
        <f>IFERROR(__xludf.DUMMYFUNCTION("""COMPUTED_VALUE"""),"China")</f>
        <v>China</v>
      </c>
      <c r="D3278">
        <f>IFERROR(__xludf.DUMMYFUNCTION("""COMPUTED_VALUE"""),2039.0)</f>
        <v>2039</v>
      </c>
      <c r="E3278">
        <f>IFERROR(__xludf.DUMMYFUNCTION("""COMPUTED_VALUE"""),1.421274537E9)</f>
        <v>1421274537</v>
      </c>
    </row>
    <row r="3279">
      <c r="A3279" t="str">
        <f t="shared" si="1"/>
        <v>chn#2040</v>
      </c>
      <c r="B3279" t="str">
        <f>IFERROR(__xludf.DUMMYFUNCTION("""COMPUTED_VALUE"""),"chn")</f>
        <v>chn</v>
      </c>
      <c r="C3279" t="str">
        <f>IFERROR(__xludf.DUMMYFUNCTION("""COMPUTED_VALUE"""),"China")</f>
        <v>China</v>
      </c>
      <c r="D3279">
        <f>IFERROR(__xludf.DUMMYFUNCTION("""COMPUTED_VALUE"""),2040.0)</f>
        <v>2040</v>
      </c>
      <c r="E3279">
        <f>IFERROR(__xludf.DUMMYFUNCTION("""COMPUTED_VALUE"""),1.417472814E9)</f>
        <v>1417472814</v>
      </c>
    </row>
    <row r="3280">
      <c r="A3280" t="str">
        <f t="shared" si="1"/>
        <v>col#1950</v>
      </c>
      <c r="B3280" t="str">
        <f>IFERROR(__xludf.DUMMYFUNCTION("""COMPUTED_VALUE"""),"col")</f>
        <v>col</v>
      </c>
      <c r="C3280" t="str">
        <f>IFERROR(__xludf.DUMMYFUNCTION("""COMPUTED_VALUE"""),"Colombia")</f>
        <v>Colombia</v>
      </c>
      <c r="D3280">
        <f>IFERROR(__xludf.DUMMYFUNCTION("""COMPUTED_VALUE"""),1950.0)</f>
        <v>1950</v>
      </c>
      <c r="E3280">
        <f>IFERROR(__xludf.DUMMYFUNCTION("""COMPUTED_VALUE"""),1.2340899E7)</f>
        <v>12340899</v>
      </c>
    </row>
    <row r="3281">
      <c r="A3281" t="str">
        <f t="shared" si="1"/>
        <v>col#1951</v>
      </c>
      <c r="B3281" t="str">
        <f>IFERROR(__xludf.DUMMYFUNCTION("""COMPUTED_VALUE"""),"col")</f>
        <v>col</v>
      </c>
      <c r="C3281" t="str">
        <f>IFERROR(__xludf.DUMMYFUNCTION("""COMPUTED_VALUE"""),"Colombia")</f>
        <v>Colombia</v>
      </c>
      <c r="D3281">
        <f>IFERROR(__xludf.DUMMYFUNCTION("""COMPUTED_VALUE"""),1951.0)</f>
        <v>1951</v>
      </c>
      <c r="E3281">
        <f>IFERROR(__xludf.DUMMYFUNCTION("""COMPUTED_VALUE"""),1.2699952E7)</f>
        <v>12699952</v>
      </c>
    </row>
    <row r="3282">
      <c r="A3282" t="str">
        <f t="shared" si="1"/>
        <v>col#1952</v>
      </c>
      <c r="B3282" t="str">
        <f>IFERROR(__xludf.DUMMYFUNCTION("""COMPUTED_VALUE"""),"col")</f>
        <v>col</v>
      </c>
      <c r="C3282" t="str">
        <f>IFERROR(__xludf.DUMMYFUNCTION("""COMPUTED_VALUE"""),"Colombia")</f>
        <v>Colombia</v>
      </c>
      <c r="D3282">
        <f>IFERROR(__xludf.DUMMYFUNCTION("""COMPUTED_VALUE"""),1952.0)</f>
        <v>1952</v>
      </c>
      <c r="E3282">
        <f>IFERROR(__xludf.DUMMYFUNCTION("""COMPUTED_VALUE"""),1.3064689E7)</f>
        <v>13064689</v>
      </c>
    </row>
    <row r="3283">
      <c r="A3283" t="str">
        <f t="shared" si="1"/>
        <v>col#1953</v>
      </c>
      <c r="B3283" t="str">
        <f>IFERROR(__xludf.DUMMYFUNCTION("""COMPUTED_VALUE"""),"col")</f>
        <v>col</v>
      </c>
      <c r="C3283" t="str">
        <f>IFERROR(__xludf.DUMMYFUNCTION("""COMPUTED_VALUE"""),"Colombia")</f>
        <v>Colombia</v>
      </c>
      <c r="D3283">
        <f>IFERROR(__xludf.DUMMYFUNCTION("""COMPUTED_VALUE"""),1953.0)</f>
        <v>1953</v>
      </c>
      <c r="E3283">
        <f>IFERROR(__xludf.DUMMYFUNCTION("""COMPUTED_VALUE"""),1.3438645E7)</f>
        <v>13438645</v>
      </c>
    </row>
    <row r="3284">
      <c r="A3284" t="str">
        <f t="shared" si="1"/>
        <v>col#1954</v>
      </c>
      <c r="B3284" t="str">
        <f>IFERROR(__xludf.DUMMYFUNCTION("""COMPUTED_VALUE"""),"col")</f>
        <v>col</v>
      </c>
      <c r="C3284" t="str">
        <f>IFERROR(__xludf.DUMMYFUNCTION("""COMPUTED_VALUE"""),"Colombia")</f>
        <v>Colombia</v>
      </c>
      <c r="D3284">
        <f>IFERROR(__xludf.DUMMYFUNCTION("""COMPUTED_VALUE"""),1954.0)</f>
        <v>1954</v>
      </c>
      <c r="E3284">
        <f>IFERROR(__xludf.DUMMYFUNCTION("""COMPUTED_VALUE"""),1.3824726E7)</f>
        <v>13824726</v>
      </c>
    </row>
    <row r="3285">
      <c r="A3285" t="str">
        <f t="shared" si="1"/>
        <v>col#1955</v>
      </c>
      <c r="B3285" t="str">
        <f>IFERROR(__xludf.DUMMYFUNCTION("""COMPUTED_VALUE"""),"col")</f>
        <v>col</v>
      </c>
      <c r="C3285" t="str">
        <f>IFERROR(__xludf.DUMMYFUNCTION("""COMPUTED_VALUE"""),"Colombia")</f>
        <v>Colombia</v>
      </c>
      <c r="D3285">
        <f>IFERROR(__xludf.DUMMYFUNCTION("""COMPUTED_VALUE"""),1955.0)</f>
        <v>1955</v>
      </c>
      <c r="E3285">
        <f>IFERROR(__xludf.DUMMYFUNCTION("""COMPUTED_VALUE"""),1.4225204E7)</f>
        <v>14225204</v>
      </c>
    </row>
    <row r="3286">
      <c r="A3286" t="str">
        <f t="shared" si="1"/>
        <v>col#1956</v>
      </c>
      <c r="B3286" t="str">
        <f>IFERROR(__xludf.DUMMYFUNCTION("""COMPUTED_VALUE"""),"col")</f>
        <v>col</v>
      </c>
      <c r="C3286" t="str">
        <f>IFERROR(__xludf.DUMMYFUNCTION("""COMPUTED_VALUE"""),"Colombia")</f>
        <v>Colombia</v>
      </c>
      <c r="D3286">
        <f>IFERROR(__xludf.DUMMYFUNCTION("""COMPUTED_VALUE"""),1956.0)</f>
        <v>1956</v>
      </c>
      <c r="E3286">
        <f>IFERROR(__xludf.DUMMYFUNCTION("""COMPUTED_VALUE"""),1.464172E7)</f>
        <v>14641720</v>
      </c>
    </row>
    <row r="3287">
      <c r="A3287" t="str">
        <f t="shared" si="1"/>
        <v>col#1957</v>
      </c>
      <c r="B3287" t="str">
        <f>IFERROR(__xludf.DUMMYFUNCTION("""COMPUTED_VALUE"""),"col")</f>
        <v>col</v>
      </c>
      <c r="C3287" t="str">
        <f>IFERROR(__xludf.DUMMYFUNCTION("""COMPUTED_VALUE"""),"Colombia")</f>
        <v>Colombia</v>
      </c>
      <c r="D3287">
        <f>IFERROR(__xludf.DUMMYFUNCTION("""COMPUTED_VALUE"""),1957.0)</f>
        <v>1957</v>
      </c>
      <c r="E3287">
        <f>IFERROR(__xludf.DUMMYFUNCTION("""COMPUTED_VALUE"""),1.5075305E7)</f>
        <v>15075305</v>
      </c>
    </row>
    <row r="3288">
      <c r="A3288" t="str">
        <f t="shared" si="1"/>
        <v>col#1958</v>
      </c>
      <c r="B3288" t="str">
        <f>IFERROR(__xludf.DUMMYFUNCTION("""COMPUTED_VALUE"""),"col")</f>
        <v>col</v>
      </c>
      <c r="C3288" t="str">
        <f>IFERROR(__xludf.DUMMYFUNCTION("""COMPUTED_VALUE"""),"Colombia")</f>
        <v>Colombia</v>
      </c>
      <c r="D3288">
        <f>IFERROR(__xludf.DUMMYFUNCTION("""COMPUTED_VALUE"""),1958.0)</f>
        <v>1958</v>
      </c>
      <c r="E3288">
        <f>IFERROR(__xludf.DUMMYFUNCTION("""COMPUTED_VALUE"""),1.552639E7)</f>
        <v>15526390</v>
      </c>
    </row>
    <row r="3289">
      <c r="A3289" t="str">
        <f t="shared" si="1"/>
        <v>col#1959</v>
      </c>
      <c r="B3289" t="str">
        <f>IFERROR(__xludf.DUMMYFUNCTION("""COMPUTED_VALUE"""),"col")</f>
        <v>col</v>
      </c>
      <c r="C3289" t="str">
        <f>IFERROR(__xludf.DUMMYFUNCTION("""COMPUTED_VALUE"""),"Colombia")</f>
        <v>Colombia</v>
      </c>
      <c r="D3289">
        <f>IFERROR(__xludf.DUMMYFUNCTION("""COMPUTED_VALUE"""),1959.0)</f>
        <v>1959</v>
      </c>
      <c r="E3289">
        <f>IFERROR(__xludf.DUMMYFUNCTION("""COMPUTED_VALUE"""),1.5994889E7)</f>
        <v>15994889</v>
      </c>
    </row>
    <row r="3290">
      <c r="A3290" t="str">
        <f t="shared" si="1"/>
        <v>col#1960</v>
      </c>
      <c r="B3290" t="str">
        <f>IFERROR(__xludf.DUMMYFUNCTION("""COMPUTED_VALUE"""),"col")</f>
        <v>col</v>
      </c>
      <c r="C3290" t="str">
        <f>IFERROR(__xludf.DUMMYFUNCTION("""COMPUTED_VALUE"""),"Colombia")</f>
        <v>Colombia</v>
      </c>
      <c r="D3290">
        <f>IFERROR(__xludf.DUMMYFUNCTION("""COMPUTED_VALUE"""),1960.0)</f>
        <v>1960</v>
      </c>
      <c r="E3290">
        <f>IFERROR(__xludf.DUMMYFUNCTION("""COMPUTED_VALUE"""),1.6480383E7)</f>
        <v>16480383</v>
      </c>
    </row>
    <row r="3291">
      <c r="A3291" t="str">
        <f t="shared" si="1"/>
        <v>col#1961</v>
      </c>
      <c r="B3291" t="str">
        <f>IFERROR(__xludf.DUMMYFUNCTION("""COMPUTED_VALUE"""),"col")</f>
        <v>col</v>
      </c>
      <c r="C3291" t="str">
        <f>IFERROR(__xludf.DUMMYFUNCTION("""COMPUTED_VALUE"""),"Colombia")</f>
        <v>Colombia</v>
      </c>
      <c r="D3291">
        <f>IFERROR(__xludf.DUMMYFUNCTION("""COMPUTED_VALUE"""),1961.0)</f>
        <v>1961</v>
      </c>
      <c r="E3291">
        <f>IFERROR(__xludf.DUMMYFUNCTION("""COMPUTED_VALUE"""),1.6982315E7)</f>
        <v>16982315</v>
      </c>
    </row>
    <row r="3292">
      <c r="A3292" t="str">
        <f t="shared" si="1"/>
        <v>col#1962</v>
      </c>
      <c r="B3292" t="str">
        <f>IFERROR(__xludf.DUMMYFUNCTION("""COMPUTED_VALUE"""),"col")</f>
        <v>col</v>
      </c>
      <c r="C3292" t="str">
        <f>IFERROR(__xludf.DUMMYFUNCTION("""COMPUTED_VALUE"""),"Colombia")</f>
        <v>Colombia</v>
      </c>
      <c r="D3292">
        <f>IFERROR(__xludf.DUMMYFUNCTION("""COMPUTED_VALUE"""),1962.0)</f>
        <v>1962</v>
      </c>
      <c r="E3292">
        <f>IFERROR(__xludf.DUMMYFUNCTION("""COMPUTED_VALUE"""),1.7500171E7)</f>
        <v>17500171</v>
      </c>
    </row>
    <row r="3293">
      <c r="A3293" t="str">
        <f t="shared" si="1"/>
        <v>col#1963</v>
      </c>
      <c r="B3293" t="str">
        <f>IFERROR(__xludf.DUMMYFUNCTION("""COMPUTED_VALUE"""),"col")</f>
        <v>col</v>
      </c>
      <c r="C3293" t="str">
        <f>IFERROR(__xludf.DUMMYFUNCTION("""COMPUTED_VALUE"""),"Colombia")</f>
        <v>Colombia</v>
      </c>
      <c r="D3293">
        <f>IFERROR(__xludf.DUMMYFUNCTION("""COMPUTED_VALUE"""),1963.0)</f>
        <v>1963</v>
      </c>
      <c r="E3293">
        <f>IFERROR(__xludf.DUMMYFUNCTION("""COMPUTED_VALUE"""),1.803355E7)</f>
        <v>18033550</v>
      </c>
    </row>
    <row r="3294">
      <c r="A3294" t="str">
        <f t="shared" si="1"/>
        <v>col#1964</v>
      </c>
      <c r="B3294" t="str">
        <f>IFERROR(__xludf.DUMMYFUNCTION("""COMPUTED_VALUE"""),"col")</f>
        <v>col</v>
      </c>
      <c r="C3294" t="str">
        <f>IFERROR(__xludf.DUMMYFUNCTION("""COMPUTED_VALUE"""),"Colombia")</f>
        <v>Colombia</v>
      </c>
      <c r="D3294">
        <f>IFERROR(__xludf.DUMMYFUNCTION("""COMPUTED_VALUE"""),1964.0)</f>
        <v>1964</v>
      </c>
      <c r="E3294">
        <f>IFERROR(__xludf.DUMMYFUNCTION("""COMPUTED_VALUE"""),1.8581974E7)</f>
        <v>18581974</v>
      </c>
    </row>
    <row r="3295">
      <c r="A3295" t="str">
        <f t="shared" si="1"/>
        <v>col#1965</v>
      </c>
      <c r="B3295" t="str">
        <f>IFERROR(__xludf.DUMMYFUNCTION("""COMPUTED_VALUE"""),"col")</f>
        <v>col</v>
      </c>
      <c r="C3295" t="str">
        <f>IFERROR(__xludf.DUMMYFUNCTION("""COMPUTED_VALUE"""),"Colombia")</f>
        <v>Colombia</v>
      </c>
      <c r="D3295">
        <f>IFERROR(__xludf.DUMMYFUNCTION("""COMPUTED_VALUE"""),1965.0)</f>
        <v>1965</v>
      </c>
      <c r="E3295">
        <f>IFERROR(__xludf.DUMMYFUNCTION("""COMPUTED_VALUE"""),1.9144223E7)</f>
        <v>19144223</v>
      </c>
    </row>
    <row r="3296">
      <c r="A3296" t="str">
        <f t="shared" si="1"/>
        <v>col#1966</v>
      </c>
      <c r="B3296" t="str">
        <f>IFERROR(__xludf.DUMMYFUNCTION("""COMPUTED_VALUE"""),"col")</f>
        <v>col</v>
      </c>
      <c r="C3296" t="str">
        <f>IFERROR(__xludf.DUMMYFUNCTION("""COMPUTED_VALUE"""),"Colombia")</f>
        <v>Colombia</v>
      </c>
      <c r="D3296">
        <f>IFERROR(__xludf.DUMMYFUNCTION("""COMPUTED_VALUE"""),1966.0)</f>
        <v>1966</v>
      </c>
      <c r="E3296">
        <f>IFERROR(__xludf.DUMMYFUNCTION("""COMPUTED_VALUE"""),1.9721462E7)</f>
        <v>19721462</v>
      </c>
    </row>
    <row r="3297">
      <c r="A3297" t="str">
        <f t="shared" si="1"/>
        <v>col#1967</v>
      </c>
      <c r="B3297" t="str">
        <f>IFERROR(__xludf.DUMMYFUNCTION("""COMPUTED_VALUE"""),"col")</f>
        <v>col</v>
      </c>
      <c r="C3297" t="str">
        <f>IFERROR(__xludf.DUMMYFUNCTION("""COMPUTED_VALUE"""),"Colombia")</f>
        <v>Colombia</v>
      </c>
      <c r="D3297">
        <f>IFERROR(__xludf.DUMMYFUNCTION("""COMPUTED_VALUE"""),1967.0)</f>
        <v>1967</v>
      </c>
      <c r="E3297">
        <f>IFERROR(__xludf.DUMMYFUNCTION("""COMPUTED_VALUE"""),2.0311371E7)</f>
        <v>20311371</v>
      </c>
    </row>
    <row r="3298">
      <c r="A3298" t="str">
        <f t="shared" si="1"/>
        <v>col#1968</v>
      </c>
      <c r="B3298" t="str">
        <f>IFERROR(__xludf.DUMMYFUNCTION("""COMPUTED_VALUE"""),"col")</f>
        <v>col</v>
      </c>
      <c r="C3298" t="str">
        <f>IFERROR(__xludf.DUMMYFUNCTION("""COMPUTED_VALUE"""),"Colombia")</f>
        <v>Colombia</v>
      </c>
      <c r="D3298">
        <f>IFERROR(__xludf.DUMMYFUNCTION("""COMPUTED_VALUE"""),1968.0)</f>
        <v>1968</v>
      </c>
      <c r="E3298">
        <f>IFERROR(__xludf.DUMMYFUNCTION("""COMPUTED_VALUE"""),2.0905059E7)</f>
        <v>20905059</v>
      </c>
    </row>
    <row r="3299">
      <c r="A3299" t="str">
        <f t="shared" si="1"/>
        <v>col#1969</v>
      </c>
      <c r="B3299" t="str">
        <f>IFERROR(__xludf.DUMMYFUNCTION("""COMPUTED_VALUE"""),"col")</f>
        <v>col</v>
      </c>
      <c r="C3299" t="str">
        <f>IFERROR(__xludf.DUMMYFUNCTION("""COMPUTED_VALUE"""),"Colombia")</f>
        <v>Colombia</v>
      </c>
      <c r="D3299">
        <f>IFERROR(__xludf.DUMMYFUNCTION("""COMPUTED_VALUE"""),1969.0)</f>
        <v>1969</v>
      </c>
      <c r="E3299">
        <f>IFERROR(__xludf.DUMMYFUNCTION("""COMPUTED_VALUE"""),2.1490945E7)</f>
        <v>21490945</v>
      </c>
    </row>
    <row r="3300">
      <c r="A3300" t="str">
        <f t="shared" si="1"/>
        <v>col#1970</v>
      </c>
      <c r="B3300" t="str">
        <f>IFERROR(__xludf.DUMMYFUNCTION("""COMPUTED_VALUE"""),"col")</f>
        <v>col</v>
      </c>
      <c r="C3300" t="str">
        <f>IFERROR(__xludf.DUMMYFUNCTION("""COMPUTED_VALUE"""),"Colombia")</f>
        <v>Colombia</v>
      </c>
      <c r="D3300">
        <f>IFERROR(__xludf.DUMMYFUNCTION("""COMPUTED_VALUE"""),1970.0)</f>
        <v>1970</v>
      </c>
      <c r="E3300">
        <f>IFERROR(__xludf.DUMMYFUNCTION("""COMPUTED_VALUE"""),2.2061215E7)</f>
        <v>22061215</v>
      </c>
    </row>
    <row r="3301">
      <c r="A3301" t="str">
        <f t="shared" si="1"/>
        <v>col#1971</v>
      </c>
      <c r="B3301" t="str">
        <f>IFERROR(__xludf.DUMMYFUNCTION("""COMPUTED_VALUE"""),"col")</f>
        <v>col</v>
      </c>
      <c r="C3301" t="str">
        <f>IFERROR(__xludf.DUMMYFUNCTION("""COMPUTED_VALUE"""),"Colombia")</f>
        <v>Colombia</v>
      </c>
      <c r="D3301">
        <f>IFERROR(__xludf.DUMMYFUNCTION("""COMPUTED_VALUE"""),1971.0)</f>
        <v>1971</v>
      </c>
      <c r="E3301">
        <f>IFERROR(__xludf.DUMMYFUNCTION("""COMPUTED_VALUE"""),2.2611986E7)</f>
        <v>22611986</v>
      </c>
    </row>
    <row r="3302">
      <c r="A3302" t="str">
        <f t="shared" si="1"/>
        <v>col#1972</v>
      </c>
      <c r="B3302" t="str">
        <f>IFERROR(__xludf.DUMMYFUNCTION("""COMPUTED_VALUE"""),"col")</f>
        <v>col</v>
      </c>
      <c r="C3302" t="str">
        <f>IFERROR(__xludf.DUMMYFUNCTION("""COMPUTED_VALUE"""),"Colombia")</f>
        <v>Colombia</v>
      </c>
      <c r="D3302">
        <f>IFERROR(__xludf.DUMMYFUNCTION("""COMPUTED_VALUE"""),1972.0)</f>
        <v>1972</v>
      </c>
      <c r="E3302">
        <f>IFERROR(__xludf.DUMMYFUNCTION("""COMPUTED_VALUE"""),2.3146803E7)</f>
        <v>23146803</v>
      </c>
    </row>
    <row r="3303">
      <c r="A3303" t="str">
        <f t="shared" si="1"/>
        <v>col#1973</v>
      </c>
      <c r="B3303" t="str">
        <f>IFERROR(__xludf.DUMMYFUNCTION("""COMPUTED_VALUE"""),"col")</f>
        <v>col</v>
      </c>
      <c r="C3303" t="str">
        <f>IFERROR(__xludf.DUMMYFUNCTION("""COMPUTED_VALUE"""),"Colombia")</f>
        <v>Colombia</v>
      </c>
      <c r="D3303">
        <f>IFERROR(__xludf.DUMMYFUNCTION("""COMPUTED_VALUE"""),1973.0)</f>
        <v>1973</v>
      </c>
      <c r="E3303">
        <f>IFERROR(__xludf.DUMMYFUNCTION("""COMPUTED_VALUE"""),2.3674504E7)</f>
        <v>23674504</v>
      </c>
    </row>
    <row r="3304">
      <c r="A3304" t="str">
        <f t="shared" si="1"/>
        <v>col#1974</v>
      </c>
      <c r="B3304" t="str">
        <f>IFERROR(__xludf.DUMMYFUNCTION("""COMPUTED_VALUE"""),"col")</f>
        <v>col</v>
      </c>
      <c r="C3304" t="str">
        <f>IFERROR(__xludf.DUMMYFUNCTION("""COMPUTED_VALUE"""),"Colombia")</f>
        <v>Colombia</v>
      </c>
      <c r="D3304">
        <f>IFERROR(__xludf.DUMMYFUNCTION("""COMPUTED_VALUE"""),1974.0)</f>
        <v>1974</v>
      </c>
      <c r="E3304">
        <f>IFERROR(__xludf.DUMMYFUNCTION("""COMPUTED_VALUE"""),2.4208021E7)</f>
        <v>24208021</v>
      </c>
    </row>
    <row r="3305">
      <c r="A3305" t="str">
        <f t="shared" si="1"/>
        <v>col#1975</v>
      </c>
      <c r="B3305" t="str">
        <f>IFERROR(__xludf.DUMMYFUNCTION("""COMPUTED_VALUE"""),"col")</f>
        <v>col</v>
      </c>
      <c r="C3305" t="str">
        <f>IFERROR(__xludf.DUMMYFUNCTION("""COMPUTED_VALUE"""),"Colombia")</f>
        <v>Colombia</v>
      </c>
      <c r="D3305">
        <f>IFERROR(__xludf.DUMMYFUNCTION("""COMPUTED_VALUE"""),1975.0)</f>
        <v>1975</v>
      </c>
      <c r="E3305">
        <f>IFERROR(__xludf.DUMMYFUNCTION("""COMPUTED_VALUE"""),2.4756973E7)</f>
        <v>24756973</v>
      </c>
    </row>
    <row r="3306">
      <c r="A3306" t="str">
        <f t="shared" si="1"/>
        <v>col#1976</v>
      </c>
      <c r="B3306" t="str">
        <f>IFERROR(__xludf.DUMMYFUNCTION("""COMPUTED_VALUE"""),"col")</f>
        <v>col</v>
      </c>
      <c r="C3306" t="str">
        <f>IFERROR(__xludf.DUMMYFUNCTION("""COMPUTED_VALUE"""),"Colombia")</f>
        <v>Colombia</v>
      </c>
      <c r="D3306">
        <f>IFERROR(__xludf.DUMMYFUNCTION("""COMPUTED_VALUE"""),1976.0)</f>
        <v>1976</v>
      </c>
      <c r="E3306">
        <f>IFERROR(__xludf.DUMMYFUNCTION("""COMPUTED_VALUE"""),2.5323406E7)</f>
        <v>25323406</v>
      </c>
    </row>
    <row r="3307">
      <c r="A3307" t="str">
        <f t="shared" si="1"/>
        <v>col#1977</v>
      </c>
      <c r="B3307" t="str">
        <f>IFERROR(__xludf.DUMMYFUNCTION("""COMPUTED_VALUE"""),"col")</f>
        <v>col</v>
      </c>
      <c r="C3307" t="str">
        <f>IFERROR(__xludf.DUMMYFUNCTION("""COMPUTED_VALUE"""),"Colombia")</f>
        <v>Colombia</v>
      </c>
      <c r="D3307">
        <f>IFERROR(__xludf.DUMMYFUNCTION("""COMPUTED_VALUE"""),1977.0)</f>
        <v>1977</v>
      </c>
      <c r="E3307">
        <f>IFERROR(__xludf.DUMMYFUNCTION("""COMPUTED_VALUE"""),2.5905127E7)</f>
        <v>25905127</v>
      </c>
    </row>
    <row r="3308">
      <c r="A3308" t="str">
        <f t="shared" si="1"/>
        <v>col#1978</v>
      </c>
      <c r="B3308" t="str">
        <f>IFERROR(__xludf.DUMMYFUNCTION("""COMPUTED_VALUE"""),"col")</f>
        <v>col</v>
      </c>
      <c r="C3308" t="str">
        <f>IFERROR(__xludf.DUMMYFUNCTION("""COMPUTED_VALUE"""),"Colombia")</f>
        <v>Colombia</v>
      </c>
      <c r="D3308">
        <f>IFERROR(__xludf.DUMMYFUNCTION("""COMPUTED_VALUE"""),1978.0)</f>
        <v>1978</v>
      </c>
      <c r="E3308">
        <f>IFERROR(__xludf.DUMMYFUNCTION("""COMPUTED_VALUE"""),2.6502166E7)</f>
        <v>26502166</v>
      </c>
    </row>
    <row r="3309">
      <c r="A3309" t="str">
        <f t="shared" si="1"/>
        <v>col#1979</v>
      </c>
      <c r="B3309" t="str">
        <f>IFERROR(__xludf.DUMMYFUNCTION("""COMPUTED_VALUE"""),"col")</f>
        <v>col</v>
      </c>
      <c r="C3309" t="str">
        <f>IFERROR(__xludf.DUMMYFUNCTION("""COMPUTED_VALUE"""),"Colombia")</f>
        <v>Colombia</v>
      </c>
      <c r="D3309">
        <f>IFERROR(__xludf.DUMMYFUNCTION("""COMPUTED_VALUE"""),1979.0)</f>
        <v>1979</v>
      </c>
      <c r="E3309">
        <f>IFERROR(__xludf.DUMMYFUNCTION("""COMPUTED_VALUE"""),2.7113512E7)</f>
        <v>27113512</v>
      </c>
    </row>
    <row r="3310">
      <c r="A3310" t="str">
        <f t="shared" si="1"/>
        <v>col#1980</v>
      </c>
      <c r="B3310" t="str">
        <f>IFERROR(__xludf.DUMMYFUNCTION("""COMPUTED_VALUE"""),"col")</f>
        <v>col</v>
      </c>
      <c r="C3310" t="str">
        <f>IFERROR(__xludf.DUMMYFUNCTION("""COMPUTED_VALUE"""),"Colombia")</f>
        <v>Colombia</v>
      </c>
      <c r="D3310">
        <f>IFERROR(__xludf.DUMMYFUNCTION("""COMPUTED_VALUE"""),1980.0)</f>
        <v>1980</v>
      </c>
      <c r="E3310">
        <f>IFERROR(__xludf.DUMMYFUNCTION("""COMPUTED_VALUE"""),2.77379E7)</f>
        <v>27737900</v>
      </c>
    </row>
    <row r="3311">
      <c r="A3311" t="str">
        <f t="shared" si="1"/>
        <v>col#1981</v>
      </c>
      <c r="B3311" t="str">
        <f>IFERROR(__xludf.DUMMYFUNCTION("""COMPUTED_VALUE"""),"col")</f>
        <v>col</v>
      </c>
      <c r="C3311" t="str">
        <f>IFERROR(__xludf.DUMMYFUNCTION("""COMPUTED_VALUE"""),"Colombia")</f>
        <v>Colombia</v>
      </c>
      <c r="D3311">
        <f>IFERROR(__xludf.DUMMYFUNCTION("""COMPUTED_VALUE"""),1981.0)</f>
        <v>1981</v>
      </c>
      <c r="E3311">
        <f>IFERROR(__xludf.DUMMYFUNCTION("""COMPUTED_VALUE"""),2.8375991E7)</f>
        <v>28375991</v>
      </c>
    </row>
    <row r="3312">
      <c r="A3312" t="str">
        <f t="shared" si="1"/>
        <v>col#1982</v>
      </c>
      <c r="B3312" t="str">
        <f>IFERROR(__xludf.DUMMYFUNCTION("""COMPUTED_VALUE"""),"col")</f>
        <v>col</v>
      </c>
      <c r="C3312" t="str">
        <f>IFERROR(__xludf.DUMMYFUNCTION("""COMPUTED_VALUE"""),"Colombia")</f>
        <v>Colombia</v>
      </c>
      <c r="D3312">
        <f>IFERROR(__xludf.DUMMYFUNCTION("""COMPUTED_VALUE"""),1982.0)</f>
        <v>1982</v>
      </c>
      <c r="E3312">
        <f>IFERROR(__xludf.DUMMYFUNCTION("""COMPUTED_VALUE"""),2.9027162E7)</f>
        <v>29027162</v>
      </c>
    </row>
    <row r="3313">
      <c r="A3313" t="str">
        <f t="shared" si="1"/>
        <v>col#1983</v>
      </c>
      <c r="B3313" t="str">
        <f>IFERROR(__xludf.DUMMYFUNCTION("""COMPUTED_VALUE"""),"col")</f>
        <v>col</v>
      </c>
      <c r="C3313" t="str">
        <f>IFERROR(__xludf.DUMMYFUNCTION("""COMPUTED_VALUE"""),"Colombia")</f>
        <v>Colombia</v>
      </c>
      <c r="D3313">
        <f>IFERROR(__xludf.DUMMYFUNCTION("""COMPUTED_VALUE"""),1983.0)</f>
        <v>1983</v>
      </c>
      <c r="E3313">
        <f>IFERROR(__xludf.DUMMYFUNCTION("""COMPUTED_VALUE"""),2.9687094E7)</f>
        <v>29687094</v>
      </c>
    </row>
    <row r="3314">
      <c r="A3314" t="str">
        <f t="shared" si="1"/>
        <v>col#1984</v>
      </c>
      <c r="B3314" t="str">
        <f>IFERROR(__xludf.DUMMYFUNCTION("""COMPUTED_VALUE"""),"col")</f>
        <v>col</v>
      </c>
      <c r="C3314" t="str">
        <f>IFERROR(__xludf.DUMMYFUNCTION("""COMPUTED_VALUE"""),"Colombia")</f>
        <v>Colombia</v>
      </c>
      <c r="D3314">
        <f>IFERROR(__xludf.DUMMYFUNCTION("""COMPUTED_VALUE"""),1984.0)</f>
        <v>1984</v>
      </c>
      <c r="E3314">
        <f>IFERROR(__xludf.DUMMYFUNCTION("""COMPUTED_VALUE"""),3.0350086E7)</f>
        <v>30350086</v>
      </c>
    </row>
    <row r="3315">
      <c r="A3315" t="str">
        <f t="shared" si="1"/>
        <v>col#1985</v>
      </c>
      <c r="B3315" t="str">
        <f>IFERROR(__xludf.DUMMYFUNCTION("""COMPUTED_VALUE"""),"col")</f>
        <v>col</v>
      </c>
      <c r="C3315" t="str">
        <f>IFERROR(__xludf.DUMMYFUNCTION("""COMPUTED_VALUE"""),"Colombia")</f>
        <v>Colombia</v>
      </c>
      <c r="D3315">
        <f>IFERROR(__xludf.DUMMYFUNCTION("""COMPUTED_VALUE"""),1985.0)</f>
        <v>1985</v>
      </c>
      <c r="E3315">
        <f>IFERROR(__xludf.DUMMYFUNCTION("""COMPUTED_VALUE"""),3.1011688E7)</f>
        <v>31011688</v>
      </c>
    </row>
    <row r="3316">
      <c r="A3316" t="str">
        <f t="shared" si="1"/>
        <v>col#1986</v>
      </c>
      <c r="B3316" t="str">
        <f>IFERROR(__xludf.DUMMYFUNCTION("""COMPUTED_VALUE"""),"col")</f>
        <v>col</v>
      </c>
      <c r="C3316" t="str">
        <f>IFERROR(__xludf.DUMMYFUNCTION("""COMPUTED_VALUE"""),"Colombia")</f>
        <v>Colombia</v>
      </c>
      <c r="D3316">
        <f>IFERROR(__xludf.DUMMYFUNCTION("""COMPUTED_VALUE"""),1986.0)</f>
        <v>1986</v>
      </c>
      <c r="E3316">
        <f>IFERROR(__xludf.DUMMYFUNCTION("""COMPUTED_VALUE"""),3.1669776E7)</f>
        <v>31669776</v>
      </c>
    </row>
    <row r="3317">
      <c r="A3317" t="str">
        <f t="shared" si="1"/>
        <v>col#1987</v>
      </c>
      <c r="B3317" t="str">
        <f>IFERROR(__xludf.DUMMYFUNCTION("""COMPUTED_VALUE"""),"col")</f>
        <v>col</v>
      </c>
      <c r="C3317" t="str">
        <f>IFERROR(__xludf.DUMMYFUNCTION("""COMPUTED_VALUE"""),"Colombia")</f>
        <v>Colombia</v>
      </c>
      <c r="D3317">
        <f>IFERROR(__xludf.DUMMYFUNCTION("""COMPUTED_VALUE"""),1987.0)</f>
        <v>1987</v>
      </c>
      <c r="E3317">
        <f>IFERROR(__xludf.DUMMYFUNCTION("""COMPUTED_VALUE"""),3.2324325E7)</f>
        <v>32324325</v>
      </c>
    </row>
    <row r="3318">
      <c r="A3318" t="str">
        <f t="shared" si="1"/>
        <v>col#1988</v>
      </c>
      <c r="B3318" t="str">
        <f>IFERROR(__xludf.DUMMYFUNCTION("""COMPUTED_VALUE"""),"col")</f>
        <v>col</v>
      </c>
      <c r="C3318" t="str">
        <f>IFERROR(__xludf.DUMMYFUNCTION("""COMPUTED_VALUE"""),"Colombia")</f>
        <v>Colombia</v>
      </c>
      <c r="D3318">
        <f>IFERROR(__xludf.DUMMYFUNCTION("""COMPUTED_VALUE"""),1988.0)</f>
        <v>1988</v>
      </c>
      <c r="E3318">
        <f>IFERROR(__xludf.DUMMYFUNCTION("""COMPUTED_VALUE"""),3.2975535E7)</f>
        <v>32975535</v>
      </c>
    </row>
    <row r="3319">
      <c r="A3319" t="str">
        <f t="shared" si="1"/>
        <v>col#1989</v>
      </c>
      <c r="B3319" t="str">
        <f>IFERROR(__xludf.DUMMYFUNCTION("""COMPUTED_VALUE"""),"col")</f>
        <v>col</v>
      </c>
      <c r="C3319" t="str">
        <f>IFERROR(__xludf.DUMMYFUNCTION("""COMPUTED_VALUE"""),"Colombia")</f>
        <v>Colombia</v>
      </c>
      <c r="D3319">
        <f>IFERROR(__xludf.DUMMYFUNCTION("""COMPUTED_VALUE"""),1989.0)</f>
        <v>1989</v>
      </c>
      <c r="E3319">
        <f>IFERROR(__xludf.DUMMYFUNCTION("""COMPUTED_VALUE"""),3.3624444E7)</f>
        <v>33624444</v>
      </c>
    </row>
    <row r="3320">
      <c r="A3320" t="str">
        <f t="shared" si="1"/>
        <v>col#1990</v>
      </c>
      <c r="B3320" t="str">
        <f>IFERROR(__xludf.DUMMYFUNCTION("""COMPUTED_VALUE"""),"col")</f>
        <v>col</v>
      </c>
      <c r="C3320" t="str">
        <f>IFERROR(__xludf.DUMMYFUNCTION("""COMPUTED_VALUE"""),"Colombia")</f>
        <v>Colombia</v>
      </c>
      <c r="D3320">
        <f>IFERROR(__xludf.DUMMYFUNCTION("""COMPUTED_VALUE"""),1990.0)</f>
        <v>1990</v>
      </c>
      <c r="E3320">
        <f>IFERROR(__xludf.DUMMYFUNCTION("""COMPUTED_VALUE"""),3.4271565E7)</f>
        <v>34271565</v>
      </c>
    </row>
    <row r="3321">
      <c r="A3321" t="str">
        <f t="shared" si="1"/>
        <v>col#1991</v>
      </c>
      <c r="B3321" t="str">
        <f>IFERROR(__xludf.DUMMYFUNCTION("""COMPUTED_VALUE"""),"col")</f>
        <v>col</v>
      </c>
      <c r="C3321" t="str">
        <f>IFERROR(__xludf.DUMMYFUNCTION("""COMPUTED_VALUE"""),"Colombia")</f>
        <v>Colombia</v>
      </c>
      <c r="D3321">
        <f>IFERROR(__xludf.DUMMYFUNCTION("""COMPUTED_VALUE"""),1991.0)</f>
        <v>1991</v>
      </c>
      <c r="E3321">
        <f>IFERROR(__xludf.DUMMYFUNCTION("""COMPUTED_VALUE"""),3.4916766E7)</f>
        <v>34916766</v>
      </c>
    </row>
    <row r="3322">
      <c r="A3322" t="str">
        <f t="shared" si="1"/>
        <v>col#1992</v>
      </c>
      <c r="B3322" t="str">
        <f>IFERROR(__xludf.DUMMYFUNCTION("""COMPUTED_VALUE"""),"col")</f>
        <v>col</v>
      </c>
      <c r="C3322" t="str">
        <f>IFERROR(__xludf.DUMMYFUNCTION("""COMPUTED_VALUE"""),"Colombia")</f>
        <v>Colombia</v>
      </c>
      <c r="D3322">
        <f>IFERROR(__xludf.DUMMYFUNCTION("""COMPUTED_VALUE"""),1992.0)</f>
        <v>1992</v>
      </c>
      <c r="E3322">
        <f>IFERROR(__xludf.DUMMYFUNCTION("""COMPUTED_VALUE"""),3.5558682E7)</f>
        <v>35558682</v>
      </c>
    </row>
    <row r="3323">
      <c r="A3323" t="str">
        <f t="shared" si="1"/>
        <v>col#1993</v>
      </c>
      <c r="B3323" t="str">
        <f>IFERROR(__xludf.DUMMYFUNCTION("""COMPUTED_VALUE"""),"col")</f>
        <v>col</v>
      </c>
      <c r="C3323" t="str">
        <f>IFERROR(__xludf.DUMMYFUNCTION("""COMPUTED_VALUE"""),"Colombia")</f>
        <v>Colombia</v>
      </c>
      <c r="D3323">
        <f>IFERROR(__xludf.DUMMYFUNCTION("""COMPUTED_VALUE"""),1993.0)</f>
        <v>1993</v>
      </c>
      <c r="E3323">
        <f>IFERROR(__xludf.DUMMYFUNCTION("""COMPUTED_VALUE"""),3.6195168E7)</f>
        <v>36195168</v>
      </c>
    </row>
    <row r="3324">
      <c r="A3324" t="str">
        <f t="shared" si="1"/>
        <v>col#1994</v>
      </c>
      <c r="B3324" t="str">
        <f>IFERROR(__xludf.DUMMYFUNCTION("""COMPUTED_VALUE"""),"col")</f>
        <v>col</v>
      </c>
      <c r="C3324" t="str">
        <f>IFERROR(__xludf.DUMMYFUNCTION("""COMPUTED_VALUE"""),"Colombia")</f>
        <v>Colombia</v>
      </c>
      <c r="D3324">
        <f>IFERROR(__xludf.DUMMYFUNCTION("""COMPUTED_VALUE"""),1994.0)</f>
        <v>1994</v>
      </c>
      <c r="E3324">
        <f>IFERROR(__xludf.DUMMYFUNCTION("""COMPUTED_VALUE"""),3.6823537E7)</f>
        <v>36823537</v>
      </c>
    </row>
    <row r="3325">
      <c r="A3325" t="str">
        <f t="shared" si="1"/>
        <v>col#1995</v>
      </c>
      <c r="B3325" t="str">
        <f>IFERROR(__xludf.DUMMYFUNCTION("""COMPUTED_VALUE"""),"col")</f>
        <v>col</v>
      </c>
      <c r="C3325" t="str">
        <f>IFERROR(__xludf.DUMMYFUNCTION("""COMPUTED_VALUE"""),"Colombia")</f>
        <v>Colombia</v>
      </c>
      <c r="D3325">
        <f>IFERROR(__xludf.DUMMYFUNCTION("""COMPUTED_VALUE"""),1995.0)</f>
        <v>1995</v>
      </c>
      <c r="E3325">
        <f>IFERROR(__xludf.DUMMYFUNCTION("""COMPUTED_VALUE"""),3.7441977E7)</f>
        <v>37441977</v>
      </c>
    </row>
    <row r="3326">
      <c r="A3326" t="str">
        <f t="shared" si="1"/>
        <v>col#1996</v>
      </c>
      <c r="B3326" t="str">
        <f>IFERROR(__xludf.DUMMYFUNCTION("""COMPUTED_VALUE"""),"col")</f>
        <v>col</v>
      </c>
      <c r="C3326" t="str">
        <f>IFERROR(__xludf.DUMMYFUNCTION("""COMPUTED_VALUE"""),"Colombia")</f>
        <v>Colombia</v>
      </c>
      <c r="D3326">
        <f>IFERROR(__xludf.DUMMYFUNCTION("""COMPUTED_VALUE"""),1996.0)</f>
        <v>1996</v>
      </c>
      <c r="E3326">
        <f>IFERROR(__xludf.DUMMYFUNCTION("""COMPUTED_VALUE"""),3.8049038E7)</f>
        <v>38049038</v>
      </c>
    </row>
    <row r="3327">
      <c r="A3327" t="str">
        <f t="shared" si="1"/>
        <v>col#1997</v>
      </c>
      <c r="B3327" t="str">
        <f>IFERROR(__xludf.DUMMYFUNCTION("""COMPUTED_VALUE"""),"col")</f>
        <v>col</v>
      </c>
      <c r="C3327" t="str">
        <f>IFERROR(__xludf.DUMMYFUNCTION("""COMPUTED_VALUE"""),"Colombia")</f>
        <v>Colombia</v>
      </c>
      <c r="D3327">
        <f>IFERROR(__xludf.DUMMYFUNCTION("""COMPUTED_VALUE"""),1997.0)</f>
        <v>1997</v>
      </c>
      <c r="E3327">
        <f>IFERROR(__xludf.DUMMYFUNCTION("""COMPUTED_VALUE"""),3.8645411E7)</f>
        <v>38645411</v>
      </c>
    </row>
    <row r="3328">
      <c r="A3328" t="str">
        <f t="shared" si="1"/>
        <v>col#1998</v>
      </c>
      <c r="B3328" t="str">
        <f>IFERROR(__xludf.DUMMYFUNCTION("""COMPUTED_VALUE"""),"col")</f>
        <v>col</v>
      </c>
      <c r="C3328" t="str">
        <f>IFERROR(__xludf.DUMMYFUNCTION("""COMPUTED_VALUE"""),"Colombia")</f>
        <v>Colombia</v>
      </c>
      <c r="D3328">
        <f>IFERROR(__xludf.DUMMYFUNCTION("""COMPUTED_VALUE"""),1998.0)</f>
        <v>1998</v>
      </c>
      <c r="E3328">
        <f>IFERROR(__xludf.DUMMYFUNCTION("""COMPUTED_VALUE"""),3.9234062E7)</f>
        <v>39234062</v>
      </c>
    </row>
    <row r="3329">
      <c r="A3329" t="str">
        <f t="shared" si="1"/>
        <v>col#1999</v>
      </c>
      <c r="B3329" t="str">
        <f>IFERROR(__xludf.DUMMYFUNCTION("""COMPUTED_VALUE"""),"col")</f>
        <v>col</v>
      </c>
      <c r="C3329" t="str">
        <f>IFERROR(__xludf.DUMMYFUNCTION("""COMPUTED_VALUE"""),"Colombia")</f>
        <v>Colombia</v>
      </c>
      <c r="D3329">
        <f>IFERROR(__xludf.DUMMYFUNCTION("""COMPUTED_VALUE"""),1999.0)</f>
        <v>1999</v>
      </c>
      <c r="E3329">
        <f>IFERROR(__xludf.DUMMYFUNCTION("""COMPUTED_VALUE"""),3.9819279E7)</f>
        <v>39819279</v>
      </c>
    </row>
    <row r="3330">
      <c r="A3330" t="str">
        <f t="shared" si="1"/>
        <v>col#2000</v>
      </c>
      <c r="B3330" t="str">
        <f>IFERROR(__xludf.DUMMYFUNCTION("""COMPUTED_VALUE"""),"col")</f>
        <v>col</v>
      </c>
      <c r="C3330" t="str">
        <f>IFERROR(__xludf.DUMMYFUNCTION("""COMPUTED_VALUE"""),"Colombia")</f>
        <v>Colombia</v>
      </c>
      <c r="D3330">
        <f>IFERROR(__xludf.DUMMYFUNCTION("""COMPUTED_VALUE"""),2000.0)</f>
        <v>2000</v>
      </c>
      <c r="E3330">
        <f>IFERROR(__xludf.DUMMYFUNCTION("""COMPUTED_VALUE"""),4.0403958E7)</f>
        <v>40403958</v>
      </c>
    </row>
    <row r="3331">
      <c r="A3331" t="str">
        <f t="shared" si="1"/>
        <v>col#2001</v>
      </c>
      <c r="B3331" t="str">
        <f>IFERROR(__xludf.DUMMYFUNCTION("""COMPUTED_VALUE"""),"col")</f>
        <v>col</v>
      </c>
      <c r="C3331" t="str">
        <f>IFERROR(__xludf.DUMMYFUNCTION("""COMPUTED_VALUE"""),"Colombia")</f>
        <v>Colombia</v>
      </c>
      <c r="D3331">
        <f>IFERROR(__xludf.DUMMYFUNCTION("""COMPUTED_VALUE"""),2001.0)</f>
        <v>2001</v>
      </c>
      <c r="E3331">
        <f>IFERROR(__xludf.DUMMYFUNCTION("""COMPUTED_VALUE"""),4.0988909E7)</f>
        <v>40988909</v>
      </c>
    </row>
    <row r="3332">
      <c r="A3332" t="str">
        <f t="shared" si="1"/>
        <v>col#2002</v>
      </c>
      <c r="B3332" t="str">
        <f>IFERROR(__xludf.DUMMYFUNCTION("""COMPUTED_VALUE"""),"col")</f>
        <v>col</v>
      </c>
      <c r="C3332" t="str">
        <f>IFERROR(__xludf.DUMMYFUNCTION("""COMPUTED_VALUE"""),"Colombia")</f>
        <v>Colombia</v>
      </c>
      <c r="D3332">
        <f>IFERROR(__xludf.DUMMYFUNCTION("""COMPUTED_VALUE"""),2002.0)</f>
        <v>2002</v>
      </c>
      <c r="E3332">
        <f>IFERROR(__xludf.DUMMYFUNCTION("""COMPUTED_VALUE"""),4.1572491E7)</f>
        <v>41572491</v>
      </c>
    </row>
    <row r="3333">
      <c r="A3333" t="str">
        <f t="shared" si="1"/>
        <v>col#2003</v>
      </c>
      <c r="B3333" t="str">
        <f>IFERROR(__xludf.DUMMYFUNCTION("""COMPUTED_VALUE"""),"col")</f>
        <v>col</v>
      </c>
      <c r="C3333" t="str">
        <f>IFERROR(__xludf.DUMMYFUNCTION("""COMPUTED_VALUE"""),"Colombia")</f>
        <v>Colombia</v>
      </c>
      <c r="D3333">
        <f>IFERROR(__xludf.DUMMYFUNCTION("""COMPUTED_VALUE"""),2003.0)</f>
        <v>2003</v>
      </c>
      <c r="E3333">
        <f>IFERROR(__xludf.DUMMYFUNCTION("""COMPUTED_VALUE"""),4.2152151E7)</f>
        <v>42152151</v>
      </c>
    </row>
    <row r="3334">
      <c r="A3334" t="str">
        <f t="shared" si="1"/>
        <v>col#2004</v>
      </c>
      <c r="B3334" t="str">
        <f>IFERROR(__xludf.DUMMYFUNCTION("""COMPUTED_VALUE"""),"col")</f>
        <v>col</v>
      </c>
      <c r="C3334" t="str">
        <f>IFERROR(__xludf.DUMMYFUNCTION("""COMPUTED_VALUE"""),"Colombia")</f>
        <v>Colombia</v>
      </c>
      <c r="D3334">
        <f>IFERROR(__xludf.DUMMYFUNCTION("""COMPUTED_VALUE"""),2004.0)</f>
        <v>2004</v>
      </c>
      <c r="E3334">
        <f>IFERROR(__xludf.DUMMYFUNCTION("""COMPUTED_VALUE"""),4.2724163E7)</f>
        <v>42724163</v>
      </c>
    </row>
    <row r="3335">
      <c r="A3335" t="str">
        <f t="shared" si="1"/>
        <v>col#2005</v>
      </c>
      <c r="B3335" t="str">
        <f>IFERROR(__xludf.DUMMYFUNCTION("""COMPUTED_VALUE"""),"col")</f>
        <v>col</v>
      </c>
      <c r="C3335" t="str">
        <f>IFERROR(__xludf.DUMMYFUNCTION("""COMPUTED_VALUE"""),"Colombia")</f>
        <v>Colombia</v>
      </c>
      <c r="D3335">
        <f>IFERROR(__xludf.DUMMYFUNCTION("""COMPUTED_VALUE"""),2005.0)</f>
        <v>2005</v>
      </c>
      <c r="E3335">
        <f>IFERROR(__xludf.DUMMYFUNCTION("""COMPUTED_VALUE"""),4.3285634E7)</f>
        <v>43285634</v>
      </c>
    </row>
    <row r="3336">
      <c r="A3336" t="str">
        <f t="shared" si="1"/>
        <v>col#2006</v>
      </c>
      <c r="B3336" t="str">
        <f>IFERROR(__xludf.DUMMYFUNCTION("""COMPUTED_VALUE"""),"col")</f>
        <v>col</v>
      </c>
      <c r="C3336" t="str">
        <f>IFERROR(__xludf.DUMMYFUNCTION("""COMPUTED_VALUE"""),"Colombia")</f>
        <v>Colombia</v>
      </c>
      <c r="D3336">
        <f>IFERROR(__xludf.DUMMYFUNCTION("""COMPUTED_VALUE"""),2006.0)</f>
        <v>2006</v>
      </c>
      <c r="E3336">
        <f>IFERROR(__xludf.DUMMYFUNCTION("""COMPUTED_VALUE"""),4.3835722E7)</f>
        <v>43835722</v>
      </c>
    </row>
    <row r="3337">
      <c r="A3337" t="str">
        <f t="shared" si="1"/>
        <v>col#2007</v>
      </c>
      <c r="B3337" t="str">
        <f>IFERROR(__xludf.DUMMYFUNCTION("""COMPUTED_VALUE"""),"col")</f>
        <v>col</v>
      </c>
      <c r="C3337" t="str">
        <f>IFERROR(__xludf.DUMMYFUNCTION("""COMPUTED_VALUE"""),"Colombia")</f>
        <v>Colombia</v>
      </c>
      <c r="D3337">
        <f>IFERROR(__xludf.DUMMYFUNCTION("""COMPUTED_VALUE"""),2007.0)</f>
        <v>2007</v>
      </c>
      <c r="E3337">
        <f>IFERROR(__xludf.DUMMYFUNCTION("""COMPUTED_VALUE"""),4.4374572E7)</f>
        <v>44374572</v>
      </c>
    </row>
    <row r="3338">
      <c r="A3338" t="str">
        <f t="shared" si="1"/>
        <v>col#2008</v>
      </c>
      <c r="B3338" t="str">
        <f>IFERROR(__xludf.DUMMYFUNCTION("""COMPUTED_VALUE"""),"col")</f>
        <v>col</v>
      </c>
      <c r="C3338" t="str">
        <f>IFERROR(__xludf.DUMMYFUNCTION("""COMPUTED_VALUE"""),"Colombia")</f>
        <v>Colombia</v>
      </c>
      <c r="D3338">
        <f>IFERROR(__xludf.DUMMYFUNCTION("""COMPUTED_VALUE"""),2008.0)</f>
        <v>2008</v>
      </c>
      <c r="E3338">
        <f>IFERROR(__xludf.DUMMYFUNCTION("""COMPUTED_VALUE"""),4.4901544E7)</f>
        <v>44901544</v>
      </c>
    </row>
    <row r="3339">
      <c r="A3339" t="str">
        <f t="shared" si="1"/>
        <v>col#2009</v>
      </c>
      <c r="B3339" t="str">
        <f>IFERROR(__xludf.DUMMYFUNCTION("""COMPUTED_VALUE"""),"col")</f>
        <v>col</v>
      </c>
      <c r="C3339" t="str">
        <f>IFERROR(__xludf.DUMMYFUNCTION("""COMPUTED_VALUE"""),"Colombia")</f>
        <v>Colombia</v>
      </c>
      <c r="D3339">
        <f>IFERROR(__xludf.DUMMYFUNCTION("""COMPUTED_VALUE"""),2009.0)</f>
        <v>2009</v>
      </c>
      <c r="E3339">
        <f>IFERROR(__xludf.DUMMYFUNCTION("""COMPUTED_VALUE"""),4.5416181E7)</f>
        <v>45416181</v>
      </c>
    </row>
    <row r="3340">
      <c r="A3340" t="str">
        <f t="shared" si="1"/>
        <v>col#2010</v>
      </c>
      <c r="B3340" t="str">
        <f>IFERROR(__xludf.DUMMYFUNCTION("""COMPUTED_VALUE"""),"col")</f>
        <v>col</v>
      </c>
      <c r="C3340" t="str">
        <f>IFERROR(__xludf.DUMMYFUNCTION("""COMPUTED_VALUE"""),"Colombia")</f>
        <v>Colombia</v>
      </c>
      <c r="D3340">
        <f>IFERROR(__xludf.DUMMYFUNCTION("""COMPUTED_VALUE"""),2010.0)</f>
        <v>2010</v>
      </c>
      <c r="E3340">
        <f>IFERROR(__xludf.DUMMYFUNCTION("""COMPUTED_VALUE"""),4.5918097E7)</f>
        <v>45918097</v>
      </c>
    </row>
    <row r="3341">
      <c r="A3341" t="str">
        <f t="shared" si="1"/>
        <v>col#2011</v>
      </c>
      <c r="B3341" t="str">
        <f>IFERROR(__xludf.DUMMYFUNCTION("""COMPUTED_VALUE"""),"col")</f>
        <v>col</v>
      </c>
      <c r="C3341" t="str">
        <f>IFERROR(__xludf.DUMMYFUNCTION("""COMPUTED_VALUE"""),"Colombia")</f>
        <v>Colombia</v>
      </c>
      <c r="D3341">
        <f>IFERROR(__xludf.DUMMYFUNCTION("""COMPUTED_VALUE"""),2011.0)</f>
        <v>2011</v>
      </c>
      <c r="E3341">
        <f>IFERROR(__xludf.DUMMYFUNCTION("""COMPUTED_VALUE"""),4.6406646E7)</f>
        <v>46406646</v>
      </c>
    </row>
    <row r="3342">
      <c r="A3342" t="str">
        <f t="shared" si="1"/>
        <v>col#2012</v>
      </c>
      <c r="B3342" t="str">
        <f>IFERROR(__xludf.DUMMYFUNCTION("""COMPUTED_VALUE"""),"col")</f>
        <v>col</v>
      </c>
      <c r="C3342" t="str">
        <f>IFERROR(__xludf.DUMMYFUNCTION("""COMPUTED_VALUE"""),"Colombia")</f>
        <v>Colombia</v>
      </c>
      <c r="D3342">
        <f>IFERROR(__xludf.DUMMYFUNCTION("""COMPUTED_VALUE"""),2012.0)</f>
        <v>2012</v>
      </c>
      <c r="E3342">
        <f>IFERROR(__xludf.DUMMYFUNCTION("""COMPUTED_VALUE"""),4.6881475E7)</f>
        <v>46881475</v>
      </c>
    </row>
    <row r="3343">
      <c r="A3343" t="str">
        <f t="shared" si="1"/>
        <v>col#2013</v>
      </c>
      <c r="B3343" t="str">
        <f>IFERROR(__xludf.DUMMYFUNCTION("""COMPUTED_VALUE"""),"col")</f>
        <v>col</v>
      </c>
      <c r="C3343" t="str">
        <f>IFERROR(__xludf.DUMMYFUNCTION("""COMPUTED_VALUE"""),"Colombia")</f>
        <v>Colombia</v>
      </c>
      <c r="D3343">
        <f>IFERROR(__xludf.DUMMYFUNCTION("""COMPUTED_VALUE"""),2013.0)</f>
        <v>2013</v>
      </c>
      <c r="E3343">
        <f>IFERROR(__xludf.DUMMYFUNCTION("""COMPUTED_VALUE"""),4.7342981E7)</f>
        <v>47342981</v>
      </c>
    </row>
    <row r="3344">
      <c r="A3344" t="str">
        <f t="shared" si="1"/>
        <v>col#2014</v>
      </c>
      <c r="B3344" t="str">
        <f>IFERROR(__xludf.DUMMYFUNCTION("""COMPUTED_VALUE"""),"col")</f>
        <v>col</v>
      </c>
      <c r="C3344" t="str">
        <f>IFERROR(__xludf.DUMMYFUNCTION("""COMPUTED_VALUE"""),"Colombia")</f>
        <v>Colombia</v>
      </c>
      <c r="D3344">
        <f>IFERROR(__xludf.DUMMYFUNCTION("""COMPUTED_VALUE"""),2014.0)</f>
        <v>2014</v>
      </c>
      <c r="E3344">
        <f>IFERROR(__xludf.DUMMYFUNCTION("""COMPUTED_VALUE"""),4.7791911E7)</f>
        <v>47791911</v>
      </c>
    </row>
    <row r="3345">
      <c r="A3345" t="str">
        <f t="shared" si="1"/>
        <v>col#2015</v>
      </c>
      <c r="B3345" t="str">
        <f>IFERROR(__xludf.DUMMYFUNCTION("""COMPUTED_VALUE"""),"col")</f>
        <v>col</v>
      </c>
      <c r="C3345" t="str">
        <f>IFERROR(__xludf.DUMMYFUNCTION("""COMPUTED_VALUE"""),"Colombia")</f>
        <v>Colombia</v>
      </c>
      <c r="D3345">
        <f>IFERROR(__xludf.DUMMYFUNCTION("""COMPUTED_VALUE"""),2015.0)</f>
        <v>2015</v>
      </c>
      <c r="E3345">
        <f>IFERROR(__xludf.DUMMYFUNCTION("""COMPUTED_VALUE"""),4.8228697E7)</f>
        <v>48228697</v>
      </c>
    </row>
    <row r="3346">
      <c r="A3346" t="str">
        <f t="shared" si="1"/>
        <v>col#2016</v>
      </c>
      <c r="B3346" t="str">
        <f>IFERROR(__xludf.DUMMYFUNCTION("""COMPUTED_VALUE"""),"col")</f>
        <v>col</v>
      </c>
      <c r="C3346" t="str">
        <f>IFERROR(__xludf.DUMMYFUNCTION("""COMPUTED_VALUE"""),"Colombia")</f>
        <v>Colombia</v>
      </c>
      <c r="D3346">
        <f>IFERROR(__xludf.DUMMYFUNCTION("""COMPUTED_VALUE"""),2016.0)</f>
        <v>2016</v>
      </c>
      <c r="E3346">
        <f>IFERROR(__xludf.DUMMYFUNCTION("""COMPUTED_VALUE"""),4.8653419E7)</f>
        <v>48653419</v>
      </c>
    </row>
    <row r="3347">
      <c r="A3347" t="str">
        <f t="shared" si="1"/>
        <v>col#2017</v>
      </c>
      <c r="B3347" t="str">
        <f>IFERROR(__xludf.DUMMYFUNCTION("""COMPUTED_VALUE"""),"col")</f>
        <v>col</v>
      </c>
      <c r="C3347" t="str">
        <f>IFERROR(__xludf.DUMMYFUNCTION("""COMPUTED_VALUE"""),"Colombia")</f>
        <v>Colombia</v>
      </c>
      <c r="D3347">
        <f>IFERROR(__xludf.DUMMYFUNCTION("""COMPUTED_VALUE"""),2017.0)</f>
        <v>2017</v>
      </c>
      <c r="E3347">
        <f>IFERROR(__xludf.DUMMYFUNCTION("""COMPUTED_VALUE"""),4.9065615E7)</f>
        <v>49065615</v>
      </c>
    </row>
    <row r="3348">
      <c r="A3348" t="str">
        <f t="shared" si="1"/>
        <v>col#2018</v>
      </c>
      <c r="B3348" t="str">
        <f>IFERROR(__xludf.DUMMYFUNCTION("""COMPUTED_VALUE"""),"col")</f>
        <v>col</v>
      </c>
      <c r="C3348" t="str">
        <f>IFERROR(__xludf.DUMMYFUNCTION("""COMPUTED_VALUE"""),"Colombia")</f>
        <v>Colombia</v>
      </c>
      <c r="D3348">
        <f>IFERROR(__xludf.DUMMYFUNCTION("""COMPUTED_VALUE"""),2018.0)</f>
        <v>2018</v>
      </c>
      <c r="E3348">
        <f>IFERROR(__xludf.DUMMYFUNCTION("""COMPUTED_VALUE"""),4.9464683E7)</f>
        <v>49464683</v>
      </c>
    </row>
    <row r="3349">
      <c r="A3349" t="str">
        <f t="shared" si="1"/>
        <v>col#2019</v>
      </c>
      <c r="B3349" t="str">
        <f>IFERROR(__xludf.DUMMYFUNCTION("""COMPUTED_VALUE"""),"col")</f>
        <v>col</v>
      </c>
      <c r="C3349" t="str">
        <f>IFERROR(__xludf.DUMMYFUNCTION("""COMPUTED_VALUE"""),"Colombia")</f>
        <v>Colombia</v>
      </c>
      <c r="D3349">
        <f>IFERROR(__xludf.DUMMYFUNCTION("""COMPUTED_VALUE"""),2019.0)</f>
        <v>2019</v>
      </c>
      <c r="E3349">
        <f>IFERROR(__xludf.DUMMYFUNCTION("""COMPUTED_VALUE"""),4.9849818E7)</f>
        <v>49849818</v>
      </c>
    </row>
    <row r="3350">
      <c r="A3350" t="str">
        <f t="shared" si="1"/>
        <v>col#2020</v>
      </c>
      <c r="B3350" t="str">
        <f>IFERROR(__xludf.DUMMYFUNCTION("""COMPUTED_VALUE"""),"col")</f>
        <v>col</v>
      </c>
      <c r="C3350" t="str">
        <f>IFERROR(__xludf.DUMMYFUNCTION("""COMPUTED_VALUE"""),"Colombia")</f>
        <v>Colombia</v>
      </c>
      <c r="D3350">
        <f>IFERROR(__xludf.DUMMYFUNCTION("""COMPUTED_VALUE"""),2020.0)</f>
        <v>2020</v>
      </c>
      <c r="E3350">
        <f>IFERROR(__xludf.DUMMYFUNCTION("""COMPUTED_VALUE"""),5.0220412E7)</f>
        <v>50220412</v>
      </c>
    </row>
    <row r="3351">
      <c r="A3351" t="str">
        <f t="shared" si="1"/>
        <v>col#2021</v>
      </c>
      <c r="B3351" t="str">
        <f>IFERROR(__xludf.DUMMYFUNCTION("""COMPUTED_VALUE"""),"col")</f>
        <v>col</v>
      </c>
      <c r="C3351" t="str">
        <f>IFERROR(__xludf.DUMMYFUNCTION("""COMPUTED_VALUE"""),"Colombia")</f>
        <v>Colombia</v>
      </c>
      <c r="D3351">
        <f>IFERROR(__xludf.DUMMYFUNCTION("""COMPUTED_VALUE"""),2021.0)</f>
        <v>2021</v>
      </c>
      <c r="E3351">
        <f>IFERROR(__xludf.DUMMYFUNCTION("""COMPUTED_VALUE"""),5.0576195E7)</f>
        <v>50576195</v>
      </c>
    </row>
    <row r="3352">
      <c r="A3352" t="str">
        <f t="shared" si="1"/>
        <v>col#2022</v>
      </c>
      <c r="B3352" t="str">
        <f>IFERROR(__xludf.DUMMYFUNCTION("""COMPUTED_VALUE"""),"col")</f>
        <v>col</v>
      </c>
      <c r="C3352" t="str">
        <f>IFERROR(__xludf.DUMMYFUNCTION("""COMPUTED_VALUE"""),"Colombia")</f>
        <v>Colombia</v>
      </c>
      <c r="D3352">
        <f>IFERROR(__xludf.DUMMYFUNCTION("""COMPUTED_VALUE"""),2022.0)</f>
        <v>2022</v>
      </c>
      <c r="E3352">
        <f>IFERROR(__xludf.DUMMYFUNCTION("""COMPUTED_VALUE"""),5.0917275E7)</f>
        <v>50917275</v>
      </c>
    </row>
    <row r="3353">
      <c r="A3353" t="str">
        <f t="shared" si="1"/>
        <v>col#2023</v>
      </c>
      <c r="B3353" t="str">
        <f>IFERROR(__xludf.DUMMYFUNCTION("""COMPUTED_VALUE"""),"col")</f>
        <v>col</v>
      </c>
      <c r="C3353" t="str">
        <f>IFERROR(__xludf.DUMMYFUNCTION("""COMPUTED_VALUE"""),"Colombia")</f>
        <v>Colombia</v>
      </c>
      <c r="D3353">
        <f>IFERROR(__xludf.DUMMYFUNCTION("""COMPUTED_VALUE"""),2023.0)</f>
        <v>2023</v>
      </c>
      <c r="E3353">
        <f>IFERROR(__xludf.DUMMYFUNCTION("""COMPUTED_VALUE"""),5.1243819E7)</f>
        <v>51243819</v>
      </c>
    </row>
    <row r="3354">
      <c r="A3354" t="str">
        <f t="shared" si="1"/>
        <v>col#2024</v>
      </c>
      <c r="B3354" t="str">
        <f>IFERROR(__xludf.DUMMYFUNCTION("""COMPUTED_VALUE"""),"col")</f>
        <v>col</v>
      </c>
      <c r="C3354" t="str">
        <f>IFERROR(__xludf.DUMMYFUNCTION("""COMPUTED_VALUE"""),"Colombia")</f>
        <v>Colombia</v>
      </c>
      <c r="D3354">
        <f>IFERROR(__xludf.DUMMYFUNCTION("""COMPUTED_VALUE"""),2024.0)</f>
        <v>2024</v>
      </c>
      <c r="E3354">
        <f>IFERROR(__xludf.DUMMYFUNCTION("""COMPUTED_VALUE"""),5.1556137E7)</f>
        <v>51556137</v>
      </c>
    </row>
    <row r="3355">
      <c r="A3355" t="str">
        <f t="shared" si="1"/>
        <v>col#2025</v>
      </c>
      <c r="B3355" t="str">
        <f>IFERROR(__xludf.DUMMYFUNCTION("""COMPUTED_VALUE"""),"col")</f>
        <v>col</v>
      </c>
      <c r="C3355" t="str">
        <f>IFERROR(__xludf.DUMMYFUNCTION("""COMPUTED_VALUE"""),"Colombia")</f>
        <v>Colombia</v>
      </c>
      <c r="D3355">
        <f>IFERROR(__xludf.DUMMYFUNCTION("""COMPUTED_VALUE"""),2025.0)</f>
        <v>2025</v>
      </c>
      <c r="E3355">
        <f>IFERROR(__xludf.DUMMYFUNCTION("""COMPUTED_VALUE"""),5.1854482E7)</f>
        <v>51854482</v>
      </c>
    </row>
    <row r="3356">
      <c r="A3356" t="str">
        <f t="shared" si="1"/>
        <v>col#2026</v>
      </c>
      <c r="B3356" t="str">
        <f>IFERROR(__xludf.DUMMYFUNCTION("""COMPUTED_VALUE"""),"col")</f>
        <v>col</v>
      </c>
      <c r="C3356" t="str">
        <f>IFERROR(__xludf.DUMMYFUNCTION("""COMPUTED_VALUE"""),"Colombia")</f>
        <v>Colombia</v>
      </c>
      <c r="D3356">
        <f>IFERROR(__xludf.DUMMYFUNCTION("""COMPUTED_VALUE"""),2026.0)</f>
        <v>2026</v>
      </c>
      <c r="E3356">
        <f>IFERROR(__xludf.DUMMYFUNCTION("""COMPUTED_VALUE"""),5.2138832E7)</f>
        <v>52138832</v>
      </c>
    </row>
    <row r="3357">
      <c r="A3357" t="str">
        <f t="shared" si="1"/>
        <v>col#2027</v>
      </c>
      <c r="B3357" t="str">
        <f>IFERROR(__xludf.DUMMYFUNCTION("""COMPUTED_VALUE"""),"col")</f>
        <v>col</v>
      </c>
      <c r="C3357" t="str">
        <f>IFERROR(__xludf.DUMMYFUNCTION("""COMPUTED_VALUE"""),"Colombia")</f>
        <v>Colombia</v>
      </c>
      <c r="D3357">
        <f>IFERROR(__xludf.DUMMYFUNCTION("""COMPUTED_VALUE"""),2027.0)</f>
        <v>2027</v>
      </c>
      <c r="E3357">
        <f>IFERROR(__xludf.DUMMYFUNCTION("""COMPUTED_VALUE"""),5.2409061E7)</f>
        <v>52409061</v>
      </c>
    </row>
    <row r="3358">
      <c r="A3358" t="str">
        <f t="shared" si="1"/>
        <v>col#2028</v>
      </c>
      <c r="B3358" t="str">
        <f>IFERROR(__xludf.DUMMYFUNCTION("""COMPUTED_VALUE"""),"col")</f>
        <v>col</v>
      </c>
      <c r="C3358" t="str">
        <f>IFERROR(__xludf.DUMMYFUNCTION("""COMPUTED_VALUE"""),"Colombia")</f>
        <v>Colombia</v>
      </c>
      <c r="D3358">
        <f>IFERROR(__xludf.DUMMYFUNCTION("""COMPUTED_VALUE"""),2028.0)</f>
        <v>2028</v>
      </c>
      <c r="E3358">
        <f>IFERROR(__xludf.DUMMYFUNCTION("""COMPUTED_VALUE"""),5.2665091E7)</f>
        <v>52665091</v>
      </c>
    </row>
    <row r="3359">
      <c r="A3359" t="str">
        <f t="shared" si="1"/>
        <v>col#2029</v>
      </c>
      <c r="B3359" t="str">
        <f>IFERROR(__xludf.DUMMYFUNCTION("""COMPUTED_VALUE"""),"col")</f>
        <v>col</v>
      </c>
      <c r="C3359" t="str">
        <f>IFERROR(__xludf.DUMMYFUNCTION("""COMPUTED_VALUE"""),"Colombia")</f>
        <v>Colombia</v>
      </c>
      <c r="D3359">
        <f>IFERROR(__xludf.DUMMYFUNCTION("""COMPUTED_VALUE"""),2029.0)</f>
        <v>2029</v>
      </c>
      <c r="E3359">
        <f>IFERROR(__xludf.DUMMYFUNCTION("""COMPUTED_VALUE"""),5.2906801E7)</f>
        <v>52906801</v>
      </c>
    </row>
    <row r="3360">
      <c r="A3360" t="str">
        <f t="shared" si="1"/>
        <v>col#2030</v>
      </c>
      <c r="B3360" t="str">
        <f>IFERROR(__xludf.DUMMYFUNCTION("""COMPUTED_VALUE"""),"col")</f>
        <v>col</v>
      </c>
      <c r="C3360" t="str">
        <f>IFERROR(__xludf.DUMMYFUNCTION("""COMPUTED_VALUE"""),"Colombia")</f>
        <v>Colombia</v>
      </c>
      <c r="D3360">
        <f>IFERROR(__xludf.DUMMYFUNCTION("""COMPUTED_VALUE"""),2030.0)</f>
        <v>2030</v>
      </c>
      <c r="E3360">
        <f>IFERROR(__xludf.DUMMYFUNCTION("""COMPUTED_VALUE"""),5.3134127E7)</f>
        <v>53134127</v>
      </c>
    </row>
    <row r="3361">
      <c r="A3361" t="str">
        <f t="shared" si="1"/>
        <v>col#2031</v>
      </c>
      <c r="B3361" t="str">
        <f>IFERROR(__xludf.DUMMYFUNCTION("""COMPUTED_VALUE"""),"col")</f>
        <v>col</v>
      </c>
      <c r="C3361" t="str">
        <f>IFERROR(__xludf.DUMMYFUNCTION("""COMPUTED_VALUE"""),"Colombia")</f>
        <v>Colombia</v>
      </c>
      <c r="D3361">
        <f>IFERROR(__xludf.DUMMYFUNCTION("""COMPUTED_VALUE"""),2031.0)</f>
        <v>2031</v>
      </c>
      <c r="E3361">
        <f>IFERROR(__xludf.DUMMYFUNCTION("""COMPUTED_VALUE"""),5.3347083E7)</f>
        <v>53347083</v>
      </c>
    </row>
    <row r="3362">
      <c r="A3362" t="str">
        <f t="shared" si="1"/>
        <v>col#2032</v>
      </c>
      <c r="B3362" t="str">
        <f>IFERROR(__xludf.DUMMYFUNCTION("""COMPUTED_VALUE"""),"col")</f>
        <v>col</v>
      </c>
      <c r="C3362" t="str">
        <f>IFERROR(__xludf.DUMMYFUNCTION("""COMPUTED_VALUE"""),"Colombia")</f>
        <v>Colombia</v>
      </c>
      <c r="D3362">
        <f>IFERROR(__xludf.DUMMYFUNCTION("""COMPUTED_VALUE"""),2032.0)</f>
        <v>2032</v>
      </c>
      <c r="E3362">
        <f>IFERROR(__xludf.DUMMYFUNCTION("""COMPUTED_VALUE"""),5.3545678E7)</f>
        <v>53545678</v>
      </c>
    </row>
    <row r="3363">
      <c r="A3363" t="str">
        <f t="shared" si="1"/>
        <v>col#2033</v>
      </c>
      <c r="B3363" t="str">
        <f>IFERROR(__xludf.DUMMYFUNCTION("""COMPUTED_VALUE"""),"col")</f>
        <v>col</v>
      </c>
      <c r="C3363" t="str">
        <f>IFERROR(__xludf.DUMMYFUNCTION("""COMPUTED_VALUE"""),"Colombia")</f>
        <v>Colombia</v>
      </c>
      <c r="D3363">
        <f>IFERROR(__xludf.DUMMYFUNCTION("""COMPUTED_VALUE"""),2033.0)</f>
        <v>2033</v>
      </c>
      <c r="E3363">
        <f>IFERROR(__xludf.DUMMYFUNCTION("""COMPUTED_VALUE"""),5.3729852E7)</f>
        <v>53729852</v>
      </c>
    </row>
    <row r="3364">
      <c r="A3364" t="str">
        <f t="shared" si="1"/>
        <v>col#2034</v>
      </c>
      <c r="B3364" t="str">
        <f>IFERROR(__xludf.DUMMYFUNCTION("""COMPUTED_VALUE"""),"col")</f>
        <v>col</v>
      </c>
      <c r="C3364" t="str">
        <f>IFERROR(__xludf.DUMMYFUNCTION("""COMPUTED_VALUE"""),"Colombia")</f>
        <v>Colombia</v>
      </c>
      <c r="D3364">
        <f>IFERROR(__xludf.DUMMYFUNCTION("""COMPUTED_VALUE"""),2034.0)</f>
        <v>2034</v>
      </c>
      <c r="E3364">
        <f>IFERROR(__xludf.DUMMYFUNCTION("""COMPUTED_VALUE"""),5.3899499E7)</f>
        <v>53899499</v>
      </c>
    </row>
    <row r="3365">
      <c r="A3365" t="str">
        <f t="shared" si="1"/>
        <v>col#2035</v>
      </c>
      <c r="B3365" t="str">
        <f>IFERROR(__xludf.DUMMYFUNCTION("""COMPUTED_VALUE"""),"col")</f>
        <v>col</v>
      </c>
      <c r="C3365" t="str">
        <f>IFERROR(__xludf.DUMMYFUNCTION("""COMPUTED_VALUE"""),"Colombia")</f>
        <v>Colombia</v>
      </c>
      <c r="D3365">
        <f>IFERROR(__xludf.DUMMYFUNCTION("""COMPUTED_VALUE"""),2035.0)</f>
        <v>2035</v>
      </c>
      <c r="E3365">
        <f>IFERROR(__xludf.DUMMYFUNCTION("""COMPUTED_VALUE"""),5.4054587E7)</f>
        <v>54054587</v>
      </c>
    </row>
    <row r="3366">
      <c r="A3366" t="str">
        <f t="shared" si="1"/>
        <v>col#2036</v>
      </c>
      <c r="B3366" t="str">
        <f>IFERROR(__xludf.DUMMYFUNCTION("""COMPUTED_VALUE"""),"col")</f>
        <v>col</v>
      </c>
      <c r="C3366" t="str">
        <f>IFERROR(__xludf.DUMMYFUNCTION("""COMPUTED_VALUE"""),"Colombia")</f>
        <v>Colombia</v>
      </c>
      <c r="D3366">
        <f>IFERROR(__xludf.DUMMYFUNCTION("""COMPUTED_VALUE"""),2036.0)</f>
        <v>2036</v>
      </c>
      <c r="E3366">
        <f>IFERROR(__xludf.DUMMYFUNCTION("""COMPUTED_VALUE"""),5.4195144E7)</f>
        <v>54195144</v>
      </c>
    </row>
    <row r="3367">
      <c r="A3367" t="str">
        <f t="shared" si="1"/>
        <v>col#2037</v>
      </c>
      <c r="B3367" t="str">
        <f>IFERROR(__xludf.DUMMYFUNCTION("""COMPUTED_VALUE"""),"col")</f>
        <v>col</v>
      </c>
      <c r="C3367" t="str">
        <f>IFERROR(__xludf.DUMMYFUNCTION("""COMPUTED_VALUE"""),"Colombia")</f>
        <v>Colombia</v>
      </c>
      <c r="D3367">
        <f>IFERROR(__xludf.DUMMYFUNCTION("""COMPUTED_VALUE"""),2037.0)</f>
        <v>2037</v>
      </c>
      <c r="E3367">
        <f>IFERROR(__xludf.DUMMYFUNCTION("""COMPUTED_VALUE"""),5.4321271E7)</f>
        <v>54321271</v>
      </c>
    </row>
    <row r="3368">
      <c r="A3368" t="str">
        <f t="shared" si="1"/>
        <v>col#2038</v>
      </c>
      <c r="B3368" t="str">
        <f>IFERROR(__xludf.DUMMYFUNCTION("""COMPUTED_VALUE"""),"col")</f>
        <v>col</v>
      </c>
      <c r="C3368" t="str">
        <f>IFERROR(__xludf.DUMMYFUNCTION("""COMPUTED_VALUE"""),"Colombia")</f>
        <v>Colombia</v>
      </c>
      <c r="D3368">
        <f>IFERROR(__xludf.DUMMYFUNCTION("""COMPUTED_VALUE"""),2038.0)</f>
        <v>2038</v>
      </c>
      <c r="E3368">
        <f>IFERROR(__xludf.DUMMYFUNCTION("""COMPUTED_VALUE"""),5.4433151E7)</f>
        <v>54433151</v>
      </c>
    </row>
    <row r="3369">
      <c r="A3369" t="str">
        <f t="shared" si="1"/>
        <v>col#2039</v>
      </c>
      <c r="B3369" t="str">
        <f>IFERROR(__xludf.DUMMYFUNCTION("""COMPUTED_VALUE"""),"col")</f>
        <v>col</v>
      </c>
      <c r="C3369" t="str">
        <f>IFERROR(__xludf.DUMMYFUNCTION("""COMPUTED_VALUE"""),"Colombia")</f>
        <v>Colombia</v>
      </c>
      <c r="D3369">
        <f>IFERROR(__xludf.DUMMYFUNCTION("""COMPUTED_VALUE"""),2039.0)</f>
        <v>2039</v>
      </c>
      <c r="E3369">
        <f>IFERROR(__xludf.DUMMYFUNCTION("""COMPUTED_VALUE"""),5.4531025E7)</f>
        <v>54531025</v>
      </c>
    </row>
    <row r="3370">
      <c r="A3370" t="str">
        <f t="shared" si="1"/>
        <v>col#2040</v>
      </c>
      <c r="B3370" t="str">
        <f>IFERROR(__xludf.DUMMYFUNCTION("""COMPUTED_VALUE"""),"col")</f>
        <v>col</v>
      </c>
      <c r="C3370" t="str">
        <f>IFERROR(__xludf.DUMMYFUNCTION("""COMPUTED_VALUE"""),"Colombia")</f>
        <v>Colombia</v>
      </c>
      <c r="D3370">
        <f>IFERROR(__xludf.DUMMYFUNCTION("""COMPUTED_VALUE"""),2040.0)</f>
        <v>2040</v>
      </c>
      <c r="E3370">
        <f>IFERROR(__xludf.DUMMYFUNCTION("""COMPUTED_VALUE"""),5.46151E7)</f>
        <v>54615100</v>
      </c>
    </row>
    <row r="3371">
      <c r="A3371" t="str">
        <f t="shared" si="1"/>
        <v>com#1950</v>
      </c>
      <c r="B3371" t="str">
        <f>IFERROR(__xludf.DUMMYFUNCTION("""COMPUTED_VALUE"""),"com")</f>
        <v>com</v>
      </c>
      <c r="C3371" t="str">
        <f>IFERROR(__xludf.DUMMYFUNCTION("""COMPUTED_VALUE"""),"Comoros")</f>
        <v>Comoros</v>
      </c>
      <c r="D3371">
        <f>IFERROR(__xludf.DUMMYFUNCTION("""COMPUTED_VALUE"""),1950.0)</f>
        <v>1950</v>
      </c>
      <c r="E3371">
        <f>IFERROR(__xludf.DUMMYFUNCTION("""COMPUTED_VALUE"""),159459.0)</f>
        <v>159459</v>
      </c>
    </row>
    <row r="3372">
      <c r="A3372" t="str">
        <f t="shared" si="1"/>
        <v>com#1951</v>
      </c>
      <c r="B3372" t="str">
        <f>IFERROR(__xludf.DUMMYFUNCTION("""COMPUTED_VALUE"""),"com")</f>
        <v>com</v>
      </c>
      <c r="C3372" t="str">
        <f>IFERROR(__xludf.DUMMYFUNCTION("""COMPUTED_VALUE"""),"Comoros")</f>
        <v>Comoros</v>
      </c>
      <c r="D3372">
        <f>IFERROR(__xludf.DUMMYFUNCTION("""COMPUTED_VALUE"""),1951.0)</f>
        <v>1951</v>
      </c>
      <c r="E3372">
        <f>IFERROR(__xludf.DUMMYFUNCTION("""COMPUTED_VALUE"""),163139.0)</f>
        <v>163139</v>
      </c>
    </row>
    <row r="3373">
      <c r="A3373" t="str">
        <f t="shared" si="1"/>
        <v>com#1952</v>
      </c>
      <c r="B3373" t="str">
        <f>IFERROR(__xludf.DUMMYFUNCTION("""COMPUTED_VALUE"""),"com")</f>
        <v>com</v>
      </c>
      <c r="C3373" t="str">
        <f>IFERROR(__xludf.DUMMYFUNCTION("""COMPUTED_VALUE"""),"Comoros")</f>
        <v>Comoros</v>
      </c>
      <c r="D3373">
        <f>IFERROR(__xludf.DUMMYFUNCTION("""COMPUTED_VALUE"""),1952.0)</f>
        <v>1952</v>
      </c>
      <c r="E3373">
        <f>IFERROR(__xludf.DUMMYFUNCTION("""COMPUTED_VALUE"""),166541.0)</f>
        <v>166541</v>
      </c>
    </row>
    <row r="3374">
      <c r="A3374" t="str">
        <f t="shared" si="1"/>
        <v>com#1953</v>
      </c>
      <c r="B3374" t="str">
        <f>IFERROR(__xludf.DUMMYFUNCTION("""COMPUTED_VALUE"""),"com")</f>
        <v>com</v>
      </c>
      <c r="C3374" t="str">
        <f>IFERROR(__xludf.DUMMYFUNCTION("""COMPUTED_VALUE"""),"Comoros")</f>
        <v>Comoros</v>
      </c>
      <c r="D3374">
        <f>IFERROR(__xludf.DUMMYFUNCTION("""COMPUTED_VALUE"""),1953.0)</f>
        <v>1953</v>
      </c>
      <c r="E3374">
        <f>IFERROR(__xludf.DUMMYFUNCTION("""COMPUTED_VALUE"""),169752.0)</f>
        <v>169752</v>
      </c>
    </row>
    <row r="3375">
      <c r="A3375" t="str">
        <f t="shared" si="1"/>
        <v>com#1954</v>
      </c>
      <c r="B3375" t="str">
        <f>IFERROR(__xludf.DUMMYFUNCTION("""COMPUTED_VALUE"""),"com")</f>
        <v>com</v>
      </c>
      <c r="C3375" t="str">
        <f>IFERROR(__xludf.DUMMYFUNCTION("""COMPUTED_VALUE"""),"Comoros")</f>
        <v>Comoros</v>
      </c>
      <c r="D3375">
        <f>IFERROR(__xludf.DUMMYFUNCTION("""COMPUTED_VALUE"""),1954.0)</f>
        <v>1954</v>
      </c>
      <c r="E3375">
        <f>IFERROR(__xludf.DUMMYFUNCTION("""COMPUTED_VALUE"""),172853.0)</f>
        <v>172853</v>
      </c>
    </row>
    <row r="3376">
      <c r="A3376" t="str">
        <f t="shared" si="1"/>
        <v>com#1955</v>
      </c>
      <c r="B3376" t="str">
        <f>IFERROR(__xludf.DUMMYFUNCTION("""COMPUTED_VALUE"""),"com")</f>
        <v>com</v>
      </c>
      <c r="C3376" t="str">
        <f>IFERROR(__xludf.DUMMYFUNCTION("""COMPUTED_VALUE"""),"Comoros")</f>
        <v>Comoros</v>
      </c>
      <c r="D3376">
        <f>IFERROR(__xludf.DUMMYFUNCTION("""COMPUTED_VALUE"""),1955.0)</f>
        <v>1955</v>
      </c>
      <c r="E3376">
        <f>IFERROR(__xludf.DUMMYFUNCTION("""COMPUTED_VALUE"""),175903.0)</f>
        <v>175903</v>
      </c>
    </row>
    <row r="3377">
      <c r="A3377" t="str">
        <f t="shared" si="1"/>
        <v>com#1956</v>
      </c>
      <c r="B3377" t="str">
        <f>IFERROR(__xludf.DUMMYFUNCTION("""COMPUTED_VALUE"""),"com")</f>
        <v>com</v>
      </c>
      <c r="C3377" t="str">
        <f>IFERROR(__xludf.DUMMYFUNCTION("""COMPUTED_VALUE"""),"Comoros")</f>
        <v>Comoros</v>
      </c>
      <c r="D3377">
        <f>IFERROR(__xludf.DUMMYFUNCTION("""COMPUTED_VALUE"""),1956.0)</f>
        <v>1956</v>
      </c>
      <c r="E3377">
        <f>IFERROR(__xludf.DUMMYFUNCTION("""COMPUTED_VALUE"""),178946.0)</f>
        <v>178946</v>
      </c>
    </row>
    <row r="3378">
      <c r="A3378" t="str">
        <f t="shared" si="1"/>
        <v>com#1957</v>
      </c>
      <c r="B3378" t="str">
        <f>IFERROR(__xludf.DUMMYFUNCTION("""COMPUTED_VALUE"""),"com")</f>
        <v>com</v>
      </c>
      <c r="C3378" t="str">
        <f>IFERROR(__xludf.DUMMYFUNCTION("""COMPUTED_VALUE"""),"Comoros")</f>
        <v>Comoros</v>
      </c>
      <c r="D3378">
        <f>IFERROR(__xludf.DUMMYFUNCTION("""COMPUTED_VALUE"""),1957.0)</f>
        <v>1957</v>
      </c>
      <c r="E3378">
        <f>IFERROR(__xludf.DUMMYFUNCTION("""COMPUTED_VALUE"""),181992.0)</f>
        <v>181992</v>
      </c>
    </row>
    <row r="3379">
      <c r="A3379" t="str">
        <f t="shared" si="1"/>
        <v>com#1958</v>
      </c>
      <c r="B3379" t="str">
        <f>IFERROR(__xludf.DUMMYFUNCTION("""COMPUTED_VALUE"""),"com")</f>
        <v>com</v>
      </c>
      <c r="C3379" t="str">
        <f>IFERROR(__xludf.DUMMYFUNCTION("""COMPUTED_VALUE"""),"Comoros")</f>
        <v>Comoros</v>
      </c>
      <c r="D3379">
        <f>IFERROR(__xludf.DUMMYFUNCTION("""COMPUTED_VALUE"""),1958.0)</f>
        <v>1958</v>
      </c>
      <c r="E3379">
        <f>IFERROR(__xludf.DUMMYFUNCTION("""COMPUTED_VALUE"""),185043.0)</f>
        <v>185043</v>
      </c>
    </row>
    <row r="3380">
      <c r="A3380" t="str">
        <f t="shared" si="1"/>
        <v>com#1959</v>
      </c>
      <c r="B3380" t="str">
        <f>IFERROR(__xludf.DUMMYFUNCTION("""COMPUTED_VALUE"""),"com")</f>
        <v>com</v>
      </c>
      <c r="C3380" t="str">
        <f>IFERROR(__xludf.DUMMYFUNCTION("""COMPUTED_VALUE"""),"Comoros")</f>
        <v>Comoros</v>
      </c>
      <c r="D3380">
        <f>IFERROR(__xludf.DUMMYFUNCTION("""COMPUTED_VALUE"""),1959.0)</f>
        <v>1959</v>
      </c>
      <c r="E3380">
        <f>IFERROR(__xludf.DUMMYFUNCTION("""COMPUTED_VALUE"""),188097.0)</f>
        <v>188097</v>
      </c>
    </row>
    <row r="3381">
      <c r="A3381" t="str">
        <f t="shared" si="1"/>
        <v>com#1960</v>
      </c>
      <c r="B3381" t="str">
        <f>IFERROR(__xludf.DUMMYFUNCTION("""COMPUTED_VALUE"""),"com")</f>
        <v>com</v>
      </c>
      <c r="C3381" t="str">
        <f>IFERROR(__xludf.DUMMYFUNCTION("""COMPUTED_VALUE"""),"Comoros")</f>
        <v>Comoros</v>
      </c>
      <c r="D3381">
        <f>IFERROR(__xludf.DUMMYFUNCTION("""COMPUTED_VALUE"""),1960.0)</f>
        <v>1960</v>
      </c>
      <c r="E3381">
        <f>IFERROR(__xludf.DUMMYFUNCTION("""COMPUTED_VALUE"""),191121.0)</f>
        <v>191121</v>
      </c>
    </row>
    <row r="3382">
      <c r="A3382" t="str">
        <f t="shared" si="1"/>
        <v>com#1961</v>
      </c>
      <c r="B3382" t="str">
        <f>IFERROR(__xludf.DUMMYFUNCTION("""COMPUTED_VALUE"""),"com")</f>
        <v>com</v>
      </c>
      <c r="C3382" t="str">
        <f>IFERROR(__xludf.DUMMYFUNCTION("""COMPUTED_VALUE"""),"Comoros")</f>
        <v>Comoros</v>
      </c>
      <c r="D3382">
        <f>IFERROR(__xludf.DUMMYFUNCTION("""COMPUTED_VALUE"""),1961.0)</f>
        <v>1961</v>
      </c>
      <c r="E3382">
        <f>IFERROR(__xludf.DUMMYFUNCTION("""COMPUTED_VALUE"""),194139.0)</f>
        <v>194139</v>
      </c>
    </row>
    <row r="3383">
      <c r="A3383" t="str">
        <f t="shared" si="1"/>
        <v>com#1962</v>
      </c>
      <c r="B3383" t="str">
        <f>IFERROR(__xludf.DUMMYFUNCTION("""COMPUTED_VALUE"""),"com")</f>
        <v>com</v>
      </c>
      <c r="C3383" t="str">
        <f>IFERROR(__xludf.DUMMYFUNCTION("""COMPUTED_VALUE"""),"Comoros")</f>
        <v>Comoros</v>
      </c>
      <c r="D3383">
        <f>IFERROR(__xludf.DUMMYFUNCTION("""COMPUTED_VALUE"""),1962.0)</f>
        <v>1962</v>
      </c>
      <c r="E3383">
        <f>IFERROR(__xludf.DUMMYFUNCTION("""COMPUTED_VALUE"""),197198.0)</f>
        <v>197198</v>
      </c>
    </row>
    <row r="3384">
      <c r="A3384" t="str">
        <f t="shared" si="1"/>
        <v>com#1963</v>
      </c>
      <c r="B3384" t="str">
        <f>IFERROR(__xludf.DUMMYFUNCTION("""COMPUTED_VALUE"""),"com")</f>
        <v>com</v>
      </c>
      <c r="C3384" t="str">
        <f>IFERROR(__xludf.DUMMYFUNCTION("""COMPUTED_VALUE"""),"Comoros")</f>
        <v>Comoros</v>
      </c>
      <c r="D3384">
        <f>IFERROR(__xludf.DUMMYFUNCTION("""COMPUTED_VALUE"""),1963.0)</f>
        <v>1963</v>
      </c>
      <c r="E3384">
        <f>IFERROR(__xludf.DUMMYFUNCTION("""COMPUTED_VALUE"""),200372.0)</f>
        <v>200372</v>
      </c>
    </row>
    <row r="3385">
      <c r="A3385" t="str">
        <f t="shared" si="1"/>
        <v>com#1964</v>
      </c>
      <c r="B3385" t="str">
        <f>IFERROR(__xludf.DUMMYFUNCTION("""COMPUTED_VALUE"""),"com")</f>
        <v>com</v>
      </c>
      <c r="C3385" t="str">
        <f>IFERROR(__xludf.DUMMYFUNCTION("""COMPUTED_VALUE"""),"Comoros")</f>
        <v>Comoros</v>
      </c>
      <c r="D3385">
        <f>IFERROR(__xludf.DUMMYFUNCTION("""COMPUTED_VALUE"""),1964.0)</f>
        <v>1964</v>
      </c>
      <c r="E3385">
        <f>IFERROR(__xludf.DUMMYFUNCTION("""COMPUTED_VALUE"""),203753.0)</f>
        <v>203753</v>
      </c>
    </row>
    <row r="3386">
      <c r="A3386" t="str">
        <f t="shared" si="1"/>
        <v>com#1965</v>
      </c>
      <c r="B3386" t="str">
        <f>IFERROR(__xludf.DUMMYFUNCTION("""COMPUTED_VALUE"""),"com")</f>
        <v>com</v>
      </c>
      <c r="C3386" t="str">
        <f>IFERROR(__xludf.DUMMYFUNCTION("""COMPUTED_VALUE"""),"Comoros")</f>
        <v>Comoros</v>
      </c>
      <c r="D3386">
        <f>IFERROR(__xludf.DUMMYFUNCTION("""COMPUTED_VALUE"""),1965.0)</f>
        <v>1965</v>
      </c>
      <c r="E3386">
        <f>IFERROR(__xludf.DUMMYFUNCTION("""COMPUTED_VALUE"""),207424.0)</f>
        <v>207424</v>
      </c>
    </row>
    <row r="3387">
      <c r="A3387" t="str">
        <f t="shared" si="1"/>
        <v>com#1966</v>
      </c>
      <c r="B3387" t="str">
        <f>IFERROR(__xludf.DUMMYFUNCTION("""COMPUTED_VALUE"""),"com")</f>
        <v>com</v>
      </c>
      <c r="C3387" t="str">
        <f>IFERROR(__xludf.DUMMYFUNCTION("""COMPUTED_VALUE"""),"Comoros")</f>
        <v>Comoros</v>
      </c>
      <c r="D3387">
        <f>IFERROR(__xludf.DUMMYFUNCTION("""COMPUTED_VALUE"""),1966.0)</f>
        <v>1966</v>
      </c>
      <c r="E3387">
        <f>IFERROR(__xludf.DUMMYFUNCTION("""COMPUTED_VALUE"""),211478.0)</f>
        <v>211478</v>
      </c>
    </row>
    <row r="3388">
      <c r="A3388" t="str">
        <f t="shared" si="1"/>
        <v>com#1967</v>
      </c>
      <c r="B3388" t="str">
        <f>IFERROR(__xludf.DUMMYFUNCTION("""COMPUTED_VALUE"""),"com")</f>
        <v>com</v>
      </c>
      <c r="C3388" t="str">
        <f>IFERROR(__xludf.DUMMYFUNCTION("""COMPUTED_VALUE"""),"Comoros")</f>
        <v>Comoros</v>
      </c>
      <c r="D3388">
        <f>IFERROR(__xludf.DUMMYFUNCTION("""COMPUTED_VALUE"""),1967.0)</f>
        <v>1967</v>
      </c>
      <c r="E3388">
        <f>IFERROR(__xludf.DUMMYFUNCTION("""COMPUTED_VALUE"""),215897.0)</f>
        <v>215897</v>
      </c>
    </row>
    <row r="3389">
      <c r="A3389" t="str">
        <f t="shared" si="1"/>
        <v>com#1968</v>
      </c>
      <c r="B3389" t="str">
        <f>IFERROR(__xludf.DUMMYFUNCTION("""COMPUTED_VALUE"""),"com")</f>
        <v>com</v>
      </c>
      <c r="C3389" t="str">
        <f>IFERROR(__xludf.DUMMYFUNCTION("""COMPUTED_VALUE"""),"Comoros")</f>
        <v>Comoros</v>
      </c>
      <c r="D3389">
        <f>IFERROR(__xludf.DUMMYFUNCTION("""COMPUTED_VALUE"""),1968.0)</f>
        <v>1968</v>
      </c>
      <c r="E3389">
        <f>IFERROR(__xludf.DUMMYFUNCTION("""COMPUTED_VALUE"""),220575.0)</f>
        <v>220575</v>
      </c>
    </row>
    <row r="3390">
      <c r="A3390" t="str">
        <f t="shared" si="1"/>
        <v>com#1969</v>
      </c>
      <c r="B3390" t="str">
        <f>IFERROR(__xludf.DUMMYFUNCTION("""COMPUTED_VALUE"""),"com")</f>
        <v>com</v>
      </c>
      <c r="C3390" t="str">
        <f>IFERROR(__xludf.DUMMYFUNCTION("""COMPUTED_VALUE"""),"Comoros")</f>
        <v>Comoros</v>
      </c>
      <c r="D3390">
        <f>IFERROR(__xludf.DUMMYFUNCTION("""COMPUTED_VALUE"""),1969.0)</f>
        <v>1969</v>
      </c>
      <c r="E3390">
        <f>IFERROR(__xludf.DUMMYFUNCTION("""COMPUTED_VALUE"""),225325.0)</f>
        <v>225325</v>
      </c>
    </row>
    <row r="3391">
      <c r="A3391" t="str">
        <f t="shared" si="1"/>
        <v>com#1970</v>
      </c>
      <c r="B3391" t="str">
        <f>IFERROR(__xludf.DUMMYFUNCTION("""COMPUTED_VALUE"""),"com")</f>
        <v>com</v>
      </c>
      <c r="C3391" t="str">
        <f>IFERROR(__xludf.DUMMYFUNCTION("""COMPUTED_VALUE"""),"Comoros")</f>
        <v>Comoros</v>
      </c>
      <c r="D3391">
        <f>IFERROR(__xludf.DUMMYFUNCTION("""COMPUTED_VALUE"""),1970.0)</f>
        <v>1970</v>
      </c>
      <c r="E3391">
        <f>IFERROR(__xludf.DUMMYFUNCTION("""COMPUTED_VALUE"""),230054.0)</f>
        <v>230054</v>
      </c>
    </row>
    <row r="3392">
      <c r="A3392" t="str">
        <f t="shared" si="1"/>
        <v>com#1971</v>
      </c>
      <c r="B3392" t="str">
        <f>IFERROR(__xludf.DUMMYFUNCTION("""COMPUTED_VALUE"""),"com")</f>
        <v>com</v>
      </c>
      <c r="C3392" t="str">
        <f>IFERROR(__xludf.DUMMYFUNCTION("""COMPUTED_VALUE"""),"Comoros")</f>
        <v>Comoros</v>
      </c>
      <c r="D3392">
        <f>IFERROR(__xludf.DUMMYFUNCTION("""COMPUTED_VALUE"""),1971.0)</f>
        <v>1971</v>
      </c>
      <c r="E3392">
        <f>IFERROR(__xludf.DUMMYFUNCTION("""COMPUTED_VALUE"""),234644.0)</f>
        <v>234644</v>
      </c>
    </row>
    <row r="3393">
      <c r="A3393" t="str">
        <f t="shared" si="1"/>
        <v>com#1972</v>
      </c>
      <c r="B3393" t="str">
        <f>IFERROR(__xludf.DUMMYFUNCTION("""COMPUTED_VALUE"""),"com")</f>
        <v>com</v>
      </c>
      <c r="C3393" t="str">
        <f>IFERROR(__xludf.DUMMYFUNCTION("""COMPUTED_VALUE"""),"Comoros")</f>
        <v>Comoros</v>
      </c>
      <c r="D3393">
        <f>IFERROR(__xludf.DUMMYFUNCTION("""COMPUTED_VALUE"""),1972.0)</f>
        <v>1972</v>
      </c>
      <c r="E3393">
        <f>IFERROR(__xludf.DUMMYFUNCTION("""COMPUTED_VALUE"""),239235.0)</f>
        <v>239235</v>
      </c>
    </row>
    <row r="3394">
      <c r="A3394" t="str">
        <f t="shared" si="1"/>
        <v>com#1973</v>
      </c>
      <c r="B3394" t="str">
        <f>IFERROR(__xludf.DUMMYFUNCTION("""COMPUTED_VALUE"""),"com")</f>
        <v>com</v>
      </c>
      <c r="C3394" t="str">
        <f>IFERROR(__xludf.DUMMYFUNCTION("""COMPUTED_VALUE"""),"Comoros")</f>
        <v>Comoros</v>
      </c>
      <c r="D3394">
        <f>IFERROR(__xludf.DUMMYFUNCTION("""COMPUTED_VALUE"""),1973.0)</f>
        <v>1973</v>
      </c>
      <c r="E3394">
        <f>IFERROR(__xludf.DUMMYFUNCTION("""COMPUTED_VALUE"""),244208.0)</f>
        <v>244208</v>
      </c>
    </row>
    <row r="3395">
      <c r="A3395" t="str">
        <f t="shared" si="1"/>
        <v>com#1974</v>
      </c>
      <c r="B3395" t="str">
        <f>IFERROR(__xludf.DUMMYFUNCTION("""COMPUTED_VALUE"""),"com")</f>
        <v>com</v>
      </c>
      <c r="C3395" t="str">
        <f>IFERROR(__xludf.DUMMYFUNCTION("""COMPUTED_VALUE"""),"Comoros")</f>
        <v>Comoros</v>
      </c>
      <c r="D3395">
        <f>IFERROR(__xludf.DUMMYFUNCTION("""COMPUTED_VALUE"""),1974.0)</f>
        <v>1974</v>
      </c>
      <c r="E3395">
        <f>IFERROR(__xludf.DUMMYFUNCTION("""COMPUTED_VALUE"""),250104.0)</f>
        <v>250104</v>
      </c>
    </row>
    <row r="3396">
      <c r="A3396" t="str">
        <f t="shared" si="1"/>
        <v>com#1975</v>
      </c>
      <c r="B3396" t="str">
        <f>IFERROR(__xludf.DUMMYFUNCTION("""COMPUTED_VALUE"""),"com")</f>
        <v>com</v>
      </c>
      <c r="C3396" t="str">
        <f>IFERROR(__xludf.DUMMYFUNCTION("""COMPUTED_VALUE"""),"Comoros")</f>
        <v>Comoros</v>
      </c>
      <c r="D3396">
        <f>IFERROR(__xludf.DUMMYFUNCTION("""COMPUTED_VALUE"""),1975.0)</f>
        <v>1975</v>
      </c>
      <c r="E3396">
        <f>IFERROR(__xludf.DUMMYFUNCTION("""COMPUTED_VALUE"""),257290.0)</f>
        <v>257290</v>
      </c>
    </row>
    <row r="3397">
      <c r="A3397" t="str">
        <f t="shared" si="1"/>
        <v>com#1976</v>
      </c>
      <c r="B3397" t="str">
        <f>IFERROR(__xludf.DUMMYFUNCTION("""COMPUTED_VALUE"""),"com")</f>
        <v>com</v>
      </c>
      <c r="C3397" t="str">
        <f>IFERROR(__xludf.DUMMYFUNCTION("""COMPUTED_VALUE"""),"Comoros")</f>
        <v>Comoros</v>
      </c>
      <c r="D3397">
        <f>IFERROR(__xludf.DUMMYFUNCTION("""COMPUTED_VALUE"""),1976.0)</f>
        <v>1976</v>
      </c>
      <c r="E3397">
        <f>IFERROR(__xludf.DUMMYFUNCTION("""COMPUTED_VALUE"""),265953.0)</f>
        <v>265953</v>
      </c>
    </row>
    <row r="3398">
      <c r="A3398" t="str">
        <f t="shared" si="1"/>
        <v>com#1977</v>
      </c>
      <c r="B3398" t="str">
        <f>IFERROR(__xludf.DUMMYFUNCTION("""COMPUTED_VALUE"""),"com")</f>
        <v>com</v>
      </c>
      <c r="C3398" t="str">
        <f>IFERROR(__xludf.DUMMYFUNCTION("""COMPUTED_VALUE"""),"Comoros")</f>
        <v>Comoros</v>
      </c>
      <c r="D3398">
        <f>IFERROR(__xludf.DUMMYFUNCTION("""COMPUTED_VALUE"""),1977.0)</f>
        <v>1977</v>
      </c>
      <c r="E3398">
        <f>IFERROR(__xludf.DUMMYFUNCTION("""COMPUTED_VALUE"""),275900.0)</f>
        <v>275900</v>
      </c>
    </row>
    <row r="3399">
      <c r="A3399" t="str">
        <f t="shared" si="1"/>
        <v>com#1978</v>
      </c>
      <c r="B3399" t="str">
        <f>IFERROR(__xludf.DUMMYFUNCTION("""COMPUTED_VALUE"""),"com")</f>
        <v>com</v>
      </c>
      <c r="C3399" t="str">
        <f>IFERROR(__xludf.DUMMYFUNCTION("""COMPUTED_VALUE"""),"Comoros")</f>
        <v>Comoros</v>
      </c>
      <c r="D3399">
        <f>IFERROR(__xludf.DUMMYFUNCTION("""COMPUTED_VALUE"""),1978.0)</f>
        <v>1978</v>
      </c>
      <c r="E3399">
        <f>IFERROR(__xludf.DUMMYFUNCTION("""COMPUTED_VALUE"""),286634.0)</f>
        <v>286634</v>
      </c>
    </row>
    <row r="3400">
      <c r="A3400" t="str">
        <f t="shared" si="1"/>
        <v>com#1979</v>
      </c>
      <c r="B3400" t="str">
        <f>IFERROR(__xludf.DUMMYFUNCTION("""COMPUTED_VALUE"""),"com")</f>
        <v>com</v>
      </c>
      <c r="C3400" t="str">
        <f>IFERROR(__xludf.DUMMYFUNCTION("""COMPUTED_VALUE"""),"Comoros")</f>
        <v>Comoros</v>
      </c>
      <c r="D3400">
        <f>IFERROR(__xludf.DUMMYFUNCTION("""COMPUTED_VALUE"""),1979.0)</f>
        <v>1979</v>
      </c>
      <c r="E3400">
        <f>IFERROR(__xludf.DUMMYFUNCTION("""COMPUTED_VALUE"""),297447.0)</f>
        <v>297447</v>
      </c>
    </row>
    <row r="3401">
      <c r="A3401" t="str">
        <f t="shared" si="1"/>
        <v>com#1980</v>
      </c>
      <c r="B3401" t="str">
        <f>IFERROR(__xludf.DUMMYFUNCTION("""COMPUTED_VALUE"""),"com")</f>
        <v>com</v>
      </c>
      <c r="C3401" t="str">
        <f>IFERROR(__xludf.DUMMYFUNCTION("""COMPUTED_VALUE"""),"Comoros")</f>
        <v>Comoros</v>
      </c>
      <c r="D3401">
        <f>IFERROR(__xludf.DUMMYFUNCTION("""COMPUTED_VALUE"""),1980.0)</f>
        <v>1980</v>
      </c>
      <c r="E3401">
        <f>IFERROR(__xludf.DUMMYFUNCTION("""COMPUTED_VALUE"""),307829.0)</f>
        <v>307829</v>
      </c>
    </row>
    <row r="3402">
      <c r="A3402" t="str">
        <f t="shared" si="1"/>
        <v>com#1981</v>
      </c>
      <c r="B3402" t="str">
        <f>IFERROR(__xludf.DUMMYFUNCTION("""COMPUTED_VALUE"""),"com")</f>
        <v>com</v>
      </c>
      <c r="C3402" t="str">
        <f>IFERROR(__xludf.DUMMYFUNCTION("""COMPUTED_VALUE"""),"Comoros")</f>
        <v>Comoros</v>
      </c>
      <c r="D3402">
        <f>IFERROR(__xludf.DUMMYFUNCTION("""COMPUTED_VALUE"""),1981.0)</f>
        <v>1981</v>
      </c>
      <c r="E3402">
        <f>IFERROR(__xludf.DUMMYFUNCTION("""COMPUTED_VALUE"""),317606.0)</f>
        <v>317606</v>
      </c>
    </row>
    <row r="3403">
      <c r="A3403" t="str">
        <f t="shared" si="1"/>
        <v>com#1982</v>
      </c>
      <c r="B3403" t="str">
        <f>IFERROR(__xludf.DUMMYFUNCTION("""COMPUTED_VALUE"""),"com")</f>
        <v>com</v>
      </c>
      <c r="C3403" t="str">
        <f>IFERROR(__xludf.DUMMYFUNCTION("""COMPUTED_VALUE"""),"Comoros")</f>
        <v>Comoros</v>
      </c>
      <c r="D3403">
        <f>IFERROR(__xludf.DUMMYFUNCTION("""COMPUTED_VALUE"""),1982.0)</f>
        <v>1982</v>
      </c>
      <c r="E3403">
        <f>IFERROR(__xludf.DUMMYFUNCTION("""COMPUTED_VALUE"""),326946.0)</f>
        <v>326946</v>
      </c>
    </row>
    <row r="3404">
      <c r="A3404" t="str">
        <f t="shared" si="1"/>
        <v>com#1983</v>
      </c>
      <c r="B3404" t="str">
        <f>IFERROR(__xludf.DUMMYFUNCTION("""COMPUTED_VALUE"""),"com")</f>
        <v>com</v>
      </c>
      <c r="C3404" t="str">
        <f>IFERROR(__xludf.DUMMYFUNCTION("""COMPUTED_VALUE"""),"Comoros")</f>
        <v>Comoros</v>
      </c>
      <c r="D3404">
        <f>IFERROR(__xludf.DUMMYFUNCTION("""COMPUTED_VALUE"""),1983.0)</f>
        <v>1983</v>
      </c>
      <c r="E3404">
        <f>IFERROR(__xludf.DUMMYFUNCTION("""COMPUTED_VALUE"""),336096.0)</f>
        <v>336096</v>
      </c>
    </row>
    <row r="3405">
      <c r="A3405" t="str">
        <f t="shared" si="1"/>
        <v>com#1984</v>
      </c>
      <c r="B3405" t="str">
        <f>IFERROR(__xludf.DUMMYFUNCTION("""COMPUTED_VALUE"""),"com")</f>
        <v>com</v>
      </c>
      <c r="C3405" t="str">
        <f>IFERROR(__xludf.DUMMYFUNCTION("""COMPUTED_VALUE"""),"Comoros")</f>
        <v>Comoros</v>
      </c>
      <c r="D3405">
        <f>IFERROR(__xludf.DUMMYFUNCTION("""COMPUTED_VALUE"""),1984.0)</f>
        <v>1984</v>
      </c>
      <c r="E3405">
        <f>IFERROR(__xludf.DUMMYFUNCTION("""COMPUTED_VALUE"""),345466.0)</f>
        <v>345466</v>
      </c>
    </row>
    <row r="3406">
      <c r="A3406" t="str">
        <f t="shared" si="1"/>
        <v>com#1985</v>
      </c>
      <c r="B3406" t="str">
        <f>IFERROR(__xludf.DUMMYFUNCTION("""COMPUTED_VALUE"""),"com")</f>
        <v>com</v>
      </c>
      <c r="C3406" t="str">
        <f>IFERROR(__xludf.DUMMYFUNCTION("""COMPUTED_VALUE"""),"Comoros")</f>
        <v>Comoros</v>
      </c>
      <c r="D3406">
        <f>IFERROR(__xludf.DUMMYFUNCTION("""COMPUTED_VALUE"""),1985.0)</f>
        <v>1985</v>
      </c>
      <c r="E3406">
        <f>IFERROR(__xludf.DUMMYFUNCTION("""COMPUTED_VALUE"""),355337.0)</f>
        <v>355337</v>
      </c>
    </row>
    <row r="3407">
      <c r="A3407" t="str">
        <f t="shared" si="1"/>
        <v>com#1986</v>
      </c>
      <c r="B3407" t="str">
        <f>IFERROR(__xludf.DUMMYFUNCTION("""COMPUTED_VALUE"""),"com")</f>
        <v>com</v>
      </c>
      <c r="C3407" t="str">
        <f>IFERROR(__xludf.DUMMYFUNCTION("""COMPUTED_VALUE"""),"Comoros")</f>
        <v>Comoros</v>
      </c>
      <c r="D3407">
        <f>IFERROR(__xludf.DUMMYFUNCTION("""COMPUTED_VALUE"""),1986.0)</f>
        <v>1986</v>
      </c>
      <c r="E3407">
        <f>IFERROR(__xludf.DUMMYFUNCTION("""COMPUTED_VALUE"""),365760.0)</f>
        <v>365760</v>
      </c>
    </row>
    <row r="3408">
      <c r="A3408" t="str">
        <f t="shared" si="1"/>
        <v>com#1987</v>
      </c>
      <c r="B3408" t="str">
        <f>IFERROR(__xludf.DUMMYFUNCTION("""COMPUTED_VALUE"""),"com")</f>
        <v>com</v>
      </c>
      <c r="C3408" t="str">
        <f>IFERROR(__xludf.DUMMYFUNCTION("""COMPUTED_VALUE"""),"Comoros")</f>
        <v>Comoros</v>
      </c>
      <c r="D3408">
        <f>IFERROR(__xludf.DUMMYFUNCTION("""COMPUTED_VALUE"""),1987.0)</f>
        <v>1987</v>
      </c>
      <c r="E3408">
        <f>IFERROR(__xludf.DUMMYFUNCTION("""COMPUTED_VALUE"""),376654.0)</f>
        <v>376654</v>
      </c>
    </row>
    <row r="3409">
      <c r="A3409" t="str">
        <f t="shared" si="1"/>
        <v>com#1988</v>
      </c>
      <c r="B3409" t="str">
        <f>IFERROR(__xludf.DUMMYFUNCTION("""COMPUTED_VALUE"""),"com")</f>
        <v>com</v>
      </c>
      <c r="C3409" t="str">
        <f>IFERROR(__xludf.DUMMYFUNCTION("""COMPUTED_VALUE"""),"Comoros")</f>
        <v>Comoros</v>
      </c>
      <c r="D3409">
        <f>IFERROR(__xludf.DUMMYFUNCTION("""COMPUTED_VALUE"""),1988.0)</f>
        <v>1988</v>
      </c>
      <c r="E3409">
        <f>IFERROR(__xludf.DUMMYFUNCTION("""COMPUTED_VALUE"""),387963.0)</f>
        <v>387963</v>
      </c>
    </row>
    <row r="3410">
      <c r="A3410" t="str">
        <f t="shared" si="1"/>
        <v>com#1989</v>
      </c>
      <c r="B3410" t="str">
        <f>IFERROR(__xludf.DUMMYFUNCTION("""COMPUTED_VALUE"""),"com")</f>
        <v>com</v>
      </c>
      <c r="C3410" t="str">
        <f>IFERROR(__xludf.DUMMYFUNCTION("""COMPUTED_VALUE"""),"Comoros")</f>
        <v>Comoros</v>
      </c>
      <c r="D3410">
        <f>IFERROR(__xludf.DUMMYFUNCTION("""COMPUTED_VALUE"""),1989.0)</f>
        <v>1989</v>
      </c>
      <c r="E3410">
        <f>IFERROR(__xludf.DUMMYFUNCTION("""COMPUTED_VALUE"""),399632.0)</f>
        <v>399632</v>
      </c>
    </row>
    <row r="3411">
      <c r="A3411" t="str">
        <f t="shared" si="1"/>
        <v>com#1990</v>
      </c>
      <c r="B3411" t="str">
        <f>IFERROR(__xludf.DUMMYFUNCTION("""COMPUTED_VALUE"""),"com")</f>
        <v>com</v>
      </c>
      <c r="C3411" t="str">
        <f>IFERROR(__xludf.DUMMYFUNCTION("""COMPUTED_VALUE"""),"Comoros")</f>
        <v>Comoros</v>
      </c>
      <c r="D3411">
        <f>IFERROR(__xludf.DUMMYFUNCTION("""COMPUTED_VALUE"""),1990.0)</f>
        <v>1990</v>
      </c>
      <c r="E3411">
        <f>IFERROR(__xludf.DUMMYFUNCTION("""COMPUTED_VALUE"""),411594.0)</f>
        <v>411594</v>
      </c>
    </row>
    <row r="3412">
      <c r="A3412" t="str">
        <f t="shared" si="1"/>
        <v>com#1991</v>
      </c>
      <c r="B3412" t="str">
        <f>IFERROR(__xludf.DUMMYFUNCTION("""COMPUTED_VALUE"""),"com")</f>
        <v>com</v>
      </c>
      <c r="C3412" t="str">
        <f>IFERROR(__xludf.DUMMYFUNCTION("""COMPUTED_VALUE"""),"Comoros")</f>
        <v>Comoros</v>
      </c>
      <c r="D3412">
        <f>IFERROR(__xludf.DUMMYFUNCTION("""COMPUTED_VALUE"""),1991.0)</f>
        <v>1991</v>
      </c>
      <c r="E3412">
        <f>IFERROR(__xludf.DUMMYFUNCTION("""COMPUTED_VALUE"""),423872.0)</f>
        <v>423872</v>
      </c>
    </row>
    <row r="3413">
      <c r="A3413" t="str">
        <f t="shared" si="1"/>
        <v>com#1992</v>
      </c>
      <c r="B3413" t="str">
        <f>IFERROR(__xludf.DUMMYFUNCTION("""COMPUTED_VALUE"""),"com")</f>
        <v>com</v>
      </c>
      <c r="C3413" t="str">
        <f>IFERROR(__xludf.DUMMYFUNCTION("""COMPUTED_VALUE"""),"Comoros")</f>
        <v>Comoros</v>
      </c>
      <c r="D3413">
        <f>IFERROR(__xludf.DUMMYFUNCTION("""COMPUTED_VALUE"""),1992.0)</f>
        <v>1992</v>
      </c>
      <c r="E3413">
        <f>IFERROR(__xludf.DUMMYFUNCTION("""COMPUTED_VALUE"""),436448.0)</f>
        <v>436448</v>
      </c>
    </row>
    <row r="3414">
      <c r="A3414" t="str">
        <f t="shared" si="1"/>
        <v>com#1993</v>
      </c>
      <c r="B3414" t="str">
        <f>IFERROR(__xludf.DUMMYFUNCTION("""COMPUTED_VALUE"""),"com")</f>
        <v>com</v>
      </c>
      <c r="C3414" t="str">
        <f>IFERROR(__xludf.DUMMYFUNCTION("""COMPUTED_VALUE"""),"Comoros")</f>
        <v>Comoros</v>
      </c>
      <c r="D3414">
        <f>IFERROR(__xludf.DUMMYFUNCTION("""COMPUTED_VALUE"""),1993.0)</f>
        <v>1993</v>
      </c>
      <c r="E3414">
        <f>IFERROR(__xludf.DUMMYFUNCTION("""COMPUTED_VALUE"""),449274.0)</f>
        <v>449274</v>
      </c>
    </row>
    <row r="3415">
      <c r="A3415" t="str">
        <f t="shared" si="1"/>
        <v>com#1994</v>
      </c>
      <c r="B3415" t="str">
        <f>IFERROR(__xludf.DUMMYFUNCTION("""COMPUTED_VALUE"""),"com")</f>
        <v>com</v>
      </c>
      <c r="C3415" t="str">
        <f>IFERROR(__xludf.DUMMYFUNCTION("""COMPUTED_VALUE"""),"Comoros")</f>
        <v>Comoros</v>
      </c>
      <c r="D3415">
        <f>IFERROR(__xludf.DUMMYFUNCTION("""COMPUTED_VALUE"""),1994.0)</f>
        <v>1994</v>
      </c>
      <c r="E3415">
        <f>IFERROR(__xludf.DUMMYFUNCTION("""COMPUTED_VALUE"""),462277.0)</f>
        <v>462277</v>
      </c>
    </row>
    <row r="3416">
      <c r="A3416" t="str">
        <f t="shared" si="1"/>
        <v>com#1995</v>
      </c>
      <c r="B3416" t="str">
        <f>IFERROR(__xludf.DUMMYFUNCTION("""COMPUTED_VALUE"""),"com")</f>
        <v>com</v>
      </c>
      <c r="C3416" t="str">
        <f>IFERROR(__xludf.DUMMYFUNCTION("""COMPUTED_VALUE"""),"Comoros")</f>
        <v>Comoros</v>
      </c>
      <c r="D3416">
        <f>IFERROR(__xludf.DUMMYFUNCTION("""COMPUTED_VALUE"""),1995.0)</f>
        <v>1995</v>
      </c>
      <c r="E3416">
        <f>IFERROR(__xludf.DUMMYFUNCTION("""COMPUTED_VALUE"""),475394.0)</f>
        <v>475394</v>
      </c>
    </row>
    <row r="3417">
      <c r="A3417" t="str">
        <f t="shared" si="1"/>
        <v>com#1996</v>
      </c>
      <c r="B3417" t="str">
        <f>IFERROR(__xludf.DUMMYFUNCTION("""COMPUTED_VALUE"""),"com")</f>
        <v>com</v>
      </c>
      <c r="C3417" t="str">
        <f>IFERROR(__xludf.DUMMYFUNCTION("""COMPUTED_VALUE"""),"Comoros")</f>
        <v>Comoros</v>
      </c>
      <c r="D3417">
        <f>IFERROR(__xludf.DUMMYFUNCTION("""COMPUTED_VALUE"""),1996.0)</f>
        <v>1996</v>
      </c>
      <c r="E3417">
        <f>IFERROR(__xludf.DUMMYFUNCTION("""COMPUTED_VALUE"""),488627.0)</f>
        <v>488627</v>
      </c>
    </row>
    <row r="3418">
      <c r="A3418" t="str">
        <f t="shared" si="1"/>
        <v>com#1997</v>
      </c>
      <c r="B3418" t="str">
        <f>IFERROR(__xludf.DUMMYFUNCTION("""COMPUTED_VALUE"""),"com")</f>
        <v>com</v>
      </c>
      <c r="C3418" t="str">
        <f>IFERROR(__xludf.DUMMYFUNCTION("""COMPUTED_VALUE"""),"Comoros")</f>
        <v>Comoros</v>
      </c>
      <c r="D3418">
        <f>IFERROR(__xludf.DUMMYFUNCTION("""COMPUTED_VALUE"""),1997.0)</f>
        <v>1997</v>
      </c>
      <c r="E3418">
        <f>IFERROR(__xludf.DUMMYFUNCTION("""COMPUTED_VALUE"""),501953.0)</f>
        <v>501953</v>
      </c>
    </row>
    <row r="3419">
      <c r="A3419" t="str">
        <f t="shared" si="1"/>
        <v>com#1998</v>
      </c>
      <c r="B3419" t="str">
        <f>IFERROR(__xludf.DUMMYFUNCTION("""COMPUTED_VALUE"""),"com")</f>
        <v>com</v>
      </c>
      <c r="C3419" t="str">
        <f>IFERROR(__xludf.DUMMYFUNCTION("""COMPUTED_VALUE"""),"Comoros")</f>
        <v>Comoros</v>
      </c>
      <c r="D3419">
        <f>IFERROR(__xludf.DUMMYFUNCTION("""COMPUTED_VALUE"""),1998.0)</f>
        <v>1998</v>
      </c>
      <c r="E3419">
        <f>IFERROR(__xludf.DUMMYFUNCTION("""COMPUTED_VALUE"""),515385.0)</f>
        <v>515385</v>
      </c>
    </row>
    <row r="3420">
      <c r="A3420" t="str">
        <f t="shared" si="1"/>
        <v>com#1999</v>
      </c>
      <c r="B3420" t="str">
        <f>IFERROR(__xludf.DUMMYFUNCTION("""COMPUTED_VALUE"""),"com")</f>
        <v>com</v>
      </c>
      <c r="C3420" t="str">
        <f>IFERROR(__xludf.DUMMYFUNCTION("""COMPUTED_VALUE"""),"Comoros")</f>
        <v>Comoros</v>
      </c>
      <c r="D3420">
        <f>IFERROR(__xludf.DUMMYFUNCTION("""COMPUTED_VALUE"""),1999.0)</f>
        <v>1999</v>
      </c>
      <c r="E3420">
        <f>IFERROR(__xludf.DUMMYFUNCTION("""COMPUTED_VALUE"""),528848.0)</f>
        <v>528848</v>
      </c>
    </row>
    <row r="3421">
      <c r="A3421" t="str">
        <f t="shared" si="1"/>
        <v>com#2000</v>
      </c>
      <c r="B3421" t="str">
        <f>IFERROR(__xludf.DUMMYFUNCTION("""COMPUTED_VALUE"""),"com")</f>
        <v>com</v>
      </c>
      <c r="C3421" t="str">
        <f>IFERROR(__xludf.DUMMYFUNCTION("""COMPUTED_VALUE"""),"Comoros")</f>
        <v>Comoros</v>
      </c>
      <c r="D3421">
        <f>IFERROR(__xludf.DUMMYFUNCTION("""COMPUTED_VALUE"""),2000.0)</f>
        <v>2000</v>
      </c>
      <c r="E3421">
        <f>IFERROR(__xludf.DUMMYFUNCTION("""COMPUTED_VALUE"""),542357.0)</f>
        <v>542357</v>
      </c>
    </row>
    <row r="3422">
      <c r="A3422" t="str">
        <f t="shared" si="1"/>
        <v>com#2001</v>
      </c>
      <c r="B3422" t="str">
        <f>IFERROR(__xludf.DUMMYFUNCTION("""COMPUTED_VALUE"""),"com")</f>
        <v>com</v>
      </c>
      <c r="C3422" t="str">
        <f>IFERROR(__xludf.DUMMYFUNCTION("""COMPUTED_VALUE"""),"Comoros")</f>
        <v>Comoros</v>
      </c>
      <c r="D3422">
        <f>IFERROR(__xludf.DUMMYFUNCTION("""COMPUTED_VALUE"""),2001.0)</f>
        <v>2001</v>
      </c>
      <c r="E3422">
        <f>IFERROR(__xludf.DUMMYFUNCTION("""COMPUTED_VALUE"""),555888.0)</f>
        <v>555888</v>
      </c>
    </row>
    <row r="3423">
      <c r="A3423" t="str">
        <f t="shared" si="1"/>
        <v>com#2002</v>
      </c>
      <c r="B3423" t="str">
        <f>IFERROR(__xludf.DUMMYFUNCTION("""COMPUTED_VALUE"""),"com")</f>
        <v>com</v>
      </c>
      <c r="C3423" t="str">
        <f>IFERROR(__xludf.DUMMYFUNCTION("""COMPUTED_VALUE"""),"Comoros")</f>
        <v>Comoros</v>
      </c>
      <c r="D3423">
        <f>IFERROR(__xludf.DUMMYFUNCTION("""COMPUTED_VALUE"""),2002.0)</f>
        <v>2002</v>
      </c>
      <c r="E3423">
        <f>IFERROR(__xludf.DUMMYFUNCTION("""COMPUTED_VALUE"""),569479.0)</f>
        <v>569479</v>
      </c>
    </row>
    <row r="3424">
      <c r="A3424" t="str">
        <f t="shared" si="1"/>
        <v>com#2003</v>
      </c>
      <c r="B3424" t="str">
        <f>IFERROR(__xludf.DUMMYFUNCTION("""COMPUTED_VALUE"""),"com")</f>
        <v>com</v>
      </c>
      <c r="C3424" t="str">
        <f>IFERROR(__xludf.DUMMYFUNCTION("""COMPUTED_VALUE"""),"Comoros")</f>
        <v>Comoros</v>
      </c>
      <c r="D3424">
        <f>IFERROR(__xludf.DUMMYFUNCTION("""COMPUTED_VALUE"""),2003.0)</f>
        <v>2003</v>
      </c>
      <c r="E3424">
        <f>IFERROR(__xludf.DUMMYFUNCTION("""COMPUTED_VALUE"""),583211.0)</f>
        <v>583211</v>
      </c>
    </row>
    <row r="3425">
      <c r="A3425" t="str">
        <f t="shared" si="1"/>
        <v>com#2004</v>
      </c>
      <c r="B3425" t="str">
        <f>IFERROR(__xludf.DUMMYFUNCTION("""COMPUTED_VALUE"""),"com")</f>
        <v>com</v>
      </c>
      <c r="C3425" t="str">
        <f>IFERROR(__xludf.DUMMYFUNCTION("""COMPUTED_VALUE"""),"Comoros")</f>
        <v>Comoros</v>
      </c>
      <c r="D3425">
        <f>IFERROR(__xludf.DUMMYFUNCTION("""COMPUTED_VALUE"""),2004.0)</f>
        <v>2004</v>
      </c>
      <c r="E3425">
        <f>IFERROR(__xludf.DUMMYFUNCTION("""COMPUTED_VALUE"""),597228.0)</f>
        <v>597228</v>
      </c>
    </row>
    <row r="3426">
      <c r="A3426" t="str">
        <f t="shared" si="1"/>
        <v>com#2005</v>
      </c>
      <c r="B3426" t="str">
        <f>IFERROR(__xludf.DUMMYFUNCTION("""COMPUTED_VALUE"""),"com")</f>
        <v>com</v>
      </c>
      <c r="C3426" t="str">
        <f>IFERROR(__xludf.DUMMYFUNCTION("""COMPUTED_VALUE"""),"Comoros")</f>
        <v>Comoros</v>
      </c>
      <c r="D3426">
        <f>IFERROR(__xludf.DUMMYFUNCTION("""COMPUTED_VALUE"""),2005.0)</f>
        <v>2005</v>
      </c>
      <c r="E3426">
        <f>IFERROR(__xludf.DUMMYFUNCTION("""COMPUTED_VALUE"""),611627.0)</f>
        <v>611627</v>
      </c>
    </row>
    <row r="3427">
      <c r="A3427" t="str">
        <f t="shared" si="1"/>
        <v>com#2006</v>
      </c>
      <c r="B3427" t="str">
        <f>IFERROR(__xludf.DUMMYFUNCTION("""COMPUTED_VALUE"""),"com")</f>
        <v>com</v>
      </c>
      <c r="C3427" t="str">
        <f>IFERROR(__xludf.DUMMYFUNCTION("""COMPUTED_VALUE"""),"Comoros")</f>
        <v>Comoros</v>
      </c>
      <c r="D3427">
        <f>IFERROR(__xludf.DUMMYFUNCTION("""COMPUTED_VALUE"""),2006.0)</f>
        <v>2006</v>
      </c>
      <c r="E3427">
        <f>IFERROR(__xludf.DUMMYFUNCTION("""COMPUTED_VALUE"""),626425.0)</f>
        <v>626425</v>
      </c>
    </row>
    <row r="3428">
      <c r="A3428" t="str">
        <f t="shared" si="1"/>
        <v>com#2007</v>
      </c>
      <c r="B3428" t="str">
        <f>IFERROR(__xludf.DUMMYFUNCTION("""COMPUTED_VALUE"""),"com")</f>
        <v>com</v>
      </c>
      <c r="C3428" t="str">
        <f>IFERROR(__xludf.DUMMYFUNCTION("""COMPUTED_VALUE"""),"Comoros")</f>
        <v>Comoros</v>
      </c>
      <c r="D3428">
        <f>IFERROR(__xludf.DUMMYFUNCTION("""COMPUTED_VALUE"""),2007.0)</f>
        <v>2007</v>
      </c>
      <c r="E3428">
        <f>IFERROR(__xludf.DUMMYFUNCTION("""COMPUTED_VALUE"""),641620.0)</f>
        <v>641620</v>
      </c>
    </row>
    <row r="3429">
      <c r="A3429" t="str">
        <f t="shared" si="1"/>
        <v>com#2008</v>
      </c>
      <c r="B3429" t="str">
        <f>IFERROR(__xludf.DUMMYFUNCTION("""COMPUTED_VALUE"""),"com")</f>
        <v>com</v>
      </c>
      <c r="C3429" t="str">
        <f>IFERROR(__xludf.DUMMYFUNCTION("""COMPUTED_VALUE"""),"Comoros")</f>
        <v>Comoros</v>
      </c>
      <c r="D3429">
        <f>IFERROR(__xludf.DUMMYFUNCTION("""COMPUTED_VALUE"""),2008.0)</f>
        <v>2008</v>
      </c>
      <c r="E3429">
        <f>IFERROR(__xludf.DUMMYFUNCTION("""COMPUTED_VALUE"""),657229.0)</f>
        <v>657229</v>
      </c>
    </row>
    <row r="3430">
      <c r="A3430" t="str">
        <f t="shared" si="1"/>
        <v>com#2009</v>
      </c>
      <c r="B3430" t="str">
        <f>IFERROR(__xludf.DUMMYFUNCTION("""COMPUTED_VALUE"""),"com")</f>
        <v>com</v>
      </c>
      <c r="C3430" t="str">
        <f>IFERROR(__xludf.DUMMYFUNCTION("""COMPUTED_VALUE"""),"Comoros")</f>
        <v>Comoros</v>
      </c>
      <c r="D3430">
        <f>IFERROR(__xludf.DUMMYFUNCTION("""COMPUTED_VALUE"""),2009.0)</f>
        <v>2009</v>
      </c>
      <c r="E3430">
        <f>IFERROR(__xludf.DUMMYFUNCTION("""COMPUTED_VALUE"""),673252.0)</f>
        <v>673252</v>
      </c>
    </row>
    <row r="3431">
      <c r="A3431" t="str">
        <f t="shared" si="1"/>
        <v>com#2010</v>
      </c>
      <c r="B3431" t="str">
        <f>IFERROR(__xludf.DUMMYFUNCTION("""COMPUTED_VALUE"""),"com")</f>
        <v>com</v>
      </c>
      <c r="C3431" t="str">
        <f>IFERROR(__xludf.DUMMYFUNCTION("""COMPUTED_VALUE"""),"Comoros")</f>
        <v>Comoros</v>
      </c>
      <c r="D3431">
        <f>IFERROR(__xludf.DUMMYFUNCTION("""COMPUTED_VALUE"""),2010.0)</f>
        <v>2010</v>
      </c>
      <c r="E3431">
        <f>IFERROR(__xludf.DUMMYFUNCTION("""COMPUTED_VALUE"""),689692.0)</f>
        <v>689692</v>
      </c>
    </row>
    <row r="3432">
      <c r="A3432" t="str">
        <f t="shared" si="1"/>
        <v>com#2011</v>
      </c>
      <c r="B3432" t="str">
        <f>IFERROR(__xludf.DUMMYFUNCTION("""COMPUTED_VALUE"""),"com")</f>
        <v>com</v>
      </c>
      <c r="C3432" t="str">
        <f>IFERROR(__xludf.DUMMYFUNCTION("""COMPUTED_VALUE"""),"Comoros")</f>
        <v>Comoros</v>
      </c>
      <c r="D3432">
        <f>IFERROR(__xludf.DUMMYFUNCTION("""COMPUTED_VALUE"""),2011.0)</f>
        <v>2011</v>
      </c>
      <c r="E3432">
        <f>IFERROR(__xludf.DUMMYFUNCTION("""COMPUTED_VALUE"""),706569.0)</f>
        <v>706569</v>
      </c>
    </row>
    <row r="3433">
      <c r="A3433" t="str">
        <f t="shared" si="1"/>
        <v>com#2012</v>
      </c>
      <c r="B3433" t="str">
        <f>IFERROR(__xludf.DUMMYFUNCTION("""COMPUTED_VALUE"""),"com")</f>
        <v>com</v>
      </c>
      <c r="C3433" t="str">
        <f>IFERROR(__xludf.DUMMYFUNCTION("""COMPUTED_VALUE"""),"Comoros")</f>
        <v>Comoros</v>
      </c>
      <c r="D3433">
        <f>IFERROR(__xludf.DUMMYFUNCTION("""COMPUTED_VALUE"""),2012.0)</f>
        <v>2012</v>
      </c>
      <c r="E3433">
        <f>IFERROR(__xludf.DUMMYFUNCTION("""COMPUTED_VALUE"""),723868.0)</f>
        <v>723868</v>
      </c>
    </row>
    <row r="3434">
      <c r="A3434" t="str">
        <f t="shared" si="1"/>
        <v>com#2013</v>
      </c>
      <c r="B3434" t="str">
        <f>IFERROR(__xludf.DUMMYFUNCTION("""COMPUTED_VALUE"""),"com")</f>
        <v>com</v>
      </c>
      <c r="C3434" t="str">
        <f>IFERROR(__xludf.DUMMYFUNCTION("""COMPUTED_VALUE"""),"Comoros")</f>
        <v>Comoros</v>
      </c>
      <c r="D3434">
        <f>IFERROR(__xludf.DUMMYFUNCTION("""COMPUTED_VALUE"""),2013.0)</f>
        <v>2013</v>
      </c>
      <c r="E3434">
        <f>IFERROR(__xludf.DUMMYFUNCTION("""COMPUTED_VALUE"""),741500.0)</f>
        <v>741500</v>
      </c>
    </row>
    <row r="3435">
      <c r="A3435" t="str">
        <f t="shared" si="1"/>
        <v>com#2014</v>
      </c>
      <c r="B3435" t="str">
        <f>IFERROR(__xludf.DUMMYFUNCTION("""COMPUTED_VALUE"""),"com")</f>
        <v>com</v>
      </c>
      <c r="C3435" t="str">
        <f>IFERROR(__xludf.DUMMYFUNCTION("""COMPUTED_VALUE"""),"Comoros")</f>
        <v>Comoros</v>
      </c>
      <c r="D3435">
        <f>IFERROR(__xludf.DUMMYFUNCTION("""COMPUTED_VALUE"""),2014.0)</f>
        <v>2014</v>
      </c>
      <c r="E3435">
        <f>IFERROR(__xludf.DUMMYFUNCTION("""COMPUTED_VALUE"""),759385.0)</f>
        <v>759385</v>
      </c>
    </row>
    <row r="3436">
      <c r="A3436" t="str">
        <f t="shared" si="1"/>
        <v>com#2015</v>
      </c>
      <c r="B3436" t="str">
        <f>IFERROR(__xludf.DUMMYFUNCTION("""COMPUTED_VALUE"""),"com")</f>
        <v>com</v>
      </c>
      <c r="C3436" t="str">
        <f>IFERROR(__xludf.DUMMYFUNCTION("""COMPUTED_VALUE"""),"Comoros")</f>
        <v>Comoros</v>
      </c>
      <c r="D3436">
        <f>IFERROR(__xludf.DUMMYFUNCTION("""COMPUTED_VALUE"""),2015.0)</f>
        <v>2015</v>
      </c>
      <c r="E3436">
        <f>IFERROR(__xludf.DUMMYFUNCTION("""COMPUTED_VALUE"""),777424.0)</f>
        <v>777424</v>
      </c>
    </row>
    <row r="3437">
      <c r="A3437" t="str">
        <f t="shared" si="1"/>
        <v>com#2016</v>
      </c>
      <c r="B3437" t="str">
        <f>IFERROR(__xludf.DUMMYFUNCTION("""COMPUTED_VALUE"""),"com")</f>
        <v>com</v>
      </c>
      <c r="C3437" t="str">
        <f>IFERROR(__xludf.DUMMYFUNCTION("""COMPUTED_VALUE"""),"Comoros")</f>
        <v>Comoros</v>
      </c>
      <c r="D3437">
        <f>IFERROR(__xludf.DUMMYFUNCTION("""COMPUTED_VALUE"""),2016.0)</f>
        <v>2016</v>
      </c>
      <c r="E3437">
        <f>IFERROR(__xludf.DUMMYFUNCTION("""COMPUTED_VALUE"""),795601.0)</f>
        <v>795601</v>
      </c>
    </row>
    <row r="3438">
      <c r="A3438" t="str">
        <f t="shared" si="1"/>
        <v>com#2017</v>
      </c>
      <c r="B3438" t="str">
        <f>IFERROR(__xludf.DUMMYFUNCTION("""COMPUTED_VALUE"""),"com")</f>
        <v>com</v>
      </c>
      <c r="C3438" t="str">
        <f>IFERROR(__xludf.DUMMYFUNCTION("""COMPUTED_VALUE"""),"Comoros")</f>
        <v>Comoros</v>
      </c>
      <c r="D3438">
        <f>IFERROR(__xludf.DUMMYFUNCTION("""COMPUTED_VALUE"""),2017.0)</f>
        <v>2017</v>
      </c>
      <c r="E3438">
        <f>IFERROR(__xludf.DUMMYFUNCTION("""COMPUTED_VALUE"""),813912.0)</f>
        <v>813912</v>
      </c>
    </row>
    <row r="3439">
      <c r="A3439" t="str">
        <f t="shared" si="1"/>
        <v>com#2018</v>
      </c>
      <c r="B3439" t="str">
        <f>IFERROR(__xludf.DUMMYFUNCTION("""COMPUTED_VALUE"""),"com")</f>
        <v>com</v>
      </c>
      <c r="C3439" t="str">
        <f>IFERROR(__xludf.DUMMYFUNCTION("""COMPUTED_VALUE"""),"Comoros")</f>
        <v>Comoros</v>
      </c>
      <c r="D3439">
        <f>IFERROR(__xludf.DUMMYFUNCTION("""COMPUTED_VALUE"""),2018.0)</f>
        <v>2018</v>
      </c>
      <c r="E3439">
        <f>IFERROR(__xludf.DUMMYFUNCTION("""COMPUTED_VALUE"""),832347.0)</f>
        <v>832347</v>
      </c>
    </row>
    <row r="3440">
      <c r="A3440" t="str">
        <f t="shared" si="1"/>
        <v>com#2019</v>
      </c>
      <c r="B3440" t="str">
        <f>IFERROR(__xludf.DUMMYFUNCTION("""COMPUTED_VALUE"""),"com")</f>
        <v>com</v>
      </c>
      <c r="C3440" t="str">
        <f>IFERROR(__xludf.DUMMYFUNCTION("""COMPUTED_VALUE"""),"Comoros")</f>
        <v>Comoros</v>
      </c>
      <c r="D3440">
        <f>IFERROR(__xludf.DUMMYFUNCTION("""COMPUTED_VALUE"""),2019.0)</f>
        <v>2019</v>
      </c>
      <c r="E3440">
        <f>IFERROR(__xludf.DUMMYFUNCTION("""COMPUTED_VALUE"""),850910.0)</f>
        <v>850910</v>
      </c>
    </row>
    <row r="3441">
      <c r="A3441" t="str">
        <f t="shared" si="1"/>
        <v>com#2020</v>
      </c>
      <c r="B3441" t="str">
        <f>IFERROR(__xludf.DUMMYFUNCTION("""COMPUTED_VALUE"""),"com")</f>
        <v>com</v>
      </c>
      <c r="C3441" t="str">
        <f>IFERROR(__xludf.DUMMYFUNCTION("""COMPUTED_VALUE"""),"Comoros")</f>
        <v>Comoros</v>
      </c>
      <c r="D3441">
        <f>IFERROR(__xludf.DUMMYFUNCTION("""COMPUTED_VALUE"""),2020.0)</f>
        <v>2020</v>
      </c>
      <c r="E3441">
        <f>IFERROR(__xludf.DUMMYFUNCTION("""COMPUTED_VALUE"""),869601.0)</f>
        <v>869601</v>
      </c>
    </row>
    <row r="3442">
      <c r="A3442" t="str">
        <f t="shared" si="1"/>
        <v>com#2021</v>
      </c>
      <c r="B3442" t="str">
        <f>IFERROR(__xludf.DUMMYFUNCTION("""COMPUTED_VALUE"""),"com")</f>
        <v>com</v>
      </c>
      <c r="C3442" t="str">
        <f>IFERROR(__xludf.DUMMYFUNCTION("""COMPUTED_VALUE"""),"Comoros")</f>
        <v>Comoros</v>
      </c>
      <c r="D3442">
        <f>IFERROR(__xludf.DUMMYFUNCTION("""COMPUTED_VALUE"""),2021.0)</f>
        <v>2021</v>
      </c>
      <c r="E3442">
        <f>IFERROR(__xludf.DUMMYFUNCTION("""COMPUTED_VALUE"""),888407.0)</f>
        <v>888407</v>
      </c>
    </row>
    <row r="3443">
      <c r="A3443" t="str">
        <f t="shared" si="1"/>
        <v>com#2022</v>
      </c>
      <c r="B3443" t="str">
        <f>IFERROR(__xludf.DUMMYFUNCTION("""COMPUTED_VALUE"""),"com")</f>
        <v>com</v>
      </c>
      <c r="C3443" t="str">
        <f>IFERROR(__xludf.DUMMYFUNCTION("""COMPUTED_VALUE"""),"Comoros")</f>
        <v>Comoros</v>
      </c>
      <c r="D3443">
        <f>IFERROR(__xludf.DUMMYFUNCTION("""COMPUTED_VALUE"""),2022.0)</f>
        <v>2022</v>
      </c>
      <c r="E3443">
        <f>IFERROR(__xludf.DUMMYFUNCTION("""COMPUTED_VALUE"""),907306.0)</f>
        <v>907306</v>
      </c>
    </row>
    <row r="3444">
      <c r="A3444" t="str">
        <f t="shared" si="1"/>
        <v>com#2023</v>
      </c>
      <c r="B3444" t="str">
        <f>IFERROR(__xludf.DUMMYFUNCTION("""COMPUTED_VALUE"""),"com")</f>
        <v>com</v>
      </c>
      <c r="C3444" t="str">
        <f>IFERROR(__xludf.DUMMYFUNCTION("""COMPUTED_VALUE"""),"Comoros")</f>
        <v>Comoros</v>
      </c>
      <c r="D3444">
        <f>IFERROR(__xludf.DUMMYFUNCTION("""COMPUTED_VALUE"""),2023.0)</f>
        <v>2023</v>
      </c>
      <c r="E3444">
        <f>IFERROR(__xludf.DUMMYFUNCTION("""COMPUTED_VALUE"""),926312.0)</f>
        <v>926312</v>
      </c>
    </row>
    <row r="3445">
      <c r="A3445" t="str">
        <f t="shared" si="1"/>
        <v>com#2024</v>
      </c>
      <c r="B3445" t="str">
        <f>IFERROR(__xludf.DUMMYFUNCTION("""COMPUTED_VALUE"""),"com")</f>
        <v>com</v>
      </c>
      <c r="C3445" t="str">
        <f>IFERROR(__xludf.DUMMYFUNCTION("""COMPUTED_VALUE"""),"Comoros")</f>
        <v>Comoros</v>
      </c>
      <c r="D3445">
        <f>IFERROR(__xludf.DUMMYFUNCTION("""COMPUTED_VALUE"""),2024.0)</f>
        <v>2024</v>
      </c>
      <c r="E3445">
        <f>IFERROR(__xludf.DUMMYFUNCTION("""COMPUTED_VALUE"""),945406.0)</f>
        <v>945406</v>
      </c>
    </row>
    <row r="3446">
      <c r="A3446" t="str">
        <f t="shared" si="1"/>
        <v>com#2025</v>
      </c>
      <c r="B3446" t="str">
        <f>IFERROR(__xludf.DUMMYFUNCTION("""COMPUTED_VALUE"""),"com")</f>
        <v>com</v>
      </c>
      <c r="C3446" t="str">
        <f>IFERROR(__xludf.DUMMYFUNCTION("""COMPUTED_VALUE"""),"Comoros")</f>
        <v>Comoros</v>
      </c>
      <c r="D3446">
        <f>IFERROR(__xludf.DUMMYFUNCTION("""COMPUTED_VALUE"""),2025.0)</f>
        <v>2025</v>
      </c>
      <c r="E3446">
        <f>IFERROR(__xludf.DUMMYFUNCTION("""COMPUTED_VALUE"""),964591.0)</f>
        <v>964591</v>
      </c>
    </row>
    <row r="3447">
      <c r="A3447" t="str">
        <f t="shared" si="1"/>
        <v>com#2026</v>
      </c>
      <c r="B3447" t="str">
        <f>IFERROR(__xludf.DUMMYFUNCTION("""COMPUTED_VALUE"""),"com")</f>
        <v>com</v>
      </c>
      <c r="C3447" t="str">
        <f>IFERROR(__xludf.DUMMYFUNCTION("""COMPUTED_VALUE"""),"Comoros")</f>
        <v>Comoros</v>
      </c>
      <c r="D3447">
        <f>IFERROR(__xludf.DUMMYFUNCTION("""COMPUTED_VALUE"""),2026.0)</f>
        <v>2026</v>
      </c>
      <c r="E3447">
        <f>IFERROR(__xludf.DUMMYFUNCTION("""COMPUTED_VALUE"""),983860.0)</f>
        <v>983860</v>
      </c>
    </row>
    <row r="3448">
      <c r="A3448" t="str">
        <f t="shared" si="1"/>
        <v>com#2027</v>
      </c>
      <c r="B3448" t="str">
        <f>IFERROR(__xludf.DUMMYFUNCTION("""COMPUTED_VALUE"""),"com")</f>
        <v>com</v>
      </c>
      <c r="C3448" t="str">
        <f>IFERROR(__xludf.DUMMYFUNCTION("""COMPUTED_VALUE"""),"Comoros")</f>
        <v>Comoros</v>
      </c>
      <c r="D3448">
        <f>IFERROR(__xludf.DUMMYFUNCTION("""COMPUTED_VALUE"""),2027.0)</f>
        <v>2027</v>
      </c>
      <c r="E3448">
        <f>IFERROR(__xludf.DUMMYFUNCTION("""COMPUTED_VALUE"""),1003211.0)</f>
        <v>1003211</v>
      </c>
    </row>
    <row r="3449">
      <c r="A3449" t="str">
        <f t="shared" si="1"/>
        <v>com#2028</v>
      </c>
      <c r="B3449" t="str">
        <f>IFERROR(__xludf.DUMMYFUNCTION("""COMPUTED_VALUE"""),"com")</f>
        <v>com</v>
      </c>
      <c r="C3449" t="str">
        <f>IFERROR(__xludf.DUMMYFUNCTION("""COMPUTED_VALUE"""),"Comoros")</f>
        <v>Comoros</v>
      </c>
      <c r="D3449">
        <f>IFERROR(__xludf.DUMMYFUNCTION("""COMPUTED_VALUE"""),2028.0)</f>
        <v>2028</v>
      </c>
      <c r="E3449">
        <f>IFERROR(__xludf.DUMMYFUNCTION("""COMPUTED_VALUE"""),1022641.0)</f>
        <v>1022641</v>
      </c>
    </row>
    <row r="3450">
      <c r="A3450" t="str">
        <f t="shared" si="1"/>
        <v>com#2029</v>
      </c>
      <c r="B3450" t="str">
        <f>IFERROR(__xludf.DUMMYFUNCTION("""COMPUTED_VALUE"""),"com")</f>
        <v>com</v>
      </c>
      <c r="C3450" t="str">
        <f>IFERROR(__xludf.DUMMYFUNCTION("""COMPUTED_VALUE"""),"Comoros")</f>
        <v>Comoros</v>
      </c>
      <c r="D3450">
        <f>IFERROR(__xludf.DUMMYFUNCTION("""COMPUTED_VALUE"""),2029.0)</f>
        <v>2029</v>
      </c>
      <c r="E3450">
        <f>IFERROR(__xludf.DUMMYFUNCTION("""COMPUTED_VALUE"""),1042164.0)</f>
        <v>1042164</v>
      </c>
    </row>
    <row r="3451">
      <c r="A3451" t="str">
        <f t="shared" si="1"/>
        <v>com#2030</v>
      </c>
      <c r="B3451" t="str">
        <f>IFERROR(__xludf.DUMMYFUNCTION("""COMPUTED_VALUE"""),"com")</f>
        <v>com</v>
      </c>
      <c r="C3451" t="str">
        <f>IFERROR(__xludf.DUMMYFUNCTION("""COMPUTED_VALUE"""),"Comoros")</f>
        <v>Comoros</v>
      </c>
      <c r="D3451">
        <f>IFERROR(__xludf.DUMMYFUNCTION("""COMPUTED_VALUE"""),2030.0)</f>
        <v>2030</v>
      </c>
      <c r="E3451">
        <f>IFERROR(__xludf.DUMMYFUNCTION("""COMPUTED_VALUE"""),1061775.0)</f>
        <v>1061775</v>
      </c>
    </row>
    <row r="3452">
      <c r="A3452" t="str">
        <f t="shared" si="1"/>
        <v>com#2031</v>
      </c>
      <c r="B3452" t="str">
        <f>IFERROR(__xludf.DUMMYFUNCTION("""COMPUTED_VALUE"""),"com")</f>
        <v>com</v>
      </c>
      <c r="C3452" t="str">
        <f>IFERROR(__xludf.DUMMYFUNCTION("""COMPUTED_VALUE"""),"Comoros")</f>
        <v>Comoros</v>
      </c>
      <c r="D3452">
        <f>IFERROR(__xludf.DUMMYFUNCTION("""COMPUTED_VALUE"""),2031.0)</f>
        <v>2031</v>
      </c>
      <c r="E3452">
        <f>IFERROR(__xludf.DUMMYFUNCTION("""COMPUTED_VALUE"""),1081470.0)</f>
        <v>1081470</v>
      </c>
    </row>
    <row r="3453">
      <c r="A3453" t="str">
        <f t="shared" si="1"/>
        <v>com#2032</v>
      </c>
      <c r="B3453" t="str">
        <f>IFERROR(__xludf.DUMMYFUNCTION("""COMPUTED_VALUE"""),"com")</f>
        <v>com</v>
      </c>
      <c r="C3453" t="str">
        <f>IFERROR(__xludf.DUMMYFUNCTION("""COMPUTED_VALUE"""),"Comoros")</f>
        <v>Comoros</v>
      </c>
      <c r="D3453">
        <f>IFERROR(__xludf.DUMMYFUNCTION("""COMPUTED_VALUE"""),2032.0)</f>
        <v>2032</v>
      </c>
      <c r="E3453">
        <f>IFERROR(__xludf.DUMMYFUNCTION("""COMPUTED_VALUE"""),1101260.0)</f>
        <v>1101260</v>
      </c>
    </row>
    <row r="3454">
      <c r="A3454" t="str">
        <f t="shared" si="1"/>
        <v>com#2033</v>
      </c>
      <c r="B3454" t="str">
        <f>IFERROR(__xludf.DUMMYFUNCTION("""COMPUTED_VALUE"""),"com")</f>
        <v>com</v>
      </c>
      <c r="C3454" t="str">
        <f>IFERROR(__xludf.DUMMYFUNCTION("""COMPUTED_VALUE"""),"Comoros")</f>
        <v>Comoros</v>
      </c>
      <c r="D3454">
        <f>IFERROR(__xludf.DUMMYFUNCTION("""COMPUTED_VALUE"""),2033.0)</f>
        <v>2033</v>
      </c>
      <c r="E3454">
        <f>IFERROR(__xludf.DUMMYFUNCTION("""COMPUTED_VALUE"""),1121119.0)</f>
        <v>1121119</v>
      </c>
    </row>
    <row r="3455">
      <c r="A3455" t="str">
        <f t="shared" si="1"/>
        <v>com#2034</v>
      </c>
      <c r="B3455" t="str">
        <f>IFERROR(__xludf.DUMMYFUNCTION("""COMPUTED_VALUE"""),"com")</f>
        <v>com</v>
      </c>
      <c r="C3455" t="str">
        <f>IFERROR(__xludf.DUMMYFUNCTION("""COMPUTED_VALUE"""),"Comoros")</f>
        <v>Comoros</v>
      </c>
      <c r="D3455">
        <f>IFERROR(__xludf.DUMMYFUNCTION("""COMPUTED_VALUE"""),2034.0)</f>
        <v>2034</v>
      </c>
      <c r="E3455">
        <f>IFERROR(__xludf.DUMMYFUNCTION("""COMPUTED_VALUE"""),1141054.0)</f>
        <v>1141054</v>
      </c>
    </row>
    <row r="3456">
      <c r="A3456" t="str">
        <f t="shared" si="1"/>
        <v>com#2035</v>
      </c>
      <c r="B3456" t="str">
        <f>IFERROR(__xludf.DUMMYFUNCTION("""COMPUTED_VALUE"""),"com")</f>
        <v>com</v>
      </c>
      <c r="C3456" t="str">
        <f>IFERROR(__xludf.DUMMYFUNCTION("""COMPUTED_VALUE"""),"Comoros")</f>
        <v>Comoros</v>
      </c>
      <c r="D3456">
        <f>IFERROR(__xludf.DUMMYFUNCTION("""COMPUTED_VALUE"""),2035.0)</f>
        <v>2035</v>
      </c>
      <c r="E3456">
        <f>IFERROR(__xludf.DUMMYFUNCTION("""COMPUTED_VALUE"""),1161071.0)</f>
        <v>1161071</v>
      </c>
    </row>
    <row r="3457">
      <c r="A3457" t="str">
        <f t="shared" si="1"/>
        <v>com#2036</v>
      </c>
      <c r="B3457" t="str">
        <f>IFERROR(__xludf.DUMMYFUNCTION("""COMPUTED_VALUE"""),"com")</f>
        <v>com</v>
      </c>
      <c r="C3457" t="str">
        <f>IFERROR(__xludf.DUMMYFUNCTION("""COMPUTED_VALUE"""),"Comoros")</f>
        <v>Comoros</v>
      </c>
      <c r="D3457">
        <f>IFERROR(__xludf.DUMMYFUNCTION("""COMPUTED_VALUE"""),2036.0)</f>
        <v>2036</v>
      </c>
      <c r="E3457">
        <f>IFERROR(__xludf.DUMMYFUNCTION("""COMPUTED_VALUE"""),1181144.0)</f>
        <v>1181144</v>
      </c>
    </row>
    <row r="3458">
      <c r="A3458" t="str">
        <f t="shared" si="1"/>
        <v>com#2037</v>
      </c>
      <c r="B3458" t="str">
        <f>IFERROR(__xludf.DUMMYFUNCTION("""COMPUTED_VALUE"""),"com")</f>
        <v>com</v>
      </c>
      <c r="C3458" t="str">
        <f>IFERROR(__xludf.DUMMYFUNCTION("""COMPUTED_VALUE"""),"Comoros")</f>
        <v>Comoros</v>
      </c>
      <c r="D3458">
        <f>IFERROR(__xludf.DUMMYFUNCTION("""COMPUTED_VALUE"""),2037.0)</f>
        <v>2037</v>
      </c>
      <c r="E3458">
        <f>IFERROR(__xludf.DUMMYFUNCTION("""COMPUTED_VALUE"""),1201284.0)</f>
        <v>1201284</v>
      </c>
    </row>
    <row r="3459">
      <c r="A3459" t="str">
        <f t="shared" si="1"/>
        <v>com#2038</v>
      </c>
      <c r="B3459" t="str">
        <f>IFERROR(__xludf.DUMMYFUNCTION("""COMPUTED_VALUE"""),"com")</f>
        <v>com</v>
      </c>
      <c r="C3459" t="str">
        <f>IFERROR(__xludf.DUMMYFUNCTION("""COMPUTED_VALUE"""),"Comoros")</f>
        <v>Comoros</v>
      </c>
      <c r="D3459">
        <f>IFERROR(__xludf.DUMMYFUNCTION("""COMPUTED_VALUE"""),2038.0)</f>
        <v>2038</v>
      </c>
      <c r="E3459">
        <f>IFERROR(__xludf.DUMMYFUNCTION("""COMPUTED_VALUE"""),1221477.0)</f>
        <v>1221477</v>
      </c>
    </row>
    <row r="3460">
      <c r="A3460" t="str">
        <f t="shared" si="1"/>
        <v>com#2039</v>
      </c>
      <c r="B3460" t="str">
        <f>IFERROR(__xludf.DUMMYFUNCTION("""COMPUTED_VALUE"""),"com")</f>
        <v>com</v>
      </c>
      <c r="C3460" t="str">
        <f>IFERROR(__xludf.DUMMYFUNCTION("""COMPUTED_VALUE"""),"Comoros")</f>
        <v>Comoros</v>
      </c>
      <c r="D3460">
        <f>IFERROR(__xludf.DUMMYFUNCTION("""COMPUTED_VALUE"""),2039.0)</f>
        <v>2039</v>
      </c>
      <c r="E3460">
        <f>IFERROR(__xludf.DUMMYFUNCTION("""COMPUTED_VALUE"""),1241703.0)</f>
        <v>1241703</v>
      </c>
    </row>
    <row r="3461">
      <c r="A3461" t="str">
        <f t="shared" si="1"/>
        <v>com#2040</v>
      </c>
      <c r="B3461" t="str">
        <f>IFERROR(__xludf.DUMMYFUNCTION("""COMPUTED_VALUE"""),"com")</f>
        <v>com</v>
      </c>
      <c r="C3461" t="str">
        <f>IFERROR(__xludf.DUMMYFUNCTION("""COMPUTED_VALUE"""),"Comoros")</f>
        <v>Comoros</v>
      </c>
      <c r="D3461">
        <f>IFERROR(__xludf.DUMMYFUNCTION("""COMPUTED_VALUE"""),2040.0)</f>
        <v>2040</v>
      </c>
      <c r="E3461">
        <f>IFERROR(__xludf.DUMMYFUNCTION("""COMPUTED_VALUE"""),1261942.0)</f>
        <v>1261942</v>
      </c>
    </row>
    <row r="3462">
      <c r="A3462" t="str">
        <f t="shared" si="1"/>
        <v>cod#1950</v>
      </c>
      <c r="B3462" t="str">
        <f>IFERROR(__xludf.DUMMYFUNCTION("""COMPUTED_VALUE"""),"cod")</f>
        <v>cod</v>
      </c>
      <c r="C3462" t="str">
        <f>IFERROR(__xludf.DUMMYFUNCTION("""COMPUTED_VALUE"""),"Congo, Dem. Rep.")</f>
        <v>Congo, Dem. Rep.</v>
      </c>
      <c r="D3462">
        <f>IFERROR(__xludf.DUMMYFUNCTION("""COMPUTED_VALUE"""),1950.0)</f>
        <v>1950</v>
      </c>
      <c r="E3462">
        <f>IFERROR(__xludf.DUMMYFUNCTION("""COMPUTED_VALUE"""),1.2183659E7)</f>
        <v>12183659</v>
      </c>
    </row>
    <row r="3463">
      <c r="A3463" t="str">
        <f t="shared" si="1"/>
        <v>cod#1951</v>
      </c>
      <c r="B3463" t="str">
        <f>IFERROR(__xludf.DUMMYFUNCTION("""COMPUTED_VALUE"""),"cod")</f>
        <v>cod</v>
      </c>
      <c r="C3463" t="str">
        <f>IFERROR(__xludf.DUMMYFUNCTION("""COMPUTED_VALUE"""),"Congo, Dem. Rep.")</f>
        <v>Congo, Dem. Rep.</v>
      </c>
      <c r="D3463">
        <f>IFERROR(__xludf.DUMMYFUNCTION("""COMPUTED_VALUE"""),1951.0)</f>
        <v>1951</v>
      </c>
      <c r="E3463">
        <f>IFERROR(__xludf.DUMMYFUNCTION("""COMPUTED_VALUE"""),1.2428825E7)</f>
        <v>12428825</v>
      </c>
    </row>
    <row r="3464">
      <c r="A3464" t="str">
        <f t="shared" si="1"/>
        <v>cod#1952</v>
      </c>
      <c r="B3464" t="str">
        <f>IFERROR(__xludf.DUMMYFUNCTION("""COMPUTED_VALUE"""),"cod")</f>
        <v>cod</v>
      </c>
      <c r="C3464" t="str">
        <f>IFERROR(__xludf.DUMMYFUNCTION("""COMPUTED_VALUE"""),"Congo, Dem. Rep.")</f>
        <v>Congo, Dem. Rep.</v>
      </c>
      <c r="D3464">
        <f>IFERROR(__xludf.DUMMYFUNCTION("""COMPUTED_VALUE"""),1952.0)</f>
        <v>1952</v>
      </c>
      <c r="E3464">
        <f>IFERROR(__xludf.DUMMYFUNCTION("""COMPUTED_VALUE"""),1.2680927E7)</f>
        <v>12680927</v>
      </c>
    </row>
    <row r="3465">
      <c r="A3465" t="str">
        <f t="shared" si="1"/>
        <v>cod#1953</v>
      </c>
      <c r="B3465" t="str">
        <f>IFERROR(__xludf.DUMMYFUNCTION("""COMPUTED_VALUE"""),"cod")</f>
        <v>cod</v>
      </c>
      <c r="C3465" t="str">
        <f>IFERROR(__xludf.DUMMYFUNCTION("""COMPUTED_VALUE"""),"Congo, Dem. Rep.")</f>
        <v>Congo, Dem. Rep.</v>
      </c>
      <c r="D3465">
        <f>IFERROR(__xludf.DUMMYFUNCTION("""COMPUTED_VALUE"""),1953.0)</f>
        <v>1953</v>
      </c>
      <c r="E3465">
        <f>IFERROR(__xludf.DUMMYFUNCTION("""COMPUTED_VALUE"""),1.2944385E7)</f>
        <v>12944385</v>
      </c>
    </row>
    <row r="3466">
      <c r="A3466" t="str">
        <f t="shared" si="1"/>
        <v>cod#1954</v>
      </c>
      <c r="B3466" t="str">
        <f>IFERROR(__xludf.DUMMYFUNCTION("""COMPUTED_VALUE"""),"cod")</f>
        <v>cod</v>
      </c>
      <c r="C3466" t="str">
        <f>IFERROR(__xludf.DUMMYFUNCTION("""COMPUTED_VALUE"""),"Congo, Dem. Rep.")</f>
        <v>Congo, Dem. Rep.</v>
      </c>
      <c r="D3466">
        <f>IFERROR(__xludf.DUMMYFUNCTION("""COMPUTED_VALUE"""),1954.0)</f>
        <v>1954</v>
      </c>
      <c r="E3466">
        <f>IFERROR(__xludf.DUMMYFUNCTION("""COMPUTED_VALUE"""),1.3222518E7)</f>
        <v>13222518</v>
      </c>
    </row>
    <row r="3467">
      <c r="A3467" t="str">
        <f t="shared" si="1"/>
        <v>cod#1955</v>
      </c>
      <c r="B3467" t="str">
        <f>IFERROR(__xludf.DUMMYFUNCTION("""COMPUTED_VALUE"""),"cod")</f>
        <v>cod</v>
      </c>
      <c r="C3467" t="str">
        <f>IFERROR(__xludf.DUMMYFUNCTION("""COMPUTED_VALUE"""),"Congo, Dem. Rep.")</f>
        <v>Congo, Dem. Rep.</v>
      </c>
      <c r="D3467">
        <f>IFERROR(__xludf.DUMMYFUNCTION("""COMPUTED_VALUE"""),1955.0)</f>
        <v>1955</v>
      </c>
      <c r="E3467">
        <f>IFERROR(__xludf.DUMMYFUNCTION("""COMPUTED_VALUE"""),1.3517513E7)</f>
        <v>13517513</v>
      </c>
    </row>
    <row r="3468">
      <c r="A3468" t="str">
        <f t="shared" si="1"/>
        <v>cod#1956</v>
      </c>
      <c r="B3468" t="str">
        <f>IFERROR(__xludf.DUMMYFUNCTION("""COMPUTED_VALUE"""),"cod")</f>
        <v>cod</v>
      </c>
      <c r="C3468" t="str">
        <f>IFERROR(__xludf.DUMMYFUNCTION("""COMPUTED_VALUE"""),"Congo, Dem. Rep.")</f>
        <v>Congo, Dem. Rep.</v>
      </c>
      <c r="D3468">
        <f>IFERROR(__xludf.DUMMYFUNCTION("""COMPUTED_VALUE"""),1956.0)</f>
        <v>1956</v>
      </c>
      <c r="E3468">
        <f>IFERROR(__xludf.DUMMYFUNCTION("""COMPUTED_VALUE"""),1.383044E7)</f>
        <v>13830440</v>
      </c>
    </row>
    <row r="3469">
      <c r="A3469" t="str">
        <f t="shared" si="1"/>
        <v>cod#1957</v>
      </c>
      <c r="B3469" t="str">
        <f>IFERROR(__xludf.DUMMYFUNCTION("""COMPUTED_VALUE"""),"cod")</f>
        <v>cod</v>
      </c>
      <c r="C3469" t="str">
        <f>IFERROR(__xludf.DUMMYFUNCTION("""COMPUTED_VALUE"""),"Congo, Dem. Rep.")</f>
        <v>Congo, Dem. Rep.</v>
      </c>
      <c r="D3469">
        <f>IFERROR(__xludf.DUMMYFUNCTION("""COMPUTED_VALUE"""),1957.0)</f>
        <v>1957</v>
      </c>
      <c r="E3469">
        <f>IFERROR(__xludf.DUMMYFUNCTION("""COMPUTED_VALUE"""),1.4161242E7)</f>
        <v>14161242</v>
      </c>
    </row>
    <row r="3470">
      <c r="A3470" t="str">
        <f t="shared" si="1"/>
        <v>cod#1958</v>
      </c>
      <c r="B3470" t="str">
        <f>IFERROR(__xludf.DUMMYFUNCTION("""COMPUTED_VALUE"""),"cod")</f>
        <v>cod</v>
      </c>
      <c r="C3470" t="str">
        <f>IFERROR(__xludf.DUMMYFUNCTION("""COMPUTED_VALUE"""),"Congo, Dem. Rep.")</f>
        <v>Congo, Dem. Rep.</v>
      </c>
      <c r="D3470">
        <f>IFERROR(__xludf.DUMMYFUNCTION("""COMPUTED_VALUE"""),1958.0)</f>
        <v>1958</v>
      </c>
      <c r="E3470">
        <f>IFERROR(__xludf.DUMMYFUNCTION("""COMPUTED_VALUE"""),1.4508912E7)</f>
        <v>14508912</v>
      </c>
    </row>
    <row r="3471">
      <c r="A3471" t="str">
        <f t="shared" si="1"/>
        <v>cod#1959</v>
      </c>
      <c r="B3471" t="str">
        <f>IFERROR(__xludf.DUMMYFUNCTION("""COMPUTED_VALUE"""),"cod")</f>
        <v>cod</v>
      </c>
      <c r="C3471" t="str">
        <f>IFERROR(__xludf.DUMMYFUNCTION("""COMPUTED_VALUE"""),"Congo, Dem. Rep.")</f>
        <v>Congo, Dem. Rep.</v>
      </c>
      <c r="D3471">
        <f>IFERROR(__xludf.DUMMYFUNCTION("""COMPUTED_VALUE"""),1959.0)</f>
        <v>1959</v>
      </c>
      <c r="E3471">
        <f>IFERROR(__xludf.DUMMYFUNCTION("""COMPUTED_VALUE"""),1.4871772E7)</f>
        <v>14871772</v>
      </c>
    </row>
    <row r="3472">
      <c r="A3472" t="str">
        <f t="shared" si="1"/>
        <v>cod#1960</v>
      </c>
      <c r="B3472" t="str">
        <f>IFERROR(__xludf.DUMMYFUNCTION("""COMPUTED_VALUE"""),"cod")</f>
        <v>cod</v>
      </c>
      <c r="C3472" t="str">
        <f>IFERROR(__xludf.DUMMYFUNCTION("""COMPUTED_VALUE"""),"Congo, Dem. Rep.")</f>
        <v>Congo, Dem. Rep.</v>
      </c>
      <c r="D3472">
        <f>IFERROR(__xludf.DUMMYFUNCTION("""COMPUTED_VALUE"""),1960.0)</f>
        <v>1960</v>
      </c>
      <c r="E3472">
        <f>IFERROR(__xludf.DUMMYFUNCTION("""COMPUTED_VALUE"""),1.5248251E7)</f>
        <v>15248251</v>
      </c>
    </row>
    <row r="3473">
      <c r="A3473" t="str">
        <f t="shared" si="1"/>
        <v>cod#1961</v>
      </c>
      <c r="B3473" t="str">
        <f>IFERROR(__xludf.DUMMYFUNCTION("""COMPUTED_VALUE"""),"cod")</f>
        <v>cod</v>
      </c>
      <c r="C3473" t="str">
        <f>IFERROR(__xludf.DUMMYFUNCTION("""COMPUTED_VALUE"""),"Congo, Dem. Rep.")</f>
        <v>Congo, Dem. Rep.</v>
      </c>
      <c r="D3473">
        <f>IFERROR(__xludf.DUMMYFUNCTION("""COMPUTED_VALUE"""),1961.0)</f>
        <v>1961</v>
      </c>
      <c r="E3473">
        <f>IFERROR(__xludf.DUMMYFUNCTION("""COMPUTED_VALUE"""),1.5637733E7)</f>
        <v>15637733</v>
      </c>
    </row>
    <row r="3474">
      <c r="A3474" t="str">
        <f t="shared" si="1"/>
        <v>cod#1962</v>
      </c>
      <c r="B3474" t="str">
        <f>IFERROR(__xludf.DUMMYFUNCTION("""COMPUTED_VALUE"""),"cod")</f>
        <v>cod</v>
      </c>
      <c r="C3474" t="str">
        <f>IFERROR(__xludf.DUMMYFUNCTION("""COMPUTED_VALUE"""),"Congo, Dem. Rep.")</f>
        <v>Congo, Dem. Rep.</v>
      </c>
      <c r="D3474">
        <f>IFERROR(__xludf.DUMMYFUNCTION("""COMPUTED_VALUE"""),1962.0)</f>
        <v>1962</v>
      </c>
      <c r="E3474">
        <f>IFERROR(__xludf.DUMMYFUNCTION("""COMPUTED_VALUE"""),1.6041263E7)</f>
        <v>16041263</v>
      </c>
    </row>
    <row r="3475">
      <c r="A3475" t="str">
        <f t="shared" si="1"/>
        <v>cod#1963</v>
      </c>
      <c r="B3475" t="str">
        <f>IFERROR(__xludf.DUMMYFUNCTION("""COMPUTED_VALUE"""),"cod")</f>
        <v>cod</v>
      </c>
      <c r="C3475" t="str">
        <f>IFERROR(__xludf.DUMMYFUNCTION("""COMPUTED_VALUE"""),"Congo, Dem. Rep.")</f>
        <v>Congo, Dem. Rep.</v>
      </c>
      <c r="D3475">
        <f>IFERROR(__xludf.DUMMYFUNCTION("""COMPUTED_VALUE"""),1963.0)</f>
        <v>1963</v>
      </c>
      <c r="E3475">
        <f>IFERROR(__xludf.DUMMYFUNCTION("""COMPUTED_VALUE"""),1.646193E7)</f>
        <v>16461930</v>
      </c>
    </row>
    <row r="3476">
      <c r="A3476" t="str">
        <f t="shared" si="1"/>
        <v>cod#1964</v>
      </c>
      <c r="B3476" t="str">
        <f>IFERROR(__xludf.DUMMYFUNCTION("""COMPUTED_VALUE"""),"cod")</f>
        <v>cod</v>
      </c>
      <c r="C3476" t="str">
        <f>IFERROR(__xludf.DUMMYFUNCTION("""COMPUTED_VALUE"""),"Congo, Dem. Rep.")</f>
        <v>Congo, Dem. Rep.</v>
      </c>
      <c r="D3476">
        <f>IFERROR(__xludf.DUMMYFUNCTION("""COMPUTED_VALUE"""),1964.0)</f>
        <v>1964</v>
      </c>
      <c r="E3476">
        <f>IFERROR(__xludf.DUMMYFUNCTION("""COMPUTED_VALUE"""),1.6903923E7)</f>
        <v>16903923</v>
      </c>
    </row>
    <row r="3477">
      <c r="A3477" t="str">
        <f t="shared" si="1"/>
        <v>cod#1965</v>
      </c>
      <c r="B3477" t="str">
        <f>IFERROR(__xludf.DUMMYFUNCTION("""COMPUTED_VALUE"""),"cod")</f>
        <v>cod</v>
      </c>
      <c r="C3477" t="str">
        <f>IFERROR(__xludf.DUMMYFUNCTION("""COMPUTED_VALUE"""),"Congo, Dem. Rep.")</f>
        <v>Congo, Dem. Rep.</v>
      </c>
      <c r="D3477">
        <f>IFERROR(__xludf.DUMMYFUNCTION("""COMPUTED_VALUE"""),1965.0)</f>
        <v>1965</v>
      </c>
      <c r="E3477">
        <f>IFERROR(__xludf.DUMMYFUNCTION("""COMPUTED_VALUE"""),1.7369883E7)</f>
        <v>17369883</v>
      </c>
    </row>
    <row r="3478">
      <c r="A3478" t="str">
        <f t="shared" si="1"/>
        <v>cod#1966</v>
      </c>
      <c r="B3478" t="str">
        <f>IFERROR(__xludf.DUMMYFUNCTION("""COMPUTED_VALUE"""),"cod")</f>
        <v>cod</v>
      </c>
      <c r="C3478" t="str">
        <f>IFERROR(__xludf.DUMMYFUNCTION("""COMPUTED_VALUE"""),"Congo, Dem. Rep.")</f>
        <v>Congo, Dem. Rep.</v>
      </c>
      <c r="D3478">
        <f>IFERROR(__xludf.DUMMYFUNCTION("""COMPUTED_VALUE"""),1966.0)</f>
        <v>1966</v>
      </c>
      <c r="E3478">
        <f>IFERROR(__xludf.DUMMYFUNCTION("""COMPUTED_VALUE"""),1.7861881E7)</f>
        <v>17861881</v>
      </c>
    </row>
    <row r="3479">
      <c r="A3479" t="str">
        <f t="shared" si="1"/>
        <v>cod#1967</v>
      </c>
      <c r="B3479" t="str">
        <f>IFERROR(__xludf.DUMMYFUNCTION("""COMPUTED_VALUE"""),"cod")</f>
        <v>cod</v>
      </c>
      <c r="C3479" t="str">
        <f>IFERROR(__xludf.DUMMYFUNCTION("""COMPUTED_VALUE"""),"Congo, Dem. Rep.")</f>
        <v>Congo, Dem. Rep.</v>
      </c>
      <c r="D3479">
        <f>IFERROR(__xludf.DUMMYFUNCTION("""COMPUTED_VALUE"""),1967.0)</f>
        <v>1967</v>
      </c>
      <c r="E3479">
        <f>IFERROR(__xludf.DUMMYFUNCTION("""COMPUTED_VALUE"""),1.8378214E7)</f>
        <v>18378214</v>
      </c>
    </row>
    <row r="3480">
      <c r="A3480" t="str">
        <f t="shared" si="1"/>
        <v>cod#1968</v>
      </c>
      <c r="B3480" t="str">
        <f>IFERROR(__xludf.DUMMYFUNCTION("""COMPUTED_VALUE"""),"cod")</f>
        <v>cod</v>
      </c>
      <c r="C3480" t="str">
        <f>IFERROR(__xludf.DUMMYFUNCTION("""COMPUTED_VALUE"""),"Congo, Dem. Rep.")</f>
        <v>Congo, Dem. Rep.</v>
      </c>
      <c r="D3480">
        <f>IFERROR(__xludf.DUMMYFUNCTION("""COMPUTED_VALUE"""),1968.0)</f>
        <v>1968</v>
      </c>
      <c r="E3480">
        <f>IFERROR(__xludf.DUMMYFUNCTION("""COMPUTED_VALUE"""),1.8913203E7)</f>
        <v>18913203</v>
      </c>
    </row>
    <row r="3481">
      <c r="A3481" t="str">
        <f t="shared" si="1"/>
        <v>cod#1969</v>
      </c>
      <c r="B3481" t="str">
        <f>IFERROR(__xludf.DUMMYFUNCTION("""COMPUTED_VALUE"""),"cod")</f>
        <v>cod</v>
      </c>
      <c r="C3481" t="str">
        <f>IFERROR(__xludf.DUMMYFUNCTION("""COMPUTED_VALUE"""),"Congo, Dem. Rep.")</f>
        <v>Congo, Dem. Rep.</v>
      </c>
      <c r="D3481">
        <f>IFERROR(__xludf.DUMMYFUNCTION("""COMPUTED_VALUE"""),1969.0)</f>
        <v>1969</v>
      </c>
      <c r="E3481">
        <f>IFERROR(__xludf.DUMMYFUNCTION("""COMPUTED_VALUE"""),1.9458904E7)</f>
        <v>19458904</v>
      </c>
    </row>
    <row r="3482">
      <c r="A3482" t="str">
        <f t="shared" si="1"/>
        <v>cod#1970</v>
      </c>
      <c r="B3482" t="str">
        <f>IFERROR(__xludf.DUMMYFUNCTION("""COMPUTED_VALUE"""),"cod")</f>
        <v>cod</v>
      </c>
      <c r="C3482" t="str">
        <f>IFERROR(__xludf.DUMMYFUNCTION("""COMPUTED_VALUE"""),"Congo, Dem. Rep.")</f>
        <v>Congo, Dem. Rep.</v>
      </c>
      <c r="D3482">
        <f>IFERROR(__xludf.DUMMYFUNCTION("""COMPUTED_VALUE"""),1970.0)</f>
        <v>1970</v>
      </c>
      <c r="E3482">
        <f>IFERROR(__xludf.DUMMYFUNCTION("""COMPUTED_VALUE"""),2.0009935E7)</f>
        <v>20009935</v>
      </c>
    </row>
    <row r="3483">
      <c r="A3483" t="str">
        <f t="shared" si="1"/>
        <v>cod#1971</v>
      </c>
      <c r="B3483" t="str">
        <f>IFERROR(__xludf.DUMMYFUNCTION("""COMPUTED_VALUE"""),"cod")</f>
        <v>cod</v>
      </c>
      <c r="C3483" t="str">
        <f>IFERROR(__xludf.DUMMYFUNCTION("""COMPUTED_VALUE"""),"Congo, Dem. Rep.")</f>
        <v>Congo, Dem. Rep.</v>
      </c>
      <c r="D3483">
        <f>IFERROR(__xludf.DUMMYFUNCTION("""COMPUTED_VALUE"""),1971.0)</f>
        <v>1971</v>
      </c>
      <c r="E3483">
        <f>IFERROR(__xludf.DUMMYFUNCTION("""COMPUTED_VALUE"""),2.0562865E7)</f>
        <v>20562865</v>
      </c>
    </row>
    <row r="3484">
      <c r="A3484" t="str">
        <f t="shared" si="1"/>
        <v>cod#1972</v>
      </c>
      <c r="B3484" t="str">
        <f>IFERROR(__xludf.DUMMYFUNCTION("""COMPUTED_VALUE"""),"cod")</f>
        <v>cod</v>
      </c>
      <c r="C3484" t="str">
        <f>IFERROR(__xludf.DUMMYFUNCTION("""COMPUTED_VALUE"""),"Congo, Dem. Rep.")</f>
        <v>Congo, Dem. Rep.</v>
      </c>
      <c r="D3484">
        <f>IFERROR(__xludf.DUMMYFUNCTION("""COMPUTED_VALUE"""),1972.0)</f>
        <v>1972</v>
      </c>
      <c r="E3484">
        <f>IFERROR(__xludf.DUMMYFUNCTION("""COMPUTED_VALUE"""),2.112014E7)</f>
        <v>21120140</v>
      </c>
    </row>
    <row r="3485">
      <c r="A3485" t="str">
        <f t="shared" si="1"/>
        <v>cod#1973</v>
      </c>
      <c r="B3485" t="str">
        <f>IFERROR(__xludf.DUMMYFUNCTION("""COMPUTED_VALUE"""),"cod")</f>
        <v>cod</v>
      </c>
      <c r="C3485" t="str">
        <f>IFERROR(__xludf.DUMMYFUNCTION("""COMPUTED_VALUE"""),"Congo, Dem. Rep.")</f>
        <v>Congo, Dem. Rep.</v>
      </c>
      <c r="D3485">
        <f>IFERROR(__xludf.DUMMYFUNCTION("""COMPUTED_VALUE"""),1973.0)</f>
        <v>1973</v>
      </c>
      <c r="E3485">
        <f>IFERROR(__xludf.DUMMYFUNCTION("""COMPUTED_VALUE"""),2.1689239E7)</f>
        <v>21689239</v>
      </c>
    </row>
    <row r="3486">
      <c r="A3486" t="str">
        <f t="shared" si="1"/>
        <v>cod#1974</v>
      </c>
      <c r="B3486" t="str">
        <f>IFERROR(__xludf.DUMMYFUNCTION("""COMPUTED_VALUE"""),"cod")</f>
        <v>cod</v>
      </c>
      <c r="C3486" t="str">
        <f>IFERROR(__xludf.DUMMYFUNCTION("""COMPUTED_VALUE"""),"Congo, Dem. Rep.")</f>
        <v>Congo, Dem. Rep.</v>
      </c>
      <c r="D3486">
        <f>IFERROR(__xludf.DUMMYFUNCTION("""COMPUTED_VALUE"""),1974.0)</f>
        <v>1974</v>
      </c>
      <c r="E3486">
        <f>IFERROR(__xludf.DUMMYFUNCTION("""COMPUTED_VALUE"""),2.2280923E7)</f>
        <v>22280923</v>
      </c>
    </row>
    <row r="3487">
      <c r="A3487" t="str">
        <f t="shared" si="1"/>
        <v>cod#1975</v>
      </c>
      <c r="B3487" t="str">
        <f>IFERROR(__xludf.DUMMYFUNCTION("""COMPUTED_VALUE"""),"cod")</f>
        <v>cod</v>
      </c>
      <c r="C3487" t="str">
        <f>IFERROR(__xludf.DUMMYFUNCTION("""COMPUTED_VALUE"""),"Congo, Dem. Rep.")</f>
        <v>Congo, Dem. Rep.</v>
      </c>
      <c r="D3487">
        <f>IFERROR(__xludf.DUMMYFUNCTION("""COMPUTED_VALUE"""),1975.0)</f>
        <v>1975</v>
      </c>
      <c r="E3487">
        <f>IFERROR(__xludf.DUMMYFUNCTION("""COMPUTED_VALUE"""),2.2902319E7)</f>
        <v>22902319</v>
      </c>
    </row>
    <row r="3488">
      <c r="A3488" t="str">
        <f t="shared" si="1"/>
        <v>cod#1976</v>
      </c>
      <c r="B3488" t="str">
        <f>IFERROR(__xludf.DUMMYFUNCTION("""COMPUTED_VALUE"""),"cod")</f>
        <v>cod</v>
      </c>
      <c r="C3488" t="str">
        <f>IFERROR(__xludf.DUMMYFUNCTION("""COMPUTED_VALUE"""),"Congo, Dem. Rep.")</f>
        <v>Congo, Dem. Rep.</v>
      </c>
      <c r="D3488">
        <f>IFERROR(__xludf.DUMMYFUNCTION("""COMPUTED_VALUE"""),1976.0)</f>
        <v>1976</v>
      </c>
      <c r="E3488">
        <f>IFERROR(__xludf.DUMMYFUNCTION("""COMPUTED_VALUE"""),2.3559071E7)</f>
        <v>23559071</v>
      </c>
    </row>
    <row r="3489">
      <c r="A3489" t="str">
        <f t="shared" si="1"/>
        <v>cod#1977</v>
      </c>
      <c r="B3489" t="str">
        <f>IFERROR(__xludf.DUMMYFUNCTION("""COMPUTED_VALUE"""),"cod")</f>
        <v>cod</v>
      </c>
      <c r="C3489" t="str">
        <f>IFERROR(__xludf.DUMMYFUNCTION("""COMPUTED_VALUE"""),"Congo, Dem. Rep.")</f>
        <v>Congo, Dem. Rep.</v>
      </c>
      <c r="D3489">
        <f>IFERROR(__xludf.DUMMYFUNCTION("""COMPUTED_VALUE"""),1977.0)</f>
        <v>1977</v>
      </c>
      <c r="E3489">
        <f>IFERROR(__xludf.DUMMYFUNCTION("""COMPUTED_VALUE"""),2.424755E7)</f>
        <v>24247550</v>
      </c>
    </row>
    <row r="3490">
      <c r="A3490" t="str">
        <f t="shared" si="1"/>
        <v>cod#1978</v>
      </c>
      <c r="B3490" t="str">
        <f>IFERROR(__xludf.DUMMYFUNCTION("""COMPUTED_VALUE"""),"cod")</f>
        <v>cod</v>
      </c>
      <c r="C3490" t="str">
        <f>IFERROR(__xludf.DUMMYFUNCTION("""COMPUTED_VALUE"""),"Congo, Dem. Rep.")</f>
        <v>Congo, Dem. Rep.</v>
      </c>
      <c r="D3490">
        <f>IFERROR(__xludf.DUMMYFUNCTION("""COMPUTED_VALUE"""),1978.0)</f>
        <v>1978</v>
      </c>
      <c r="E3490">
        <f>IFERROR(__xludf.DUMMYFUNCTION("""COMPUTED_VALUE"""),2.4954655E7)</f>
        <v>24954655</v>
      </c>
    </row>
    <row r="3491">
      <c r="A3491" t="str">
        <f t="shared" si="1"/>
        <v>cod#1979</v>
      </c>
      <c r="B3491" t="str">
        <f>IFERROR(__xludf.DUMMYFUNCTION("""COMPUTED_VALUE"""),"cod")</f>
        <v>cod</v>
      </c>
      <c r="C3491" t="str">
        <f>IFERROR(__xludf.DUMMYFUNCTION("""COMPUTED_VALUE"""),"Congo, Dem. Rep.")</f>
        <v>Congo, Dem. Rep.</v>
      </c>
      <c r="D3491">
        <f>IFERROR(__xludf.DUMMYFUNCTION("""COMPUTED_VALUE"""),1979.0)</f>
        <v>1979</v>
      </c>
      <c r="E3491">
        <f>IFERROR(__xludf.DUMMYFUNCTION("""COMPUTED_VALUE"""),2.5661884E7)</f>
        <v>25661884</v>
      </c>
    </row>
    <row r="3492">
      <c r="A3492" t="str">
        <f t="shared" si="1"/>
        <v>cod#1980</v>
      </c>
      <c r="B3492" t="str">
        <f>IFERROR(__xludf.DUMMYFUNCTION("""COMPUTED_VALUE"""),"cod")</f>
        <v>cod</v>
      </c>
      <c r="C3492" t="str">
        <f>IFERROR(__xludf.DUMMYFUNCTION("""COMPUTED_VALUE"""),"Congo, Dem. Rep.")</f>
        <v>Congo, Dem. Rep.</v>
      </c>
      <c r="D3492">
        <f>IFERROR(__xludf.DUMMYFUNCTION("""COMPUTED_VALUE"""),1980.0)</f>
        <v>1980</v>
      </c>
      <c r="E3492">
        <f>IFERROR(__xludf.DUMMYFUNCTION("""COMPUTED_VALUE"""),2.6357462E7)</f>
        <v>26357462</v>
      </c>
    </row>
    <row r="3493">
      <c r="A3493" t="str">
        <f t="shared" si="1"/>
        <v>cod#1981</v>
      </c>
      <c r="B3493" t="str">
        <f>IFERROR(__xludf.DUMMYFUNCTION("""COMPUTED_VALUE"""),"cod")</f>
        <v>cod</v>
      </c>
      <c r="C3493" t="str">
        <f>IFERROR(__xludf.DUMMYFUNCTION("""COMPUTED_VALUE"""),"Congo, Dem. Rep.")</f>
        <v>Congo, Dem. Rep.</v>
      </c>
      <c r="D3493">
        <f>IFERROR(__xludf.DUMMYFUNCTION("""COMPUTED_VALUE"""),1981.0)</f>
        <v>1981</v>
      </c>
      <c r="E3493">
        <f>IFERROR(__xludf.DUMMYFUNCTION("""COMPUTED_VALUE"""),2.7039468E7)</f>
        <v>27039468</v>
      </c>
    </row>
    <row r="3494">
      <c r="A3494" t="str">
        <f t="shared" si="1"/>
        <v>cod#1982</v>
      </c>
      <c r="B3494" t="str">
        <f>IFERROR(__xludf.DUMMYFUNCTION("""COMPUTED_VALUE"""),"cod")</f>
        <v>cod</v>
      </c>
      <c r="C3494" t="str">
        <f>IFERROR(__xludf.DUMMYFUNCTION("""COMPUTED_VALUE"""),"Congo, Dem. Rep.")</f>
        <v>Congo, Dem. Rep.</v>
      </c>
      <c r="D3494">
        <f>IFERROR(__xludf.DUMMYFUNCTION("""COMPUTED_VALUE"""),1982.0)</f>
        <v>1982</v>
      </c>
      <c r="E3494">
        <f>IFERROR(__xludf.DUMMYFUNCTION("""COMPUTED_VALUE"""),2.7717337E7)</f>
        <v>27717337</v>
      </c>
    </row>
    <row r="3495">
      <c r="A3495" t="str">
        <f t="shared" si="1"/>
        <v>cod#1983</v>
      </c>
      <c r="B3495" t="str">
        <f>IFERROR(__xludf.DUMMYFUNCTION("""COMPUTED_VALUE"""),"cod")</f>
        <v>cod</v>
      </c>
      <c r="C3495" t="str">
        <f>IFERROR(__xludf.DUMMYFUNCTION("""COMPUTED_VALUE"""),"Congo, Dem. Rep.")</f>
        <v>Congo, Dem. Rep.</v>
      </c>
      <c r="D3495">
        <f>IFERROR(__xludf.DUMMYFUNCTION("""COMPUTED_VALUE"""),1983.0)</f>
        <v>1983</v>
      </c>
      <c r="E3495">
        <f>IFERROR(__xludf.DUMMYFUNCTION("""COMPUTED_VALUE"""),2.8404876E7)</f>
        <v>28404876</v>
      </c>
    </row>
    <row r="3496">
      <c r="A3496" t="str">
        <f t="shared" si="1"/>
        <v>cod#1984</v>
      </c>
      <c r="B3496" t="str">
        <f>IFERROR(__xludf.DUMMYFUNCTION("""COMPUTED_VALUE"""),"cod")</f>
        <v>cod</v>
      </c>
      <c r="C3496" t="str">
        <f>IFERROR(__xludf.DUMMYFUNCTION("""COMPUTED_VALUE"""),"Congo, Dem. Rep.")</f>
        <v>Congo, Dem. Rep.</v>
      </c>
      <c r="D3496">
        <f>IFERROR(__xludf.DUMMYFUNCTION("""COMPUTED_VALUE"""),1984.0)</f>
        <v>1984</v>
      </c>
      <c r="E3496">
        <f>IFERROR(__xludf.DUMMYFUNCTION("""COMPUTED_VALUE"""),2.9121474E7)</f>
        <v>29121474</v>
      </c>
    </row>
    <row r="3497">
      <c r="A3497" t="str">
        <f t="shared" si="1"/>
        <v>cod#1985</v>
      </c>
      <c r="B3497" t="str">
        <f>IFERROR(__xludf.DUMMYFUNCTION("""COMPUTED_VALUE"""),"cod")</f>
        <v>cod</v>
      </c>
      <c r="C3497" t="str">
        <f>IFERROR(__xludf.DUMMYFUNCTION("""COMPUTED_VALUE"""),"Congo, Dem. Rep.")</f>
        <v>Congo, Dem. Rep.</v>
      </c>
      <c r="D3497">
        <f>IFERROR(__xludf.DUMMYFUNCTION("""COMPUTED_VALUE"""),1985.0)</f>
        <v>1985</v>
      </c>
      <c r="E3497">
        <f>IFERROR(__xludf.DUMMYFUNCTION("""COMPUTED_VALUE"""),2.9883446E7)</f>
        <v>29883446</v>
      </c>
    </row>
    <row r="3498">
      <c r="A3498" t="str">
        <f t="shared" si="1"/>
        <v>cod#1986</v>
      </c>
      <c r="B3498" t="str">
        <f>IFERROR(__xludf.DUMMYFUNCTION("""COMPUTED_VALUE"""),"cod")</f>
        <v>cod</v>
      </c>
      <c r="C3498" t="str">
        <f>IFERROR(__xludf.DUMMYFUNCTION("""COMPUTED_VALUE"""),"Congo, Dem. Rep.")</f>
        <v>Congo, Dem. Rep.</v>
      </c>
      <c r="D3498">
        <f>IFERROR(__xludf.DUMMYFUNCTION("""COMPUTED_VALUE"""),1986.0)</f>
        <v>1986</v>
      </c>
      <c r="E3498">
        <f>IFERROR(__xludf.DUMMYFUNCTION("""COMPUTED_VALUE"""),3.0685824E7)</f>
        <v>30685824</v>
      </c>
    </row>
    <row r="3499">
      <c r="A3499" t="str">
        <f t="shared" si="1"/>
        <v>cod#1987</v>
      </c>
      <c r="B3499" t="str">
        <f>IFERROR(__xludf.DUMMYFUNCTION("""COMPUTED_VALUE"""),"cod")</f>
        <v>cod</v>
      </c>
      <c r="C3499" t="str">
        <f>IFERROR(__xludf.DUMMYFUNCTION("""COMPUTED_VALUE"""),"Congo, Dem. Rep.")</f>
        <v>Congo, Dem. Rep.</v>
      </c>
      <c r="D3499">
        <f>IFERROR(__xludf.DUMMYFUNCTION("""COMPUTED_VALUE"""),1987.0)</f>
        <v>1987</v>
      </c>
      <c r="E3499">
        <f>IFERROR(__xludf.DUMMYFUNCTION("""COMPUTED_VALUE"""),3.1529823E7)</f>
        <v>31529823</v>
      </c>
    </row>
    <row r="3500">
      <c r="A3500" t="str">
        <f t="shared" si="1"/>
        <v>cod#1988</v>
      </c>
      <c r="B3500" t="str">
        <f>IFERROR(__xludf.DUMMYFUNCTION("""COMPUTED_VALUE"""),"cod")</f>
        <v>cod</v>
      </c>
      <c r="C3500" t="str">
        <f>IFERROR(__xludf.DUMMYFUNCTION("""COMPUTED_VALUE"""),"Congo, Dem. Rep.")</f>
        <v>Congo, Dem. Rep.</v>
      </c>
      <c r="D3500">
        <f>IFERROR(__xludf.DUMMYFUNCTION("""COMPUTED_VALUE"""),1988.0)</f>
        <v>1988</v>
      </c>
      <c r="E3500">
        <f>IFERROR(__xludf.DUMMYFUNCTION("""COMPUTED_VALUE"""),3.2444156E7)</f>
        <v>32444156</v>
      </c>
    </row>
    <row r="3501">
      <c r="A3501" t="str">
        <f t="shared" si="1"/>
        <v>cod#1989</v>
      </c>
      <c r="B3501" t="str">
        <f>IFERROR(__xludf.DUMMYFUNCTION("""COMPUTED_VALUE"""),"cod")</f>
        <v>cod</v>
      </c>
      <c r="C3501" t="str">
        <f>IFERROR(__xludf.DUMMYFUNCTION("""COMPUTED_VALUE"""),"Congo, Dem. Rep.")</f>
        <v>Congo, Dem. Rep.</v>
      </c>
      <c r="D3501">
        <f>IFERROR(__xludf.DUMMYFUNCTION("""COMPUTED_VALUE"""),1989.0)</f>
        <v>1989</v>
      </c>
      <c r="E3501">
        <f>IFERROR(__xludf.DUMMYFUNCTION("""COMPUTED_VALUE"""),3.3465441E7)</f>
        <v>33465441</v>
      </c>
    </row>
    <row r="3502">
      <c r="A3502" t="str">
        <f t="shared" si="1"/>
        <v>cod#1990</v>
      </c>
      <c r="B3502" t="str">
        <f>IFERROR(__xludf.DUMMYFUNCTION("""COMPUTED_VALUE"""),"cod")</f>
        <v>cod</v>
      </c>
      <c r="C3502" t="str">
        <f>IFERROR(__xludf.DUMMYFUNCTION("""COMPUTED_VALUE"""),"Congo, Dem. Rep.")</f>
        <v>Congo, Dem. Rep.</v>
      </c>
      <c r="D3502">
        <f>IFERROR(__xludf.DUMMYFUNCTION("""COMPUTED_VALUE"""),1990.0)</f>
        <v>1990</v>
      </c>
      <c r="E3502">
        <f>IFERROR(__xludf.DUMMYFUNCTION("""COMPUTED_VALUE"""),3.4614581E7)</f>
        <v>34614581</v>
      </c>
    </row>
    <row r="3503">
      <c r="A3503" t="str">
        <f t="shared" si="1"/>
        <v>cod#1991</v>
      </c>
      <c r="B3503" t="str">
        <f>IFERROR(__xludf.DUMMYFUNCTION("""COMPUTED_VALUE"""),"cod")</f>
        <v>cod</v>
      </c>
      <c r="C3503" t="str">
        <f>IFERROR(__xludf.DUMMYFUNCTION("""COMPUTED_VALUE"""),"Congo, Dem. Rep.")</f>
        <v>Congo, Dem. Rep.</v>
      </c>
      <c r="D3503">
        <f>IFERROR(__xludf.DUMMYFUNCTION("""COMPUTED_VALUE"""),1991.0)</f>
        <v>1991</v>
      </c>
      <c r="E3503">
        <f>IFERROR(__xludf.DUMMYFUNCTION("""COMPUTED_VALUE"""),3.5914825E7)</f>
        <v>35914825</v>
      </c>
    </row>
    <row r="3504">
      <c r="A3504" t="str">
        <f t="shared" si="1"/>
        <v>cod#1992</v>
      </c>
      <c r="B3504" t="str">
        <f>IFERROR(__xludf.DUMMYFUNCTION("""COMPUTED_VALUE"""),"cod")</f>
        <v>cod</v>
      </c>
      <c r="C3504" t="str">
        <f>IFERROR(__xludf.DUMMYFUNCTION("""COMPUTED_VALUE"""),"Congo, Dem. Rep.")</f>
        <v>Congo, Dem. Rep.</v>
      </c>
      <c r="D3504">
        <f>IFERROR(__xludf.DUMMYFUNCTION("""COMPUTED_VALUE"""),1992.0)</f>
        <v>1992</v>
      </c>
      <c r="E3504">
        <f>IFERROR(__xludf.DUMMYFUNCTION("""COMPUTED_VALUE"""),3.7346147E7)</f>
        <v>37346147</v>
      </c>
    </row>
    <row r="3505">
      <c r="A3505" t="str">
        <f t="shared" si="1"/>
        <v>cod#1993</v>
      </c>
      <c r="B3505" t="str">
        <f>IFERROR(__xludf.DUMMYFUNCTION("""COMPUTED_VALUE"""),"cod")</f>
        <v>cod</v>
      </c>
      <c r="C3505" t="str">
        <f>IFERROR(__xludf.DUMMYFUNCTION("""COMPUTED_VALUE"""),"Congo, Dem. Rep.")</f>
        <v>Congo, Dem. Rep.</v>
      </c>
      <c r="D3505">
        <f>IFERROR(__xludf.DUMMYFUNCTION("""COMPUTED_VALUE"""),1993.0)</f>
        <v>1993</v>
      </c>
      <c r="E3505">
        <f>IFERROR(__xludf.DUMMYFUNCTION("""COMPUTED_VALUE"""),3.8833595E7)</f>
        <v>38833595</v>
      </c>
    </row>
    <row r="3506">
      <c r="A3506" t="str">
        <f t="shared" si="1"/>
        <v>cod#1994</v>
      </c>
      <c r="B3506" t="str">
        <f>IFERROR(__xludf.DUMMYFUNCTION("""COMPUTED_VALUE"""),"cod")</f>
        <v>cod</v>
      </c>
      <c r="C3506" t="str">
        <f>IFERROR(__xludf.DUMMYFUNCTION("""COMPUTED_VALUE"""),"Congo, Dem. Rep.")</f>
        <v>Congo, Dem. Rep.</v>
      </c>
      <c r="D3506">
        <f>IFERROR(__xludf.DUMMYFUNCTION("""COMPUTED_VALUE"""),1994.0)</f>
        <v>1994</v>
      </c>
      <c r="E3506">
        <f>IFERROR(__xludf.DUMMYFUNCTION("""COMPUTED_VALUE"""),4.0273701E7)</f>
        <v>40273701</v>
      </c>
    </row>
    <row r="3507">
      <c r="A3507" t="str">
        <f t="shared" si="1"/>
        <v>cod#1995</v>
      </c>
      <c r="B3507" t="str">
        <f>IFERROR(__xludf.DUMMYFUNCTION("""COMPUTED_VALUE"""),"cod")</f>
        <v>cod</v>
      </c>
      <c r="C3507" t="str">
        <f>IFERROR(__xludf.DUMMYFUNCTION("""COMPUTED_VALUE"""),"Congo, Dem. Rep.")</f>
        <v>Congo, Dem. Rep.</v>
      </c>
      <c r="D3507">
        <f>IFERROR(__xludf.DUMMYFUNCTION("""COMPUTED_VALUE"""),1995.0)</f>
        <v>1995</v>
      </c>
      <c r="E3507">
        <f>IFERROR(__xludf.DUMMYFUNCTION("""COMPUTED_VALUE"""),4.1595744E7)</f>
        <v>41595744</v>
      </c>
    </row>
    <row r="3508">
      <c r="A3508" t="str">
        <f t="shared" si="1"/>
        <v>cod#1996</v>
      </c>
      <c r="B3508" t="str">
        <f>IFERROR(__xludf.DUMMYFUNCTION("""COMPUTED_VALUE"""),"cod")</f>
        <v>cod</v>
      </c>
      <c r="C3508" t="str">
        <f>IFERROR(__xludf.DUMMYFUNCTION("""COMPUTED_VALUE"""),"Congo, Dem. Rep.")</f>
        <v>Congo, Dem. Rep.</v>
      </c>
      <c r="D3508">
        <f>IFERROR(__xludf.DUMMYFUNCTION("""COMPUTED_VALUE"""),1996.0)</f>
        <v>1996</v>
      </c>
      <c r="E3508">
        <f>IFERROR(__xludf.DUMMYFUNCTION("""COMPUTED_VALUE"""),4.2770544E7)</f>
        <v>42770544</v>
      </c>
    </row>
    <row r="3509">
      <c r="A3509" t="str">
        <f t="shared" si="1"/>
        <v>cod#1997</v>
      </c>
      <c r="B3509" t="str">
        <f>IFERROR(__xludf.DUMMYFUNCTION("""COMPUTED_VALUE"""),"cod")</f>
        <v>cod</v>
      </c>
      <c r="C3509" t="str">
        <f>IFERROR(__xludf.DUMMYFUNCTION("""COMPUTED_VALUE"""),"Congo, Dem. Rep.")</f>
        <v>Congo, Dem. Rep.</v>
      </c>
      <c r="D3509">
        <f>IFERROR(__xludf.DUMMYFUNCTION("""COMPUTED_VALUE"""),1997.0)</f>
        <v>1997</v>
      </c>
      <c r="E3509">
        <f>IFERROR(__xludf.DUMMYFUNCTION("""COMPUTED_VALUE"""),4.3830146E7)</f>
        <v>43830146</v>
      </c>
    </row>
    <row r="3510">
      <c r="A3510" t="str">
        <f t="shared" si="1"/>
        <v>cod#1998</v>
      </c>
      <c r="B3510" t="str">
        <f>IFERROR(__xludf.DUMMYFUNCTION("""COMPUTED_VALUE"""),"cod")</f>
        <v>cod</v>
      </c>
      <c r="C3510" t="str">
        <f>IFERROR(__xludf.DUMMYFUNCTION("""COMPUTED_VALUE"""),"Congo, Dem. Rep.")</f>
        <v>Congo, Dem. Rep.</v>
      </c>
      <c r="D3510">
        <f>IFERROR(__xludf.DUMMYFUNCTION("""COMPUTED_VALUE"""),1998.0)</f>
        <v>1998</v>
      </c>
      <c r="E3510">
        <f>IFERROR(__xludf.DUMMYFUNCTION("""COMPUTED_VALUE"""),4.4840529E7)</f>
        <v>44840529</v>
      </c>
    </row>
    <row r="3511">
      <c r="A3511" t="str">
        <f t="shared" si="1"/>
        <v>cod#1999</v>
      </c>
      <c r="B3511" t="str">
        <f>IFERROR(__xludf.DUMMYFUNCTION("""COMPUTED_VALUE"""),"cod")</f>
        <v>cod</v>
      </c>
      <c r="C3511" t="str">
        <f>IFERROR(__xludf.DUMMYFUNCTION("""COMPUTED_VALUE"""),"Congo, Dem. Rep.")</f>
        <v>Congo, Dem. Rep.</v>
      </c>
      <c r="D3511">
        <f>IFERROR(__xludf.DUMMYFUNCTION("""COMPUTED_VALUE"""),1999.0)</f>
        <v>1999</v>
      </c>
      <c r="E3511">
        <f>IFERROR(__xludf.DUMMYFUNCTION("""COMPUTED_VALUE"""),4.5898667E7)</f>
        <v>45898667</v>
      </c>
    </row>
    <row r="3512">
      <c r="A3512" t="str">
        <f t="shared" si="1"/>
        <v>cod#2000</v>
      </c>
      <c r="B3512" t="str">
        <f>IFERROR(__xludf.DUMMYFUNCTION("""COMPUTED_VALUE"""),"cod")</f>
        <v>cod</v>
      </c>
      <c r="C3512" t="str">
        <f>IFERROR(__xludf.DUMMYFUNCTION("""COMPUTED_VALUE"""),"Congo, Dem. Rep.")</f>
        <v>Congo, Dem. Rep.</v>
      </c>
      <c r="D3512">
        <f>IFERROR(__xludf.DUMMYFUNCTION("""COMPUTED_VALUE"""),2000.0)</f>
        <v>2000</v>
      </c>
      <c r="E3512">
        <f>IFERROR(__xludf.DUMMYFUNCTION("""COMPUTED_VALUE"""),4.7076387E7)</f>
        <v>47076387</v>
      </c>
    </row>
    <row r="3513">
      <c r="A3513" t="str">
        <f t="shared" si="1"/>
        <v>cod#2001</v>
      </c>
      <c r="B3513" t="str">
        <f>IFERROR(__xludf.DUMMYFUNCTION("""COMPUTED_VALUE"""),"cod")</f>
        <v>cod</v>
      </c>
      <c r="C3513" t="str">
        <f>IFERROR(__xludf.DUMMYFUNCTION("""COMPUTED_VALUE"""),"Congo, Dem. Rep.")</f>
        <v>Congo, Dem. Rep.</v>
      </c>
      <c r="D3513">
        <f>IFERROR(__xludf.DUMMYFUNCTION("""COMPUTED_VALUE"""),2001.0)</f>
        <v>2001</v>
      </c>
      <c r="E3513">
        <f>IFERROR(__xludf.DUMMYFUNCTION("""COMPUTED_VALUE"""),4.8394338E7)</f>
        <v>48394338</v>
      </c>
    </row>
    <row r="3514">
      <c r="A3514" t="str">
        <f t="shared" si="1"/>
        <v>cod#2002</v>
      </c>
      <c r="B3514" t="str">
        <f>IFERROR(__xludf.DUMMYFUNCTION("""COMPUTED_VALUE"""),"cod")</f>
        <v>cod</v>
      </c>
      <c r="C3514" t="str">
        <f>IFERROR(__xludf.DUMMYFUNCTION("""COMPUTED_VALUE"""),"Congo, Dem. Rep.")</f>
        <v>Congo, Dem. Rep.</v>
      </c>
      <c r="D3514">
        <f>IFERROR(__xludf.DUMMYFUNCTION("""COMPUTED_VALUE"""),2002.0)</f>
        <v>2002</v>
      </c>
      <c r="E3514">
        <f>IFERROR(__xludf.DUMMYFUNCTION("""COMPUTED_VALUE"""),4.9835756E7)</f>
        <v>49835756</v>
      </c>
    </row>
    <row r="3515">
      <c r="A3515" t="str">
        <f t="shared" si="1"/>
        <v>cod#2003</v>
      </c>
      <c r="B3515" t="str">
        <f>IFERROR(__xludf.DUMMYFUNCTION("""COMPUTED_VALUE"""),"cod")</f>
        <v>cod</v>
      </c>
      <c r="C3515" t="str">
        <f>IFERROR(__xludf.DUMMYFUNCTION("""COMPUTED_VALUE"""),"Congo, Dem. Rep.")</f>
        <v>Congo, Dem. Rep.</v>
      </c>
      <c r="D3515">
        <f>IFERROR(__xludf.DUMMYFUNCTION("""COMPUTED_VALUE"""),2003.0)</f>
        <v>2003</v>
      </c>
      <c r="E3515">
        <f>IFERROR(__xludf.DUMMYFUNCTION("""COMPUTED_VALUE"""),5.1390033E7)</f>
        <v>51390033</v>
      </c>
    </row>
    <row r="3516">
      <c r="A3516" t="str">
        <f t="shared" si="1"/>
        <v>cod#2004</v>
      </c>
      <c r="B3516" t="str">
        <f>IFERROR(__xludf.DUMMYFUNCTION("""COMPUTED_VALUE"""),"cod")</f>
        <v>cod</v>
      </c>
      <c r="C3516" t="str">
        <f>IFERROR(__xludf.DUMMYFUNCTION("""COMPUTED_VALUE"""),"Congo, Dem. Rep.")</f>
        <v>Congo, Dem. Rep.</v>
      </c>
      <c r="D3516">
        <f>IFERROR(__xludf.DUMMYFUNCTION("""COMPUTED_VALUE"""),2004.0)</f>
        <v>2004</v>
      </c>
      <c r="E3516">
        <f>IFERROR(__xludf.DUMMYFUNCTION("""COMPUTED_VALUE"""),5.3034217E7)</f>
        <v>53034217</v>
      </c>
    </row>
    <row r="3517">
      <c r="A3517" t="str">
        <f t="shared" si="1"/>
        <v>cod#2005</v>
      </c>
      <c r="B3517" t="str">
        <f>IFERROR(__xludf.DUMMYFUNCTION("""COMPUTED_VALUE"""),"cod")</f>
        <v>cod</v>
      </c>
      <c r="C3517" t="str">
        <f>IFERROR(__xludf.DUMMYFUNCTION("""COMPUTED_VALUE"""),"Congo, Dem. Rep.")</f>
        <v>Congo, Dem. Rep.</v>
      </c>
      <c r="D3517">
        <f>IFERROR(__xludf.DUMMYFUNCTION("""COMPUTED_VALUE"""),2005.0)</f>
        <v>2005</v>
      </c>
      <c r="E3517">
        <f>IFERROR(__xludf.DUMMYFUNCTION("""COMPUTED_VALUE"""),5.4751476E7)</f>
        <v>54751476</v>
      </c>
    </row>
    <row r="3518">
      <c r="A3518" t="str">
        <f t="shared" si="1"/>
        <v>cod#2006</v>
      </c>
      <c r="B3518" t="str">
        <f>IFERROR(__xludf.DUMMYFUNCTION("""COMPUTED_VALUE"""),"cod")</f>
        <v>cod</v>
      </c>
      <c r="C3518" t="str">
        <f>IFERROR(__xludf.DUMMYFUNCTION("""COMPUTED_VALUE"""),"Congo, Dem. Rep.")</f>
        <v>Congo, Dem. Rep.</v>
      </c>
      <c r="D3518">
        <f>IFERROR(__xludf.DUMMYFUNCTION("""COMPUTED_VALUE"""),2006.0)</f>
        <v>2006</v>
      </c>
      <c r="E3518">
        <f>IFERROR(__xludf.DUMMYFUNCTION("""COMPUTED_VALUE"""),5.6543011E7)</f>
        <v>56543011</v>
      </c>
    </row>
    <row r="3519">
      <c r="A3519" t="str">
        <f t="shared" si="1"/>
        <v>cod#2007</v>
      </c>
      <c r="B3519" t="str">
        <f>IFERROR(__xludf.DUMMYFUNCTION("""COMPUTED_VALUE"""),"cod")</f>
        <v>cod</v>
      </c>
      <c r="C3519" t="str">
        <f>IFERROR(__xludf.DUMMYFUNCTION("""COMPUTED_VALUE"""),"Congo, Dem. Rep.")</f>
        <v>Congo, Dem. Rep.</v>
      </c>
      <c r="D3519">
        <f>IFERROR(__xludf.DUMMYFUNCTION("""COMPUTED_VALUE"""),2007.0)</f>
        <v>2007</v>
      </c>
      <c r="E3519">
        <f>IFERROR(__xludf.DUMMYFUNCTION("""COMPUTED_VALUE"""),5.8417562E7)</f>
        <v>58417562</v>
      </c>
    </row>
    <row r="3520">
      <c r="A3520" t="str">
        <f t="shared" si="1"/>
        <v>cod#2008</v>
      </c>
      <c r="B3520" t="str">
        <f>IFERROR(__xludf.DUMMYFUNCTION("""COMPUTED_VALUE"""),"cod")</f>
        <v>cod</v>
      </c>
      <c r="C3520" t="str">
        <f>IFERROR(__xludf.DUMMYFUNCTION("""COMPUTED_VALUE"""),"Congo, Dem. Rep.")</f>
        <v>Congo, Dem. Rep.</v>
      </c>
      <c r="D3520">
        <f>IFERROR(__xludf.DUMMYFUNCTION("""COMPUTED_VALUE"""),2008.0)</f>
        <v>2008</v>
      </c>
      <c r="E3520">
        <f>IFERROR(__xludf.DUMMYFUNCTION("""COMPUTED_VALUE"""),6.0373608E7)</f>
        <v>60373608</v>
      </c>
    </row>
    <row r="3521">
      <c r="A3521" t="str">
        <f t="shared" si="1"/>
        <v>cod#2009</v>
      </c>
      <c r="B3521" t="str">
        <f>IFERROR(__xludf.DUMMYFUNCTION("""COMPUTED_VALUE"""),"cod")</f>
        <v>cod</v>
      </c>
      <c r="C3521" t="str">
        <f>IFERROR(__xludf.DUMMYFUNCTION("""COMPUTED_VALUE"""),"Congo, Dem. Rep.")</f>
        <v>Congo, Dem. Rep.</v>
      </c>
      <c r="D3521">
        <f>IFERROR(__xludf.DUMMYFUNCTION("""COMPUTED_VALUE"""),2009.0)</f>
        <v>2009</v>
      </c>
      <c r="E3521">
        <f>IFERROR(__xludf.DUMMYFUNCTION("""COMPUTED_VALUE"""),6.2409435E7)</f>
        <v>62409435</v>
      </c>
    </row>
    <row r="3522">
      <c r="A3522" t="str">
        <f t="shared" si="1"/>
        <v>cod#2010</v>
      </c>
      <c r="B3522" t="str">
        <f>IFERROR(__xludf.DUMMYFUNCTION("""COMPUTED_VALUE"""),"cod")</f>
        <v>cod</v>
      </c>
      <c r="C3522" t="str">
        <f>IFERROR(__xludf.DUMMYFUNCTION("""COMPUTED_VALUE"""),"Congo, Dem. Rep.")</f>
        <v>Congo, Dem. Rep.</v>
      </c>
      <c r="D3522">
        <f>IFERROR(__xludf.DUMMYFUNCTION("""COMPUTED_VALUE"""),2010.0)</f>
        <v>2010</v>
      </c>
      <c r="E3522">
        <f>IFERROR(__xludf.DUMMYFUNCTION("""COMPUTED_VALUE"""),6.4523263E7)</f>
        <v>64523263</v>
      </c>
    </row>
    <row r="3523">
      <c r="A3523" t="str">
        <f t="shared" si="1"/>
        <v>cod#2011</v>
      </c>
      <c r="B3523" t="str">
        <f>IFERROR(__xludf.DUMMYFUNCTION("""COMPUTED_VALUE"""),"cod")</f>
        <v>cod</v>
      </c>
      <c r="C3523" t="str">
        <f>IFERROR(__xludf.DUMMYFUNCTION("""COMPUTED_VALUE"""),"Congo, Dem. Rep.")</f>
        <v>Congo, Dem. Rep.</v>
      </c>
      <c r="D3523">
        <f>IFERROR(__xludf.DUMMYFUNCTION("""COMPUTED_VALUE"""),2011.0)</f>
        <v>2011</v>
      </c>
      <c r="E3523">
        <f>IFERROR(__xludf.DUMMYFUNCTION("""COMPUTED_VALUE"""),6.6713597E7)</f>
        <v>66713597</v>
      </c>
    </row>
    <row r="3524">
      <c r="A3524" t="str">
        <f t="shared" si="1"/>
        <v>cod#2012</v>
      </c>
      <c r="B3524" t="str">
        <f>IFERROR(__xludf.DUMMYFUNCTION("""COMPUTED_VALUE"""),"cod")</f>
        <v>cod</v>
      </c>
      <c r="C3524" t="str">
        <f>IFERROR(__xludf.DUMMYFUNCTION("""COMPUTED_VALUE"""),"Congo, Dem. Rep.")</f>
        <v>Congo, Dem. Rep.</v>
      </c>
      <c r="D3524">
        <f>IFERROR(__xludf.DUMMYFUNCTION("""COMPUTED_VALUE"""),2012.0)</f>
        <v>2012</v>
      </c>
      <c r="E3524">
        <f>IFERROR(__xludf.DUMMYFUNCTION("""COMPUTED_VALUE"""),6.8978682E7)</f>
        <v>68978682</v>
      </c>
    </row>
    <row r="3525">
      <c r="A3525" t="str">
        <f t="shared" si="1"/>
        <v>cod#2013</v>
      </c>
      <c r="B3525" t="str">
        <f>IFERROR(__xludf.DUMMYFUNCTION("""COMPUTED_VALUE"""),"cod")</f>
        <v>cod</v>
      </c>
      <c r="C3525" t="str">
        <f>IFERROR(__xludf.DUMMYFUNCTION("""COMPUTED_VALUE"""),"Congo, Dem. Rep.")</f>
        <v>Congo, Dem. Rep.</v>
      </c>
      <c r="D3525">
        <f>IFERROR(__xludf.DUMMYFUNCTION("""COMPUTED_VALUE"""),2013.0)</f>
        <v>2013</v>
      </c>
      <c r="E3525">
        <f>IFERROR(__xludf.DUMMYFUNCTION("""COMPUTED_VALUE"""),7.1316033E7)</f>
        <v>71316033</v>
      </c>
    </row>
    <row r="3526">
      <c r="A3526" t="str">
        <f t="shared" si="1"/>
        <v>cod#2014</v>
      </c>
      <c r="B3526" t="str">
        <f>IFERROR(__xludf.DUMMYFUNCTION("""COMPUTED_VALUE"""),"cod")</f>
        <v>cod</v>
      </c>
      <c r="C3526" t="str">
        <f>IFERROR(__xludf.DUMMYFUNCTION("""COMPUTED_VALUE"""),"Congo, Dem. Rep.")</f>
        <v>Congo, Dem. Rep.</v>
      </c>
      <c r="D3526">
        <f>IFERROR(__xludf.DUMMYFUNCTION("""COMPUTED_VALUE"""),2014.0)</f>
        <v>2014</v>
      </c>
      <c r="E3526">
        <f>IFERROR(__xludf.DUMMYFUNCTION("""COMPUTED_VALUE"""),7.372286E7)</f>
        <v>73722860</v>
      </c>
    </row>
    <row r="3527">
      <c r="A3527" t="str">
        <f t="shared" si="1"/>
        <v>cod#2015</v>
      </c>
      <c r="B3527" t="str">
        <f>IFERROR(__xludf.DUMMYFUNCTION("""COMPUTED_VALUE"""),"cod")</f>
        <v>cod</v>
      </c>
      <c r="C3527" t="str">
        <f>IFERROR(__xludf.DUMMYFUNCTION("""COMPUTED_VALUE"""),"Congo, Dem. Rep.")</f>
        <v>Congo, Dem. Rep.</v>
      </c>
      <c r="D3527">
        <f>IFERROR(__xludf.DUMMYFUNCTION("""COMPUTED_VALUE"""),2015.0)</f>
        <v>2015</v>
      </c>
      <c r="E3527">
        <f>IFERROR(__xludf.DUMMYFUNCTION("""COMPUTED_VALUE"""),7.6196619E7)</f>
        <v>76196619</v>
      </c>
    </row>
    <row r="3528">
      <c r="A3528" t="str">
        <f t="shared" si="1"/>
        <v>cod#2016</v>
      </c>
      <c r="B3528" t="str">
        <f>IFERROR(__xludf.DUMMYFUNCTION("""COMPUTED_VALUE"""),"cod")</f>
        <v>cod</v>
      </c>
      <c r="C3528" t="str">
        <f>IFERROR(__xludf.DUMMYFUNCTION("""COMPUTED_VALUE"""),"Congo, Dem. Rep.")</f>
        <v>Congo, Dem. Rep.</v>
      </c>
      <c r="D3528">
        <f>IFERROR(__xludf.DUMMYFUNCTION("""COMPUTED_VALUE"""),2016.0)</f>
        <v>2016</v>
      </c>
      <c r="E3528">
        <f>IFERROR(__xludf.DUMMYFUNCTION("""COMPUTED_VALUE"""),7.8736153E7)</f>
        <v>78736153</v>
      </c>
    </row>
    <row r="3529">
      <c r="A3529" t="str">
        <f t="shared" si="1"/>
        <v>cod#2017</v>
      </c>
      <c r="B3529" t="str">
        <f>IFERROR(__xludf.DUMMYFUNCTION("""COMPUTED_VALUE"""),"cod")</f>
        <v>cod</v>
      </c>
      <c r="C3529" t="str">
        <f>IFERROR(__xludf.DUMMYFUNCTION("""COMPUTED_VALUE"""),"Congo, Dem. Rep.")</f>
        <v>Congo, Dem. Rep.</v>
      </c>
      <c r="D3529">
        <f>IFERROR(__xludf.DUMMYFUNCTION("""COMPUTED_VALUE"""),2017.0)</f>
        <v>2017</v>
      </c>
      <c r="E3529">
        <f>IFERROR(__xludf.DUMMYFUNCTION("""COMPUTED_VALUE"""),8.1339988E7)</f>
        <v>81339988</v>
      </c>
    </row>
    <row r="3530">
      <c r="A3530" t="str">
        <f t="shared" si="1"/>
        <v>cod#2018</v>
      </c>
      <c r="B3530" t="str">
        <f>IFERROR(__xludf.DUMMYFUNCTION("""COMPUTED_VALUE"""),"cod")</f>
        <v>cod</v>
      </c>
      <c r="C3530" t="str">
        <f>IFERROR(__xludf.DUMMYFUNCTION("""COMPUTED_VALUE"""),"Congo, Dem. Rep.")</f>
        <v>Congo, Dem. Rep.</v>
      </c>
      <c r="D3530">
        <f>IFERROR(__xludf.DUMMYFUNCTION("""COMPUTED_VALUE"""),2018.0)</f>
        <v>2018</v>
      </c>
      <c r="E3530">
        <f>IFERROR(__xludf.DUMMYFUNCTION("""COMPUTED_VALUE"""),8.4004989E7)</f>
        <v>84004989</v>
      </c>
    </row>
    <row r="3531">
      <c r="A3531" t="str">
        <f t="shared" si="1"/>
        <v>cod#2019</v>
      </c>
      <c r="B3531" t="str">
        <f>IFERROR(__xludf.DUMMYFUNCTION("""COMPUTED_VALUE"""),"cod")</f>
        <v>cod</v>
      </c>
      <c r="C3531" t="str">
        <f>IFERROR(__xludf.DUMMYFUNCTION("""COMPUTED_VALUE"""),"Congo, Dem. Rep.")</f>
        <v>Congo, Dem. Rep.</v>
      </c>
      <c r="D3531">
        <f>IFERROR(__xludf.DUMMYFUNCTION("""COMPUTED_VALUE"""),2019.0)</f>
        <v>2019</v>
      </c>
      <c r="E3531">
        <f>IFERROR(__xludf.DUMMYFUNCTION("""COMPUTED_VALUE"""),8.6727573E7)</f>
        <v>86727573</v>
      </c>
    </row>
    <row r="3532">
      <c r="A3532" t="str">
        <f t="shared" si="1"/>
        <v>cod#2020</v>
      </c>
      <c r="B3532" t="str">
        <f>IFERROR(__xludf.DUMMYFUNCTION("""COMPUTED_VALUE"""),"cod")</f>
        <v>cod</v>
      </c>
      <c r="C3532" t="str">
        <f>IFERROR(__xludf.DUMMYFUNCTION("""COMPUTED_VALUE"""),"Congo, Dem. Rep.")</f>
        <v>Congo, Dem. Rep.</v>
      </c>
      <c r="D3532">
        <f>IFERROR(__xludf.DUMMYFUNCTION("""COMPUTED_VALUE"""),2020.0)</f>
        <v>2020</v>
      </c>
      <c r="E3532">
        <f>IFERROR(__xludf.DUMMYFUNCTION("""COMPUTED_VALUE"""),8.9505201E7)</f>
        <v>89505201</v>
      </c>
    </row>
    <row r="3533">
      <c r="A3533" t="str">
        <f t="shared" si="1"/>
        <v>cod#2021</v>
      </c>
      <c r="B3533" t="str">
        <f>IFERROR(__xludf.DUMMYFUNCTION("""COMPUTED_VALUE"""),"cod")</f>
        <v>cod</v>
      </c>
      <c r="C3533" t="str">
        <f>IFERROR(__xludf.DUMMYFUNCTION("""COMPUTED_VALUE"""),"Congo, Dem. Rep.")</f>
        <v>Congo, Dem. Rep.</v>
      </c>
      <c r="D3533">
        <f>IFERROR(__xludf.DUMMYFUNCTION("""COMPUTED_VALUE"""),2021.0)</f>
        <v>2021</v>
      </c>
      <c r="E3533">
        <f>IFERROR(__xludf.DUMMYFUNCTION("""COMPUTED_VALUE"""),9.2336045E7)</f>
        <v>92336045</v>
      </c>
    </row>
    <row r="3534">
      <c r="A3534" t="str">
        <f t="shared" si="1"/>
        <v>cod#2022</v>
      </c>
      <c r="B3534" t="str">
        <f>IFERROR(__xludf.DUMMYFUNCTION("""COMPUTED_VALUE"""),"cod")</f>
        <v>cod</v>
      </c>
      <c r="C3534" t="str">
        <f>IFERROR(__xludf.DUMMYFUNCTION("""COMPUTED_VALUE"""),"Congo, Dem. Rep.")</f>
        <v>Congo, Dem. Rep.</v>
      </c>
      <c r="D3534">
        <f>IFERROR(__xludf.DUMMYFUNCTION("""COMPUTED_VALUE"""),2022.0)</f>
        <v>2022</v>
      </c>
      <c r="E3534">
        <f>IFERROR(__xludf.DUMMYFUNCTION("""COMPUTED_VALUE"""),9.5220379E7)</f>
        <v>95220379</v>
      </c>
    </row>
    <row r="3535">
      <c r="A3535" t="str">
        <f t="shared" si="1"/>
        <v>cod#2023</v>
      </c>
      <c r="B3535" t="str">
        <f>IFERROR(__xludf.DUMMYFUNCTION("""COMPUTED_VALUE"""),"cod")</f>
        <v>cod</v>
      </c>
      <c r="C3535" t="str">
        <f>IFERROR(__xludf.DUMMYFUNCTION("""COMPUTED_VALUE"""),"Congo, Dem. Rep.")</f>
        <v>Congo, Dem. Rep.</v>
      </c>
      <c r="D3535">
        <f>IFERROR(__xludf.DUMMYFUNCTION("""COMPUTED_VALUE"""),2023.0)</f>
        <v>2023</v>
      </c>
      <c r="E3535">
        <f>IFERROR(__xludf.DUMMYFUNCTION("""COMPUTED_VALUE"""),9.8160404E7)</f>
        <v>98160404</v>
      </c>
    </row>
    <row r="3536">
      <c r="A3536" t="str">
        <f t="shared" si="1"/>
        <v>cod#2024</v>
      </c>
      <c r="B3536" t="str">
        <f>IFERROR(__xludf.DUMMYFUNCTION("""COMPUTED_VALUE"""),"cod")</f>
        <v>cod</v>
      </c>
      <c r="C3536" t="str">
        <f>IFERROR(__xludf.DUMMYFUNCTION("""COMPUTED_VALUE"""),"Congo, Dem. Rep.")</f>
        <v>Congo, Dem. Rep.</v>
      </c>
      <c r="D3536">
        <f>IFERROR(__xludf.DUMMYFUNCTION("""COMPUTED_VALUE"""),2024.0)</f>
        <v>2024</v>
      </c>
      <c r="E3536">
        <f>IFERROR(__xludf.DUMMYFUNCTION("""COMPUTED_VALUE"""),1.01159625E8)</f>
        <v>101159625</v>
      </c>
    </row>
    <row r="3537">
      <c r="A3537" t="str">
        <f t="shared" si="1"/>
        <v>cod#2025</v>
      </c>
      <c r="B3537" t="str">
        <f>IFERROR(__xludf.DUMMYFUNCTION("""COMPUTED_VALUE"""),"cod")</f>
        <v>cod</v>
      </c>
      <c r="C3537" t="str">
        <f>IFERROR(__xludf.DUMMYFUNCTION("""COMPUTED_VALUE"""),"Congo, Dem. Rep.")</f>
        <v>Congo, Dem. Rep.</v>
      </c>
      <c r="D3537">
        <f>IFERROR(__xludf.DUMMYFUNCTION("""COMPUTED_VALUE"""),2025.0)</f>
        <v>2025</v>
      </c>
      <c r="E3537">
        <f>IFERROR(__xludf.DUMMYFUNCTION("""COMPUTED_VALUE"""),1.04220558E8)</f>
        <v>104220558</v>
      </c>
    </row>
    <row r="3538">
      <c r="A3538" t="str">
        <f t="shared" si="1"/>
        <v>cod#2026</v>
      </c>
      <c r="B3538" t="str">
        <f>IFERROR(__xludf.DUMMYFUNCTION("""COMPUTED_VALUE"""),"cod")</f>
        <v>cod</v>
      </c>
      <c r="C3538" t="str">
        <f>IFERROR(__xludf.DUMMYFUNCTION("""COMPUTED_VALUE"""),"Congo, Dem. Rep.")</f>
        <v>Congo, Dem. Rep.</v>
      </c>
      <c r="D3538">
        <f>IFERROR(__xludf.DUMMYFUNCTION("""COMPUTED_VALUE"""),2026.0)</f>
        <v>2026</v>
      </c>
      <c r="E3538">
        <f>IFERROR(__xludf.DUMMYFUNCTION("""COMPUTED_VALUE"""),1.07343095E8)</f>
        <v>107343095</v>
      </c>
    </row>
    <row r="3539">
      <c r="A3539" t="str">
        <f t="shared" si="1"/>
        <v>cod#2027</v>
      </c>
      <c r="B3539" t="str">
        <f>IFERROR(__xludf.DUMMYFUNCTION("""COMPUTED_VALUE"""),"cod")</f>
        <v>cod</v>
      </c>
      <c r="C3539" t="str">
        <f>IFERROR(__xludf.DUMMYFUNCTION("""COMPUTED_VALUE"""),"Congo, Dem. Rep.")</f>
        <v>Congo, Dem. Rep.</v>
      </c>
      <c r="D3539">
        <f>IFERROR(__xludf.DUMMYFUNCTION("""COMPUTED_VALUE"""),2027.0)</f>
        <v>2027</v>
      </c>
      <c r="E3539">
        <f>IFERROR(__xludf.DUMMYFUNCTION("""COMPUTED_VALUE"""),1.10526199E8)</f>
        <v>110526199</v>
      </c>
    </row>
    <row r="3540">
      <c r="A3540" t="str">
        <f t="shared" si="1"/>
        <v>cod#2028</v>
      </c>
      <c r="B3540" t="str">
        <f>IFERROR(__xludf.DUMMYFUNCTION("""COMPUTED_VALUE"""),"cod")</f>
        <v>cod</v>
      </c>
      <c r="C3540" t="str">
        <f>IFERROR(__xludf.DUMMYFUNCTION("""COMPUTED_VALUE"""),"Congo, Dem. Rep.")</f>
        <v>Congo, Dem. Rep.</v>
      </c>
      <c r="D3540">
        <f>IFERROR(__xludf.DUMMYFUNCTION("""COMPUTED_VALUE"""),2028.0)</f>
        <v>2028</v>
      </c>
      <c r="E3540">
        <f>IFERROR(__xludf.DUMMYFUNCTION("""COMPUTED_VALUE"""),1.13770328E8)</f>
        <v>113770328</v>
      </c>
    </row>
    <row r="3541">
      <c r="A3541" t="str">
        <f t="shared" si="1"/>
        <v>cod#2029</v>
      </c>
      <c r="B3541" t="str">
        <f>IFERROR(__xludf.DUMMYFUNCTION("""COMPUTED_VALUE"""),"cod")</f>
        <v>cod</v>
      </c>
      <c r="C3541" t="str">
        <f>IFERROR(__xludf.DUMMYFUNCTION("""COMPUTED_VALUE"""),"Congo, Dem. Rep.")</f>
        <v>Congo, Dem. Rep.</v>
      </c>
      <c r="D3541">
        <f>IFERROR(__xludf.DUMMYFUNCTION("""COMPUTED_VALUE"""),2029.0)</f>
        <v>2029</v>
      </c>
      <c r="E3541">
        <f>IFERROR(__xludf.DUMMYFUNCTION("""COMPUTED_VALUE"""),1.17075937E8)</f>
        <v>117075937</v>
      </c>
    </row>
    <row r="3542">
      <c r="A3542" t="str">
        <f t="shared" si="1"/>
        <v>cod#2030</v>
      </c>
      <c r="B3542" t="str">
        <f>IFERROR(__xludf.DUMMYFUNCTION("""COMPUTED_VALUE"""),"cod")</f>
        <v>cod</v>
      </c>
      <c r="C3542" t="str">
        <f>IFERROR(__xludf.DUMMYFUNCTION("""COMPUTED_VALUE"""),"Congo, Dem. Rep.")</f>
        <v>Congo, Dem. Rep.</v>
      </c>
      <c r="D3542">
        <f>IFERROR(__xludf.DUMMYFUNCTION("""COMPUTED_VALUE"""),2030.0)</f>
        <v>2030</v>
      </c>
      <c r="E3542">
        <f>IFERROR(__xludf.DUMMYFUNCTION("""COMPUTED_VALUE"""),1.20442943E8)</f>
        <v>120442943</v>
      </c>
    </row>
    <row r="3543">
      <c r="A3543" t="str">
        <f t="shared" si="1"/>
        <v>cod#2031</v>
      </c>
      <c r="B3543" t="str">
        <f>IFERROR(__xludf.DUMMYFUNCTION("""COMPUTED_VALUE"""),"cod")</f>
        <v>cod</v>
      </c>
      <c r="C3543" t="str">
        <f>IFERROR(__xludf.DUMMYFUNCTION("""COMPUTED_VALUE"""),"Congo, Dem. Rep.")</f>
        <v>Congo, Dem. Rep.</v>
      </c>
      <c r="D3543">
        <f>IFERROR(__xludf.DUMMYFUNCTION("""COMPUTED_VALUE"""),2031.0)</f>
        <v>2031</v>
      </c>
      <c r="E3543">
        <f>IFERROR(__xludf.DUMMYFUNCTION("""COMPUTED_VALUE"""),1.23870684E8)</f>
        <v>123870684</v>
      </c>
    </row>
    <row r="3544">
      <c r="A3544" t="str">
        <f t="shared" si="1"/>
        <v>cod#2032</v>
      </c>
      <c r="B3544" t="str">
        <f>IFERROR(__xludf.DUMMYFUNCTION("""COMPUTED_VALUE"""),"cod")</f>
        <v>cod</v>
      </c>
      <c r="C3544" t="str">
        <f>IFERROR(__xludf.DUMMYFUNCTION("""COMPUTED_VALUE"""),"Congo, Dem. Rep.")</f>
        <v>Congo, Dem. Rep.</v>
      </c>
      <c r="D3544">
        <f>IFERROR(__xludf.DUMMYFUNCTION("""COMPUTED_VALUE"""),2032.0)</f>
        <v>2032</v>
      </c>
      <c r="E3544">
        <f>IFERROR(__xludf.DUMMYFUNCTION("""COMPUTED_VALUE"""),1.27357745E8)</f>
        <v>127357745</v>
      </c>
    </row>
    <row r="3545">
      <c r="A3545" t="str">
        <f t="shared" si="1"/>
        <v>cod#2033</v>
      </c>
      <c r="B3545" t="str">
        <f>IFERROR(__xludf.DUMMYFUNCTION("""COMPUTED_VALUE"""),"cod")</f>
        <v>cod</v>
      </c>
      <c r="C3545" t="str">
        <f>IFERROR(__xludf.DUMMYFUNCTION("""COMPUTED_VALUE"""),"Congo, Dem. Rep.")</f>
        <v>Congo, Dem. Rep.</v>
      </c>
      <c r="D3545">
        <f>IFERROR(__xludf.DUMMYFUNCTION("""COMPUTED_VALUE"""),2033.0)</f>
        <v>2033</v>
      </c>
      <c r="E3545">
        <f>IFERROR(__xludf.DUMMYFUNCTION("""COMPUTED_VALUE"""),1.3090218E8)</f>
        <v>130902180</v>
      </c>
    </row>
    <row r="3546">
      <c r="A3546" t="str">
        <f t="shared" si="1"/>
        <v>cod#2034</v>
      </c>
      <c r="B3546" t="str">
        <f>IFERROR(__xludf.DUMMYFUNCTION("""COMPUTED_VALUE"""),"cod")</f>
        <v>cod</v>
      </c>
      <c r="C3546" t="str">
        <f>IFERROR(__xludf.DUMMYFUNCTION("""COMPUTED_VALUE"""),"Congo, Dem. Rep.")</f>
        <v>Congo, Dem. Rep.</v>
      </c>
      <c r="D3546">
        <f>IFERROR(__xludf.DUMMYFUNCTION("""COMPUTED_VALUE"""),2034.0)</f>
        <v>2034</v>
      </c>
      <c r="E3546">
        <f>IFERROR(__xludf.DUMMYFUNCTION("""COMPUTED_VALUE"""),1.34501533E8)</f>
        <v>134501533</v>
      </c>
    </row>
    <row r="3547">
      <c r="A3547" t="str">
        <f t="shared" si="1"/>
        <v>cod#2035</v>
      </c>
      <c r="B3547" t="str">
        <f>IFERROR(__xludf.DUMMYFUNCTION("""COMPUTED_VALUE"""),"cod")</f>
        <v>cod</v>
      </c>
      <c r="C3547" t="str">
        <f>IFERROR(__xludf.DUMMYFUNCTION("""COMPUTED_VALUE"""),"Congo, Dem. Rep.")</f>
        <v>Congo, Dem. Rep.</v>
      </c>
      <c r="D3547">
        <f>IFERROR(__xludf.DUMMYFUNCTION("""COMPUTED_VALUE"""),2035.0)</f>
        <v>2035</v>
      </c>
      <c r="E3547">
        <f>IFERROR(__xludf.DUMMYFUNCTION("""COMPUTED_VALUE"""),1.38153309E8)</f>
        <v>138153309</v>
      </c>
    </row>
    <row r="3548">
      <c r="A3548" t="str">
        <f t="shared" si="1"/>
        <v>cod#2036</v>
      </c>
      <c r="B3548" t="str">
        <f>IFERROR(__xludf.DUMMYFUNCTION("""COMPUTED_VALUE"""),"cod")</f>
        <v>cod</v>
      </c>
      <c r="C3548" t="str">
        <f>IFERROR(__xludf.DUMMYFUNCTION("""COMPUTED_VALUE"""),"Congo, Dem. Rep.")</f>
        <v>Congo, Dem. Rep.</v>
      </c>
      <c r="D3548">
        <f>IFERROR(__xludf.DUMMYFUNCTION("""COMPUTED_VALUE"""),2036.0)</f>
        <v>2036</v>
      </c>
      <c r="E3548">
        <f>IFERROR(__xludf.DUMMYFUNCTION("""COMPUTED_VALUE"""),1.41855797E8)</f>
        <v>141855797</v>
      </c>
    </row>
    <row r="3549">
      <c r="A3549" t="str">
        <f t="shared" si="1"/>
        <v>cod#2037</v>
      </c>
      <c r="B3549" t="str">
        <f>IFERROR(__xludf.DUMMYFUNCTION("""COMPUTED_VALUE"""),"cod")</f>
        <v>cod</v>
      </c>
      <c r="C3549" t="str">
        <f>IFERROR(__xludf.DUMMYFUNCTION("""COMPUTED_VALUE"""),"Congo, Dem. Rep.")</f>
        <v>Congo, Dem. Rep.</v>
      </c>
      <c r="D3549">
        <f>IFERROR(__xludf.DUMMYFUNCTION("""COMPUTED_VALUE"""),2037.0)</f>
        <v>2037</v>
      </c>
      <c r="E3549">
        <f>IFERROR(__xludf.DUMMYFUNCTION("""COMPUTED_VALUE"""),1.45606856E8)</f>
        <v>145606856</v>
      </c>
    </row>
    <row r="3550">
      <c r="A3550" t="str">
        <f t="shared" si="1"/>
        <v>cod#2038</v>
      </c>
      <c r="B3550" t="str">
        <f>IFERROR(__xludf.DUMMYFUNCTION("""COMPUTED_VALUE"""),"cod")</f>
        <v>cod</v>
      </c>
      <c r="C3550" t="str">
        <f>IFERROR(__xludf.DUMMYFUNCTION("""COMPUTED_VALUE"""),"Congo, Dem. Rep.")</f>
        <v>Congo, Dem. Rep.</v>
      </c>
      <c r="D3550">
        <f>IFERROR(__xludf.DUMMYFUNCTION("""COMPUTED_VALUE"""),2038.0)</f>
        <v>2038</v>
      </c>
      <c r="E3550">
        <f>IFERROR(__xludf.DUMMYFUNCTION("""COMPUTED_VALUE"""),1.49402912E8)</f>
        <v>149402912</v>
      </c>
    </row>
    <row r="3551">
      <c r="A3551" t="str">
        <f t="shared" si="1"/>
        <v>cod#2039</v>
      </c>
      <c r="B3551" t="str">
        <f>IFERROR(__xludf.DUMMYFUNCTION("""COMPUTED_VALUE"""),"cod")</f>
        <v>cod</v>
      </c>
      <c r="C3551" t="str">
        <f>IFERROR(__xludf.DUMMYFUNCTION("""COMPUTED_VALUE"""),"Congo, Dem. Rep.")</f>
        <v>Congo, Dem. Rep.</v>
      </c>
      <c r="D3551">
        <f>IFERROR(__xludf.DUMMYFUNCTION("""COMPUTED_VALUE"""),2039.0)</f>
        <v>2039</v>
      </c>
      <c r="E3551">
        <f>IFERROR(__xludf.DUMMYFUNCTION("""COMPUTED_VALUE"""),1.53239842E8)</f>
        <v>153239842</v>
      </c>
    </row>
    <row r="3552">
      <c r="A3552" t="str">
        <f t="shared" si="1"/>
        <v>cod#2040</v>
      </c>
      <c r="B3552" t="str">
        <f>IFERROR(__xludf.DUMMYFUNCTION("""COMPUTED_VALUE"""),"cod")</f>
        <v>cod</v>
      </c>
      <c r="C3552" t="str">
        <f>IFERROR(__xludf.DUMMYFUNCTION("""COMPUTED_VALUE"""),"Congo, Dem. Rep.")</f>
        <v>Congo, Dem. Rep.</v>
      </c>
      <c r="D3552">
        <f>IFERROR(__xludf.DUMMYFUNCTION("""COMPUTED_VALUE"""),2040.0)</f>
        <v>2040</v>
      </c>
      <c r="E3552">
        <f>IFERROR(__xludf.DUMMYFUNCTION("""COMPUTED_VALUE"""),1.57114E8)</f>
        <v>157114000</v>
      </c>
    </row>
    <row r="3553">
      <c r="A3553" t="str">
        <f t="shared" si="1"/>
        <v>cog#1950</v>
      </c>
      <c r="B3553" t="str">
        <f>IFERROR(__xludf.DUMMYFUNCTION("""COMPUTED_VALUE"""),"cog")</f>
        <v>cog</v>
      </c>
      <c r="C3553" t="str">
        <f>IFERROR(__xludf.DUMMYFUNCTION("""COMPUTED_VALUE"""),"Congo, Rep.")</f>
        <v>Congo, Rep.</v>
      </c>
      <c r="D3553">
        <f>IFERROR(__xludf.DUMMYFUNCTION("""COMPUTED_VALUE"""),1950.0)</f>
        <v>1950</v>
      </c>
      <c r="E3553">
        <f>IFERROR(__xludf.DUMMYFUNCTION("""COMPUTED_VALUE"""),827252.0)</f>
        <v>827252</v>
      </c>
    </row>
    <row r="3554">
      <c r="A3554" t="str">
        <f t="shared" si="1"/>
        <v>cog#1951</v>
      </c>
      <c r="B3554" t="str">
        <f>IFERROR(__xludf.DUMMYFUNCTION("""COMPUTED_VALUE"""),"cog")</f>
        <v>cog</v>
      </c>
      <c r="C3554" t="str">
        <f>IFERROR(__xludf.DUMMYFUNCTION("""COMPUTED_VALUE"""),"Congo, Rep.")</f>
        <v>Congo, Rep.</v>
      </c>
      <c r="D3554">
        <f>IFERROR(__xludf.DUMMYFUNCTION("""COMPUTED_VALUE"""),1951.0)</f>
        <v>1951</v>
      </c>
      <c r="E3554">
        <f>IFERROR(__xludf.DUMMYFUNCTION("""COMPUTED_VALUE"""),844004.0)</f>
        <v>844004</v>
      </c>
    </row>
    <row r="3555">
      <c r="A3555" t="str">
        <f t="shared" si="1"/>
        <v>cog#1952</v>
      </c>
      <c r="B3555" t="str">
        <f>IFERROR(__xludf.DUMMYFUNCTION("""COMPUTED_VALUE"""),"cog")</f>
        <v>cog</v>
      </c>
      <c r="C3555" t="str">
        <f>IFERROR(__xludf.DUMMYFUNCTION("""COMPUTED_VALUE"""),"Congo, Rep.")</f>
        <v>Congo, Rep.</v>
      </c>
      <c r="D3555">
        <f>IFERROR(__xludf.DUMMYFUNCTION("""COMPUTED_VALUE"""),1952.0)</f>
        <v>1952</v>
      </c>
      <c r="E3555">
        <f>IFERROR(__xludf.DUMMYFUNCTION("""COMPUTED_VALUE"""),861706.0)</f>
        <v>861706</v>
      </c>
    </row>
    <row r="3556">
      <c r="A3556" t="str">
        <f t="shared" si="1"/>
        <v>cog#1953</v>
      </c>
      <c r="B3556" t="str">
        <f>IFERROR(__xludf.DUMMYFUNCTION("""COMPUTED_VALUE"""),"cog")</f>
        <v>cog</v>
      </c>
      <c r="C3556" t="str">
        <f>IFERROR(__xludf.DUMMYFUNCTION("""COMPUTED_VALUE"""),"Congo, Rep.")</f>
        <v>Congo, Rep.</v>
      </c>
      <c r="D3556">
        <f>IFERROR(__xludf.DUMMYFUNCTION("""COMPUTED_VALUE"""),1953.0)</f>
        <v>1953</v>
      </c>
      <c r="E3556">
        <f>IFERROR(__xludf.DUMMYFUNCTION("""COMPUTED_VALUE"""),880318.0)</f>
        <v>880318</v>
      </c>
    </row>
    <row r="3557">
      <c r="A3557" t="str">
        <f t="shared" si="1"/>
        <v>cog#1954</v>
      </c>
      <c r="B3557" t="str">
        <f>IFERROR(__xludf.DUMMYFUNCTION("""COMPUTED_VALUE"""),"cog")</f>
        <v>cog</v>
      </c>
      <c r="C3557" t="str">
        <f>IFERROR(__xludf.DUMMYFUNCTION("""COMPUTED_VALUE"""),"Congo, Rep.")</f>
        <v>Congo, Rep.</v>
      </c>
      <c r="D3557">
        <f>IFERROR(__xludf.DUMMYFUNCTION("""COMPUTED_VALUE"""),1954.0)</f>
        <v>1954</v>
      </c>
      <c r="E3557">
        <f>IFERROR(__xludf.DUMMYFUNCTION("""COMPUTED_VALUE"""),899822.0)</f>
        <v>899822</v>
      </c>
    </row>
    <row r="3558">
      <c r="A3558" t="str">
        <f t="shared" si="1"/>
        <v>cog#1955</v>
      </c>
      <c r="B3558" t="str">
        <f>IFERROR(__xludf.DUMMYFUNCTION("""COMPUTED_VALUE"""),"cog")</f>
        <v>cog</v>
      </c>
      <c r="C3558" t="str">
        <f>IFERROR(__xludf.DUMMYFUNCTION("""COMPUTED_VALUE"""),"Congo, Rep.")</f>
        <v>Congo, Rep.</v>
      </c>
      <c r="D3558">
        <f>IFERROR(__xludf.DUMMYFUNCTION("""COMPUTED_VALUE"""),1955.0)</f>
        <v>1955</v>
      </c>
      <c r="E3558">
        <f>IFERROR(__xludf.DUMMYFUNCTION("""COMPUTED_VALUE"""),920218.0)</f>
        <v>920218</v>
      </c>
    </row>
    <row r="3559">
      <c r="A3559" t="str">
        <f t="shared" si="1"/>
        <v>cog#1956</v>
      </c>
      <c r="B3559" t="str">
        <f>IFERROR(__xludf.DUMMYFUNCTION("""COMPUTED_VALUE"""),"cog")</f>
        <v>cog</v>
      </c>
      <c r="C3559" t="str">
        <f>IFERROR(__xludf.DUMMYFUNCTION("""COMPUTED_VALUE"""),"Congo, Rep.")</f>
        <v>Congo, Rep.</v>
      </c>
      <c r="D3559">
        <f>IFERROR(__xludf.DUMMYFUNCTION("""COMPUTED_VALUE"""),1956.0)</f>
        <v>1956</v>
      </c>
      <c r="E3559">
        <f>IFERROR(__xludf.DUMMYFUNCTION("""COMPUTED_VALUE"""),941536.0)</f>
        <v>941536</v>
      </c>
    </row>
    <row r="3560">
      <c r="A3560" t="str">
        <f t="shared" si="1"/>
        <v>cog#1957</v>
      </c>
      <c r="B3560" t="str">
        <f>IFERROR(__xludf.DUMMYFUNCTION("""COMPUTED_VALUE"""),"cog")</f>
        <v>cog</v>
      </c>
      <c r="C3560" t="str">
        <f>IFERROR(__xludf.DUMMYFUNCTION("""COMPUTED_VALUE"""),"Congo, Rep.")</f>
        <v>Congo, Rep.</v>
      </c>
      <c r="D3560">
        <f>IFERROR(__xludf.DUMMYFUNCTION("""COMPUTED_VALUE"""),1957.0)</f>
        <v>1957</v>
      </c>
      <c r="E3560">
        <f>IFERROR(__xludf.DUMMYFUNCTION("""COMPUTED_VALUE"""),963824.0)</f>
        <v>963824</v>
      </c>
    </row>
    <row r="3561">
      <c r="A3561" t="str">
        <f t="shared" si="1"/>
        <v>cog#1958</v>
      </c>
      <c r="B3561" t="str">
        <f>IFERROR(__xludf.DUMMYFUNCTION("""COMPUTED_VALUE"""),"cog")</f>
        <v>cog</v>
      </c>
      <c r="C3561" t="str">
        <f>IFERROR(__xludf.DUMMYFUNCTION("""COMPUTED_VALUE"""),"Congo, Rep.")</f>
        <v>Congo, Rep.</v>
      </c>
      <c r="D3561">
        <f>IFERROR(__xludf.DUMMYFUNCTION("""COMPUTED_VALUE"""),1958.0)</f>
        <v>1958</v>
      </c>
      <c r="E3561">
        <f>IFERROR(__xludf.DUMMYFUNCTION("""COMPUTED_VALUE"""),987142.0)</f>
        <v>987142</v>
      </c>
    </row>
    <row r="3562">
      <c r="A3562" t="str">
        <f t="shared" si="1"/>
        <v>cog#1959</v>
      </c>
      <c r="B3562" t="str">
        <f>IFERROR(__xludf.DUMMYFUNCTION("""COMPUTED_VALUE"""),"cog")</f>
        <v>cog</v>
      </c>
      <c r="C3562" t="str">
        <f>IFERROR(__xludf.DUMMYFUNCTION("""COMPUTED_VALUE"""),"Congo, Rep.")</f>
        <v>Congo, Rep.</v>
      </c>
      <c r="D3562">
        <f>IFERROR(__xludf.DUMMYFUNCTION("""COMPUTED_VALUE"""),1959.0)</f>
        <v>1959</v>
      </c>
      <c r="E3562">
        <f>IFERROR(__xludf.DUMMYFUNCTION("""COMPUTED_VALUE"""),1011584.0)</f>
        <v>1011584</v>
      </c>
    </row>
    <row r="3563">
      <c r="A3563" t="str">
        <f t="shared" si="1"/>
        <v>cog#1960</v>
      </c>
      <c r="B3563" t="str">
        <f>IFERROR(__xludf.DUMMYFUNCTION("""COMPUTED_VALUE"""),"cog")</f>
        <v>cog</v>
      </c>
      <c r="C3563" t="str">
        <f>IFERROR(__xludf.DUMMYFUNCTION("""COMPUTED_VALUE"""),"Congo, Rep.")</f>
        <v>Congo, Rep.</v>
      </c>
      <c r="D3563">
        <f>IFERROR(__xludf.DUMMYFUNCTION("""COMPUTED_VALUE"""),1960.0)</f>
        <v>1960</v>
      </c>
      <c r="E3563">
        <f>IFERROR(__xludf.DUMMYFUNCTION("""COMPUTED_VALUE"""),1037220.0)</f>
        <v>1037220</v>
      </c>
    </row>
    <row r="3564">
      <c r="A3564" t="str">
        <f t="shared" si="1"/>
        <v>cog#1961</v>
      </c>
      <c r="B3564" t="str">
        <f>IFERROR(__xludf.DUMMYFUNCTION("""COMPUTED_VALUE"""),"cog")</f>
        <v>cog</v>
      </c>
      <c r="C3564" t="str">
        <f>IFERROR(__xludf.DUMMYFUNCTION("""COMPUTED_VALUE"""),"Congo, Rep.")</f>
        <v>Congo, Rep.</v>
      </c>
      <c r="D3564">
        <f>IFERROR(__xludf.DUMMYFUNCTION("""COMPUTED_VALUE"""),1961.0)</f>
        <v>1961</v>
      </c>
      <c r="E3564">
        <f>IFERROR(__xludf.DUMMYFUNCTION("""COMPUTED_VALUE"""),1064111.0)</f>
        <v>1064111</v>
      </c>
    </row>
    <row r="3565">
      <c r="A3565" t="str">
        <f t="shared" si="1"/>
        <v>cog#1962</v>
      </c>
      <c r="B3565" t="str">
        <f>IFERROR(__xludf.DUMMYFUNCTION("""COMPUTED_VALUE"""),"cog")</f>
        <v>cog</v>
      </c>
      <c r="C3565" t="str">
        <f>IFERROR(__xludf.DUMMYFUNCTION("""COMPUTED_VALUE"""),"Congo, Rep.")</f>
        <v>Congo, Rep.</v>
      </c>
      <c r="D3565">
        <f>IFERROR(__xludf.DUMMYFUNCTION("""COMPUTED_VALUE"""),1962.0)</f>
        <v>1962</v>
      </c>
      <c r="E3565">
        <f>IFERROR(__xludf.DUMMYFUNCTION("""COMPUTED_VALUE"""),1092292.0)</f>
        <v>1092292</v>
      </c>
    </row>
    <row r="3566">
      <c r="A3566" t="str">
        <f t="shared" si="1"/>
        <v>cog#1963</v>
      </c>
      <c r="B3566" t="str">
        <f>IFERROR(__xludf.DUMMYFUNCTION("""COMPUTED_VALUE"""),"cog")</f>
        <v>cog</v>
      </c>
      <c r="C3566" t="str">
        <f>IFERROR(__xludf.DUMMYFUNCTION("""COMPUTED_VALUE"""),"Congo, Rep.")</f>
        <v>Congo, Rep.</v>
      </c>
      <c r="D3566">
        <f>IFERROR(__xludf.DUMMYFUNCTION("""COMPUTED_VALUE"""),1963.0)</f>
        <v>1963</v>
      </c>
      <c r="E3566">
        <f>IFERROR(__xludf.DUMMYFUNCTION("""COMPUTED_VALUE"""),1121735.0)</f>
        <v>1121735</v>
      </c>
    </row>
    <row r="3567">
      <c r="A3567" t="str">
        <f t="shared" si="1"/>
        <v>cog#1964</v>
      </c>
      <c r="B3567" t="str">
        <f>IFERROR(__xludf.DUMMYFUNCTION("""COMPUTED_VALUE"""),"cog")</f>
        <v>cog</v>
      </c>
      <c r="C3567" t="str">
        <f>IFERROR(__xludf.DUMMYFUNCTION("""COMPUTED_VALUE"""),"Congo, Rep.")</f>
        <v>Congo, Rep.</v>
      </c>
      <c r="D3567">
        <f>IFERROR(__xludf.DUMMYFUNCTION("""COMPUTED_VALUE"""),1964.0)</f>
        <v>1964</v>
      </c>
      <c r="E3567">
        <f>IFERROR(__xludf.DUMMYFUNCTION("""COMPUTED_VALUE"""),1152412.0)</f>
        <v>1152412</v>
      </c>
    </row>
    <row r="3568">
      <c r="A3568" t="str">
        <f t="shared" si="1"/>
        <v>cog#1965</v>
      </c>
      <c r="B3568" t="str">
        <f>IFERROR(__xludf.DUMMYFUNCTION("""COMPUTED_VALUE"""),"cog")</f>
        <v>cog</v>
      </c>
      <c r="C3568" t="str">
        <f>IFERROR(__xludf.DUMMYFUNCTION("""COMPUTED_VALUE"""),"Congo, Rep.")</f>
        <v>Congo, Rep.</v>
      </c>
      <c r="D3568">
        <f>IFERROR(__xludf.DUMMYFUNCTION("""COMPUTED_VALUE"""),1965.0)</f>
        <v>1965</v>
      </c>
      <c r="E3568">
        <f>IFERROR(__xludf.DUMMYFUNCTION("""COMPUTED_VALUE"""),1184316.0)</f>
        <v>1184316</v>
      </c>
    </row>
    <row r="3569">
      <c r="A3569" t="str">
        <f t="shared" si="1"/>
        <v>cog#1966</v>
      </c>
      <c r="B3569" t="str">
        <f>IFERROR(__xludf.DUMMYFUNCTION("""COMPUTED_VALUE"""),"cog")</f>
        <v>cog</v>
      </c>
      <c r="C3569" t="str">
        <f>IFERROR(__xludf.DUMMYFUNCTION("""COMPUTED_VALUE"""),"Congo, Rep.")</f>
        <v>Congo, Rep.</v>
      </c>
      <c r="D3569">
        <f>IFERROR(__xludf.DUMMYFUNCTION("""COMPUTED_VALUE"""),1966.0)</f>
        <v>1966</v>
      </c>
      <c r="E3569">
        <f>IFERROR(__xludf.DUMMYFUNCTION("""COMPUTED_VALUE"""),1217391.0)</f>
        <v>1217391</v>
      </c>
    </row>
    <row r="3570">
      <c r="A3570" t="str">
        <f t="shared" si="1"/>
        <v>cog#1967</v>
      </c>
      <c r="B3570" t="str">
        <f>IFERROR(__xludf.DUMMYFUNCTION("""COMPUTED_VALUE"""),"cog")</f>
        <v>cog</v>
      </c>
      <c r="C3570" t="str">
        <f>IFERROR(__xludf.DUMMYFUNCTION("""COMPUTED_VALUE"""),"Congo, Rep.")</f>
        <v>Congo, Rep.</v>
      </c>
      <c r="D3570">
        <f>IFERROR(__xludf.DUMMYFUNCTION("""COMPUTED_VALUE"""),1967.0)</f>
        <v>1967</v>
      </c>
      <c r="E3570">
        <f>IFERROR(__xludf.DUMMYFUNCTION("""COMPUTED_VALUE"""),1251703.0)</f>
        <v>1251703</v>
      </c>
    </row>
    <row r="3571">
      <c r="A3571" t="str">
        <f t="shared" si="1"/>
        <v>cog#1968</v>
      </c>
      <c r="B3571" t="str">
        <f>IFERROR(__xludf.DUMMYFUNCTION("""COMPUTED_VALUE"""),"cog")</f>
        <v>cog</v>
      </c>
      <c r="C3571" t="str">
        <f>IFERROR(__xludf.DUMMYFUNCTION("""COMPUTED_VALUE"""),"Congo, Rep.")</f>
        <v>Congo, Rep.</v>
      </c>
      <c r="D3571">
        <f>IFERROR(__xludf.DUMMYFUNCTION("""COMPUTED_VALUE"""),1968.0)</f>
        <v>1968</v>
      </c>
      <c r="E3571">
        <f>IFERROR(__xludf.DUMMYFUNCTION("""COMPUTED_VALUE"""),1287516.0)</f>
        <v>1287516</v>
      </c>
    </row>
    <row r="3572">
      <c r="A3572" t="str">
        <f t="shared" si="1"/>
        <v>cog#1969</v>
      </c>
      <c r="B3572" t="str">
        <f>IFERROR(__xludf.DUMMYFUNCTION("""COMPUTED_VALUE"""),"cog")</f>
        <v>cog</v>
      </c>
      <c r="C3572" t="str">
        <f>IFERROR(__xludf.DUMMYFUNCTION("""COMPUTED_VALUE"""),"Congo, Rep.")</f>
        <v>Congo, Rep.</v>
      </c>
      <c r="D3572">
        <f>IFERROR(__xludf.DUMMYFUNCTION("""COMPUTED_VALUE"""),1969.0)</f>
        <v>1969</v>
      </c>
      <c r="E3572">
        <f>IFERROR(__xludf.DUMMYFUNCTION("""COMPUTED_VALUE"""),1325147.0)</f>
        <v>1325147</v>
      </c>
    </row>
    <row r="3573">
      <c r="A3573" t="str">
        <f t="shared" si="1"/>
        <v>cog#1970</v>
      </c>
      <c r="B3573" t="str">
        <f>IFERROR(__xludf.DUMMYFUNCTION("""COMPUTED_VALUE"""),"cog")</f>
        <v>cog</v>
      </c>
      <c r="C3573" t="str">
        <f>IFERROR(__xludf.DUMMYFUNCTION("""COMPUTED_VALUE"""),"Congo, Rep.")</f>
        <v>Congo, Rep.</v>
      </c>
      <c r="D3573">
        <f>IFERROR(__xludf.DUMMYFUNCTION("""COMPUTED_VALUE"""),1970.0)</f>
        <v>1970</v>
      </c>
      <c r="E3573">
        <f>IFERROR(__xludf.DUMMYFUNCTION("""COMPUTED_VALUE"""),1364812.0)</f>
        <v>1364812</v>
      </c>
    </row>
    <row r="3574">
      <c r="A3574" t="str">
        <f t="shared" si="1"/>
        <v>cog#1971</v>
      </c>
      <c r="B3574" t="str">
        <f>IFERROR(__xludf.DUMMYFUNCTION("""COMPUTED_VALUE"""),"cog")</f>
        <v>cog</v>
      </c>
      <c r="C3574" t="str">
        <f>IFERROR(__xludf.DUMMYFUNCTION("""COMPUTED_VALUE"""),"Congo, Rep.")</f>
        <v>Congo, Rep.</v>
      </c>
      <c r="D3574">
        <f>IFERROR(__xludf.DUMMYFUNCTION("""COMPUTED_VALUE"""),1971.0)</f>
        <v>1971</v>
      </c>
      <c r="E3574">
        <f>IFERROR(__xludf.DUMMYFUNCTION("""COMPUTED_VALUE"""),1406643.0)</f>
        <v>1406643</v>
      </c>
    </row>
    <row r="3575">
      <c r="A3575" t="str">
        <f t="shared" si="1"/>
        <v>cog#1972</v>
      </c>
      <c r="B3575" t="str">
        <f>IFERROR(__xludf.DUMMYFUNCTION("""COMPUTED_VALUE"""),"cog")</f>
        <v>cog</v>
      </c>
      <c r="C3575" t="str">
        <f>IFERROR(__xludf.DUMMYFUNCTION("""COMPUTED_VALUE"""),"Congo, Rep.")</f>
        <v>Congo, Rep.</v>
      </c>
      <c r="D3575">
        <f>IFERROR(__xludf.DUMMYFUNCTION("""COMPUTED_VALUE"""),1972.0)</f>
        <v>1972</v>
      </c>
      <c r="E3575">
        <f>IFERROR(__xludf.DUMMYFUNCTION("""COMPUTED_VALUE"""),1450518.0)</f>
        <v>1450518</v>
      </c>
    </row>
    <row r="3576">
      <c r="A3576" t="str">
        <f t="shared" si="1"/>
        <v>cog#1973</v>
      </c>
      <c r="B3576" t="str">
        <f>IFERROR(__xludf.DUMMYFUNCTION("""COMPUTED_VALUE"""),"cog")</f>
        <v>cog</v>
      </c>
      <c r="C3576" t="str">
        <f>IFERROR(__xludf.DUMMYFUNCTION("""COMPUTED_VALUE"""),"Congo, Rep.")</f>
        <v>Congo, Rep.</v>
      </c>
      <c r="D3576">
        <f>IFERROR(__xludf.DUMMYFUNCTION("""COMPUTED_VALUE"""),1973.0)</f>
        <v>1973</v>
      </c>
      <c r="E3576">
        <f>IFERROR(__xludf.DUMMYFUNCTION("""COMPUTED_VALUE"""),1496047.0)</f>
        <v>1496047</v>
      </c>
    </row>
    <row r="3577">
      <c r="A3577" t="str">
        <f t="shared" si="1"/>
        <v>cog#1974</v>
      </c>
      <c r="B3577" t="str">
        <f>IFERROR(__xludf.DUMMYFUNCTION("""COMPUTED_VALUE"""),"cog")</f>
        <v>cog</v>
      </c>
      <c r="C3577" t="str">
        <f>IFERROR(__xludf.DUMMYFUNCTION("""COMPUTED_VALUE"""),"Congo, Rep.")</f>
        <v>Congo, Rep.</v>
      </c>
      <c r="D3577">
        <f>IFERROR(__xludf.DUMMYFUNCTION("""COMPUTED_VALUE"""),1974.0)</f>
        <v>1974</v>
      </c>
      <c r="E3577">
        <f>IFERROR(__xludf.DUMMYFUNCTION("""COMPUTED_VALUE"""),1542690.0)</f>
        <v>1542690</v>
      </c>
    </row>
    <row r="3578">
      <c r="A3578" t="str">
        <f t="shared" si="1"/>
        <v>cog#1975</v>
      </c>
      <c r="B3578" t="str">
        <f>IFERROR(__xludf.DUMMYFUNCTION("""COMPUTED_VALUE"""),"cog")</f>
        <v>cog</v>
      </c>
      <c r="C3578" t="str">
        <f>IFERROR(__xludf.DUMMYFUNCTION("""COMPUTED_VALUE"""),"Congo, Rep.")</f>
        <v>Congo, Rep.</v>
      </c>
      <c r="D3578">
        <f>IFERROR(__xludf.DUMMYFUNCTION("""COMPUTED_VALUE"""),1975.0)</f>
        <v>1975</v>
      </c>
      <c r="E3578">
        <f>IFERROR(__xludf.DUMMYFUNCTION("""COMPUTED_VALUE"""),1590039.0)</f>
        <v>1590039</v>
      </c>
    </row>
    <row r="3579">
      <c r="A3579" t="str">
        <f t="shared" si="1"/>
        <v>cog#1976</v>
      </c>
      <c r="B3579" t="str">
        <f>IFERROR(__xludf.DUMMYFUNCTION("""COMPUTED_VALUE"""),"cog")</f>
        <v>cog</v>
      </c>
      <c r="C3579" t="str">
        <f>IFERROR(__xludf.DUMMYFUNCTION("""COMPUTED_VALUE"""),"Congo, Rep.")</f>
        <v>Congo, Rep.</v>
      </c>
      <c r="D3579">
        <f>IFERROR(__xludf.DUMMYFUNCTION("""COMPUTED_VALUE"""),1976.0)</f>
        <v>1976</v>
      </c>
      <c r="E3579">
        <f>IFERROR(__xludf.DUMMYFUNCTION("""COMPUTED_VALUE"""),1637941.0)</f>
        <v>1637941</v>
      </c>
    </row>
    <row r="3580">
      <c r="A3580" t="str">
        <f t="shared" si="1"/>
        <v>cog#1977</v>
      </c>
      <c r="B3580" t="str">
        <f>IFERROR(__xludf.DUMMYFUNCTION("""COMPUTED_VALUE"""),"cog")</f>
        <v>cog</v>
      </c>
      <c r="C3580" t="str">
        <f>IFERROR(__xludf.DUMMYFUNCTION("""COMPUTED_VALUE"""),"Congo, Rep.")</f>
        <v>Congo, Rep.</v>
      </c>
      <c r="D3580">
        <f>IFERROR(__xludf.DUMMYFUNCTION("""COMPUTED_VALUE"""),1977.0)</f>
        <v>1977</v>
      </c>
      <c r="E3580">
        <f>IFERROR(__xludf.DUMMYFUNCTION("""COMPUTED_VALUE"""),1686524.0)</f>
        <v>1686524</v>
      </c>
    </row>
    <row r="3581">
      <c r="A3581" t="str">
        <f t="shared" si="1"/>
        <v>cog#1978</v>
      </c>
      <c r="B3581" t="str">
        <f>IFERROR(__xludf.DUMMYFUNCTION("""COMPUTED_VALUE"""),"cog")</f>
        <v>cog</v>
      </c>
      <c r="C3581" t="str">
        <f>IFERROR(__xludf.DUMMYFUNCTION("""COMPUTED_VALUE"""),"Congo, Rep.")</f>
        <v>Congo, Rep.</v>
      </c>
      <c r="D3581">
        <f>IFERROR(__xludf.DUMMYFUNCTION("""COMPUTED_VALUE"""),1978.0)</f>
        <v>1978</v>
      </c>
      <c r="E3581">
        <f>IFERROR(__xludf.DUMMYFUNCTION("""COMPUTED_VALUE"""),1736099.0)</f>
        <v>1736099</v>
      </c>
    </row>
    <row r="3582">
      <c r="A3582" t="str">
        <f t="shared" si="1"/>
        <v>cog#1979</v>
      </c>
      <c r="B3582" t="str">
        <f>IFERROR(__xludf.DUMMYFUNCTION("""COMPUTED_VALUE"""),"cog")</f>
        <v>cog</v>
      </c>
      <c r="C3582" t="str">
        <f>IFERROR(__xludf.DUMMYFUNCTION("""COMPUTED_VALUE"""),"Congo, Rep.")</f>
        <v>Congo, Rep.</v>
      </c>
      <c r="D3582">
        <f>IFERROR(__xludf.DUMMYFUNCTION("""COMPUTED_VALUE"""),1979.0)</f>
        <v>1979</v>
      </c>
      <c r="E3582">
        <f>IFERROR(__xludf.DUMMYFUNCTION("""COMPUTED_VALUE"""),1787129.0)</f>
        <v>1787129</v>
      </c>
    </row>
    <row r="3583">
      <c r="A3583" t="str">
        <f t="shared" si="1"/>
        <v>cog#1980</v>
      </c>
      <c r="B3583" t="str">
        <f>IFERROR(__xludf.DUMMYFUNCTION("""COMPUTED_VALUE"""),"cog")</f>
        <v>cog</v>
      </c>
      <c r="C3583" t="str">
        <f>IFERROR(__xludf.DUMMYFUNCTION("""COMPUTED_VALUE"""),"Congo, Rep.")</f>
        <v>Congo, Rep.</v>
      </c>
      <c r="D3583">
        <f>IFERROR(__xludf.DUMMYFUNCTION("""COMPUTED_VALUE"""),1980.0)</f>
        <v>1980</v>
      </c>
      <c r="E3583">
        <f>IFERROR(__xludf.DUMMYFUNCTION("""COMPUTED_VALUE"""),1839935.0)</f>
        <v>1839935</v>
      </c>
    </row>
    <row r="3584">
      <c r="A3584" t="str">
        <f t="shared" si="1"/>
        <v>cog#1981</v>
      </c>
      <c r="B3584" t="str">
        <f>IFERROR(__xludf.DUMMYFUNCTION("""COMPUTED_VALUE"""),"cog")</f>
        <v>cog</v>
      </c>
      <c r="C3584" t="str">
        <f>IFERROR(__xludf.DUMMYFUNCTION("""COMPUTED_VALUE"""),"Congo, Rep.")</f>
        <v>Congo, Rep.</v>
      </c>
      <c r="D3584">
        <f>IFERROR(__xludf.DUMMYFUNCTION("""COMPUTED_VALUE"""),1981.0)</f>
        <v>1981</v>
      </c>
      <c r="E3584">
        <f>IFERROR(__xludf.DUMMYFUNCTION("""COMPUTED_VALUE"""),1894676.0)</f>
        <v>1894676</v>
      </c>
    </row>
    <row r="3585">
      <c r="A3585" t="str">
        <f t="shared" si="1"/>
        <v>cog#1982</v>
      </c>
      <c r="B3585" t="str">
        <f>IFERROR(__xludf.DUMMYFUNCTION("""COMPUTED_VALUE"""),"cog")</f>
        <v>cog</v>
      </c>
      <c r="C3585" t="str">
        <f>IFERROR(__xludf.DUMMYFUNCTION("""COMPUTED_VALUE"""),"Congo, Rep.")</f>
        <v>Congo, Rep.</v>
      </c>
      <c r="D3585">
        <f>IFERROR(__xludf.DUMMYFUNCTION("""COMPUTED_VALUE"""),1982.0)</f>
        <v>1982</v>
      </c>
      <c r="E3585">
        <f>IFERROR(__xludf.DUMMYFUNCTION("""COMPUTED_VALUE"""),1951195.0)</f>
        <v>1951195</v>
      </c>
    </row>
    <row r="3586">
      <c r="A3586" t="str">
        <f t="shared" si="1"/>
        <v>cog#1983</v>
      </c>
      <c r="B3586" t="str">
        <f>IFERROR(__xludf.DUMMYFUNCTION("""COMPUTED_VALUE"""),"cog")</f>
        <v>cog</v>
      </c>
      <c r="C3586" t="str">
        <f>IFERROR(__xludf.DUMMYFUNCTION("""COMPUTED_VALUE"""),"Congo, Rep.")</f>
        <v>Congo, Rep.</v>
      </c>
      <c r="D3586">
        <f>IFERROR(__xludf.DUMMYFUNCTION("""COMPUTED_VALUE"""),1983.0)</f>
        <v>1983</v>
      </c>
      <c r="E3586">
        <f>IFERROR(__xludf.DUMMYFUNCTION("""COMPUTED_VALUE"""),2009165.0)</f>
        <v>2009165</v>
      </c>
    </row>
    <row r="3587">
      <c r="A3587" t="str">
        <f t="shared" si="1"/>
        <v>cog#1984</v>
      </c>
      <c r="B3587" t="str">
        <f>IFERROR(__xludf.DUMMYFUNCTION("""COMPUTED_VALUE"""),"cog")</f>
        <v>cog</v>
      </c>
      <c r="C3587" t="str">
        <f>IFERROR(__xludf.DUMMYFUNCTION("""COMPUTED_VALUE"""),"Congo, Rep.")</f>
        <v>Congo, Rep.</v>
      </c>
      <c r="D3587">
        <f>IFERROR(__xludf.DUMMYFUNCTION("""COMPUTED_VALUE"""),1984.0)</f>
        <v>1984</v>
      </c>
      <c r="E3587">
        <f>IFERROR(__xludf.DUMMYFUNCTION("""COMPUTED_VALUE"""),2068132.0)</f>
        <v>2068132</v>
      </c>
    </row>
    <row r="3588">
      <c r="A3588" t="str">
        <f t="shared" si="1"/>
        <v>cog#1985</v>
      </c>
      <c r="B3588" t="str">
        <f>IFERROR(__xludf.DUMMYFUNCTION("""COMPUTED_VALUE"""),"cog")</f>
        <v>cog</v>
      </c>
      <c r="C3588" t="str">
        <f>IFERROR(__xludf.DUMMYFUNCTION("""COMPUTED_VALUE"""),"Congo, Rep.")</f>
        <v>Congo, Rep.</v>
      </c>
      <c r="D3588">
        <f>IFERROR(__xludf.DUMMYFUNCTION("""COMPUTED_VALUE"""),1985.0)</f>
        <v>1985</v>
      </c>
      <c r="E3588">
        <f>IFERROR(__xludf.DUMMYFUNCTION("""COMPUTED_VALUE"""),2127770.0)</f>
        <v>2127770</v>
      </c>
    </row>
    <row r="3589">
      <c r="A3589" t="str">
        <f t="shared" si="1"/>
        <v>cog#1986</v>
      </c>
      <c r="B3589" t="str">
        <f>IFERROR(__xludf.DUMMYFUNCTION("""COMPUTED_VALUE"""),"cog")</f>
        <v>cog</v>
      </c>
      <c r="C3589" t="str">
        <f>IFERROR(__xludf.DUMMYFUNCTION("""COMPUTED_VALUE"""),"Congo, Rep.")</f>
        <v>Congo, Rep.</v>
      </c>
      <c r="D3589">
        <f>IFERROR(__xludf.DUMMYFUNCTION("""COMPUTED_VALUE"""),1986.0)</f>
        <v>1986</v>
      </c>
      <c r="E3589">
        <f>IFERROR(__xludf.DUMMYFUNCTION("""COMPUTED_VALUE"""),2188046.0)</f>
        <v>2188046</v>
      </c>
    </row>
    <row r="3590">
      <c r="A3590" t="str">
        <f t="shared" si="1"/>
        <v>cog#1987</v>
      </c>
      <c r="B3590" t="str">
        <f>IFERROR(__xludf.DUMMYFUNCTION("""COMPUTED_VALUE"""),"cog")</f>
        <v>cog</v>
      </c>
      <c r="C3590" t="str">
        <f>IFERROR(__xludf.DUMMYFUNCTION("""COMPUTED_VALUE"""),"Congo, Rep.")</f>
        <v>Congo, Rep.</v>
      </c>
      <c r="D3590">
        <f>IFERROR(__xludf.DUMMYFUNCTION("""COMPUTED_VALUE"""),1987.0)</f>
        <v>1987</v>
      </c>
      <c r="E3590">
        <f>IFERROR(__xludf.DUMMYFUNCTION("""COMPUTED_VALUE"""),2249146.0)</f>
        <v>2249146</v>
      </c>
    </row>
    <row r="3591">
      <c r="A3591" t="str">
        <f t="shared" si="1"/>
        <v>cog#1988</v>
      </c>
      <c r="B3591" t="str">
        <f>IFERROR(__xludf.DUMMYFUNCTION("""COMPUTED_VALUE"""),"cog")</f>
        <v>cog</v>
      </c>
      <c r="C3591" t="str">
        <f>IFERROR(__xludf.DUMMYFUNCTION("""COMPUTED_VALUE"""),"Congo, Rep.")</f>
        <v>Congo, Rep.</v>
      </c>
      <c r="D3591">
        <f>IFERROR(__xludf.DUMMYFUNCTION("""COMPUTED_VALUE"""),1988.0)</f>
        <v>1988</v>
      </c>
      <c r="E3591">
        <f>IFERROR(__xludf.DUMMYFUNCTION("""COMPUTED_VALUE"""),2311348.0)</f>
        <v>2311348</v>
      </c>
    </row>
    <row r="3592">
      <c r="A3592" t="str">
        <f t="shared" si="1"/>
        <v>cog#1989</v>
      </c>
      <c r="B3592" t="str">
        <f>IFERROR(__xludf.DUMMYFUNCTION("""COMPUTED_VALUE"""),"cog")</f>
        <v>cog</v>
      </c>
      <c r="C3592" t="str">
        <f>IFERROR(__xludf.DUMMYFUNCTION("""COMPUTED_VALUE"""),"Congo, Rep.")</f>
        <v>Congo, Rep.</v>
      </c>
      <c r="D3592">
        <f>IFERROR(__xludf.DUMMYFUNCTION("""COMPUTED_VALUE"""),1989.0)</f>
        <v>1989</v>
      </c>
      <c r="E3592">
        <f>IFERROR(__xludf.DUMMYFUNCTION("""COMPUTED_VALUE"""),2375008.0)</f>
        <v>2375008</v>
      </c>
    </row>
    <row r="3593">
      <c r="A3593" t="str">
        <f t="shared" si="1"/>
        <v>cog#1990</v>
      </c>
      <c r="B3593" t="str">
        <f>IFERROR(__xludf.DUMMYFUNCTION("""COMPUTED_VALUE"""),"cog")</f>
        <v>cog</v>
      </c>
      <c r="C3593" t="str">
        <f>IFERROR(__xludf.DUMMYFUNCTION("""COMPUTED_VALUE"""),"Congo, Rep.")</f>
        <v>Congo, Rep.</v>
      </c>
      <c r="D3593">
        <f>IFERROR(__xludf.DUMMYFUNCTION("""COMPUTED_VALUE"""),1990.0)</f>
        <v>1990</v>
      </c>
      <c r="E3593">
        <f>IFERROR(__xludf.DUMMYFUNCTION("""COMPUTED_VALUE"""),2440457.0)</f>
        <v>2440457</v>
      </c>
    </row>
    <row r="3594">
      <c r="A3594" t="str">
        <f t="shared" si="1"/>
        <v>cog#1991</v>
      </c>
      <c r="B3594" t="str">
        <f>IFERROR(__xludf.DUMMYFUNCTION("""COMPUTED_VALUE"""),"cog")</f>
        <v>cog</v>
      </c>
      <c r="C3594" t="str">
        <f>IFERROR(__xludf.DUMMYFUNCTION("""COMPUTED_VALUE"""),"Congo, Rep.")</f>
        <v>Congo, Rep.</v>
      </c>
      <c r="D3594">
        <f>IFERROR(__xludf.DUMMYFUNCTION("""COMPUTED_VALUE"""),1991.0)</f>
        <v>1991</v>
      </c>
      <c r="E3594">
        <f>IFERROR(__xludf.DUMMYFUNCTION("""COMPUTED_VALUE"""),2507772.0)</f>
        <v>2507772</v>
      </c>
    </row>
    <row r="3595">
      <c r="A3595" t="str">
        <f t="shared" si="1"/>
        <v>cog#1992</v>
      </c>
      <c r="B3595" t="str">
        <f>IFERROR(__xludf.DUMMYFUNCTION("""COMPUTED_VALUE"""),"cog")</f>
        <v>cog</v>
      </c>
      <c r="C3595" t="str">
        <f>IFERROR(__xludf.DUMMYFUNCTION("""COMPUTED_VALUE"""),"Congo, Rep.")</f>
        <v>Congo, Rep.</v>
      </c>
      <c r="D3595">
        <f>IFERROR(__xludf.DUMMYFUNCTION("""COMPUTED_VALUE"""),1992.0)</f>
        <v>1992</v>
      </c>
      <c r="E3595">
        <f>IFERROR(__xludf.DUMMYFUNCTION("""COMPUTED_VALUE"""),2577035.0)</f>
        <v>2577035</v>
      </c>
    </row>
    <row r="3596">
      <c r="A3596" t="str">
        <f t="shared" si="1"/>
        <v>cog#1993</v>
      </c>
      <c r="B3596" t="str">
        <f>IFERROR(__xludf.DUMMYFUNCTION("""COMPUTED_VALUE"""),"cog")</f>
        <v>cog</v>
      </c>
      <c r="C3596" t="str">
        <f>IFERROR(__xludf.DUMMYFUNCTION("""COMPUTED_VALUE"""),"Congo, Rep.")</f>
        <v>Congo, Rep.</v>
      </c>
      <c r="D3596">
        <f>IFERROR(__xludf.DUMMYFUNCTION("""COMPUTED_VALUE"""),1993.0)</f>
        <v>1993</v>
      </c>
      <c r="E3596">
        <f>IFERROR(__xludf.DUMMYFUNCTION("""COMPUTED_VALUE"""),2648507.0)</f>
        <v>2648507</v>
      </c>
    </row>
    <row r="3597">
      <c r="A3597" t="str">
        <f t="shared" si="1"/>
        <v>cog#1994</v>
      </c>
      <c r="B3597" t="str">
        <f>IFERROR(__xludf.DUMMYFUNCTION("""COMPUTED_VALUE"""),"cog")</f>
        <v>cog</v>
      </c>
      <c r="C3597" t="str">
        <f>IFERROR(__xludf.DUMMYFUNCTION("""COMPUTED_VALUE"""),"Congo, Rep.")</f>
        <v>Congo, Rep.</v>
      </c>
      <c r="D3597">
        <f>IFERROR(__xludf.DUMMYFUNCTION("""COMPUTED_VALUE"""),1994.0)</f>
        <v>1994</v>
      </c>
      <c r="E3597">
        <f>IFERROR(__xludf.DUMMYFUNCTION("""COMPUTED_VALUE"""),2722497.0)</f>
        <v>2722497</v>
      </c>
    </row>
    <row r="3598">
      <c r="A3598" t="str">
        <f t="shared" si="1"/>
        <v>cog#1995</v>
      </c>
      <c r="B3598" t="str">
        <f>IFERROR(__xludf.DUMMYFUNCTION("""COMPUTED_VALUE"""),"cog")</f>
        <v>cog</v>
      </c>
      <c r="C3598" t="str">
        <f>IFERROR(__xludf.DUMMYFUNCTION("""COMPUTED_VALUE"""),"Congo, Rep.")</f>
        <v>Congo, Rep.</v>
      </c>
      <c r="D3598">
        <f>IFERROR(__xludf.DUMMYFUNCTION("""COMPUTED_VALUE"""),1995.0)</f>
        <v>1995</v>
      </c>
      <c r="E3598">
        <f>IFERROR(__xludf.DUMMYFUNCTION("""COMPUTED_VALUE"""),2799255.0)</f>
        <v>2799255</v>
      </c>
    </row>
    <row r="3599">
      <c r="A3599" t="str">
        <f t="shared" si="1"/>
        <v>cog#1996</v>
      </c>
      <c r="B3599" t="str">
        <f>IFERROR(__xludf.DUMMYFUNCTION("""COMPUTED_VALUE"""),"cog")</f>
        <v>cog</v>
      </c>
      <c r="C3599" t="str">
        <f>IFERROR(__xludf.DUMMYFUNCTION("""COMPUTED_VALUE"""),"Congo, Rep.")</f>
        <v>Congo, Rep.</v>
      </c>
      <c r="D3599">
        <f>IFERROR(__xludf.DUMMYFUNCTION("""COMPUTED_VALUE"""),1996.0)</f>
        <v>1996</v>
      </c>
      <c r="E3599">
        <f>IFERROR(__xludf.DUMMYFUNCTION("""COMPUTED_VALUE"""),2879222.0)</f>
        <v>2879222</v>
      </c>
    </row>
    <row r="3600">
      <c r="A3600" t="str">
        <f t="shared" si="1"/>
        <v>cog#1997</v>
      </c>
      <c r="B3600" t="str">
        <f>IFERROR(__xludf.DUMMYFUNCTION("""COMPUTED_VALUE"""),"cog")</f>
        <v>cog</v>
      </c>
      <c r="C3600" t="str">
        <f>IFERROR(__xludf.DUMMYFUNCTION("""COMPUTED_VALUE"""),"Congo, Rep.")</f>
        <v>Congo, Rep.</v>
      </c>
      <c r="D3600">
        <f>IFERROR(__xludf.DUMMYFUNCTION("""COMPUTED_VALUE"""),1997.0)</f>
        <v>1997</v>
      </c>
      <c r="E3600">
        <f>IFERROR(__xludf.DUMMYFUNCTION("""COMPUTED_VALUE"""),2962470.0)</f>
        <v>2962470</v>
      </c>
    </row>
    <row r="3601">
      <c r="A3601" t="str">
        <f t="shared" si="1"/>
        <v>cog#1998</v>
      </c>
      <c r="B3601" t="str">
        <f>IFERROR(__xludf.DUMMYFUNCTION("""COMPUTED_VALUE"""),"cog")</f>
        <v>cog</v>
      </c>
      <c r="C3601" t="str">
        <f>IFERROR(__xludf.DUMMYFUNCTION("""COMPUTED_VALUE"""),"Congo, Rep.")</f>
        <v>Congo, Rep.</v>
      </c>
      <c r="D3601">
        <f>IFERROR(__xludf.DUMMYFUNCTION("""COMPUTED_VALUE"""),1998.0)</f>
        <v>1998</v>
      </c>
      <c r="E3601">
        <f>IFERROR(__xludf.DUMMYFUNCTION("""COMPUTED_VALUE"""),3048453.0)</f>
        <v>3048453</v>
      </c>
    </row>
    <row r="3602">
      <c r="A3602" t="str">
        <f t="shared" si="1"/>
        <v>cog#1999</v>
      </c>
      <c r="B3602" t="str">
        <f>IFERROR(__xludf.DUMMYFUNCTION("""COMPUTED_VALUE"""),"cog")</f>
        <v>cog</v>
      </c>
      <c r="C3602" t="str">
        <f>IFERROR(__xludf.DUMMYFUNCTION("""COMPUTED_VALUE"""),"Congo, Rep.")</f>
        <v>Congo, Rep.</v>
      </c>
      <c r="D3602">
        <f>IFERROR(__xludf.DUMMYFUNCTION("""COMPUTED_VALUE"""),1999.0)</f>
        <v>1999</v>
      </c>
      <c r="E3602">
        <f>IFERROR(__xludf.DUMMYFUNCTION("""COMPUTED_VALUE"""),3136344.0)</f>
        <v>3136344</v>
      </c>
    </row>
    <row r="3603">
      <c r="A3603" t="str">
        <f t="shared" si="1"/>
        <v>cog#2000</v>
      </c>
      <c r="B3603" t="str">
        <f>IFERROR(__xludf.DUMMYFUNCTION("""COMPUTED_VALUE"""),"cog")</f>
        <v>cog</v>
      </c>
      <c r="C3603" t="str">
        <f>IFERROR(__xludf.DUMMYFUNCTION("""COMPUTED_VALUE"""),"Congo, Rep.")</f>
        <v>Congo, Rep.</v>
      </c>
      <c r="D3603">
        <f>IFERROR(__xludf.DUMMYFUNCTION("""COMPUTED_VALUE"""),2000.0)</f>
        <v>2000</v>
      </c>
      <c r="E3603">
        <f>IFERROR(__xludf.DUMMYFUNCTION("""COMPUTED_VALUE"""),3225727.0)</f>
        <v>3225727</v>
      </c>
    </row>
    <row r="3604">
      <c r="A3604" t="str">
        <f t="shared" si="1"/>
        <v>cog#2001</v>
      </c>
      <c r="B3604" t="str">
        <f>IFERROR(__xludf.DUMMYFUNCTION("""COMPUTED_VALUE"""),"cog")</f>
        <v>cog</v>
      </c>
      <c r="C3604" t="str">
        <f>IFERROR(__xludf.DUMMYFUNCTION("""COMPUTED_VALUE"""),"Congo, Rep.")</f>
        <v>Congo, Rep.</v>
      </c>
      <c r="D3604">
        <f>IFERROR(__xludf.DUMMYFUNCTION("""COMPUTED_VALUE"""),2001.0)</f>
        <v>2001</v>
      </c>
      <c r="E3604">
        <f>IFERROR(__xludf.DUMMYFUNCTION("""COMPUTED_VALUE"""),3315806.0)</f>
        <v>3315806</v>
      </c>
    </row>
    <row r="3605">
      <c r="A3605" t="str">
        <f t="shared" si="1"/>
        <v>cog#2002</v>
      </c>
      <c r="B3605" t="str">
        <f>IFERROR(__xludf.DUMMYFUNCTION("""COMPUTED_VALUE"""),"cog")</f>
        <v>cog</v>
      </c>
      <c r="C3605" t="str">
        <f>IFERROR(__xludf.DUMMYFUNCTION("""COMPUTED_VALUE"""),"Congo, Rep.")</f>
        <v>Congo, Rep.</v>
      </c>
      <c r="D3605">
        <f>IFERROR(__xludf.DUMMYFUNCTION("""COMPUTED_VALUE"""),2002.0)</f>
        <v>2002</v>
      </c>
      <c r="E3605">
        <f>IFERROR(__xludf.DUMMYFUNCTION("""COMPUTED_VALUE"""),3407180.0)</f>
        <v>3407180</v>
      </c>
    </row>
    <row r="3606">
      <c r="A3606" t="str">
        <f t="shared" si="1"/>
        <v>cog#2003</v>
      </c>
      <c r="B3606" t="str">
        <f>IFERROR(__xludf.DUMMYFUNCTION("""COMPUTED_VALUE"""),"cog")</f>
        <v>cog</v>
      </c>
      <c r="C3606" t="str">
        <f>IFERROR(__xludf.DUMMYFUNCTION("""COMPUTED_VALUE"""),"Congo, Rep.")</f>
        <v>Congo, Rep.</v>
      </c>
      <c r="D3606">
        <f>IFERROR(__xludf.DUMMYFUNCTION("""COMPUTED_VALUE"""),2003.0)</f>
        <v>2003</v>
      </c>
      <c r="E3606">
        <f>IFERROR(__xludf.DUMMYFUNCTION("""COMPUTED_VALUE"""),3502519.0)</f>
        <v>3502519</v>
      </c>
    </row>
    <row r="3607">
      <c r="A3607" t="str">
        <f t="shared" si="1"/>
        <v>cog#2004</v>
      </c>
      <c r="B3607" t="str">
        <f>IFERROR(__xludf.DUMMYFUNCTION("""COMPUTED_VALUE"""),"cog")</f>
        <v>cog</v>
      </c>
      <c r="C3607" t="str">
        <f>IFERROR(__xludf.DUMMYFUNCTION("""COMPUTED_VALUE"""),"Congo, Rep.")</f>
        <v>Congo, Rep.</v>
      </c>
      <c r="D3607">
        <f>IFERROR(__xludf.DUMMYFUNCTION("""COMPUTED_VALUE"""),2004.0)</f>
        <v>2004</v>
      </c>
      <c r="E3607">
        <f>IFERROR(__xludf.DUMMYFUNCTION("""COMPUTED_VALUE"""),3605439.0)</f>
        <v>3605439</v>
      </c>
    </row>
    <row r="3608">
      <c r="A3608" t="str">
        <f t="shared" si="1"/>
        <v>cog#2005</v>
      </c>
      <c r="B3608" t="str">
        <f>IFERROR(__xludf.DUMMYFUNCTION("""COMPUTED_VALUE"""),"cog")</f>
        <v>cog</v>
      </c>
      <c r="C3608" t="str">
        <f>IFERROR(__xludf.DUMMYFUNCTION("""COMPUTED_VALUE"""),"Congo, Rep.")</f>
        <v>Congo, Rep.</v>
      </c>
      <c r="D3608">
        <f>IFERROR(__xludf.DUMMYFUNCTION("""COMPUTED_VALUE"""),2005.0)</f>
        <v>2005</v>
      </c>
      <c r="E3608">
        <f>IFERROR(__xludf.DUMMYFUNCTION("""COMPUTED_VALUE"""),3718243.0)</f>
        <v>3718243</v>
      </c>
    </row>
    <row r="3609">
      <c r="A3609" t="str">
        <f t="shared" si="1"/>
        <v>cog#2006</v>
      </c>
      <c r="B3609" t="str">
        <f>IFERROR(__xludf.DUMMYFUNCTION("""COMPUTED_VALUE"""),"cog")</f>
        <v>cog</v>
      </c>
      <c r="C3609" t="str">
        <f>IFERROR(__xludf.DUMMYFUNCTION("""COMPUTED_VALUE"""),"Congo, Rep.")</f>
        <v>Congo, Rep.</v>
      </c>
      <c r="D3609">
        <f>IFERROR(__xludf.DUMMYFUNCTION("""COMPUTED_VALUE"""),2006.0)</f>
        <v>2006</v>
      </c>
      <c r="E3609">
        <f>IFERROR(__xludf.DUMMYFUNCTION("""COMPUTED_VALUE"""),3842365.0)</f>
        <v>3842365</v>
      </c>
    </row>
    <row r="3610">
      <c r="A3610" t="str">
        <f t="shared" si="1"/>
        <v>cog#2007</v>
      </c>
      <c r="B3610" t="str">
        <f>IFERROR(__xludf.DUMMYFUNCTION("""COMPUTED_VALUE"""),"cog")</f>
        <v>cog</v>
      </c>
      <c r="C3610" t="str">
        <f>IFERROR(__xludf.DUMMYFUNCTION("""COMPUTED_VALUE"""),"Congo, Rep.")</f>
        <v>Congo, Rep.</v>
      </c>
      <c r="D3610">
        <f>IFERROR(__xludf.DUMMYFUNCTION("""COMPUTED_VALUE"""),2007.0)</f>
        <v>2007</v>
      </c>
      <c r="E3610">
        <f>IFERROR(__xludf.DUMMYFUNCTION("""COMPUTED_VALUE"""),3976246.0)</f>
        <v>3976246</v>
      </c>
    </row>
    <row r="3611">
      <c r="A3611" t="str">
        <f t="shared" si="1"/>
        <v>cog#2008</v>
      </c>
      <c r="B3611" t="str">
        <f>IFERROR(__xludf.DUMMYFUNCTION("""COMPUTED_VALUE"""),"cog")</f>
        <v>cog</v>
      </c>
      <c r="C3611" t="str">
        <f>IFERROR(__xludf.DUMMYFUNCTION("""COMPUTED_VALUE"""),"Congo, Rep.")</f>
        <v>Congo, Rep.</v>
      </c>
      <c r="D3611">
        <f>IFERROR(__xludf.DUMMYFUNCTION("""COMPUTED_VALUE"""),2008.0)</f>
        <v>2008</v>
      </c>
      <c r="E3611">
        <f>IFERROR(__xludf.DUMMYFUNCTION("""COMPUTED_VALUE"""),4115435.0)</f>
        <v>4115435</v>
      </c>
    </row>
    <row r="3612">
      <c r="A3612" t="str">
        <f t="shared" si="1"/>
        <v>cog#2009</v>
      </c>
      <c r="B3612" t="str">
        <f>IFERROR(__xludf.DUMMYFUNCTION("""COMPUTED_VALUE"""),"cog")</f>
        <v>cog</v>
      </c>
      <c r="C3612" t="str">
        <f>IFERROR(__xludf.DUMMYFUNCTION("""COMPUTED_VALUE"""),"Congo, Rep.")</f>
        <v>Congo, Rep.</v>
      </c>
      <c r="D3612">
        <f>IFERROR(__xludf.DUMMYFUNCTION("""COMPUTED_VALUE"""),2009.0)</f>
        <v>2009</v>
      </c>
      <c r="E3612">
        <f>IFERROR(__xludf.DUMMYFUNCTION("""COMPUTED_VALUE"""),4253712.0)</f>
        <v>4253712</v>
      </c>
    </row>
    <row r="3613">
      <c r="A3613" t="str">
        <f t="shared" si="1"/>
        <v>cog#2010</v>
      </c>
      <c r="B3613" t="str">
        <f>IFERROR(__xludf.DUMMYFUNCTION("""COMPUTED_VALUE"""),"cog")</f>
        <v>cog</v>
      </c>
      <c r="C3613" t="str">
        <f>IFERROR(__xludf.DUMMYFUNCTION("""COMPUTED_VALUE"""),"Congo, Rep.")</f>
        <v>Congo, Rep.</v>
      </c>
      <c r="D3613">
        <f>IFERROR(__xludf.DUMMYFUNCTION("""COMPUTED_VALUE"""),2010.0)</f>
        <v>2010</v>
      </c>
      <c r="E3613">
        <f>IFERROR(__xludf.DUMMYFUNCTION("""COMPUTED_VALUE"""),4386693.0)</f>
        <v>4386693</v>
      </c>
    </row>
    <row r="3614">
      <c r="A3614" t="str">
        <f t="shared" si="1"/>
        <v>cog#2011</v>
      </c>
      <c r="B3614" t="str">
        <f>IFERROR(__xludf.DUMMYFUNCTION("""COMPUTED_VALUE"""),"cog")</f>
        <v>cog</v>
      </c>
      <c r="C3614" t="str">
        <f>IFERROR(__xludf.DUMMYFUNCTION("""COMPUTED_VALUE"""),"Congo, Rep.")</f>
        <v>Congo, Rep.</v>
      </c>
      <c r="D3614">
        <f>IFERROR(__xludf.DUMMYFUNCTION("""COMPUTED_VALUE"""),2011.0)</f>
        <v>2011</v>
      </c>
      <c r="E3614">
        <f>IFERROR(__xludf.DUMMYFUNCTION("""COMPUTED_VALUE"""),4512730.0)</f>
        <v>4512730</v>
      </c>
    </row>
    <row r="3615">
      <c r="A3615" t="str">
        <f t="shared" si="1"/>
        <v>cog#2012</v>
      </c>
      <c r="B3615" t="str">
        <f>IFERROR(__xludf.DUMMYFUNCTION("""COMPUTED_VALUE"""),"cog")</f>
        <v>cog</v>
      </c>
      <c r="C3615" t="str">
        <f>IFERROR(__xludf.DUMMYFUNCTION("""COMPUTED_VALUE"""),"Congo, Rep.")</f>
        <v>Congo, Rep.</v>
      </c>
      <c r="D3615">
        <f>IFERROR(__xludf.DUMMYFUNCTION("""COMPUTED_VALUE"""),2012.0)</f>
        <v>2012</v>
      </c>
      <c r="E3615">
        <f>IFERROR(__xludf.DUMMYFUNCTION("""COMPUTED_VALUE"""),4633363.0)</f>
        <v>4633363</v>
      </c>
    </row>
    <row r="3616">
      <c r="A3616" t="str">
        <f t="shared" si="1"/>
        <v>cog#2013</v>
      </c>
      <c r="B3616" t="str">
        <f>IFERROR(__xludf.DUMMYFUNCTION("""COMPUTED_VALUE"""),"cog")</f>
        <v>cog</v>
      </c>
      <c r="C3616" t="str">
        <f>IFERROR(__xludf.DUMMYFUNCTION("""COMPUTED_VALUE"""),"Congo, Rep.")</f>
        <v>Congo, Rep.</v>
      </c>
      <c r="D3616">
        <f>IFERROR(__xludf.DUMMYFUNCTION("""COMPUTED_VALUE"""),2013.0)</f>
        <v>2013</v>
      </c>
      <c r="E3616">
        <f>IFERROR(__xludf.DUMMYFUNCTION("""COMPUTED_VALUE"""),4751393.0)</f>
        <v>4751393</v>
      </c>
    </row>
    <row r="3617">
      <c r="A3617" t="str">
        <f t="shared" si="1"/>
        <v>cog#2014</v>
      </c>
      <c r="B3617" t="str">
        <f>IFERROR(__xludf.DUMMYFUNCTION("""COMPUTED_VALUE"""),"cog")</f>
        <v>cog</v>
      </c>
      <c r="C3617" t="str">
        <f>IFERROR(__xludf.DUMMYFUNCTION("""COMPUTED_VALUE"""),"Congo, Rep.")</f>
        <v>Congo, Rep.</v>
      </c>
      <c r="D3617">
        <f>IFERROR(__xludf.DUMMYFUNCTION("""COMPUTED_VALUE"""),2014.0)</f>
        <v>2014</v>
      </c>
      <c r="E3617">
        <f>IFERROR(__xludf.DUMMYFUNCTION("""COMPUTED_VALUE"""),4871101.0)</f>
        <v>4871101</v>
      </c>
    </row>
    <row r="3618">
      <c r="A3618" t="str">
        <f t="shared" si="1"/>
        <v>cog#2015</v>
      </c>
      <c r="B3618" t="str">
        <f>IFERROR(__xludf.DUMMYFUNCTION("""COMPUTED_VALUE"""),"cog")</f>
        <v>cog</v>
      </c>
      <c r="C3618" t="str">
        <f>IFERROR(__xludf.DUMMYFUNCTION("""COMPUTED_VALUE"""),"Congo, Rep.")</f>
        <v>Congo, Rep.</v>
      </c>
      <c r="D3618">
        <f>IFERROR(__xludf.DUMMYFUNCTION("""COMPUTED_VALUE"""),2015.0)</f>
        <v>2015</v>
      </c>
      <c r="E3618">
        <f>IFERROR(__xludf.DUMMYFUNCTION("""COMPUTED_VALUE"""),4995648.0)</f>
        <v>4995648</v>
      </c>
    </row>
    <row r="3619">
      <c r="A3619" t="str">
        <f t="shared" si="1"/>
        <v>cog#2016</v>
      </c>
      <c r="B3619" t="str">
        <f>IFERROR(__xludf.DUMMYFUNCTION("""COMPUTED_VALUE"""),"cog")</f>
        <v>cog</v>
      </c>
      <c r="C3619" t="str">
        <f>IFERROR(__xludf.DUMMYFUNCTION("""COMPUTED_VALUE"""),"Congo, Rep.")</f>
        <v>Congo, Rep.</v>
      </c>
      <c r="D3619">
        <f>IFERROR(__xludf.DUMMYFUNCTION("""COMPUTED_VALUE"""),2016.0)</f>
        <v>2016</v>
      </c>
      <c r="E3619">
        <f>IFERROR(__xludf.DUMMYFUNCTION("""COMPUTED_VALUE"""),5125821.0)</f>
        <v>5125821</v>
      </c>
    </row>
    <row r="3620">
      <c r="A3620" t="str">
        <f t="shared" si="1"/>
        <v>cog#2017</v>
      </c>
      <c r="B3620" t="str">
        <f>IFERROR(__xludf.DUMMYFUNCTION("""COMPUTED_VALUE"""),"cog")</f>
        <v>cog</v>
      </c>
      <c r="C3620" t="str">
        <f>IFERROR(__xludf.DUMMYFUNCTION("""COMPUTED_VALUE"""),"Congo, Rep.")</f>
        <v>Congo, Rep.</v>
      </c>
      <c r="D3620">
        <f>IFERROR(__xludf.DUMMYFUNCTION("""COMPUTED_VALUE"""),2017.0)</f>
        <v>2017</v>
      </c>
      <c r="E3620">
        <f>IFERROR(__xludf.DUMMYFUNCTION("""COMPUTED_VALUE"""),5260750.0)</f>
        <v>5260750</v>
      </c>
    </row>
    <row r="3621">
      <c r="A3621" t="str">
        <f t="shared" si="1"/>
        <v>cog#2018</v>
      </c>
      <c r="B3621" t="str">
        <f>IFERROR(__xludf.DUMMYFUNCTION("""COMPUTED_VALUE"""),"cog")</f>
        <v>cog</v>
      </c>
      <c r="C3621" t="str">
        <f>IFERROR(__xludf.DUMMYFUNCTION("""COMPUTED_VALUE"""),"Congo, Rep.")</f>
        <v>Congo, Rep.</v>
      </c>
      <c r="D3621">
        <f>IFERROR(__xludf.DUMMYFUNCTION("""COMPUTED_VALUE"""),2018.0)</f>
        <v>2018</v>
      </c>
      <c r="E3621">
        <f>IFERROR(__xludf.DUMMYFUNCTION("""COMPUTED_VALUE"""),5399895.0)</f>
        <v>5399895</v>
      </c>
    </row>
    <row r="3622">
      <c r="A3622" t="str">
        <f t="shared" si="1"/>
        <v>cog#2019</v>
      </c>
      <c r="B3622" t="str">
        <f>IFERROR(__xludf.DUMMYFUNCTION("""COMPUTED_VALUE"""),"cog")</f>
        <v>cog</v>
      </c>
      <c r="C3622" t="str">
        <f>IFERROR(__xludf.DUMMYFUNCTION("""COMPUTED_VALUE"""),"Congo, Rep.")</f>
        <v>Congo, Rep.</v>
      </c>
      <c r="D3622">
        <f>IFERROR(__xludf.DUMMYFUNCTION("""COMPUTED_VALUE"""),2019.0)</f>
        <v>2019</v>
      </c>
      <c r="E3622">
        <f>IFERROR(__xludf.DUMMYFUNCTION("""COMPUTED_VALUE"""),5542197.0)</f>
        <v>5542197</v>
      </c>
    </row>
    <row r="3623">
      <c r="A3623" t="str">
        <f t="shared" si="1"/>
        <v>cog#2020</v>
      </c>
      <c r="B3623" t="str">
        <f>IFERROR(__xludf.DUMMYFUNCTION("""COMPUTED_VALUE"""),"cog")</f>
        <v>cog</v>
      </c>
      <c r="C3623" t="str">
        <f>IFERROR(__xludf.DUMMYFUNCTION("""COMPUTED_VALUE"""),"Congo, Rep.")</f>
        <v>Congo, Rep.</v>
      </c>
      <c r="D3623">
        <f>IFERROR(__xludf.DUMMYFUNCTION("""COMPUTED_VALUE"""),2020.0)</f>
        <v>2020</v>
      </c>
      <c r="E3623">
        <f>IFERROR(__xludf.DUMMYFUNCTION("""COMPUTED_VALUE"""),5686917.0)</f>
        <v>5686917</v>
      </c>
    </row>
    <row r="3624">
      <c r="A3624" t="str">
        <f t="shared" si="1"/>
        <v>cog#2021</v>
      </c>
      <c r="B3624" t="str">
        <f>IFERROR(__xludf.DUMMYFUNCTION("""COMPUTED_VALUE"""),"cog")</f>
        <v>cog</v>
      </c>
      <c r="C3624" t="str">
        <f>IFERROR(__xludf.DUMMYFUNCTION("""COMPUTED_VALUE"""),"Congo, Rep.")</f>
        <v>Congo, Rep.</v>
      </c>
      <c r="D3624">
        <f>IFERROR(__xludf.DUMMYFUNCTION("""COMPUTED_VALUE"""),2021.0)</f>
        <v>2021</v>
      </c>
      <c r="E3624">
        <f>IFERROR(__xludf.DUMMYFUNCTION("""COMPUTED_VALUE"""),5834089.0)</f>
        <v>5834089</v>
      </c>
    </row>
    <row r="3625">
      <c r="A3625" t="str">
        <f t="shared" si="1"/>
        <v>cog#2022</v>
      </c>
      <c r="B3625" t="str">
        <f>IFERROR(__xludf.DUMMYFUNCTION("""COMPUTED_VALUE"""),"cog")</f>
        <v>cog</v>
      </c>
      <c r="C3625" t="str">
        <f>IFERROR(__xludf.DUMMYFUNCTION("""COMPUTED_VALUE"""),"Congo, Rep.")</f>
        <v>Congo, Rep.</v>
      </c>
      <c r="D3625">
        <f>IFERROR(__xludf.DUMMYFUNCTION("""COMPUTED_VALUE"""),2022.0)</f>
        <v>2022</v>
      </c>
      <c r="E3625">
        <f>IFERROR(__xludf.DUMMYFUNCTION("""COMPUTED_VALUE"""),5984189.0)</f>
        <v>5984189</v>
      </c>
    </row>
    <row r="3626">
      <c r="A3626" t="str">
        <f t="shared" si="1"/>
        <v>cog#2023</v>
      </c>
      <c r="B3626" t="str">
        <f>IFERROR(__xludf.DUMMYFUNCTION("""COMPUTED_VALUE"""),"cog")</f>
        <v>cog</v>
      </c>
      <c r="C3626" t="str">
        <f>IFERROR(__xludf.DUMMYFUNCTION("""COMPUTED_VALUE"""),"Congo, Rep.")</f>
        <v>Congo, Rep.</v>
      </c>
      <c r="D3626">
        <f>IFERROR(__xludf.DUMMYFUNCTION("""COMPUTED_VALUE"""),2023.0)</f>
        <v>2023</v>
      </c>
      <c r="E3626">
        <f>IFERROR(__xludf.DUMMYFUNCTION("""COMPUTED_VALUE"""),6137528.0)</f>
        <v>6137528</v>
      </c>
    </row>
    <row r="3627">
      <c r="A3627" t="str">
        <f t="shared" si="1"/>
        <v>cog#2024</v>
      </c>
      <c r="B3627" t="str">
        <f>IFERROR(__xludf.DUMMYFUNCTION("""COMPUTED_VALUE"""),"cog")</f>
        <v>cog</v>
      </c>
      <c r="C3627" t="str">
        <f>IFERROR(__xludf.DUMMYFUNCTION("""COMPUTED_VALUE"""),"Congo, Rep.")</f>
        <v>Congo, Rep.</v>
      </c>
      <c r="D3627">
        <f>IFERROR(__xludf.DUMMYFUNCTION("""COMPUTED_VALUE"""),2024.0)</f>
        <v>2024</v>
      </c>
      <c r="E3627">
        <f>IFERROR(__xludf.DUMMYFUNCTION("""COMPUTED_VALUE"""),6294495.0)</f>
        <v>6294495</v>
      </c>
    </row>
    <row r="3628">
      <c r="A3628" t="str">
        <f t="shared" si="1"/>
        <v>cog#2025</v>
      </c>
      <c r="B3628" t="str">
        <f>IFERROR(__xludf.DUMMYFUNCTION("""COMPUTED_VALUE"""),"cog")</f>
        <v>cog</v>
      </c>
      <c r="C3628" t="str">
        <f>IFERROR(__xludf.DUMMYFUNCTION("""COMPUTED_VALUE"""),"Congo, Rep.")</f>
        <v>Congo, Rep.</v>
      </c>
      <c r="D3628">
        <f>IFERROR(__xludf.DUMMYFUNCTION("""COMPUTED_VALUE"""),2025.0)</f>
        <v>2025</v>
      </c>
      <c r="E3628">
        <f>IFERROR(__xludf.DUMMYFUNCTION("""COMPUTED_VALUE"""),6455373.0)</f>
        <v>6455373</v>
      </c>
    </row>
    <row r="3629">
      <c r="A3629" t="str">
        <f t="shared" si="1"/>
        <v>cog#2026</v>
      </c>
      <c r="B3629" t="str">
        <f>IFERROR(__xludf.DUMMYFUNCTION("""COMPUTED_VALUE"""),"cog")</f>
        <v>cog</v>
      </c>
      <c r="C3629" t="str">
        <f>IFERROR(__xludf.DUMMYFUNCTION("""COMPUTED_VALUE"""),"Congo, Rep.")</f>
        <v>Congo, Rep.</v>
      </c>
      <c r="D3629">
        <f>IFERROR(__xludf.DUMMYFUNCTION("""COMPUTED_VALUE"""),2026.0)</f>
        <v>2026</v>
      </c>
      <c r="E3629">
        <f>IFERROR(__xludf.DUMMYFUNCTION("""COMPUTED_VALUE"""),6620218.0)</f>
        <v>6620218</v>
      </c>
    </row>
    <row r="3630">
      <c r="A3630" t="str">
        <f t="shared" si="1"/>
        <v>cog#2027</v>
      </c>
      <c r="B3630" t="str">
        <f>IFERROR(__xludf.DUMMYFUNCTION("""COMPUTED_VALUE"""),"cog")</f>
        <v>cog</v>
      </c>
      <c r="C3630" t="str">
        <f>IFERROR(__xludf.DUMMYFUNCTION("""COMPUTED_VALUE"""),"Congo, Rep.")</f>
        <v>Congo, Rep.</v>
      </c>
      <c r="D3630">
        <f>IFERROR(__xludf.DUMMYFUNCTION("""COMPUTED_VALUE"""),2027.0)</f>
        <v>2027</v>
      </c>
      <c r="E3630">
        <f>IFERROR(__xludf.DUMMYFUNCTION("""COMPUTED_VALUE"""),6788982.0)</f>
        <v>6788982</v>
      </c>
    </row>
    <row r="3631">
      <c r="A3631" t="str">
        <f t="shared" si="1"/>
        <v>cog#2028</v>
      </c>
      <c r="B3631" t="str">
        <f>IFERROR(__xludf.DUMMYFUNCTION("""COMPUTED_VALUE"""),"cog")</f>
        <v>cog</v>
      </c>
      <c r="C3631" t="str">
        <f>IFERROR(__xludf.DUMMYFUNCTION("""COMPUTED_VALUE"""),"Congo, Rep.")</f>
        <v>Congo, Rep.</v>
      </c>
      <c r="D3631">
        <f>IFERROR(__xludf.DUMMYFUNCTION("""COMPUTED_VALUE"""),2028.0)</f>
        <v>2028</v>
      </c>
      <c r="E3631">
        <f>IFERROR(__xludf.DUMMYFUNCTION("""COMPUTED_VALUE"""),6961681.0)</f>
        <v>6961681</v>
      </c>
    </row>
    <row r="3632">
      <c r="A3632" t="str">
        <f t="shared" si="1"/>
        <v>cog#2029</v>
      </c>
      <c r="B3632" t="str">
        <f>IFERROR(__xludf.DUMMYFUNCTION("""COMPUTED_VALUE"""),"cog")</f>
        <v>cog</v>
      </c>
      <c r="C3632" t="str">
        <f>IFERROR(__xludf.DUMMYFUNCTION("""COMPUTED_VALUE"""),"Congo, Rep.")</f>
        <v>Congo, Rep.</v>
      </c>
      <c r="D3632">
        <f>IFERROR(__xludf.DUMMYFUNCTION("""COMPUTED_VALUE"""),2029.0)</f>
        <v>2029</v>
      </c>
      <c r="E3632">
        <f>IFERROR(__xludf.DUMMYFUNCTION("""COMPUTED_VALUE"""),7138328.0)</f>
        <v>7138328</v>
      </c>
    </row>
    <row r="3633">
      <c r="A3633" t="str">
        <f t="shared" si="1"/>
        <v>cog#2030</v>
      </c>
      <c r="B3633" t="str">
        <f>IFERROR(__xludf.DUMMYFUNCTION("""COMPUTED_VALUE"""),"cog")</f>
        <v>cog</v>
      </c>
      <c r="C3633" t="str">
        <f>IFERROR(__xludf.DUMMYFUNCTION("""COMPUTED_VALUE"""),"Congo, Rep.")</f>
        <v>Congo, Rep.</v>
      </c>
      <c r="D3633">
        <f>IFERROR(__xludf.DUMMYFUNCTION("""COMPUTED_VALUE"""),2030.0)</f>
        <v>2030</v>
      </c>
      <c r="E3633">
        <f>IFERROR(__xludf.DUMMYFUNCTION("""COMPUTED_VALUE"""),7318887.0)</f>
        <v>7318887</v>
      </c>
    </row>
    <row r="3634">
      <c r="A3634" t="str">
        <f t="shared" si="1"/>
        <v>cog#2031</v>
      </c>
      <c r="B3634" t="str">
        <f>IFERROR(__xludf.DUMMYFUNCTION("""COMPUTED_VALUE"""),"cog")</f>
        <v>cog</v>
      </c>
      <c r="C3634" t="str">
        <f>IFERROR(__xludf.DUMMYFUNCTION("""COMPUTED_VALUE"""),"Congo, Rep.")</f>
        <v>Congo, Rep.</v>
      </c>
      <c r="D3634">
        <f>IFERROR(__xludf.DUMMYFUNCTION("""COMPUTED_VALUE"""),2031.0)</f>
        <v>2031</v>
      </c>
      <c r="E3634">
        <f>IFERROR(__xludf.DUMMYFUNCTION("""COMPUTED_VALUE"""),7503338.0)</f>
        <v>7503338</v>
      </c>
    </row>
    <row r="3635">
      <c r="A3635" t="str">
        <f t="shared" si="1"/>
        <v>cog#2032</v>
      </c>
      <c r="B3635" t="str">
        <f>IFERROR(__xludf.DUMMYFUNCTION("""COMPUTED_VALUE"""),"cog")</f>
        <v>cog</v>
      </c>
      <c r="C3635" t="str">
        <f>IFERROR(__xludf.DUMMYFUNCTION("""COMPUTED_VALUE"""),"Congo, Rep.")</f>
        <v>Congo, Rep.</v>
      </c>
      <c r="D3635">
        <f>IFERROR(__xludf.DUMMYFUNCTION("""COMPUTED_VALUE"""),2032.0)</f>
        <v>2032</v>
      </c>
      <c r="E3635">
        <f>IFERROR(__xludf.DUMMYFUNCTION("""COMPUTED_VALUE"""),7691584.0)</f>
        <v>7691584</v>
      </c>
    </row>
    <row r="3636">
      <c r="A3636" t="str">
        <f t="shared" si="1"/>
        <v>cog#2033</v>
      </c>
      <c r="B3636" t="str">
        <f>IFERROR(__xludf.DUMMYFUNCTION("""COMPUTED_VALUE"""),"cog")</f>
        <v>cog</v>
      </c>
      <c r="C3636" t="str">
        <f>IFERROR(__xludf.DUMMYFUNCTION("""COMPUTED_VALUE"""),"Congo, Rep.")</f>
        <v>Congo, Rep.</v>
      </c>
      <c r="D3636">
        <f>IFERROR(__xludf.DUMMYFUNCTION("""COMPUTED_VALUE"""),2033.0)</f>
        <v>2033</v>
      </c>
      <c r="E3636">
        <f>IFERROR(__xludf.DUMMYFUNCTION("""COMPUTED_VALUE"""),7883415.0)</f>
        <v>7883415</v>
      </c>
    </row>
    <row r="3637">
      <c r="A3637" t="str">
        <f t="shared" si="1"/>
        <v>cog#2034</v>
      </c>
      <c r="B3637" t="str">
        <f>IFERROR(__xludf.DUMMYFUNCTION("""COMPUTED_VALUE"""),"cog")</f>
        <v>cog</v>
      </c>
      <c r="C3637" t="str">
        <f>IFERROR(__xludf.DUMMYFUNCTION("""COMPUTED_VALUE"""),"Congo, Rep.")</f>
        <v>Congo, Rep.</v>
      </c>
      <c r="D3637">
        <f>IFERROR(__xludf.DUMMYFUNCTION("""COMPUTED_VALUE"""),2034.0)</f>
        <v>2034</v>
      </c>
      <c r="E3637">
        <f>IFERROR(__xludf.DUMMYFUNCTION("""COMPUTED_VALUE"""),8078586.0)</f>
        <v>8078586</v>
      </c>
    </row>
    <row r="3638">
      <c r="A3638" t="str">
        <f t="shared" si="1"/>
        <v>cog#2035</v>
      </c>
      <c r="B3638" t="str">
        <f>IFERROR(__xludf.DUMMYFUNCTION("""COMPUTED_VALUE"""),"cog")</f>
        <v>cog</v>
      </c>
      <c r="C3638" t="str">
        <f>IFERROR(__xludf.DUMMYFUNCTION("""COMPUTED_VALUE"""),"Congo, Rep.")</f>
        <v>Congo, Rep.</v>
      </c>
      <c r="D3638">
        <f>IFERROR(__xludf.DUMMYFUNCTION("""COMPUTED_VALUE"""),2035.0)</f>
        <v>2035</v>
      </c>
      <c r="E3638">
        <f>IFERROR(__xludf.DUMMYFUNCTION("""COMPUTED_VALUE"""),8276845.0)</f>
        <v>8276845</v>
      </c>
    </row>
    <row r="3639">
      <c r="A3639" t="str">
        <f t="shared" si="1"/>
        <v>cog#2036</v>
      </c>
      <c r="B3639" t="str">
        <f>IFERROR(__xludf.DUMMYFUNCTION("""COMPUTED_VALUE"""),"cog")</f>
        <v>cog</v>
      </c>
      <c r="C3639" t="str">
        <f>IFERROR(__xludf.DUMMYFUNCTION("""COMPUTED_VALUE"""),"Congo, Rep.")</f>
        <v>Congo, Rep.</v>
      </c>
      <c r="D3639">
        <f>IFERROR(__xludf.DUMMYFUNCTION("""COMPUTED_VALUE"""),2036.0)</f>
        <v>2036</v>
      </c>
      <c r="E3639">
        <f>IFERROR(__xludf.DUMMYFUNCTION("""COMPUTED_VALUE"""),8478096.0)</f>
        <v>8478096</v>
      </c>
    </row>
    <row r="3640">
      <c r="A3640" t="str">
        <f t="shared" si="1"/>
        <v>cog#2037</v>
      </c>
      <c r="B3640" t="str">
        <f>IFERROR(__xludf.DUMMYFUNCTION("""COMPUTED_VALUE"""),"cog")</f>
        <v>cog</v>
      </c>
      <c r="C3640" t="str">
        <f>IFERROR(__xludf.DUMMYFUNCTION("""COMPUTED_VALUE"""),"Congo, Rep.")</f>
        <v>Congo, Rep.</v>
      </c>
      <c r="D3640">
        <f>IFERROR(__xludf.DUMMYFUNCTION("""COMPUTED_VALUE"""),2037.0)</f>
        <v>2037</v>
      </c>
      <c r="E3640">
        <f>IFERROR(__xludf.DUMMYFUNCTION("""COMPUTED_VALUE"""),8682197.0)</f>
        <v>8682197</v>
      </c>
    </row>
    <row r="3641">
      <c r="A3641" t="str">
        <f t="shared" si="1"/>
        <v>cog#2038</v>
      </c>
      <c r="B3641" t="str">
        <f>IFERROR(__xludf.DUMMYFUNCTION("""COMPUTED_VALUE"""),"cog")</f>
        <v>cog</v>
      </c>
      <c r="C3641" t="str">
        <f>IFERROR(__xludf.DUMMYFUNCTION("""COMPUTED_VALUE"""),"Congo, Rep.")</f>
        <v>Congo, Rep.</v>
      </c>
      <c r="D3641">
        <f>IFERROR(__xludf.DUMMYFUNCTION("""COMPUTED_VALUE"""),2038.0)</f>
        <v>2038</v>
      </c>
      <c r="E3641">
        <f>IFERROR(__xludf.DUMMYFUNCTION("""COMPUTED_VALUE"""),8888864.0)</f>
        <v>8888864</v>
      </c>
    </row>
    <row r="3642">
      <c r="A3642" t="str">
        <f t="shared" si="1"/>
        <v>cog#2039</v>
      </c>
      <c r="B3642" t="str">
        <f>IFERROR(__xludf.DUMMYFUNCTION("""COMPUTED_VALUE"""),"cog")</f>
        <v>cog</v>
      </c>
      <c r="C3642" t="str">
        <f>IFERROR(__xludf.DUMMYFUNCTION("""COMPUTED_VALUE"""),"Congo, Rep.")</f>
        <v>Congo, Rep.</v>
      </c>
      <c r="D3642">
        <f>IFERROR(__xludf.DUMMYFUNCTION("""COMPUTED_VALUE"""),2039.0)</f>
        <v>2039</v>
      </c>
      <c r="E3642">
        <f>IFERROR(__xludf.DUMMYFUNCTION("""COMPUTED_VALUE"""),9097765.0)</f>
        <v>9097765</v>
      </c>
    </row>
    <row r="3643">
      <c r="A3643" t="str">
        <f t="shared" si="1"/>
        <v>cog#2040</v>
      </c>
      <c r="B3643" t="str">
        <f>IFERROR(__xludf.DUMMYFUNCTION("""COMPUTED_VALUE"""),"cog")</f>
        <v>cog</v>
      </c>
      <c r="C3643" t="str">
        <f>IFERROR(__xludf.DUMMYFUNCTION("""COMPUTED_VALUE"""),"Congo, Rep.")</f>
        <v>Congo, Rep.</v>
      </c>
      <c r="D3643">
        <f>IFERROR(__xludf.DUMMYFUNCTION("""COMPUTED_VALUE"""),2040.0)</f>
        <v>2040</v>
      </c>
      <c r="E3643">
        <f>IFERROR(__xludf.DUMMYFUNCTION("""COMPUTED_VALUE"""),9308628.0)</f>
        <v>9308628</v>
      </c>
    </row>
    <row r="3644">
      <c r="A3644" t="str">
        <f t="shared" si="1"/>
        <v>cri#1950</v>
      </c>
      <c r="B3644" t="str">
        <f>IFERROR(__xludf.DUMMYFUNCTION("""COMPUTED_VALUE"""),"cri")</f>
        <v>cri</v>
      </c>
      <c r="C3644" t="str">
        <f>IFERROR(__xludf.DUMMYFUNCTION("""COMPUTED_VALUE"""),"Costa Rica")</f>
        <v>Costa Rica</v>
      </c>
      <c r="D3644">
        <f>IFERROR(__xludf.DUMMYFUNCTION("""COMPUTED_VALUE"""),1950.0)</f>
        <v>1950</v>
      </c>
      <c r="E3644">
        <f>IFERROR(__xludf.DUMMYFUNCTION("""COMPUTED_VALUE"""),959495.0)</f>
        <v>959495</v>
      </c>
    </row>
    <row r="3645">
      <c r="A3645" t="str">
        <f t="shared" si="1"/>
        <v>cri#1951</v>
      </c>
      <c r="B3645" t="str">
        <f>IFERROR(__xludf.DUMMYFUNCTION("""COMPUTED_VALUE"""),"cri")</f>
        <v>cri</v>
      </c>
      <c r="C3645" t="str">
        <f>IFERROR(__xludf.DUMMYFUNCTION("""COMPUTED_VALUE"""),"Costa Rica")</f>
        <v>Costa Rica</v>
      </c>
      <c r="D3645">
        <f>IFERROR(__xludf.DUMMYFUNCTION("""COMPUTED_VALUE"""),1951.0)</f>
        <v>1951</v>
      </c>
      <c r="E3645">
        <f>IFERROR(__xludf.DUMMYFUNCTION("""COMPUTED_VALUE"""),986156.0)</f>
        <v>986156</v>
      </c>
    </row>
    <row r="3646">
      <c r="A3646" t="str">
        <f t="shared" si="1"/>
        <v>cri#1952</v>
      </c>
      <c r="B3646" t="str">
        <f>IFERROR(__xludf.DUMMYFUNCTION("""COMPUTED_VALUE"""),"cri")</f>
        <v>cri</v>
      </c>
      <c r="C3646" t="str">
        <f>IFERROR(__xludf.DUMMYFUNCTION("""COMPUTED_VALUE"""),"Costa Rica")</f>
        <v>Costa Rica</v>
      </c>
      <c r="D3646">
        <f>IFERROR(__xludf.DUMMYFUNCTION("""COMPUTED_VALUE"""),1952.0)</f>
        <v>1952</v>
      </c>
      <c r="E3646">
        <f>IFERROR(__xludf.DUMMYFUNCTION("""COMPUTED_VALUE"""),1015879.0)</f>
        <v>1015879</v>
      </c>
    </row>
    <row r="3647">
      <c r="A3647" t="str">
        <f t="shared" si="1"/>
        <v>cri#1953</v>
      </c>
      <c r="B3647" t="str">
        <f>IFERROR(__xludf.DUMMYFUNCTION("""COMPUTED_VALUE"""),"cri")</f>
        <v>cri</v>
      </c>
      <c r="C3647" t="str">
        <f>IFERROR(__xludf.DUMMYFUNCTION("""COMPUTED_VALUE"""),"Costa Rica")</f>
        <v>Costa Rica</v>
      </c>
      <c r="D3647">
        <f>IFERROR(__xludf.DUMMYFUNCTION("""COMPUTED_VALUE"""),1953.0)</f>
        <v>1953</v>
      </c>
      <c r="E3647">
        <f>IFERROR(__xludf.DUMMYFUNCTION("""COMPUTED_VALUE"""),1048214.0)</f>
        <v>1048214</v>
      </c>
    </row>
    <row r="3648">
      <c r="A3648" t="str">
        <f t="shared" si="1"/>
        <v>cri#1954</v>
      </c>
      <c r="B3648" t="str">
        <f>IFERROR(__xludf.DUMMYFUNCTION("""COMPUTED_VALUE"""),"cri")</f>
        <v>cri</v>
      </c>
      <c r="C3648" t="str">
        <f>IFERROR(__xludf.DUMMYFUNCTION("""COMPUTED_VALUE"""),"Costa Rica")</f>
        <v>Costa Rica</v>
      </c>
      <c r="D3648">
        <f>IFERROR(__xludf.DUMMYFUNCTION("""COMPUTED_VALUE"""),1954.0)</f>
        <v>1954</v>
      </c>
      <c r="E3648">
        <f>IFERROR(__xludf.DUMMYFUNCTION("""COMPUTED_VALUE"""),1082877.0)</f>
        <v>1082877</v>
      </c>
    </row>
    <row r="3649">
      <c r="A3649" t="str">
        <f t="shared" si="1"/>
        <v>cri#1955</v>
      </c>
      <c r="B3649" t="str">
        <f>IFERROR(__xludf.DUMMYFUNCTION("""COMPUTED_VALUE"""),"cri")</f>
        <v>cri</v>
      </c>
      <c r="C3649" t="str">
        <f>IFERROR(__xludf.DUMMYFUNCTION("""COMPUTED_VALUE"""),"Costa Rica")</f>
        <v>Costa Rica</v>
      </c>
      <c r="D3649">
        <f>IFERROR(__xludf.DUMMYFUNCTION("""COMPUTED_VALUE"""),1955.0)</f>
        <v>1955</v>
      </c>
      <c r="E3649">
        <f>IFERROR(__xludf.DUMMYFUNCTION("""COMPUTED_VALUE"""),1119617.0)</f>
        <v>1119617</v>
      </c>
    </row>
    <row r="3650">
      <c r="A3650" t="str">
        <f t="shared" si="1"/>
        <v>cri#1956</v>
      </c>
      <c r="B3650" t="str">
        <f>IFERROR(__xludf.DUMMYFUNCTION("""COMPUTED_VALUE"""),"cri")</f>
        <v>cri</v>
      </c>
      <c r="C3650" t="str">
        <f>IFERROR(__xludf.DUMMYFUNCTION("""COMPUTED_VALUE"""),"Costa Rica")</f>
        <v>Costa Rica</v>
      </c>
      <c r="D3650">
        <f>IFERROR(__xludf.DUMMYFUNCTION("""COMPUTED_VALUE"""),1956.0)</f>
        <v>1956</v>
      </c>
      <c r="E3650">
        <f>IFERROR(__xludf.DUMMYFUNCTION("""COMPUTED_VALUE"""),1158318.0)</f>
        <v>1158318</v>
      </c>
    </row>
    <row r="3651">
      <c r="A3651" t="str">
        <f t="shared" si="1"/>
        <v>cri#1957</v>
      </c>
      <c r="B3651" t="str">
        <f>IFERROR(__xludf.DUMMYFUNCTION("""COMPUTED_VALUE"""),"cri")</f>
        <v>cri</v>
      </c>
      <c r="C3651" t="str">
        <f>IFERROR(__xludf.DUMMYFUNCTION("""COMPUTED_VALUE"""),"Costa Rica")</f>
        <v>Costa Rica</v>
      </c>
      <c r="D3651">
        <f>IFERROR(__xludf.DUMMYFUNCTION("""COMPUTED_VALUE"""),1957.0)</f>
        <v>1957</v>
      </c>
      <c r="E3651">
        <f>IFERROR(__xludf.DUMMYFUNCTION("""COMPUTED_VALUE"""),1198942.0)</f>
        <v>1198942</v>
      </c>
    </row>
    <row r="3652">
      <c r="A3652" t="str">
        <f t="shared" si="1"/>
        <v>cri#1958</v>
      </c>
      <c r="B3652" t="str">
        <f>IFERROR(__xludf.DUMMYFUNCTION("""COMPUTED_VALUE"""),"cri")</f>
        <v>cri</v>
      </c>
      <c r="C3652" t="str">
        <f>IFERROR(__xludf.DUMMYFUNCTION("""COMPUTED_VALUE"""),"Costa Rica")</f>
        <v>Costa Rica</v>
      </c>
      <c r="D3652">
        <f>IFERROR(__xludf.DUMMYFUNCTION("""COMPUTED_VALUE"""),1958.0)</f>
        <v>1958</v>
      </c>
      <c r="E3652">
        <f>IFERROR(__xludf.DUMMYFUNCTION("""COMPUTED_VALUE"""),1241553.0)</f>
        <v>1241553</v>
      </c>
    </row>
    <row r="3653">
      <c r="A3653" t="str">
        <f t="shared" si="1"/>
        <v>cri#1959</v>
      </c>
      <c r="B3653" t="str">
        <f>IFERROR(__xludf.DUMMYFUNCTION("""COMPUTED_VALUE"""),"cri")</f>
        <v>cri</v>
      </c>
      <c r="C3653" t="str">
        <f>IFERROR(__xludf.DUMMYFUNCTION("""COMPUTED_VALUE"""),"Costa Rica")</f>
        <v>Costa Rica</v>
      </c>
      <c r="D3653">
        <f>IFERROR(__xludf.DUMMYFUNCTION("""COMPUTED_VALUE"""),1959.0)</f>
        <v>1959</v>
      </c>
      <c r="E3653">
        <f>IFERROR(__xludf.DUMMYFUNCTION("""COMPUTED_VALUE"""),1286229.0)</f>
        <v>1286229</v>
      </c>
    </row>
    <row r="3654">
      <c r="A3654" t="str">
        <f t="shared" si="1"/>
        <v>cri#1960</v>
      </c>
      <c r="B3654" t="str">
        <f>IFERROR(__xludf.DUMMYFUNCTION("""COMPUTED_VALUE"""),"cri")</f>
        <v>cri</v>
      </c>
      <c r="C3654" t="str">
        <f>IFERROR(__xludf.DUMMYFUNCTION("""COMPUTED_VALUE"""),"Costa Rica")</f>
        <v>Costa Rica</v>
      </c>
      <c r="D3654">
        <f>IFERROR(__xludf.DUMMYFUNCTION("""COMPUTED_VALUE"""),1960.0)</f>
        <v>1960</v>
      </c>
      <c r="E3654">
        <f>IFERROR(__xludf.DUMMYFUNCTION("""COMPUTED_VALUE"""),1333040.0)</f>
        <v>1333040</v>
      </c>
    </row>
    <row r="3655">
      <c r="A3655" t="str">
        <f t="shared" si="1"/>
        <v>cri#1961</v>
      </c>
      <c r="B3655" t="str">
        <f>IFERROR(__xludf.DUMMYFUNCTION("""COMPUTED_VALUE"""),"cri")</f>
        <v>cri</v>
      </c>
      <c r="C3655" t="str">
        <f>IFERROR(__xludf.DUMMYFUNCTION("""COMPUTED_VALUE"""),"Costa Rica")</f>
        <v>Costa Rica</v>
      </c>
      <c r="D3655">
        <f>IFERROR(__xludf.DUMMYFUNCTION("""COMPUTED_VALUE"""),1961.0)</f>
        <v>1961</v>
      </c>
      <c r="E3655">
        <f>IFERROR(__xludf.DUMMYFUNCTION("""COMPUTED_VALUE"""),1381917.0)</f>
        <v>1381917</v>
      </c>
    </row>
    <row r="3656">
      <c r="A3656" t="str">
        <f t="shared" si="1"/>
        <v>cri#1962</v>
      </c>
      <c r="B3656" t="str">
        <f>IFERROR(__xludf.DUMMYFUNCTION("""COMPUTED_VALUE"""),"cri")</f>
        <v>cri</v>
      </c>
      <c r="C3656" t="str">
        <f>IFERROR(__xludf.DUMMYFUNCTION("""COMPUTED_VALUE"""),"Costa Rica")</f>
        <v>Costa Rica</v>
      </c>
      <c r="D3656">
        <f>IFERROR(__xludf.DUMMYFUNCTION("""COMPUTED_VALUE"""),1962.0)</f>
        <v>1962</v>
      </c>
      <c r="E3656">
        <f>IFERROR(__xludf.DUMMYFUNCTION("""COMPUTED_VALUE"""),1432585.0)</f>
        <v>1432585</v>
      </c>
    </row>
    <row r="3657">
      <c r="A3657" t="str">
        <f t="shared" si="1"/>
        <v>cri#1963</v>
      </c>
      <c r="B3657" t="str">
        <f>IFERROR(__xludf.DUMMYFUNCTION("""COMPUTED_VALUE"""),"cri")</f>
        <v>cri</v>
      </c>
      <c r="C3657" t="str">
        <f>IFERROR(__xludf.DUMMYFUNCTION("""COMPUTED_VALUE"""),"Costa Rica")</f>
        <v>Costa Rica</v>
      </c>
      <c r="D3657">
        <f>IFERROR(__xludf.DUMMYFUNCTION("""COMPUTED_VALUE"""),1963.0)</f>
        <v>1963</v>
      </c>
      <c r="E3657">
        <f>IFERROR(__xludf.DUMMYFUNCTION("""COMPUTED_VALUE"""),1484510.0)</f>
        <v>1484510</v>
      </c>
    </row>
    <row r="3658">
      <c r="A3658" t="str">
        <f t="shared" si="1"/>
        <v>cri#1964</v>
      </c>
      <c r="B3658" t="str">
        <f>IFERROR(__xludf.DUMMYFUNCTION("""COMPUTED_VALUE"""),"cri")</f>
        <v>cri</v>
      </c>
      <c r="C3658" t="str">
        <f>IFERROR(__xludf.DUMMYFUNCTION("""COMPUTED_VALUE"""),"Costa Rica")</f>
        <v>Costa Rica</v>
      </c>
      <c r="D3658">
        <f>IFERROR(__xludf.DUMMYFUNCTION("""COMPUTED_VALUE"""),1964.0)</f>
        <v>1964</v>
      </c>
      <c r="E3658">
        <f>IFERROR(__xludf.DUMMYFUNCTION("""COMPUTED_VALUE"""),1537041.0)</f>
        <v>1537041</v>
      </c>
    </row>
    <row r="3659">
      <c r="A3659" t="str">
        <f t="shared" si="1"/>
        <v>cri#1965</v>
      </c>
      <c r="B3659" t="str">
        <f>IFERROR(__xludf.DUMMYFUNCTION("""COMPUTED_VALUE"""),"cri")</f>
        <v>cri</v>
      </c>
      <c r="C3659" t="str">
        <f>IFERROR(__xludf.DUMMYFUNCTION("""COMPUTED_VALUE"""),"Costa Rica")</f>
        <v>Costa Rica</v>
      </c>
      <c r="D3659">
        <f>IFERROR(__xludf.DUMMYFUNCTION("""COMPUTED_VALUE"""),1965.0)</f>
        <v>1965</v>
      </c>
      <c r="E3659">
        <f>IFERROR(__xludf.DUMMYFUNCTION("""COMPUTED_VALUE"""),1589621.0)</f>
        <v>1589621</v>
      </c>
    </row>
    <row r="3660">
      <c r="A3660" t="str">
        <f t="shared" si="1"/>
        <v>cri#1966</v>
      </c>
      <c r="B3660" t="str">
        <f>IFERROR(__xludf.DUMMYFUNCTION("""COMPUTED_VALUE"""),"cri")</f>
        <v>cri</v>
      </c>
      <c r="C3660" t="str">
        <f>IFERROR(__xludf.DUMMYFUNCTION("""COMPUTED_VALUE"""),"Costa Rica")</f>
        <v>Costa Rica</v>
      </c>
      <c r="D3660">
        <f>IFERROR(__xludf.DUMMYFUNCTION("""COMPUTED_VALUE"""),1966.0)</f>
        <v>1966</v>
      </c>
      <c r="E3660">
        <f>IFERROR(__xludf.DUMMYFUNCTION("""COMPUTED_VALUE"""),1642186.0)</f>
        <v>1642186</v>
      </c>
    </row>
    <row r="3661">
      <c r="A3661" t="str">
        <f t="shared" si="1"/>
        <v>cri#1967</v>
      </c>
      <c r="B3661" t="str">
        <f>IFERROR(__xludf.DUMMYFUNCTION("""COMPUTED_VALUE"""),"cri")</f>
        <v>cri</v>
      </c>
      <c r="C3661" t="str">
        <f>IFERROR(__xludf.DUMMYFUNCTION("""COMPUTED_VALUE"""),"Costa Rica")</f>
        <v>Costa Rica</v>
      </c>
      <c r="D3661">
        <f>IFERROR(__xludf.DUMMYFUNCTION("""COMPUTED_VALUE"""),1967.0)</f>
        <v>1967</v>
      </c>
      <c r="E3661">
        <f>IFERROR(__xludf.DUMMYFUNCTION("""COMPUTED_VALUE"""),1694710.0)</f>
        <v>1694710</v>
      </c>
    </row>
    <row r="3662">
      <c r="A3662" t="str">
        <f t="shared" si="1"/>
        <v>cri#1968</v>
      </c>
      <c r="B3662" t="str">
        <f>IFERROR(__xludf.DUMMYFUNCTION("""COMPUTED_VALUE"""),"cri")</f>
        <v>cri</v>
      </c>
      <c r="C3662" t="str">
        <f>IFERROR(__xludf.DUMMYFUNCTION("""COMPUTED_VALUE"""),"Costa Rica")</f>
        <v>Costa Rica</v>
      </c>
      <c r="D3662">
        <f>IFERROR(__xludf.DUMMYFUNCTION("""COMPUTED_VALUE"""),1968.0)</f>
        <v>1968</v>
      </c>
      <c r="E3662">
        <f>IFERROR(__xludf.DUMMYFUNCTION("""COMPUTED_VALUE"""),1746869.0)</f>
        <v>1746869</v>
      </c>
    </row>
    <row r="3663">
      <c r="A3663" t="str">
        <f t="shared" si="1"/>
        <v>cri#1969</v>
      </c>
      <c r="B3663" t="str">
        <f>IFERROR(__xludf.DUMMYFUNCTION("""COMPUTED_VALUE"""),"cri")</f>
        <v>cri</v>
      </c>
      <c r="C3663" t="str">
        <f>IFERROR(__xludf.DUMMYFUNCTION("""COMPUTED_VALUE"""),"Costa Rica")</f>
        <v>Costa Rica</v>
      </c>
      <c r="D3663">
        <f>IFERROR(__xludf.DUMMYFUNCTION("""COMPUTED_VALUE"""),1969.0)</f>
        <v>1969</v>
      </c>
      <c r="E3663">
        <f>IFERROR(__xludf.DUMMYFUNCTION("""COMPUTED_VALUE"""),1798311.0)</f>
        <v>1798311</v>
      </c>
    </row>
    <row r="3664">
      <c r="A3664" t="str">
        <f t="shared" si="1"/>
        <v>cri#1970</v>
      </c>
      <c r="B3664" t="str">
        <f>IFERROR(__xludf.DUMMYFUNCTION("""COMPUTED_VALUE"""),"cri")</f>
        <v>cri</v>
      </c>
      <c r="C3664" t="str">
        <f>IFERROR(__xludf.DUMMYFUNCTION("""COMPUTED_VALUE"""),"Costa Rica")</f>
        <v>Costa Rica</v>
      </c>
      <c r="D3664">
        <f>IFERROR(__xludf.DUMMYFUNCTION("""COMPUTED_VALUE"""),1970.0)</f>
        <v>1970</v>
      </c>
      <c r="E3664">
        <f>IFERROR(__xludf.DUMMYFUNCTION("""COMPUTED_VALUE"""),1848866.0)</f>
        <v>1848866</v>
      </c>
    </row>
    <row r="3665">
      <c r="A3665" t="str">
        <f t="shared" si="1"/>
        <v>cri#1971</v>
      </c>
      <c r="B3665" t="str">
        <f>IFERROR(__xludf.DUMMYFUNCTION("""COMPUTED_VALUE"""),"cri")</f>
        <v>cri</v>
      </c>
      <c r="C3665" t="str">
        <f>IFERROR(__xludf.DUMMYFUNCTION("""COMPUTED_VALUE"""),"Costa Rica")</f>
        <v>Costa Rica</v>
      </c>
      <c r="D3665">
        <f>IFERROR(__xludf.DUMMYFUNCTION("""COMPUTED_VALUE"""),1971.0)</f>
        <v>1971</v>
      </c>
      <c r="E3665">
        <f>IFERROR(__xludf.DUMMYFUNCTION("""COMPUTED_VALUE"""),1898360.0)</f>
        <v>1898360</v>
      </c>
    </row>
    <row r="3666">
      <c r="A3666" t="str">
        <f t="shared" si="1"/>
        <v>cri#1972</v>
      </c>
      <c r="B3666" t="str">
        <f>IFERROR(__xludf.DUMMYFUNCTION("""COMPUTED_VALUE"""),"cri")</f>
        <v>cri</v>
      </c>
      <c r="C3666" t="str">
        <f>IFERROR(__xludf.DUMMYFUNCTION("""COMPUTED_VALUE"""),"Costa Rica")</f>
        <v>Costa Rica</v>
      </c>
      <c r="D3666">
        <f>IFERROR(__xludf.DUMMYFUNCTION("""COMPUTED_VALUE"""),1972.0)</f>
        <v>1972</v>
      </c>
      <c r="E3666">
        <f>IFERROR(__xludf.DUMMYFUNCTION("""COMPUTED_VALUE"""),1947048.0)</f>
        <v>1947048</v>
      </c>
    </row>
    <row r="3667">
      <c r="A3667" t="str">
        <f t="shared" si="1"/>
        <v>cri#1973</v>
      </c>
      <c r="B3667" t="str">
        <f>IFERROR(__xludf.DUMMYFUNCTION("""COMPUTED_VALUE"""),"cri")</f>
        <v>cri</v>
      </c>
      <c r="C3667" t="str">
        <f>IFERROR(__xludf.DUMMYFUNCTION("""COMPUTED_VALUE"""),"Costa Rica")</f>
        <v>Costa Rica</v>
      </c>
      <c r="D3667">
        <f>IFERROR(__xludf.DUMMYFUNCTION("""COMPUTED_VALUE"""),1973.0)</f>
        <v>1973</v>
      </c>
      <c r="E3667">
        <f>IFERROR(__xludf.DUMMYFUNCTION("""COMPUTED_VALUE"""),1995743.0)</f>
        <v>1995743</v>
      </c>
    </row>
    <row r="3668">
      <c r="A3668" t="str">
        <f t="shared" si="1"/>
        <v>cri#1974</v>
      </c>
      <c r="B3668" t="str">
        <f>IFERROR(__xludf.DUMMYFUNCTION("""COMPUTED_VALUE"""),"cri")</f>
        <v>cri</v>
      </c>
      <c r="C3668" t="str">
        <f>IFERROR(__xludf.DUMMYFUNCTION("""COMPUTED_VALUE"""),"Costa Rica")</f>
        <v>Costa Rica</v>
      </c>
      <c r="D3668">
        <f>IFERROR(__xludf.DUMMYFUNCTION("""COMPUTED_VALUE"""),1974.0)</f>
        <v>1974</v>
      </c>
      <c r="E3668">
        <f>IFERROR(__xludf.DUMMYFUNCTION("""COMPUTED_VALUE"""),2045580.0)</f>
        <v>2045580</v>
      </c>
    </row>
    <row r="3669">
      <c r="A3669" t="str">
        <f t="shared" si="1"/>
        <v>cri#1975</v>
      </c>
      <c r="B3669" t="str">
        <f>IFERROR(__xludf.DUMMYFUNCTION("""COMPUTED_VALUE"""),"cri")</f>
        <v>cri</v>
      </c>
      <c r="C3669" t="str">
        <f>IFERROR(__xludf.DUMMYFUNCTION("""COMPUTED_VALUE"""),"Costa Rica")</f>
        <v>Costa Rica</v>
      </c>
      <c r="D3669">
        <f>IFERROR(__xludf.DUMMYFUNCTION("""COMPUTED_VALUE"""),1975.0)</f>
        <v>1975</v>
      </c>
      <c r="E3669">
        <f>IFERROR(__xludf.DUMMYFUNCTION("""COMPUTED_VALUE"""),2097407.0)</f>
        <v>2097407</v>
      </c>
    </row>
    <row r="3670">
      <c r="A3670" t="str">
        <f t="shared" si="1"/>
        <v>cri#1976</v>
      </c>
      <c r="B3670" t="str">
        <f>IFERROR(__xludf.DUMMYFUNCTION("""COMPUTED_VALUE"""),"cri")</f>
        <v>cri</v>
      </c>
      <c r="C3670" t="str">
        <f>IFERROR(__xludf.DUMMYFUNCTION("""COMPUTED_VALUE"""),"Costa Rica")</f>
        <v>Costa Rica</v>
      </c>
      <c r="D3670">
        <f>IFERROR(__xludf.DUMMYFUNCTION("""COMPUTED_VALUE"""),1976.0)</f>
        <v>1976</v>
      </c>
      <c r="E3670">
        <f>IFERROR(__xludf.DUMMYFUNCTION("""COMPUTED_VALUE"""),2151497.0)</f>
        <v>2151497</v>
      </c>
    </row>
    <row r="3671">
      <c r="A3671" t="str">
        <f t="shared" si="1"/>
        <v>cri#1977</v>
      </c>
      <c r="B3671" t="str">
        <f>IFERROR(__xludf.DUMMYFUNCTION("""COMPUTED_VALUE"""),"cri")</f>
        <v>cri</v>
      </c>
      <c r="C3671" t="str">
        <f>IFERROR(__xludf.DUMMYFUNCTION("""COMPUTED_VALUE"""),"Costa Rica")</f>
        <v>Costa Rica</v>
      </c>
      <c r="D3671">
        <f>IFERROR(__xludf.DUMMYFUNCTION("""COMPUTED_VALUE"""),1977.0)</f>
        <v>1977</v>
      </c>
      <c r="E3671">
        <f>IFERROR(__xludf.DUMMYFUNCTION("""COMPUTED_VALUE"""),2207725.0)</f>
        <v>2207725</v>
      </c>
    </row>
    <row r="3672">
      <c r="A3672" t="str">
        <f t="shared" si="1"/>
        <v>cri#1978</v>
      </c>
      <c r="B3672" t="str">
        <f>IFERROR(__xludf.DUMMYFUNCTION("""COMPUTED_VALUE"""),"cri")</f>
        <v>cri</v>
      </c>
      <c r="C3672" t="str">
        <f>IFERROR(__xludf.DUMMYFUNCTION("""COMPUTED_VALUE"""),"Costa Rica")</f>
        <v>Costa Rica</v>
      </c>
      <c r="D3672">
        <f>IFERROR(__xludf.DUMMYFUNCTION("""COMPUTED_VALUE"""),1978.0)</f>
        <v>1978</v>
      </c>
      <c r="E3672">
        <f>IFERROR(__xludf.DUMMYFUNCTION("""COMPUTED_VALUE"""),2266154.0)</f>
        <v>2266154</v>
      </c>
    </row>
    <row r="3673">
      <c r="A3673" t="str">
        <f t="shared" si="1"/>
        <v>cri#1979</v>
      </c>
      <c r="B3673" t="str">
        <f>IFERROR(__xludf.DUMMYFUNCTION("""COMPUTED_VALUE"""),"cri")</f>
        <v>cri</v>
      </c>
      <c r="C3673" t="str">
        <f>IFERROR(__xludf.DUMMYFUNCTION("""COMPUTED_VALUE"""),"Costa Rica")</f>
        <v>Costa Rica</v>
      </c>
      <c r="D3673">
        <f>IFERROR(__xludf.DUMMYFUNCTION("""COMPUTED_VALUE"""),1979.0)</f>
        <v>1979</v>
      </c>
      <c r="E3673">
        <f>IFERROR(__xludf.DUMMYFUNCTION("""COMPUTED_VALUE"""),2326704.0)</f>
        <v>2326704</v>
      </c>
    </row>
    <row r="3674">
      <c r="A3674" t="str">
        <f t="shared" si="1"/>
        <v>cri#1980</v>
      </c>
      <c r="B3674" t="str">
        <f>IFERROR(__xludf.DUMMYFUNCTION("""COMPUTED_VALUE"""),"cri")</f>
        <v>cri</v>
      </c>
      <c r="C3674" t="str">
        <f>IFERROR(__xludf.DUMMYFUNCTION("""COMPUTED_VALUE"""),"Costa Rica")</f>
        <v>Costa Rica</v>
      </c>
      <c r="D3674">
        <f>IFERROR(__xludf.DUMMYFUNCTION("""COMPUTED_VALUE"""),1980.0)</f>
        <v>1980</v>
      </c>
      <c r="E3674">
        <f>IFERROR(__xludf.DUMMYFUNCTION("""COMPUTED_VALUE"""),2389310.0)</f>
        <v>2389310</v>
      </c>
    </row>
    <row r="3675">
      <c r="A3675" t="str">
        <f t="shared" si="1"/>
        <v>cri#1981</v>
      </c>
      <c r="B3675" t="str">
        <f>IFERROR(__xludf.DUMMYFUNCTION("""COMPUTED_VALUE"""),"cri")</f>
        <v>cri</v>
      </c>
      <c r="C3675" t="str">
        <f>IFERROR(__xludf.DUMMYFUNCTION("""COMPUTED_VALUE"""),"Costa Rica")</f>
        <v>Costa Rica</v>
      </c>
      <c r="D3675">
        <f>IFERROR(__xludf.DUMMYFUNCTION("""COMPUTED_VALUE"""),1981.0)</f>
        <v>1981</v>
      </c>
      <c r="E3675">
        <f>IFERROR(__xludf.DUMMYFUNCTION("""COMPUTED_VALUE"""),2454129.0)</f>
        <v>2454129</v>
      </c>
    </row>
    <row r="3676">
      <c r="A3676" t="str">
        <f t="shared" si="1"/>
        <v>cri#1982</v>
      </c>
      <c r="B3676" t="str">
        <f>IFERROR(__xludf.DUMMYFUNCTION("""COMPUTED_VALUE"""),"cri")</f>
        <v>cri</v>
      </c>
      <c r="C3676" t="str">
        <f>IFERROR(__xludf.DUMMYFUNCTION("""COMPUTED_VALUE"""),"Costa Rica")</f>
        <v>Costa Rica</v>
      </c>
      <c r="D3676">
        <f>IFERROR(__xludf.DUMMYFUNCTION("""COMPUTED_VALUE"""),1982.0)</f>
        <v>1982</v>
      </c>
      <c r="E3676">
        <f>IFERROR(__xludf.DUMMYFUNCTION("""COMPUTED_VALUE"""),2521168.0)</f>
        <v>2521168</v>
      </c>
    </row>
    <row r="3677">
      <c r="A3677" t="str">
        <f t="shared" si="1"/>
        <v>cri#1983</v>
      </c>
      <c r="B3677" t="str">
        <f>IFERROR(__xludf.DUMMYFUNCTION("""COMPUTED_VALUE"""),"cri")</f>
        <v>cri</v>
      </c>
      <c r="C3677" t="str">
        <f>IFERROR(__xludf.DUMMYFUNCTION("""COMPUTED_VALUE"""),"Costa Rica")</f>
        <v>Costa Rica</v>
      </c>
      <c r="D3677">
        <f>IFERROR(__xludf.DUMMYFUNCTION("""COMPUTED_VALUE"""),1983.0)</f>
        <v>1983</v>
      </c>
      <c r="E3677">
        <f>IFERROR(__xludf.DUMMYFUNCTION("""COMPUTED_VALUE"""),2589930.0)</f>
        <v>2589930</v>
      </c>
    </row>
    <row r="3678">
      <c r="A3678" t="str">
        <f t="shared" si="1"/>
        <v>cri#1984</v>
      </c>
      <c r="B3678" t="str">
        <f>IFERROR(__xludf.DUMMYFUNCTION("""COMPUTED_VALUE"""),"cri")</f>
        <v>cri</v>
      </c>
      <c r="C3678" t="str">
        <f>IFERROR(__xludf.DUMMYFUNCTION("""COMPUTED_VALUE"""),"Costa Rica")</f>
        <v>Costa Rica</v>
      </c>
      <c r="D3678">
        <f>IFERROR(__xludf.DUMMYFUNCTION("""COMPUTED_VALUE"""),1984.0)</f>
        <v>1984</v>
      </c>
      <c r="E3678">
        <f>IFERROR(__xludf.DUMMYFUNCTION("""COMPUTED_VALUE"""),2659781.0)</f>
        <v>2659781</v>
      </c>
    </row>
    <row r="3679">
      <c r="A3679" t="str">
        <f t="shared" si="1"/>
        <v>cri#1985</v>
      </c>
      <c r="B3679" t="str">
        <f>IFERROR(__xludf.DUMMYFUNCTION("""COMPUTED_VALUE"""),"cri")</f>
        <v>cri</v>
      </c>
      <c r="C3679" t="str">
        <f>IFERROR(__xludf.DUMMYFUNCTION("""COMPUTED_VALUE"""),"Costa Rica")</f>
        <v>Costa Rica</v>
      </c>
      <c r="D3679">
        <f>IFERROR(__xludf.DUMMYFUNCTION("""COMPUTED_VALUE"""),1985.0)</f>
        <v>1985</v>
      </c>
      <c r="E3679">
        <f>IFERROR(__xludf.DUMMYFUNCTION("""COMPUTED_VALUE"""),2730233.0)</f>
        <v>2730233</v>
      </c>
    </row>
    <row r="3680">
      <c r="A3680" t="str">
        <f t="shared" si="1"/>
        <v>cri#1986</v>
      </c>
      <c r="B3680" t="str">
        <f>IFERROR(__xludf.DUMMYFUNCTION("""COMPUTED_VALUE"""),"cri")</f>
        <v>cri</v>
      </c>
      <c r="C3680" t="str">
        <f>IFERROR(__xludf.DUMMYFUNCTION("""COMPUTED_VALUE"""),"Costa Rica")</f>
        <v>Costa Rica</v>
      </c>
      <c r="D3680">
        <f>IFERROR(__xludf.DUMMYFUNCTION("""COMPUTED_VALUE"""),1986.0)</f>
        <v>1986</v>
      </c>
      <c r="E3680">
        <f>IFERROR(__xludf.DUMMYFUNCTION("""COMPUTED_VALUE"""),2800986.0)</f>
        <v>2800986</v>
      </c>
    </row>
    <row r="3681">
      <c r="A3681" t="str">
        <f t="shared" si="1"/>
        <v>cri#1987</v>
      </c>
      <c r="B3681" t="str">
        <f>IFERROR(__xludf.DUMMYFUNCTION("""COMPUTED_VALUE"""),"cri")</f>
        <v>cri</v>
      </c>
      <c r="C3681" t="str">
        <f>IFERROR(__xludf.DUMMYFUNCTION("""COMPUTED_VALUE"""),"Costa Rica")</f>
        <v>Costa Rica</v>
      </c>
      <c r="D3681">
        <f>IFERROR(__xludf.DUMMYFUNCTION("""COMPUTED_VALUE"""),1987.0)</f>
        <v>1987</v>
      </c>
      <c r="E3681">
        <f>IFERROR(__xludf.DUMMYFUNCTION("""COMPUTED_VALUE"""),2872211.0)</f>
        <v>2872211</v>
      </c>
    </row>
    <row r="3682">
      <c r="A3682" t="str">
        <f t="shared" si="1"/>
        <v>cri#1988</v>
      </c>
      <c r="B3682" t="str">
        <f>IFERROR(__xludf.DUMMYFUNCTION("""COMPUTED_VALUE"""),"cri")</f>
        <v>cri</v>
      </c>
      <c r="C3682" t="str">
        <f>IFERROR(__xludf.DUMMYFUNCTION("""COMPUTED_VALUE"""),"Costa Rica")</f>
        <v>Costa Rica</v>
      </c>
      <c r="D3682">
        <f>IFERROR(__xludf.DUMMYFUNCTION("""COMPUTED_VALUE"""),1988.0)</f>
        <v>1988</v>
      </c>
      <c r="E3682">
        <f>IFERROR(__xludf.DUMMYFUNCTION("""COMPUTED_VALUE"""),2944557.0)</f>
        <v>2944557</v>
      </c>
    </row>
    <row r="3683">
      <c r="A3683" t="str">
        <f t="shared" si="1"/>
        <v>cri#1989</v>
      </c>
      <c r="B3683" t="str">
        <f>IFERROR(__xludf.DUMMYFUNCTION("""COMPUTED_VALUE"""),"cri")</f>
        <v>cri</v>
      </c>
      <c r="C3683" t="str">
        <f>IFERROR(__xludf.DUMMYFUNCTION("""COMPUTED_VALUE"""),"Costa Rica")</f>
        <v>Costa Rica</v>
      </c>
      <c r="D3683">
        <f>IFERROR(__xludf.DUMMYFUNCTION("""COMPUTED_VALUE"""),1989.0)</f>
        <v>1989</v>
      </c>
      <c r="E3683">
        <f>IFERROR(__xludf.DUMMYFUNCTION("""COMPUTED_VALUE"""),3018955.0)</f>
        <v>3018955</v>
      </c>
    </row>
    <row r="3684">
      <c r="A3684" t="str">
        <f t="shared" si="1"/>
        <v>cri#1990</v>
      </c>
      <c r="B3684" t="str">
        <f>IFERROR(__xludf.DUMMYFUNCTION("""COMPUTED_VALUE"""),"cri")</f>
        <v>cri</v>
      </c>
      <c r="C3684" t="str">
        <f>IFERROR(__xludf.DUMMYFUNCTION("""COMPUTED_VALUE"""),"Costa Rica")</f>
        <v>Costa Rica</v>
      </c>
      <c r="D3684">
        <f>IFERROR(__xludf.DUMMYFUNCTION("""COMPUTED_VALUE"""),1990.0)</f>
        <v>1990</v>
      </c>
      <c r="E3684">
        <f>IFERROR(__xludf.DUMMYFUNCTION("""COMPUTED_VALUE"""),3095995.0)</f>
        <v>3095995</v>
      </c>
    </row>
    <row r="3685">
      <c r="A3685" t="str">
        <f t="shared" si="1"/>
        <v>cri#1991</v>
      </c>
      <c r="B3685" t="str">
        <f>IFERROR(__xludf.DUMMYFUNCTION("""COMPUTED_VALUE"""),"cri")</f>
        <v>cri</v>
      </c>
      <c r="C3685" t="str">
        <f>IFERROR(__xludf.DUMMYFUNCTION("""COMPUTED_VALUE"""),"Costa Rica")</f>
        <v>Costa Rica</v>
      </c>
      <c r="D3685">
        <f>IFERROR(__xludf.DUMMYFUNCTION("""COMPUTED_VALUE"""),1991.0)</f>
        <v>1991</v>
      </c>
      <c r="E3685">
        <f>IFERROR(__xludf.DUMMYFUNCTION("""COMPUTED_VALUE"""),3175649.0)</f>
        <v>3175649</v>
      </c>
    </row>
    <row r="3686">
      <c r="A3686" t="str">
        <f t="shared" si="1"/>
        <v>cri#1992</v>
      </c>
      <c r="B3686" t="str">
        <f>IFERROR(__xludf.DUMMYFUNCTION("""COMPUTED_VALUE"""),"cri")</f>
        <v>cri</v>
      </c>
      <c r="C3686" t="str">
        <f>IFERROR(__xludf.DUMMYFUNCTION("""COMPUTED_VALUE"""),"Costa Rica")</f>
        <v>Costa Rica</v>
      </c>
      <c r="D3686">
        <f>IFERROR(__xludf.DUMMYFUNCTION("""COMPUTED_VALUE"""),1992.0)</f>
        <v>1992</v>
      </c>
      <c r="E3686">
        <f>IFERROR(__xludf.DUMMYFUNCTION("""COMPUTED_VALUE"""),3257466.0)</f>
        <v>3257466</v>
      </c>
    </row>
    <row r="3687">
      <c r="A3687" t="str">
        <f t="shared" si="1"/>
        <v>cri#1993</v>
      </c>
      <c r="B3687" t="str">
        <f>IFERROR(__xludf.DUMMYFUNCTION("""COMPUTED_VALUE"""),"cri")</f>
        <v>cri</v>
      </c>
      <c r="C3687" t="str">
        <f>IFERROR(__xludf.DUMMYFUNCTION("""COMPUTED_VALUE"""),"Costa Rica")</f>
        <v>Costa Rica</v>
      </c>
      <c r="D3687">
        <f>IFERROR(__xludf.DUMMYFUNCTION("""COMPUTED_VALUE"""),1993.0)</f>
        <v>1993</v>
      </c>
      <c r="E3687">
        <f>IFERROR(__xludf.DUMMYFUNCTION("""COMPUTED_VALUE"""),3341004.0)</f>
        <v>3341004</v>
      </c>
    </row>
    <row r="3688">
      <c r="A3688" t="str">
        <f t="shared" si="1"/>
        <v>cri#1994</v>
      </c>
      <c r="B3688" t="str">
        <f>IFERROR(__xludf.DUMMYFUNCTION("""COMPUTED_VALUE"""),"cri")</f>
        <v>cri</v>
      </c>
      <c r="C3688" t="str">
        <f>IFERROR(__xludf.DUMMYFUNCTION("""COMPUTED_VALUE"""),"Costa Rica")</f>
        <v>Costa Rica</v>
      </c>
      <c r="D3688">
        <f>IFERROR(__xludf.DUMMYFUNCTION("""COMPUTED_VALUE"""),1994.0)</f>
        <v>1994</v>
      </c>
      <c r="E3688">
        <f>IFERROR(__xludf.DUMMYFUNCTION("""COMPUTED_VALUE"""),3425690.0)</f>
        <v>3425690</v>
      </c>
    </row>
    <row r="3689">
      <c r="A3689" t="str">
        <f t="shared" si="1"/>
        <v>cri#1995</v>
      </c>
      <c r="B3689" t="str">
        <f>IFERROR(__xludf.DUMMYFUNCTION("""COMPUTED_VALUE"""),"cri")</f>
        <v>cri</v>
      </c>
      <c r="C3689" t="str">
        <f>IFERROR(__xludf.DUMMYFUNCTION("""COMPUTED_VALUE"""),"Costa Rica")</f>
        <v>Costa Rica</v>
      </c>
      <c r="D3689">
        <f>IFERROR(__xludf.DUMMYFUNCTION("""COMPUTED_VALUE"""),1995.0)</f>
        <v>1995</v>
      </c>
      <c r="E3689">
        <f>IFERROR(__xludf.DUMMYFUNCTION("""COMPUTED_VALUE"""),3510926.0)</f>
        <v>3510926</v>
      </c>
    </row>
    <row r="3690">
      <c r="A3690" t="str">
        <f t="shared" si="1"/>
        <v>cri#1996</v>
      </c>
      <c r="B3690" t="str">
        <f>IFERROR(__xludf.DUMMYFUNCTION("""COMPUTED_VALUE"""),"cri")</f>
        <v>cri</v>
      </c>
      <c r="C3690" t="str">
        <f>IFERROR(__xludf.DUMMYFUNCTION("""COMPUTED_VALUE"""),"Costa Rica")</f>
        <v>Costa Rica</v>
      </c>
      <c r="D3690">
        <f>IFERROR(__xludf.DUMMYFUNCTION("""COMPUTED_VALUE"""),1996.0)</f>
        <v>1996</v>
      </c>
      <c r="E3690">
        <f>IFERROR(__xludf.DUMMYFUNCTION("""COMPUTED_VALUE"""),3596732.0)</f>
        <v>3596732</v>
      </c>
    </row>
    <row r="3691">
      <c r="A3691" t="str">
        <f t="shared" si="1"/>
        <v>cri#1997</v>
      </c>
      <c r="B3691" t="str">
        <f>IFERROR(__xludf.DUMMYFUNCTION("""COMPUTED_VALUE"""),"cri")</f>
        <v>cri</v>
      </c>
      <c r="C3691" t="str">
        <f>IFERROR(__xludf.DUMMYFUNCTION("""COMPUTED_VALUE"""),"Costa Rica")</f>
        <v>Costa Rica</v>
      </c>
      <c r="D3691">
        <f>IFERROR(__xludf.DUMMYFUNCTION("""COMPUTED_VALUE"""),1997.0)</f>
        <v>1997</v>
      </c>
      <c r="E3691">
        <f>IFERROR(__xludf.DUMMYFUNCTION("""COMPUTED_VALUE"""),3682725.0)</f>
        <v>3682725</v>
      </c>
    </row>
    <row r="3692">
      <c r="A3692" t="str">
        <f t="shared" si="1"/>
        <v>cri#1998</v>
      </c>
      <c r="B3692" t="str">
        <f>IFERROR(__xludf.DUMMYFUNCTION("""COMPUTED_VALUE"""),"cri")</f>
        <v>cri</v>
      </c>
      <c r="C3692" t="str">
        <f>IFERROR(__xludf.DUMMYFUNCTION("""COMPUTED_VALUE"""),"Costa Rica")</f>
        <v>Costa Rica</v>
      </c>
      <c r="D3692">
        <f>IFERROR(__xludf.DUMMYFUNCTION("""COMPUTED_VALUE"""),1998.0)</f>
        <v>1998</v>
      </c>
      <c r="E3692">
        <f>IFERROR(__xludf.DUMMYFUNCTION("""COMPUTED_VALUE"""),3767373.0)</f>
        <v>3767373</v>
      </c>
    </row>
    <row r="3693">
      <c r="A3693" t="str">
        <f t="shared" si="1"/>
        <v>cri#1999</v>
      </c>
      <c r="B3693" t="str">
        <f>IFERROR(__xludf.DUMMYFUNCTION("""COMPUTED_VALUE"""),"cri")</f>
        <v>cri</v>
      </c>
      <c r="C3693" t="str">
        <f>IFERROR(__xludf.DUMMYFUNCTION("""COMPUTED_VALUE"""),"Costa Rica")</f>
        <v>Costa Rica</v>
      </c>
      <c r="D3693">
        <f>IFERROR(__xludf.DUMMYFUNCTION("""COMPUTED_VALUE"""),1999.0)</f>
        <v>1999</v>
      </c>
      <c r="E3693">
        <f>IFERROR(__xludf.DUMMYFUNCTION("""COMPUTED_VALUE"""),3848723.0)</f>
        <v>3848723</v>
      </c>
    </row>
    <row r="3694">
      <c r="A3694" t="str">
        <f t="shared" si="1"/>
        <v>cri#2000</v>
      </c>
      <c r="B3694" t="str">
        <f>IFERROR(__xludf.DUMMYFUNCTION("""COMPUTED_VALUE"""),"cri")</f>
        <v>cri</v>
      </c>
      <c r="C3694" t="str">
        <f>IFERROR(__xludf.DUMMYFUNCTION("""COMPUTED_VALUE"""),"Costa Rica")</f>
        <v>Costa Rica</v>
      </c>
      <c r="D3694">
        <f>IFERROR(__xludf.DUMMYFUNCTION("""COMPUTED_VALUE"""),2000.0)</f>
        <v>2000</v>
      </c>
      <c r="E3694">
        <f>IFERROR(__xludf.DUMMYFUNCTION("""COMPUTED_VALUE"""),3925443.0)</f>
        <v>3925443</v>
      </c>
    </row>
    <row r="3695">
      <c r="A3695" t="str">
        <f t="shared" si="1"/>
        <v>cri#2001</v>
      </c>
      <c r="B3695" t="str">
        <f>IFERROR(__xludf.DUMMYFUNCTION("""COMPUTED_VALUE"""),"cri")</f>
        <v>cri</v>
      </c>
      <c r="C3695" t="str">
        <f>IFERROR(__xludf.DUMMYFUNCTION("""COMPUTED_VALUE"""),"Costa Rica")</f>
        <v>Costa Rica</v>
      </c>
      <c r="D3695">
        <f>IFERROR(__xludf.DUMMYFUNCTION("""COMPUTED_VALUE"""),2001.0)</f>
        <v>2001</v>
      </c>
      <c r="E3695">
        <f>IFERROR(__xludf.DUMMYFUNCTION("""COMPUTED_VALUE"""),3996798.0)</f>
        <v>3996798</v>
      </c>
    </row>
    <row r="3696">
      <c r="A3696" t="str">
        <f t="shared" si="1"/>
        <v>cri#2002</v>
      </c>
      <c r="B3696" t="str">
        <f>IFERROR(__xludf.DUMMYFUNCTION("""COMPUTED_VALUE"""),"cri")</f>
        <v>cri</v>
      </c>
      <c r="C3696" t="str">
        <f>IFERROR(__xludf.DUMMYFUNCTION("""COMPUTED_VALUE"""),"Costa Rica")</f>
        <v>Costa Rica</v>
      </c>
      <c r="D3696">
        <f>IFERROR(__xludf.DUMMYFUNCTION("""COMPUTED_VALUE"""),2002.0)</f>
        <v>2002</v>
      </c>
      <c r="E3696">
        <f>IFERROR(__xludf.DUMMYFUNCTION("""COMPUTED_VALUE"""),4063204.0)</f>
        <v>4063204</v>
      </c>
    </row>
    <row r="3697">
      <c r="A3697" t="str">
        <f t="shared" si="1"/>
        <v>cri#2003</v>
      </c>
      <c r="B3697" t="str">
        <f>IFERROR(__xludf.DUMMYFUNCTION("""COMPUTED_VALUE"""),"cri")</f>
        <v>cri</v>
      </c>
      <c r="C3697" t="str">
        <f>IFERROR(__xludf.DUMMYFUNCTION("""COMPUTED_VALUE"""),"Costa Rica")</f>
        <v>Costa Rica</v>
      </c>
      <c r="D3697">
        <f>IFERROR(__xludf.DUMMYFUNCTION("""COMPUTED_VALUE"""),2003.0)</f>
        <v>2003</v>
      </c>
      <c r="E3697">
        <f>IFERROR(__xludf.DUMMYFUNCTION("""COMPUTED_VALUE"""),4125971.0)</f>
        <v>4125971</v>
      </c>
    </row>
    <row r="3698">
      <c r="A3698" t="str">
        <f t="shared" si="1"/>
        <v>cri#2004</v>
      </c>
      <c r="B3698" t="str">
        <f>IFERROR(__xludf.DUMMYFUNCTION("""COMPUTED_VALUE"""),"cri")</f>
        <v>cri</v>
      </c>
      <c r="C3698" t="str">
        <f>IFERROR(__xludf.DUMMYFUNCTION("""COMPUTED_VALUE"""),"Costa Rica")</f>
        <v>Costa Rica</v>
      </c>
      <c r="D3698">
        <f>IFERROR(__xludf.DUMMYFUNCTION("""COMPUTED_VALUE"""),2004.0)</f>
        <v>2004</v>
      </c>
      <c r="E3698">
        <f>IFERROR(__xludf.DUMMYFUNCTION("""COMPUTED_VALUE"""),4187038.0)</f>
        <v>4187038</v>
      </c>
    </row>
    <row r="3699">
      <c r="A3699" t="str">
        <f t="shared" si="1"/>
        <v>cri#2005</v>
      </c>
      <c r="B3699" t="str">
        <f>IFERROR(__xludf.DUMMYFUNCTION("""COMPUTED_VALUE"""),"cri")</f>
        <v>cri</v>
      </c>
      <c r="C3699" t="str">
        <f>IFERROR(__xludf.DUMMYFUNCTION("""COMPUTED_VALUE"""),"Costa Rica")</f>
        <v>Costa Rica</v>
      </c>
      <c r="D3699">
        <f>IFERROR(__xludf.DUMMYFUNCTION("""COMPUTED_VALUE"""),2005.0)</f>
        <v>2005</v>
      </c>
      <c r="E3699">
        <f>IFERROR(__xludf.DUMMYFUNCTION("""COMPUTED_VALUE"""),4247841.0)</f>
        <v>4247841</v>
      </c>
    </row>
    <row r="3700">
      <c r="A3700" t="str">
        <f t="shared" si="1"/>
        <v>cri#2006</v>
      </c>
      <c r="B3700" t="str">
        <f>IFERROR(__xludf.DUMMYFUNCTION("""COMPUTED_VALUE"""),"cri")</f>
        <v>cri</v>
      </c>
      <c r="C3700" t="str">
        <f>IFERROR(__xludf.DUMMYFUNCTION("""COMPUTED_VALUE"""),"Costa Rica")</f>
        <v>Costa Rica</v>
      </c>
      <c r="D3700">
        <f>IFERROR(__xludf.DUMMYFUNCTION("""COMPUTED_VALUE"""),2006.0)</f>
        <v>2006</v>
      </c>
      <c r="E3700">
        <f>IFERROR(__xludf.DUMMYFUNCTION("""COMPUTED_VALUE"""),4308794.0)</f>
        <v>4308794</v>
      </c>
    </row>
    <row r="3701">
      <c r="A3701" t="str">
        <f t="shared" si="1"/>
        <v>cri#2007</v>
      </c>
      <c r="B3701" t="str">
        <f>IFERROR(__xludf.DUMMYFUNCTION("""COMPUTED_VALUE"""),"cri")</f>
        <v>cri</v>
      </c>
      <c r="C3701" t="str">
        <f>IFERROR(__xludf.DUMMYFUNCTION("""COMPUTED_VALUE"""),"Costa Rica")</f>
        <v>Costa Rica</v>
      </c>
      <c r="D3701">
        <f>IFERROR(__xludf.DUMMYFUNCTION("""COMPUTED_VALUE"""),2007.0)</f>
        <v>2007</v>
      </c>
      <c r="E3701">
        <f>IFERROR(__xludf.DUMMYFUNCTION("""COMPUTED_VALUE"""),4369469.0)</f>
        <v>4369469</v>
      </c>
    </row>
    <row r="3702">
      <c r="A3702" t="str">
        <f t="shared" si="1"/>
        <v>cri#2008</v>
      </c>
      <c r="B3702" t="str">
        <f>IFERROR(__xludf.DUMMYFUNCTION("""COMPUTED_VALUE"""),"cri")</f>
        <v>cri</v>
      </c>
      <c r="C3702" t="str">
        <f>IFERROR(__xludf.DUMMYFUNCTION("""COMPUTED_VALUE"""),"Costa Rica")</f>
        <v>Costa Rica</v>
      </c>
      <c r="D3702">
        <f>IFERROR(__xludf.DUMMYFUNCTION("""COMPUTED_VALUE"""),2008.0)</f>
        <v>2008</v>
      </c>
      <c r="E3702">
        <f>IFERROR(__xludf.DUMMYFUNCTION("""COMPUTED_VALUE"""),4429508.0)</f>
        <v>4429508</v>
      </c>
    </row>
    <row r="3703">
      <c r="A3703" t="str">
        <f t="shared" si="1"/>
        <v>cri#2009</v>
      </c>
      <c r="B3703" t="str">
        <f>IFERROR(__xludf.DUMMYFUNCTION("""COMPUTED_VALUE"""),"cri")</f>
        <v>cri</v>
      </c>
      <c r="C3703" t="str">
        <f>IFERROR(__xludf.DUMMYFUNCTION("""COMPUTED_VALUE"""),"Costa Rica")</f>
        <v>Costa Rica</v>
      </c>
      <c r="D3703">
        <f>IFERROR(__xludf.DUMMYFUNCTION("""COMPUTED_VALUE"""),2009.0)</f>
        <v>2009</v>
      </c>
      <c r="E3703">
        <f>IFERROR(__xludf.DUMMYFUNCTION("""COMPUTED_VALUE"""),4488263.0)</f>
        <v>4488263</v>
      </c>
    </row>
    <row r="3704">
      <c r="A3704" t="str">
        <f t="shared" si="1"/>
        <v>cri#2010</v>
      </c>
      <c r="B3704" t="str">
        <f>IFERROR(__xludf.DUMMYFUNCTION("""COMPUTED_VALUE"""),"cri")</f>
        <v>cri</v>
      </c>
      <c r="C3704" t="str">
        <f>IFERROR(__xludf.DUMMYFUNCTION("""COMPUTED_VALUE"""),"Costa Rica")</f>
        <v>Costa Rica</v>
      </c>
      <c r="D3704">
        <f>IFERROR(__xludf.DUMMYFUNCTION("""COMPUTED_VALUE"""),2010.0)</f>
        <v>2010</v>
      </c>
      <c r="E3704">
        <f>IFERROR(__xludf.DUMMYFUNCTION("""COMPUTED_VALUE"""),4545280.0)</f>
        <v>4545280</v>
      </c>
    </row>
    <row r="3705">
      <c r="A3705" t="str">
        <f t="shared" si="1"/>
        <v>cri#2011</v>
      </c>
      <c r="B3705" t="str">
        <f>IFERROR(__xludf.DUMMYFUNCTION("""COMPUTED_VALUE"""),"cri")</f>
        <v>cri</v>
      </c>
      <c r="C3705" t="str">
        <f>IFERROR(__xludf.DUMMYFUNCTION("""COMPUTED_VALUE"""),"Costa Rica")</f>
        <v>Costa Rica</v>
      </c>
      <c r="D3705">
        <f>IFERROR(__xludf.DUMMYFUNCTION("""COMPUTED_VALUE"""),2011.0)</f>
        <v>2011</v>
      </c>
      <c r="E3705">
        <f>IFERROR(__xludf.DUMMYFUNCTION("""COMPUTED_VALUE"""),4600474.0)</f>
        <v>4600474</v>
      </c>
    </row>
    <row r="3706">
      <c r="A3706" t="str">
        <f t="shared" si="1"/>
        <v>cri#2012</v>
      </c>
      <c r="B3706" t="str">
        <f>IFERROR(__xludf.DUMMYFUNCTION("""COMPUTED_VALUE"""),"cri")</f>
        <v>cri</v>
      </c>
      <c r="C3706" t="str">
        <f>IFERROR(__xludf.DUMMYFUNCTION("""COMPUTED_VALUE"""),"Costa Rica")</f>
        <v>Costa Rica</v>
      </c>
      <c r="D3706">
        <f>IFERROR(__xludf.DUMMYFUNCTION("""COMPUTED_VALUE"""),2012.0)</f>
        <v>2012</v>
      </c>
      <c r="E3706">
        <f>IFERROR(__xludf.DUMMYFUNCTION("""COMPUTED_VALUE"""),4654122.0)</f>
        <v>4654122</v>
      </c>
    </row>
    <row r="3707">
      <c r="A3707" t="str">
        <f t="shared" si="1"/>
        <v>cri#2013</v>
      </c>
      <c r="B3707" t="str">
        <f>IFERROR(__xludf.DUMMYFUNCTION("""COMPUTED_VALUE"""),"cri")</f>
        <v>cri</v>
      </c>
      <c r="C3707" t="str">
        <f>IFERROR(__xludf.DUMMYFUNCTION("""COMPUTED_VALUE"""),"Costa Rica")</f>
        <v>Costa Rica</v>
      </c>
      <c r="D3707">
        <f>IFERROR(__xludf.DUMMYFUNCTION("""COMPUTED_VALUE"""),2013.0)</f>
        <v>2013</v>
      </c>
      <c r="E3707">
        <f>IFERROR(__xludf.DUMMYFUNCTION("""COMPUTED_VALUE"""),4706401.0)</f>
        <v>4706401</v>
      </c>
    </row>
    <row r="3708">
      <c r="A3708" t="str">
        <f t="shared" si="1"/>
        <v>cri#2014</v>
      </c>
      <c r="B3708" t="str">
        <f>IFERROR(__xludf.DUMMYFUNCTION("""COMPUTED_VALUE"""),"cri")</f>
        <v>cri</v>
      </c>
      <c r="C3708" t="str">
        <f>IFERROR(__xludf.DUMMYFUNCTION("""COMPUTED_VALUE"""),"Costa Rica")</f>
        <v>Costa Rica</v>
      </c>
      <c r="D3708">
        <f>IFERROR(__xludf.DUMMYFUNCTION("""COMPUTED_VALUE"""),2014.0)</f>
        <v>2014</v>
      </c>
      <c r="E3708">
        <f>IFERROR(__xludf.DUMMYFUNCTION("""COMPUTED_VALUE"""),4757575.0)</f>
        <v>4757575</v>
      </c>
    </row>
    <row r="3709">
      <c r="A3709" t="str">
        <f t="shared" si="1"/>
        <v>cri#2015</v>
      </c>
      <c r="B3709" t="str">
        <f>IFERROR(__xludf.DUMMYFUNCTION("""COMPUTED_VALUE"""),"cri")</f>
        <v>cri</v>
      </c>
      <c r="C3709" t="str">
        <f>IFERROR(__xludf.DUMMYFUNCTION("""COMPUTED_VALUE"""),"Costa Rica")</f>
        <v>Costa Rica</v>
      </c>
      <c r="D3709">
        <f>IFERROR(__xludf.DUMMYFUNCTION("""COMPUTED_VALUE"""),2015.0)</f>
        <v>2015</v>
      </c>
      <c r="E3709">
        <f>IFERROR(__xludf.DUMMYFUNCTION("""COMPUTED_VALUE"""),4807852.0)</f>
        <v>4807852</v>
      </c>
    </row>
    <row r="3710">
      <c r="A3710" t="str">
        <f t="shared" si="1"/>
        <v>cri#2016</v>
      </c>
      <c r="B3710" t="str">
        <f>IFERROR(__xludf.DUMMYFUNCTION("""COMPUTED_VALUE"""),"cri")</f>
        <v>cri</v>
      </c>
      <c r="C3710" t="str">
        <f>IFERROR(__xludf.DUMMYFUNCTION("""COMPUTED_VALUE"""),"Costa Rica")</f>
        <v>Costa Rica</v>
      </c>
      <c r="D3710">
        <f>IFERROR(__xludf.DUMMYFUNCTION("""COMPUTED_VALUE"""),2016.0)</f>
        <v>2016</v>
      </c>
      <c r="E3710">
        <f>IFERROR(__xludf.DUMMYFUNCTION("""COMPUTED_VALUE"""),4857274.0)</f>
        <v>4857274</v>
      </c>
    </row>
    <row r="3711">
      <c r="A3711" t="str">
        <f t="shared" si="1"/>
        <v>cri#2017</v>
      </c>
      <c r="B3711" t="str">
        <f>IFERROR(__xludf.DUMMYFUNCTION("""COMPUTED_VALUE"""),"cri")</f>
        <v>cri</v>
      </c>
      <c r="C3711" t="str">
        <f>IFERROR(__xludf.DUMMYFUNCTION("""COMPUTED_VALUE"""),"Costa Rica")</f>
        <v>Costa Rica</v>
      </c>
      <c r="D3711">
        <f>IFERROR(__xludf.DUMMYFUNCTION("""COMPUTED_VALUE"""),2017.0)</f>
        <v>2017</v>
      </c>
      <c r="E3711">
        <f>IFERROR(__xludf.DUMMYFUNCTION("""COMPUTED_VALUE"""),4905769.0)</f>
        <v>4905769</v>
      </c>
    </row>
    <row r="3712">
      <c r="A3712" t="str">
        <f t="shared" si="1"/>
        <v>cri#2018</v>
      </c>
      <c r="B3712" t="str">
        <f>IFERROR(__xludf.DUMMYFUNCTION("""COMPUTED_VALUE"""),"cri")</f>
        <v>cri</v>
      </c>
      <c r="C3712" t="str">
        <f>IFERROR(__xludf.DUMMYFUNCTION("""COMPUTED_VALUE"""),"Costa Rica")</f>
        <v>Costa Rica</v>
      </c>
      <c r="D3712">
        <f>IFERROR(__xludf.DUMMYFUNCTION("""COMPUTED_VALUE"""),2018.0)</f>
        <v>2018</v>
      </c>
      <c r="E3712">
        <f>IFERROR(__xludf.DUMMYFUNCTION("""COMPUTED_VALUE"""),4953199.0)</f>
        <v>4953199</v>
      </c>
    </row>
    <row r="3713">
      <c r="A3713" t="str">
        <f t="shared" si="1"/>
        <v>cri#2019</v>
      </c>
      <c r="B3713" t="str">
        <f>IFERROR(__xludf.DUMMYFUNCTION("""COMPUTED_VALUE"""),"cri")</f>
        <v>cri</v>
      </c>
      <c r="C3713" t="str">
        <f>IFERROR(__xludf.DUMMYFUNCTION("""COMPUTED_VALUE"""),"Costa Rica")</f>
        <v>Costa Rica</v>
      </c>
      <c r="D3713">
        <f>IFERROR(__xludf.DUMMYFUNCTION("""COMPUTED_VALUE"""),2019.0)</f>
        <v>2019</v>
      </c>
      <c r="E3713">
        <f>IFERROR(__xludf.DUMMYFUNCTION("""COMPUTED_VALUE"""),4999384.0)</f>
        <v>4999384</v>
      </c>
    </row>
    <row r="3714">
      <c r="A3714" t="str">
        <f t="shared" si="1"/>
        <v>cri#2020</v>
      </c>
      <c r="B3714" t="str">
        <f>IFERROR(__xludf.DUMMYFUNCTION("""COMPUTED_VALUE"""),"cri")</f>
        <v>cri</v>
      </c>
      <c r="C3714" t="str">
        <f>IFERROR(__xludf.DUMMYFUNCTION("""COMPUTED_VALUE"""),"Costa Rica")</f>
        <v>Costa Rica</v>
      </c>
      <c r="D3714">
        <f>IFERROR(__xludf.DUMMYFUNCTION("""COMPUTED_VALUE"""),2020.0)</f>
        <v>2020</v>
      </c>
      <c r="E3714">
        <f>IFERROR(__xludf.DUMMYFUNCTION("""COMPUTED_VALUE"""),5044179.0)</f>
        <v>5044179</v>
      </c>
    </row>
    <row r="3715">
      <c r="A3715" t="str">
        <f t="shared" si="1"/>
        <v>cri#2021</v>
      </c>
      <c r="B3715" t="str">
        <f>IFERROR(__xludf.DUMMYFUNCTION("""COMPUTED_VALUE"""),"cri")</f>
        <v>cri</v>
      </c>
      <c r="C3715" t="str">
        <f>IFERROR(__xludf.DUMMYFUNCTION("""COMPUTED_VALUE"""),"Costa Rica")</f>
        <v>Costa Rica</v>
      </c>
      <c r="D3715">
        <f>IFERROR(__xludf.DUMMYFUNCTION("""COMPUTED_VALUE"""),2021.0)</f>
        <v>2021</v>
      </c>
      <c r="E3715">
        <f>IFERROR(__xludf.DUMMYFUNCTION("""COMPUTED_VALUE"""),5087543.0)</f>
        <v>5087543</v>
      </c>
    </row>
    <row r="3716">
      <c r="A3716" t="str">
        <f t="shared" si="1"/>
        <v>cri#2022</v>
      </c>
      <c r="B3716" t="str">
        <f>IFERROR(__xludf.DUMMYFUNCTION("""COMPUTED_VALUE"""),"cri")</f>
        <v>cri</v>
      </c>
      <c r="C3716" t="str">
        <f>IFERROR(__xludf.DUMMYFUNCTION("""COMPUTED_VALUE"""),"Costa Rica")</f>
        <v>Costa Rica</v>
      </c>
      <c r="D3716">
        <f>IFERROR(__xludf.DUMMYFUNCTION("""COMPUTED_VALUE"""),2022.0)</f>
        <v>2022</v>
      </c>
      <c r="E3716">
        <f>IFERROR(__xludf.DUMMYFUNCTION("""COMPUTED_VALUE"""),5129516.0)</f>
        <v>5129516</v>
      </c>
    </row>
    <row r="3717">
      <c r="A3717" t="str">
        <f t="shared" si="1"/>
        <v>cri#2023</v>
      </c>
      <c r="B3717" t="str">
        <f>IFERROR(__xludf.DUMMYFUNCTION("""COMPUTED_VALUE"""),"cri")</f>
        <v>cri</v>
      </c>
      <c r="C3717" t="str">
        <f>IFERROR(__xludf.DUMMYFUNCTION("""COMPUTED_VALUE"""),"Costa Rica")</f>
        <v>Costa Rica</v>
      </c>
      <c r="D3717">
        <f>IFERROR(__xludf.DUMMYFUNCTION("""COMPUTED_VALUE"""),2023.0)</f>
        <v>2023</v>
      </c>
      <c r="E3717">
        <f>IFERROR(__xludf.DUMMYFUNCTION("""COMPUTED_VALUE"""),5170112.0)</f>
        <v>5170112</v>
      </c>
    </row>
    <row r="3718">
      <c r="A3718" t="str">
        <f t="shared" si="1"/>
        <v>cri#2024</v>
      </c>
      <c r="B3718" t="str">
        <f>IFERROR(__xludf.DUMMYFUNCTION("""COMPUTED_VALUE"""),"cri")</f>
        <v>cri</v>
      </c>
      <c r="C3718" t="str">
        <f>IFERROR(__xludf.DUMMYFUNCTION("""COMPUTED_VALUE"""),"Costa Rica")</f>
        <v>Costa Rica</v>
      </c>
      <c r="D3718">
        <f>IFERROR(__xludf.DUMMYFUNCTION("""COMPUTED_VALUE"""),2024.0)</f>
        <v>2024</v>
      </c>
      <c r="E3718">
        <f>IFERROR(__xludf.DUMMYFUNCTION("""COMPUTED_VALUE"""),5209374.0)</f>
        <v>5209374</v>
      </c>
    </row>
    <row r="3719">
      <c r="A3719" t="str">
        <f t="shared" si="1"/>
        <v>cri#2025</v>
      </c>
      <c r="B3719" t="str">
        <f>IFERROR(__xludf.DUMMYFUNCTION("""COMPUTED_VALUE"""),"cri")</f>
        <v>cri</v>
      </c>
      <c r="C3719" t="str">
        <f>IFERROR(__xludf.DUMMYFUNCTION("""COMPUTED_VALUE"""),"Costa Rica")</f>
        <v>Costa Rica</v>
      </c>
      <c r="D3719">
        <f>IFERROR(__xludf.DUMMYFUNCTION("""COMPUTED_VALUE"""),2025.0)</f>
        <v>2025</v>
      </c>
      <c r="E3719">
        <f>IFERROR(__xludf.DUMMYFUNCTION("""COMPUTED_VALUE"""),5247337.0)</f>
        <v>5247337</v>
      </c>
    </row>
    <row r="3720">
      <c r="A3720" t="str">
        <f t="shared" si="1"/>
        <v>cri#2026</v>
      </c>
      <c r="B3720" t="str">
        <f>IFERROR(__xludf.DUMMYFUNCTION("""COMPUTED_VALUE"""),"cri")</f>
        <v>cri</v>
      </c>
      <c r="C3720" t="str">
        <f>IFERROR(__xludf.DUMMYFUNCTION("""COMPUTED_VALUE"""),"Costa Rica")</f>
        <v>Costa Rica</v>
      </c>
      <c r="D3720">
        <f>IFERROR(__xludf.DUMMYFUNCTION("""COMPUTED_VALUE"""),2026.0)</f>
        <v>2026</v>
      </c>
      <c r="E3720">
        <f>IFERROR(__xludf.DUMMYFUNCTION("""COMPUTED_VALUE"""),5284011.0)</f>
        <v>5284011</v>
      </c>
    </row>
    <row r="3721">
      <c r="A3721" t="str">
        <f t="shared" si="1"/>
        <v>cri#2027</v>
      </c>
      <c r="B3721" t="str">
        <f>IFERROR(__xludf.DUMMYFUNCTION("""COMPUTED_VALUE"""),"cri")</f>
        <v>cri</v>
      </c>
      <c r="C3721" t="str">
        <f>IFERROR(__xludf.DUMMYFUNCTION("""COMPUTED_VALUE"""),"Costa Rica")</f>
        <v>Costa Rica</v>
      </c>
      <c r="D3721">
        <f>IFERROR(__xludf.DUMMYFUNCTION("""COMPUTED_VALUE"""),2027.0)</f>
        <v>2027</v>
      </c>
      <c r="E3721">
        <f>IFERROR(__xludf.DUMMYFUNCTION("""COMPUTED_VALUE"""),5319366.0)</f>
        <v>5319366</v>
      </c>
    </row>
    <row r="3722">
      <c r="A3722" t="str">
        <f t="shared" si="1"/>
        <v>cri#2028</v>
      </c>
      <c r="B3722" t="str">
        <f>IFERROR(__xludf.DUMMYFUNCTION("""COMPUTED_VALUE"""),"cri")</f>
        <v>cri</v>
      </c>
      <c r="C3722" t="str">
        <f>IFERROR(__xludf.DUMMYFUNCTION("""COMPUTED_VALUE"""),"Costa Rica")</f>
        <v>Costa Rica</v>
      </c>
      <c r="D3722">
        <f>IFERROR(__xludf.DUMMYFUNCTION("""COMPUTED_VALUE"""),2028.0)</f>
        <v>2028</v>
      </c>
      <c r="E3722">
        <f>IFERROR(__xludf.DUMMYFUNCTION("""COMPUTED_VALUE"""),5353387.0)</f>
        <v>5353387</v>
      </c>
    </row>
    <row r="3723">
      <c r="A3723" t="str">
        <f t="shared" si="1"/>
        <v>cri#2029</v>
      </c>
      <c r="B3723" t="str">
        <f>IFERROR(__xludf.DUMMYFUNCTION("""COMPUTED_VALUE"""),"cri")</f>
        <v>cri</v>
      </c>
      <c r="C3723" t="str">
        <f>IFERROR(__xludf.DUMMYFUNCTION("""COMPUTED_VALUE"""),"Costa Rica")</f>
        <v>Costa Rica</v>
      </c>
      <c r="D3723">
        <f>IFERROR(__xludf.DUMMYFUNCTION("""COMPUTED_VALUE"""),2029.0)</f>
        <v>2029</v>
      </c>
      <c r="E3723">
        <f>IFERROR(__xludf.DUMMYFUNCTION("""COMPUTED_VALUE"""),5386063.0)</f>
        <v>5386063</v>
      </c>
    </row>
    <row r="3724">
      <c r="A3724" t="str">
        <f t="shared" si="1"/>
        <v>cri#2030</v>
      </c>
      <c r="B3724" t="str">
        <f>IFERROR(__xludf.DUMMYFUNCTION("""COMPUTED_VALUE"""),"cri")</f>
        <v>cri</v>
      </c>
      <c r="C3724" t="str">
        <f>IFERROR(__xludf.DUMMYFUNCTION("""COMPUTED_VALUE"""),"Costa Rica")</f>
        <v>Costa Rica</v>
      </c>
      <c r="D3724">
        <f>IFERROR(__xludf.DUMMYFUNCTION("""COMPUTED_VALUE"""),2030.0)</f>
        <v>2030</v>
      </c>
      <c r="E3724">
        <f>IFERROR(__xludf.DUMMYFUNCTION("""COMPUTED_VALUE"""),5417379.0)</f>
        <v>5417379</v>
      </c>
    </row>
    <row r="3725">
      <c r="A3725" t="str">
        <f t="shared" si="1"/>
        <v>cri#2031</v>
      </c>
      <c r="B3725" t="str">
        <f>IFERROR(__xludf.DUMMYFUNCTION("""COMPUTED_VALUE"""),"cri")</f>
        <v>cri</v>
      </c>
      <c r="C3725" t="str">
        <f>IFERROR(__xludf.DUMMYFUNCTION("""COMPUTED_VALUE"""),"Costa Rica")</f>
        <v>Costa Rica</v>
      </c>
      <c r="D3725">
        <f>IFERROR(__xludf.DUMMYFUNCTION("""COMPUTED_VALUE"""),2031.0)</f>
        <v>2031</v>
      </c>
      <c r="E3725">
        <f>IFERROR(__xludf.DUMMYFUNCTION("""COMPUTED_VALUE"""),5447328.0)</f>
        <v>5447328</v>
      </c>
    </row>
    <row r="3726">
      <c r="A3726" t="str">
        <f t="shared" si="1"/>
        <v>cri#2032</v>
      </c>
      <c r="B3726" t="str">
        <f>IFERROR(__xludf.DUMMYFUNCTION("""COMPUTED_VALUE"""),"cri")</f>
        <v>cri</v>
      </c>
      <c r="C3726" t="str">
        <f>IFERROR(__xludf.DUMMYFUNCTION("""COMPUTED_VALUE"""),"Costa Rica")</f>
        <v>Costa Rica</v>
      </c>
      <c r="D3726">
        <f>IFERROR(__xludf.DUMMYFUNCTION("""COMPUTED_VALUE"""),2032.0)</f>
        <v>2032</v>
      </c>
      <c r="E3726">
        <f>IFERROR(__xludf.DUMMYFUNCTION("""COMPUTED_VALUE"""),5475941.0)</f>
        <v>5475941</v>
      </c>
    </row>
    <row r="3727">
      <c r="A3727" t="str">
        <f t="shared" si="1"/>
        <v>cri#2033</v>
      </c>
      <c r="B3727" t="str">
        <f>IFERROR(__xludf.DUMMYFUNCTION("""COMPUTED_VALUE"""),"cri")</f>
        <v>cri</v>
      </c>
      <c r="C3727" t="str">
        <f>IFERROR(__xludf.DUMMYFUNCTION("""COMPUTED_VALUE"""),"Costa Rica")</f>
        <v>Costa Rica</v>
      </c>
      <c r="D3727">
        <f>IFERROR(__xludf.DUMMYFUNCTION("""COMPUTED_VALUE"""),2033.0)</f>
        <v>2033</v>
      </c>
      <c r="E3727">
        <f>IFERROR(__xludf.DUMMYFUNCTION("""COMPUTED_VALUE"""),5503214.0)</f>
        <v>5503214</v>
      </c>
    </row>
    <row r="3728">
      <c r="A3728" t="str">
        <f t="shared" si="1"/>
        <v>cri#2034</v>
      </c>
      <c r="B3728" t="str">
        <f>IFERROR(__xludf.DUMMYFUNCTION("""COMPUTED_VALUE"""),"cri")</f>
        <v>cri</v>
      </c>
      <c r="C3728" t="str">
        <f>IFERROR(__xludf.DUMMYFUNCTION("""COMPUTED_VALUE"""),"Costa Rica")</f>
        <v>Costa Rica</v>
      </c>
      <c r="D3728">
        <f>IFERROR(__xludf.DUMMYFUNCTION("""COMPUTED_VALUE"""),2034.0)</f>
        <v>2034</v>
      </c>
      <c r="E3728">
        <f>IFERROR(__xludf.DUMMYFUNCTION("""COMPUTED_VALUE"""),5529210.0)</f>
        <v>5529210</v>
      </c>
    </row>
    <row r="3729">
      <c r="A3729" t="str">
        <f t="shared" si="1"/>
        <v>cri#2035</v>
      </c>
      <c r="B3729" t="str">
        <f>IFERROR(__xludf.DUMMYFUNCTION("""COMPUTED_VALUE"""),"cri")</f>
        <v>cri</v>
      </c>
      <c r="C3729" t="str">
        <f>IFERROR(__xludf.DUMMYFUNCTION("""COMPUTED_VALUE"""),"Costa Rica")</f>
        <v>Costa Rica</v>
      </c>
      <c r="D3729">
        <f>IFERROR(__xludf.DUMMYFUNCTION("""COMPUTED_VALUE"""),2035.0)</f>
        <v>2035</v>
      </c>
      <c r="E3729">
        <f>IFERROR(__xludf.DUMMYFUNCTION("""COMPUTED_VALUE"""),5553946.0)</f>
        <v>5553946</v>
      </c>
    </row>
    <row r="3730">
      <c r="A3730" t="str">
        <f t="shared" si="1"/>
        <v>cri#2036</v>
      </c>
      <c r="B3730" t="str">
        <f>IFERROR(__xludf.DUMMYFUNCTION("""COMPUTED_VALUE"""),"cri")</f>
        <v>cri</v>
      </c>
      <c r="C3730" t="str">
        <f>IFERROR(__xludf.DUMMYFUNCTION("""COMPUTED_VALUE"""),"Costa Rica")</f>
        <v>Costa Rica</v>
      </c>
      <c r="D3730">
        <f>IFERROR(__xludf.DUMMYFUNCTION("""COMPUTED_VALUE"""),2036.0)</f>
        <v>2036</v>
      </c>
      <c r="E3730">
        <f>IFERROR(__xludf.DUMMYFUNCTION("""COMPUTED_VALUE"""),5577430.0)</f>
        <v>5577430</v>
      </c>
    </row>
    <row r="3731">
      <c r="A3731" t="str">
        <f t="shared" si="1"/>
        <v>cri#2037</v>
      </c>
      <c r="B3731" t="str">
        <f>IFERROR(__xludf.DUMMYFUNCTION("""COMPUTED_VALUE"""),"cri")</f>
        <v>cri</v>
      </c>
      <c r="C3731" t="str">
        <f>IFERROR(__xludf.DUMMYFUNCTION("""COMPUTED_VALUE"""),"Costa Rica")</f>
        <v>Costa Rica</v>
      </c>
      <c r="D3731">
        <f>IFERROR(__xludf.DUMMYFUNCTION("""COMPUTED_VALUE"""),2037.0)</f>
        <v>2037</v>
      </c>
      <c r="E3731">
        <f>IFERROR(__xludf.DUMMYFUNCTION("""COMPUTED_VALUE"""),5599667.0)</f>
        <v>5599667</v>
      </c>
    </row>
    <row r="3732">
      <c r="A3732" t="str">
        <f t="shared" si="1"/>
        <v>cri#2038</v>
      </c>
      <c r="B3732" t="str">
        <f>IFERROR(__xludf.DUMMYFUNCTION("""COMPUTED_VALUE"""),"cri")</f>
        <v>cri</v>
      </c>
      <c r="C3732" t="str">
        <f>IFERROR(__xludf.DUMMYFUNCTION("""COMPUTED_VALUE"""),"Costa Rica")</f>
        <v>Costa Rica</v>
      </c>
      <c r="D3732">
        <f>IFERROR(__xludf.DUMMYFUNCTION("""COMPUTED_VALUE"""),2038.0)</f>
        <v>2038</v>
      </c>
      <c r="E3732">
        <f>IFERROR(__xludf.DUMMYFUNCTION("""COMPUTED_VALUE"""),5620650.0)</f>
        <v>5620650</v>
      </c>
    </row>
    <row r="3733">
      <c r="A3733" t="str">
        <f t="shared" si="1"/>
        <v>cri#2039</v>
      </c>
      <c r="B3733" t="str">
        <f>IFERROR(__xludf.DUMMYFUNCTION("""COMPUTED_VALUE"""),"cri")</f>
        <v>cri</v>
      </c>
      <c r="C3733" t="str">
        <f>IFERROR(__xludf.DUMMYFUNCTION("""COMPUTED_VALUE"""),"Costa Rica")</f>
        <v>Costa Rica</v>
      </c>
      <c r="D3733">
        <f>IFERROR(__xludf.DUMMYFUNCTION("""COMPUTED_VALUE"""),2039.0)</f>
        <v>2039</v>
      </c>
      <c r="E3733">
        <f>IFERROR(__xludf.DUMMYFUNCTION("""COMPUTED_VALUE"""),5640391.0)</f>
        <v>5640391</v>
      </c>
    </row>
    <row r="3734">
      <c r="A3734" t="str">
        <f t="shared" si="1"/>
        <v>cri#2040</v>
      </c>
      <c r="B3734" t="str">
        <f>IFERROR(__xludf.DUMMYFUNCTION("""COMPUTED_VALUE"""),"cri")</f>
        <v>cri</v>
      </c>
      <c r="C3734" t="str">
        <f>IFERROR(__xludf.DUMMYFUNCTION("""COMPUTED_VALUE"""),"Costa Rica")</f>
        <v>Costa Rica</v>
      </c>
      <c r="D3734">
        <f>IFERROR(__xludf.DUMMYFUNCTION("""COMPUTED_VALUE"""),2040.0)</f>
        <v>2040</v>
      </c>
      <c r="E3734">
        <f>IFERROR(__xludf.DUMMYFUNCTION("""COMPUTED_VALUE"""),5658897.0)</f>
        <v>5658897</v>
      </c>
    </row>
    <row r="3735">
      <c r="A3735" t="str">
        <f t="shared" si="1"/>
        <v>civ#1950</v>
      </c>
      <c r="B3735" t="str">
        <f>IFERROR(__xludf.DUMMYFUNCTION("""COMPUTED_VALUE"""),"civ")</f>
        <v>civ</v>
      </c>
      <c r="C3735" t="str">
        <f>IFERROR(__xludf.DUMMYFUNCTION("""COMPUTED_VALUE"""),"Cote d'Ivoire")</f>
        <v>Cote d'Ivoire</v>
      </c>
      <c r="D3735">
        <f>IFERROR(__xludf.DUMMYFUNCTION("""COMPUTED_VALUE"""),1950.0)</f>
        <v>1950</v>
      </c>
      <c r="E3735">
        <f>IFERROR(__xludf.DUMMYFUNCTION("""COMPUTED_VALUE"""),2630131.0)</f>
        <v>2630131</v>
      </c>
    </row>
    <row r="3736">
      <c r="A3736" t="str">
        <f t="shared" si="1"/>
        <v>civ#1951</v>
      </c>
      <c r="B3736" t="str">
        <f>IFERROR(__xludf.DUMMYFUNCTION("""COMPUTED_VALUE"""),"civ")</f>
        <v>civ</v>
      </c>
      <c r="C3736" t="str">
        <f>IFERROR(__xludf.DUMMYFUNCTION("""COMPUTED_VALUE"""),"Cote d'Ivoire")</f>
        <v>Cote d'Ivoire</v>
      </c>
      <c r="D3736">
        <f>IFERROR(__xludf.DUMMYFUNCTION("""COMPUTED_VALUE"""),1951.0)</f>
        <v>1951</v>
      </c>
      <c r="E3736">
        <f>IFERROR(__xludf.DUMMYFUNCTION("""COMPUTED_VALUE"""),2695115.0)</f>
        <v>2695115</v>
      </c>
    </row>
    <row r="3737">
      <c r="A3737" t="str">
        <f t="shared" si="1"/>
        <v>civ#1952</v>
      </c>
      <c r="B3737" t="str">
        <f>IFERROR(__xludf.DUMMYFUNCTION("""COMPUTED_VALUE"""),"civ")</f>
        <v>civ</v>
      </c>
      <c r="C3737" t="str">
        <f>IFERROR(__xludf.DUMMYFUNCTION("""COMPUTED_VALUE"""),"Cote d'Ivoire")</f>
        <v>Cote d'Ivoire</v>
      </c>
      <c r="D3737">
        <f>IFERROR(__xludf.DUMMYFUNCTION("""COMPUTED_VALUE"""),1952.0)</f>
        <v>1952</v>
      </c>
      <c r="E3737">
        <f>IFERROR(__xludf.DUMMYFUNCTION("""COMPUTED_VALUE"""),2770362.0)</f>
        <v>2770362</v>
      </c>
    </row>
    <row r="3738">
      <c r="A3738" t="str">
        <f t="shared" si="1"/>
        <v>civ#1953</v>
      </c>
      <c r="B3738" t="str">
        <f>IFERROR(__xludf.DUMMYFUNCTION("""COMPUTED_VALUE"""),"civ")</f>
        <v>civ</v>
      </c>
      <c r="C3738" t="str">
        <f>IFERROR(__xludf.DUMMYFUNCTION("""COMPUTED_VALUE"""),"Cote d'Ivoire")</f>
        <v>Cote d'Ivoire</v>
      </c>
      <c r="D3738">
        <f>IFERROR(__xludf.DUMMYFUNCTION("""COMPUTED_VALUE"""),1953.0)</f>
        <v>1953</v>
      </c>
      <c r="E3738">
        <f>IFERROR(__xludf.DUMMYFUNCTION("""COMPUTED_VALUE"""),2852498.0)</f>
        <v>2852498</v>
      </c>
    </row>
    <row r="3739">
      <c r="A3739" t="str">
        <f t="shared" si="1"/>
        <v>civ#1954</v>
      </c>
      <c r="B3739" t="str">
        <f>IFERROR(__xludf.DUMMYFUNCTION("""COMPUTED_VALUE"""),"civ")</f>
        <v>civ</v>
      </c>
      <c r="C3739" t="str">
        <f>IFERROR(__xludf.DUMMYFUNCTION("""COMPUTED_VALUE"""),"Cote d'Ivoire")</f>
        <v>Cote d'Ivoire</v>
      </c>
      <c r="D3739">
        <f>IFERROR(__xludf.DUMMYFUNCTION("""COMPUTED_VALUE"""),1954.0)</f>
        <v>1954</v>
      </c>
      <c r="E3739">
        <f>IFERROR(__xludf.DUMMYFUNCTION("""COMPUTED_VALUE"""),2939219.0)</f>
        <v>2939219</v>
      </c>
    </row>
    <row r="3740">
      <c r="A3740" t="str">
        <f t="shared" si="1"/>
        <v>civ#1955</v>
      </c>
      <c r="B3740" t="str">
        <f>IFERROR(__xludf.DUMMYFUNCTION("""COMPUTED_VALUE"""),"civ")</f>
        <v>civ</v>
      </c>
      <c r="C3740" t="str">
        <f>IFERROR(__xludf.DUMMYFUNCTION("""COMPUTED_VALUE"""),"Cote d'Ivoire")</f>
        <v>Cote d'Ivoire</v>
      </c>
      <c r="D3740">
        <f>IFERROR(__xludf.DUMMYFUNCTION("""COMPUTED_VALUE"""),1955.0)</f>
        <v>1955</v>
      </c>
      <c r="E3740">
        <f>IFERROR(__xludf.DUMMYFUNCTION("""COMPUTED_VALUE"""),3029303.0)</f>
        <v>3029303</v>
      </c>
    </row>
    <row r="3741">
      <c r="A3741" t="str">
        <f t="shared" si="1"/>
        <v>civ#1956</v>
      </c>
      <c r="B3741" t="str">
        <f>IFERROR(__xludf.DUMMYFUNCTION("""COMPUTED_VALUE"""),"civ")</f>
        <v>civ</v>
      </c>
      <c r="C3741" t="str">
        <f>IFERROR(__xludf.DUMMYFUNCTION("""COMPUTED_VALUE"""),"Cote d'Ivoire")</f>
        <v>Cote d'Ivoire</v>
      </c>
      <c r="D3741">
        <f>IFERROR(__xludf.DUMMYFUNCTION("""COMPUTED_VALUE"""),1956.0)</f>
        <v>1956</v>
      </c>
      <c r="E3741">
        <f>IFERROR(__xludf.DUMMYFUNCTION("""COMPUTED_VALUE"""),3122628.0)</f>
        <v>3122628</v>
      </c>
    </row>
    <row r="3742">
      <c r="A3742" t="str">
        <f t="shared" si="1"/>
        <v>civ#1957</v>
      </c>
      <c r="B3742" t="str">
        <f>IFERROR(__xludf.DUMMYFUNCTION("""COMPUTED_VALUE"""),"civ")</f>
        <v>civ</v>
      </c>
      <c r="C3742" t="str">
        <f>IFERROR(__xludf.DUMMYFUNCTION("""COMPUTED_VALUE"""),"Cote d'Ivoire")</f>
        <v>Cote d'Ivoire</v>
      </c>
      <c r="D3742">
        <f>IFERROR(__xludf.DUMMYFUNCTION("""COMPUTED_VALUE"""),1957.0)</f>
        <v>1957</v>
      </c>
      <c r="E3742">
        <f>IFERROR(__xludf.DUMMYFUNCTION("""COMPUTED_VALUE"""),3220159.0)</f>
        <v>3220159</v>
      </c>
    </row>
    <row r="3743">
      <c r="A3743" t="str">
        <f t="shared" si="1"/>
        <v>civ#1958</v>
      </c>
      <c r="B3743" t="str">
        <f>IFERROR(__xludf.DUMMYFUNCTION("""COMPUTED_VALUE"""),"civ")</f>
        <v>civ</v>
      </c>
      <c r="C3743" t="str">
        <f>IFERROR(__xludf.DUMMYFUNCTION("""COMPUTED_VALUE"""),"Cote d'Ivoire")</f>
        <v>Cote d'Ivoire</v>
      </c>
      <c r="D3743">
        <f>IFERROR(__xludf.DUMMYFUNCTION("""COMPUTED_VALUE"""),1958.0)</f>
        <v>1958</v>
      </c>
      <c r="E3743">
        <f>IFERROR(__xludf.DUMMYFUNCTION("""COMPUTED_VALUE"""),3323761.0)</f>
        <v>3323761</v>
      </c>
    </row>
    <row r="3744">
      <c r="A3744" t="str">
        <f t="shared" si="1"/>
        <v>civ#1959</v>
      </c>
      <c r="B3744" t="str">
        <f>IFERROR(__xludf.DUMMYFUNCTION("""COMPUTED_VALUE"""),"civ")</f>
        <v>civ</v>
      </c>
      <c r="C3744" t="str">
        <f>IFERROR(__xludf.DUMMYFUNCTION("""COMPUTED_VALUE"""),"Cote d'Ivoire")</f>
        <v>Cote d'Ivoire</v>
      </c>
      <c r="D3744">
        <f>IFERROR(__xludf.DUMMYFUNCTION("""COMPUTED_VALUE"""),1959.0)</f>
        <v>1959</v>
      </c>
      <c r="E3744">
        <f>IFERROR(__xludf.DUMMYFUNCTION("""COMPUTED_VALUE"""),3435930.0)</f>
        <v>3435930</v>
      </c>
    </row>
    <row r="3745">
      <c r="A3745" t="str">
        <f t="shared" si="1"/>
        <v>civ#1960</v>
      </c>
      <c r="B3745" t="str">
        <f>IFERROR(__xludf.DUMMYFUNCTION("""COMPUTED_VALUE"""),"civ")</f>
        <v>civ</v>
      </c>
      <c r="C3745" t="str">
        <f>IFERROR(__xludf.DUMMYFUNCTION("""COMPUTED_VALUE"""),"Cote d'Ivoire")</f>
        <v>Cote d'Ivoire</v>
      </c>
      <c r="D3745">
        <f>IFERROR(__xludf.DUMMYFUNCTION("""COMPUTED_VALUE"""),1960.0)</f>
        <v>1960</v>
      </c>
      <c r="E3745">
        <f>IFERROR(__xludf.DUMMYFUNCTION("""COMPUTED_VALUE"""),3558988.0)</f>
        <v>3558988</v>
      </c>
    </row>
    <row r="3746">
      <c r="A3746" t="str">
        <f t="shared" si="1"/>
        <v>civ#1961</v>
      </c>
      <c r="B3746" t="str">
        <f>IFERROR(__xludf.DUMMYFUNCTION("""COMPUTED_VALUE"""),"civ")</f>
        <v>civ</v>
      </c>
      <c r="C3746" t="str">
        <f>IFERROR(__xludf.DUMMYFUNCTION("""COMPUTED_VALUE"""),"Cote d'Ivoire")</f>
        <v>Cote d'Ivoire</v>
      </c>
      <c r="D3746">
        <f>IFERROR(__xludf.DUMMYFUNCTION("""COMPUTED_VALUE"""),1961.0)</f>
        <v>1961</v>
      </c>
      <c r="E3746">
        <f>IFERROR(__xludf.DUMMYFUNCTION("""COMPUTED_VALUE"""),3694205.0)</f>
        <v>3694205</v>
      </c>
    </row>
    <row r="3747">
      <c r="A3747" t="str">
        <f t="shared" si="1"/>
        <v>civ#1962</v>
      </c>
      <c r="B3747" t="str">
        <f>IFERROR(__xludf.DUMMYFUNCTION("""COMPUTED_VALUE"""),"civ")</f>
        <v>civ</v>
      </c>
      <c r="C3747" t="str">
        <f>IFERROR(__xludf.DUMMYFUNCTION("""COMPUTED_VALUE"""),"Cote d'Ivoire")</f>
        <v>Cote d'Ivoire</v>
      </c>
      <c r="D3747">
        <f>IFERROR(__xludf.DUMMYFUNCTION("""COMPUTED_VALUE"""),1962.0)</f>
        <v>1962</v>
      </c>
      <c r="E3747">
        <f>IFERROR(__xludf.DUMMYFUNCTION("""COMPUTED_VALUE"""),3841071.0)</f>
        <v>3841071</v>
      </c>
    </row>
    <row r="3748">
      <c r="A3748" t="str">
        <f t="shared" si="1"/>
        <v>civ#1963</v>
      </c>
      <c r="B3748" t="str">
        <f>IFERROR(__xludf.DUMMYFUNCTION("""COMPUTED_VALUE"""),"civ")</f>
        <v>civ</v>
      </c>
      <c r="C3748" t="str">
        <f>IFERROR(__xludf.DUMMYFUNCTION("""COMPUTED_VALUE"""),"Cote d'Ivoire")</f>
        <v>Cote d'Ivoire</v>
      </c>
      <c r="D3748">
        <f>IFERROR(__xludf.DUMMYFUNCTION("""COMPUTED_VALUE"""),1963.0)</f>
        <v>1963</v>
      </c>
      <c r="E3748">
        <f>IFERROR(__xludf.DUMMYFUNCTION("""COMPUTED_VALUE"""),3996941.0)</f>
        <v>3996941</v>
      </c>
    </row>
    <row r="3749">
      <c r="A3749" t="str">
        <f t="shared" si="1"/>
        <v>civ#1964</v>
      </c>
      <c r="B3749" t="str">
        <f>IFERROR(__xludf.DUMMYFUNCTION("""COMPUTED_VALUE"""),"civ")</f>
        <v>civ</v>
      </c>
      <c r="C3749" t="str">
        <f>IFERROR(__xludf.DUMMYFUNCTION("""COMPUTED_VALUE"""),"Cote d'Ivoire")</f>
        <v>Cote d'Ivoire</v>
      </c>
      <c r="D3749">
        <f>IFERROR(__xludf.DUMMYFUNCTION("""COMPUTED_VALUE"""),1964.0)</f>
        <v>1964</v>
      </c>
      <c r="E3749">
        <f>IFERROR(__xludf.DUMMYFUNCTION("""COMPUTED_VALUE"""),4157965.0)</f>
        <v>4157965</v>
      </c>
    </row>
    <row r="3750">
      <c r="A3750" t="str">
        <f t="shared" si="1"/>
        <v>civ#1965</v>
      </c>
      <c r="B3750" t="str">
        <f>IFERROR(__xludf.DUMMYFUNCTION("""COMPUTED_VALUE"""),"civ")</f>
        <v>civ</v>
      </c>
      <c r="C3750" t="str">
        <f>IFERROR(__xludf.DUMMYFUNCTION("""COMPUTED_VALUE"""),"Cote d'Ivoire")</f>
        <v>Cote d'Ivoire</v>
      </c>
      <c r="D3750">
        <f>IFERROR(__xludf.DUMMYFUNCTION("""COMPUTED_VALUE"""),1965.0)</f>
        <v>1965</v>
      </c>
      <c r="E3750">
        <f>IFERROR(__xludf.DUMMYFUNCTION("""COMPUTED_VALUE"""),4321791.0)</f>
        <v>4321791</v>
      </c>
    </row>
    <row r="3751">
      <c r="A3751" t="str">
        <f t="shared" si="1"/>
        <v>civ#1966</v>
      </c>
      <c r="B3751" t="str">
        <f>IFERROR(__xludf.DUMMYFUNCTION("""COMPUTED_VALUE"""),"civ")</f>
        <v>civ</v>
      </c>
      <c r="C3751" t="str">
        <f>IFERROR(__xludf.DUMMYFUNCTION("""COMPUTED_VALUE"""),"Cote d'Ivoire")</f>
        <v>Cote d'Ivoire</v>
      </c>
      <c r="D3751">
        <f>IFERROR(__xludf.DUMMYFUNCTION("""COMPUTED_VALUE"""),1966.0)</f>
        <v>1966</v>
      </c>
      <c r="E3751">
        <f>IFERROR(__xludf.DUMMYFUNCTION("""COMPUTED_VALUE"""),4487204.0)</f>
        <v>4487204</v>
      </c>
    </row>
    <row r="3752">
      <c r="A3752" t="str">
        <f t="shared" si="1"/>
        <v>civ#1967</v>
      </c>
      <c r="B3752" t="str">
        <f>IFERROR(__xludf.DUMMYFUNCTION("""COMPUTED_VALUE"""),"civ")</f>
        <v>civ</v>
      </c>
      <c r="C3752" t="str">
        <f>IFERROR(__xludf.DUMMYFUNCTION("""COMPUTED_VALUE"""),"Cote d'Ivoire")</f>
        <v>Cote d'Ivoire</v>
      </c>
      <c r="D3752">
        <f>IFERROR(__xludf.DUMMYFUNCTION("""COMPUTED_VALUE"""),1967.0)</f>
        <v>1967</v>
      </c>
      <c r="E3752">
        <f>IFERROR(__xludf.DUMMYFUNCTION("""COMPUTED_VALUE"""),4656353.0)</f>
        <v>4656353</v>
      </c>
    </row>
    <row r="3753">
      <c r="A3753" t="str">
        <f t="shared" si="1"/>
        <v>civ#1968</v>
      </c>
      <c r="B3753" t="str">
        <f>IFERROR(__xludf.DUMMYFUNCTION("""COMPUTED_VALUE"""),"civ")</f>
        <v>civ</v>
      </c>
      <c r="C3753" t="str">
        <f>IFERROR(__xludf.DUMMYFUNCTION("""COMPUTED_VALUE"""),"Cote d'Ivoire")</f>
        <v>Cote d'Ivoire</v>
      </c>
      <c r="D3753">
        <f>IFERROR(__xludf.DUMMYFUNCTION("""COMPUTED_VALUE"""),1968.0)</f>
        <v>1968</v>
      </c>
      <c r="E3753">
        <f>IFERROR(__xludf.DUMMYFUNCTION("""COMPUTED_VALUE"""),4834279.0)</f>
        <v>4834279</v>
      </c>
    </row>
    <row r="3754">
      <c r="A3754" t="str">
        <f t="shared" si="1"/>
        <v>civ#1969</v>
      </c>
      <c r="B3754" t="str">
        <f>IFERROR(__xludf.DUMMYFUNCTION("""COMPUTED_VALUE"""),"civ")</f>
        <v>civ</v>
      </c>
      <c r="C3754" t="str">
        <f>IFERROR(__xludf.DUMMYFUNCTION("""COMPUTED_VALUE"""),"Cote d'Ivoire")</f>
        <v>Cote d'Ivoire</v>
      </c>
      <c r="D3754">
        <f>IFERROR(__xludf.DUMMYFUNCTION("""COMPUTED_VALUE"""),1969.0)</f>
        <v>1969</v>
      </c>
      <c r="E3754">
        <f>IFERROR(__xludf.DUMMYFUNCTION("""COMPUTED_VALUE"""),5027971.0)</f>
        <v>5027971</v>
      </c>
    </row>
    <row r="3755">
      <c r="A3755" t="str">
        <f t="shared" si="1"/>
        <v>civ#1970</v>
      </c>
      <c r="B3755" t="str">
        <f>IFERROR(__xludf.DUMMYFUNCTION("""COMPUTED_VALUE"""),"civ")</f>
        <v>civ</v>
      </c>
      <c r="C3755" t="str">
        <f>IFERROR(__xludf.DUMMYFUNCTION("""COMPUTED_VALUE"""),"Cote d'Ivoire")</f>
        <v>Cote d'Ivoire</v>
      </c>
      <c r="D3755">
        <f>IFERROR(__xludf.DUMMYFUNCTION("""COMPUTED_VALUE"""),1970.0)</f>
        <v>1970</v>
      </c>
      <c r="E3755">
        <f>IFERROR(__xludf.DUMMYFUNCTION("""COMPUTED_VALUE"""),5242395.0)</f>
        <v>5242395</v>
      </c>
    </row>
    <row r="3756">
      <c r="A3756" t="str">
        <f t="shared" si="1"/>
        <v>civ#1971</v>
      </c>
      <c r="B3756" t="str">
        <f>IFERROR(__xludf.DUMMYFUNCTION("""COMPUTED_VALUE"""),"civ")</f>
        <v>civ</v>
      </c>
      <c r="C3756" t="str">
        <f>IFERROR(__xludf.DUMMYFUNCTION("""COMPUTED_VALUE"""),"Cote d'Ivoire")</f>
        <v>Cote d'Ivoire</v>
      </c>
      <c r="D3756">
        <f>IFERROR(__xludf.DUMMYFUNCTION("""COMPUTED_VALUE"""),1971.0)</f>
        <v>1971</v>
      </c>
      <c r="E3756">
        <f>IFERROR(__xludf.DUMMYFUNCTION("""COMPUTED_VALUE"""),5479338.0)</f>
        <v>5479338</v>
      </c>
    </row>
    <row r="3757">
      <c r="A3757" t="str">
        <f t="shared" si="1"/>
        <v>civ#1972</v>
      </c>
      <c r="B3757" t="str">
        <f>IFERROR(__xludf.DUMMYFUNCTION("""COMPUTED_VALUE"""),"civ")</f>
        <v>civ</v>
      </c>
      <c r="C3757" t="str">
        <f>IFERROR(__xludf.DUMMYFUNCTION("""COMPUTED_VALUE"""),"Cote d'Ivoire")</f>
        <v>Cote d'Ivoire</v>
      </c>
      <c r="D3757">
        <f>IFERROR(__xludf.DUMMYFUNCTION("""COMPUTED_VALUE"""),1972.0)</f>
        <v>1972</v>
      </c>
      <c r="E3757">
        <f>IFERROR(__xludf.DUMMYFUNCTION("""COMPUTED_VALUE"""),5737281.0)</f>
        <v>5737281</v>
      </c>
    </row>
    <row r="3758">
      <c r="A3758" t="str">
        <f t="shared" si="1"/>
        <v>civ#1973</v>
      </c>
      <c r="B3758" t="str">
        <f>IFERROR(__xludf.DUMMYFUNCTION("""COMPUTED_VALUE"""),"civ")</f>
        <v>civ</v>
      </c>
      <c r="C3758" t="str">
        <f>IFERROR(__xludf.DUMMYFUNCTION("""COMPUTED_VALUE"""),"Cote d'Ivoire")</f>
        <v>Cote d'Ivoire</v>
      </c>
      <c r="D3758">
        <f>IFERROR(__xludf.DUMMYFUNCTION("""COMPUTED_VALUE"""),1973.0)</f>
        <v>1973</v>
      </c>
      <c r="E3758">
        <f>IFERROR(__xludf.DUMMYFUNCTION("""COMPUTED_VALUE"""),6013862.0)</f>
        <v>6013862</v>
      </c>
    </row>
    <row r="3759">
      <c r="A3759" t="str">
        <f t="shared" si="1"/>
        <v>civ#1974</v>
      </c>
      <c r="B3759" t="str">
        <f>IFERROR(__xludf.DUMMYFUNCTION("""COMPUTED_VALUE"""),"civ")</f>
        <v>civ</v>
      </c>
      <c r="C3759" t="str">
        <f>IFERROR(__xludf.DUMMYFUNCTION("""COMPUTED_VALUE"""),"Cote d'Ivoire")</f>
        <v>Cote d'Ivoire</v>
      </c>
      <c r="D3759">
        <f>IFERROR(__xludf.DUMMYFUNCTION("""COMPUTED_VALUE"""),1974.0)</f>
        <v>1974</v>
      </c>
      <c r="E3759">
        <f>IFERROR(__xludf.DUMMYFUNCTION("""COMPUTED_VALUE"""),6305287.0)</f>
        <v>6305287</v>
      </c>
    </row>
    <row r="3760">
      <c r="A3760" t="str">
        <f t="shared" si="1"/>
        <v>civ#1975</v>
      </c>
      <c r="B3760" t="str">
        <f>IFERROR(__xludf.DUMMYFUNCTION("""COMPUTED_VALUE"""),"civ")</f>
        <v>civ</v>
      </c>
      <c r="C3760" t="str">
        <f>IFERROR(__xludf.DUMMYFUNCTION("""COMPUTED_VALUE"""),"Cote d'Ivoire")</f>
        <v>Cote d'Ivoire</v>
      </c>
      <c r="D3760">
        <f>IFERROR(__xludf.DUMMYFUNCTION("""COMPUTED_VALUE"""),1975.0)</f>
        <v>1975</v>
      </c>
      <c r="E3760">
        <f>IFERROR(__xludf.DUMMYFUNCTION("""COMPUTED_VALUE"""),6608609.0)</f>
        <v>6608609</v>
      </c>
    </row>
    <row r="3761">
      <c r="A3761" t="str">
        <f t="shared" si="1"/>
        <v>civ#1976</v>
      </c>
      <c r="B3761" t="str">
        <f>IFERROR(__xludf.DUMMYFUNCTION("""COMPUTED_VALUE"""),"civ")</f>
        <v>civ</v>
      </c>
      <c r="C3761" t="str">
        <f>IFERROR(__xludf.DUMMYFUNCTION("""COMPUTED_VALUE"""),"Cote d'Ivoire")</f>
        <v>Cote d'Ivoire</v>
      </c>
      <c r="D3761">
        <f>IFERROR(__xludf.DUMMYFUNCTION("""COMPUTED_VALUE"""),1976.0)</f>
        <v>1976</v>
      </c>
      <c r="E3761">
        <f>IFERROR(__xludf.DUMMYFUNCTION("""COMPUTED_VALUE"""),6922982.0)</f>
        <v>6922982</v>
      </c>
    </row>
    <row r="3762">
      <c r="A3762" t="str">
        <f t="shared" si="1"/>
        <v>civ#1977</v>
      </c>
      <c r="B3762" t="str">
        <f>IFERROR(__xludf.DUMMYFUNCTION("""COMPUTED_VALUE"""),"civ")</f>
        <v>civ</v>
      </c>
      <c r="C3762" t="str">
        <f>IFERROR(__xludf.DUMMYFUNCTION("""COMPUTED_VALUE"""),"Cote d'Ivoire")</f>
        <v>Cote d'Ivoire</v>
      </c>
      <c r="D3762">
        <f>IFERROR(__xludf.DUMMYFUNCTION("""COMPUTED_VALUE"""),1977.0)</f>
        <v>1977</v>
      </c>
      <c r="E3762">
        <f>IFERROR(__xludf.DUMMYFUNCTION("""COMPUTED_VALUE"""),7248828.0)</f>
        <v>7248828</v>
      </c>
    </row>
    <row r="3763">
      <c r="A3763" t="str">
        <f t="shared" si="1"/>
        <v>civ#1978</v>
      </c>
      <c r="B3763" t="str">
        <f>IFERROR(__xludf.DUMMYFUNCTION("""COMPUTED_VALUE"""),"civ")</f>
        <v>civ</v>
      </c>
      <c r="C3763" t="str">
        <f>IFERROR(__xludf.DUMMYFUNCTION("""COMPUTED_VALUE"""),"Cote d'Ivoire")</f>
        <v>Cote d'Ivoire</v>
      </c>
      <c r="D3763">
        <f>IFERROR(__xludf.DUMMYFUNCTION("""COMPUTED_VALUE"""),1978.0)</f>
        <v>1978</v>
      </c>
      <c r="E3763">
        <f>IFERROR(__xludf.DUMMYFUNCTION("""COMPUTED_VALUE"""),7585914.0)</f>
        <v>7585914</v>
      </c>
    </row>
    <row r="3764">
      <c r="A3764" t="str">
        <f t="shared" si="1"/>
        <v>civ#1979</v>
      </c>
      <c r="B3764" t="str">
        <f>IFERROR(__xludf.DUMMYFUNCTION("""COMPUTED_VALUE"""),"civ")</f>
        <v>civ</v>
      </c>
      <c r="C3764" t="str">
        <f>IFERROR(__xludf.DUMMYFUNCTION("""COMPUTED_VALUE"""),"Cote d'Ivoire")</f>
        <v>Cote d'Ivoire</v>
      </c>
      <c r="D3764">
        <f>IFERROR(__xludf.DUMMYFUNCTION("""COMPUTED_VALUE"""),1979.0)</f>
        <v>1979</v>
      </c>
      <c r="E3764">
        <f>IFERROR(__xludf.DUMMYFUNCTION("""COMPUTED_VALUE"""),7934279.0)</f>
        <v>7934279</v>
      </c>
    </row>
    <row r="3765">
      <c r="A3765" t="str">
        <f t="shared" si="1"/>
        <v>civ#1980</v>
      </c>
      <c r="B3765" t="str">
        <f>IFERROR(__xludf.DUMMYFUNCTION("""COMPUTED_VALUE"""),"civ")</f>
        <v>civ</v>
      </c>
      <c r="C3765" t="str">
        <f>IFERROR(__xludf.DUMMYFUNCTION("""COMPUTED_VALUE"""),"Cote d'Ivoire")</f>
        <v>Cote d'Ivoire</v>
      </c>
      <c r="D3765">
        <f>IFERROR(__xludf.DUMMYFUNCTION("""COMPUTED_VALUE"""),1980.0)</f>
        <v>1980</v>
      </c>
      <c r="E3765">
        <f>IFERROR(__xludf.DUMMYFUNCTION("""COMPUTED_VALUE"""),8293675.0)</f>
        <v>8293675</v>
      </c>
    </row>
    <row r="3766">
      <c r="A3766" t="str">
        <f t="shared" si="1"/>
        <v>civ#1981</v>
      </c>
      <c r="B3766" t="str">
        <f>IFERROR(__xludf.DUMMYFUNCTION("""COMPUTED_VALUE"""),"civ")</f>
        <v>civ</v>
      </c>
      <c r="C3766" t="str">
        <f>IFERROR(__xludf.DUMMYFUNCTION("""COMPUTED_VALUE"""),"Cote d'Ivoire")</f>
        <v>Cote d'Ivoire</v>
      </c>
      <c r="D3766">
        <f>IFERROR(__xludf.DUMMYFUNCTION("""COMPUTED_VALUE"""),1981.0)</f>
        <v>1981</v>
      </c>
      <c r="E3766">
        <f>IFERROR(__xludf.DUMMYFUNCTION("""COMPUTED_VALUE"""),8664057.0)</f>
        <v>8664057</v>
      </c>
    </row>
    <row r="3767">
      <c r="A3767" t="str">
        <f t="shared" si="1"/>
        <v>civ#1982</v>
      </c>
      <c r="B3767" t="str">
        <f>IFERROR(__xludf.DUMMYFUNCTION("""COMPUTED_VALUE"""),"civ")</f>
        <v>civ</v>
      </c>
      <c r="C3767" t="str">
        <f>IFERROR(__xludf.DUMMYFUNCTION("""COMPUTED_VALUE"""),"Cote d'Ivoire")</f>
        <v>Cote d'Ivoire</v>
      </c>
      <c r="D3767">
        <f>IFERROR(__xludf.DUMMYFUNCTION("""COMPUTED_VALUE"""),1982.0)</f>
        <v>1982</v>
      </c>
      <c r="E3767">
        <f>IFERROR(__xludf.DUMMYFUNCTION("""COMPUTED_VALUE"""),9044473.0)</f>
        <v>9044473</v>
      </c>
    </row>
    <row r="3768">
      <c r="A3768" t="str">
        <f t="shared" si="1"/>
        <v>civ#1983</v>
      </c>
      <c r="B3768" t="str">
        <f>IFERROR(__xludf.DUMMYFUNCTION("""COMPUTED_VALUE"""),"civ")</f>
        <v>civ</v>
      </c>
      <c r="C3768" t="str">
        <f>IFERROR(__xludf.DUMMYFUNCTION("""COMPUTED_VALUE"""),"Cote d'Ivoire")</f>
        <v>Cote d'Ivoire</v>
      </c>
      <c r="D3768">
        <f>IFERROR(__xludf.DUMMYFUNCTION("""COMPUTED_VALUE"""),1983.0)</f>
        <v>1983</v>
      </c>
      <c r="E3768">
        <f>IFERROR(__xludf.DUMMYFUNCTION("""COMPUTED_VALUE"""),9432731.0)</f>
        <v>9432731</v>
      </c>
    </row>
    <row r="3769">
      <c r="A3769" t="str">
        <f t="shared" si="1"/>
        <v>civ#1984</v>
      </c>
      <c r="B3769" t="str">
        <f>IFERROR(__xludf.DUMMYFUNCTION("""COMPUTED_VALUE"""),"civ")</f>
        <v>civ</v>
      </c>
      <c r="C3769" t="str">
        <f>IFERROR(__xludf.DUMMYFUNCTION("""COMPUTED_VALUE"""),"Cote d'Ivoire")</f>
        <v>Cote d'Ivoire</v>
      </c>
      <c r="D3769">
        <f>IFERROR(__xludf.DUMMYFUNCTION("""COMPUTED_VALUE"""),1984.0)</f>
        <v>1984</v>
      </c>
      <c r="E3769">
        <f>IFERROR(__xludf.DUMMYFUNCTION("""COMPUTED_VALUE"""),9826055.0)</f>
        <v>9826055</v>
      </c>
    </row>
    <row r="3770">
      <c r="A3770" t="str">
        <f t="shared" si="1"/>
        <v>civ#1985</v>
      </c>
      <c r="B3770" t="str">
        <f>IFERROR(__xludf.DUMMYFUNCTION("""COMPUTED_VALUE"""),"civ")</f>
        <v>civ</v>
      </c>
      <c r="C3770" t="str">
        <f>IFERROR(__xludf.DUMMYFUNCTION("""COMPUTED_VALUE"""),"Cote d'Ivoire")</f>
        <v>Cote d'Ivoire</v>
      </c>
      <c r="D3770">
        <f>IFERROR(__xludf.DUMMYFUNCTION("""COMPUTED_VALUE"""),1985.0)</f>
        <v>1985</v>
      </c>
      <c r="E3770">
        <f>IFERROR(__xludf.DUMMYFUNCTION("""COMPUTED_VALUE"""),1.0222558E7)</f>
        <v>10222558</v>
      </c>
    </row>
    <row r="3771">
      <c r="A3771" t="str">
        <f t="shared" si="1"/>
        <v>civ#1986</v>
      </c>
      <c r="B3771" t="str">
        <f>IFERROR(__xludf.DUMMYFUNCTION("""COMPUTED_VALUE"""),"civ")</f>
        <v>civ</v>
      </c>
      <c r="C3771" t="str">
        <f>IFERROR(__xludf.DUMMYFUNCTION("""COMPUTED_VALUE"""),"Cote d'Ivoire")</f>
        <v>Cote d'Ivoire</v>
      </c>
      <c r="D3771">
        <f>IFERROR(__xludf.DUMMYFUNCTION("""COMPUTED_VALUE"""),1986.0)</f>
        <v>1986</v>
      </c>
      <c r="E3771">
        <f>IFERROR(__xludf.DUMMYFUNCTION("""COMPUTED_VALUE"""),1.0620267E7)</f>
        <v>10620267</v>
      </c>
    </row>
    <row r="3772">
      <c r="A3772" t="str">
        <f t="shared" si="1"/>
        <v>civ#1987</v>
      </c>
      <c r="B3772" t="str">
        <f>IFERROR(__xludf.DUMMYFUNCTION("""COMPUTED_VALUE"""),"civ")</f>
        <v>civ</v>
      </c>
      <c r="C3772" t="str">
        <f>IFERROR(__xludf.DUMMYFUNCTION("""COMPUTED_VALUE"""),"Cote d'Ivoire")</f>
        <v>Cote d'Ivoire</v>
      </c>
      <c r="D3772">
        <f>IFERROR(__xludf.DUMMYFUNCTION("""COMPUTED_VALUE"""),1987.0)</f>
        <v>1987</v>
      </c>
      <c r="E3772">
        <f>IFERROR(__xludf.DUMMYFUNCTION("""COMPUTED_VALUE"""),1.1019651E7)</f>
        <v>11019651</v>
      </c>
    </row>
    <row r="3773">
      <c r="A3773" t="str">
        <f t="shared" si="1"/>
        <v>civ#1988</v>
      </c>
      <c r="B3773" t="str">
        <f>IFERROR(__xludf.DUMMYFUNCTION("""COMPUTED_VALUE"""),"civ")</f>
        <v>civ</v>
      </c>
      <c r="C3773" t="str">
        <f>IFERROR(__xludf.DUMMYFUNCTION("""COMPUTED_VALUE"""),"Cote d'Ivoire")</f>
        <v>Cote d'Ivoire</v>
      </c>
      <c r="D3773">
        <f>IFERROR(__xludf.DUMMYFUNCTION("""COMPUTED_VALUE"""),1988.0)</f>
        <v>1988</v>
      </c>
      <c r="E3773">
        <f>IFERROR(__xludf.DUMMYFUNCTION("""COMPUTED_VALUE"""),1.142426E7)</f>
        <v>11424260</v>
      </c>
    </row>
    <row r="3774">
      <c r="A3774" t="str">
        <f t="shared" si="1"/>
        <v>civ#1989</v>
      </c>
      <c r="B3774" t="str">
        <f>IFERROR(__xludf.DUMMYFUNCTION("""COMPUTED_VALUE"""),"civ")</f>
        <v>civ</v>
      </c>
      <c r="C3774" t="str">
        <f>IFERROR(__xludf.DUMMYFUNCTION("""COMPUTED_VALUE"""),"Cote d'Ivoire")</f>
        <v>Cote d'Ivoire</v>
      </c>
      <c r="D3774">
        <f>IFERROR(__xludf.DUMMYFUNCTION("""COMPUTED_VALUE"""),1989.0)</f>
        <v>1989</v>
      </c>
      <c r="E3774">
        <f>IFERROR(__xludf.DUMMYFUNCTION("""COMPUTED_VALUE"""),1.1839243E7)</f>
        <v>11839243</v>
      </c>
    </row>
    <row r="3775">
      <c r="A3775" t="str">
        <f t="shared" si="1"/>
        <v>civ#1990</v>
      </c>
      <c r="B3775" t="str">
        <f>IFERROR(__xludf.DUMMYFUNCTION("""COMPUTED_VALUE"""),"civ")</f>
        <v>civ</v>
      </c>
      <c r="C3775" t="str">
        <f>IFERROR(__xludf.DUMMYFUNCTION("""COMPUTED_VALUE"""),"Cote d'Ivoire")</f>
        <v>Cote d'Ivoire</v>
      </c>
      <c r="D3775">
        <f>IFERROR(__xludf.DUMMYFUNCTION("""COMPUTED_VALUE"""),1990.0)</f>
        <v>1990</v>
      </c>
      <c r="E3775">
        <f>IFERROR(__xludf.DUMMYFUNCTION("""COMPUTED_VALUE"""),1.2267754E7)</f>
        <v>12267754</v>
      </c>
    </row>
    <row r="3776">
      <c r="A3776" t="str">
        <f t="shared" si="1"/>
        <v>civ#1991</v>
      </c>
      <c r="B3776" t="str">
        <f>IFERROR(__xludf.DUMMYFUNCTION("""COMPUTED_VALUE"""),"civ")</f>
        <v>civ</v>
      </c>
      <c r="C3776" t="str">
        <f>IFERROR(__xludf.DUMMYFUNCTION("""COMPUTED_VALUE"""),"Cote d'Ivoire")</f>
        <v>Cote d'Ivoire</v>
      </c>
      <c r="D3776">
        <f>IFERROR(__xludf.DUMMYFUNCTION("""COMPUTED_VALUE"""),1991.0)</f>
        <v>1991</v>
      </c>
      <c r="E3776">
        <f>IFERROR(__xludf.DUMMYFUNCTION("""COMPUTED_VALUE"""),1.2710008E7)</f>
        <v>12710008</v>
      </c>
    </row>
    <row r="3777">
      <c r="A3777" t="str">
        <f t="shared" si="1"/>
        <v>civ#1992</v>
      </c>
      <c r="B3777" t="str">
        <f>IFERROR(__xludf.DUMMYFUNCTION("""COMPUTED_VALUE"""),"civ")</f>
        <v>civ</v>
      </c>
      <c r="C3777" t="str">
        <f>IFERROR(__xludf.DUMMYFUNCTION("""COMPUTED_VALUE"""),"Cote d'Ivoire")</f>
        <v>Cote d'Ivoire</v>
      </c>
      <c r="D3777">
        <f>IFERROR(__xludf.DUMMYFUNCTION("""COMPUTED_VALUE"""),1992.0)</f>
        <v>1992</v>
      </c>
      <c r="E3777">
        <f>IFERROR(__xludf.DUMMYFUNCTION("""COMPUTED_VALUE"""),1.3163019E7)</f>
        <v>13163019</v>
      </c>
    </row>
    <row r="3778">
      <c r="A3778" t="str">
        <f t="shared" si="1"/>
        <v>civ#1993</v>
      </c>
      <c r="B3778" t="str">
        <f>IFERROR(__xludf.DUMMYFUNCTION("""COMPUTED_VALUE"""),"civ")</f>
        <v>civ</v>
      </c>
      <c r="C3778" t="str">
        <f>IFERROR(__xludf.DUMMYFUNCTION("""COMPUTED_VALUE"""),"Cote d'Ivoire")</f>
        <v>Cote d'Ivoire</v>
      </c>
      <c r="D3778">
        <f>IFERROR(__xludf.DUMMYFUNCTION("""COMPUTED_VALUE"""),1993.0)</f>
        <v>1993</v>
      </c>
      <c r="E3778">
        <f>IFERROR(__xludf.DUMMYFUNCTION("""COMPUTED_VALUE"""),1.3622731E7)</f>
        <v>13622731</v>
      </c>
    </row>
    <row r="3779">
      <c r="A3779" t="str">
        <f t="shared" si="1"/>
        <v>civ#1994</v>
      </c>
      <c r="B3779" t="str">
        <f>IFERROR(__xludf.DUMMYFUNCTION("""COMPUTED_VALUE"""),"civ")</f>
        <v>civ</v>
      </c>
      <c r="C3779" t="str">
        <f>IFERROR(__xludf.DUMMYFUNCTION("""COMPUTED_VALUE"""),"Cote d'Ivoire")</f>
        <v>Cote d'Ivoire</v>
      </c>
      <c r="D3779">
        <f>IFERROR(__xludf.DUMMYFUNCTION("""COMPUTED_VALUE"""),1994.0)</f>
        <v>1994</v>
      </c>
      <c r="E3779">
        <f>IFERROR(__xludf.DUMMYFUNCTION("""COMPUTED_VALUE"""),1.4083611E7)</f>
        <v>14083611</v>
      </c>
    </row>
    <row r="3780">
      <c r="A3780" t="str">
        <f t="shared" si="1"/>
        <v>civ#1995</v>
      </c>
      <c r="B3780" t="str">
        <f>IFERROR(__xludf.DUMMYFUNCTION("""COMPUTED_VALUE"""),"civ")</f>
        <v>civ</v>
      </c>
      <c r="C3780" t="str">
        <f>IFERROR(__xludf.DUMMYFUNCTION("""COMPUTED_VALUE"""),"Cote d'Ivoire")</f>
        <v>Cote d'Ivoire</v>
      </c>
      <c r="D3780">
        <f>IFERROR(__xludf.DUMMYFUNCTION("""COMPUTED_VALUE"""),1995.0)</f>
        <v>1995</v>
      </c>
      <c r="E3780">
        <f>IFERROR(__xludf.DUMMYFUNCTION("""COMPUTED_VALUE"""),1.454082E7)</f>
        <v>14540820</v>
      </c>
    </row>
    <row r="3781">
      <c r="A3781" t="str">
        <f t="shared" si="1"/>
        <v>civ#1996</v>
      </c>
      <c r="B3781" t="str">
        <f>IFERROR(__xludf.DUMMYFUNCTION("""COMPUTED_VALUE"""),"civ")</f>
        <v>civ</v>
      </c>
      <c r="C3781" t="str">
        <f>IFERROR(__xludf.DUMMYFUNCTION("""COMPUTED_VALUE"""),"Cote d'Ivoire")</f>
        <v>Cote d'Ivoire</v>
      </c>
      <c r="D3781">
        <f>IFERROR(__xludf.DUMMYFUNCTION("""COMPUTED_VALUE"""),1996.0)</f>
        <v>1996</v>
      </c>
      <c r="E3781">
        <f>IFERROR(__xludf.DUMMYFUNCTION("""COMPUTED_VALUE"""),1.4995249E7)</f>
        <v>14995249</v>
      </c>
    </row>
    <row r="3782">
      <c r="A3782" t="str">
        <f t="shared" si="1"/>
        <v>civ#1997</v>
      </c>
      <c r="B3782" t="str">
        <f>IFERROR(__xludf.DUMMYFUNCTION("""COMPUTED_VALUE"""),"civ")</f>
        <v>civ</v>
      </c>
      <c r="C3782" t="str">
        <f>IFERROR(__xludf.DUMMYFUNCTION("""COMPUTED_VALUE"""),"Cote d'Ivoire")</f>
        <v>Cote d'Ivoire</v>
      </c>
      <c r="D3782">
        <f>IFERROR(__xludf.DUMMYFUNCTION("""COMPUTED_VALUE"""),1997.0)</f>
        <v>1997</v>
      </c>
      <c r="E3782">
        <f>IFERROR(__xludf.DUMMYFUNCTION("""COMPUTED_VALUE"""),1.5445986E7)</f>
        <v>15445986</v>
      </c>
    </row>
    <row r="3783">
      <c r="A3783" t="str">
        <f t="shared" si="1"/>
        <v>civ#1998</v>
      </c>
      <c r="B3783" t="str">
        <f>IFERROR(__xludf.DUMMYFUNCTION("""COMPUTED_VALUE"""),"civ")</f>
        <v>civ</v>
      </c>
      <c r="C3783" t="str">
        <f>IFERROR(__xludf.DUMMYFUNCTION("""COMPUTED_VALUE"""),"Cote d'Ivoire")</f>
        <v>Cote d'Ivoire</v>
      </c>
      <c r="D3783">
        <f>IFERROR(__xludf.DUMMYFUNCTION("""COMPUTED_VALUE"""),1998.0)</f>
        <v>1998</v>
      </c>
      <c r="E3783">
        <f>IFERROR(__xludf.DUMMYFUNCTION("""COMPUTED_VALUE"""),1.5884552E7)</f>
        <v>15884552</v>
      </c>
    </row>
    <row r="3784">
      <c r="A3784" t="str">
        <f t="shared" si="1"/>
        <v>civ#1999</v>
      </c>
      <c r="B3784" t="str">
        <f>IFERROR(__xludf.DUMMYFUNCTION("""COMPUTED_VALUE"""),"civ")</f>
        <v>civ</v>
      </c>
      <c r="C3784" t="str">
        <f>IFERROR(__xludf.DUMMYFUNCTION("""COMPUTED_VALUE"""),"Cote d'Ivoire")</f>
        <v>Cote d'Ivoire</v>
      </c>
      <c r="D3784">
        <f>IFERROR(__xludf.DUMMYFUNCTION("""COMPUTED_VALUE"""),1999.0)</f>
        <v>1999</v>
      </c>
      <c r="E3784">
        <f>IFERROR(__xludf.DUMMYFUNCTION("""COMPUTED_VALUE"""),1.6300233E7)</f>
        <v>16300233</v>
      </c>
    </row>
    <row r="3785">
      <c r="A3785" t="str">
        <f t="shared" si="1"/>
        <v>civ#2000</v>
      </c>
      <c r="B3785" t="str">
        <f>IFERROR(__xludf.DUMMYFUNCTION("""COMPUTED_VALUE"""),"civ")</f>
        <v>civ</v>
      </c>
      <c r="C3785" t="str">
        <f>IFERROR(__xludf.DUMMYFUNCTION("""COMPUTED_VALUE"""),"Cote d'Ivoire")</f>
        <v>Cote d'Ivoire</v>
      </c>
      <c r="D3785">
        <f>IFERROR(__xludf.DUMMYFUNCTION("""COMPUTED_VALUE"""),2000.0)</f>
        <v>2000</v>
      </c>
      <c r="E3785">
        <f>IFERROR(__xludf.DUMMYFUNCTION("""COMPUTED_VALUE"""),1.6686561E7)</f>
        <v>16686561</v>
      </c>
    </row>
    <row r="3786">
      <c r="A3786" t="str">
        <f t="shared" si="1"/>
        <v>civ#2001</v>
      </c>
      <c r="B3786" t="str">
        <f>IFERROR(__xludf.DUMMYFUNCTION("""COMPUTED_VALUE"""),"civ")</f>
        <v>civ</v>
      </c>
      <c r="C3786" t="str">
        <f>IFERROR(__xludf.DUMMYFUNCTION("""COMPUTED_VALUE"""),"Cote d'Ivoire")</f>
        <v>Cote d'Ivoire</v>
      </c>
      <c r="D3786">
        <f>IFERROR(__xludf.DUMMYFUNCTION("""COMPUTED_VALUE"""),2001.0)</f>
        <v>2001</v>
      </c>
      <c r="E3786">
        <f>IFERROR(__xludf.DUMMYFUNCTION("""COMPUTED_VALUE"""),1.7040152E7)</f>
        <v>17040152</v>
      </c>
    </row>
    <row r="3787">
      <c r="A3787" t="str">
        <f t="shared" si="1"/>
        <v>civ#2002</v>
      </c>
      <c r="B3787" t="str">
        <f>IFERROR(__xludf.DUMMYFUNCTION("""COMPUTED_VALUE"""),"civ")</f>
        <v>civ</v>
      </c>
      <c r="C3787" t="str">
        <f>IFERROR(__xludf.DUMMYFUNCTION("""COMPUTED_VALUE"""),"Cote d'Ivoire")</f>
        <v>Cote d'Ivoire</v>
      </c>
      <c r="D3787">
        <f>IFERROR(__xludf.DUMMYFUNCTION("""COMPUTED_VALUE"""),2002.0)</f>
        <v>2002</v>
      </c>
      <c r="E3787">
        <f>IFERROR(__xludf.DUMMYFUNCTION("""COMPUTED_VALUE"""),1.7366517E7)</f>
        <v>17366517</v>
      </c>
    </row>
    <row r="3788">
      <c r="A3788" t="str">
        <f t="shared" si="1"/>
        <v>civ#2003</v>
      </c>
      <c r="B3788" t="str">
        <f>IFERROR(__xludf.DUMMYFUNCTION("""COMPUTED_VALUE"""),"civ")</f>
        <v>civ</v>
      </c>
      <c r="C3788" t="str">
        <f>IFERROR(__xludf.DUMMYFUNCTION("""COMPUTED_VALUE"""),"Cote d'Ivoire")</f>
        <v>Cote d'Ivoire</v>
      </c>
      <c r="D3788">
        <f>IFERROR(__xludf.DUMMYFUNCTION("""COMPUTED_VALUE"""),2003.0)</f>
        <v>2003</v>
      </c>
      <c r="E3788">
        <f>IFERROR(__xludf.DUMMYFUNCTION("""COMPUTED_VALUE"""),1.7679355E7)</f>
        <v>17679355</v>
      </c>
    </row>
    <row r="3789">
      <c r="A3789" t="str">
        <f t="shared" si="1"/>
        <v>civ#2004</v>
      </c>
      <c r="B3789" t="str">
        <f>IFERROR(__xludf.DUMMYFUNCTION("""COMPUTED_VALUE"""),"civ")</f>
        <v>civ</v>
      </c>
      <c r="C3789" t="str">
        <f>IFERROR(__xludf.DUMMYFUNCTION("""COMPUTED_VALUE"""),"Cote d'Ivoire")</f>
        <v>Cote d'Ivoire</v>
      </c>
      <c r="D3789">
        <f>IFERROR(__xludf.DUMMYFUNCTION("""COMPUTED_VALUE"""),2004.0)</f>
        <v>2004</v>
      </c>
      <c r="E3789">
        <f>IFERROR(__xludf.DUMMYFUNCTION("""COMPUTED_VALUE"""),1.7997738E7)</f>
        <v>17997738</v>
      </c>
    </row>
    <row r="3790">
      <c r="A3790" t="str">
        <f t="shared" si="1"/>
        <v>civ#2005</v>
      </c>
      <c r="B3790" t="str">
        <f>IFERROR(__xludf.DUMMYFUNCTION("""COMPUTED_VALUE"""),"civ")</f>
        <v>civ</v>
      </c>
      <c r="C3790" t="str">
        <f>IFERROR(__xludf.DUMMYFUNCTION("""COMPUTED_VALUE"""),"Cote d'Ivoire")</f>
        <v>Cote d'Ivoire</v>
      </c>
      <c r="D3790">
        <f>IFERROR(__xludf.DUMMYFUNCTION("""COMPUTED_VALUE"""),2005.0)</f>
        <v>2005</v>
      </c>
      <c r="E3790">
        <f>IFERROR(__xludf.DUMMYFUNCTION("""COMPUTED_VALUE"""),1.8336303E7)</f>
        <v>18336303</v>
      </c>
    </row>
    <row r="3791">
      <c r="A3791" t="str">
        <f t="shared" si="1"/>
        <v>civ#2006</v>
      </c>
      <c r="B3791" t="str">
        <f>IFERROR(__xludf.DUMMYFUNCTION("""COMPUTED_VALUE"""),"civ")</f>
        <v>civ</v>
      </c>
      <c r="C3791" t="str">
        <f>IFERROR(__xludf.DUMMYFUNCTION("""COMPUTED_VALUE"""),"Cote d'Ivoire")</f>
        <v>Cote d'Ivoire</v>
      </c>
      <c r="D3791">
        <f>IFERROR(__xludf.DUMMYFUNCTION("""COMPUTED_VALUE"""),2006.0)</f>
        <v>2006</v>
      </c>
      <c r="E3791">
        <f>IFERROR(__xludf.DUMMYFUNCTION("""COMPUTED_VALUE"""),1.8699435E7)</f>
        <v>18699435</v>
      </c>
    </row>
    <row r="3792">
      <c r="A3792" t="str">
        <f t="shared" si="1"/>
        <v>civ#2007</v>
      </c>
      <c r="B3792" t="str">
        <f>IFERROR(__xludf.DUMMYFUNCTION("""COMPUTED_VALUE"""),"civ")</f>
        <v>civ</v>
      </c>
      <c r="C3792" t="str">
        <f>IFERROR(__xludf.DUMMYFUNCTION("""COMPUTED_VALUE"""),"Cote d'Ivoire")</f>
        <v>Cote d'Ivoire</v>
      </c>
      <c r="D3792">
        <f>IFERROR(__xludf.DUMMYFUNCTION("""COMPUTED_VALUE"""),2007.0)</f>
        <v>2007</v>
      </c>
      <c r="E3792">
        <f>IFERROR(__xludf.DUMMYFUNCTION("""COMPUTED_VALUE"""),1.9085941E7)</f>
        <v>19085941</v>
      </c>
    </row>
    <row r="3793">
      <c r="A3793" t="str">
        <f t="shared" si="1"/>
        <v>civ#2008</v>
      </c>
      <c r="B3793" t="str">
        <f>IFERROR(__xludf.DUMMYFUNCTION("""COMPUTED_VALUE"""),"civ")</f>
        <v>civ</v>
      </c>
      <c r="C3793" t="str">
        <f>IFERROR(__xludf.DUMMYFUNCTION("""COMPUTED_VALUE"""),"Cote d'Ivoire")</f>
        <v>Cote d'Ivoire</v>
      </c>
      <c r="D3793">
        <f>IFERROR(__xludf.DUMMYFUNCTION("""COMPUTED_VALUE"""),2008.0)</f>
        <v>2008</v>
      </c>
      <c r="E3793">
        <f>IFERROR(__xludf.DUMMYFUNCTION("""COMPUTED_VALUE"""),1.9497986E7)</f>
        <v>19497986</v>
      </c>
    </row>
    <row r="3794">
      <c r="A3794" t="str">
        <f t="shared" si="1"/>
        <v>civ#2009</v>
      </c>
      <c r="B3794" t="str">
        <f>IFERROR(__xludf.DUMMYFUNCTION("""COMPUTED_VALUE"""),"civ")</f>
        <v>civ</v>
      </c>
      <c r="C3794" t="str">
        <f>IFERROR(__xludf.DUMMYFUNCTION("""COMPUTED_VALUE"""),"Cote d'Ivoire")</f>
        <v>Cote d'Ivoire</v>
      </c>
      <c r="D3794">
        <f>IFERROR(__xludf.DUMMYFUNCTION("""COMPUTED_VALUE"""),2009.0)</f>
        <v>2009</v>
      </c>
      <c r="E3794">
        <f>IFERROR(__xludf.DUMMYFUNCTION("""COMPUTED_VALUE"""),1.9936366E7)</f>
        <v>19936366</v>
      </c>
    </row>
    <row r="3795">
      <c r="A3795" t="str">
        <f t="shared" si="1"/>
        <v>civ#2010</v>
      </c>
      <c r="B3795" t="str">
        <f>IFERROR(__xludf.DUMMYFUNCTION("""COMPUTED_VALUE"""),"civ")</f>
        <v>civ</v>
      </c>
      <c r="C3795" t="str">
        <f>IFERROR(__xludf.DUMMYFUNCTION("""COMPUTED_VALUE"""),"Cote d'Ivoire")</f>
        <v>Cote d'Ivoire</v>
      </c>
      <c r="D3795">
        <f>IFERROR(__xludf.DUMMYFUNCTION("""COMPUTED_VALUE"""),2010.0)</f>
        <v>2010</v>
      </c>
      <c r="E3795">
        <f>IFERROR(__xludf.DUMMYFUNCTION("""COMPUTED_VALUE"""),2.0401331E7)</f>
        <v>20401331</v>
      </c>
    </row>
    <row r="3796">
      <c r="A3796" t="str">
        <f t="shared" si="1"/>
        <v>civ#2011</v>
      </c>
      <c r="B3796" t="str">
        <f>IFERROR(__xludf.DUMMYFUNCTION("""COMPUTED_VALUE"""),"civ")</f>
        <v>civ</v>
      </c>
      <c r="C3796" t="str">
        <f>IFERROR(__xludf.DUMMYFUNCTION("""COMPUTED_VALUE"""),"Cote d'Ivoire")</f>
        <v>Cote d'Ivoire</v>
      </c>
      <c r="D3796">
        <f>IFERROR(__xludf.DUMMYFUNCTION("""COMPUTED_VALUE"""),2011.0)</f>
        <v>2011</v>
      </c>
      <c r="E3796">
        <f>IFERROR(__xludf.DUMMYFUNCTION("""COMPUTED_VALUE"""),2.0895311E7)</f>
        <v>20895311</v>
      </c>
    </row>
    <row r="3797">
      <c r="A3797" t="str">
        <f t="shared" si="1"/>
        <v>civ#2012</v>
      </c>
      <c r="B3797" t="str">
        <f>IFERROR(__xludf.DUMMYFUNCTION("""COMPUTED_VALUE"""),"civ")</f>
        <v>civ</v>
      </c>
      <c r="C3797" t="str">
        <f>IFERROR(__xludf.DUMMYFUNCTION("""COMPUTED_VALUE"""),"Cote d'Ivoire")</f>
        <v>Cote d'Ivoire</v>
      </c>
      <c r="D3797">
        <f>IFERROR(__xludf.DUMMYFUNCTION("""COMPUTED_VALUE"""),2012.0)</f>
        <v>2012</v>
      </c>
      <c r="E3797">
        <f>IFERROR(__xludf.DUMMYFUNCTION("""COMPUTED_VALUE"""),2.1418603E7)</f>
        <v>21418603</v>
      </c>
    </row>
    <row r="3798">
      <c r="A3798" t="str">
        <f t="shared" si="1"/>
        <v>civ#2013</v>
      </c>
      <c r="B3798" t="str">
        <f>IFERROR(__xludf.DUMMYFUNCTION("""COMPUTED_VALUE"""),"civ")</f>
        <v>civ</v>
      </c>
      <c r="C3798" t="str">
        <f>IFERROR(__xludf.DUMMYFUNCTION("""COMPUTED_VALUE"""),"Cote d'Ivoire")</f>
        <v>Cote d'Ivoire</v>
      </c>
      <c r="D3798">
        <f>IFERROR(__xludf.DUMMYFUNCTION("""COMPUTED_VALUE"""),2013.0)</f>
        <v>2013</v>
      </c>
      <c r="E3798">
        <f>IFERROR(__xludf.DUMMYFUNCTION("""COMPUTED_VALUE"""),2.1966312E7)</f>
        <v>21966312</v>
      </c>
    </row>
    <row r="3799">
      <c r="A3799" t="str">
        <f t="shared" si="1"/>
        <v>civ#2014</v>
      </c>
      <c r="B3799" t="str">
        <f>IFERROR(__xludf.DUMMYFUNCTION("""COMPUTED_VALUE"""),"civ")</f>
        <v>civ</v>
      </c>
      <c r="C3799" t="str">
        <f>IFERROR(__xludf.DUMMYFUNCTION("""COMPUTED_VALUE"""),"Cote d'Ivoire")</f>
        <v>Cote d'Ivoire</v>
      </c>
      <c r="D3799">
        <f>IFERROR(__xludf.DUMMYFUNCTION("""COMPUTED_VALUE"""),2014.0)</f>
        <v>2014</v>
      </c>
      <c r="E3799">
        <f>IFERROR(__xludf.DUMMYFUNCTION("""COMPUTED_VALUE"""),2.253135E7)</f>
        <v>22531350</v>
      </c>
    </row>
    <row r="3800">
      <c r="A3800" t="str">
        <f t="shared" si="1"/>
        <v>civ#2015</v>
      </c>
      <c r="B3800" t="str">
        <f>IFERROR(__xludf.DUMMYFUNCTION("""COMPUTED_VALUE"""),"civ")</f>
        <v>civ</v>
      </c>
      <c r="C3800" t="str">
        <f>IFERROR(__xludf.DUMMYFUNCTION("""COMPUTED_VALUE"""),"Cote d'Ivoire")</f>
        <v>Cote d'Ivoire</v>
      </c>
      <c r="D3800">
        <f>IFERROR(__xludf.DUMMYFUNCTION("""COMPUTED_VALUE"""),2015.0)</f>
        <v>2015</v>
      </c>
      <c r="E3800">
        <f>IFERROR(__xludf.DUMMYFUNCTION("""COMPUTED_VALUE"""),2.3108472E7)</f>
        <v>23108472</v>
      </c>
    </row>
    <row r="3801">
      <c r="A3801" t="str">
        <f t="shared" si="1"/>
        <v>civ#2016</v>
      </c>
      <c r="B3801" t="str">
        <f>IFERROR(__xludf.DUMMYFUNCTION("""COMPUTED_VALUE"""),"civ")</f>
        <v>civ</v>
      </c>
      <c r="C3801" t="str">
        <f>IFERROR(__xludf.DUMMYFUNCTION("""COMPUTED_VALUE"""),"Cote d'Ivoire")</f>
        <v>Cote d'Ivoire</v>
      </c>
      <c r="D3801">
        <f>IFERROR(__xludf.DUMMYFUNCTION("""COMPUTED_VALUE"""),2016.0)</f>
        <v>2016</v>
      </c>
      <c r="E3801">
        <f>IFERROR(__xludf.DUMMYFUNCTION("""COMPUTED_VALUE"""),2.3695919E7)</f>
        <v>23695919</v>
      </c>
    </row>
    <row r="3802">
      <c r="A3802" t="str">
        <f t="shared" si="1"/>
        <v>civ#2017</v>
      </c>
      <c r="B3802" t="str">
        <f>IFERROR(__xludf.DUMMYFUNCTION("""COMPUTED_VALUE"""),"civ")</f>
        <v>civ</v>
      </c>
      <c r="C3802" t="str">
        <f>IFERROR(__xludf.DUMMYFUNCTION("""COMPUTED_VALUE"""),"Cote d'Ivoire")</f>
        <v>Cote d'Ivoire</v>
      </c>
      <c r="D3802">
        <f>IFERROR(__xludf.DUMMYFUNCTION("""COMPUTED_VALUE"""),2017.0)</f>
        <v>2017</v>
      </c>
      <c r="E3802">
        <f>IFERROR(__xludf.DUMMYFUNCTION("""COMPUTED_VALUE"""),2.429475E7)</f>
        <v>24294750</v>
      </c>
    </row>
    <row r="3803">
      <c r="A3803" t="str">
        <f t="shared" si="1"/>
        <v>civ#2018</v>
      </c>
      <c r="B3803" t="str">
        <f>IFERROR(__xludf.DUMMYFUNCTION("""COMPUTED_VALUE"""),"civ")</f>
        <v>civ</v>
      </c>
      <c r="C3803" t="str">
        <f>IFERROR(__xludf.DUMMYFUNCTION("""COMPUTED_VALUE"""),"Cote d'Ivoire")</f>
        <v>Cote d'Ivoire</v>
      </c>
      <c r="D3803">
        <f>IFERROR(__xludf.DUMMYFUNCTION("""COMPUTED_VALUE"""),2018.0)</f>
        <v>2018</v>
      </c>
      <c r="E3803">
        <f>IFERROR(__xludf.DUMMYFUNCTION("""COMPUTED_VALUE"""),2.4905843E7)</f>
        <v>24905843</v>
      </c>
    </row>
    <row r="3804">
      <c r="A3804" t="str">
        <f t="shared" si="1"/>
        <v>civ#2019</v>
      </c>
      <c r="B3804" t="str">
        <f>IFERROR(__xludf.DUMMYFUNCTION("""COMPUTED_VALUE"""),"civ")</f>
        <v>civ</v>
      </c>
      <c r="C3804" t="str">
        <f>IFERROR(__xludf.DUMMYFUNCTION("""COMPUTED_VALUE"""),"Cote d'Ivoire")</f>
        <v>Cote d'Ivoire</v>
      </c>
      <c r="D3804">
        <f>IFERROR(__xludf.DUMMYFUNCTION("""COMPUTED_VALUE"""),2019.0)</f>
        <v>2019</v>
      </c>
      <c r="E3804">
        <f>IFERROR(__xludf.DUMMYFUNCTION("""COMPUTED_VALUE"""),2.5531083E7)</f>
        <v>25531083</v>
      </c>
    </row>
    <row r="3805">
      <c r="A3805" t="str">
        <f t="shared" si="1"/>
        <v>civ#2020</v>
      </c>
      <c r="B3805" t="str">
        <f>IFERROR(__xludf.DUMMYFUNCTION("""COMPUTED_VALUE"""),"civ")</f>
        <v>civ</v>
      </c>
      <c r="C3805" t="str">
        <f>IFERROR(__xludf.DUMMYFUNCTION("""COMPUTED_VALUE"""),"Cote d'Ivoire")</f>
        <v>Cote d'Ivoire</v>
      </c>
      <c r="D3805">
        <f>IFERROR(__xludf.DUMMYFUNCTION("""COMPUTED_VALUE"""),2020.0)</f>
        <v>2020</v>
      </c>
      <c r="E3805">
        <f>IFERROR(__xludf.DUMMYFUNCTION("""COMPUTED_VALUE"""),2.617175E7)</f>
        <v>26171750</v>
      </c>
    </row>
    <row r="3806">
      <c r="A3806" t="str">
        <f t="shared" si="1"/>
        <v>civ#2021</v>
      </c>
      <c r="B3806" t="str">
        <f>IFERROR(__xludf.DUMMYFUNCTION("""COMPUTED_VALUE"""),"civ")</f>
        <v>civ</v>
      </c>
      <c r="C3806" t="str">
        <f>IFERROR(__xludf.DUMMYFUNCTION("""COMPUTED_VALUE"""),"Cote d'Ivoire")</f>
        <v>Cote d'Ivoire</v>
      </c>
      <c r="D3806">
        <f>IFERROR(__xludf.DUMMYFUNCTION("""COMPUTED_VALUE"""),2021.0)</f>
        <v>2021</v>
      </c>
      <c r="E3806">
        <f>IFERROR(__xludf.DUMMYFUNCTION("""COMPUTED_VALUE"""),2.6827728E7)</f>
        <v>26827728</v>
      </c>
    </row>
    <row r="3807">
      <c r="A3807" t="str">
        <f t="shared" si="1"/>
        <v>civ#2022</v>
      </c>
      <c r="B3807" t="str">
        <f>IFERROR(__xludf.DUMMYFUNCTION("""COMPUTED_VALUE"""),"civ")</f>
        <v>civ</v>
      </c>
      <c r="C3807" t="str">
        <f>IFERROR(__xludf.DUMMYFUNCTION("""COMPUTED_VALUE"""),"Cote d'Ivoire")</f>
        <v>Cote d'Ivoire</v>
      </c>
      <c r="D3807">
        <f>IFERROR(__xludf.DUMMYFUNCTION("""COMPUTED_VALUE"""),2022.0)</f>
        <v>2022</v>
      </c>
      <c r="E3807">
        <f>IFERROR(__xludf.DUMMYFUNCTION("""COMPUTED_VALUE"""),2.7498056E7)</f>
        <v>27498056</v>
      </c>
    </row>
    <row r="3808">
      <c r="A3808" t="str">
        <f t="shared" si="1"/>
        <v>civ#2023</v>
      </c>
      <c r="B3808" t="str">
        <f>IFERROR(__xludf.DUMMYFUNCTION("""COMPUTED_VALUE"""),"civ")</f>
        <v>civ</v>
      </c>
      <c r="C3808" t="str">
        <f>IFERROR(__xludf.DUMMYFUNCTION("""COMPUTED_VALUE"""),"Cote d'Ivoire")</f>
        <v>Cote d'Ivoire</v>
      </c>
      <c r="D3808">
        <f>IFERROR(__xludf.DUMMYFUNCTION("""COMPUTED_VALUE"""),2023.0)</f>
        <v>2023</v>
      </c>
      <c r="E3808">
        <f>IFERROR(__xludf.DUMMYFUNCTION("""COMPUTED_VALUE"""),2.8182319E7)</f>
        <v>28182319</v>
      </c>
    </row>
    <row r="3809">
      <c r="A3809" t="str">
        <f t="shared" si="1"/>
        <v>civ#2024</v>
      </c>
      <c r="B3809" t="str">
        <f>IFERROR(__xludf.DUMMYFUNCTION("""COMPUTED_VALUE"""),"civ")</f>
        <v>civ</v>
      </c>
      <c r="C3809" t="str">
        <f>IFERROR(__xludf.DUMMYFUNCTION("""COMPUTED_VALUE"""),"Cote d'Ivoire")</f>
        <v>Cote d'Ivoire</v>
      </c>
      <c r="D3809">
        <f>IFERROR(__xludf.DUMMYFUNCTION("""COMPUTED_VALUE"""),2024.0)</f>
        <v>2024</v>
      </c>
      <c r="E3809">
        <f>IFERROR(__xludf.DUMMYFUNCTION("""COMPUTED_VALUE"""),2.8879988E7)</f>
        <v>28879988</v>
      </c>
    </row>
    <row r="3810">
      <c r="A3810" t="str">
        <f t="shared" si="1"/>
        <v>civ#2025</v>
      </c>
      <c r="B3810" t="str">
        <f>IFERROR(__xludf.DUMMYFUNCTION("""COMPUTED_VALUE"""),"civ")</f>
        <v>civ</v>
      </c>
      <c r="C3810" t="str">
        <f>IFERROR(__xludf.DUMMYFUNCTION("""COMPUTED_VALUE"""),"Cote d'Ivoire")</f>
        <v>Cote d'Ivoire</v>
      </c>
      <c r="D3810">
        <f>IFERROR(__xludf.DUMMYFUNCTION("""COMPUTED_VALUE"""),2025.0)</f>
        <v>2025</v>
      </c>
      <c r="E3810">
        <f>IFERROR(__xludf.DUMMYFUNCTION("""COMPUTED_VALUE"""),2.9590631E7)</f>
        <v>29590631</v>
      </c>
    </row>
    <row r="3811">
      <c r="A3811" t="str">
        <f t="shared" si="1"/>
        <v>civ#2026</v>
      </c>
      <c r="B3811" t="str">
        <f>IFERROR(__xludf.DUMMYFUNCTION("""COMPUTED_VALUE"""),"civ")</f>
        <v>civ</v>
      </c>
      <c r="C3811" t="str">
        <f>IFERROR(__xludf.DUMMYFUNCTION("""COMPUTED_VALUE"""),"Cote d'Ivoire")</f>
        <v>Cote d'Ivoire</v>
      </c>
      <c r="D3811">
        <f>IFERROR(__xludf.DUMMYFUNCTION("""COMPUTED_VALUE"""),2026.0)</f>
        <v>2026</v>
      </c>
      <c r="E3811">
        <f>IFERROR(__xludf.DUMMYFUNCTION("""COMPUTED_VALUE"""),3.0314031E7)</f>
        <v>30314031</v>
      </c>
    </row>
    <row r="3812">
      <c r="A3812" t="str">
        <f t="shared" si="1"/>
        <v>civ#2027</v>
      </c>
      <c r="B3812" t="str">
        <f>IFERROR(__xludf.DUMMYFUNCTION("""COMPUTED_VALUE"""),"civ")</f>
        <v>civ</v>
      </c>
      <c r="C3812" t="str">
        <f>IFERROR(__xludf.DUMMYFUNCTION("""COMPUTED_VALUE"""),"Cote d'Ivoire")</f>
        <v>Cote d'Ivoire</v>
      </c>
      <c r="D3812">
        <f>IFERROR(__xludf.DUMMYFUNCTION("""COMPUTED_VALUE"""),2027.0)</f>
        <v>2027</v>
      </c>
      <c r="E3812">
        <f>IFERROR(__xludf.DUMMYFUNCTION("""COMPUTED_VALUE"""),3.1050231E7)</f>
        <v>31050231</v>
      </c>
    </row>
    <row r="3813">
      <c r="A3813" t="str">
        <f t="shared" si="1"/>
        <v>civ#2028</v>
      </c>
      <c r="B3813" t="str">
        <f>IFERROR(__xludf.DUMMYFUNCTION("""COMPUTED_VALUE"""),"civ")</f>
        <v>civ</v>
      </c>
      <c r="C3813" t="str">
        <f>IFERROR(__xludf.DUMMYFUNCTION("""COMPUTED_VALUE"""),"Cote d'Ivoire")</f>
        <v>Cote d'Ivoire</v>
      </c>
      <c r="D3813">
        <f>IFERROR(__xludf.DUMMYFUNCTION("""COMPUTED_VALUE"""),2028.0)</f>
        <v>2028</v>
      </c>
      <c r="E3813">
        <f>IFERROR(__xludf.DUMMYFUNCTION("""COMPUTED_VALUE"""),3.1799349E7)</f>
        <v>31799349</v>
      </c>
    </row>
    <row r="3814">
      <c r="A3814" t="str">
        <f t="shared" si="1"/>
        <v>civ#2029</v>
      </c>
      <c r="B3814" t="str">
        <f>IFERROR(__xludf.DUMMYFUNCTION("""COMPUTED_VALUE"""),"civ")</f>
        <v>civ</v>
      </c>
      <c r="C3814" t="str">
        <f>IFERROR(__xludf.DUMMYFUNCTION("""COMPUTED_VALUE"""),"Cote d'Ivoire")</f>
        <v>Cote d'Ivoire</v>
      </c>
      <c r="D3814">
        <f>IFERROR(__xludf.DUMMYFUNCTION("""COMPUTED_VALUE"""),2029.0)</f>
        <v>2029</v>
      </c>
      <c r="E3814">
        <f>IFERROR(__xludf.DUMMYFUNCTION("""COMPUTED_VALUE"""),3.2561655E7)</f>
        <v>32561655</v>
      </c>
    </row>
    <row r="3815">
      <c r="A3815" t="str">
        <f t="shared" si="1"/>
        <v>civ#2030</v>
      </c>
      <c r="B3815" t="str">
        <f>IFERROR(__xludf.DUMMYFUNCTION("""COMPUTED_VALUE"""),"civ")</f>
        <v>civ</v>
      </c>
      <c r="C3815" t="str">
        <f>IFERROR(__xludf.DUMMYFUNCTION("""COMPUTED_VALUE"""),"Cote d'Ivoire")</f>
        <v>Cote d'Ivoire</v>
      </c>
      <c r="D3815">
        <f>IFERROR(__xludf.DUMMYFUNCTION("""COMPUTED_VALUE"""),2030.0)</f>
        <v>2030</v>
      </c>
      <c r="E3815">
        <f>IFERROR(__xludf.DUMMYFUNCTION("""COMPUTED_VALUE"""),3.3337306E7)</f>
        <v>33337306</v>
      </c>
    </row>
    <row r="3816">
      <c r="A3816" t="str">
        <f t="shared" si="1"/>
        <v>civ#2031</v>
      </c>
      <c r="B3816" t="str">
        <f>IFERROR(__xludf.DUMMYFUNCTION("""COMPUTED_VALUE"""),"civ")</f>
        <v>civ</v>
      </c>
      <c r="C3816" t="str">
        <f>IFERROR(__xludf.DUMMYFUNCTION("""COMPUTED_VALUE"""),"Cote d'Ivoire")</f>
        <v>Cote d'Ivoire</v>
      </c>
      <c r="D3816">
        <f>IFERROR(__xludf.DUMMYFUNCTION("""COMPUTED_VALUE"""),2031.0)</f>
        <v>2031</v>
      </c>
      <c r="E3816">
        <f>IFERROR(__xludf.DUMMYFUNCTION("""COMPUTED_VALUE"""),3.4126217E7)</f>
        <v>34126217</v>
      </c>
    </row>
    <row r="3817">
      <c r="A3817" t="str">
        <f t="shared" si="1"/>
        <v>civ#2032</v>
      </c>
      <c r="B3817" t="str">
        <f>IFERROR(__xludf.DUMMYFUNCTION("""COMPUTED_VALUE"""),"civ")</f>
        <v>civ</v>
      </c>
      <c r="C3817" t="str">
        <f>IFERROR(__xludf.DUMMYFUNCTION("""COMPUTED_VALUE"""),"Cote d'Ivoire")</f>
        <v>Cote d'Ivoire</v>
      </c>
      <c r="D3817">
        <f>IFERROR(__xludf.DUMMYFUNCTION("""COMPUTED_VALUE"""),2032.0)</f>
        <v>2032</v>
      </c>
      <c r="E3817">
        <f>IFERROR(__xludf.DUMMYFUNCTION("""COMPUTED_VALUE"""),3.4928213E7)</f>
        <v>34928213</v>
      </c>
    </row>
    <row r="3818">
      <c r="A3818" t="str">
        <f t="shared" si="1"/>
        <v>civ#2033</v>
      </c>
      <c r="B3818" t="str">
        <f>IFERROR(__xludf.DUMMYFUNCTION("""COMPUTED_VALUE"""),"civ")</f>
        <v>civ</v>
      </c>
      <c r="C3818" t="str">
        <f>IFERROR(__xludf.DUMMYFUNCTION("""COMPUTED_VALUE"""),"Cote d'Ivoire")</f>
        <v>Cote d'Ivoire</v>
      </c>
      <c r="D3818">
        <f>IFERROR(__xludf.DUMMYFUNCTION("""COMPUTED_VALUE"""),2033.0)</f>
        <v>2033</v>
      </c>
      <c r="E3818">
        <f>IFERROR(__xludf.DUMMYFUNCTION("""COMPUTED_VALUE"""),3.5743151E7)</f>
        <v>35743151</v>
      </c>
    </row>
    <row r="3819">
      <c r="A3819" t="str">
        <f t="shared" si="1"/>
        <v>civ#2034</v>
      </c>
      <c r="B3819" t="str">
        <f>IFERROR(__xludf.DUMMYFUNCTION("""COMPUTED_VALUE"""),"civ")</f>
        <v>civ</v>
      </c>
      <c r="C3819" t="str">
        <f>IFERROR(__xludf.DUMMYFUNCTION("""COMPUTED_VALUE"""),"Cote d'Ivoire")</f>
        <v>Cote d'Ivoire</v>
      </c>
      <c r="D3819">
        <f>IFERROR(__xludf.DUMMYFUNCTION("""COMPUTED_VALUE"""),2034.0)</f>
        <v>2034</v>
      </c>
      <c r="E3819">
        <f>IFERROR(__xludf.DUMMYFUNCTION("""COMPUTED_VALUE"""),3.6570885E7)</f>
        <v>36570885</v>
      </c>
    </row>
    <row r="3820">
      <c r="A3820" t="str">
        <f t="shared" si="1"/>
        <v>civ#2035</v>
      </c>
      <c r="B3820" t="str">
        <f>IFERROR(__xludf.DUMMYFUNCTION("""COMPUTED_VALUE"""),"civ")</f>
        <v>civ</v>
      </c>
      <c r="C3820" t="str">
        <f>IFERROR(__xludf.DUMMYFUNCTION("""COMPUTED_VALUE"""),"Cote d'Ivoire")</f>
        <v>Cote d'Ivoire</v>
      </c>
      <c r="D3820">
        <f>IFERROR(__xludf.DUMMYFUNCTION("""COMPUTED_VALUE"""),2035.0)</f>
        <v>2035</v>
      </c>
      <c r="E3820">
        <f>IFERROR(__xludf.DUMMYFUNCTION("""COMPUTED_VALUE"""),3.7411246E7)</f>
        <v>37411246</v>
      </c>
    </row>
    <row r="3821">
      <c r="A3821" t="str">
        <f t="shared" si="1"/>
        <v>civ#2036</v>
      </c>
      <c r="B3821" t="str">
        <f>IFERROR(__xludf.DUMMYFUNCTION("""COMPUTED_VALUE"""),"civ")</f>
        <v>civ</v>
      </c>
      <c r="C3821" t="str">
        <f>IFERROR(__xludf.DUMMYFUNCTION("""COMPUTED_VALUE"""),"Cote d'Ivoire")</f>
        <v>Cote d'Ivoire</v>
      </c>
      <c r="D3821">
        <f>IFERROR(__xludf.DUMMYFUNCTION("""COMPUTED_VALUE"""),2036.0)</f>
        <v>2036</v>
      </c>
      <c r="E3821">
        <f>IFERROR(__xludf.DUMMYFUNCTION("""COMPUTED_VALUE"""),3.8264047E7)</f>
        <v>38264047</v>
      </c>
    </row>
    <row r="3822">
      <c r="A3822" t="str">
        <f t="shared" si="1"/>
        <v>civ#2037</v>
      </c>
      <c r="B3822" t="str">
        <f>IFERROR(__xludf.DUMMYFUNCTION("""COMPUTED_VALUE"""),"civ")</f>
        <v>civ</v>
      </c>
      <c r="C3822" t="str">
        <f>IFERROR(__xludf.DUMMYFUNCTION("""COMPUTED_VALUE"""),"Cote d'Ivoire")</f>
        <v>Cote d'Ivoire</v>
      </c>
      <c r="D3822">
        <f>IFERROR(__xludf.DUMMYFUNCTION("""COMPUTED_VALUE"""),2037.0)</f>
        <v>2037</v>
      </c>
      <c r="E3822">
        <f>IFERROR(__xludf.DUMMYFUNCTION("""COMPUTED_VALUE"""),3.9129144E7)</f>
        <v>39129144</v>
      </c>
    </row>
    <row r="3823">
      <c r="A3823" t="str">
        <f t="shared" si="1"/>
        <v>civ#2038</v>
      </c>
      <c r="B3823" t="str">
        <f>IFERROR(__xludf.DUMMYFUNCTION("""COMPUTED_VALUE"""),"civ")</f>
        <v>civ</v>
      </c>
      <c r="C3823" t="str">
        <f>IFERROR(__xludf.DUMMYFUNCTION("""COMPUTED_VALUE"""),"Cote d'Ivoire")</f>
        <v>Cote d'Ivoire</v>
      </c>
      <c r="D3823">
        <f>IFERROR(__xludf.DUMMYFUNCTION("""COMPUTED_VALUE"""),2038.0)</f>
        <v>2038</v>
      </c>
      <c r="E3823">
        <f>IFERROR(__xludf.DUMMYFUNCTION("""COMPUTED_VALUE"""),4.0006316E7)</f>
        <v>40006316</v>
      </c>
    </row>
    <row r="3824">
      <c r="A3824" t="str">
        <f t="shared" si="1"/>
        <v>civ#2039</v>
      </c>
      <c r="B3824" t="str">
        <f>IFERROR(__xludf.DUMMYFUNCTION("""COMPUTED_VALUE"""),"civ")</f>
        <v>civ</v>
      </c>
      <c r="C3824" t="str">
        <f>IFERROR(__xludf.DUMMYFUNCTION("""COMPUTED_VALUE"""),"Cote d'Ivoire")</f>
        <v>Cote d'Ivoire</v>
      </c>
      <c r="D3824">
        <f>IFERROR(__xludf.DUMMYFUNCTION("""COMPUTED_VALUE"""),2039.0)</f>
        <v>2039</v>
      </c>
      <c r="E3824">
        <f>IFERROR(__xludf.DUMMYFUNCTION("""COMPUTED_VALUE"""),4.0895356E7)</f>
        <v>40895356</v>
      </c>
    </row>
    <row r="3825">
      <c r="A3825" t="str">
        <f t="shared" si="1"/>
        <v>civ#2040</v>
      </c>
      <c r="B3825" t="str">
        <f>IFERROR(__xludf.DUMMYFUNCTION("""COMPUTED_VALUE"""),"civ")</f>
        <v>civ</v>
      </c>
      <c r="C3825" t="str">
        <f>IFERROR(__xludf.DUMMYFUNCTION("""COMPUTED_VALUE"""),"Cote d'Ivoire")</f>
        <v>Cote d'Ivoire</v>
      </c>
      <c r="D3825">
        <f>IFERROR(__xludf.DUMMYFUNCTION("""COMPUTED_VALUE"""),2040.0)</f>
        <v>2040</v>
      </c>
      <c r="E3825">
        <f>IFERROR(__xludf.DUMMYFUNCTION("""COMPUTED_VALUE"""),4.1796024E7)</f>
        <v>41796024</v>
      </c>
    </row>
    <row r="3826">
      <c r="A3826" t="str">
        <f t="shared" si="1"/>
        <v>hrv#1950</v>
      </c>
      <c r="B3826" t="str">
        <f>IFERROR(__xludf.DUMMYFUNCTION("""COMPUTED_VALUE"""),"hrv")</f>
        <v>hrv</v>
      </c>
      <c r="C3826" t="str">
        <f>IFERROR(__xludf.DUMMYFUNCTION("""COMPUTED_VALUE"""),"Croatia")</f>
        <v>Croatia</v>
      </c>
      <c r="D3826">
        <f>IFERROR(__xludf.DUMMYFUNCTION("""COMPUTED_VALUE"""),1950.0)</f>
        <v>1950</v>
      </c>
      <c r="E3826">
        <f>IFERROR(__xludf.DUMMYFUNCTION("""COMPUTED_VALUE"""),3850297.0)</f>
        <v>3850297</v>
      </c>
    </row>
    <row r="3827">
      <c r="A3827" t="str">
        <f t="shared" si="1"/>
        <v>hrv#1951</v>
      </c>
      <c r="B3827" t="str">
        <f>IFERROR(__xludf.DUMMYFUNCTION("""COMPUTED_VALUE"""),"hrv")</f>
        <v>hrv</v>
      </c>
      <c r="C3827" t="str">
        <f>IFERROR(__xludf.DUMMYFUNCTION("""COMPUTED_VALUE"""),"Croatia")</f>
        <v>Croatia</v>
      </c>
      <c r="D3827">
        <f>IFERROR(__xludf.DUMMYFUNCTION("""COMPUTED_VALUE"""),1951.0)</f>
        <v>1951</v>
      </c>
      <c r="E3827">
        <f>IFERROR(__xludf.DUMMYFUNCTION("""COMPUTED_VALUE"""),3886221.0)</f>
        <v>3886221</v>
      </c>
    </row>
    <row r="3828">
      <c r="A3828" t="str">
        <f t="shared" si="1"/>
        <v>hrv#1952</v>
      </c>
      <c r="B3828" t="str">
        <f>IFERROR(__xludf.DUMMYFUNCTION("""COMPUTED_VALUE"""),"hrv")</f>
        <v>hrv</v>
      </c>
      <c r="C3828" t="str">
        <f>IFERROR(__xludf.DUMMYFUNCTION("""COMPUTED_VALUE"""),"Croatia")</f>
        <v>Croatia</v>
      </c>
      <c r="D3828">
        <f>IFERROR(__xludf.DUMMYFUNCTION("""COMPUTED_VALUE"""),1952.0)</f>
        <v>1952</v>
      </c>
      <c r="E3828">
        <f>IFERROR(__xludf.DUMMYFUNCTION("""COMPUTED_VALUE"""),3922674.0)</f>
        <v>3922674</v>
      </c>
    </row>
    <row r="3829">
      <c r="A3829" t="str">
        <f t="shared" si="1"/>
        <v>hrv#1953</v>
      </c>
      <c r="B3829" t="str">
        <f>IFERROR(__xludf.DUMMYFUNCTION("""COMPUTED_VALUE"""),"hrv")</f>
        <v>hrv</v>
      </c>
      <c r="C3829" t="str">
        <f>IFERROR(__xludf.DUMMYFUNCTION("""COMPUTED_VALUE"""),"Croatia")</f>
        <v>Croatia</v>
      </c>
      <c r="D3829">
        <f>IFERROR(__xludf.DUMMYFUNCTION("""COMPUTED_VALUE"""),1953.0)</f>
        <v>1953</v>
      </c>
      <c r="E3829">
        <f>IFERROR(__xludf.DUMMYFUNCTION("""COMPUTED_VALUE"""),3959116.0)</f>
        <v>3959116</v>
      </c>
    </row>
    <row r="3830">
      <c r="A3830" t="str">
        <f t="shared" si="1"/>
        <v>hrv#1954</v>
      </c>
      <c r="B3830" t="str">
        <f>IFERROR(__xludf.DUMMYFUNCTION("""COMPUTED_VALUE"""),"hrv")</f>
        <v>hrv</v>
      </c>
      <c r="C3830" t="str">
        <f>IFERROR(__xludf.DUMMYFUNCTION("""COMPUTED_VALUE"""),"Croatia")</f>
        <v>Croatia</v>
      </c>
      <c r="D3830">
        <f>IFERROR(__xludf.DUMMYFUNCTION("""COMPUTED_VALUE"""),1954.0)</f>
        <v>1954</v>
      </c>
      <c r="E3830">
        <f>IFERROR(__xludf.DUMMYFUNCTION("""COMPUTED_VALUE"""),3995135.0)</f>
        <v>3995135</v>
      </c>
    </row>
    <row r="3831">
      <c r="A3831" t="str">
        <f t="shared" si="1"/>
        <v>hrv#1955</v>
      </c>
      <c r="B3831" t="str">
        <f>IFERROR(__xludf.DUMMYFUNCTION("""COMPUTED_VALUE"""),"hrv")</f>
        <v>hrv</v>
      </c>
      <c r="C3831" t="str">
        <f>IFERROR(__xludf.DUMMYFUNCTION("""COMPUTED_VALUE"""),"Croatia")</f>
        <v>Croatia</v>
      </c>
      <c r="D3831">
        <f>IFERROR(__xludf.DUMMYFUNCTION("""COMPUTED_VALUE"""),1955.0)</f>
        <v>1955</v>
      </c>
      <c r="E3831">
        <f>IFERROR(__xludf.DUMMYFUNCTION("""COMPUTED_VALUE"""),4030414.0)</f>
        <v>4030414</v>
      </c>
    </row>
    <row r="3832">
      <c r="A3832" t="str">
        <f t="shared" si="1"/>
        <v>hrv#1956</v>
      </c>
      <c r="B3832" t="str">
        <f>IFERROR(__xludf.DUMMYFUNCTION("""COMPUTED_VALUE"""),"hrv")</f>
        <v>hrv</v>
      </c>
      <c r="C3832" t="str">
        <f>IFERROR(__xludf.DUMMYFUNCTION("""COMPUTED_VALUE"""),"Croatia")</f>
        <v>Croatia</v>
      </c>
      <c r="D3832">
        <f>IFERROR(__xludf.DUMMYFUNCTION("""COMPUTED_VALUE"""),1956.0)</f>
        <v>1956</v>
      </c>
      <c r="E3832">
        <f>IFERROR(__xludf.DUMMYFUNCTION("""COMPUTED_VALUE"""),4064774.0)</f>
        <v>4064774</v>
      </c>
    </row>
    <row r="3833">
      <c r="A3833" t="str">
        <f t="shared" si="1"/>
        <v>hrv#1957</v>
      </c>
      <c r="B3833" t="str">
        <f>IFERROR(__xludf.DUMMYFUNCTION("""COMPUTED_VALUE"""),"hrv")</f>
        <v>hrv</v>
      </c>
      <c r="C3833" t="str">
        <f>IFERROR(__xludf.DUMMYFUNCTION("""COMPUTED_VALUE"""),"Croatia")</f>
        <v>Croatia</v>
      </c>
      <c r="D3833">
        <f>IFERROR(__xludf.DUMMYFUNCTION("""COMPUTED_VALUE"""),1957.0)</f>
        <v>1957</v>
      </c>
      <c r="E3833">
        <f>IFERROR(__xludf.DUMMYFUNCTION("""COMPUTED_VALUE"""),4098124.0)</f>
        <v>4098124</v>
      </c>
    </row>
    <row r="3834">
      <c r="A3834" t="str">
        <f t="shared" si="1"/>
        <v>hrv#1958</v>
      </c>
      <c r="B3834" t="str">
        <f>IFERROR(__xludf.DUMMYFUNCTION("""COMPUTED_VALUE"""),"hrv")</f>
        <v>hrv</v>
      </c>
      <c r="C3834" t="str">
        <f>IFERROR(__xludf.DUMMYFUNCTION("""COMPUTED_VALUE"""),"Croatia")</f>
        <v>Croatia</v>
      </c>
      <c r="D3834">
        <f>IFERROR(__xludf.DUMMYFUNCTION("""COMPUTED_VALUE"""),1958.0)</f>
        <v>1958</v>
      </c>
      <c r="E3834">
        <f>IFERROR(__xludf.DUMMYFUNCTION("""COMPUTED_VALUE"""),4130491.0)</f>
        <v>4130491</v>
      </c>
    </row>
    <row r="3835">
      <c r="A3835" t="str">
        <f t="shared" si="1"/>
        <v>hrv#1959</v>
      </c>
      <c r="B3835" t="str">
        <f>IFERROR(__xludf.DUMMYFUNCTION("""COMPUTED_VALUE"""),"hrv")</f>
        <v>hrv</v>
      </c>
      <c r="C3835" t="str">
        <f>IFERROR(__xludf.DUMMYFUNCTION("""COMPUTED_VALUE"""),"Croatia")</f>
        <v>Croatia</v>
      </c>
      <c r="D3835">
        <f>IFERROR(__xludf.DUMMYFUNCTION("""COMPUTED_VALUE"""),1959.0)</f>
        <v>1959</v>
      </c>
      <c r="E3835">
        <f>IFERROR(__xludf.DUMMYFUNCTION("""COMPUTED_VALUE"""),4161964.0)</f>
        <v>4161964</v>
      </c>
    </row>
    <row r="3836">
      <c r="A3836" t="str">
        <f t="shared" si="1"/>
        <v>hrv#1960</v>
      </c>
      <c r="B3836" t="str">
        <f>IFERROR(__xludf.DUMMYFUNCTION("""COMPUTED_VALUE"""),"hrv")</f>
        <v>hrv</v>
      </c>
      <c r="C3836" t="str">
        <f>IFERROR(__xludf.DUMMYFUNCTION("""COMPUTED_VALUE"""),"Croatia")</f>
        <v>Croatia</v>
      </c>
      <c r="D3836">
        <f>IFERROR(__xludf.DUMMYFUNCTION("""COMPUTED_VALUE"""),1960.0)</f>
        <v>1960</v>
      </c>
      <c r="E3836">
        <f>IFERROR(__xludf.DUMMYFUNCTION("""COMPUTED_VALUE"""),4192634.0)</f>
        <v>4192634</v>
      </c>
    </row>
    <row r="3837">
      <c r="A3837" t="str">
        <f t="shared" si="1"/>
        <v>hrv#1961</v>
      </c>
      <c r="B3837" t="str">
        <f>IFERROR(__xludf.DUMMYFUNCTION("""COMPUTED_VALUE"""),"hrv")</f>
        <v>hrv</v>
      </c>
      <c r="C3837" t="str">
        <f>IFERROR(__xludf.DUMMYFUNCTION("""COMPUTED_VALUE"""),"Croatia")</f>
        <v>Croatia</v>
      </c>
      <c r="D3837">
        <f>IFERROR(__xludf.DUMMYFUNCTION("""COMPUTED_VALUE"""),1961.0)</f>
        <v>1961</v>
      </c>
      <c r="E3837">
        <f>IFERROR(__xludf.DUMMYFUNCTION("""COMPUTED_VALUE"""),4222502.0)</f>
        <v>4222502</v>
      </c>
    </row>
    <row r="3838">
      <c r="A3838" t="str">
        <f t="shared" si="1"/>
        <v>hrv#1962</v>
      </c>
      <c r="B3838" t="str">
        <f>IFERROR(__xludf.DUMMYFUNCTION("""COMPUTED_VALUE"""),"hrv")</f>
        <v>hrv</v>
      </c>
      <c r="C3838" t="str">
        <f>IFERROR(__xludf.DUMMYFUNCTION("""COMPUTED_VALUE"""),"Croatia")</f>
        <v>Croatia</v>
      </c>
      <c r="D3838">
        <f>IFERROR(__xludf.DUMMYFUNCTION("""COMPUTED_VALUE"""),1962.0)</f>
        <v>1962</v>
      </c>
      <c r="E3838">
        <f>IFERROR(__xludf.DUMMYFUNCTION("""COMPUTED_VALUE"""),4251421.0)</f>
        <v>4251421</v>
      </c>
    </row>
    <row r="3839">
      <c r="A3839" t="str">
        <f t="shared" si="1"/>
        <v>hrv#1963</v>
      </c>
      <c r="B3839" t="str">
        <f>IFERROR(__xludf.DUMMYFUNCTION("""COMPUTED_VALUE"""),"hrv")</f>
        <v>hrv</v>
      </c>
      <c r="C3839" t="str">
        <f>IFERROR(__xludf.DUMMYFUNCTION("""COMPUTED_VALUE"""),"Croatia")</f>
        <v>Croatia</v>
      </c>
      <c r="D3839">
        <f>IFERROR(__xludf.DUMMYFUNCTION("""COMPUTED_VALUE"""),1963.0)</f>
        <v>1963</v>
      </c>
      <c r="E3839">
        <f>IFERROR(__xludf.DUMMYFUNCTION("""COMPUTED_VALUE"""),4279058.0)</f>
        <v>4279058</v>
      </c>
    </row>
    <row r="3840">
      <c r="A3840" t="str">
        <f t="shared" si="1"/>
        <v>hrv#1964</v>
      </c>
      <c r="B3840" t="str">
        <f>IFERROR(__xludf.DUMMYFUNCTION("""COMPUTED_VALUE"""),"hrv")</f>
        <v>hrv</v>
      </c>
      <c r="C3840" t="str">
        <f>IFERROR(__xludf.DUMMYFUNCTION("""COMPUTED_VALUE"""),"Croatia")</f>
        <v>Croatia</v>
      </c>
      <c r="D3840">
        <f>IFERROR(__xludf.DUMMYFUNCTION("""COMPUTED_VALUE"""),1964.0)</f>
        <v>1964</v>
      </c>
      <c r="E3840">
        <f>IFERROR(__xludf.DUMMYFUNCTION("""COMPUTED_VALUE"""),4304986.0)</f>
        <v>4304986</v>
      </c>
    </row>
    <row r="3841">
      <c r="A3841" t="str">
        <f t="shared" si="1"/>
        <v>hrv#1965</v>
      </c>
      <c r="B3841" t="str">
        <f>IFERROR(__xludf.DUMMYFUNCTION("""COMPUTED_VALUE"""),"hrv")</f>
        <v>hrv</v>
      </c>
      <c r="C3841" t="str">
        <f>IFERROR(__xludf.DUMMYFUNCTION("""COMPUTED_VALUE"""),"Croatia")</f>
        <v>Croatia</v>
      </c>
      <c r="D3841">
        <f>IFERROR(__xludf.DUMMYFUNCTION("""COMPUTED_VALUE"""),1965.0)</f>
        <v>1965</v>
      </c>
      <c r="E3841">
        <f>IFERROR(__xludf.DUMMYFUNCTION("""COMPUTED_VALUE"""),4328920.0)</f>
        <v>4328920</v>
      </c>
    </row>
    <row r="3842">
      <c r="A3842" t="str">
        <f t="shared" si="1"/>
        <v>hrv#1966</v>
      </c>
      <c r="B3842" t="str">
        <f>IFERROR(__xludf.DUMMYFUNCTION("""COMPUTED_VALUE"""),"hrv")</f>
        <v>hrv</v>
      </c>
      <c r="C3842" t="str">
        <f>IFERROR(__xludf.DUMMYFUNCTION("""COMPUTED_VALUE"""),"Croatia")</f>
        <v>Croatia</v>
      </c>
      <c r="D3842">
        <f>IFERROR(__xludf.DUMMYFUNCTION("""COMPUTED_VALUE"""),1966.0)</f>
        <v>1966</v>
      </c>
      <c r="E3842">
        <f>IFERROR(__xludf.DUMMYFUNCTION("""COMPUTED_VALUE"""),4350813.0)</f>
        <v>4350813</v>
      </c>
    </row>
    <row r="3843">
      <c r="A3843" t="str">
        <f t="shared" si="1"/>
        <v>hrv#1967</v>
      </c>
      <c r="B3843" t="str">
        <f>IFERROR(__xludf.DUMMYFUNCTION("""COMPUTED_VALUE"""),"hrv")</f>
        <v>hrv</v>
      </c>
      <c r="C3843" t="str">
        <f>IFERROR(__xludf.DUMMYFUNCTION("""COMPUTED_VALUE"""),"Croatia")</f>
        <v>Croatia</v>
      </c>
      <c r="D3843">
        <f>IFERROR(__xludf.DUMMYFUNCTION("""COMPUTED_VALUE"""),1967.0)</f>
        <v>1967</v>
      </c>
      <c r="E3843">
        <f>IFERROR(__xludf.DUMMYFUNCTION("""COMPUTED_VALUE"""),4370856.0)</f>
        <v>4370856</v>
      </c>
    </row>
    <row r="3844">
      <c r="A3844" t="str">
        <f t="shared" si="1"/>
        <v>hrv#1968</v>
      </c>
      <c r="B3844" t="str">
        <f>IFERROR(__xludf.DUMMYFUNCTION("""COMPUTED_VALUE"""),"hrv")</f>
        <v>hrv</v>
      </c>
      <c r="C3844" t="str">
        <f>IFERROR(__xludf.DUMMYFUNCTION("""COMPUTED_VALUE"""),"Croatia")</f>
        <v>Croatia</v>
      </c>
      <c r="D3844">
        <f>IFERROR(__xludf.DUMMYFUNCTION("""COMPUTED_VALUE"""),1968.0)</f>
        <v>1968</v>
      </c>
      <c r="E3844">
        <f>IFERROR(__xludf.DUMMYFUNCTION("""COMPUTED_VALUE"""),4389320.0)</f>
        <v>4389320</v>
      </c>
    </row>
    <row r="3845">
      <c r="A3845" t="str">
        <f t="shared" si="1"/>
        <v>hrv#1969</v>
      </c>
      <c r="B3845" t="str">
        <f>IFERROR(__xludf.DUMMYFUNCTION("""COMPUTED_VALUE"""),"hrv")</f>
        <v>hrv</v>
      </c>
      <c r="C3845" t="str">
        <f>IFERROR(__xludf.DUMMYFUNCTION("""COMPUTED_VALUE"""),"Croatia")</f>
        <v>Croatia</v>
      </c>
      <c r="D3845">
        <f>IFERROR(__xludf.DUMMYFUNCTION("""COMPUTED_VALUE"""),1969.0)</f>
        <v>1969</v>
      </c>
      <c r="E3845">
        <f>IFERROR(__xludf.DUMMYFUNCTION("""COMPUTED_VALUE"""),4406607.0)</f>
        <v>4406607</v>
      </c>
    </row>
    <row r="3846">
      <c r="A3846" t="str">
        <f t="shared" si="1"/>
        <v>hrv#1970</v>
      </c>
      <c r="B3846" t="str">
        <f>IFERROR(__xludf.DUMMYFUNCTION("""COMPUTED_VALUE"""),"hrv")</f>
        <v>hrv</v>
      </c>
      <c r="C3846" t="str">
        <f>IFERROR(__xludf.DUMMYFUNCTION("""COMPUTED_VALUE"""),"Croatia")</f>
        <v>Croatia</v>
      </c>
      <c r="D3846">
        <f>IFERROR(__xludf.DUMMYFUNCTION("""COMPUTED_VALUE"""),1970.0)</f>
        <v>1970</v>
      </c>
      <c r="E3846">
        <f>IFERROR(__xludf.DUMMYFUNCTION("""COMPUTED_VALUE"""),4423072.0)</f>
        <v>4423072</v>
      </c>
    </row>
    <row r="3847">
      <c r="A3847" t="str">
        <f t="shared" si="1"/>
        <v>hrv#1971</v>
      </c>
      <c r="B3847" t="str">
        <f>IFERROR(__xludf.DUMMYFUNCTION("""COMPUTED_VALUE"""),"hrv")</f>
        <v>hrv</v>
      </c>
      <c r="C3847" t="str">
        <f>IFERROR(__xludf.DUMMYFUNCTION("""COMPUTED_VALUE"""),"Croatia")</f>
        <v>Croatia</v>
      </c>
      <c r="D3847">
        <f>IFERROR(__xludf.DUMMYFUNCTION("""COMPUTED_VALUE"""),1971.0)</f>
        <v>1971</v>
      </c>
      <c r="E3847">
        <f>IFERROR(__xludf.DUMMYFUNCTION("""COMPUTED_VALUE"""),4438814.0)</f>
        <v>4438814</v>
      </c>
    </row>
    <row r="3848">
      <c r="A3848" t="str">
        <f t="shared" si="1"/>
        <v>hrv#1972</v>
      </c>
      <c r="B3848" t="str">
        <f>IFERROR(__xludf.DUMMYFUNCTION("""COMPUTED_VALUE"""),"hrv")</f>
        <v>hrv</v>
      </c>
      <c r="C3848" t="str">
        <f>IFERROR(__xludf.DUMMYFUNCTION("""COMPUTED_VALUE"""),"Croatia")</f>
        <v>Croatia</v>
      </c>
      <c r="D3848">
        <f>IFERROR(__xludf.DUMMYFUNCTION("""COMPUTED_VALUE"""),1972.0)</f>
        <v>1972</v>
      </c>
      <c r="E3848">
        <f>IFERROR(__xludf.DUMMYFUNCTION("""COMPUTED_VALUE"""),4453987.0)</f>
        <v>4453987</v>
      </c>
    </row>
    <row r="3849">
      <c r="A3849" t="str">
        <f t="shared" si="1"/>
        <v>hrv#1973</v>
      </c>
      <c r="B3849" t="str">
        <f>IFERROR(__xludf.DUMMYFUNCTION("""COMPUTED_VALUE"""),"hrv")</f>
        <v>hrv</v>
      </c>
      <c r="C3849" t="str">
        <f>IFERROR(__xludf.DUMMYFUNCTION("""COMPUTED_VALUE"""),"Croatia")</f>
        <v>Croatia</v>
      </c>
      <c r="D3849">
        <f>IFERROR(__xludf.DUMMYFUNCTION("""COMPUTED_VALUE"""),1973.0)</f>
        <v>1973</v>
      </c>
      <c r="E3849">
        <f>IFERROR(__xludf.DUMMYFUNCTION("""COMPUTED_VALUE"""),4469036.0)</f>
        <v>4469036</v>
      </c>
    </row>
    <row r="3850">
      <c r="A3850" t="str">
        <f t="shared" si="1"/>
        <v>hrv#1974</v>
      </c>
      <c r="B3850" t="str">
        <f>IFERROR(__xludf.DUMMYFUNCTION("""COMPUTED_VALUE"""),"hrv")</f>
        <v>hrv</v>
      </c>
      <c r="C3850" t="str">
        <f>IFERROR(__xludf.DUMMYFUNCTION("""COMPUTED_VALUE"""),"Croatia")</f>
        <v>Croatia</v>
      </c>
      <c r="D3850">
        <f>IFERROR(__xludf.DUMMYFUNCTION("""COMPUTED_VALUE"""),1974.0)</f>
        <v>1974</v>
      </c>
      <c r="E3850">
        <f>IFERROR(__xludf.DUMMYFUNCTION("""COMPUTED_VALUE"""),4484521.0)</f>
        <v>4484521</v>
      </c>
    </row>
    <row r="3851">
      <c r="A3851" t="str">
        <f t="shared" si="1"/>
        <v>hrv#1975</v>
      </c>
      <c r="B3851" t="str">
        <f>IFERROR(__xludf.DUMMYFUNCTION("""COMPUTED_VALUE"""),"hrv")</f>
        <v>hrv</v>
      </c>
      <c r="C3851" t="str">
        <f>IFERROR(__xludf.DUMMYFUNCTION("""COMPUTED_VALUE"""),"Croatia")</f>
        <v>Croatia</v>
      </c>
      <c r="D3851">
        <f>IFERROR(__xludf.DUMMYFUNCTION("""COMPUTED_VALUE"""),1975.0)</f>
        <v>1975</v>
      </c>
      <c r="E3851">
        <f>IFERROR(__xludf.DUMMYFUNCTION("""COMPUTED_VALUE"""),4500865.0)</f>
        <v>4500865</v>
      </c>
    </row>
    <row r="3852">
      <c r="A3852" t="str">
        <f t="shared" si="1"/>
        <v>hrv#1976</v>
      </c>
      <c r="B3852" t="str">
        <f>IFERROR(__xludf.DUMMYFUNCTION("""COMPUTED_VALUE"""),"hrv")</f>
        <v>hrv</v>
      </c>
      <c r="C3852" t="str">
        <f>IFERROR(__xludf.DUMMYFUNCTION("""COMPUTED_VALUE"""),"Croatia")</f>
        <v>Croatia</v>
      </c>
      <c r="D3852">
        <f>IFERROR(__xludf.DUMMYFUNCTION("""COMPUTED_VALUE"""),1976.0)</f>
        <v>1976</v>
      </c>
      <c r="E3852">
        <f>IFERROR(__xludf.DUMMYFUNCTION("""COMPUTED_VALUE"""),4518101.0)</f>
        <v>4518101</v>
      </c>
    </row>
    <row r="3853">
      <c r="A3853" t="str">
        <f t="shared" si="1"/>
        <v>hrv#1977</v>
      </c>
      <c r="B3853" t="str">
        <f>IFERROR(__xludf.DUMMYFUNCTION("""COMPUTED_VALUE"""),"hrv")</f>
        <v>hrv</v>
      </c>
      <c r="C3853" t="str">
        <f>IFERROR(__xludf.DUMMYFUNCTION("""COMPUTED_VALUE"""),"Croatia")</f>
        <v>Croatia</v>
      </c>
      <c r="D3853">
        <f>IFERROR(__xludf.DUMMYFUNCTION("""COMPUTED_VALUE"""),1977.0)</f>
        <v>1977</v>
      </c>
      <c r="E3853">
        <f>IFERROR(__xludf.DUMMYFUNCTION("""COMPUTED_VALUE"""),4536198.0)</f>
        <v>4536198</v>
      </c>
    </row>
    <row r="3854">
      <c r="A3854" t="str">
        <f t="shared" si="1"/>
        <v>hrv#1978</v>
      </c>
      <c r="B3854" t="str">
        <f>IFERROR(__xludf.DUMMYFUNCTION("""COMPUTED_VALUE"""),"hrv")</f>
        <v>hrv</v>
      </c>
      <c r="C3854" t="str">
        <f>IFERROR(__xludf.DUMMYFUNCTION("""COMPUTED_VALUE"""),"Croatia")</f>
        <v>Croatia</v>
      </c>
      <c r="D3854">
        <f>IFERROR(__xludf.DUMMYFUNCTION("""COMPUTED_VALUE"""),1978.0)</f>
        <v>1978</v>
      </c>
      <c r="E3854">
        <f>IFERROR(__xludf.DUMMYFUNCTION("""COMPUTED_VALUE"""),4555420.0)</f>
        <v>4555420</v>
      </c>
    </row>
    <row r="3855">
      <c r="A3855" t="str">
        <f t="shared" si="1"/>
        <v>hrv#1979</v>
      </c>
      <c r="B3855" t="str">
        <f>IFERROR(__xludf.DUMMYFUNCTION("""COMPUTED_VALUE"""),"hrv")</f>
        <v>hrv</v>
      </c>
      <c r="C3855" t="str">
        <f>IFERROR(__xludf.DUMMYFUNCTION("""COMPUTED_VALUE"""),"Croatia")</f>
        <v>Croatia</v>
      </c>
      <c r="D3855">
        <f>IFERROR(__xludf.DUMMYFUNCTION("""COMPUTED_VALUE"""),1979.0)</f>
        <v>1979</v>
      </c>
      <c r="E3855">
        <f>IFERROR(__xludf.DUMMYFUNCTION("""COMPUTED_VALUE"""),4576033.0)</f>
        <v>4576033</v>
      </c>
    </row>
    <row r="3856">
      <c r="A3856" t="str">
        <f t="shared" si="1"/>
        <v>hrv#1980</v>
      </c>
      <c r="B3856" t="str">
        <f>IFERROR(__xludf.DUMMYFUNCTION("""COMPUTED_VALUE"""),"hrv")</f>
        <v>hrv</v>
      </c>
      <c r="C3856" t="str">
        <f>IFERROR(__xludf.DUMMYFUNCTION("""COMPUTED_VALUE"""),"Croatia")</f>
        <v>Croatia</v>
      </c>
      <c r="D3856">
        <f>IFERROR(__xludf.DUMMYFUNCTION("""COMPUTED_VALUE"""),1980.0)</f>
        <v>1980</v>
      </c>
      <c r="E3856">
        <f>IFERROR(__xludf.DUMMYFUNCTION("""COMPUTED_VALUE"""),4598129.0)</f>
        <v>4598129</v>
      </c>
    </row>
    <row r="3857">
      <c r="A3857" t="str">
        <f t="shared" si="1"/>
        <v>hrv#1981</v>
      </c>
      <c r="B3857" t="str">
        <f>IFERROR(__xludf.DUMMYFUNCTION("""COMPUTED_VALUE"""),"hrv")</f>
        <v>hrv</v>
      </c>
      <c r="C3857" t="str">
        <f>IFERROR(__xludf.DUMMYFUNCTION("""COMPUTED_VALUE"""),"Croatia")</f>
        <v>Croatia</v>
      </c>
      <c r="D3857">
        <f>IFERROR(__xludf.DUMMYFUNCTION("""COMPUTED_VALUE"""),1981.0)</f>
        <v>1981</v>
      </c>
      <c r="E3857">
        <f>IFERROR(__xludf.DUMMYFUNCTION("""COMPUTED_VALUE"""),4621419.0)</f>
        <v>4621419</v>
      </c>
    </row>
    <row r="3858">
      <c r="A3858" t="str">
        <f t="shared" si="1"/>
        <v>hrv#1982</v>
      </c>
      <c r="B3858" t="str">
        <f>IFERROR(__xludf.DUMMYFUNCTION("""COMPUTED_VALUE"""),"hrv")</f>
        <v>hrv</v>
      </c>
      <c r="C3858" t="str">
        <f>IFERROR(__xludf.DUMMYFUNCTION("""COMPUTED_VALUE"""),"Croatia")</f>
        <v>Croatia</v>
      </c>
      <c r="D3858">
        <f>IFERROR(__xludf.DUMMYFUNCTION("""COMPUTED_VALUE"""),1982.0)</f>
        <v>1982</v>
      </c>
      <c r="E3858">
        <f>IFERROR(__xludf.DUMMYFUNCTION("""COMPUTED_VALUE"""),4645413.0)</f>
        <v>4645413</v>
      </c>
    </row>
    <row r="3859">
      <c r="A3859" t="str">
        <f t="shared" si="1"/>
        <v>hrv#1983</v>
      </c>
      <c r="B3859" t="str">
        <f>IFERROR(__xludf.DUMMYFUNCTION("""COMPUTED_VALUE"""),"hrv")</f>
        <v>hrv</v>
      </c>
      <c r="C3859" t="str">
        <f>IFERROR(__xludf.DUMMYFUNCTION("""COMPUTED_VALUE"""),"Croatia")</f>
        <v>Croatia</v>
      </c>
      <c r="D3859">
        <f>IFERROR(__xludf.DUMMYFUNCTION("""COMPUTED_VALUE"""),1983.0)</f>
        <v>1983</v>
      </c>
      <c r="E3859">
        <f>IFERROR(__xludf.DUMMYFUNCTION("""COMPUTED_VALUE"""),4669613.0)</f>
        <v>4669613</v>
      </c>
    </row>
    <row r="3860">
      <c r="A3860" t="str">
        <f t="shared" si="1"/>
        <v>hrv#1984</v>
      </c>
      <c r="B3860" t="str">
        <f>IFERROR(__xludf.DUMMYFUNCTION("""COMPUTED_VALUE"""),"hrv")</f>
        <v>hrv</v>
      </c>
      <c r="C3860" t="str">
        <f>IFERROR(__xludf.DUMMYFUNCTION("""COMPUTED_VALUE"""),"Croatia")</f>
        <v>Croatia</v>
      </c>
      <c r="D3860">
        <f>IFERROR(__xludf.DUMMYFUNCTION("""COMPUTED_VALUE"""),1984.0)</f>
        <v>1984</v>
      </c>
      <c r="E3860">
        <f>IFERROR(__xludf.DUMMYFUNCTION("""COMPUTED_VALUE"""),4693431.0)</f>
        <v>4693431</v>
      </c>
    </row>
    <row r="3861">
      <c r="A3861" t="str">
        <f t="shared" si="1"/>
        <v>hrv#1985</v>
      </c>
      <c r="B3861" t="str">
        <f>IFERROR(__xludf.DUMMYFUNCTION("""COMPUTED_VALUE"""),"hrv")</f>
        <v>hrv</v>
      </c>
      <c r="C3861" t="str">
        <f>IFERROR(__xludf.DUMMYFUNCTION("""COMPUTED_VALUE"""),"Croatia")</f>
        <v>Croatia</v>
      </c>
      <c r="D3861">
        <f>IFERROR(__xludf.DUMMYFUNCTION("""COMPUTED_VALUE"""),1985.0)</f>
        <v>1985</v>
      </c>
      <c r="E3861">
        <f>IFERROR(__xludf.DUMMYFUNCTION("""COMPUTED_VALUE"""),4716117.0)</f>
        <v>4716117</v>
      </c>
    </row>
    <row r="3862">
      <c r="A3862" t="str">
        <f t="shared" si="1"/>
        <v>hrv#1986</v>
      </c>
      <c r="B3862" t="str">
        <f>IFERROR(__xludf.DUMMYFUNCTION("""COMPUTED_VALUE"""),"hrv")</f>
        <v>hrv</v>
      </c>
      <c r="C3862" t="str">
        <f>IFERROR(__xludf.DUMMYFUNCTION("""COMPUTED_VALUE"""),"Croatia")</f>
        <v>Croatia</v>
      </c>
      <c r="D3862">
        <f>IFERROR(__xludf.DUMMYFUNCTION("""COMPUTED_VALUE"""),1986.0)</f>
        <v>1986</v>
      </c>
      <c r="E3862">
        <f>IFERROR(__xludf.DUMMYFUNCTION("""COMPUTED_VALUE"""),4737949.0)</f>
        <v>4737949</v>
      </c>
    </row>
    <row r="3863">
      <c r="A3863" t="str">
        <f t="shared" si="1"/>
        <v>hrv#1987</v>
      </c>
      <c r="B3863" t="str">
        <f>IFERROR(__xludf.DUMMYFUNCTION("""COMPUTED_VALUE"""),"hrv")</f>
        <v>hrv</v>
      </c>
      <c r="C3863" t="str">
        <f>IFERROR(__xludf.DUMMYFUNCTION("""COMPUTED_VALUE"""),"Croatia")</f>
        <v>Croatia</v>
      </c>
      <c r="D3863">
        <f>IFERROR(__xludf.DUMMYFUNCTION("""COMPUTED_VALUE"""),1987.0)</f>
        <v>1987</v>
      </c>
      <c r="E3863">
        <f>IFERROR(__xludf.DUMMYFUNCTION("""COMPUTED_VALUE"""),4758151.0)</f>
        <v>4758151</v>
      </c>
    </row>
    <row r="3864">
      <c r="A3864" t="str">
        <f t="shared" si="1"/>
        <v>hrv#1988</v>
      </c>
      <c r="B3864" t="str">
        <f>IFERROR(__xludf.DUMMYFUNCTION("""COMPUTED_VALUE"""),"hrv")</f>
        <v>hrv</v>
      </c>
      <c r="C3864" t="str">
        <f>IFERROR(__xludf.DUMMYFUNCTION("""COMPUTED_VALUE"""),"Croatia")</f>
        <v>Croatia</v>
      </c>
      <c r="D3864">
        <f>IFERROR(__xludf.DUMMYFUNCTION("""COMPUTED_VALUE"""),1988.0)</f>
        <v>1988</v>
      </c>
      <c r="E3864">
        <f>IFERROR(__xludf.DUMMYFUNCTION("""COMPUTED_VALUE"""),4773683.0)</f>
        <v>4773683</v>
      </c>
    </row>
    <row r="3865">
      <c r="A3865" t="str">
        <f t="shared" si="1"/>
        <v>hrv#1989</v>
      </c>
      <c r="B3865" t="str">
        <f>IFERROR(__xludf.DUMMYFUNCTION("""COMPUTED_VALUE"""),"hrv")</f>
        <v>hrv</v>
      </c>
      <c r="C3865" t="str">
        <f>IFERROR(__xludf.DUMMYFUNCTION("""COMPUTED_VALUE"""),"Croatia")</f>
        <v>Croatia</v>
      </c>
      <c r="D3865">
        <f>IFERROR(__xludf.DUMMYFUNCTION("""COMPUTED_VALUE"""),1989.0)</f>
        <v>1989</v>
      </c>
      <c r="E3865">
        <f>IFERROR(__xludf.DUMMYFUNCTION("""COMPUTED_VALUE"""),4780629.0)</f>
        <v>4780629</v>
      </c>
    </row>
    <row r="3866">
      <c r="A3866" t="str">
        <f t="shared" si="1"/>
        <v>hrv#1990</v>
      </c>
      <c r="B3866" t="str">
        <f>IFERROR(__xludf.DUMMYFUNCTION("""COMPUTED_VALUE"""),"hrv")</f>
        <v>hrv</v>
      </c>
      <c r="C3866" t="str">
        <f>IFERROR(__xludf.DUMMYFUNCTION("""COMPUTED_VALUE"""),"Croatia")</f>
        <v>Croatia</v>
      </c>
      <c r="D3866">
        <f>IFERROR(__xludf.DUMMYFUNCTION("""COMPUTED_VALUE"""),1990.0)</f>
        <v>1990</v>
      </c>
      <c r="E3866">
        <f>IFERROR(__xludf.DUMMYFUNCTION("""COMPUTED_VALUE"""),4776372.0)</f>
        <v>4776372</v>
      </c>
    </row>
    <row r="3867">
      <c r="A3867" t="str">
        <f t="shared" si="1"/>
        <v>hrv#1991</v>
      </c>
      <c r="B3867" t="str">
        <f>IFERROR(__xludf.DUMMYFUNCTION("""COMPUTED_VALUE"""),"hrv")</f>
        <v>hrv</v>
      </c>
      <c r="C3867" t="str">
        <f>IFERROR(__xludf.DUMMYFUNCTION("""COMPUTED_VALUE"""),"Croatia")</f>
        <v>Croatia</v>
      </c>
      <c r="D3867">
        <f>IFERROR(__xludf.DUMMYFUNCTION("""COMPUTED_VALUE"""),1991.0)</f>
        <v>1991</v>
      </c>
      <c r="E3867">
        <f>IFERROR(__xludf.DUMMYFUNCTION("""COMPUTED_VALUE"""),4760003.0)</f>
        <v>4760003</v>
      </c>
    </row>
    <row r="3868">
      <c r="A3868" t="str">
        <f t="shared" si="1"/>
        <v>hrv#1992</v>
      </c>
      <c r="B3868" t="str">
        <f>IFERROR(__xludf.DUMMYFUNCTION("""COMPUTED_VALUE"""),"hrv")</f>
        <v>hrv</v>
      </c>
      <c r="C3868" t="str">
        <f>IFERROR(__xludf.DUMMYFUNCTION("""COMPUTED_VALUE"""),"Croatia")</f>
        <v>Croatia</v>
      </c>
      <c r="D3868">
        <f>IFERROR(__xludf.DUMMYFUNCTION("""COMPUTED_VALUE"""),1992.0)</f>
        <v>1992</v>
      </c>
      <c r="E3868">
        <f>IFERROR(__xludf.DUMMYFUNCTION("""COMPUTED_VALUE"""),4732862.0)</f>
        <v>4732862</v>
      </c>
    </row>
    <row r="3869">
      <c r="A3869" t="str">
        <f t="shared" si="1"/>
        <v>hrv#1993</v>
      </c>
      <c r="B3869" t="str">
        <f>IFERROR(__xludf.DUMMYFUNCTION("""COMPUTED_VALUE"""),"hrv")</f>
        <v>hrv</v>
      </c>
      <c r="C3869" t="str">
        <f>IFERROR(__xludf.DUMMYFUNCTION("""COMPUTED_VALUE"""),"Croatia")</f>
        <v>Croatia</v>
      </c>
      <c r="D3869">
        <f>IFERROR(__xludf.DUMMYFUNCTION("""COMPUTED_VALUE"""),1993.0)</f>
        <v>1993</v>
      </c>
      <c r="E3869">
        <f>IFERROR(__xludf.DUMMYFUNCTION("""COMPUTED_VALUE"""),4697535.0)</f>
        <v>4697535</v>
      </c>
    </row>
    <row r="3870">
      <c r="A3870" t="str">
        <f t="shared" si="1"/>
        <v>hrv#1994</v>
      </c>
      <c r="B3870" t="str">
        <f>IFERROR(__xludf.DUMMYFUNCTION("""COMPUTED_VALUE"""),"hrv")</f>
        <v>hrv</v>
      </c>
      <c r="C3870" t="str">
        <f>IFERROR(__xludf.DUMMYFUNCTION("""COMPUTED_VALUE"""),"Croatia")</f>
        <v>Croatia</v>
      </c>
      <c r="D3870">
        <f>IFERROR(__xludf.DUMMYFUNCTION("""COMPUTED_VALUE"""),1994.0)</f>
        <v>1994</v>
      </c>
      <c r="E3870">
        <f>IFERROR(__xludf.DUMMYFUNCTION("""COMPUTED_VALUE"""),4657802.0)</f>
        <v>4657802</v>
      </c>
    </row>
    <row r="3871">
      <c r="A3871" t="str">
        <f t="shared" si="1"/>
        <v>hrv#1995</v>
      </c>
      <c r="B3871" t="str">
        <f>IFERROR(__xludf.DUMMYFUNCTION("""COMPUTED_VALUE"""),"hrv")</f>
        <v>hrv</v>
      </c>
      <c r="C3871" t="str">
        <f>IFERROR(__xludf.DUMMYFUNCTION("""COMPUTED_VALUE"""),"Croatia")</f>
        <v>Croatia</v>
      </c>
      <c r="D3871">
        <f>IFERROR(__xludf.DUMMYFUNCTION("""COMPUTED_VALUE"""),1995.0)</f>
        <v>1995</v>
      </c>
      <c r="E3871">
        <f>IFERROR(__xludf.DUMMYFUNCTION("""COMPUTED_VALUE"""),4616763.0)</f>
        <v>4616763</v>
      </c>
    </row>
    <row r="3872">
      <c r="A3872" t="str">
        <f t="shared" si="1"/>
        <v>hrv#1996</v>
      </c>
      <c r="B3872" t="str">
        <f>IFERROR(__xludf.DUMMYFUNCTION("""COMPUTED_VALUE"""),"hrv")</f>
        <v>hrv</v>
      </c>
      <c r="C3872" t="str">
        <f>IFERROR(__xludf.DUMMYFUNCTION("""COMPUTED_VALUE"""),"Croatia")</f>
        <v>Croatia</v>
      </c>
      <c r="D3872">
        <f>IFERROR(__xludf.DUMMYFUNCTION("""COMPUTED_VALUE"""),1996.0)</f>
        <v>1996</v>
      </c>
      <c r="E3872">
        <f>IFERROR(__xludf.DUMMYFUNCTION("""COMPUTED_VALUE"""),4574887.0)</f>
        <v>4574887</v>
      </c>
    </row>
    <row r="3873">
      <c r="A3873" t="str">
        <f t="shared" si="1"/>
        <v>hrv#1997</v>
      </c>
      <c r="B3873" t="str">
        <f>IFERROR(__xludf.DUMMYFUNCTION("""COMPUTED_VALUE"""),"hrv")</f>
        <v>hrv</v>
      </c>
      <c r="C3873" t="str">
        <f>IFERROR(__xludf.DUMMYFUNCTION("""COMPUTED_VALUE"""),"Croatia")</f>
        <v>Croatia</v>
      </c>
      <c r="D3873">
        <f>IFERROR(__xludf.DUMMYFUNCTION("""COMPUTED_VALUE"""),1997.0)</f>
        <v>1997</v>
      </c>
      <c r="E3873">
        <f>IFERROR(__xludf.DUMMYFUNCTION("""COMPUTED_VALUE"""),4532399.0)</f>
        <v>4532399</v>
      </c>
    </row>
    <row r="3874">
      <c r="A3874" t="str">
        <f t="shared" si="1"/>
        <v>hrv#1998</v>
      </c>
      <c r="B3874" t="str">
        <f>IFERROR(__xludf.DUMMYFUNCTION("""COMPUTED_VALUE"""),"hrv")</f>
        <v>hrv</v>
      </c>
      <c r="C3874" t="str">
        <f>IFERROR(__xludf.DUMMYFUNCTION("""COMPUTED_VALUE"""),"Croatia")</f>
        <v>Croatia</v>
      </c>
      <c r="D3874">
        <f>IFERROR(__xludf.DUMMYFUNCTION("""COMPUTED_VALUE"""),1998.0)</f>
        <v>1998</v>
      </c>
      <c r="E3874">
        <f>IFERROR(__xludf.DUMMYFUNCTION("""COMPUTED_VALUE"""),4491902.0)</f>
        <v>4491902</v>
      </c>
    </row>
    <row r="3875">
      <c r="A3875" t="str">
        <f t="shared" si="1"/>
        <v>hrv#1999</v>
      </c>
      <c r="B3875" t="str">
        <f>IFERROR(__xludf.DUMMYFUNCTION("""COMPUTED_VALUE"""),"hrv")</f>
        <v>hrv</v>
      </c>
      <c r="C3875" t="str">
        <f>IFERROR(__xludf.DUMMYFUNCTION("""COMPUTED_VALUE"""),"Croatia")</f>
        <v>Croatia</v>
      </c>
      <c r="D3875">
        <f>IFERROR(__xludf.DUMMYFUNCTION("""COMPUTED_VALUE"""),1999.0)</f>
        <v>1999</v>
      </c>
      <c r="E3875">
        <f>IFERROR(__xludf.DUMMYFUNCTION("""COMPUTED_VALUE"""),4456433.0)</f>
        <v>4456433</v>
      </c>
    </row>
    <row r="3876">
      <c r="A3876" t="str">
        <f t="shared" si="1"/>
        <v>hrv#2000</v>
      </c>
      <c r="B3876" t="str">
        <f>IFERROR(__xludf.DUMMYFUNCTION("""COMPUTED_VALUE"""),"hrv")</f>
        <v>hrv</v>
      </c>
      <c r="C3876" t="str">
        <f>IFERROR(__xludf.DUMMYFUNCTION("""COMPUTED_VALUE"""),"Croatia")</f>
        <v>Croatia</v>
      </c>
      <c r="D3876">
        <f>IFERROR(__xludf.DUMMYFUNCTION("""COMPUTED_VALUE"""),2000.0)</f>
        <v>2000</v>
      </c>
      <c r="E3876">
        <f>IFERROR(__xludf.DUMMYFUNCTION("""COMPUTED_VALUE"""),4428072.0)</f>
        <v>4428072</v>
      </c>
    </row>
    <row r="3877">
      <c r="A3877" t="str">
        <f t="shared" si="1"/>
        <v>hrv#2001</v>
      </c>
      <c r="B3877" t="str">
        <f>IFERROR(__xludf.DUMMYFUNCTION("""COMPUTED_VALUE"""),"hrv")</f>
        <v>hrv</v>
      </c>
      <c r="C3877" t="str">
        <f>IFERROR(__xludf.DUMMYFUNCTION("""COMPUTED_VALUE"""),"Croatia")</f>
        <v>Croatia</v>
      </c>
      <c r="D3877">
        <f>IFERROR(__xludf.DUMMYFUNCTION("""COMPUTED_VALUE"""),2001.0)</f>
        <v>2001</v>
      </c>
      <c r="E3877">
        <f>IFERROR(__xludf.DUMMYFUNCTION("""COMPUTED_VALUE"""),4408080.0)</f>
        <v>4408080</v>
      </c>
    </row>
    <row r="3878">
      <c r="A3878" t="str">
        <f t="shared" si="1"/>
        <v>hrv#2002</v>
      </c>
      <c r="B3878" t="str">
        <f>IFERROR(__xludf.DUMMYFUNCTION("""COMPUTED_VALUE"""),"hrv")</f>
        <v>hrv</v>
      </c>
      <c r="C3878" t="str">
        <f>IFERROR(__xludf.DUMMYFUNCTION("""COMPUTED_VALUE"""),"Croatia")</f>
        <v>Croatia</v>
      </c>
      <c r="D3878">
        <f>IFERROR(__xludf.DUMMYFUNCTION("""COMPUTED_VALUE"""),2002.0)</f>
        <v>2002</v>
      </c>
      <c r="E3878">
        <f>IFERROR(__xludf.DUMMYFUNCTION("""COMPUTED_VALUE"""),4395819.0)</f>
        <v>4395819</v>
      </c>
    </row>
    <row r="3879">
      <c r="A3879" t="str">
        <f t="shared" si="1"/>
        <v>hrv#2003</v>
      </c>
      <c r="B3879" t="str">
        <f>IFERROR(__xludf.DUMMYFUNCTION("""COMPUTED_VALUE"""),"hrv")</f>
        <v>hrv</v>
      </c>
      <c r="C3879" t="str">
        <f>IFERROR(__xludf.DUMMYFUNCTION("""COMPUTED_VALUE"""),"Croatia")</f>
        <v>Croatia</v>
      </c>
      <c r="D3879">
        <f>IFERROR(__xludf.DUMMYFUNCTION("""COMPUTED_VALUE"""),2003.0)</f>
        <v>2003</v>
      </c>
      <c r="E3879">
        <f>IFERROR(__xludf.DUMMYFUNCTION("""COMPUTED_VALUE"""),4388946.0)</f>
        <v>4388946</v>
      </c>
    </row>
    <row r="3880">
      <c r="A3880" t="str">
        <f t="shared" si="1"/>
        <v>hrv#2004</v>
      </c>
      <c r="B3880" t="str">
        <f>IFERROR(__xludf.DUMMYFUNCTION("""COMPUTED_VALUE"""),"hrv")</f>
        <v>hrv</v>
      </c>
      <c r="C3880" t="str">
        <f>IFERROR(__xludf.DUMMYFUNCTION("""COMPUTED_VALUE"""),"Croatia")</f>
        <v>Croatia</v>
      </c>
      <c r="D3880">
        <f>IFERROR(__xludf.DUMMYFUNCTION("""COMPUTED_VALUE"""),2004.0)</f>
        <v>2004</v>
      </c>
      <c r="E3880">
        <f>IFERROR(__xludf.DUMMYFUNCTION("""COMPUTED_VALUE"""),4383920.0)</f>
        <v>4383920</v>
      </c>
    </row>
    <row r="3881">
      <c r="A3881" t="str">
        <f t="shared" si="1"/>
        <v>hrv#2005</v>
      </c>
      <c r="B3881" t="str">
        <f>IFERROR(__xludf.DUMMYFUNCTION("""COMPUTED_VALUE"""),"hrv")</f>
        <v>hrv</v>
      </c>
      <c r="C3881" t="str">
        <f>IFERROR(__xludf.DUMMYFUNCTION("""COMPUTED_VALUE"""),"Croatia")</f>
        <v>Croatia</v>
      </c>
      <c r="D3881">
        <f>IFERROR(__xludf.DUMMYFUNCTION("""COMPUTED_VALUE"""),2005.0)</f>
        <v>2005</v>
      </c>
      <c r="E3881">
        <f>IFERROR(__xludf.DUMMYFUNCTION("""COMPUTED_VALUE"""),4378057.0)</f>
        <v>4378057</v>
      </c>
    </row>
    <row r="3882">
      <c r="A3882" t="str">
        <f t="shared" si="1"/>
        <v>hrv#2006</v>
      </c>
      <c r="B3882" t="str">
        <f>IFERROR(__xludf.DUMMYFUNCTION("""COMPUTED_VALUE"""),"hrv")</f>
        <v>hrv</v>
      </c>
      <c r="C3882" t="str">
        <f>IFERROR(__xludf.DUMMYFUNCTION("""COMPUTED_VALUE"""),"Croatia")</f>
        <v>Croatia</v>
      </c>
      <c r="D3882">
        <f>IFERROR(__xludf.DUMMYFUNCTION("""COMPUTED_VALUE"""),2006.0)</f>
        <v>2006</v>
      </c>
      <c r="E3882">
        <f>IFERROR(__xludf.DUMMYFUNCTION("""COMPUTED_VALUE"""),4370699.0)</f>
        <v>4370699</v>
      </c>
    </row>
    <row r="3883">
      <c r="A3883" t="str">
        <f t="shared" si="1"/>
        <v>hrv#2007</v>
      </c>
      <c r="B3883" t="str">
        <f>IFERROR(__xludf.DUMMYFUNCTION("""COMPUTED_VALUE"""),"hrv")</f>
        <v>hrv</v>
      </c>
      <c r="C3883" t="str">
        <f>IFERROR(__xludf.DUMMYFUNCTION("""COMPUTED_VALUE"""),"Croatia")</f>
        <v>Croatia</v>
      </c>
      <c r="D3883">
        <f>IFERROR(__xludf.DUMMYFUNCTION("""COMPUTED_VALUE"""),2007.0)</f>
        <v>2007</v>
      </c>
      <c r="E3883">
        <f>IFERROR(__xludf.DUMMYFUNCTION("""COMPUTED_VALUE"""),4362266.0)</f>
        <v>4362266</v>
      </c>
    </row>
    <row r="3884">
      <c r="A3884" t="str">
        <f t="shared" si="1"/>
        <v>hrv#2008</v>
      </c>
      <c r="B3884" t="str">
        <f>IFERROR(__xludf.DUMMYFUNCTION("""COMPUTED_VALUE"""),"hrv")</f>
        <v>hrv</v>
      </c>
      <c r="C3884" t="str">
        <f>IFERROR(__xludf.DUMMYFUNCTION("""COMPUTED_VALUE"""),"Croatia")</f>
        <v>Croatia</v>
      </c>
      <c r="D3884">
        <f>IFERROR(__xludf.DUMMYFUNCTION("""COMPUTED_VALUE"""),2008.0)</f>
        <v>2008</v>
      </c>
      <c r="E3884">
        <f>IFERROR(__xludf.DUMMYFUNCTION("""COMPUTED_VALUE"""),4352428.0)</f>
        <v>4352428</v>
      </c>
    </row>
    <row r="3885">
      <c r="A3885" t="str">
        <f t="shared" si="1"/>
        <v>hrv#2009</v>
      </c>
      <c r="B3885" t="str">
        <f>IFERROR(__xludf.DUMMYFUNCTION("""COMPUTED_VALUE"""),"hrv")</f>
        <v>hrv</v>
      </c>
      <c r="C3885" t="str">
        <f>IFERROR(__xludf.DUMMYFUNCTION("""COMPUTED_VALUE"""),"Croatia")</f>
        <v>Croatia</v>
      </c>
      <c r="D3885">
        <f>IFERROR(__xludf.DUMMYFUNCTION("""COMPUTED_VALUE"""),2009.0)</f>
        <v>2009</v>
      </c>
      <c r="E3885">
        <f>IFERROR(__xludf.DUMMYFUNCTION("""COMPUTED_VALUE"""),4341084.0)</f>
        <v>4341084</v>
      </c>
    </row>
    <row r="3886">
      <c r="A3886" t="str">
        <f t="shared" si="1"/>
        <v>hrv#2010</v>
      </c>
      <c r="B3886" t="str">
        <f>IFERROR(__xludf.DUMMYFUNCTION("""COMPUTED_VALUE"""),"hrv")</f>
        <v>hrv</v>
      </c>
      <c r="C3886" t="str">
        <f>IFERROR(__xludf.DUMMYFUNCTION("""COMPUTED_VALUE"""),"Croatia")</f>
        <v>Croatia</v>
      </c>
      <c r="D3886">
        <f>IFERROR(__xludf.DUMMYFUNCTION("""COMPUTED_VALUE"""),2010.0)</f>
        <v>2010</v>
      </c>
      <c r="E3886">
        <f>IFERROR(__xludf.DUMMYFUNCTION("""COMPUTED_VALUE"""),4328153.0)</f>
        <v>4328153</v>
      </c>
    </row>
    <row r="3887">
      <c r="A3887" t="str">
        <f t="shared" si="1"/>
        <v>hrv#2011</v>
      </c>
      <c r="B3887" t="str">
        <f>IFERROR(__xludf.DUMMYFUNCTION("""COMPUTED_VALUE"""),"hrv")</f>
        <v>hrv</v>
      </c>
      <c r="C3887" t="str">
        <f>IFERROR(__xludf.DUMMYFUNCTION("""COMPUTED_VALUE"""),"Croatia")</f>
        <v>Croatia</v>
      </c>
      <c r="D3887">
        <f>IFERROR(__xludf.DUMMYFUNCTION("""COMPUTED_VALUE"""),2011.0)</f>
        <v>2011</v>
      </c>
      <c r="E3887">
        <f>IFERROR(__xludf.DUMMYFUNCTION("""COMPUTED_VALUE"""),4313371.0)</f>
        <v>4313371</v>
      </c>
    </row>
    <row r="3888">
      <c r="A3888" t="str">
        <f t="shared" si="1"/>
        <v>hrv#2012</v>
      </c>
      <c r="B3888" t="str">
        <f>IFERROR(__xludf.DUMMYFUNCTION("""COMPUTED_VALUE"""),"hrv")</f>
        <v>hrv</v>
      </c>
      <c r="C3888" t="str">
        <f>IFERROR(__xludf.DUMMYFUNCTION("""COMPUTED_VALUE"""),"Croatia")</f>
        <v>Croatia</v>
      </c>
      <c r="D3888">
        <f>IFERROR(__xludf.DUMMYFUNCTION("""COMPUTED_VALUE"""),2012.0)</f>
        <v>2012</v>
      </c>
      <c r="E3888">
        <f>IFERROR(__xludf.DUMMYFUNCTION("""COMPUTED_VALUE"""),4296526.0)</f>
        <v>4296526</v>
      </c>
    </row>
    <row r="3889">
      <c r="A3889" t="str">
        <f t="shared" si="1"/>
        <v>hrv#2013</v>
      </c>
      <c r="B3889" t="str">
        <f>IFERROR(__xludf.DUMMYFUNCTION("""COMPUTED_VALUE"""),"hrv")</f>
        <v>hrv</v>
      </c>
      <c r="C3889" t="str">
        <f>IFERROR(__xludf.DUMMYFUNCTION("""COMPUTED_VALUE"""),"Croatia")</f>
        <v>Croatia</v>
      </c>
      <c r="D3889">
        <f>IFERROR(__xludf.DUMMYFUNCTION("""COMPUTED_VALUE"""),2013.0)</f>
        <v>2013</v>
      </c>
      <c r="E3889">
        <f>IFERROR(__xludf.DUMMYFUNCTION("""COMPUTED_VALUE"""),4277806.0)</f>
        <v>4277806</v>
      </c>
    </row>
    <row r="3890">
      <c r="A3890" t="str">
        <f t="shared" si="1"/>
        <v>hrv#2014</v>
      </c>
      <c r="B3890" t="str">
        <f>IFERROR(__xludf.DUMMYFUNCTION("""COMPUTED_VALUE"""),"hrv")</f>
        <v>hrv</v>
      </c>
      <c r="C3890" t="str">
        <f>IFERROR(__xludf.DUMMYFUNCTION("""COMPUTED_VALUE"""),"Croatia")</f>
        <v>Croatia</v>
      </c>
      <c r="D3890">
        <f>IFERROR(__xludf.DUMMYFUNCTION("""COMPUTED_VALUE"""),2014.0)</f>
        <v>2014</v>
      </c>
      <c r="E3890">
        <f>IFERROR(__xludf.DUMMYFUNCTION("""COMPUTED_VALUE"""),4257533.0)</f>
        <v>4257533</v>
      </c>
    </row>
    <row r="3891">
      <c r="A3891" t="str">
        <f t="shared" si="1"/>
        <v>hrv#2015</v>
      </c>
      <c r="B3891" t="str">
        <f>IFERROR(__xludf.DUMMYFUNCTION("""COMPUTED_VALUE"""),"hrv")</f>
        <v>hrv</v>
      </c>
      <c r="C3891" t="str">
        <f>IFERROR(__xludf.DUMMYFUNCTION("""COMPUTED_VALUE"""),"Croatia")</f>
        <v>Croatia</v>
      </c>
      <c r="D3891">
        <f>IFERROR(__xludf.DUMMYFUNCTION("""COMPUTED_VALUE"""),2015.0)</f>
        <v>2015</v>
      </c>
      <c r="E3891">
        <f>IFERROR(__xludf.DUMMYFUNCTION("""COMPUTED_VALUE"""),4236016.0)</f>
        <v>4236016</v>
      </c>
    </row>
    <row r="3892">
      <c r="A3892" t="str">
        <f t="shared" si="1"/>
        <v>hrv#2016</v>
      </c>
      <c r="B3892" t="str">
        <f>IFERROR(__xludf.DUMMYFUNCTION("""COMPUTED_VALUE"""),"hrv")</f>
        <v>hrv</v>
      </c>
      <c r="C3892" t="str">
        <f>IFERROR(__xludf.DUMMYFUNCTION("""COMPUTED_VALUE"""),"Croatia")</f>
        <v>Croatia</v>
      </c>
      <c r="D3892">
        <f>IFERROR(__xludf.DUMMYFUNCTION("""COMPUTED_VALUE"""),2016.0)</f>
        <v>2016</v>
      </c>
      <c r="E3892">
        <f>IFERROR(__xludf.DUMMYFUNCTION("""COMPUTED_VALUE"""),4213265.0)</f>
        <v>4213265</v>
      </c>
    </row>
    <row r="3893">
      <c r="A3893" t="str">
        <f t="shared" si="1"/>
        <v>hrv#2017</v>
      </c>
      <c r="B3893" t="str">
        <f>IFERROR(__xludf.DUMMYFUNCTION("""COMPUTED_VALUE"""),"hrv")</f>
        <v>hrv</v>
      </c>
      <c r="C3893" t="str">
        <f>IFERROR(__xludf.DUMMYFUNCTION("""COMPUTED_VALUE"""),"Croatia")</f>
        <v>Croatia</v>
      </c>
      <c r="D3893">
        <f>IFERROR(__xludf.DUMMYFUNCTION("""COMPUTED_VALUE"""),2017.0)</f>
        <v>2017</v>
      </c>
      <c r="E3893">
        <f>IFERROR(__xludf.DUMMYFUNCTION("""COMPUTED_VALUE"""),4189353.0)</f>
        <v>4189353</v>
      </c>
    </row>
    <row r="3894">
      <c r="A3894" t="str">
        <f t="shared" si="1"/>
        <v>hrv#2018</v>
      </c>
      <c r="B3894" t="str">
        <f>IFERROR(__xludf.DUMMYFUNCTION("""COMPUTED_VALUE"""),"hrv")</f>
        <v>hrv</v>
      </c>
      <c r="C3894" t="str">
        <f>IFERROR(__xludf.DUMMYFUNCTION("""COMPUTED_VALUE"""),"Croatia")</f>
        <v>Croatia</v>
      </c>
      <c r="D3894">
        <f>IFERROR(__xludf.DUMMYFUNCTION("""COMPUTED_VALUE"""),2018.0)</f>
        <v>2018</v>
      </c>
      <c r="E3894">
        <f>IFERROR(__xludf.DUMMYFUNCTION("""COMPUTED_VALUE"""),4164783.0)</f>
        <v>4164783</v>
      </c>
    </row>
    <row r="3895">
      <c r="A3895" t="str">
        <f t="shared" si="1"/>
        <v>hrv#2019</v>
      </c>
      <c r="B3895" t="str">
        <f>IFERROR(__xludf.DUMMYFUNCTION("""COMPUTED_VALUE"""),"hrv")</f>
        <v>hrv</v>
      </c>
      <c r="C3895" t="str">
        <f>IFERROR(__xludf.DUMMYFUNCTION("""COMPUTED_VALUE"""),"Croatia")</f>
        <v>Croatia</v>
      </c>
      <c r="D3895">
        <f>IFERROR(__xludf.DUMMYFUNCTION("""COMPUTED_VALUE"""),2019.0)</f>
        <v>2019</v>
      </c>
      <c r="E3895">
        <f>IFERROR(__xludf.DUMMYFUNCTION("""COMPUTED_VALUE"""),4140148.0)</f>
        <v>4140148</v>
      </c>
    </row>
    <row r="3896">
      <c r="A3896" t="str">
        <f t="shared" si="1"/>
        <v>hrv#2020</v>
      </c>
      <c r="B3896" t="str">
        <f>IFERROR(__xludf.DUMMYFUNCTION("""COMPUTED_VALUE"""),"hrv")</f>
        <v>hrv</v>
      </c>
      <c r="C3896" t="str">
        <f>IFERROR(__xludf.DUMMYFUNCTION("""COMPUTED_VALUE"""),"Croatia")</f>
        <v>Croatia</v>
      </c>
      <c r="D3896">
        <f>IFERROR(__xludf.DUMMYFUNCTION("""COMPUTED_VALUE"""),2020.0)</f>
        <v>2020</v>
      </c>
      <c r="E3896">
        <f>IFERROR(__xludf.DUMMYFUNCTION("""COMPUTED_VALUE"""),4115947.0)</f>
        <v>4115947</v>
      </c>
    </row>
    <row r="3897">
      <c r="A3897" t="str">
        <f t="shared" si="1"/>
        <v>hrv#2021</v>
      </c>
      <c r="B3897" t="str">
        <f>IFERROR(__xludf.DUMMYFUNCTION("""COMPUTED_VALUE"""),"hrv")</f>
        <v>hrv</v>
      </c>
      <c r="C3897" t="str">
        <f>IFERROR(__xludf.DUMMYFUNCTION("""COMPUTED_VALUE"""),"Croatia")</f>
        <v>Croatia</v>
      </c>
      <c r="D3897">
        <f>IFERROR(__xludf.DUMMYFUNCTION("""COMPUTED_VALUE"""),2021.0)</f>
        <v>2021</v>
      </c>
      <c r="E3897">
        <f>IFERROR(__xludf.DUMMYFUNCTION("""COMPUTED_VALUE"""),4092378.0)</f>
        <v>4092378</v>
      </c>
    </row>
    <row r="3898">
      <c r="A3898" t="str">
        <f t="shared" si="1"/>
        <v>hrv#2022</v>
      </c>
      <c r="B3898" t="str">
        <f>IFERROR(__xludf.DUMMYFUNCTION("""COMPUTED_VALUE"""),"hrv")</f>
        <v>hrv</v>
      </c>
      <c r="C3898" t="str">
        <f>IFERROR(__xludf.DUMMYFUNCTION("""COMPUTED_VALUE"""),"Croatia")</f>
        <v>Croatia</v>
      </c>
      <c r="D3898">
        <f>IFERROR(__xludf.DUMMYFUNCTION("""COMPUTED_VALUE"""),2022.0)</f>
        <v>2022</v>
      </c>
      <c r="E3898">
        <f>IFERROR(__xludf.DUMMYFUNCTION("""COMPUTED_VALUE"""),4069421.0)</f>
        <v>4069421</v>
      </c>
    </row>
    <row r="3899">
      <c r="A3899" t="str">
        <f t="shared" si="1"/>
        <v>hrv#2023</v>
      </c>
      <c r="B3899" t="str">
        <f>IFERROR(__xludf.DUMMYFUNCTION("""COMPUTED_VALUE"""),"hrv")</f>
        <v>hrv</v>
      </c>
      <c r="C3899" t="str">
        <f>IFERROR(__xludf.DUMMYFUNCTION("""COMPUTED_VALUE"""),"Croatia")</f>
        <v>Croatia</v>
      </c>
      <c r="D3899">
        <f>IFERROR(__xludf.DUMMYFUNCTION("""COMPUTED_VALUE"""),2023.0)</f>
        <v>2023</v>
      </c>
      <c r="E3899">
        <f>IFERROR(__xludf.DUMMYFUNCTION("""COMPUTED_VALUE"""),4046983.0)</f>
        <v>4046983</v>
      </c>
    </row>
    <row r="3900">
      <c r="A3900" t="str">
        <f t="shared" si="1"/>
        <v>hrv#2024</v>
      </c>
      <c r="B3900" t="str">
        <f>IFERROR(__xludf.DUMMYFUNCTION("""COMPUTED_VALUE"""),"hrv")</f>
        <v>hrv</v>
      </c>
      <c r="C3900" t="str">
        <f>IFERROR(__xludf.DUMMYFUNCTION("""COMPUTED_VALUE"""),"Croatia")</f>
        <v>Croatia</v>
      </c>
      <c r="D3900">
        <f>IFERROR(__xludf.DUMMYFUNCTION("""COMPUTED_VALUE"""),2024.0)</f>
        <v>2024</v>
      </c>
      <c r="E3900">
        <f>IFERROR(__xludf.DUMMYFUNCTION("""COMPUTED_VALUE"""),4024852.0)</f>
        <v>4024852</v>
      </c>
    </row>
    <row r="3901">
      <c r="A3901" t="str">
        <f t="shared" si="1"/>
        <v>hrv#2025</v>
      </c>
      <c r="B3901" t="str">
        <f>IFERROR(__xludf.DUMMYFUNCTION("""COMPUTED_VALUE"""),"hrv")</f>
        <v>hrv</v>
      </c>
      <c r="C3901" t="str">
        <f>IFERROR(__xludf.DUMMYFUNCTION("""COMPUTED_VALUE"""),"Croatia")</f>
        <v>Croatia</v>
      </c>
      <c r="D3901">
        <f>IFERROR(__xludf.DUMMYFUNCTION("""COMPUTED_VALUE"""),2025.0)</f>
        <v>2025</v>
      </c>
      <c r="E3901">
        <f>IFERROR(__xludf.DUMMYFUNCTION("""COMPUTED_VALUE"""),4002885.0)</f>
        <v>4002885</v>
      </c>
    </row>
    <row r="3902">
      <c r="A3902" t="str">
        <f t="shared" si="1"/>
        <v>hrv#2026</v>
      </c>
      <c r="B3902" t="str">
        <f>IFERROR(__xludf.DUMMYFUNCTION("""COMPUTED_VALUE"""),"hrv")</f>
        <v>hrv</v>
      </c>
      <c r="C3902" t="str">
        <f>IFERROR(__xludf.DUMMYFUNCTION("""COMPUTED_VALUE"""),"Croatia")</f>
        <v>Croatia</v>
      </c>
      <c r="D3902">
        <f>IFERROR(__xludf.DUMMYFUNCTION("""COMPUTED_VALUE"""),2026.0)</f>
        <v>2026</v>
      </c>
      <c r="E3902">
        <f>IFERROR(__xludf.DUMMYFUNCTION("""COMPUTED_VALUE"""),3981097.0)</f>
        <v>3981097</v>
      </c>
    </row>
    <row r="3903">
      <c r="A3903" t="str">
        <f t="shared" si="1"/>
        <v>hrv#2027</v>
      </c>
      <c r="B3903" t="str">
        <f>IFERROR(__xludf.DUMMYFUNCTION("""COMPUTED_VALUE"""),"hrv")</f>
        <v>hrv</v>
      </c>
      <c r="C3903" t="str">
        <f>IFERROR(__xludf.DUMMYFUNCTION("""COMPUTED_VALUE"""),"Croatia")</f>
        <v>Croatia</v>
      </c>
      <c r="D3903">
        <f>IFERROR(__xludf.DUMMYFUNCTION("""COMPUTED_VALUE"""),2027.0)</f>
        <v>2027</v>
      </c>
      <c r="E3903">
        <f>IFERROR(__xludf.DUMMYFUNCTION("""COMPUTED_VALUE"""),3959537.0)</f>
        <v>3959537</v>
      </c>
    </row>
    <row r="3904">
      <c r="A3904" t="str">
        <f t="shared" si="1"/>
        <v>hrv#2028</v>
      </c>
      <c r="B3904" t="str">
        <f>IFERROR(__xludf.DUMMYFUNCTION("""COMPUTED_VALUE"""),"hrv")</f>
        <v>hrv</v>
      </c>
      <c r="C3904" t="str">
        <f>IFERROR(__xludf.DUMMYFUNCTION("""COMPUTED_VALUE"""),"Croatia")</f>
        <v>Croatia</v>
      </c>
      <c r="D3904">
        <f>IFERROR(__xludf.DUMMYFUNCTION("""COMPUTED_VALUE"""),2028.0)</f>
        <v>2028</v>
      </c>
      <c r="E3904">
        <f>IFERROR(__xludf.DUMMYFUNCTION("""COMPUTED_VALUE"""),3938168.0)</f>
        <v>3938168</v>
      </c>
    </row>
    <row r="3905">
      <c r="A3905" t="str">
        <f t="shared" si="1"/>
        <v>hrv#2029</v>
      </c>
      <c r="B3905" t="str">
        <f>IFERROR(__xludf.DUMMYFUNCTION("""COMPUTED_VALUE"""),"hrv")</f>
        <v>hrv</v>
      </c>
      <c r="C3905" t="str">
        <f>IFERROR(__xludf.DUMMYFUNCTION("""COMPUTED_VALUE"""),"Croatia")</f>
        <v>Croatia</v>
      </c>
      <c r="D3905">
        <f>IFERROR(__xludf.DUMMYFUNCTION("""COMPUTED_VALUE"""),2029.0)</f>
        <v>2029</v>
      </c>
      <c r="E3905">
        <f>IFERROR(__xludf.DUMMYFUNCTION("""COMPUTED_VALUE"""),3916938.0)</f>
        <v>3916938</v>
      </c>
    </row>
    <row r="3906">
      <c r="A3906" t="str">
        <f t="shared" si="1"/>
        <v>hrv#2030</v>
      </c>
      <c r="B3906" t="str">
        <f>IFERROR(__xludf.DUMMYFUNCTION("""COMPUTED_VALUE"""),"hrv")</f>
        <v>hrv</v>
      </c>
      <c r="C3906" t="str">
        <f>IFERROR(__xludf.DUMMYFUNCTION("""COMPUTED_VALUE"""),"Croatia")</f>
        <v>Croatia</v>
      </c>
      <c r="D3906">
        <f>IFERROR(__xludf.DUMMYFUNCTION("""COMPUTED_VALUE"""),2030.0)</f>
        <v>2030</v>
      </c>
      <c r="E3906">
        <f>IFERROR(__xludf.DUMMYFUNCTION("""COMPUTED_VALUE"""),3895784.0)</f>
        <v>3895784</v>
      </c>
    </row>
    <row r="3907">
      <c r="A3907" t="str">
        <f t="shared" si="1"/>
        <v>hrv#2031</v>
      </c>
      <c r="B3907" t="str">
        <f>IFERROR(__xludf.DUMMYFUNCTION("""COMPUTED_VALUE"""),"hrv")</f>
        <v>hrv</v>
      </c>
      <c r="C3907" t="str">
        <f>IFERROR(__xludf.DUMMYFUNCTION("""COMPUTED_VALUE"""),"Croatia")</f>
        <v>Croatia</v>
      </c>
      <c r="D3907">
        <f>IFERROR(__xludf.DUMMYFUNCTION("""COMPUTED_VALUE"""),2031.0)</f>
        <v>2031</v>
      </c>
      <c r="E3907">
        <f>IFERROR(__xludf.DUMMYFUNCTION("""COMPUTED_VALUE"""),3874691.0)</f>
        <v>3874691</v>
      </c>
    </row>
    <row r="3908">
      <c r="A3908" t="str">
        <f t="shared" si="1"/>
        <v>hrv#2032</v>
      </c>
      <c r="B3908" t="str">
        <f>IFERROR(__xludf.DUMMYFUNCTION("""COMPUTED_VALUE"""),"hrv")</f>
        <v>hrv</v>
      </c>
      <c r="C3908" t="str">
        <f>IFERROR(__xludf.DUMMYFUNCTION("""COMPUTED_VALUE"""),"Croatia")</f>
        <v>Croatia</v>
      </c>
      <c r="D3908">
        <f>IFERROR(__xludf.DUMMYFUNCTION("""COMPUTED_VALUE"""),2032.0)</f>
        <v>2032</v>
      </c>
      <c r="E3908">
        <f>IFERROR(__xludf.DUMMYFUNCTION("""COMPUTED_VALUE"""),3853647.0)</f>
        <v>3853647</v>
      </c>
    </row>
    <row r="3909">
      <c r="A3909" t="str">
        <f t="shared" si="1"/>
        <v>hrv#2033</v>
      </c>
      <c r="B3909" t="str">
        <f>IFERROR(__xludf.DUMMYFUNCTION("""COMPUTED_VALUE"""),"hrv")</f>
        <v>hrv</v>
      </c>
      <c r="C3909" t="str">
        <f>IFERROR(__xludf.DUMMYFUNCTION("""COMPUTED_VALUE"""),"Croatia")</f>
        <v>Croatia</v>
      </c>
      <c r="D3909">
        <f>IFERROR(__xludf.DUMMYFUNCTION("""COMPUTED_VALUE"""),2033.0)</f>
        <v>2033</v>
      </c>
      <c r="E3909">
        <f>IFERROR(__xludf.DUMMYFUNCTION("""COMPUTED_VALUE"""),3832582.0)</f>
        <v>3832582</v>
      </c>
    </row>
    <row r="3910">
      <c r="A3910" t="str">
        <f t="shared" si="1"/>
        <v>hrv#2034</v>
      </c>
      <c r="B3910" t="str">
        <f>IFERROR(__xludf.DUMMYFUNCTION("""COMPUTED_VALUE"""),"hrv")</f>
        <v>hrv</v>
      </c>
      <c r="C3910" t="str">
        <f>IFERROR(__xludf.DUMMYFUNCTION("""COMPUTED_VALUE"""),"Croatia")</f>
        <v>Croatia</v>
      </c>
      <c r="D3910">
        <f>IFERROR(__xludf.DUMMYFUNCTION("""COMPUTED_VALUE"""),2034.0)</f>
        <v>2034</v>
      </c>
      <c r="E3910">
        <f>IFERROR(__xludf.DUMMYFUNCTION("""COMPUTED_VALUE"""),3811426.0)</f>
        <v>3811426</v>
      </c>
    </row>
    <row r="3911">
      <c r="A3911" t="str">
        <f t="shared" si="1"/>
        <v>hrv#2035</v>
      </c>
      <c r="B3911" t="str">
        <f>IFERROR(__xludf.DUMMYFUNCTION("""COMPUTED_VALUE"""),"hrv")</f>
        <v>hrv</v>
      </c>
      <c r="C3911" t="str">
        <f>IFERROR(__xludf.DUMMYFUNCTION("""COMPUTED_VALUE"""),"Croatia")</f>
        <v>Croatia</v>
      </c>
      <c r="D3911">
        <f>IFERROR(__xludf.DUMMYFUNCTION("""COMPUTED_VALUE"""),2035.0)</f>
        <v>2035</v>
      </c>
      <c r="E3911">
        <f>IFERROR(__xludf.DUMMYFUNCTION("""COMPUTED_VALUE"""),3790127.0)</f>
        <v>3790127</v>
      </c>
    </row>
    <row r="3912">
      <c r="A3912" t="str">
        <f t="shared" si="1"/>
        <v>hrv#2036</v>
      </c>
      <c r="B3912" t="str">
        <f>IFERROR(__xludf.DUMMYFUNCTION("""COMPUTED_VALUE"""),"hrv")</f>
        <v>hrv</v>
      </c>
      <c r="C3912" t="str">
        <f>IFERROR(__xludf.DUMMYFUNCTION("""COMPUTED_VALUE"""),"Croatia")</f>
        <v>Croatia</v>
      </c>
      <c r="D3912">
        <f>IFERROR(__xludf.DUMMYFUNCTION("""COMPUTED_VALUE"""),2036.0)</f>
        <v>2036</v>
      </c>
      <c r="E3912">
        <f>IFERROR(__xludf.DUMMYFUNCTION("""COMPUTED_VALUE"""),3768660.0)</f>
        <v>3768660</v>
      </c>
    </row>
    <row r="3913">
      <c r="A3913" t="str">
        <f t="shared" si="1"/>
        <v>hrv#2037</v>
      </c>
      <c r="B3913" t="str">
        <f>IFERROR(__xludf.DUMMYFUNCTION("""COMPUTED_VALUE"""),"hrv")</f>
        <v>hrv</v>
      </c>
      <c r="C3913" t="str">
        <f>IFERROR(__xludf.DUMMYFUNCTION("""COMPUTED_VALUE"""),"Croatia")</f>
        <v>Croatia</v>
      </c>
      <c r="D3913">
        <f>IFERROR(__xludf.DUMMYFUNCTION("""COMPUTED_VALUE"""),2037.0)</f>
        <v>2037</v>
      </c>
      <c r="E3913">
        <f>IFERROR(__xludf.DUMMYFUNCTION("""COMPUTED_VALUE"""),3747021.0)</f>
        <v>3747021</v>
      </c>
    </row>
    <row r="3914">
      <c r="A3914" t="str">
        <f t="shared" si="1"/>
        <v>hrv#2038</v>
      </c>
      <c r="B3914" t="str">
        <f>IFERROR(__xludf.DUMMYFUNCTION("""COMPUTED_VALUE"""),"hrv")</f>
        <v>hrv</v>
      </c>
      <c r="C3914" t="str">
        <f>IFERROR(__xludf.DUMMYFUNCTION("""COMPUTED_VALUE"""),"Croatia")</f>
        <v>Croatia</v>
      </c>
      <c r="D3914">
        <f>IFERROR(__xludf.DUMMYFUNCTION("""COMPUTED_VALUE"""),2038.0)</f>
        <v>2038</v>
      </c>
      <c r="E3914">
        <f>IFERROR(__xludf.DUMMYFUNCTION("""COMPUTED_VALUE"""),3725251.0)</f>
        <v>3725251</v>
      </c>
    </row>
    <row r="3915">
      <c r="A3915" t="str">
        <f t="shared" si="1"/>
        <v>hrv#2039</v>
      </c>
      <c r="B3915" t="str">
        <f>IFERROR(__xludf.DUMMYFUNCTION("""COMPUTED_VALUE"""),"hrv")</f>
        <v>hrv</v>
      </c>
      <c r="C3915" t="str">
        <f>IFERROR(__xludf.DUMMYFUNCTION("""COMPUTED_VALUE"""),"Croatia")</f>
        <v>Croatia</v>
      </c>
      <c r="D3915">
        <f>IFERROR(__xludf.DUMMYFUNCTION("""COMPUTED_VALUE"""),2039.0)</f>
        <v>2039</v>
      </c>
      <c r="E3915">
        <f>IFERROR(__xludf.DUMMYFUNCTION("""COMPUTED_VALUE"""),3703422.0)</f>
        <v>3703422</v>
      </c>
    </row>
    <row r="3916">
      <c r="A3916" t="str">
        <f t="shared" si="1"/>
        <v>hrv#2040</v>
      </c>
      <c r="B3916" t="str">
        <f>IFERROR(__xludf.DUMMYFUNCTION("""COMPUTED_VALUE"""),"hrv")</f>
        <v>hrv</v>
      </c>
      <c r="C3916" t="str">
        <f>IFERROR(__xludf.DUMMYFUNCTION("""COMPUTED_VALUE"""),"Croatia")</f>
        <v>Croatia</v>
      </c>
      <c r="D3916">
        <f>IFERROR(__xludf.DUMMYFUNCTION("""COMPUTED_VALUE"""),2040.0)</f>
        <v>2040</v>
      </c>
      <c r="E3916">
        <f>IFERROR(__xludf.DUMMYFUNCTION("""COMPUTED_VALUE"""),3681556.0)</f>
        <v>3681556</v>
      </c>
    </row>
    <row r="3917">
      <c r="A3917" t="str">
        <f t="shared" si="1"/>
        <v>cub#1950</v>
      </c>
      <c r="B3917" t="str">
        <f>IFERROR(__xludf.DUMMYFUNCTION("""COMPUTED_VALUE"""),"cub")</f>
        <v>cub</v>
      </c>
      <c r="C3917" t="str">
        <f>IFERROR(__xludf.DUMMYFUNCTION("""COMPUTED_VALUE"""),"Cuba")</f>
        <v>Cuba</v>
      </c>
      <c r="D3917">
        <f>IFERROR(__xludf.DUMMYFUNCTION("""COMPUTED_VALUE"""),1950.0)</f>
        <v>1950</v>
      </c>
      <c r="E3917">
        <f>IFERROR(__xludf.DUMMYFUNCTION("""COMPUTED_VALUE"""),5919993.0)</f>
        <v>5919993</v>
      </c>
    </row>
    <row r="3918">
      <c r="A3918" t="str">
        <f t="shared" si="1"/>
        <v>cub#1951</v>
      </c>
      <c r="B3918" t="str">
        <f>IFERROR(__xludf.DUMMYFUNCTION("""COMPUTED_VALUE"""),"cub")</f>
        <v>cub</v>
      </c>
      <c r="C3918" t="str">
        <f>IFERROR(__xludf.DUMMYFUNCTION("""COMPUTED_VALUE"""),"Cuba")</f>
        <v>Cuba</v>
      </c>
      <c r="D3918">
        <f>IFERROR(__xludf.DUMMYFUNCTION("""COMPUTED_VALUE"""),1951.0)</f>
        <v>1951</v>
      </c>
      <c r="E3918">
        <f>IFERROR(__xludf.DUMMYFUNCTION("""COMPUTED_VALUE"""),6051291.0)</f>
        <v>6051291</v>
      </c>
    </row>
    <row r="3919">
      <c r="A3919" t="str">
        <f t="shared" si="1"/>
        <v>cub#1952</v>
      </c>
      <c r="B3919" t="str">
        <f>IFERROR(__xludf.DUMMYFUNCTION("""COMPUTED_VALUE"""),"cub")</f>
        <v>cub</v>
      </c>
      <c r="C3919" t="str">
        <f>IFERROR(__xludf.DUMMYFUNCTION("""COMPUTED_VALUE"""),"Cuba")</f>
        <v>Cuba</v>
      </c>
      <c r="D3919">
        <f>IFERROR(__xludf.DUMMYFUNCTION("""COMPUTED_VALUE"""),1952.0)</f>
        <v>1952</v>
      </c>
      <c r="E3919">
        <f>IFERROR(__xludf.DUMMYFUNCTION("""COMPUTED_VALUE"""),6180031.0)</f>
        <v>6180031</v>
      </c>
    </row>
    <row r="3920">
      <c r="A3920" t="str">
        <f t="shared" si="1"/>
        <v>cub#1953</v>
      </c>
      <c r="B3920" t="str">
        <f>IFERROR(__xludf.DUMMYFUNCTION("""COMPUTED_VALUE"""),"cub")</f>
        <v>cub</v>
      </c>
      <c r="C3920" t="str">
        <f>IFERROR(__xludf.DUMMYFUNCTION("""COMPUTED_VALUE"""),"Cuba")</f>
        <v>Cuba</v>
      </c>
      <c r="D3920">
        <f>IFERROR(__xludf.DUMMYFUNCTION("""COMPUTED_VALUE"""),1953.0)</f>
        <v>1953</v>
      </c>
      <c r="E3920">
        <f>IFERROR(__xludf.DUMMYFUNCTION("""COMPUTED_VALUE"""),6304523.0)</f>
        <v>6304523</v>
      </c>
    </row>
    <row r="3921">
      <c r="A3921" t="str">
        <f t="shared" si="1"/>
        <v>cub#1954</v>
      </c>
      <c r="B3921" t="str">
        <f>IFERROR(__xludf.DUMMYFUNCTION("""COMPUTED_VALUE"""),"cub")</f>
        <v>cub</v>
      </c>
      <c r="C3921" t="str">
        <f>IFERROR(__xludf.DUMMYFUNCTION("""COMPUTED_VALUE"""),"Cuba")</f>
        <v>Cuba</v>
      </c>
      <c r="D3921">
        <f>IFERROR(__xludf.DUMMYFUNCTION("""COMPUTED_VALUE"""),1954.0)</f>
        <v>1954</v>
      </c>
      <c r="E3921">
        <f>IFERROR(__xludf.DUMMYFUNCTION("""COMPUTED_VALUE"""),6424172.0)</f>
        <v>6424172</v>
      </c>
    </row>
    <row r="3922">
      <c r="A3922" t="str">
        <f t="shared" si="1"/>
        <v>cub#1955</v>
      </c>
      <c r="B3922" t="str">
        <f>IFERROR(__xludf.DUMMYFUNCTION("""COMPUTED_VALUE"""),"cub")</f>
        <v>cub</v>
      </c>
      <c r="C3922" t="str">
        <f>IFERROR(__xludf.DUMMYFUNCTION("""COMPUTED_VALUE"""),"Cuba")</f>
        <v>Cuba</v>
      </c>
      <c r="D3922">
        <f>IFERROR(__xludf.DUMMYFUNCTION("""COMPUTED_VALUE"""),1955.0)</f>
        <v>1955</v>
      </c>
      <c r="E3922">
        <f>IFERROR(__xludf.DUMMYFUNCTION("""COMPUTED_VALUE"""),6539469.0)</f>
        <v>6539469</v>
      </c>
    </row>
    <row r="3923">
      <c r="A3923" t="str">
        <f t="shared" si="1"/>
        <v>cub#1956</v>
      </c>
      <c r="B3923" t="str">
        <f>IFERROR(__xludf.DUMMYFUNCTION("""COMPUTED_VALUE"""),"cub")</f>
        <v>cub</v>
      </c>
      <c r="C3923" t="str">
        <f>IFERROR(__xludf.DUMMYFUNCTION("""COMPUTED_VALUE"""),"Cuba")</f>
        <v>Cuba</v>
      </c>
      <c r="D3923">
        <f>IFERROR(__xludf.DUMMYFUNCTION("""COMPUTED_VALUE"""),1956.0)</f>
        <v>1956</v>
      </c>
      <c r="E3923">
        <f>IFERROR(__xludf.DUMMYFUNCTION("""COMPUTED_VALUE"""),6652090.0)</f>
        <v>6652090</v>
      </c>
    </row>
    <row r="3924">
      <c r="A3924" t="str">
        <f t="shared" si="1"/>
        <v>cub#1957</v>
      </c>
      <c r="B3924" t="str">
        <f>IFERROR(__xludf.DUMMYFUNCTION("""COMPUTED_VALUE"""),"cub")</f>
        <v>cub</v>
      </c>
      <c r="C3924" t="str">
        <f>IFERROR(__xludf.DUMMYFUNCTION("""COMPUTED_VALUE"""),"Cuba")</f>
        <v>Cuba</v>
      </c>
      <c r="D3924">
        <f>IFERROR(__xludf.DUMMYFUNCTION("""COMPUTED_VALUE"""),1957.0)</f>
        <v>1957</v>
      </c>
      <c r="E3924">
        <f>IFERROR(__xludf.DUMMYFUNCTION("""COMPUTED_VALUE"""),6764786.0)</f>
        <v>6764786</v>
      </c>
    </row>
    <row r="3925">
      <c r="A3925" t="str">
        <f t="shared" si="1"/>
        <v>cub#1958</v>
      </c>
      <c r="B3925" t="str">
        <f>IFERROR(__xludf.DUMMYFUNCTION("""COMPUTED_VALUE"""),"cub")</f>
        <v>cub</v>
      </c>
      <c r="C3925" t="str">
        <f>IFERROR(__xludf.DUMMYFUNCTION("""COMPUTED_VALUE"""),"Cuba")</f>
        <v>Cuba</v>
      </c>
      <c r="D3925">
        <f>IFERROR(__xludf.DUMMYFUNCTION("""COMPUTED_VALUE"""),1958.0)</f>
        <v>1958</v>
      </c>
      <c r="E3925">
        <f>IFERROR(__xludf.DUMMYFUNCTION("""COMPUTED_VALUE"""),6881210.0)</f>
        <v>6881210</v>
      </c>
    </row>
    <row r="3926">
      <c r="A3926" t="str">
        <f t="shared" si="1"/>
        <v>cub#1959</v>
      </c>
      <c r="B3926" t="str">
        <f>IFERROR(__xludf.DUMMYFUNCTION("""COMPUTED_VALUE"""),"cub")</f>
        <v>cub</v>
      </c>
      <c r="C3926" t="str">
        <f>IFERROR(__xludf.DUMMYFUNCTION("""COMPUTED_VALUE"""),"Cuba")</f>
        <v>Cuba</v>
      </c>
      <c r="D3926">
        <f>IFERROR(__xludf.DUMMYFUNCTION("""COMPUTED_VALUE"""),1959.0)</f>
        <v>1959</v>
      </c>
      <c r="E3926">
        <f>IFERROR(__xludf.DUMMYFUNCTION("""COMPUTED_VALUE"""),7005481.0)</f>
        <v>7005481</v>
      </c>
    </row>
    <row r="3927">
      <c r="A3927" t="str">
        <f t="shared" si="1"/>
        <v>cub#1960</v>
      </c>
      <c r="B3927" t="str">
        <f>IFERROR(__xludf.DUMMYFUNCTION("""COMPUTED_VALUE"""),"cub")</f>
        <v>cub</v>
      </c>
      <c r="C3927" t="str">
        <f>IFERROR(__xludf.DUMMYFUNCTION("""COMPUTED_VALUE"""),"Cuba")</f>
        <v>Cuba</v>
      </c>
      <c r="D3927">
        <f>IFERROR(__xludf.DUMMYFUNCTION("""COMPUTED_VALUE"""),1960.0)</f>
        <v>1960</v>
      </c>
      <c r="E3927">
        <f>IFERROR(__xludf.DUMMYFUNCTION("""COMPUTED_VALUE"""),7141135.0)</f>
        <v>7141135</v>
      </c>
    </row>
    <row r="3928">
      <c r="A3928" t="str">
        <f t="shared" si="1"/>
        <v>cub#1961</v>
      </c>
      <c r="B3928" t="str">
        <f>IFERROR(__xludf.DUMMYFUNCTION("""COMPUTED_VALUE"""),"cub")</f>
        <v>cub</v>
      </c>
      <c r="C3928" t="str">
        <f>IFERROR(__xludf.DUMMYFUNCTION("""COMPUTED_VALUE"""),"Cuba")</f>
        <v>Cuba</v>
      </c>
      <c r="D3928">
        <f>IFERROR(__xludf.DUMMYFUNCTION("""COMPUTED_VALUE"""),1961.0)</f>
        <v>1961</v>
      </c>
      <c r="E3928">
        <f>IFERROR(__xludf.DUMMYFUNCTION("""COMPUTED_VALUE"""),7289826.0)</f>
        <v>7289826</v>
      </c>
    </row>
    <row r="3929">
      <c r="A3929" t="str">
        <f t="shared" si="1"/>
        <v>cub#1962</v>
      </c>
      <c r="B3929" t="str">
        <f>IFERROR(__xludf.DUMMYFUNCTION("""COMPUTED_VALUE"""),"cub")</f>
        <v>cub</v>
      </c>
      <c r="C3929" t="str">
        <f>IFERROR(__xludf.DUMMYFUNCTION("""COMPUTED_VALUE"""),"Cuba")</f>
        <v>Cuba</v>
      </c>
      <c r="D3929">
        <f>IFERROR(__xludf.DUMMYFUNCTION("""COMPUTED_VALUE"""),1962.0)</f>
        <v>1962</v>
      </c>
      <c r="E3929">
        <f>IFERROR(__xludf.DUMMYFUNCTION("""COMPUTED_VALUE"""),7450402.0)</f>
        <v>7450402</v>
      </c>
    </row>
    <row r="3930">
      <c r="A3930" t="str">
        <f t="shared" si="1"/>
        <v>cub#1963</v>
      </c>
      <c r="B3930" t="str">
        <f>IFERROR(__xludf.DUMMYFUNCTION("""COMPUTED_VALUE"""),"cub")</f>
        <v>cub</v>
      </c>
      <c r="C3930" t="str">
        <f>IFERROR(__xludf.DUMMYFUNCTION("""COMPUTED_VALUE"""),"Cuba")</f>
        <v>Cuba</v>
      </c>
      <c r="D3930">
        <f>IFERROR(__xludf.DUMMYFUNCTION("""COMPUTED_VALUE"""),1963.0)</f>
        <v>1963</v>
      </c>
      <c r="E3930">
        <f>IFERROR(__xludf.DUMMYFUNCTION("""COMPUTED_VALUE"""),7618354.0)</f>
        <v>7618354</v>
      </c>
    </row>
    <row r="3931">
      <c r="A3931" t="str">
        <f t="shared" si="1"/>
        <v>cub#1964</v>
      </c>
      <c r="B3931" t="str">
        <f>IFERROR(__xludf.DUMMYFUNCTION("""COMPUTED_VALUE"""),"cub")</f>
        <v>cub</v>
      </c>
      <c r="C3931" t="str">
        <f>IFERROR(__xludf.DUMMYFUNCTION("""COMPUTED_VALUE"""),"Cuba")</f>
        <v>Cuba</v>
      </c>
      <c r="D3931">
        <f>IFERROR(__xludf.DUMMYFUNCTION("""COMPUTED_VALUE"""),1964.0)</f>
        <v>1964</v>
      </c>
      <c r="E3931">
        <f>IFERROR(__xludf.DUMMYFUNCTION("""COMPUTED_VALUE"""),7787146.0)</f>
        <v>7787146</v>
      </c>
    </row>
    <row r="3932">
      <c r="A3932" t="str">
        <f t="shared" si="1"/>
        <v>cub#1965</v>
      </c>
      <c r="B3932" t="str">
        <f>IFERROR(__xludf.DUMMYFUNCTION("""COMPUTED_VALUE"""),"cub")</f>
        <v>cub</v>
      </c>
      <c r="C3932" t="str">
        <f>IFERROR(__xludf.DUMMYFUNCTION("""COMPUTED_VALUE"""),"Cuba")</f>
        <v>Cuba</v>
      </c>
      <c r="D3932">
        <f>IFERROR(__xludf.DUMMYFUNCTION("""COMPUTED_VALUE"""),1965.0)</f>
        <v>1965</v>
      </c>
      <c r="E3932">
        <f>IFERROR(__xludf.DUMMYFUNCTION("""COMPUTED_VALUE"""),7951933.0)</f>
        <v>7951933</v>
      </c>
    </row>
    <row r="3933">
      <c r="A3933" t="str">
        <f t="shared" si="1"/>
        <v>cub#1966</v>
      </c>
      <c r="B3933" t="str">
        <f>IFERROR(__xludf.DUMMYFUNCTION("""COMPUTED_VALUE"""),"cub")</f>
        <v>cub</v>
      </c>
      <c r="C3933" t="str">
        <f>IFERROR(__xludf.DUMMYFUNCTION("""COMPUTED_VALUE"""),"Cuba")</f>
        <v>Cuba</v>
      </c>
      <c r="D3933">
        <f>IFERROR(__xludf.DUMMYFUNCTION("""COMPUTED_VALUE"""),1966.0)</f>
        <v>1966</v>
      </c>
      <c r="E3933">
        <f>IFERROR(__xludf.DUMMYFUNCTION("""COMPUTED_VALUE"""),8110430.0)</f>
        <v>8110430</v>
      </c>
    </row>
    <row r="3934">
      <c r="A3934" t="str">
        <f t="shared" si="1"/>
        <v>cub#1967</v>
      </c>
      <c r="B3934" t="str">
        <f>IFERROR(__xludf.DUMMYFUNCTION("""COMPUTED_VALUE"""),"cub")</f>
        <v>cub</v>
      </c>
      <c r="C3934" t="str">
        <f>IFERROR(__xludf.DUMMYFUNCTION("""COMPUTED_VALUE"""),"Cuba")</f>
        <v>Cuba</v>
      </c>
      <c r="D3934">
        <f>IFERROR(__xludf.DUMMYFUNCTION("""COMPUTED_VALUE"""),1967.0)</f>
        <v>1967</v>
      </c>
      <c r="E3934">
        <f>IFERROR(__xludf.DUMMYFUNCTION("""COMPUTED_VALUE"""),8263546.0)</f>
        <v>8263546</v>
      </c>
    </row>
    <row r="3935">
      <c r="A3935" t="str">
        <f t="shared" si="1"/>
        <v>cub#1968</v>
      </c>
      <c r="B3935" t="str">
        <f>IFERROR(__xludf.DUMMYFUNCTION("""COMPUTED_VALUE"""),"cub")</f>
        <v>cub</v>
      </c>
      <c r="C3935" t="str">
        <f>IFERROR(__xludf.DUMMYFUNCTION("""COMPUTED_VALUE"""),"Cuba")</f>
        <v>Cuba</v>
      </c>
      <c r="D3935">
        <f>IFERROR(__xludf.DUMMYFUNCTION("""COMPUTED_VALUE"""),1968.0)</f>
        <v>1968</v>
      </c>
      <c r="E3935">
        <f>IFERROR(__xludf.DUMMYFUNCTION("""COMPUTED_VALUE"""),8413327.0)</f>
        <v>8413327</v>
      </c>
    </row>
    <row r="3936">
      <c r="A3936" t="str">
        <f t="shared" si="1"/>
        <v>cub#1969</v>
      </c>
      <c r="B3936" t="str">
        <f>IFERROR(__xludf.DUMMYFUNCTION("""COMPUTED_VALUE"""),"cub")</f>
        <v>cub</v>
      </c>
      <c r="C3936" t="str">
        <f>IFERROR(__xludf.DUMMYFUNCTION("""COMPUTED_VALUE"""),"Cuba")</f>
        <v>Cuba</v>
      </c>
      <c r="D3936">
        <f>IFERROR(__xludf.DUMMYFUNCTION("""COMPUTED_VALUE"""),1969.0)</f>
        <v>1969</v>
      </c>
      <c r="E3936">
        <f>IFERROR(__xludf.DUMMYFUNCTION("""COMPUTED_VALUE"""),8563193.0)</f>
        <v>8563193</v>
      </c>
    </row>
    <row r="3937">
      <c r="A3937" t="str">
        <f t="shared" si="1"/>
        <v>cub#1970</v>
      </c>
      <c r="B3937" t="str">
        <f>IFERROR(__xludf.DUMMYFUNCTION("""COMPUTED_VALUE"""),"cub")</f>
        <v>cub</v>
      </c>
      <c r="C3937" t="str">
        <f>IFERROR(__xludf.DUMMYFUNCTION("""COMPUTED_VALUE"""),"Cuba")</f>
        <v>Cuba</v>
      </c>
      <c r="D3937">
        <f>IFERROR(__xludf.DUMMYFUNCTION("""COMPUTED_VALUE"""),1970.0)</f>
        <v>1970</v>
      </c>
      <c r="E3937">
        <f>IFERROR(__xludf.DUMMYFUNCTION("""COMPUTED_VALUE"""),8715123.0)</f>
        <v>8715123</v>
      </c>
    </row>
    <row r="3938">
      <c r="A3938" t="str">
        <f t="shared" si="1"/>
        <v>cub#1971</v>
      </c>
      <c r="B3938" t="str">
        <f>IFERROR(__xludf.DUMMYFUNCTION("""COMPUTED_VALUE"""),"cub")</f>
        <v>cub</v>
      </c>
      <c r="C3938" t="str">
        <f>IFERROR(__xludf.DUMMYFUNCTION("""COMPUTED_VALUE"""),"Cuba")</f>
        <v>Cuba</v>
      </c>
      <c r="D3938">
        <f>IFERROR(__xludf.DUMMYFUNCTION("""COMPUTED_VALUE"""),1971.0)</f>
        <v>1971</v>
      </c>
      <c r="E3938">
        <f>IFERROR(__xludf.DUMMYFUNCTION("""COMPUTED_VALUE"""),8869961.0)</f>
        <v>8869961</v>
      </c>
    </row>
    <row r="3939">
      <c r="A3939" t="str">
        <f t="shared" si="1"/>
        <v>cub#1972</v>
      </c>
      <c r="B3939" t="str">
        <f>IFERROR(__xludf.DUMMYFUNCTION("""COMPUTED_VALUE"""),"cub")</f>
        <v>cub</v>
      </c>
      <c r="C3939" t="str">
        <f>IFERROR(__xludf.DUMMYFUNCTION("""COMPUTED_VALUE"""),"Cuba")</f>
        <v>Cuba</v>
      </c>
      <c r="D3939">
        <f>IFERROR(__xludf.DUMMYFUNCTION("""COMPUTED_VALUE"""),1972.0)</f>
        <v>1972</v>
      </c>
      <c r="E3939">
        <f>IFERROR(__xludf.DUMMYFUNCTION("""COMPUTED_VALUE"""),9025300.0)</f>
        <v>9025300</v>
      </c>
    </row>
    <row r="3940">
      <c r="A3940" t="str">
        <f t="shared" si="1"/>
        <v>cub#1973</v>
      </c>
      <c r="B3940" t="str">
        <f>IFERROR(__xludf.DUMMYFUNCTION("""COMPUTED_VALUE"""),"cub")</f>
        <v>cub</v>
      </c>
      <c r="C3940" t="str">
        <f>IFERROR(__xludf.DUMMYFUNCTION("""COMPUTED_VALUE"""),"Cuba")</f>
        <v>Cuba</v>
      </c>
      <c r="D3940">
        <f>IFERROR(__xludf.DUMMYFUNCTION("""COMPUTED_VALUE"""),1973.0)</f>
        <v>1973</v>
      </c>
      <c r="E3940">
        <f>IFERROR(__xludf.DUMMYFUNCTION("""COMPUTED_VALUE"""),9176052.0)</f>
        <v>9176052</v>
      </c>
    </row>
    <row r="3941">
      <c r="A3941" t="str">
        <f t="shared" si="1"/>
        <v>cub#1974</v>
      </c>
      <c r="B3941" t="str">
        <f>IFERROR(__xludf.DUMMYFUNCTION("""COMPUTED_VALUE"""),"cub")</f>
        <v>cub</v>
      </c>
      <c r="C3941" t="str">
        <f>IFERROR(__xludf.DUMMYFUNCTION("""COMPUTED_VALUE"""),"Cuba")</f>
        <v>Cuba</v>
      </c>
      <c r="D3941">
        <f>IFERROR(__xludf.DUMMYFUNCTION("""COMPUTED_VALUE"""),1974.0)</f>
        <v>1974</v>
      </c>
      <c r="E3941">
        <f>IFERROR(__xludf.DUMMYFUNCTION("""COMPUTED_VALUE"""),9315373.0)</f>
        <v>9315373</v>
      </c>
    </row>
    <row r="3942">
      <c r="A3942" t="str">
        <f t="shared" si="1"/>
        <v>cub#1975</v>
      </c>
      <c r="B3942" t="str">
        <f>IFERROR(__xludf.DUMMYFUNCTION("""COMPUTED_VALUE"""),"cub")</f>
        <v>cub</v>
      </c>
      <c r="C3942" t="str">
        <f>IFERROR(__xludf.DUMMYFUNCTION("""COMPUTED_VALUE"""),"Cuba")</f>
        <v>Cuba</v>
      </c>
      <c r="D3942">
        <f>IFERROR(__xludf.DUMMYFUNCTION("""COMPUTED_VALUE"""),1975.0)</f>
        <v>1975</v>
      </c>
      <c r="E3942">
        <f>IFERROR(__xludf.DUMMYFUNCTION("""COMPUTED_VALUE"""),9438442.0)</f>
        <v>9438442</v>
      </c>
    </row>
    <row r="3943">
      <c r="A3943" t="str">
        <f t="shared" si="1"/>
        <v>cub#1976</v>
      </c>
      <c r="B3943" t="str">
        <f>IFERROR(__xludf.DUMMYFUNCTION("""COMPUTED_VALUE"""),"cub")</f>
        <v>cub</v>
      </c>
      <c r="C3943" t="str">
        <f>IFERROR(__xludf.DUMMYFUNCTION("""COMPUTED_VALUE"""),"Cuba")</f>
        <v>Cuba</v>
      </c>
      <c r="D3943">
        <f>IFERROR(__xludf.DUMMYFUNCTION("""COMPUTED_VALUE"""),1976.0)</f>
        <v>1976</v>
      </c>
      <c r="E3943">
        <f>IFERROR(__xludf.DUMMYFUNCTION("""COMPUTED_VALUE"""),9544271.0)</f>
        <v>9544271</v>
      </c>
    </row>
    <row r="3944">
      <c r="A3944" t="str">
        <f t="shared" si="1"/>
        <v>cub#1977</v>
      </c>
      <c r="B3944" t="str">
        <f>IFERROR(__xludf.DUMMYFUNCTION("""COMPUTED_VALUE"""),"cub")</f>
        <v>cub</v>
      </c>
      <c r="C3944" t="str">
        <f>IFERROR(__xludf.DUMMYFUNCTION("""COMPUTED_VALUE"""),"Cuba")</f>
        <v>Cuba</v>
      </c>
      <c r="D3944">
        <f>IFERROR(__xludf.DUMMYFUNCTION("""COMPUTED_VALUE"""),1977.0)</f>
        <v>1977</v>
      </c>
      <c r="E3944">
        <f>IFERROR(__xludf.DUMMYFUNCTION("""COMPUTED_VALUE"""),9634680.0)</f>
        <v>9634680</v>
      </c>
    </row>
    <row r="3945">
      <c r="A3945" t="str">
        <f t="shared" si="1"/>
        <v>cub#1978</v>
      </c>
      <c r="B3945" t="str">
        <f>IFERROR(__xludf.DUMMYFUNCTION("""COMPUTED_VALUE"""),"cub")</f>
        <v>cub</v>
      </c>
      <c r="C3945" t="str">
        <f>IFERROR(__xludf.DUMMYFUNCTION("""COMPUTED_VALUE"""),"Cuba")</f>
        <v>Cuba</v>
      </c>
      <c r="D3945">
        <f>IFERROR(__xludf.DUMMYFUNCTION("""COMPUTED_VALUE"""),1978.0)</f>
        <v>1978</v>
      </c>
      <c r="E3945">
        <f>IFERROR(__xludf.DUMMYFUNCTION("""COMPUTED_VALUE"""),9711392.0)</f>
        <v>9711392</v>
      </c>
    </row>
    <row r="3946">
      <c r="A3946" t="str">
        <f t="shared" si="1"/>
        <v>cub#1979</v>
      </c>
      <c r="B3946" t="str">
        <f>IFERROR(__xludf.DUMMYFUNCTION("""COMPUTED_VALUE"""),"cub")</f>
        <v>cub</v>
      </c>
      <c r="C3946" t="str">
        <f>IFERROR(__xludf.DUMMYFUNCTION("""COMPUTED_VALUE"""),"Cuba")</f>
        <v>Cuba</v>
      </c>
      <c r="D3946">
        <f>IFERROR(__xludf.DUMMYFUNCTION("""COMPUTED_VALUE"""),1979.0)</f>
        <v>1979</v>
      </c>
      <c r="E3946">
        <f>IFERROR(__xludf.DUMMYFUNCTION("""COMPUTED_VALUE"""),9777290.0)</f>
        <v>9777290</v>
      </c>
    </row>
    <row r="3947">
      <c r="A3947" t="str">
        <f t="shared" si="1"/>
        <v>cub#1980</v>
      </c>
      <c r="B3947" t="str">
        <f>IFERROR(__xludf.DUMMYFUNCTION("""COMPUTED_VALUE"""),"cub")</f>
        <v>cub</v>
      </c>
      <c r="C3947" t="str">
        <f>IFERROR(__xludf.DUMMYFUNCTION("""COMPUTED_VALUE"""),"Cuba")</f>
        <v>Cuba</v>
      </c>
      <c r="D3947">
        <f>IFERROR(__xludf.DUMMYFUNCTION("""COMPUTED_VALUE"""),1980.0)</f>
        <v>1980</v>
      </c>
      <c r="E3947">
        <f>IFERROR(__xludf.DUMMYFUNCTION("""COMPUTED_VALUE"""),9835177.0)</f>
        <v>9835177</v>
      </c>
    </row>
    <row r="3948">
      <c r="A3948" t="str">
        <f t="shared" si="1"/>
        <v>cub#1981</v>
      </c>
      <c r="B3948" t="str">
        <f>IFERROR(__xludf.DUMMYFUNCTION("""COMPUTED_VALUE"""),"cub")</f>
        <v>cub</v>
      </c>
      <c r="C3948" t="str">
        <f>IFERROR(__xludf.DUMMYFUNCTION("""COMPUTED_VALUE"""),"Cuba")</f>
        <v>Cuba</v>
      </c>
      <c r="D3948">
        <f>IFERROR(__xludf.DUMMYFUNCTION("""COMPUTED_VALUE"""),1981.0)</f>
        <v>1981</v>
      </c>
      <c r="E3948">
        <f>IFERROR(__xludf.DUMMYFUNCTION("""COMPUTED_VALUE"""),9884213.0)</f>
        <v>9884213</v>
      </c>
    </row>
    <row r="3949">
      <c r="A3949" t="str">
        <f t="shared" si="1"/>
        <v>cub#1982</v>
      </c>
      <c r="B3949" t="str">
        <f>IFERROR(__xludf.DUMMYFUNCTION("""COMPUTED_VALUE"""),"cub")</f>
        <v>cub</v>
      </c>
      <c r="C3949" t="str">
        <f>IFERROR(__xludf.DUMMYFUNCTION("""COMPUTED_VALUE"""),"Cuba")</f>
        <v>Cuba</v>
      </c>
      <c r="D3949">
        <f>IFERROR(__xludf.DUMMYFUNCTION("""COMPUTED_VALUE"""),1982.0)</f>
        <v>1982</v>
      </c>
      <c r="E3949">
        <f>IFERROR(__xludf.DUMMYFUNCTION("""COMPUTED_VALUE"""),9925623.0)</f>
        <v>9925623</v>
      </c>
    </row>
    <row r="3950">
      <c r="A3950" t="str">
        <f t="shared" si="1"/>
        <v>cub#1983</v>
      </c>
      <c r="B3950" t="str">
        <f>IFERROR(__xludf.DUMMYFUNCTION("""COMPUTED_VALUE"""),"cub")</f>
        <v>cub</v>
      </c>
      <c r="C3950" t="str">
        <f>IFERROR(__xludf.DUMMYFUNCTION("""COMPUTED_VALUE"""),"Cuba")</f>
        <v>Cuba</v>
      </c>
      <c r="D3950">
        <f>IFERROR(__xludf.DUMMYFUNCTION("""COMPUTED_VALUE"""),1983.0)</f>
        <v>1983</v>
      </c>
      <c r="E3950">
        <f>IFERROR(__xludf.DUMMYFUNCTION("""COMPUTED_VALUE"""),9966733.0)</f>
        <v>9966733</v>
      </c>
    </row>
    <row r="3951">
      <c r="A3951" t="str">
        <f t="shared" si="1"/>
        <v>cub#1984</v>
      </c>
      <c r="B3951" t="str">
        <f>IFERROR(__xludf.DUMMYFUNCTION("""COMPUTED_VALUE"""),"cub")</f>
        <v>cub</v>
      </c>
      <c r="C3951" t="str">
        <f>IFERROR(__xludf.DUMMYFUNCTION("""COMPUTED_VALUE"""),"Cuba")</f>
        <v>Cuba</v>
      </c>
      <c r="D3951">
        <f>IFERROR(__xludf.DUMMYFUNCTION("""COMPUTED_VALUE"""),1984.0)</f>
        <v>1984</v>
      </c>
      <c r="E3951">
        <f>IFERROR(__xludf.DUMMYFUNCTION("""COMPUTED_VALUE"""),1.0017059E7)</f>
        <v>10017059</v>
      </c>
    </row>
    <row r="3952">
      <c r="A3952" t="str">
        <f t="shared" si="1"/>
        <v>cub#1985</v>
      </c>
      <c r="B3952" t="str">
        <f>IFERROR(__xludf.DUMMYFUNCTION("""COMPUTED_VALUE"""),"cub")</f>
        <v>cub</v>
      </c>
      <c r="C3952" t="str">
        <f>IFERROR(__xludf.DUMMYFUNCTION("""COMPUTED_VALUE"""),"Cuba")</f>
        <v>Cuba</v>
      </c>
      <c r="D3952">
        <f>IFERROR(__xludf.DUMMYFUNCTION("""COMPUTED_VALUE"""),1985.0)</f>
        <v>1985</v>
      </c>
      <c r="E3952">
        <f>IFERROR(__xludf.DUMMYFUNCTION("""COMPUTED_VALUE"""),1.0082989E7)</f>
        <v>10082989</v>
      </c>
    </row>
    <row r="3953">
      <c r="A3953" t="str">
        <f t="shared" si="1"/>
        <v>cub#1986</v>
      </c>
      <c r="B3953" t="str">
        <f>IFERROR(__xludf.DUMMYFUNCTION("""COMPUTED_VALUE"""),"cub")</f>
        <v>cub</v>
      </c>
      <c r="C3953" t="str">
        <f>IFERROR(__xludf.DUMMYFUNCTION("""COMPUTED_VALUE"""),"Cuba")</f>
        <v>Cuba</v>
      </c>
      <c r="D3953">
        <f>IFERROR(__xludf.DUMMYFUNCTION("""COMPUTED_VALUE"""),1986.0)</f>
        <v>1986</v>
      </c>
      <c r="E3953">
        <f>IFERROR(__xludf.DUMMYFUNCTION("""COMPUTED_VALUE"""),1.0168087E7)</f>
        <v>10168087</v>
      </c>
    </row>
    <row r="3954">
      <c r="A3954" t="str">
        <f t="shared" si="1"/>
        <v>cub#1987</v>
      </c>
      <c r="B3954" t="str">
        <f>IFERROR(__xludf.DUMMYFUNCTION("""COMPUTED_VALUE"""),"cub")</f>
        <v>cub</v>
      </c>
      <c r="C3954" t="str">
        <f>IFERROR(__xludf.DUMMYFUNCTION("""COMPUTED_VALUE"""),"Cuba")</f>
        <v>Cuba</v>
      </c>
      <c r="D3954">
        <f>IFERROR(__xludf.DUMMYFUNCTION("""COMPUTED_VALUE"""),1987.0)</f>
        <v>1987</v>
      </c>
      <c r="E3954">
        <f>IFERROR(__xludf.DUMMYFUNCTION("""COMPUTED_VALUE"""),1.0269567E7)</f>
        <v>10269567</v>
      </c>
    </row>
    <row r="3955">
      <c r="A3955" t="str">
        <f t="shared" si="1"/>
        <v>cub#1988</v>
      </c>
      <c r="B3955" t="str">
        <f>IFERROR(__xludf.DUMMYFUNCTION("""COMPUTED_VALUE"""),"cub")</f>
        <v>cub</v>
      </c>
      <c r="C3955" t="str">
        <f>IFERROR(__xludf.DUMMYFUNCTION("""COMPUTED_VALUE"""),"Cuba")</f>
        <v>Cuba</v>
      </c>
      <c r="D3955">
        <f>IFERROR(__xludf.DUMMYFUNCTION("""COMPUTED_VALUE"""),1988.0)</f>
        <v>1988</v>
      </c>
      <c r="E3955">
        <f>IFERROR(__xludf.DUMMYFUNCTION("""COMPUTED_VALUE"""),1.0379548E7)</f>
        <v>10379548</v>
      </c>
    </row>
    <row r="3956">
      <c r="A3956" t="str">
        <f t="shared" si="1"/>
        <v>cub#1989</v>
      </c>
      <c r="B3956" t="str">
        <f>IFERROR(__xludf.DUMMYFUNCTION("""COMPUTED_VALUE"""),"cub")</f>
        <v>cub</v>
      </c>
      <c r="C3956" t="str">
        <f>IFERROR(__xludf.DUMMYFUNCTION("""COMPUTED_VALUE"""),"Cuba")</f>
        <v>Cuba</v>
      </c>
      <c r="D3956">
        <f>IFERROR(__xludf.DUMMYFUNCTION("""COMPUTED_VALUE"""),1989.0)</f>
        <v>1989</v>
      </c>
      <c r="E3956">
        <f>IFERROR(__xludf.DUMMYFUNCTION("""COMPUTED_VALUE"""),1.0486509E7)</f>
        <v>10486509</v>
      </c>
    </row>
    <row r="3957">
      <c r="A3957" t="str">
        <f t="shared" si="1"/>
        <v>cub#1990</v>
      </c>
      <c r="B3957" t="str">
        <f>IFERROR(__xludf.DUMMYFUNCTION("""COMPUTED_VALUE"""),"cub")</f>
        <v>cub</v>
      </c>
      <c r="C3957" t="str">
        <f>IFERROR(__xludf.DUMMYFUNCTION("""COMPUTED_VALUE"""),"Cuba")</f>
        <v>Cuba</v>
      </c>
      <c r="D3957">
        <f>IFERROR(__xludf.DUMMYFUNCTION("""COMPUTED_VALUE"""),1990.0)</f>
        <v>1990</v>
      </c>
      <c r="E3957">
        <f>IFERROR(__xludf.DUMMYFUNCTION("""COMPUTED_VALUE"""),1.0582081E7)</f>
        <v>10582081</v>
      </c>
    </row>
    <row r="3958">
      <c r="A3958" t="str">
        <f t="shared" si="1"/>
        <v>cub#1991</v>
      </c>
      <c r="B3958" t="str">
        <f>IFERROR(__xludf.DUMMYFUNCTION("""COMPUTED_VALUE"""),"cub")</f>
        <v>cub</v>
      </c>
      <c r="C3958" t="str">
        <f>IFERROR(__xludf.DUMMYFUNCTION("""COMPUTED_VALUE"""),"Cuba")</f>
        <v>Cuba</v>
      </c>
      <c r="D3958">
        <f>IFERROR(__xludf.DUMMYFUNCTION("""COMPUTED_VALUE"""),1991.0)</f>
        <v>1991</v>
      </c>
      <c r="E3958">
        <f>IFERROR(__xludf.DUMMYFUNCTION("""COMPUTED_VALUE"""),1.0663585E7)</f>
        <v>10663585</v>
      </c>
    </row>
    <row r="3959">
      <c r="A3959" t="str">
        <f t="shared" si="1"/>
        <v>cub#1992</v>
      </c>
      <c r="B3959" t="str">
        <f>IFERROR(__xludf.DUMMYFUNCTION("""COMPUTED_VALUE"""),"cub")</f>
        <v>cub</v>
      </c>
      <c r="C3959" t="str">
        <f>IFERROR(__xludf.DUMMYFUNCTION("""COMPUTED_VALUE"""),"Cuba")</f>
        <v>Cuba</v>
      </c>
      <c r="D3959">
        <f>IFERROR(__xludf.DUMMYFUNCTION("""COMPUTED_VALUE"""),1992.0)</f>
        <v>1992</v>
      </c>
      <c r="E3959">
        <f>IFERROR(__xludf.DUMMYFUNCTION("""COMPUTED_VALUE"""),1.0733363E7)</f>
        <v>10733363</v>
      </c>
    </row>
    <row r="3960">
      <c r="A3960" t="str">
        <f t="shared" si="1"/>
        <v>cub#1993</v>
      </c>
      <c r="B3960" t="str">
        <f>IFERROR(__xludf.DUMMYFUNCTION("""COMPUTED_VALUE"""),"cub")</f>
        <v>cub</v>
      </c>
      <c r="C3960" t="str">
        <f>IFERROR(__xludf.DUMMYFUNCTION("""COMPUTED_VALUE"""),"Cuba")</f>
        <v>Cuba</v>
      </c>
      <c r="D3960">
        <f>IFERROR(__xludf.DUMMYFUNCTION("""COMPUTED_VALUE"""),1993.0)</f>
        <v>1993</v>
      </c>
      <c r="E3960">
        <f>IFERROR(__xludf.DUMMYFUNCTION("""COMPUTED_VALUE"""),1.0794135E7)</f>
        <v>10794135</v>
      </c>
    </row>
    <row r="3961">
      <c r="A3961" t="str">
        <f t="shared" si="1"/>
        <v>cub#1994</v>
      </c>
      <c r="B3961" t="str">
        <f>IFERROR(__xludf.DUMMYFUNCTION("""COMPUTED_VALUE"""),"cub")</f>
        <v>cub</v>
      </c>
      <c r="C3961" t="str">
        <f>IFERROR(__xludf.DUMMYFUNCTION("""COMPUTED_VALUE"""),"Cuba")</f>
        <v>Cuba</v>
      </c>
      <c r="D3961">
        <f>IFERROR(__xludf.DUMMYFUNCTION("""COMPUTED_VALUE"""),1994.0)</f>
        <v>1994</v>
      </c>
      <c r="E3961">
        <f>IFERROR(__xludf.DUMMYFUNCTION("""COMPUTED_VALUE"""),1.0850585E7)</f>
        <v>10850585</v>
      </c>
    </row>
    <row r="3962">
      <c r="A3962" t="str">
        <f t="shared" si="1"/>
        <v>cub#1995</v>
      </c>
      <c r="B3962" t="str">
        <f>IFERROR(__xludf.DUMMYFUNCTION("""COMPUTED_VALUE"""),"cub")</f>
        <v>cub</v>
      </c>
      <c r="C3962" t="str">
        <f>IFERROR(__xludf.DUMMYFUNCTION("""COMPUTED_VALUE"""),"Cuba")</f>
        <v>Cuba</v>
      </c>
      <c r="D3962">
        <f>IFERROR(__xludf.DUMMYFUNCTION("""COMPUTED_VALUE"""),1995.0)</f>
        <v>1995</v>
      </c>
      <c r="E3962">
        <f>IFERROR(__xludf.DUMMYFUNCTION("""COMPUTED_VALUE"""),1.0906043E7)</f>
        <v>10906043</v>
      </c>
    </row>
    <row r="3963">
      <c r="A3963" t="str">
        <f t="shared" si="1"/>
        <v>cub#1996</v>
      </c>
      <c r="B3963" t="str">
        <f>IFERROR(__xludf.DUMMYFUNCTION("""COMPUTED_VALUE"""),"cub")</f>
        <v>cub</v>
      </c>
      <c r="C3963" t="str">
        <f>IFERROR(__xludf.DUMMYFUNCTION("""COMPUTED_VALUE"""),"Cuba")</f>
        <v>Cuba</v>
      </c>
      <c r="D3963">
        <f>IFERROR(__xludf.DUMMYFUNCTION("""COMPUTED_VALUE"""),1996.0)</f>
        <v>1996</v>
      </c>
      <c r="E3963">
        <f>IFERROR(__xludf.DUMMYFUNCTION("""COMPUTED_VALUE"""),1.0961012E7)</f>
        <v>10961012</v>
      </c>
    </row>
    <row r="3964">
      <c r="A3964" t="str">
        <f t="shared" si="1"/>
        <v>cub#1997</v>
      </c>
      <c r="B3964" t="str">
        <f>IFERROR(__xludf.DUMMYFUNCTION("""COMPUTED_VALUE"""),"cub")</f>
        <v>cub</v>
      </c>
      <c r="C3964" t="str">
        <f>IFERROR(__xludf.DUMMYFUNCTION("""COMPUTED_VALUE"""),"Cuba")</f>
        <v>Cuba</v>
      </c>
      <c r="D3964">
        <f>IFERROR(__xludf.DUMMYFUNCTION("""COMPUTED_VALUE"""),1997.0)</f>
        <v>1997</v>
      </c>
      <c r="E3964">
        <f>IFERROR(__xludf.DUMMYFUNCTION("""COMPUTED_VALUE"""),1.1013983E7)</f>
        <v>11013983</v>
      </c>
    </row>
    <row r="3965">
      <c r="A3965" t="str">
        <f t="shared" si="1"/>
        <v>cub#1998</v>
      </c>
      <c r="B3965" t="str">
        <f>IFERROR(__xludf.DUMMYFUNCTION("""COMPUTED_VALUE"""),"cub")</f>
        <v>cub</v>
      </c>
      <c r="C3965" t="str">
        <f>IFERROR(__xludf.DUMMYFUNCTION("""COMPUTED_VALUE"""),"Cuba")</f>
        <v>Cuba</v>
      </c>
      <c r="D3965">
        <f>IFERROR(__xludf.DUMMYFUNCTION("""COMPUTED_VALUE"""),1998.0)</f>
        <v>1998</v>
      </c>
      <c r="E3965">
        <f>IFERROR(__xludf.DUMMYFUNCTION("""COMPUTED_VALUE"""),1.1064097E7)</f>
        <v>11064097</v>
      </c>
    </row>
    <row r="3966">
      <c r="A3966" t="str">
        <f t="shared" si="1"/>
        <v>cub#1999</v>
      </c>
      <c r="B3966" t="str">
        <f>IFERROR(__xludf.DUMMYFUNCTION("""COMPUTED_VALUE"""),"cub")</f>
        <v>cub</v>
      </c>
      <c r="C3966" t="str">
        <f>IFERROR(__xludf.DUMMYFUNCTION("""COMPUTED_VALUE"""),"Cuba")</f>
        <v>Cuba</v>
      </c>
      <c r="D3966">
        <f>IFERROR(__xludf.DUMMYFUNCTION("""COMPUTED_VALUE"""),1999.0)</f>
        <v>1999</v>
      </c>
      <c r="E3966">
        <f>IFERROR(__xludf.DUMMYFUNCTION("""COMPUTED_VALUE"""),1.1110004E7)</f>
        <v>11110004</v>
      </c>
    </row>
    <row r="3967">
      <c r="A3967" t="str">
        <f t="shared" si="1"/>
        <v>cub#2000</v>
      </c>
      <c r="B3967" t="str">
        <f>IFERROR(__xludf.DUMMYFUNCTION("""COMPUTED_VALUE"""),"cub")</f>
        <v>cub</v>
      </c>
      <c r="C3967" t="str">
        <f>IFERROR(__xludf.DUMMYFUNCTION("""COMPUTED_VALUE"""),"Cuba")</f>
        <v>Cuba</v>
      </c>
      <c r="D3967">
        <f>IFERROR(__xludf.DUMMYFUNCTION("""COMPUTED_VALUE"""),2000.0)</f>
        <v>2000</v>
      </c>
      <c r="E3967">
        <f>IFERROR(__xludf.DUMMYFUNCTION("""COMPUTED_VALUE"""),1.1150736E7)</f>
        <v>11150736</v>
      </c>
    </row>
    <row r="3968">
      <c r="A3968" t="str">
        <f t="shared" si="1"/>
        <v>cub#2001</v>
      </c>
      <c r="B3968" t="str">
        <f>IFERROR(__xludf.DUMMYFUNCTION("""COMPUTED_VALUE"""),"cub")</f>
        <v>cub</v>
      </c>
      <c r="C3968" t="str">
        <f>IFERROR(__xludf.DUMMYFUNCTION("""COMPUTED_VALUE"""),"Cuba")</f>
        <v>Cuba</v>
      </c>
      <c r="D3968">
        <f>IFERROR(__xludf.DUMMYFUNCTION("""COMPUTED_VALUE"""),2001.0)</f>
        <v>2001</v>
      </c>
      <c r="E3968">
        <f>IFERROR(__xludf.DUMMYFUNCTION("""COMPUTED_VALUE"""),1.1186542E7)</f>
        <v>11186542</v>
      </c>
    </row>
    <row r="3969">
      <c r="A3969" t="str">
        <f t="shared" si="1"/>
        <v>cub#2002</v>
      </c>
      <c r="B3969" t="str">
        <f>IFERROR(__xludf.DUMMYFUNCTION("""COMPUTED_VALUE"""),"cub")</f>
        <v>cub</v>
      </c>
      <c r="C3969" t="str">
        <f>IFERROR(__xludf.DUMMYFUNCTION("""COMPUTED_VALUE"""),"Cuba")</f>
        <v>Cuba</v>
      </c>
      <c r="D3969">
        <f>IFERROR(__xludf.DUMMYFUNCTION("""COMPUTED_VALUE"""),2002.0)</f>
        <v>2002</v>
      </c>
      <c r="E3969">
        <f>IFERROR(__xludf.DUMMYFUNCTION("""COMPUTED_VALUE"""),1.1217998E7)</f>
        <v>11217998</v>
      </c>
    </row>
    <row r="3970">
      <c r="A3970" t="str">
        <f t="shared" si="1"/>
        <v>cub#2003</v>
      </c>
      <c r="B3970" t="str">
        <f>IFERROR(__xludf.DUMMYFUNCTION("""COMPUTED_VALUE"""),"cub")</f>
        <v>cub</v>
      </c>
      <c r="C3970" t="str">
        <f>IFERROR(__xludf.DUMMYFUNCTION("""COMPUTED_VALUE"""),"Cuba")</f>
        <v>Cuba</v>
      </c>
      <c r="D3970">
        <f>IFERROR(__xludf.DUMMYFUNCTION("""COMPUTED_VALUE"""),2003.0)</f>
        <v>2003</v>
      </c>
      <c r="E3970">
        <f>IFERROR(__xludf.DUMMYFUNCTION("""COMPUTED_VALUE"""),1.1244885E7)</f>
        <v>11244885</v>
      </c>
    </row>
    <row r="3971">
      <c r="A3971" t="str">
        <f t="shared" si="1"/>
        <v>cub#2004</v>
      </c>
      <c r="B3971" t="str">
        <f>IFERROR(__xludf.DUMMYFUNCTION("""COMPUTED_VALUE"""),"cub")</f>
        <v>cub</v>
      </c>
      <c r="C3971" t="str">
        <f>IFERROR(__xludf.DUMMYFUNCTION("""COMPUTED_VALUE"""),"Cuba")</f>
        <v>Cuba</v>
      </c>
      <c r="D3971">
        <f>IFERROR(__xludf.DUMMYFUNCTION("""COMPUTED_VALUE"""),2004.0)</f>
        <v>2004</v>
      </c>
      <c r="E3971">
        <f>IFERROR(__xludf.DUMMYFUNCTION("""COMPUTED_VALUE"""),1.1266941E7)</f>
        <v>11266941</v>
      </c>
    </row>
    <row r="3972">
      <c r="A3972" t="str">
        <f t="shared" si="1"/>
        <v>cub#2005</v>
      </c>
      <c r="B3972" t="str">
        <f>IFERROR(__xludf.DUMMYFUNCTION("""COMPUTED_VALUE"""),"cub")</f>
        <v>cub</v>
      </c>
      <c r="C3972" t="str">
        <f>IFERROR(__xludf.DUMMYFUNCTION("""COMPUTED_VALUE"""),"Cuba")</f>
        <v>Cuba</v>
      </c>
      <c r="D3972">
        <f>IFERROR(__xludf.DUMMYFUNCTION("""COMPUTED_VALUE"""),2005.0)</f>
        <v>2005</v>
      </c>
      <c r="E3972">
        <f>IFERROR(__xludf.DUMMYFUNCTION("""COMPUTED_VALUE"""),1.1284253E7)</f>
        <v>11284253</v>
      </c>
    </row>
    <row r="3973">
      <c r="A3973" t="str">
        <f t="shared" si="1"/>
        <v>cub#2006</v>
      </c>
      <c r="B3973" t="str">
        <f>IFERROR(__xludf.DUMMYFUNCTION("""COMPUTED_VALUE"""),"cub")</f>
        <v>cub</v>
      </c>
      <c r="C3973" t="str">
        <f>IFERROR(__xludf.DUMMYFUNCTION("""COMPUTED_VALUE"""),"Cuba")</f>
        <v>Cuba</v>
      </c>
      <c r="D3973">
        <f>IFERROR(__xludf.DUMMYFUNCTION("""COMPUTED_VALUE"""),2006.0)</f>
        <v>2006</v>
      </c>
      <c r="E3973">
        <f>IFERROR(__xludf.DUMMYFUNCTION("""COMPUTED_VALUE"""),1.1296233E7)</f>
        <v>11296233</v>
      </c>
    </row>
    <row r="3974">
      <c r="A3974" t="str">
        <f t="shared" si="1"/>
        <v>cub#2007</v>
      </c>
      <c r="B3974" t="str">
        <f>IFERROR(__xludf.DUMMYFUNCTION("""COMPUTED_VALUE"""),"cub")</f>
        <v>cub</v>
      </c>
      <c r="C3974" t="str">
        <f>IFERROR(__xludf.DUMMYFUNCTION("""COMPUTED_VALUE"""),"Cuba")</f>
        <v>Cuba</v>
      </c>
      <c r="D3974">
        <f>IFERROR(__xludf.DUMMYFUNCTION("""COMPUTED_VALUE"""),2007.0)</f>
        <v>2007</v>
      </c>
      <c r="E3974">
        <f>IFERROR(__xludf.DUMMYFUNCTION("""COMPUTED_VALUE"""),1.1303687E7)</f>
        <v>11303687</v>
      </c>
    </row>
    <row r="3975">
      <c r="A3975" t="str">
        <f t="shared" si="1"/>
        <v>cub#2008</v>
      </c>
      <c r="B3975" t="str">
        <f>IFERROR(__xludf.DUMMYFUNCTION("""COMPUTED_VALUE"""),"cub")</f>
        <v>cub</v>
      </c>
      <c r="C3975" t="str">
        <f>IFERROR(__xludf.DUMMYFUNCTION("""COMPUTED_VALUE"""),"Cuba")</f>
        <v>Cuba</v>
      </c>
      <c r="D3975">
        <f>IFERROR(__xludf.DUMMYFUNCTION("""COMPUTED_VALUE"""),2008.0)</f>
        <v>2008</v>
      </c>
      <c r="E3975">
        <f>IFERROR(__xludf.DUMMYFUNCTION("""COMPUTED_VALUE"""),1.1309754E7)</f>
        <v>11309754</v>
      </c>
    </row>
    <row r="3976">
      <c r="A3976" t="str">
        <f t="shared" si="1"/>
        <v>cub#2009</v>
      </c>
      <c r="B3976" t="str">
        <f>IFERROR(__xludf.DUMMYFUNCTION("""COMPUTED_VALUE"""),"cub")</f>
        <v>cub</v>
      </c>
      <c r="C3976" t="str">
        <f>IFERROR(__xludf.DUMMYFUNCTION("""COMPUTED_VALUE"""),"Cuba")</f>
        <v>Cuba</v>
      </c>
      <c r="D3976">
        <f>IFERROR(__xludf.DUMMYFUNCTION("""COMPUTED_VALUE"""),2009.0)</f>
        <v>2009</v>
      </c>
      <c r="E3976">
        <f>IFERROR(__xludf.DUMMYFUNCTION("""COMPUTED_VALUE"""),1.1318602E7)</f>
        <v>11318602</v>
      </c>
    </row>
    <row r="3977">
      <c r="A3977" t="str">
        <f t="shared" si="1"/>
        <v>cub#2010</v>
      </c>
      <c r="B3977" t="str">
        <f>IFERROR(__xludf.DUMMYFUNCTION("""COMPUTED_VALUE"""),"cub")</f>
        <v>cub</v>
      </c>
      <c r="C3977" t="str">
        <f>IFERROR(__xludf.DUMMYFUNCTION("""COMPUTED_VALUE"""),"Cuba")</f>
        <v>Cuba</v>
      </c>
      <c r="D3977">
        <f>IFERROR(__xludf.DUMMYFUNCTION("""COMPUTED_VALUE"""),2010.0)</f>
        <v>2010</v>
      </c>
      <c r="E3977">
        <f>IFERROR(__xludf.DUMMYFUNCTION("""COMPUTED_VALUE"""),1.1333051E7)</f>
        <v>11333051</v>
      </c>
    </row>
    <row r="3978">
      <c r="A3978" t="str">
        <f t="shared" si="1"/>
        <v>cub#2011</v>
      </c>
      <c r="B3978" t="str">
        <f>IFERROR(__xludf.DUMMYFUNCTION("""COMPUTED_VALUE"""),"cub")</f>
        <v>cub</v>
      </c>
      <c r="C3978" t="str">
        <f>IFERROR(__xludf.DUMMYFUNCTION("""COMPUTED_VALUE"""),"Cuba")</f>
        <v>Cuba</v>
      </c>
      <c r="D3978">
        <f>IFERROR(__xludf.DUMMYFUNCTION("""COMPUTED_VALUE"""),2011.0)</f>
        <v>2011</v>
      </c>
      <c r="E3978">
        <f>IFERROR(__xludf.DUMMYFUNCTION("""COMPUTED_VALUE"""),1.1354651E7)</f>
        <v>11354651</v>
      </c>
    </row>
    <row r="3979">
      <c r="A3979" t="str">
        <f t="shared" si="1"/>
        <v>cub#2012</v>
      </c>
      <c r="B3979" t="str">
        <f>IFERROR(__xludf.DUMMYFUNCTION("""COMPUTED_VALUE"""),"cub")</f>
        <v>cub</v>
      </c>
      <c r="C3979" t="str">
        <f>IFERROR(__xludf.DUMMYFUNCTION("""COMPUTED_VALUE"""),"Cuba")</f>
        <v>Cuba</v>
      </c>
      <c r="D3979">
        <f>IFERROR(__xludf.DUMMYFUNCTION("""COMPUTED_VALUE"""),2012.0)</f>
        <v>2012</v>
      </c>
      <c r="E3979">
        <f>IFERROR(__xludf.DUMMYFUNCTION("""COMPUTED_VALUE"""),1.1382146E7)</f>
        <v>11382146</v>
      </c>
    </row>
    <row r="3980">
      <c r="A3980" t="str">
        <f t="shared" si="1"/>
        <v>cub#2013</v>
      </c>
      <c r="B3980" t="str">
        <f>IFERROR(__xludf.DUMMYFUNCTION("""COMPUTED_VALUE"""),"cub")</f>
        <v>cub</v>
      </c>
      <c r="C3980" t="str">
        <f>IFERROR(__xludf.DUMMYFUNCTION("""COMPUTED_VALUE"""),"Cuba")</f>
        <v>Cuba</v>
      </c>
      <c r="D3980">
        <f>IFERROR(__xludf.DUMMYFUNCTION("""COMPUTED_VALUE"""),2013.0)</f>
        <v>2013</v>
      </c>
      <c r="E3980">
        <f>IFERROR(__xludf.DUMMYFUNCTION("""COMPUTED_VALUE"""),1.1412167E7)</f>
        <v>11412167</v>
      </c>
    </row>
    <row r="3981">
      <c r="A3981" t="str">
        <f t="shared" si="1"/>
        <v>cub#2014</v>
      </c>
      <c r="B3981" t="str">
        <f>IFERROR(__xludf.DUMMYFUNCTION("""COMPUTED_VALUE"""),"cub")</f>
        <v>cub</v>
      </c>
      <c r="C3981" t="str">
        <f>IFERROR(__xludf.DUMMYFUNCTION("""COMPUTED_VALUE"""),"Cuba")</f>
        <v>Cuba</v>
      </c>
      <c r="D3981">
        <f>IFERROR(__xludf.DUMMYFUNCTION("""COMPUTED_VALUE"""),2014.0)</f>
        <v>2014</v>
      </c>
      <c r="E3981">
        <f>IFERROR(__xludf.DUMMYFUNCTION("""COMPUTED_VALUE"""),1.1439767E7)</f>
        <v>11439767</v>
      </c>
    </row>
    <row r="3982">
      <c r="A3982" t="str">
        <f t="shared" si="1"/>
        <v>cub#2015</v>
      </c>
      <c r="B3982" t="str">
        <f>IFERROR(__xludf.DUMMYFUNCTION("""COMPUTED_VALUE"""),"cub")</f>
        <v>cub</v>
      </c>
      <c r="C3982" t="str">
        <f>IFERROR(__xludf.DUMMYFUNCTION("""COMPUTED_VALUE"""),"Cuba")</f>
        <v>Cuba</v>
      </c>
      <c r="D3982">
        <f>IFERROR(__xludf.DUMMYFUNCTION("""COMPUTED_VALUE"""),2015.0)</f>
        <v>2015</v>
      </c>
      <c r="E3982">
        <f>IFERROR(__xludf.DUMMYFUNCTION("""COMPUTED_VALUE"""),1.1461432E7)</f>
        <v>11461432</v>
      </c>
    </row>
    <row r="3983">
      <c r="A3983" t="str">
        <f t="shared" si="1"/>
        <v>cub#2016</v>
      </c>
      <c r="B3983" t="str">
        <f>IFERROR(__xludf.DUMMYFUNCTION("""COMPUTED_VALUE"""),"cub")</f>
        <v>cub</v>
      </c>
      <c r="C3983" t="str">
        <f>IFERROR(__xludf.DUMMYFUNCTION("""COMPUTED_VALUE"""),"Cuba")</f>
        <v>Cuba</v>
      </c>
      <c r="D3983">
        <f>IFERROR(__xludf.DUMMYFUNCTION("""COMPUTED_VALUE"""),2016.0)</f>
        <v>2016</v>
      </c>
      <c r="E3983">
        <f>IFERROR(__xludf.DUMMYFUNCTION("""COMPUTED_VALUE"""),1.1475982E7)</f>
        <v>11475982</v>
      </c>
    </row>
    <row r="3984">
      <c r="A3984" t="str">
        <f t="shared" si="1"/>
        <v>cub#2017</v>
      </c>
      <c r="B3984" t="str">
        <f>IFERROR(__xludf.DUMMYFUNCTION("""COMPUTED_VALUE"""),"cub")</f>
        <v>cub</v>
      </c>
      <c r="C3984" t="str">
        <f>IFERROR(__xludf.DUMMYFUNCTION("""COMPUTED_VALUE"""),"Cuba")</f>
        <v>Cuba</v>
      </c>
      <c r="D3984">
        <f>IFERROR(__xludf.DUMMYFUNCTION("""COMPUTED_VALUE"""),2017.0)</f>
        <v>2017</v>
      </c>
      <c r="E3984">
        <f>IFERROR(__xludf.DUMMYFUNCTION("""COMPUTED_VALUE"""),1.1484636E7)</f>
        <v>11484636</v>
      </c>
    </row>
    <row r="3985">
      <c r="A3985" t="str">
        <f t="shared" si="1"/>
        <v>cub#2018</v>
      </c>
      <c r="B3985" t="str">
        <f>IFERROR(__xludf.DUMMYFUNCTION("""COMPUTED_VALUE"""),"cub")</f>
        <v>cub</v>
      </c>
      <c r="C3985" t="str">
        <f>IFERROR(__xludf.DUMMYFUNCTION("""COMPUTED_VALUE"""),"Cuba")</f>
        <v>Cuba</v>
      </c>
      <c r="D3985">
        <f>IFERROR(__xludf.DUMMYFUNCTION("""COMPUTED_VALUE"""),2018.0)</f>
        <v>2018</v>
      </c>
      <c r="E3985">
        <f>IFERROR(__xludf.DUMMYFUNCTION("""COMPUTED_VALUE"""),1.1489082E7)</f>
        <v>11489082</v>
      </c>
    </row>
    <row r="3986">
      <c r="A3986" t="str">
        <f t="shared" si="1"/>
        <v>cub#2019</v>
      </c>
      <c r="B3986" t="str">
        <f>IFERROR(__xludf.DUMMYFUNCTION("""COMPUTED_VALUE"""),"cub")</f>
        <v>cub</v>
      </c>
      <c r="C3986" t="str">
        <f>IFERROR(__xludf.DUMMYFUNCTION("""COMPUTED_VALUE"""),"Cuba")</f>
        <v>Cuba</v>
      </c>
      <c r="D3986">
        <f>IFERROR(__xludf.DUMMYFUNCTION("""COMPUTED_VALUE"""),2019.0)</f>
        <v>2019</v>
      </c>
      <c r="E3986">
        <f>IFERROR(__xludf.DUMMYFUNCTION("""COMPUTED_VALUE"""),1.1492046E7)</f>
        <v>11492046</v>
      </c>
    </row>
    <row r="3987">
      <c r="A3987" t="str">
        <f t="shared" si="1"/>
        <v>cub#2020</v>
      </c>
      <c r="B3987" t="str">
        <f>IFERROR(__xludf.DUMMYFUNCTION("""COMPUTED_VALUE"""),"cub")</f>
        <v>cub</v>
      </c>
      <c r="C3987" t="str">
        <f>IFERROR(__xludf.DUMMYFUNCTION("""COMPUTED_VALUE"""),"Cuba")</f>
        <v>Cuba</v>
      </c>
      <c r="D3987">
        <f>IFERROR(__xludf.DUMMYFUNCTION("""COMPUTED_VALUE"""),2020.0)</f>
        <v>2020</v>
      </c>
      <c r="E3987">
        <f>IFERROR(__xludf.DUMMYFUNCTION("""COMPUTED_VALUE"""),1.1495492E7)</f>
        <v>11495492</v>
      </c>
    </row>
    <row r="3988">
      <c r="A3988" t="str">
        <f t="shared" si="1"/>
        <v>cub#2021</v>
      </c>
      <c r="B3988" t="str">
        <f>IFERROR(__xludf.DUMMYFUNCTION("""COMPUTED_VALUE"""),"cub")</f>
        <v>cub</v>
      </c>
      <c r="C3988" t="str">
        <f>IFERROR(__xludf.DUMMYFUNCTION("""COMPUTED_VALUE"""),"Cuba")</f>
        <v>Cuba</v>
      </c>
      <c r="D3988">
        <f>IFERROR(__xludf.DUMMYFUNCTION("""COMPUTED_VALUE"""),2021.0)</f>
        <v>2021</v>
      </c>
      <c r="E3988">
        <f>IFERROR(__xludf.DUMMYFUNCTION("""COMPUTED_VALUE"""),1.1499731E7)</f>
        <v>11499731</v>
      </c>
    </row>
    <row r="3989">
      <c r="A3989" t="str">
        <f t="shared" si="1"/>
        <v>cub#2022</v>
      </c>
      <c r="B3989" t="str">
        <f>IFERROR(__xludf.DUMMYFUNCTION("""COMPUTED_VALUE"""),"cub")</f>
        <v>cub</v>
      </c>
      <c r="C3989" t="str">
        <f>IFERROR(__xludf.DUMMYFUNCTION("""COMPUTED_VALUE"""),"Cuba")</f>
        <v>Cuba</v>
      </c>
      <c r="D3989">
        <f>IFERROR(__xludf.DUMMYFUNCTION("""COMPUTED_VALUE"""),2022.0)</f>
        <v>2022</v>
      </c>
      <c r="E3989">
        <f>IFERROR(__xludf.DUMMYFUNCTION("""COMPUTED_VALUE"""),1.1504042E7)</f>
        <v>11504042</v>
      </c>
    </row>
    <row r="3990">
      <c r="A3990" t="str">
        <f t="shared" si="1"/>
        <v>cub#2023</v>
      </c>
      <c r="B3990" t="str">
        <f>IFERROR(__xludf.DUMMYFUNCTION("""COMPUTED_VALUE"""),"cub")</f>
        <v>cub</v>
      </c>
      <c r="C3990" t="str">
        <f>IFERROR(__xludf.DUMMYFUNCTION("""COMPUTED_VALUE"""),"Cuba")</f>
        <v>Cuba</v>
      </c>
      <c r="D3990">
        <f>IFERROR(__xludf.DUMMYFUNCTION("""COMPUTED_VALUE"""),2023.0)</f>
        <v>2023</v>
      </c>
      <c r="E3990">
        <f>IFERROR(__xludf.DUMMYFUNCTION("""COMPUTED_VALUE"""),1.1508091E7)</f>
        <v>11508091</v>
      </c>
    </row>
    <row r="3991">
      <c r="A3991" t="str">
        <f t="shared" si="1"/>
        <v>cub#2024</v>
      </c>
      <c r="B3991" t="str">
        <f>IFERROR(__xludf.DUMMYFUNCTION("""COMPUTED_VALUE"""),"cub")</f>
        <v>cub</v>
      </c>
      <c r="C3991" t="str">
        <f>IFERROR(__xludf.DUMMYFUNCTION("""COMPUTED_VALUE"""),"Cuba")</f>
        <v>Cuba</v>
      </c>
      <c r="D3991">
        <f>IFERROR(__xludf.DUMMYFUNCTION("""COMPUTED_VALUE"""),2024.0)</f>
        <v>2024</v>
      </c>
      <c r="E3991">
        <f>IFERROR(__xludf.DUMMYFUNCTION("""COMPUTED_VALUE"""),1.1511251E7)</f>
        <v>11511251</v>
      </c>
    </row>
    <row r="3992">
      <c r="A3992" t="str">
        <f t="shared" si="1"/>
        <v>cub#2025</v>
      </c>
      <c r="B3992" t="str">
        <f>IFERROR(__xludf.DUMMYFUNCTION("""COMPUTED_VALUE"""),"cub")</f>
        <v>cub</v>
      </c>
      <c r="C3992" t="str">
        <f>IFERROR(__xludf.DUMMYFUNCTION("""COMPUTED_VALUE"""),"Cuba")</f>
        <v>Cuba</v>
      </c>
      <c r="D3992">
        <f>IFERROR(__xludf.DUMMYFUNCTION("""COMPUTED_VALUE"""),2025.0)</f>
        <v>2025</v>
      </c>
      <c r="E3992">
        <f>IFERROR(__xludf.DUMMYFUNCTION("""COMPUTED_VALUE"""),1.1513023E7)</f>
        <v>11513023</v>
      </c>
    </row>
    <row r="3993">
      <c r="A3993" t="str">
        <f t="shared" si="1"/>
        <v>cub#2026</v>
      </c>
      <c r="B3993" t="str">
        <f>IFERROR(__xludf.DUMMYFUNCTION("""COMPUTED_VALUE"""),"cub")</f>
        <v>cub</v>
      </c>
      <c r="C3993" t="str">
        <f>IFERROR(__xludf.DUMMYFUNCTION("""COMPUTED_VALUE"""),"Cuba")</f>
        <v>Cuba</v>
      </c>
      <c r="D3993">
        <f>IFERROR(__xludf.DUMMYFUNCTION("""COMPUTED_VALUE"""),2026.0)</f>
        <v>2026</v>
      </c>
      <c r="E3993">
        <f>IFERROR(__xludf.DUMMYFUNCTION("""COMPUTED_VALUE"""),1.1513391E7)</f>
        <v>11513391</v>
      </c>
    </row>
    <row r="3994">
      <c r="A3994" t="str">
        <f t="shared" si="1"/>
        <v>cub#2027</v>
      </c>
      <c r="B3994" t="str">
        <f>IFERROR(__xludf.DUMMYFUNCTION("""COMPUTED_VALUE"""),"cub")</f>
        <v>cub</v>
      </c>
      <c r="C3994" t="str">
        <f>IFERROR(__xludf.DUMMYFUNCTION("""COMPUTED_VALUE"""),"Cuba")</f>
        <v>Cuba</v>
      </c>
      <c r="D3994">
        <f>IFERROR(__xludf.DUMMYFUNCTION("""COMPUTED_VALUE"""),2027.0)</f>
        <v>2027</v>
      </c>
      <c r="E3994">
        <f>IFERROR(__xludf.DUMMYFUNCTION("""COMPUTED_VALUE"""),1.1512406E7)</f>
        <v>11512406</v>
      </c>
    </row>
    <row r="3995">
      <c r="A3995" t="str">
        <f t="shared" si="1"/>
        <v>cub#2028</v>
      </c>
      <c r="B3995" t="str">
        <f>IFERROR(__xludf.DUMMYFUNCTION("""COMPUTED_VALUE"""),"cub")</f>
        <v>cub</v>
      </c>
      <c r="C3995" t="str">
        <f>IFERROR(__xludf.DUMMYFUNCTION("""COMPUTED_VALUE"""),"Cuba")</f>
        <v>Cuba</v>
      </c>
      <c r="D3995">
        <f>IFERROR(__xludf.DUMMYFUNCTION("""COMPUTED_VALUE"""),2028.0)</f>
        <v>2028</v>
      </c>
      <c r="E3995">
        <f>IFERROR(__xludf.DUMMYFUNCTION("""COMPUTED_VALUE"""),1.1509562E7)</f>
        <v>11509562</v>
      </c>
    </row>
    <row r="3996">
      <c r="A3996" t="str">
        <f t="shared" si="1"/>
        <v>cub#2029</v>
      </c>
      <c r="B3996" t="str">
        <f>IFERROR(__xludf.DUMMYFUNCTION("""COMPUTED_VALUE"""),"cub")</f>
        <v>cub</v>
      </c>
      <c r="C3996" t="str">
        <f>IFERROR(__xludf.DUMMYFUNCTION("""COMPUTED_VALUE"""),"Cuba")</f>
        <v>Cuba</v>
      </c>
      <c r="D3996">
        <f>IFERROR(__xludf.DUMMYFUNCTION("""COMPUTED_VALUE"""),2029.0)</f>
        <v>2029</v>
      </c>
      <c r="E3996">
        <f>IFERROR(__xludf.DUMMYFUNCTION("""COMPUTED_VALUE"""),1.1504248E7)</f>
        <v>11504248</v>
      </c>
    </row>
    <row r="3997">
      <c r="A3997" t="str">
        <f t="shared" si="1"/>
        <v>cub#2030</v>
      </c>
      <c r="B3997" t="str">
        <f>IFERROR(__xludf.DUMMYFUNCTION("""COMPUTED_VALUE"""),"cub")</f>
        <v>cub</v>
      </c>
      <c r="C3997" t="str">
        <f>IFERROR(__xludf.DUMMYFUNCTION("""COMPUTED_VALUE"""),"Cuba")</f>
        <v>Cuba</v>
      </c>
      <c r="D3997">
        <f>IFERROR(__xludf.DUMMYFUNCTION("""COMPUTED_VALUE"""),2030.0)</f>
        <v>2030</v>
      </c>
      <c r="E3997">
        <f>IFERROR(__xludf.DUMMYFUNCTION("""COMPUTED_VALUE"""),1.1496E7)</f>
        <v>11496000</v>
      </c>
    </row>
    <row r="3998">
      <c r="A3998" t="str">
        <f t="shared" si="1"/>
        <v>cub#2031</v>
      </c>
      <c r="B3998" t="str">
        <f>IFERROR(__xludf.DUMMYFUNCTION("""COMPUTED_VALUE"""),"cub")</f>
        <v>cub</v>
      </c>
      <c r="C3998" t="str">
        <f>IFERROR(__xludf.DUMMYFUNCTION("""COMPUTED_VALUE"""),"Cuba")</f>
        <v>Cuba</v>
      </c>
      <c r="D3998">
        <f>IFERROR(__xludf.DUMMYFUNCTION("""COMPUTED_VALUE"""),2031.0)</f>
        <v>2031</v>
      </c>
      <c r="E3998">
        <f>IFERROR(__xludf.DUMMYFUNCTION("""COMPUTED_VALUE"""),1.1484603E7)</f>
        <v>11484603</v>
      </c>
    </row>
    <row r="3999">
      <c r="A3999" t="str">
        <f t="shared" si="1"/>
        <v>cub#2032</v>
      </c>
      <c r="B3999" t="str">
        <f>IFERROR(__xludf.DUMMYFUNCTION("""COMPUTED_VALUE"""),"cub")</f>
        <v>cub</v>
      </c>
      <c r="C3999" t="str">
        <f>IFERROR(__xludf.DUMMYFUNCTION("""COMPUTED_VALUE"""),"Cuba")</f>
        <v>Cuba</v>
      </c>
      <c r="D3999">
        <f>IFERROR(__xludf.DUMMYFUNCTION("""COMPUTED_VALUE"""),2032.0)</f>
        <v>2032</v>
      </c>
      <c r="E3999">
        <f>IFERROR(__xludf.DUMMYFUNCTION("""COMPUTED_VALUE"""),1.1470131E7)</f>
        <v>11470131</v>
      </c>
    </row>
    <row r="4000">
      <c r="A4000" t="str">
        <f t="shared" si="1"/>
        <v>cub#2033</v>
      </c>
      <c r="B4000" t="str">
        <f>IFERROR(__xludf.DUMMYFUNCTION("""COMPUTED_VALUE"""),"cub")</f>
        <v>cub</v>
      </c>
      <c r="C4000" t="str">
        <f>IFERROR(__xludf.DUMMYFUNCTION("""COMPUTED_VALUE"""),"Cuba")</f>
        <v>Cuba</v>
      </c>
      <c r="D4000">
        <f>IFERROR(__xludf.DUMMYFUNCTION("""COMPUTED_VALUE"""),2033.0)</f>
        <v>2033</v>
      </c>
      <c r="E4000">
        <f>IFERROR(__xludf.DUMMYFUNCTION("""COMPUTED_VALUE"""),1.1452767E7)</f>
        <v>11452767</v>
      </c>
    </row>
    <row r="4001">
      <c r="A4001" t="str">
        <f t="shared" si="1"/>
        <v>cub#2034</v>
      </c>
      <c r="B4001" t="str">
        <f>IFERROR(__xludf.DUMMYFUNCTION("""COMPUTED_VALUE"""),"cub")</f>
        <v>cub</v>
      </c>
      <c r="C4001" t="str">
        <f>IFERROR(__xludf.DUMMYFUNCTION("""COMPUTED_VALUE"""),"Cuba")</f>
        <v>Cuba</v>
      </c>
      <c r="D4001">
        <f>IFERROR(__xludf.DUMMYFUNCTION("""COMPUTED_VALUE"""),2034.0)</f>
        <v>2034</v>
      </c>
      <c r="E4001">
        <f>IFERROR(__xludf.DUMMYFUNCTION("""COMPUTED_VALUE"""),1.1432859E7)</f>
        <v>11432859</v>
      </c>
    </row>
    <row r="4002">
      <c r="A4002" t="str">
        <f t="shared" si="1"/>
        <v>cub#2035</v>
      </c>
      <c r="B4002" t="str">
        <f>IFERROR(__xludf.DUMMYFUNCTION("""COMPUTED_VALUE"""),"cub")</f>
        <v>cub</v>
      </c>
      <c r="C4002" t="str">
        <f>IFERROR(__xludf.DUMMYFUNCTION("""COMPUTED_VALUE"""),"Cuba")</f>
        <v>Cuba</v>
      </c>
      <c r="D4002">
        <f>IFERROR(__xludf.DUMMYFUNCTION("""COMPUTED_VALUE"""),2035.0)</f>
        <v>2035</v>
      </c>
      <c r="E4002">
        <f>IFERROR(__xludf.DUMMYFUNCTION("""COMPUTED_VALUE"""),1.1410652E7)</f>
        <v>11410652</v>
      </c>
    </row>
    <row r="4003">
      <c r="A4003" t="str">
        <f t="shared" si="1"/>
        <v>cub#2036</v>
      </c>
      <c r="B4003" t="str">
        <f>IFERROR(__xludf.DUMMYFUNCTION("""COMPUTED_VALUE"""),"cub")</f>
        <v>cub</v>
      </c>
      <c r="C4003" t="str">
        <f>IFERROR(__xludf.DUMMYFUNCTION("""COMPUTED_VALUE"""),"Cuba")</f>
        <v>Cuba</v>
      </c>
      <c r="D4003">
        <f>IFERROR(__xludf.DUMMYFUNCTION("""COMPUTED_VALUE"""),2036.0)</f>
        <v>2036</v>
      </c>
      <c r="E4003">
        <f>IFERROR(__xludf.DUMMYFUNCTION("""COMPUTED_VALUE"""),1.1386169E7)</f>
        <v>11386169</v>
      </c>
    </row>
    <row r="4004">
      <c r="A4004" t="str">
        <f t="shared" si="1"/>
        <v>cub#2037</v>
      </c>
      <c r="B4004" t="str">
        <f>IFERROR(__xludf.DUMMYFUNCTION("""COMPUTED_VALUE"""),"cub")</f>
        <v>cub</v>
      </c>
      <c r="C4004" t="str">
        <f>IFERROR(__xludf.DUMMYFUNCTION("""COMPUTED_VALUE"""),"Cuba")</f>
        <v>Cuba</v>
      </c>
      <c r="D4004">
        <f>IFERROR(__xludf.DUMMYFUNCTION("""COMPUTED_VALUE"""),2037.0)</f>
        <v>2037</v>
      </c>
      <c r="E4004">
        <f>IFERROR(__xludf.DUMMYFUNCTION("""COMPUTED_VALUE"""),1.1359359E7)</f>
        <v>11359359</v>
      </c>
    </row>
    <row r="4005">
      <c r="A4005" t="str">
        <f t="shared" si="1"/>
        <v>cub#2038</v>
      </c>
      <c r="B4005" t="str">
        <f>IFERROR(__xludf.DUMMYFUNCTION("""COMPUTED_VALUE"""),"cub")</f>
        <v>cub</v>
      </c>
      <c r="C4005" t="str">
        <f>IFERROR(__xludf.DUMMYFUNCTION("""COMPUTED_VALUE"""),"Cuba")</f>
        <v>Cuba</v>
      </c>
      <c r="D4005">
        <f>IFERROR(__xludf.DUMMYFUNCTION("""COMPUTED_VALUE"""),2038.0)</f>
        <v>2038</v>
      </c>
      <c r="E4005">
        <f>IFERROR(__xludf.DUMMYFUNCTION("""COMPUTED_VALUE"""),1.1330341E7)</f>
        <v>11330341</v>
      </c>
    </row>
    <row r="4006">
      <c r="A4006" t="str">
        <f t="shared" si="1"/>
        <v>cub#2039</v>
      </c>
      <c r="B4006" t="str">
        <f>IFERROR(__xludf.DUMMYFUNCTION("""COMPUTED_VALUE"""),"cub")</f>
        <v>cub</v>
      </c>
      <c r="C4006" t="str">
        <f>IFERROR(__xludf.DUMMYFUNCTION("""COMPUTED_VALUE"""),"Cuba")</f>
        <v>Cuba</v>
      </c>
      <c r="D4006">
        <f>IFERROR(__xludf.DUMMYFUNCTION("""COMPUTED_VALUE"""),2039.0)</f>
        <v>2039</v>
      </c>
      <c r="E4006">
        <f>IFERROR(__xludf.DUMMYFUNCTION("""COMPUTED_VALUE"""),1.129921E7)</f>
        <v>11299210</v>
      </c>
    </row>
    <row r="4007">
      <c r="A4007" t="str">
        <f t="shared" si="1"/>
        <v>cub#2040</v>
      </c>
      <c r="B4007" t="str">
        <f>IFERROR(__xludf.DUMMYFUNCTION("""COMPUTED_VALUE"""),"cub")</f>
        <v>cub</v>
      </c>
      <c r="C4007" t="str">
        <f>IFERROR(__xludf.DUMMYFUNCTION("""COMPUTED_VALUE"""),"Cuba")</f>
        <v>Cuba</v>
      </c>
      <c r="D4007">
        <f>IFERROR(__xludf.DUMMYFUNCTION("""COMPUTED_VALUE"""),2040.0)</f>
        <v>2040</v>
      </c>
      <c r="E4007">
        <f>IFERROR(__xludf.DUMMYFUNCTION("""COMPUTED_VALUE"""),1.1266074E7)</f>
        <v>11266074</v>
      </c>
    </row>
    <row r="4008">
      <c r="A4008" t="str">
        <f t="shared" si="1"/>
        <v>cyp#1950</v>
      </c>
      <c r="B4008" t="str">
        <f>IFERROR(__xludf.DUMMYFUNCTION("""COMPUTED_VALUE"""),"cyp")</f>
        <v>cyp</v>
      </c>
      <c r="C4008" t="str">
        <f>IFERROR(__xludf.DUMMYFUNCTION("""COMPUTED_VALUE"""),"Cyprus")</f>
        <v>Cyprus</v>
      </c>
      <c r="D4008">
        <f>IFERROR(__xludf.DUMMYFUNCTION("""COMPUTED_VALUE"""),1950.0)</f>
        <v>1950</v>
      </c>
      <c r="E4008">
        <f>IFERROR(__xludf.DUMMYFUNCTION("""COMPUTED_VALUE"""),494015.0)</f>
        <v>494015</v>
      </c>
    </row>
    <row r="4009">
      <c r="A4009" t="str">
        <f t="shared" si="1"/>
        <v>cyp#1951</v>
      </c>
      <c r="B4009" t="str">
        <f>IFERROR(__xludf.DUMMYFUNCTION("""COMPUTED_VALUE"""),"cyp")</f>
        <v>cyp</v>
      </c>
      <c r="C4009" t="str">
        <f>IFERROR(__xludf.DUMMYFUNCTION("""COMPUTED_VALUE"""),"Cyprus")</f>
        <v>Cyprus</v>
      </c>
      <c r="D4009">
        <f>IFERROR(__xludf.DUMMYFUNCTION("""COMPUTED_VALUE"""),1951.0)</f>
        <v>1951</v>
      </c>
      <c r="E4009">
        <f>IFERROR(__xludf.DUMMYFUNCTION("""COMPUTED_VALUE"""),500381.0)</f>
        <v>500381</v>
      </c>
    </row>
    <row r="4010">
      <c r="A4010" t="str">
        <f t="shared" si="1"/>
        <v>cyp#1952</v>
      </c>
      <c r="B4010" t="str">
        <f>IFERROR(__xludf.DUMMYFUNCTION("""COMPUTED_VALUE"""),"cyp")</f>
        <v>cyp</v>
      </c>
      <c r="C4010" t="str">
        <f>IFERROR(__xludf.DUMMYFUNCTION("""COMPUTED_VALUE"""),"Cyprus")</f>
        <v>Cyprus</v>
      </c>
      <c r="D4010">
        <f>IFERROR(__xludf.DUMMYFUNCTION("""COMPUTED_VALUE"""),1952.0)</f>
        <v>1952</v>
      </c>
      <c r="E4010">
        <f>IFERROR(__xludf.DUMMYFUNCTION("""COMPUTED_VALUE"""),506627.0)</f>
        <v>506627</v>
      </c>
    </row>
    <row r="4011">
      <c r="A4011" t="str">
        <f t="shared" si="1"/>
        <v>cyp#1953</v>
      </c>
      <c r="B4011" t="str">
        <f>IFERROR(__xludf.DUMMYFUNCTION("""COMPUTED_VALUE"""),"cyp")</f>
        <v>cyp</v>
      </c>
      <c r="C4011" t="str">
        <f>IFERROR(__xludf.DUMMYFUNCTION("""COMPUTED_VALUE"""),"Cyprus")</f>
        <v>Cyprus</v>
      </c>
      <c r="D4011">
        <f>IFERROR(__xludf.DUMMYFUNCTION("""COMPUTED_VALUE"""),1953.0)</f>
        <v>1953</v>
      </c>
      <c r="E4011">
        <f>IFERROR(__xludf.DUMMYFUNCTION("""COMPUTED_VALUE"""),513434.0)</f>
        <v>513434</v>
      </c>
    </row>
    <row r="4012">
      <c r="A4012" t="str">
        <f t="shared" si="1"/>
        <v>cyp#1954</v>
      </c>
      <c r="B4012" t="str">
        <f>IFERROR(__xludf.DUMMYFUNCTION("""COMPUTED_VALUE"""),"cyp")</f>
        <v>cyp</v>
      </c>
      <c r="C4012" t="str">
        <f>IFERROR(__xludf.DUMMYFUNCTION("""COMPUTED_VALUE"""),"Cyprus")</f>
        <v>Cyprus</v>
      </c>
      <c r="D4012">
        <f>IFERROR(__xludf.DUMMYFUNCTION("""COMPUTED_VALUE"""),1954.0)</f>
        <v>1954</v>
      </c>
      <c r="E4012">
        <f>IFERROR(__xludf.DUMMYFUNCTION("""COMPUTED_VALUE"""),521184.0)</f>
        <v>521184</v>
      </c>
    </row>
    <row r="4013">
      <c r="A4013" t="str">
        <f t="shared" si="1"/>
        <v>cyp#1955</v>
      </c>
      <c r="B4013" t="str">
        <f>IFERROR(__xludf.DUMMYFUNCTION("""COMPUTED_VALUE"""),"cyp")</f>
        <v>cyp</v>
      </c>
      <c r="C4013" t="str">
        <f>IFERROR(__xludf.DUMMYFUNCTION("""COMPUTED_VALUE"""),"Cyprus")</f>
        <v>Cyprus</v>
      </c>
      <c r="D4013">
        <f>IFERROR(__xludf.DUMMYFUNCTION("""COMPUTED_VALUE"""),1955.0)</f>
        <v>1955</v>
      </c>
      <c r="E4013">
        <f>IFERROR(__xludf.DUMMYFUNCTION("""COMPUTED_VALUE"""),529972.0)</f>
        <v>529972</v>
      </c>
    </row>
    <row r="4014">
      <c r="A4014" t="str">
        <f t="shared" si="1"/>
        <v>cyp#1956</v>
      </c>
      <c r="B4014" t="str">
        <f>IFERROR(__xludf.DUMMYFUNCTION("""COMPUTED_VALUE"""),"cyp")</f>
        <v>cyp</v>
      </c>
      <c r="C4014" t="str">
        <f>IFERROR(__xludf.DUMMYFUNCTION("""COMPUTED_VALUE"""),"Cyprus")</f>
        <v>Cyprus</v>
      </c>
      <c r="D4014">
        <f>IFERROR(__xludf.DUMMYFUNCTION("""COMPUTED_VALUE"""),1956.0)</f>
        <v>1956</v>
      </c>
      <c r="E4014">
        <f>IFERROR(__xludf.DUMMYFUNCTION("""COMPUTED_VALUE"""),539565.0)</f>
        <v>539565</v>
      </c>
    </row>
    <row r="4015">
      <c r="A4015" t="str">
        <f t="shared" si="1"/>
        <v>cyp#1957</v>
      </c>
      <c r="B4015" t="str">
        <f>IFERROR(__xludf.DUMMYFUNCTION("""COMPUTED_VALUE"""),"cyp")</f>
        <v>cyp</v>
      </c>
      <c r="C4015" t="str">
        <f>IFERROR(__xludf.DUMMYFUNCTION("""COMPUTED_VALUE"""),"Cyprus")</f>
        <v>Cyprus</v>
      </c>
      <c r="D4015">
        <f>IFERROR(__xludf.DUMMYFUNCTION("""COMPUTED_VALUE"""),1957.0)</f>
        <v>1957</v>
      </c>
      <c r="E4015">
        <f>IFERROR(__xludf.DUMMYFUNCTION("""COMPUTED_VALUE"""),549461.0)</f>
        <v>549461</v>
      </c>
    </row>
    <row r="4016">
      <c r="A4016" t="str">
        <f t="shared" si="1"/>
        <v>cyp#1958</v>
      </c>
      <c r="B4016" t="str">
        <f>IFERROR(__xludf.DUMMYFUNCTION("""COMPUTED_VALUE"""),"cyp")</f>
        <v>cyp</v>
      </c>
      <c r="C4016" t="str">
        <f>IFERROR(__xludf.DUMMYFUNCTION("""COMPUTED_VALUE"""),"Cyprus")</f>
        <v>Cyprus</v>
      </c>
      <c r="D4016">
        <f>IFERROR(__xludf.DUMMYFUNCTION("""COMPUTED_VALUE"""),1958.0)</f>
        <v>1958</v>
      </c>
      <c r="E4016">
        <f>IFERROR(__xludf.DUMMYFUNCTION("""COMPUTED_VALUE"""),558895.0)</f>
        <v>558895</v>
      </c>
    </row>
    <row r="4017">
      <c r="A4017" t="str">
        <f t="shared" si="1"/>
        <v>cyp#1959</v>
      </c>
      <c r="B4017" t="str">
        <f>IFERROR(__xludf.DUMMYFUNCTION("""COMPUTED_VALUE"""),"cyp")</f>
        <v>cyp</v>
      </c>
      <c r="C4017" t="str">
        <f>IFERROR(__xludf.DUMMYFUNCTION("""COMPUTED_VALUE"""),"Cyprus")</f>
        <v>Cyprus</v>
      </c>
      <c r="D4017">
        <f>IFERROR(__xludf.DUMMYFUNCTION("""COMPUTED_VALUE"""),1959.0)</f>
        <v>1959</v>
      </c>
      <c r="E4017">
        <f>IFERROR(__xludf.DUMMYFUNCTION("""COMPUTED_VALUE"""),566982.0)</f>
        <v>566982</v>
      </c>
    </row>
    <row r="4018">
      <c r="A4018" t="str">
        <f t="shared" si="1"/>
        <v>cyp#1960</v>
      </c>
      <c r="B4018" t="str">
        <f>IFERROR(__xludf.DUMMYFUNCTION("""COMPUTED_VALUE"""),"cyp")</f>
        <v>cyp</v>
      </c>
      <c r="C4018" t="str">
        <f>IFERROR(__xludf.DUMMYFUNCTION("""COMPUTED_VALUE"""),"Cyprus")</f>
        <v>Cyprus</v>
      </c>
      <c r="D4018">
        <f>IFERROR(__xludf.DUMMYFUNCTION("""COMPUTED_VALUE"""),1960.0)</f>
        <v>1960</v>
      </c>
      <c r="E4018">
        <f>IFERROR(__xludf.DUMMYFUNCTION("""COMPUTED_VALUE"""),572930.0)</f>
        <v>572930</v>
      </c>
    </row>
    <row r="4019">
      <c r="A4019" t="str">
        <f t="shared" si="1"/>
        <v>cyp#1961</v>
      </c>
      <c r="B4019" t="str">
        <f>IFERROR(__xludf.DUMMYFUNCTION("""COMPUTED_VALUE"""),"cyp")</f>
        <v>cyp</v>
      </c>
      <c r="C4019" t="str">
        <f>IFERROR(__xludf.DUMMYFUNCTION("""COMPUTED_VALUE"""),"Cyprus")</f>
        <v>Cyprus</v>
      </c>
      <c r="D4019">
        <f>IFERROR(__xludf.DUMMYFUNCTION("""COMPUTED_VALUE"""),1961.0)</f>
        <v>1961</v>
      </c>
      <c r="E4019">
        <f>IFERROR(__xludf.DUMMYFUNCTION("""COMPUTED_VALUE"""),576395.0)</f>
        <v>576395</v>
      </c>
    </row>
    <row r="4020">
      <c r="A4020" t="str">
        <f t="shared" si="1"/>
        <v>cyp#1962</v>
      </c>
      <c r="B4020" t="str">
        <f>IFERROR(__xludf.DUMMYFUNCTION("""COMPUTED_VALUE"""),"cyp")</f>
        <v>cyp</v>
      </c>
      <c r="C4020" t="str">
        <f>IFERROR(__xludf.DUMMYFUNCTION("""COMPUTED_VALUE"""),"Cyprus")</f>
        <v>Cyprus</v>
      </c>
      <c r="D4020">
        <f>IFERROR(__xludf.DUMMYFUNCTION("""COMPUTED_VALUE"""),1962.0)</f>
        <v>1962</v>
      </c>
      <c r="E4020">
        <f>IFERROR(__xludf.DUMMYFUNCTION("""COMPUTED_VALUE"""),577691.0)</f>
        <v>577691</v>
      </c>
    </row>
    <row r="4021">
      <c r="A4021" t="str">
        <f t="shared" si="1"/>
        <v>cyp#1963</v>
      </c>
      <c r="B4021" t="str">
        <f>IFERROR(__xludf.DUMMYFUNCTION("""COMPUTED_VALUE"""),"cyp")</f>
        <v>cyp</v>
      </c>
      <c r="C4021" t="str">
        <f>IFERROR(__xludf.DUMMYFUNCTION("""COMPUTED_VALUE"""),"Cyprus")</f>
        <v>Cyprus</v>
      </c>
      <c r="D4021">
        <f>IFERROR(__xludf.DUMMYFUNCTION("""COMPUTED_VALUE"""),1963.0)</f>
        <v>1963</v>
      </c>
      <c r="E4021">
        <f>IFERROR(__xludf.DUMMYFUNCTION("""COMPUTED_VALUE"""),577913.0)</f>
        <v>577913</v>
      </c>
    </row>
    <row r="4022">
      <c r="A4022" t="str">
        <f t="shared" si="1"/>
        <v>cyp#1964</v>
      </c>
      <c r="B4022" t="str">
        <f>IFERROR(__xludf.DUMMYFUNCTION("""COMPUTED_VALUE"""),"cyp")</f>
        <v>cyp</v>
      </c>
      <c r="C4022" t="str">
        <f>IFERROR(__xludf.DUMMYFUNCTION("""COMPUTED_VALUE"""),"Cyprus")</f>
        <v>Cyprus</v>
      </c>
      <c r="D4022">
        <f>IFERROR(__xludf.DUMMYFUNCTION("""COMPUTED_VALUE"""),1964.0)</f>
        <v>1964</v>
      </c>
      <c r="E4022">
        <f>IFERROR(__xludf.DUMMYFUNCTION("""COMPUTED_VALUE"""),578627.0)</f>
        <v>578627</v>
      </c>
    </row>
    <row r="4023">
      <c r="A4023" t="str">
        <f t="shared" si="1"/>
        <v>cyp#1965</v>
      </c>
      <c r="B4023" t="str">
        <f>IFERROR(__xludf.DUMMYFUNCTION("""COMPUTED_VALUE"""),"cyp")</f>
        <v>cyp</v>
      </c>
      <c r="C4023" t="str">
        <f>IFERROR(__xludf.DUMMYFUNCTION("""COMPUTED_VALUE"""),"Cyprus")</f>
        <v>Cyprus</v>
      </c>
      <c r="D4023">
        <f>IFERROR(__xludf.DUMMYFUNCTION("""COMPUTED_VALUE"""),1965.0)</f>
        <v>1965</v>
      </c>
      <c r="E4023">
        <f>IFERROR(__xludf.DUMMYFUNCTION("""COMPUTED_VALUE"""),580966.0)</f>
        <v>580966</v>
      </c>
    </row>
    <row r="4024">
      <c r="A4024" t="str">
        <f t="shared" si="1"/>
        <v>cyp#1966</v>
      </c>
      <c r="B4024" t="str">
        <f>IFERROR(__xludf.DUMMYFUNCTION("""COMPUTED_VALUE"""),"cyp")</f>
        <v>cyp</v>
      </c>
      <c r="C4024" t="str">
        <f>IFERROR(__xludf.DUMMYFUNCTION("""COMPUTED_VALUE"""),"Cyprus")</f>
        <v>Cyprus</v>
      </c>
      <c r="D4024">
        <f>IFERROR(__xludf.DUMMYFUNCTION("""COMPUTED_VALUE"""),1966.0)</f>
        <v>1966</v>
      </c>
      <c r="E4024">
        <f>IFERROR(__xludf.DUMMYFUNCTION("""COMPUTED_VALUE"""),585308.0)</f>
        <v>585308</v>
      </c>
    </row>
    <row r="4025">
      <c r="A4025" t="str">
        <f t="shared" si="1"/>
        <v>cyp#1967</v>
      </c>
      <c r="B4025" t="str">
        <f>IFERROR(__xludf.DUMMYFUNCTION("""COMPUTED_VALUE"""),"cyp")</f>
        <v>cyp</v>
      </c>
      <c r="C4025" t="str">
        <f>IFERROR(__xludf.DUMMYFUNCTION("""COMPUTED_VALUE"""),"Cyprus")</f>
        <v>Cyprus</v>
      </c>
      <c r="D4025">
        <f>IFERROR(__xludf.DUMMYFUNCTION("""COMPUTED_VALUE"""),1967.0)</f>
        <v>1967</v>
      </c>
      <c r="E4025">
        <f>IFERROR(__xludf.DUMMYFUNCTION("""COMPUTED_VALUE"""),591308.0)</f>
        <v>591308</v>
      </c>
    </row>
    <row r="4026">
      <c r="A4026" t="str">
        <f t="shared" si="1"/>
        <v>cyp#1968</v>
      </c>
      <c r="B4026" t="str">
        <f>IFERROR(__xludf.DUMMYFUNCTION("""COMPUTED_VALUE"""),"cyp")</f>
        <v>cyp</v>
      </c>
      <c r="C4026" t="str">
        <f>IFERROR(__xludf.DUMMYFUNCTION("""COMPUTED_VALUE"""),"Cyprus")</f>
        <v>Cyprus</v>
      </c>
      <c r="D4026">
        <f>IFERROR(__xludf.DUMMYFUNCTION("""COMPUTED_VALUE"""),1968.0)</f>
        <v>1968</v>
      </c>
      <c r="E4026">
        <f>IFERROR(__xludf.DUMMYFUNCTION("""COMPUTED_VALUE"""),598493.0)</f>
        <v>598493</v>
      </c>
    </row>
    <row r="4027">
      <c r="A4027" t="str">
        <f t="shared" si="1"/>
        <v>cyp#1969</v>
      </c>
      <c r="B4027" t="str">
        <f>IFERROR(__xludf.DUMMYFUNCTION("""COMPUTED_VALUE"""),"cyp")</f>
        <v>cyp</v>
      </c>
      <c r="C4027" t="str">
        <f>IFERROR(__xludf.DUMMYFUNCTION("""COMPUTED_VALUE"""),"Cyprus")</f>
        <v>Cyprus</v>
      </c>
      <c r="D4027">
        <f>IFERROR(__xludf.DUMMYFUNCTION("""COMPUTED_VALUE"""),1969.0)</f>
        <v>1969</v>
      </c>
      <c r="E4027">
        <f>IFERROR(__xludf.DUMMYFUNCTION("""COMPUTED_VALUE"""),606113.0)</f>
        <v>606113</v>
      </c>
    </row>
    <row r="4028">
      <c r="A4028" t="str">
        <f t="shared" si="1"/>
        <v>cyp#1970</v>
      </c>
      <c r="B4028" t="str">
        <f>IFERROR(__xludf.DUMMYFUNCTION("""COMPUTED_VALUE"""),"cyp")</f>
        <v>cyp</v>
      </c>
      <c r="C4028" t="str">
        <f>IFERROR(__xludf.DUMMYFUNCTION("""COMPUTED_VALUE"""),"Cyprus")</f>
        <v>Cyprus</v>
      </c>
      <c r="D4028">
        <f>IFERROR(__xludf.DUMMYFUNCTION("""COMPUTED_VALUE"""),1970.0)</f>
        <v>1970</v>
      </c>
      <c r="E4028">
        <f>IFERROR(__xludf.DUMMYFUNCTION("""COMPUTED_VALUE"""),613621.0)</f>
        <v>613621</v>
      </c>
    </row>
    <row r="4029">
      <c r="A4029" t="str">
        <f t="shared" si="1"/>
        <v>cyp#1971</v>
      </c>
      <c r="B4029" t="str">
        <f>IFERROR(__xludf.DUMMYFUNCTION("""COMPUTED_VALUE"""),"cyp")</f>
        <v>cyp</v>
      </c>
      <c r="C4029" t="str">
        <f>IFERROR(__xludf.DUMMYFUNCTION("""COMPUTED_VALUE"""),"Cyprus")</f>
        <v>Cyprus</v>
      </c>
      <c r="D4029">
        <f>IFERROR(__xludf.DUMMYFUNCTION("""COMPUTED_VALUE"""),1971.0)</f>
        <v>1971</v>
      </c>
      <c r="E4029">
        <f>IFERROR(__xludf.DUMMYFUNCTION("""COMPUTED_VALUE"""),620859.0)</f>
        <v>620859</v>
      </c>
    </row>
    <row r="4030">
      <c r="A4030" t="str">
        <f t="shared" si="1"/>
        <v>cyp#1972</v>
      </c>
      <c r="B4030" t="str">
        <f>IFERROR(__xludf.DUMMYFUNCTION("""COMPUTED_VALUE"""),"cyp")</f>
        <v>cyp</v>
      </c>
      <c r="C4030" t="str">
        <f>IFERROR(__xludf.DUMMYFUNCTION("""COMPUTED_VALUE"""),"Cyprus")</f>
        <v>Cyprus</v>
      </c>
      <c r="D4030">
        <f>IFERROR(__xludf.DUMMYFUNCTION("""COMPUTED_VALUE"""),1972.0)</f>
        <v>1972</v>
      </c>
      <c r="E4030">
        <f>IFERROR(__xludf.DUMMYFUNCTION("""COMPUTED_VALUE"""),628002.0)</f>
        <v>628002</v>
      </c>
    </row>
    <row r="4031">
      <c r="A4031" t="str">
        <f t="shared" si="1"/>
        <v>cyp#1973</v>
      </c>
      <c r="B4031" t="str">
        <f>IFERROR(__xludf.DUMMYFUNCTION("""COMPUTED_VALUE"""),"cyp")</f>
        <v>cyp</v>
      </c>
      <c r="C4031" t="str">
        <f>IFERROR(__xludf.DUMMYFUNCTION("""COMPUTED_VALUE"""),"Cyprus")</f>
        <v>Cyprus</v>
      </c>
      <c r="D4031">
        <f>IFERROR(__xludf.DUMMYFUNCTION("""COMPUTED_VALUE"""),1973.0)</f>
        <v>1973</v>
      </c>
      <c r="E4031">
        <f>IFERROR(__xludf.DUMMYFUNCTION("""COMPUTED_VALUE"""),635111.0)</f>
        <v>635111</v>
      </c>
    </row>
    <row r="4032">
      <c r="A4032" t="str">
        <f t="shared" si="1"/>
        <v>cyp#1974</v>
      </c>
      <c r="B4032" t="str">
        <f>IFERROR(__xludf.DUMMYFUNCTION("""COMPUTED_VALUE"""),"cyp")</f>
        <v>cyp</v>
      </c>
      <c r="C4032" t="str">
        <f>IFERROR(__xludf.DUMMYFUNCTION("""COMPUTED_VALUE"""),"Cyprus")</f>
        <v>Cyprus</v>
      </c>
      <c r="D4032">
        <f>IFERROR(__xludf.DUMMYFUNCTION("""COMPUTED_VALUE"""),1974.0)</f>
        <v>1974</v>
      </c>
      <c r="E4032">
        <f>IFERROR(__xludf.DUMMYFUNCTION("""COMPUTED_VALUE"""),642339.0)</f>
        <v>642339</v>
      </c>
    </row>
    <row r="4033">
      <c r="A4033" t="str">
        <f t="shared" si="1"/>
        <v>cyp#1975</v>
      </c>
      <c r="B4033" t="str">
        <f>IFERROR(__xludf.DUMMYFUNCTION("""COMPUTED_VALUE"""),"cyp")</f>
        <v>cyp</v>
      </c>
      <c r="C4033" t="str">
        <f>IFERROR(__xludf.DUMMYFUNCTION("""COMPUTED_VALUE"""),"Cyprus")</f>
        <v>Cyprus</v>
      </c>
      <c r="D4033">
        <f>IFERROR(__xludf.DUMMYFUNCTION("""COMPUTED_VALUE"""),1975.0)</f>
        <v>1975</v>
      </c>
      <c r="E4033">
        <f>IFERROR(__xludf.DUMMYFUNCTION("""COMPUTED_VALUE"""),649755.0)</f>
        <v>649755</v>
      </c>
    </row>
    <row r="4034">
      <c r="A4034" t="str">
        <f t="shared" si="1"/>
        <v>cyp#1976</v>
      </c>
      <c r="B4034" t="str">
        <f>IFERROR(__xludf.DUMMYFUNCTION("""COMPUTED_VALUE"""),"cyp")</f>
        <v>cyp</v>
      </c>
      <c r="C4034" t="str">
        <f>IFERROR(__xludf.DUMMYFUNCTION("""COMPUTED_VALUE"""),"Cyprus")</f>
        <v>Cyprus</v>
      </c>
      <c r="D4034">
        <f>IFERROR(__xludf.DUMMYFUNCTION("""COMPUTED_VALUE"""),1976.0)</f>
        <v>1976</v>
      </c>
      <c r="E4034">
        <f>IFERROR(__xludf.DUMMYFUNCTION("""COMPUTED_VALUE"""),657534.0)</f>
        <v>657534</v>
      </c>
    </row>
    <row r="4035">
      <c r="A4035" t="str">
        <f t="shared" si="1"/>
        <v>cyp#1977</v>
      </c>
      <c r="B4035" t="str">
        <f>IFERROR(__xludf.DUMMYFUNCTION("""COMPUTED_VALUE"""),"cyp")</f>
        <v>cyp</v>
      </c>
      <c r="C4035" t="str">
        <f>IFERROR(__xludf.DUMMYFUNCTION("""COMPUTED_VALUE"""),"Cyprus")</f>
        <v>Cyprus</v>
      </c>
      <c r="D4035">
        <f>IFERROR(__xludf.DUMMYFUNCTION("""COMPUTED_VALUE"""),1977.0)</f>
        <v>1977</v>
      </c>
      <c r="E4035">
        <f>IFERROR(__xludf.DUMMYFUNCTION("""COMPUTED_VALUE"""),665528.0)</f>
        <v>665528</v>
      </c>
    </row>
    <row r="4036">
      <c r="A4036" t="str">
        <f t="shared" si="1"/>
        <v>cyp#1978</v>
      </c>
      <c r="B4036" t="str">
        <f>IFERROR(__xludf.DUMMYFUNCTION("""COMPUTED_VALUE"""),"cyp")</f>
        <v>cyp</v>
      </c>
      <c r="C4036" t="str">
        <f>IFERROR(__xludf.DUMMYFUNCTION("""COMPUTED_VALUE"""),"Cyprus")</f>
        <v>Cyprus</v>
      </c>
      <c r="D4036">
        <f>IFERROR(__xludf.DUMMYFUNCTION("""COMPUTED_VALUE"""),1978.0)</f>
        <v>1978</v>
      </c>
      <c r="E4036">
        <f>IFERROR(__xludf.DUMMYFUNCTION("""COMPUTED_VALUE"""),673251.0)</f>
        <v>673251</v>
      </c>
    </row>
    <row r="4037">
      <c r="A4037" t="str">
        <f t="shared" si="1"/>
        <v>cyp#1979</v>
      </c>
      <c r="B4037" t="str">
        <f>IFERROR(__xludf.DUMMYFUNCTION("""COMPUTED_VALUE"""),"cyp")</f>
        <v>cyp</v>
      </c>
      <c r="C4037" t="str">
        <f>IFERROR(__xludf.DUMMYFUNCTION("""COMPUTED_VALUE"""),"Cyprus")</f>
        <v>Cyprus</v>
      </c>
      <c r="D4037">
        <f>IFERROR(__xludf.DUMMYFUNCTION("""COMPUTED_VALUE"""),1979.0)</f>
        <v>1979</v>
      </c>
      <c r="E4037">
        <f>IFERROR(__xludf.DUMMYFUNCTION("""COMPUTED_VALUE"""),680011.0)</f>
        <v>680011</v>
      </c>
    </row>
    <row r="4038">
      <c r="A4038" t="str">
        <f t="shared" si="1"/>
        <v>cyp#1980</v>
      </c>
      <c r="B4038" t="str">
        <f>IFERROR(__xludf.DUMMYFUNCTION("""COMPUTED_VALUE"""),"cyp")</f>
        <v>cyp</v>
      </c>
      <c r="C4038" t="str">
        <f>IFERROR(__xludf.DUMMYFUNCTION("""COMPUTED_VALUE"""),"Cyprus")</f>
        <v>Cyprus</v>
      </c>
      <c r="D4038">
        <f>IFERROR(__xludf.DUMMYFUNCTION("""COMPUTED_VALUE"""),1980.0)</f>
        <v>1980</v>
      </c>
      <c r="E4038">
        <f>IFERROR(__xludf.DUMMYFUNCTION("""COMPUTED_VALUE"""),685406.0)</f>
        <v>685406</v>
      </c>
    </row>
    <row r="4039">
      <c r="A4039" t="str">
        <f t="shared" si="1"/>
        <v>cyp#1981</v>
      </c>
      <c r="B4039" t="str">
        <f>IFERROR(__xludf.DUMMYFUNCTION("""COMPUTED_VALUE"""),"cyp")</f>
        <v>cyp</v>
      </c>
      <c r="C4039" t="str">
        <f>IFERROR(__xludf.DUMMYFUNCTION("""COMPUTED_VALUE"""),"Cyprus")</f>
        <v>Cyprus</v>
      </c>
      <c r="D4039">
        <f>IFERROR(__xludf.DUMMYFUNCTION("""COMPUTED_VALUE"""),1981.0)</f>
        <v>1981</v>
      </c>
      <c r="E4039">
        <f>IFERROR(__xludf.DUMMYFUNCTION("""COMPUTED_VALUE"""),689173.0)</f>
        <v>689173</v>
      </c>
    </row>
    <row r="4040">
      <c r="A4040" t="str">
        <f t="shared" si="1"/>
        <v>cyp#1982</v>
      </c>
      <c r="B4040" t="str">
        <f>IFERROR(__xludf.DUMMYFUNCTION("""COMPUTED_VALUE"""),"cyp")</f>
        <v>cyp</v>
      </c>
      <c r="C4040" t="str">
        <f>IFERROR(__xludf.DUMMYFUNCTION("""COMPUTED_VALUE"""),"Cyprus")</f>
        <v>Cyprus</v>
      </c>
      <c r="D4040">
        <f>IFERROR(__xludf.DUMMYFUNCTION("""COMPUTED_VALUE"""),1982.0)</f>
        <v>1982</v>
      </c>
      <c r="E4040">
        <f>IFERROR(__xludf.DUMMYFUNCTION("""COMPUTED_VALUE"""),691702.0)</f>
        <v>691702</v>
      </c>
    </row>
    <row r="4041">
      <c r="A4041" t="str">
        <f t="shared" si="1"/>
        <v>cyp#1983</v>
      </c>
      <c r="B4041" t="str">
        <f>IFERROR(__xludf.DUMMYFUNCTION("""COMPUTED_VALUE"""),"cyp")</f>
        <v>cyp</v>
      </c>
      <c r="C4041" t="str">
        <f>IFERROR(__xludf.DUMMYFUNCTION("""COMPUTED_VALUE"""),"Cyprus")</f>
        <v>Cyprus</v>
      </c>
      <c r="D4041">
        <f>IFERROR(__xludf.DUMMYFUNCTION("""COMPUTED_VALUE"""),1983.0)</f>
        <v>1983</v>
      </c>
      <c r="E4041">
        <f>IFERROR(__xludf.DUMMYFUNCTION("""COMPUTED_VALUE"""),694077.0)</f>
        <v>694077</v>
      </c>
    </row>
    <row r="4042">
      <c r="A4042" t="str">
        <f t="shared" si="1"/>
        <v>cyp#1984</v>
      </c>
      <c r="B4042" t="str">
        <f>IFERROR(__xludf.DUMMYFUNCTION("""COMPUTED_VALUE"""),"cyp")</f>
        <v>cyp</v>
      </c>
      <c r="C4042" t="str">
        <f>IFERROR(__xludf.DUMMYFUNCTION("""COMPUTED_VALUE"""),"Cyprus")</f>
        <v>Cyprus</v>
      </c>
      <c r="D4042">
        <f>IFERROR(__xludf.DUMMYFUNCTION("""COMPUTED_VALUE"""),1984.0)</f>
        <v>1984</v>
      </c>
      <c r="E4042">
        <f>IFERROR(__xludf.DUMMYFUNCTION("""COMPUTED_VALUE"""),697717.0)</f>
        <v>697717</v>
      </c>
    </row>
    <row r="4043">
      <c r="A4043" t="str">
        <f t="shared" si="1"/>
        <v>cyp#1985</v>
      </c>
      <c r="B4043" t="str">
        <f>IFERROR(__xludf.DUMMYFUNCTION("""COMPUTED_VALUE"""),"cyp")</f>
        <v>cyp</v>
      </c>
      <c r="C4043" t="str">
        <f>IFERROR(__xludf.DUMMYFUNCTION("""COMPUTED_VALUE"""),"Cyprus")</f>
        <v>Cyprus</v>
      </c>
      <c r="D4043">
        <f>IFERROR(__xludf.DUMMYFUNCTION("""COMPUTED_VALUE"""),1985.0)</f>
        <v>1985</v>
      </c>
      <c r="E4043">
        <f>IFERROR(__xludf.DUMMYFUNCTION("""COMPUTED_VALUE"""),703687.0)</f>
        <v>703687</v>
      </c>
    </row>
    <row r="4044">
      <c r="A4044" t="str">
        <f t="shared" si="1"/>
        <v>cyp#1986</v>
      </c>
      <c r="B4044" t="str">
        <f>IFERROR(__xludf.DUMMYFUNCTION("""COMPUTED_VALUE"""),"cyp")</f>
        <v>cyp</v>
      </c>
      <c r="C4044" t="str">
        <f>IFERROR(__xludf.DUMMYFUNCTION("""COMPUTED_VALUE"""),"Cyprus")</f>
        <v>Cyprus</v>
      </c>
      <c r="D4044">
        <f>IFERROR(__xludf.DUMMYFUNCTION("""COMPUTED_VALUE"""),1986.0)</f>
        <v>1986</v>
      </c>
      <c r="E4044">
        <f>IFERROR(__xludf.DUMMYFUNCTION("""COMPUTED_VALUE"""),712341.0)</f>
        <v>712341</v>
      </c>
    </row>
    <row r="4045">
      <c r="A4045" t="str">
        <f t="shared" si="1"/>
        <v>cyp#1987</v>
      </c>
      <c r="B4045" t="str">
        <f>IFERROR(__xludf.DUMMYFUNCTION("""COMPUTED_VALUE"""),"cyp")</f>
        <v>cyp</v>
      </c>
      <c r="C4045" t="str">
        <f>IFERROR(__xludf.DUMMYFUNCTION("""COMPUTED_VALUE"""),"Cyprus")</f>
        <v>Cyprus</v>
      </c>
      <c r="D4045">
        <f>IFERROR(__xludf.DUMMYFUNCTION("""COMPUTED_VALUE"""),1987.0)</f>
        <v>1987</v>
      </c>
      <c r="E4045">
        <f>IFERROR(__xludf.DUMMYFUNCTION("""COMPUTED_VALUE"""),723380.0)</f>
        <v>723380</v>
      </c>
    </row>
    <row r="4046">
      <c r="A4046" t="str">
        <f t="shared" si="1"/>
        <v>cyp#1988</v>
      </c>
      <c r="B4046" t="str">
        <f>IFERROR(__xludf.DUMMYFUNCTION("""COMPUTED_VALUE"""),"cyp")</f>
        <v>cyp</v>
      </c>
      <c r="C4046" t="str">
        <f>IFERROR(__xludf.DUMMYFUNCTION("""COMPUTED_VALUE"""),"Cyprus")</f>
        <v>Cyprus</v>
      </c>
      <c r="D4046">
        <f>IFERROR(__xludf.DUMMYFUNCTION("""COMPUTED_VALUE"""),1988.0)</f>
        <v>1988</v>
      </c>
      <c r="E4046">
        <f>IFERROR(__xludf.DUMMYFUNCTION("""COMPUTED_VALUE"""),736479.0)</f>
        <v>736479</v>
      </c>
    </row>
    <row r="4047">
      <c r="A4047" t="str">
        <f t="shared" si="1"/>
        <v>cyp#1989</v>
      </c>
      <c r="B4047" t="str">
        <f>IFERROR(__xludf.DUMMYFUNCTION("""COMPUTED_VALUE"""),"cyp")</f>
        <v>cyp</v>
      </c>
      <c r="C4047" t="str">
        <f>IFERROR(__xludf.DUMMYFUNCTION("""COMPUTED_VALUE"""),"Cyprus")</f>
        <v>Cyprus</v>
      </c>
      <c r="D4047">
        <f>IFERROR(__xludf.DUMMYFUNCTION("""COMPUTED_VALUE"""),1989.0)</f>
        <v>1989</v>
      </c>
      <c r="E4047">
        <f>IFERROR(__xludf.DUMMYFUNCTION("""COMPUTED_VALUE"""),751044.0)</f>
        <v>751044</v>
      </c>
    </row>
    <row r="4048">
      <c r="A4048" t="str">
        <f t="shared" si="1"/>
        <v>cyp#1990</v>
      </c>
      <c r="B4048" t="str">
        <f>IFERROR(__xludf.DUMMYFUNCTION("""COMPUTED_VALUE"""),"cyp")</f>
        <v>cyp</v>
      </c>
      <c r="C4048" t="str">
        <f>IFERROR(__xludf.DUMMYFUNCTION("""COMPUTED_VALUE"""),"Cyprus")</f>
        <v>Cyprus</v>
      </c>
      <c r="D4048">
        <f>IFERROR(__xludf.DUMMYFUNCTION("""COMPUTED_VALUE"""),1990.0)</f>
        <v>1990</v>
      </c>
      <c r="E4048">
        <f>IFERROR(__xludf.DUMMYFUNCTION("""COMPUTED_VALUE"""),766614.0)</f>
        <v>766614</v>
      </c>
    </row>
    <row r="4049">
      <c r="A4049" t="str">
        <f t="shared" si="1"/>
        <v>cyp#1991</v>
      </c>
      <c r="B4049" t="str">
        <f>IFERROR(__xludf.DUMMYFUNCTION("""COMPUTED_VALUE"""),"cyp")</f>
        <v>cyp</v>
      </c>
      <c r="C4049" t="str">
        <f>IFERROR(__xludf.DUMMYFUNCTION("""COMPUTED_VALUE"""),"Cyprus")</f>
        <v>Cyprus</v>
      </c>
      <c r="D4049">
        <f>IFERROR(__xludf.DUMMYFUNCTION("""COMPUTED_VALUE"""),1991.0)</f>
        <v>1991</v>
      </c>
      <c r="E4049">
        <f>IFERROR(__xludf.DUMMYFUNCTION("""COMPUTED_VALUE"""),783129.0)</f>
        <v>783129</v>
      </c>
    </row>
    <row r="4050">
      <c r="A4050" t="str">
        <f t="shared" si="1"/>
        <v>cyp#1992</v>
      </c>
      <c r="B4050" t="str">
        <f>IFERROR(__xludf.DUMMYFUNCTION("""COMPUTED_VALUE"""),"cyp")</f>
        <v>cyp</v>
      </c>
      <c r="C4050" t="str">
        <f>IFERROR(__xludf.DUMMYFUNCTION("""COMPUTED_VALUE"""),"Cyprus")</f>
        <v>Cyprus</v>
      </c>
      <c r="D4050">
        <f>IFERROR(__xludf.DUMMYFUNCTION("""COMPUTED_VALUE"""),1992.0)</f>
        <v>1992</v>
      </c>
      <c r="E4050">
        <f>IFERROR(__xludf.DUMMYFUNCTION("""COMPUTED_VALUE"""),800609.0)</f>
        <v>800609</v>
      </c>
    </row>
    <row r="4051">
      <c r="A4051" t="str">
        <f t="shared" si="1"/>
        <v>cyp#1993</v>
      </c>
      <c r="B4051" t="str">
        <f>IFERROR(__xludf.DUMMYFUNCTION("""COMPUTED_VALUE"""),"cyp")</f>
        <v>cyp</v>
      </c>
      <c r="C4051" t="str">
        <f>IFERROR(__xludf.DUMMYFUNCTION("""COMPUTED_VALUE"""),"Cyprus")</f>
        <v>Cyprus</v>
      </c>
      <c r="D4051">
        <f>IFERROR(__xludf.DUMMYFUNCTION("""COMPUTED_VALUE"""),1993.0)</f>
        <v>1993</v>
      </c>
      <c r="E4051">
        <f>IFERROR(__xludf.DUMMYFUNCTION("""COMPUTED_VALUE"""),818751.0)</f>
        <v>818751</v>
      </c>
    </row>
    <row r="4052">
      <c r="A4052" t="str">
        <f t="shared" si="1"/>
        <v>cyp#1994</v>
      </c>
      <c r="B4052" t="str">
        <f>IFERROR(__xludf.DUMMYFUNCTION("""COMPUTED_VALUE"""),"cyp")</f>
        <v>cyp</v>
      </c>
      <c r="C4052" t="str">
        <f>IFERROR(__xludf.DUMMYFUNCTION("""COMPUTED_VALUE"""),"Cyprus")</f>
        <v>Cyprus</v>
      </c>
      <c r="D4052">
        <f>IFERROR(__xludf.DUMMYFUNCTION("""COMPUTED_VALUE"""),1994.0)</f>
        <v>1994</v>
      </c>
      <c r="E4052">
        <f>IFERROR(__xludf.DUMMYFUNCTION("""COMPUTED_VALUE"""),837110.0)</f>
        <v>837110</v>
      </c>
    </row>
    <row r="4053">
      <c r="A4053" t="str">
        <f t="shared" si="1"/>
        <v>cyp#1995</v>
      </c>
      <c r="B4053" t="str">
        <f>IFERROR(__xludf.DUMMYFUNCTION("""COMPUTED_VALUE"""),"cyp")</f>
        <v>cyp</v>
      </c>
      <c r="C4053" t="str">
        <f>IFERROR(__xludf.DUMMYFUNCTION("""COMPUTED_VALUE"""),"Cyprus")</f>
        <v>Cyprus</v>
      </c>
      <c r="D4053">
        <f>IFERROR(__xludf.DUMMYFUNCTION("""COMPUTED_VALUE"""),1995.0)</f>
        <v>1995</v>
      </c>
      <c r="E4053">
        <f>IFERROR(__xludf.DUMMYFUNCTION("""COMPUTED_VALUE"""),855384.0)</f>
        <v>855384</v>
      </c>
    </row>
    <row r="4054">
      <c r="A4054" t="str">
        <f t="shared" si="1"/>
        <v>cyp#1996</v>
      </c>
      <c r="B4054" t="str">
        <f>IFERROR(__xludf.DUMMYFUNCTION("""COMPUTED_VALUE"""),"cyp")</f>
        <v>cyp</v>
      </c>
      <c r="C4054" t="str">
        <f>IFERROR(__xludf.DUMMYFUNCTION("""COMPUTED_VALUE"""),"Cyprus")</f>
        <v>Cyprus</v>
      </c>
      <c r="D4054">
        <f>IFERROR(__xludf.DUMMYFUNCTION("""COMPUTED_VALUE"""),1996.0)</f>
        <v>1996</v>
      </c>
      <c r="E4054">
        <f>IFERROR(__xludf.DUMMYFUNCTION("""COMPUTED_VALUE"""),873423.0)</f>
        <v>873423</v>
      </c>
    </row>
    <row r="4055">
      <c r="A4055" t="str">
        <f t="shared" si="1"/>
        <v>cyp#1997</v>
      </c>
      <c r="B4055" t="str">
        <f>IFERROR(__xludf.DUMMYFUNCTION("""COMPUTED_VALUE"""),"cyp")</f>
        <v>cyp</v>
      </c>
      <c r="C4055" t="str">
        <f>IFERROR(__xludf.DUMMYFUNCTION("""COMPUTED_VALUE"""),"Cyprus")</f>
        <v>Cyprus</v>
      </c>
      <c r="D4055">
        <f>IFERROR(__xludf.DUMMYFUNCTION("""COMPUTED_VALUE"""),1997.0)</f>
        <v>1997</v>
      </c>
      <c r="E4055">
        <f>IFERROR(__xludf.DUMMYFUNCTION("""COMPUTED_VALUE"""),891192.0)</f>
        <v>891192</v>
      </c>
    </row>
    <row r="4056">
      <c r="A4056" t="str">
        <f t="shared" si="1"/>
        <v>cyp#1998</v>
      </c>
      <c r="B4056" t="str">
        <f>IFERROR(__xludf.DUMMYFUNCTION("""COMPUTED_VALUE"""),"cyp")</f>
        <v>cyp</v>
      </c>
      <c r="C4056" t="str">
        <f>IFERROR(__xludf.DUMMYFUNCTION("""COMPUTED_VALUE"""),"Cyprus")</f>
        <v>Cyprus</v>
      </c>
      <c r="D4056">
        <f>IFERROR(__xludf.DUMMYFUNCTION("""COMPUTED_VALUE"""),1998.0)</f>
        <v>1998</v>
      </c>
      <c r="E4056">
        <f>IFERROR(__xludf.DUMMYFUNCTION("""COMPUTED_VALUE"""),908704.0)</f>
        <v>908704</v>
      </c>
    </row>
    <row r="4057">
      <c r="A4057" t="str">
        <f t="shared" si="1"/>
        <v>cyp#1999</v>
      </c>
      <c r="B4057" t="str">
        <f>IFERROR(__xludf.DUMMYFUNCTION("""COMPUTED_VALUE"""),"cyp")</f>
        <v>cyp</v>
      </c>
      <c r="C4057" t="str">
        <f>IFERROR(__xludf.DUMMYFUNCTION("""COMPUTED_VALUE"""),"Cyprus")</f>
        <v>Cyprus</v>
      </c>
      <c r="D4057">
        <f>IFERROR(__xludf.DUMMYFUNCTION("""COMPUTED_VALUE"""),1999.0)</f>
        <v>1999</v>
      </c>
      <c r="E4057">
        <f>IFERROR(__xludf.DUMMYFUNCTION("""COMPUTED_VALUE"""),926050.0)</f>
        <v>926050</v>
      </c>
    </row>
    <row r="4058">
      <c r="A4058" t="str">
        <f t="shared" si="1"/>
        <v>cyp#2000</v>
      </c>
      <c r="B4058" t="str">
        <f>IFERROR(__xludf.DUMMYFUNCTION("""COMPUTED_VALUE"""),"cyp")</f>
        <v>cyp</v>
      </c>
      <c r="C4058" t="str">
        <f>IFERROR(__xludf.DUMMYFUNCTION("""COMPUTED_VALUE"""),"Cyprus")</f>
        <v>Cyprus</v>
      </c>
      <c r="D4058">
        <f>IFERROR(__xludf.DUMMYFUNCTION("""COMPUTED_VALUE"""),2000.0)</f>
        <v>2000</v>
      </c>
      <c r="E4058">
        <f>IFERROR(__xludf.DUMMYFUNCTION("""COMPUTED_VALUE"""),943286.0)</f>
        <v>943286</v>
      </c>
    </row>
    <row r="4059">
      <c r="A4059" t="str">
        <f t="shared" si="1"/>
        <v>cyp#2001</v>
      </c>
      <c r="B4059" t="str">
        <f>IFERROR(__xludf.DUMMYFUNCTION("""COMPUTED_VALUE"""),"cyp")</f>
        <v>cyp</v>
      </c>
      <c r="C4059" t="str">
        <f>IFERROR(__xludf.DUMMYFUNCTION("""COMPUTED_VALUE"""),"Cyprus")</f>
        <v>Cyprus</v>
      </c>
      <c r="D4059">
        <f>IFERROR(__xludf.DUMMYFUNCTION("""COMPUTED_VALUE"""),2001.0)</f>
        <v>2001</v>
      </c>
      <c r="E4059">
        <f>IFERROR(__xludf.DUMMYFUNCTION("""COMPUTED_VALUE"""),960282.0)</f>
        <v>960282</v>
      </c>
    </row>
    <row r="4060">
      <c r="A4060" t="str">
        <f t="shared" si="1"/>
        <v>cyp#2002</v>
      </c>
      <c r="B4060" t="str">
        <f>IFERROR(__xludf.DUMMYFUNCTION("""COMPUTED_VALUE"""),"cyp")</f>
        <v>cyp</v>
      </c>
      <c r="C4060" t="str">
        <f>IFERROR(__xludf.DUMMYFUNCTION("""COMPUTED_VALUE"""),"Cyprus")</f>
        <v>Cyprus</v>
      </c>
      <c r="D4060">
        <f>IFERROR(__xludf.DUMMYFUNCTION("""COMPUTED_VALUE"""),2002.0)</f>
        <v>2002</v>
      </c>
      <c r="E4060">
        <f>IFERROR(__xludf.DUMMYFUNCTION("""COMPUTED_VALUE"""),976966.0)</f>
        <v>976966</v>
      </c>
    </row>
    <row r="4061">
      <c r="A4061" t="str">
        <f t="shared" si="1"/>
        <v>cyp#2003</v>
      </c>
      <c r="B4061" t="str">
        <f>IFERROR(__xludf.DUMMYFUNCTION("""COMPUTED_VALUE"""),"cyp")</f>
        <v>cyp</v>
      </c>
      <c r="C4061" t="str">
        <f>IFERROR(__xludf.DUMMYFUNCTION("""COMPUTED_VALUE"""),"Cyprus")</f>
        <v>Cyprus</v>
      </c>
      <c r="D4061">
        <f>IFERROR(__xludf.DUMMYFUNCTION("""COMPUTED_VALUE"""),2003.0)</f>
        <v>2003</v>
      </c>
      <c r="E4061">
        <f>IFERROR(__xludf.DUMMYFUNCTION("""COMPUTED_VALUE"""),993563.0)</f>
        <v>993563</v>
      </c>
    </row>
    <row r="4062">
      <c r="A4062" t="str">
        <f t="shared" si="1"/>
        <v>cyp#2004</v>
      </c>
      <c r="B4062" t="str">
        <f>IFERROR(__xludf.DUMMYFUNCTION("""COMPUTED_VALUE"""),"cyp")</f>
        <v>cyp</v>
      </c>
      <c r="C4062" t="str">
        <f>IFERROR(__xludf.DUMMYFUNCTION("""COMPUTED_VALUE"""),"Cyprus")</f>
        <v>Cyprus</v>
      </c>
      <c r="D4062">
        <f>IFERROR(__xludf.DUMMYFUNCTION("""COMPUTED_VALUE"""),2004.0)</f>
        <v>2004</v>
      </c>
      <c r="E4062">
        <f>IFERROR(__xludf.DUMMYFUNCTION("""COMPUTED_VALUE"""),1010410.0)</f>
        <v>1010410</v>
      </c>
    </row>
    <row r="4063">
      <c r="A4063" t="str">
        <f t="shared" si="1"/>
        <v>cyp#2005</v>
      </c>
      <c r="B4063" t="str">
        <f>IFERROR(__xludf.DUMMYFUNCTION("""COMPUTED_VALUE"""),"cyp")</f>
        <v>cyp</v>
      </c>
      <c r="C4063" t="str">
        <f>IFERROR(__xludf.DUMMYFUNCTION("""COMPUTED_VALUE"""),"Cyprus")</f>
        <v>Cyprus</v>
      </c>
      <c r="D4063">
        <f>IFERROR(__xludf.DUMMYFUNCTION("""COMPUTED_VALUE"""),2005.0)</f>
        <v>2005</v>
      </c>
      <c r="E4063">
        <f>IFERROR(__xludf.DUMMYFUNCTION("""COMPUTED_VALUE"""),1027658.0)</f>
        <v>1027658</v>
      </c>
    </row>
    <row r="4064">
      <c r="A4064" t="str">
        <f t="shared" si="1"/>
        <v>cyp#2006</v>
      </c>
      <c r="B4064" t="str">
        <f>IFERROR(__xludf.DUMMYFUNCTION("""COMPUTED_VALUE"""),"cyp")</f>
        <v>cyp</v>
      </c>
      <c r="C4064" t="str">
        <f>IFERROR(__xludf.DUMMYFUNCTION("""COMPUTED_VALUE"""),"Cyprus")</f>
        <v>Cyprus</v>
      </c>
      <c r="D4064">
        <f>IFERROR(__xludf.DUMMYFUNCTION("""COMPUTED_VALUE"""),2006.0)</f>
        <v>2006</v>
      </c>
      <c r="E4064">
        <f>IFERROR(__xludf.DUMMYFUNCTION("""COMPUTED_VALUE"""),1045509.0)</f>
        <v>1045509</v>
      </c>
    </row>
    <row r="4065">
      <c r="A4065" t="str">
        <f t="shared" si="1"/>
        <v>cyp#2007</v>
      </c>
      <c r="B4065" t="str">
        <f>IFERROR(__xludf.DUMMYFUNCTION("""COMPUTED_VALUE"""),"cyp")</f>
        <v>cyp</v>
      </c>
      <c r="C4065" t="str">
        <f>IFERROR(__xludf.DUMMYFUNCTION("""COMPUTED_VALUE"""),"Cyprus")</f>
        <v>Cyprus</v>
      </c>
      <c r="D4065">
        <f>IFERROR(__xludf.DUMMYFUNCTION("""COMPUTED_VALUE"""),2007.0)</f>
        <v>2007</v>
      </c>
      <c r="E4065">
        <f>IFERROR(__xludf.DUMMYFUNCTION("""COMPUTED_VALUE"""),1063712.0)</f>
        <v>1063712</v>
      </c>
    </row>
    <row r="4066">
      <c r="A4066" t="str">
        <f t="shared" si="1"/>
        <v>cyp#2008</v>
      </c>
      <c r="B4066" t="str">
        <f>IFERROR(__xludf.DUMMYFUNCTION("""COMPUTED_VALUE"""),"cyp")</f>
        <v>cyp</v>
      </c>
      <c r="C4066" t="str">
        <f>IFERROR(__xludf.DUMMYFUNCTION("""COMPUTED_VALUE"""),"Cyprus")</f>
        <v>Cyprus</v>
      </c>
      <c r="D4066">
        <f>IFERROR(__xludf.DUMMYFUNCTION("""COMPUTED_VALUE"""),2008.0)</f>
        <v>2008</v>
      </c>
      <c r="E4066">
        <f>IFERROR(__xludf.DUMMYFUNCTION("""COMPUTED_VALUE"""),1081563.0)</f>
        <v>1081563</v>
      </c>
    </row>
    <row r="4067">
      <c r="A4067" t="str">
        <f t="shared" si="1"/>
        <v>cyp#2009</v>
      </c>
      <c r="B4067" t="str">
        <f>IFERROR(__xludf.DUMMYFUNCTION("""COMPUTED_VALUE"""),"cyp")</f>
        <v>cyp</v>
      </c>
      <c r="C4067" t="str">
        <f>IFERROR(__xludf.DUMMYFUNCTION("""COMPUTED_VALUE"""),"Cyprus")</f>
        <v>Cyprus</v>
      </c>
      <c r="D4067">
        <f>IFERROR(__xludf.DUMMYFUNCTION("""COMPUTED_VALUE"""),2009.0)</f>
        <v>2009</v>
      </c>
      <c r="E4067">
        <f>IFERROR(__xludf.DUMMYFUNCTION("""COMPUTED_VALUE"""),1098076.0)</f>
        <v>1098076</v>
      </c>
    </row>
    <row r="4068">
      <c r="A4068" t="str">
        <f t="shared" si="1"/>
        <v>cyp#2010</v>
      </c>
      <c r="B4068" t="str">
        <f>IFERROR(__xludf.DUMMYFUNCTION("""COMPUTED_VALUE"""),"cyp")</f>
        <v>cyp</v>
      </c>
      <c r="C4068" t="str">
        <f>IFERROR(__xludf.DUMMYFUNCTION("""COMPUTED_VALUE"""),"Cyprus")</f>
        <v>Cyprus</v>
      </c>
      <c r="D4068">
        <f>IFERROR(__xludf.DUMMYFUNCTION("""COMPUTED_VALUE"""),2010.0)</f>
        <v>2010</v>
      </c>
      <c r="E4068">
        <f>IFERROR(__xludf.DUMMYFUNCTION("""COMPUTED_VALUE"""),1112607.0)</f>
        <v>1112607</v>
      </c>
    </row>
    <row r="4069">
      <c r="A4069" t="str">
        <f t="shared" si="1"/>
        <v>cyp#2011</v>
      </c>
      <c r="B4069" t="str">
        <f>IFERROR(__xludf.DUMMYFUNCTION("""COMPUTED_VALUE"""),"cyp")</f>
        <v>cyp</v>
      </c>
      <c r="C4069" t="str">
        <f>IFERROR(__xludf.DUMMYFUNCTION("""COMPUTED_VALUE"""),"Cyprus")</f>
        <v>Cyprus</v>
      </c>
      <c r="D4069">
        <f>IFERROR(__xludf.DUMMYFUNCTION("""COMPUTED_VALUE"""),2011.0)</f>
        <v>2011</v>
      </c>
      <c r="E4069">
        <f>IFERROR(__xludf.DUMMYFUNCTION("""COMPUTED_VALUE"""),1124835.0)</f>
        <v>1124835</v>
      </c>
    </row>
    <row r="4070">
      <c r="A4070" t="str">
        <f t="shared" si="1"/>
        <v>cyp#2012</v>
      </c>
      <c r="B4070" t="str">
        <f>IFERROR(__xludf.DUMMYFUNCTION("""COMPUTED_VALUE"""),"cyp")</f>
        <v>cyp</v>
      </c>
      <c r="C4070" t="str">
        <f>IFERROR(__xludf.DUMMYFUNCTION("""COMPUTED_VALUE"""),"Cyprus")</f>
        <v>Cyprus</v>
      </c>
      <c r="D4070">
        <f>IFERROR(__xludf.DUMMYFUNCTION("""COMPUTED_VALUE"""),2012.0)</f>
        <v>2012</v>
      </c>
      <c r="E4070">
        <f>IFERROR(__xludf.DUMMYFUNCTION("""COMPUTED_VALUE"""),1135062.0)</f>
        <v>1135062</v>
      </c>
    </row>
    <row r="4071">
      <c r="A4071" t="str">
        <f t="shared" si="1"/>
        <v>cyp#2013</v>
      </c>
      <c r="B4071" t="str">
        <f>IFERROR(__xludf.DUMMYFUNCTION("""COMPUTED_VALUE"""),"cyp")</f>
        <v>cyp</v>
      </c>
      <c r="C4071" t="str">
        <f>IFERROR(__xludf.DUMMYFUNCTION("""COMPUTED_VALUE"""),"Cyprus")</f>
        <v>Cyprus</v>
      </c>
      <c r="D4071">
        <f>IFERROR(__xludf.DUMMYFUNCTION("""COMPUTED_VALUE"""),2013.0)</f>
        <v>2013</v>
      </c>
      <c r="E4071">
        <f>IFERROR(__xludf.DUMMYFUNCTION("""COMPUTED_VALUE"""),1143896.0)</f>
        <v>1143896</v>
      </c>
    </row>
    <row r="4072">
      <c r="A4072" t="str">
        <f t="shared" si="1"/>
        <v>cyp#2014</v>
      </c>
      <c r="B4072" t="str">
        <f>IFERROR(__xludf.DUMMYFUNCTION("""COMPUTED_VALUE"""),"cyp")</f>
        <v>cyp</v>
      </c>
      <c r="C4072" t="str">
        <f>IFERROR(__xludf.DUMMYFUNCTION("""COMPUTED_VALUE"""),"Cyprus")</f>
        <v>Cyprus</v>
      </c>
      <c r="D4072">
        <f>IFERROR(__xludf.DUMMYFUNCTION("""COMPUTED_VALUE"""),2014.0)</f>
        <v>2014</v>
      </c>
      <c r="E4072">
        <f>IFERROR(__xludf.DUMMYFUNCTION("""COMPUTED_VALUE"""),1152309.0)</f>
        <v>1152309</v>
      </c>
    </row>
    <row r="4073">
      <c r="A4073" t="str">
        <f t="shared" si="1"/>
        <v>cyp#2015</v>
      </c>
      <c r="B4073" t="str">
        <f>IFERROR(__xludf.DUMMYFUNCTION("""COMPUTED_VALUE"""),"cyp")</f>
        <v>cyp</v>
      </c>
      <c r="C4073" t="str">
        <f>IFERROR(__xludf.DUMMYFUNCTION("""COMPUTED_VALUE"""),"Cyprus")</f>
        <v>Cyprus</v>
      </c>
      <c r="D4073">
        <f>IFERROR(__xludf.DUMMYFUNCTION("""COMPUTED_VALUE"""),2015.0)</f>
        <v>2015</v>
      </c>
      <c r="E4073">
        <f>IFERROR(__xludf.DUMMYFUNCTION("""COMPUTED_VALUE"""),1160985.0)</f>
        <v>1160985</v>
      </c>
    </row>
    <row r="4074">
      <c r="A4074" t="str">
        <f t="shared" si="1"/>
        <v>cyp#2016</v>
      </c>
      <c r="B4074" t="str">
        <f>IFERROR(__xludf.DUMMYFUNCTION("""COMPUTED_VALUE"""),"cyp")</f>
        <v>cyp</v>
      </c>
      <c r="C4074" t="str">
        <f>IFERROR(__xludf.DUMMYFUNCTION("""COMPUTED_VALUE"""),"Cyprus")</f>
        <v>Cyprus</v>
      </c>
      <c r="D4074">
        <f>IFERROR(__xludf.DUMMYFUNCTION("""COMPUTED_VALUE"""),2016.0)</f>
        <v>2016</v>
      </c>
      <c r="E4074">
        <f>IFERROR(__xludf.DUMMYFUNCTION("""COMPUTED_VALUE"""),1170125.0)</f>
        <v>1170125</v>
      </c>
    </row>
    <row r="4075">
      <c r="A4075" t="str">
        <f t="shared" si="1"/>
        <v>cyp#2017</v>
      </c>
      <c r="B4075" t="str">
        <f>IFERROR(__xludf.DUMMYFUNCTION("""COMPUTED_VALUE"""),"cyp")</f>
        <v>cyp</v>
      </c>
      <c r="C4075" t="str">
        <f>IFERROR(__xludf.DUMMYFUNCTION("""COMPUTED_VALUE"""),"Cyprus")</f>
        <v>Cyprus</v>
      </c>
      <c r="D4075">
        <f>IFERROR(__xludf.DUMMYFUNCTION("""COMPUTED_VALUE"""),2017.0)</f>
        <v>2017</v>
      </c>
      <c r="E4075">
        <f>IFERROR(__xludf.DUMMYFUNCTION("""COMPUTED_VALUE"""),1179551.0)</f>
        <v>1179551</v>
      </c>
    </row>
    <row r="4076">
      <c r="A4076" t="str">
        <f t="shared" si="1"/>
        <v>cyp#2018</v>
      </c>
      <c r="B4076" t="str">
        <f>IFERROR(__xludf.DUMMYFUNCTION("""COMPUTED_VALUE"""),"cyp")</f>
        <v>cyp</v>
      </c>
      <c r="C4076" t="str">
        <f>IFERROR(__xludf.DUMMYFUNCTION("""COMPUTED_VALUE"""),"Cyprus")</f>
        <v>Cyprus</v>
      </c>
      <c r="D4076">
        <f>IFERROR(__xludf.DUMMYFUNCTION("""COMPUTED_VALUE"""),2018.0)</f>
        <v>2018</v>
      </c>
      <c r="E4076">
        <f>IFERROR(__xludf.DUMMYFUNCTION("""COMPUTED_VALUE"""),1189085.0)</f>
        <v>1189085</v>
      </c>
    </row>
    <row r="4077">
      <c r="A4077" t="str">
        <f t="shared" si="1"/>
        <v>cyp#2019</v>
      </c>
      <c r="B4077" t="str">
        <f>IFERROR(__xludf.DUMMYFUNCTION("""COMPUTED_VALUE"""),"cyp")</f>
        <v>cyp</v>
      </c>
      <c r="C4077" t="str">
        <f>IFERROR(__xludf.DUMMYFUNCTION("""COMPUTED_VALUE"""),"Cyprus")</f>
        <v>Cyprus</v>
      </c>
      <c r="D4077">
        <f>IFERROR(__xludf.DUMMYFUNCTION("""COMPUTED_VALUE"""),2019.0)</f>
        <v>2019</v>
      </c>
      <c r="E4077">
        <f>IFERROR(__xludf.DUMMYFUNCTION("""COMPUTED_VALUE"""),1198427.0)</f>
        <v>1198427</v>
      </c>
    </row>
    <row r="4078">
      <c r="A4078" t="str">
        <f t="shared" si="1"/>
        <v>cyp#2020</v>
      </c>
      <c r="B4078" t="str">
        <f>IFERROR(__xludf.DUMMYFUNCTION("""COMPUTED_VALUE"""),"cyp")</f>
        <v>cyp</v>
      </c>
      <c r="C4078" t="str">
        <f>IFERROR(__xludf.DUMMYFUNCTION("""COMPUTED_VALUE"""),"Cyprus")</f>
        <v>Cyprus</v>
      </c>
      <c r="D4078">
        <f>IFERROR(__xludf.DUMMYFUNCTION("""COMPUTED_VALUE"""),2020.0)</f>
        <v>2020</v>
      </c>
      <c r="E4078">
        <f>IFERROR(__xludf.DUMMYFUNCTION("""COMPUTED_VALUE"""),1207343.0)</f>
        <v>1207343</v>
      </c>
    </row>
    <row r="4079">
      <c r="A4079" t="str">
        <f t="shared" si="1"/>
        <v>cyp#2021</v>
      </c>
      <c r="B4079" t="str">
        <f>IFERROR(__xludf.DUMMYFUNCTION("""COMPUTED_VALUE"""),"cyp")</f>
        <v>cyp</v>
      </c>
      <c r="C4079" t="str">
        <f>IFERROR(__xludf.DUMMYFUNCTION("""COMPUTED_VALUE"""),"Cyprus")</f>
        <v>Cyprus</v>
      </c>
      <c r="D4079">
        <f>IFERROR(__xludf.DUMMYFUNCTION("""COMPUTED_VALUE"""),2021.0)</f>
        <v>2021</v>
      </c>
      <c r="E4079">
        <f>IFERROR(__xludf.DUMMYFUNCTION("""COMPUTED_VALUE"""),1215850.0)</f>
        <v>1215850</v>
      </c>
    </row>
    <row r="4080">
      <c r="A4080" t="str">
        <f t="shared" si="1"/>
        <v>cyp#2022</v>
      </c>
      <c r="B4080" t="str">
        <f>IFERROR(__xludf.DUMMYFUNCTION("""COMPUTED_VALUE"""),"cyp")</f>
        <v>cyp</v>
      </c>
      <c r="C4080" t="str">
        <f>IFERROR(__xludf.DUMMYFUNCTION("""COMPUTED_VALUE"""),"Cyprus")</f>
        <v>Cyprus</v>
      </c>
      <c r="D4080">
        <f>IFERROR(__xludf.DUMMYFUNCTION("""COMPUTED_VALUE"""),2022.0)</f>
        <v>2022</v>
      </c>
      <c r="E4080">
        <f>IFERROR(__xludf.DUMMYFUNCTION("""COMPUTED_VALUE"""),1224028.0)</f>
        <v>1224028</v>
      </c>
    </row>
    <row r="4081">
      <c r="A4081" t="str">
        <f t="shared" si="1"/>
        <v>cyp#2023</v>
      </c>
      <c r="B4081" t="str">
        <f>IFERROR(__xludf.DUMMYFUNCTION("""COMPUTED_VALUE"""),"cyp")</f>
        <v>cyp</v>
      </c>
      <c r="C4081" t="str">
        <f>IFERROR(__xludf.DUMMYFUNCTION("""COMPUTED_VALUE"""),"Cyprus")</f>
        <v>Cyprus</v>
      </c>
      <c r="D4081">
        <f>IFERROR(__xludf.DUMMYFUNCTION("""COMPUTED_VALUE"""),2023.0)</f>
        <v>2023</v>
      </c>
      <c r="E4081">
        <f>IFERROR(__xludf.DUMMYFUNCTION("""COMPUTED_VALUE"""),1231937.0)</f>
        <v>1231937</v>
      </c>
    </row>
    <row r="4082">
      <c r="A4082" t="str">
        <f t="shared" si="1"/>
        <v>cyp#2024</v>
      </c>
      <c r="B4082" t="str">
        <f>IFERROR(__xludf.DUMMYFUNCTION("""COMPUTED_VALUE"""),"cyp")</f>
        <v>cyp</v>
      </c>
      <c r="C4082" t="str">
        <f>IFERROR(__xludf.DUMMYFUNCTION("""COMPUTED_VALUE"""),"Cyprus")</f>
        <v>Cyprus</v>
      </c>
      <c r="D4082">
        <f>IFERROR(__xludf.DUMMYFUNCTION("""COMPUTED_VALUE"""),2024.0)</f>
        <v>2024</v>
      </c>
      <c r="E4082">
        <f>IFERROR(__xludf.DUMMYFUNCTION("""COMPUTED_VALUE"""),1239630.0)</f>
        <v>1239630</v>
      </c>
    </row>
    <row r="4083">
      <c r="A4083" t="str">
        <f t="shared" si="1"/>
        <v>cyp#2025</v>
      </c>
      <c r="B4083" t="str">
        <f>IFERROR(__xludf.DUMMYFUNCTION("""COMPUTED_VALUE"""),"cyp")</f>
        <v>cyp</v>
      </c>
      <c r="C4083" t="str">
        <f>IFERROR(__xludf.DUMMYFUNCTION("""COMPUTED_VALUE"""),"Cyprus")</f>
        <v>Cyprus</v>
      </c>
      <c r="D4083">
        <f>IFERROR(__xludf.DUMMYFUNCTION("""COMPUTED_VALUE"""),2025.0)</f>
        <v>2025</v>
      </c>
      <c r="E4083">
        <f>IFERROR(__xludf.DUMMYFUNCTION("""COMPUTED_VALUE"""),1247140.0)</f>
        <v>1247140</v>
      </c>
    </row>
    <row r="4084">
      <c r="A4084" t="str">
        <f t="shared" si="1"/>
        <v>cyp#2026</v>
      </c>
      <c r="B4084" t="str">
        <f>IFERROR(__xludf.DUMMYFUNCTION("""COMPUTED_VALUE"""),"cyp")</f>
        <v>cyp</v>
      </c>
      <c r="C4084" t="str">
        <f>IFERROR(__xludf.DUMMYFUNCTION("""COMPUTED_VALUE"""),"Cyprus")</f>
        <v>Cyprus</v>
      </c>
      <c r="D4084">
        <f>IFERROR(__xludf.DUMMYFUNCTION("""COMPUTED_VALUE"""),2026.0)</f>
        <v>2026</v>
      </c>
      <c r="E4084">
        <f>IFERROR(__xludf.DUMMYFUNCTION("""COMPUTED_VALUE"""),1254485.0)</f>
        <v>1254485</v>
      </c>
    </row>
    <row r="4085">
      <c r="A4085" t="str">
        <f t="shared" si="1"/>
        <v>cyp#2027</v>
      </c>
      <c r="B4085" t="str">
        <f>IFERROR(__xludf.DUMMYFUNCTION("""COMPUTED_VALUE"""),"cyp")</f>
        <v>cyp</v>
      </c>
      <c r="C4085" t="str">
        <f>IFERROR(__xludf.DUMMYFUNCTION("""COMPUTED_VALUE"""),"Cyprus")</f>
        <v>Cyprus</v>
      </c>
      <c r="D4085">
        <f>IFERROR(__xludf.DUMMYFUNCTION("""COMPUTED_VALUE"""),2027.0)</f>
        <v>2027</v>
      </c>
      <c r="E4085">
        <f>IFERROR(__xludf.DUMMYFUNCTION("""COMPUTED_VALUE"""),1261654.0)</f>
        <v>1261654</v>
      </c>
    </row>
    <row r="4086">
      <c r="A4086" t="str">
        <f t="shared" si="1"/>
        <v>cyp#2028</v>
      </c>
      <c r="B4086" t="str">
        <f>IFERROR(__xludf.DUMMYFUNCTION("""COMPUTED_VALUE"""),"cyp")</f>
        <v>cyp</v>
      </c>
      <c r="C4086" t="str">
        <f>IFERROR(__xludf.DUMMYFUNCTION("""COMPUTED_VALUE"""),"Cyprus")</f>
        <v>Cyprus</v>
      </c>
      <c r="D4086">
        <f>IFERROR(__xludf.DUMMYFUNCTION("""COMPUTED_VALUE"""),2028.0)</f>
        <v>2028</v>
      </c>
      <c r="E4086">
        <f>IFERROR(__xludf.DUMMYFUNCTION("""COMPUTED_VALUE"""),1268658.0)</f>
        <v>1268658</v>
      </c>
    </row>
    <row r="4087">
      <c r="A4087" t="str">
        <f t="shared" si="1"/>
        <v>cyp#2029</v>
      </c>
      <c r="B4087" t="str">
        <f>IFERROR(__xludf.DUMMYFUNCTION("""COMPUTED_VALUE"""),"cyp")</f>
        <v>cyp</v>
      </c>
      <c r="C4087" t="str">
        <f>IFERROR(__xludf.DUMMYFUNCTION("""COMPUTED_VALUE"""),"Cyprus")</f>
        <v>Cyprus</v>
      </c>
      <c r="D4087">
        <f>IFERROR(__xludf.DUMMYFUNCTION("""COMPUTED_VALUE"""),2029.0)</f>
        <v>2029</v>
      </c>
      <c r="E4087">
        <f>IFERROR(__xludf.DUMMYFUNCTION("""COMPUTED_VALUE"""),1275508.0)</f>
        <v>1275508</v>
      </c>
    </row>
    <row r="4088">
      <c r="A4088" t="str">
        <f t="shared" si="1"/>
        <v>cyp#2030</v>
      </c>
      <c r="B4088" t="str">
        <f>IFERROR(__xludf.DUMMYFUNCTION("""COMPUTED_VALUE"""),"cyp")</f>
        <v>cyp</v>
      </c>
      <c r="C4088" t="str">
        <f>IFERROR(__xludf.DUMMYFUNCTION("""COMPUTED_VALUE"""),"Cyprus")</f>
        <v>Cyprus</v>
      </c>
      <c r="D4088">
        <f>IFERROR(__xludf.DUMMYFUNCTION("""COMPUTED_VALUE"""),2030.0)</f>
        <v>2030</v>
      </c>
      <c r="E4088">
        <f>IFERROR(__xludf.DUMMYFUNCTION("""COMPUTED_VALUE"""),1282204.0)</f>
        <v>1282204</v>
      </c>
    </row>
    <row r="4089">
      <c r="A4089" t="str">
        <f t="shared" si="1"/>
        <v>cyp#2031</v>
      </c>
      <c r="B4089" t="str">
        <f>IFERROR(__xludf.DUMMYFUNCTION("""COMPUTED_VALUE"""),"cyp")</f>
        <v>cyp</v>
      </c>
      <c r="C4089" t="str">
        <f>IFERROR(__xludf.DUMMYFUNCTION("""COMPUTED_VALUE"""),"Cyprus")</f>
        <v>Cyprus</v>
      </c>
      <c r="D4089">
        <f>IFERROR(__xludf.DUMMYFUNCTION("""COMPUTED_VALUE"""),2031.0)</f>
        <v>2031</v>
      </c>
      <c r="E4089">
        <f>IFERROR(__xludf.DUMMYFUNCTION("""COMPUTED_VALUE"""),1288744.0)</f>
        <v>1288744</v>
      </c>
    </row>
    <row r="4090">
      <c r="A4090" t="str">
        <f t="shared" si="1"/>
        <v>cyp#2032</v>
      </c>
      <c r="B4090" t="str">
        <f>IFERROR(__xludf.DUMMYFUNCTION("""COMPUTED_VALUE"""),"cyp")</f>
        <v>cyp</v>
      </c>
      <c r="C4090" t="str">
        <f>IFERROR(__xludf.DUMMYFUNCTION("""COMPUTED_VALUE"""),"Cyprus")</f>
        <v>Cyprus</v>
      </c>
      <c r="D4090">
        <f>IFERROR(__xludf.DUMMYFUNCTION("""COMPUTED_VALUE"""),2032.0)</f>
        <v>2032</v>
      </c>
      <c r="E4090">
        <f>IFERROR(__xludf.DUMMYFUNCTION("""COMPUTED_VALUE"""),1295147.0)</f>
        <v>1295147</v>
      </c>
    </row>
    <row r="4091">
      <c r="A4091" t="str">
        <f t="shared" si="1"/>
        <v>cyp#2033</v>
      </c>
      <c r="B4091" t="str">
        <f>IFERROR(__xludf.DUMMYFUNCTION("""COMPUTED_VALUE"""),"cyp")</f>
        <v>cyp</v>
      </c>
      <c r="C4091" t="str">
        <f>IFERROR(__xludf.DUMMYFUNCTION("""COMPUTED_VALUE"""),"Cyprus")</f>
        <v>Cyprus</v>
      </c>
      <c r="D4091">
        <f>IFERROR(__xludf.DUMMYFUNCTION("""COMPUTED_VALUE"""),2033.0)</f>
        <v>2033</v>
      </c>
      <c r="E4091">
        <f>IFERROR(__xludf.DUMMYFUNCTION("""COMPUTED_VALUE"""),1301408.0)</f>
        <v>1301408</v>
      </c>
    </row>
    <row r="4092">
      <c r="A4092" t="str">
        <f t="shared" si="1"/>
        <v>cyp#2034</v>
      </c>
      <c r="B4092" t="str">
        <f>IFERROR(__xludf.DUMMYFUNCTION("""COMPUTED_VALUE"""),"cyp")</f>
        <v>cyp</v>
      </c>
      <c r="C4092" t="str">
        <f>IFERROR(__xludf.DUMMYFUNCTION("""COMPUTED_VALUE"""),"Cyprus")</f>
        <v>Cyprus</v>
      </c>
      <c r="D4092">
        <f>IFERROR(__xludf.DUMMYFUNCTION("""COMPUTED_VALUE"""),2034.0)</f>
        <v>2034</v>
      </c>
      <c r="E4092">
        <f>IFERROR(__xludf.DUMMYFUNCTION("""COMPUTED_VALUE"""),1307545.0)</f>
        <v>1307545</v>
      </c>
    </row>
    <row r="4093">
      <c r="A4093" t="str">
        <f t="shared" si="1"/>
        <v>cyp#2035</v>
      </c>
      <c r="B4093" t="str">
        <f>IFERROR(__xludf.DUMMYFUNCTION("""COMPUTED_VALUE"""),"cyp")</f>
        <v>cyp</v>
      </c>
      <c r="C4093" t="str">
        <f>IFERROR(__xludf.DUMMYFUNCTION("""COMPUTED_VALUE"""),"Cyprus")</f>
        <v>Cyprus</v>
      </c>
      <c r="D4093">
        <f>IFERROR(__xludf.DUMMYFUNCTION("""COMPUTED_VALUE"""),2035.0)</f>
        <v>2035</v>
      </c>
      <c r="E4093">
        <f>IFERROR(__xludf.DUMMYFUNCTION("""COMPUTED_VALUE"""),1313542.0)</f>
        <v>1313542</v>
      </c>
    </row>
    <row r="4094">
      <c r="A4094" t="str">
        <f t="shared" si="1"/>
        <v>cyp#2036</v>
      </c>
      <c r="B4094" t="str">
        <f>IFERROR(__xludf.DUMMYFUNCTION("""COMPUTED_VALUE"""),"cyp")</f>
        <v>cyp</v>
      </c>
      <c r="C4094" t="str">
        <f>IFERROR(__xludf.DUMMYFUNCTION("""COMPUTED_VALUE"""),"Cyprus")</f>
        <v>Cyprus</v>
      </c>
      <c r="D4094">
        <f>IFERROR(__xludf.DUMMYFUNCTION("""COMPUTED_VALUE"""),2036.0)</f>
        <v>2036</v>
      </c>
      <c r="E4094">
        <f>IFERROR(__xludf.DUMMYFUNCTION("""COMPUTED_VALUE"""),1319414.0)</f>
        <v>1319414</v>
      </c>
    </row>
    <row r="4095">
      <c r="A4095" t="str">
        <f t="shared" si="1"/>
        <v>cyp#2037</v>
      </c>
      <c r="B4095" t="str">
        <f>IFERROR(__xludf.DUMMYFUNCTION("""COMPUTED_VALUE"""),"cyp")</f>
        <v>cyp</v>
      </c>
      <c r="C4095" t="str">
        <f>IFERROR(__xludf.DUMMYFUNCTION("""COMPUTED_VALUE"""),"Cyprus")</f>
        <v>Cyprus</v>
      </c>
      <c r="D4095">
        <f>IFERROR(__xludf.DUMMYFUNCTION("""COMPUTED_VALUE"""),2037.0)</f>
        <v>2037</v>
      </c>
      <c r="E4095">
        <f>IFERROR(__xludf.DUMMYFUNCTION("""COMPUTED_VALUE"""),1325161.0)</f>
        <v>1325161</v>
      </c>
    </row>
    <row r="4096">
      <c r="A4096" t="str">
        <f t="shared" si="1"/>
        <v>cyp#2038</v>
      </c>
      <c r="B4096" t="str">
        <f>IFERROR(__xludf.DUMMYFUNCTION("""COMPUTED_VALUE"""),"cyp")</f>
        <v>cyp</v>
      </c>
      <c r="C4096" t="str">
        <f>IFERROR(__xludf.DUMMYFUNCTION("""COMPUTED_VALUE"""),"Cyprus")</f>
        <v>Cyprus</v>
      </c>
      <c r="D4096">
        <f>IFERROR(__xludf.DUMMYFUNCTION("""COMPUTED_VALUE"""),2038.0)</f>
        <v>2038</v>
      </c>
      <c r="E4096">
        <f>IFERROR(__xludf.DUMMYFUNCTION("""COMPUTED_VALUE"""),1330757.0)</f>
        <v>1330757</v>
      </c>
    </row>
    <row r="4097">
      <c r="A4097" t="str">
        <f t="shared" si="1"/>
        <v>cyp#2039</v>
      </c>
      <c r="B4097" t="str">
        <f>IFERROR(__xludf.DUMMYFUNCTION("""COMPUTED_VALUE"""),"cyp")</f>
        <v>cyp</v>
      </c>
      <c r="C4097" t="str">
        <f>IFERROR(__xludf.DUMMYFUNCTION("""COMPUTED_VALUE"""),"Cyprus")</f>
        <v>Cyprus</v>
      </c>
      <c r="D4097">
        <f>IFERROR(__xludf.DUMMYFUNCTION("""COMPUTED_VALUE"""),2039.0)</f>
        <v>2039</v>
      </c>
      <c r="E4097">
        <f>IFERROR(__xludf.DUMMYFUNCTION("""COMPUTED_VALUE"""),1336202.0)</f>
        <v>1336202</v>
      </c>
    </row>
    <row r="4098">
      <c r="A4098" t="str">
        <f t="shared" si="1"/>
        <v>cyp#2040</v>
      </c>
      <c r="B4098" t="str">
        <f>IFERROR(__xludf.DUMMYFUNCTION("""COMPUTED_VALUE"""),"cyp")</f>
        <v>cyp</v>
      </c>
      <c r="C4098" t="str">
        <f>IFERROR(__xludf.DUMMYFUNCTION("""COMPUTED_VALUE"""),"Cyprus")</f>
        <v>Cyprus</v>
      </c>
      <c r="D4098">
        <f>IFERROR(__xludf.DUMMYFUNCTION("""COMPUTED_VALUE"""),2040.0)</f>
        <v>2040</v>
      </c>
      <c r="E4098">
        <f>IFERROR(__xludf.DUMMYFUNCTION("""COMPUTED_VALUE"""),1341465.0)</f>
        <v>1341465</v>
      </c>
    </row>
    <row r="4099">
      <c r="A4099" t="str">
        <f t="shared" si="1"/>
        <v>cze#1950</v>
      </c>
      <c r="B4099" t="str">
        <f>IFERROR(__xludf.DUMMYFUNCTION("""COMPUTED_VALUE"""),"cze")</f>
        <v>cze</v>
      </c>
      <c r="C4099" t="str">
        <f>IFERROR(__xludf.DUMMYFUNCTION("""COMPUTED_VALUE"""),"Czech Republic")</f>
        <v>Czech Republic</v>
      </c>
      <c r="D4099">
        <f>IFERROR(__xludf.DUMMYFUNCTION("""COMPUTED_VALUE"""),1950.0)</f>
        <v>1950</v>
      </c>
      <c r="E4099">
        <f>IFERROR(__xludf.DUMMYFUNCTION("""COMPUTED_VALUE"""),8902619.0)</f>
        <v>8902619</v>
      </c>
    </row>
    <row r="4100">
      <c r="A4100" t="str">
        <f t="shared" si="1"/>
        <v>cze#1951</v>
      </c>
      <c r="B4100" t="str">
        <f>IFERROR(__xludf.DUMMYFUNCTION("""COMPUTED_VALUE"""),"cze")</f>
        <v>cze</v>
      </c>
      <c r="C4100" t="str">
        <f>IFERROR(__xludf.DUMMYFUNCTION("""COMPUTED_VALUE"""),"Czech Republic")</f>
        <v>Czech Republic</v>
      </c>
      <c r="D4100">
        <f>IFERROR(__xludf.DUMMYFUNCTION("""COMPUTED_VALUE"""),1951.0)</f>
        <v>1951</v>
      </c>
      <c r="E4100">
        <f>IFERROR(__xludf.DUMMYFUNCTION("""COMPUTED_VALUE"""),9007006.0)</f>
        <v>9007006</v>
      </c>
    </row>
    <row r="4101">
      <c r="A4101" t="str">
        <f t="shared" si="1"/>
        <v>cze#1952</v>
      </c>
      <c r="B4101" t="str">
        <f>IFERROR(__xludf.DUMMYFUNCTION("""COMPUTED_VALUE"""),"cze")</f>
        <v>cze</v>
      </c>
      <c r="C4101" t="str">
        <f>IFERROR(__xludf.DUMMYFUNCTION("""COMPUTED_VALUE"""),"Czech Republic")</f>
        <v>Czech Republic</v>
      </c>
      <c r="D4101">
        <f>IFERROR(__xludf.DUMMYFUNCTION("""COMPUTED_VALUE"""),1952.0)</f>
        <v>1952</v>
      </c>
      <c r="E4101">
        <f>IFERROR(__xludf.DUMMYFUNCTION("""COMPUTED_VALUE"""),9110140.0)</f>
        <v>9110140</v>
      </c>
    </row>
    <row r="4102">
      <c r="A4102" t="str">
        <f t="shared" si="1"/>
        <v>cze#1953</v>
      </c>
      <c r="B4102" t="str">
        <f>IFERROR(__xludf.DUMMYFUNCTION("""COMPUTED_VALUE"""),"cze")</f>
        <v>cze</v>
      </c>
      <c r="C4102" t="str">
        <f>IFERROR(__xludf.DUMMYFUNCTION("""COMPUTED_VALUE"""),"Czech Republic")</f>
        <v>Czech Republic</v>
      </c>
      <c r="D4102">
        <f>IFERROR(__xludf.DUMMYFUNCTION("""COMPUTED_VALUE"""),1953.0)</f>
        <v>1953</v>
      </c>
      <c r="E4102">
        <f>IFERROR(__xludf.DUMMYFUNCTION("""COMPUTED_VALUE"""),9205963.0)</f>
        <v>9205963</v>
      </c>
    </row>
    <row r="4103">
      <c r="A4103" t="str">
        <f t="shared" si="1"/>
        <v>cze#1954</v>
      </c>
      <c r="B4103" t="str">
        <f>IFERROR(__xludf.DUMMYFUNCTION("""COMPUTED_VALUE"""),"cze")</f>
        <v>cze</v>
      </c>
      <c r="C4103" t="str">
        <f>IFERROR(__xludf.DUMMYFUNCTION("""COMPUTED_VALUE"""),"Czech Republic")</f>
        <v>Czech Republic</v>
      </c>
      <c r="D4103">
        <f>IFERROR(__xludf.DUMMYFUNCTION("""COMPUTED_VALUE"""),1954.0)</f>
        <v>1954</v>
      </c>
      <c r="E4103">
        <f>IFERROR(__xludf.DUMMYFUNCTION("""COMPUTED_VALUE"""),9290488.0)</f>
        <v>9290488</v>
      </c>
    </row>
    <row r="4104">
      <c r="A4104" t="str">
        <f t="shared" si="1"/>
        <v>cze#1955</v>
      </c>
      <c r="B4104" t="str">
        <f>IFERROR(__xludf.DUMMYFUNCTION("""COMPUTED_VALUE"""),"cze")</f>
        <v>cze</v>
      </c>
      <c r="C4104" t="str">
        <f>IFERROR(__xludf.DUMMYFUNCTION("""COMPUTED_VALUE"""),"Czech Republic")</f>
        <v>Czech Republic</v>
      </c>
      <c r="D4104">
        <f>IFERROR(__xludf.DUMMYFUNCTION("""COMPUTED_VALUE"""),1955.0)</f>
        <v>1955</v>
      </c>
      <c r="E4104">
        <f>IFERROR(__xludf.DUMMYFUNCTION("""COMPUTED_VALUE"""),9361762.0)</f>
        <v>9361762</v>
      </c>
    </row>
    <row r="4105">
      <c r="A4105" t="str">
        <f t="shared" si="1"/>
        <v>cze#1956</v>
      </c>
      <c r="B4105" t="str">
        <f>IFERROR(__xludf.DUMMYFUNCTION("""COMPUTED_VALUE"""),"cze")</f>
        <v>cze</v>
      </c>
      <c r="C4105" t="str">
        <f>IFERROR(__xludf.DUMMYFUNCTION("""COMPUTED_VALUE"""),"Czech Republic")</f>
        <v>Czech Republic</v>
      </c>
      <c r="D4105">
        <f>IFERROR(__xludf.DUMMYFUNCTION("""COMPUTED_VALUE"""),1956.0)</f>
        <v>1956</v>
      </c>
      <c r="E4105">
        <f>IFERROR(__xludf.DUMMYFUNCTION("""COMPUTED_VALUE"""),9420024.0)</f>
        <v>9420024</v>
      </c>
    </row>
    <row r="4106">
      <c r="A4106" t="str">
        <f t="shared" si="1"/>
        <v>cze#1957</v>
      </c>
      <c r="B4106" t="str">
        <f>IFERROR(__xludf.DUMMYFUNCTION("""COMPUTED_VALUE"""),"cze")</f>
        <v>cze</v>
      </c>
      <c r="C4106" t="str">
        <f>IFERROR(__xludf.DUMMYFUNCTION("""COMPUTED_VALUE"""),"Czech Republic")</f>
        <v>Czech Republic</v>
      </c>
      <c r="D4106">
        <f>IFERROR(__xludf.DUMMYFUNCTION("""COMPUTED_VALUE"""),1957.0)</f>
        <v>1957</v>
      </c>
      <c r="E4106">
        <f>IFERROR(__xludf.DUMMYFUNCTION("""COMPUTED_VALUE"""),9467547.0)</f>
        <v>9467547</v>
      </c>
    </row>
    <row r="4107">
      <c r="A4107" t="str">
        <f t="shared" si="1"/>
        <v>cze#1958</v>
      </c>
      <c r="B4107" t="str">
        <f>IFERROR(__xludf.DUMMYFUNCTION("""COMPUTED_VALUE"""),"cze")</f>
        <v>cze</v>
      </c>
      <c r="C4107" t="str">
        <f>IFERROR(__xludf.DUMMYFUNCTION("""COMPUTED_VALUE"""),"Czech Republic")</f>
        <v>Czech Republic</v>
      </c>
      <c r="D4107">
        <f>IFERROR(__xludf.DUMMYFUNCTION("""COMPUTED_VALUE"""),1958.0)</f>
        <v>1958</v>
      </c>
      <c r="E4107">
        <f>IFERROR(__xludf.DUMMYFUNCTION("""COMPUTED_VALUE"""),9508368.0)</f>
        <v>9508368</v>
      </c>
    </row>
    <row r="4108">
      <c r="A4108" t="str">
        <f t="shared" si="1"/>
        <v>cze#1959</v>
      </c>
      <c r="B4108" t="str">
        <f>IFERROR(__xludf.DUMMYFUNCTION("""COMPUTED_VALUE"""),"cze")</f>
        <v>cze</v>
      </c>
      <c r="C4108" t="str">
        <f>IFERROR(__xludf.DUMMYFUNCTION("""COMPUTED_VALUE"""),"Czech Republic")</f>
        <v>Czech Republic</v>
      </c>
      <c r="D4108">
        <f>IFERROR(__xludf.DUMMYFUNCTION("""COMPUTED_VALUE"""),1959.0)</f>
        <v>1959</v>
      </c>
      <c r="E4108">
        <f>IFERROR(__xludf.DUMMYFUNCTION("""COMPUTED_VALUE"""),9547667.0)</f>
        <v>9547667</v>
      </c>
    </row>
    <row r="4109">
      <c r="A4109" t="str">
        <f t="shared" si="1"/>
        <v>cze#1960</v>
      </c>
      <c r="B4109" t="str">
        <f>IFERROR(__xludf.DUMMYFUNCTION("""COMPUTED_VALUE"""),"cze")</f>
        <v>cze</v>
      </c>
      <c r="C4109" t="str">
        <f>IFERROR(__xludf.DUMMYFUNCTION("""COMPUTED_VALUE"""),"Czech Republic")</f>
        <v>Czech Republic</v>
      </c>
      <c r="D4109">
        <f>IFERROR(__xludf.DUMMYFUNCTION("""COMPUTED_VALUE"""),1960.0)</f>
        <v>1960</v>
      </c>
      <c r="E4109">
        <f>IFERROR(__xludf.DUMMYFUNCTION("""COMPUTED_VALUE"""),9590187.0)</f>
        <v>9590187</v>
      </c>
    </row>
    <row r="4110">
      <c r="A4110" t="str">
        <f t="shared" si="1"/>
        <v>cze#1961</v>
      </c>
      <c r="B4110" t="str">
        <f>IFERROR(__xludf.DUMMYFUNCTION("""COMPUTED_VALUE"""),"cze")</f>
        <v>cze</v>
      </c>
      <c r="C4110" t="str">
        <f>IFERROR(__xludf.DUMMYFUNCTION("""COMPUTED_VALUE"""),"Czech Republic")</f>
        <v>Czech Republic</v>
      </c>
      <c r="D4110">
        <f>IFERROR(__xludf.DUMMYFUNCTION("""COMPUTED_VALUE"""),1961.0)</f>
        <v>1961</v>
      </c>
      <c r="E4110">
        <f>IFERROR(__xludf.DUMMYFUNCTION("""COMPUTED_VALUE"""),9638411.0)</f>
        <v>9638411</v>
      </c>
    </row>
    <row r="4111">
      <c r="A4111" t="str">
        <f t="shared" si="1"/>
        <v>cze#1962</v>
      </c>
      <c r="B4111" t="str">
        <f>IFERROR(__xludf.DUMMYFUNCTION("""COMPUTED_VALUE"""),"cze")</f>
        <v>cze</v>
      </c>
      <c r="C4111" t="str">
        <f>IFERROR(__xludf.DUMMYFUNCTION("""COMPUTED_VALUE"""),"Czech Republic")</f>
        <v>Czech Republic</v>
      </c>
      <c r="D4111">
        <f>IFERROR(__xludf.DUMMYFUNCTION("""COMPUTED_VALUE"""),1962.0)</f>
        <v>1962</v>
      </c>
      <c r="E4111">
        <f>IFERROR(__xludf.DUMMYFUNCTION("""COMPUTED_VALUE"""),9691077.0)</f>
        <v>9691077</v>
      </c>
    </row>
    <row r="4112">
      <c r="A4112" t="str">
        <f t="shared" si="1"/>
        <v>cze#1963</v>
      </c>
      <c r="B4112" t="str">
        <f>IFERROR(__xludf.DUMMYFUNCTION("""COMPUTED_VALUE"""),"cze")</f>
        <v>cze</v>
      </c>
      <c r="C4112" t="str">
        <f>IFERROR(__xludf.DUMMYFUNCTION("""COMPUTED_VALUE"""),"Czech Republic")</f>
        <v>Czech Republic</v>
      </c>
      <c r="D4112">
        <f>IFERROR(__xludf.DUMMYFUNCTION("""COMPUTED_VALUE"""),1963.0)</f>
        <v>1963</v>
      </c>
      <c r="E4112">
        <f>IFERROR(__xludf.DUMMYFUNCTION("""COMPUTED_VALUE"""),9742466.0)</f>
        <v>9742466</v>
      </c>
    </row>
    <row r="4113">
      <c r="A4113" t="str">
        <f t="shared" si="1"/>
        <v>cze#1964</v>
      </c>
      <c r="B4113" t="str">
        <f>IFERROR(__xludf.DUMMYFUNCTION("""COMPUTED_VALUE"""),"cze")</f>
        <v>cze</v>
      </c>
      <c r="C4113" t="str">
        <f>IFERROR(__xludf.DUMMYFUNCTION("""COMPUTED_VALUE"""),"Czech Republic")</f>
        <v>Czech Republic</v>
      </c>
      <c r="D4113">
        <f>IFERROR(__xludf.DUMMYFUNCTION("""COMPUTED_VALUE"""),1964.0)</f>
        <v>1964</v>
      </c>
      <c r="E4113">
        <f>IFERROR(__xludf.DUMMYFUNCTION("""COMPUTED_VALUE"""),9784356.0)</f>
        <v>9784356</v>
      </c>
    </row>
    <row r="4114">
      <c r="A4114" t="str">
        <f t="shared" si="1"/>
        <v>cze#1965</v>
      </c>
      <c r="B4114" t="str">
        <f>IFERROR(__xludf.DUMMYFUNCTION("""COMPUTED_VALUE"""),"cze")</f>
        <v>cze</v>
      </c>
      <c r="C4114" t="str">
        <f>IFERROR(__xludf.DUMMYFUNCTION("""COMPUTED_VALUE"""),"Czech Republic")</f>
        <v>Czech Republic</v>
      </c>
      <c r="D4114">
        <f>IFERROR(__xludf.DUMMYFUNCTION("""COMPUTED_VALUE"""),1965.0)</f>
        <v>1965</v>
      </c>
      <c r="E4114">
        <f>IFERROR(__xludf.DUMMYFUNCTION("""COMPUTED_VALUE"""),9811407.0)</f>
        <v>9811407</v>
      </c>
    </row>
    <row r="4115">
      <c r="A4115" t="str">
        <f t="shared" si="1"/>
        <v>cze#1966</v>
      </c>
      <c r="B4115" t="str">
        <f>IFERROR(__xludf.DUMMYFUNCTION("""COMPUTED_VALUE"""),"cze")</f>
        <v>cze</v>
      </c>
      <c r="C4115" t="str">
        <f>IFERROR(__xludf.DUMMYFUNCTION("""COMPUTED_VALUE"""),"Czech Republic")</f>
        <v>Czech Republic</v>
      </c>
      <c r="D4115">
        <f>IFERROR(__xludf.DUMMYFUNCTION("""COMPUTED_VALUE"""),1966.0)</f>
        <v>1966</v>
      </c>
      <c r="E4115">
        <f>IFERROR(__xludf.DUMMYFUNCTION("""COMPUTED_VALUE"""),9821115.0)</f>
        <v>9821115</v>
      </c>
    </row>
    <row r="4116">
      <c r="A4116" t="str">
        <f t="shared" si="1"/>
        <v>cze#1967</v>
      </c>
      <c r="B4116" t="str">
        <f>IFERROR(__xludf.DUMMYFUNCTION("""COMPUTED_VALUE"""),"cze")</f>
        <v>cze</v>
      </c>
      <c r="C4116" t="str">
        <f>IFERROR(__xludf.DUMMYFUNCTION("""COMPUTED_VALUE"""),"Czech Republic")</f>
        <v>Czech Republic</v>
      </c>
      <c r="D4116">
        <f>IFERROR(__xludf.DUMMYFUNCTION("""COMPUTED_VALUE"""),1967.0)</f>
        <v>1967</v>
      </c>
      <c r="E4116">
        <f>IFERROR(__xludf.DUMMYFUNCTION("""COMPUTED_VALUE"""),9817192.0)</f>
        <v>9817192</v>
      </c>
    </row>
    <row r="4117">
      <c r="A4117" t="str">
        <f t="shared" si="1"/>
        <v>cze#1968</v>
      </c>
      <c r="B4117" t="str">
        <f>IFERROR(__xludf.DUMMYFUNCTION("""COMPUTED_VALUE"""),"cze")</f>
        <v>cze</v>
      </c>
      <c r="C4117" t="str">
        <f>IFERROR(__xludf.DUMMYFUNCTION("""COMPUTED_VALUE"""),"Czech Republic")</f>
        <v>Czech Republic</v>
      </c>
      <c r="D4117">
        <f>IFERROR(__xludf.DUMMYFUNCTION("""COMPUTED_VALUE"""),1968.0)</f>
        <v>1968</v>
      </c>
      <c r="E4117">
        <f>IFERROR(__xludf.DUMMYFUNCTION("""COMPUTED_VALUE"""),9808040.0)</f>
        <v>9808040</v>
      </c>
    </row>
    <row r="4118">
      <c r="A4118" t="str">
        <f t="shared" si="1"/>
        <v>cze#1969</v>
      </c>
      <c r="B4118" t="str">
        <f>IFERROR(__xludf.DUMMYFUNCTION("""COMPUTED_VALUE"""),"cze")</f>
        <v>cze</v>
      </c>
      <c r="C4118" t="str">
        <f>IFERROR(__xludf.DUMMYFUNCTION("""COMPUTED_VALUE"""),"Czech Republic")</f>
        <v>Czech Republic</v>
      </c>
      <c r="D4118">
        <f>IFERROR(__xludf.DUMMYFUNCTION("""COMPUTED_VALUE"""),1969.0)</f>
        <v>1969</v>
      </c>
      <c r="E4118">
        <f>IFERROR(__xludf.DUMMYFUNCTION("""COMPUTED_VALUE"""),9805458.0)</f>
        <v>9805458</v>
      </c>
    </row>
    <row r="4119">
      <c r="A4119" t="str">
        <f t="shared" si="1"/>
        <v>cze#1970</v>
      </c>
      <c r="B4119" t="str">
        <f>IFERROR(__xludf.DUMMYFUNCTION("""COMPUTED_VALUE"""),"cze")</f>
        <v>cze</v>
      </c>
      <c r="C4119" t="str">
        <f>IFERROR(__xludf.DUMMYFUNCTION("""COMPUTED_VALUE"""),"Czech Republic")</f>
        <v>Czech Republic</v>
      </c>
      <c r="D4119">
        <f>IFERROR(__xludf.DUMMYFUNCTION("""COMPUTED_VALUE"""),1970.0)</f>
        <v>1970</v>
      </c>
      <c r="E4119">
        <f>IFERROR(__xludf.DUMMYFUNCTION("""COMPUTED_VALUE"""),9817817.0)</f>
        <v>9817817</v>
      </c>
    </row>
    <row r="4120">
      <c r="A4120" t="str">
        <f t="shared" si="1"/>
        <v>cze#1971</v>
      </c>
      <c r="B4120" t="str">
        <f>IFERROR(__xludf.DUMMYFUNCTION("""COMPUTED_VALUE"""),"cze")</f>
        <v>cze</v>
      </c>
      <c r="C4120" t="str">
        <f>IFERROR(__xludf.DUMMYFUNCTION("""COMPUTED_VALUE"""),"Czech Republic")</f>
        <v>Czech Republic</v>
      </c>
      <c r="D4120">
        <f>IFERROR(__xludf.DUMMYFUNCTION("""COMPUTED_VALUE"""),1971.0)</f>
        <v>1971</v>
      </c>
      <c r="E4120">
        <f>IFERROR(__xludf.DUMMYFUNCTION("""COMPUTED_VALUE"""),9847386.0)</f>
        <v>9847386</v>
      </c>
    </row>
    <row r="4121">
      <c r="A4121" t="str">
        <f t="shared" si="1"/>
        <v>cze#1972</v>
      </c>
      <c r="B4121" t="str">
        <f>IFERROR(__xludf.DUMMYFUNCTION("""COMPUTED_VALUE"""),"cze")</f>
        <v>cze</v>
      </c>
      <c r="C4121" t="str">
        <f>IFERROR(__xludf.DUMMYFUNCTION("""COMPUTED_VALUE"""),"Czech Republic")</f>
        <v>Czech Republic</v>
      </c>
      <c r="D4121">
        <f>IFERROR(__xludf.DUMMYFUNCTION("""COMPUTED_VALUE"""),1972.0)</f>
        <v>1972</v>
      </c>
      <c r="E4121">
        <f>IFERROR(__xludf.DUMMYFUNCTION("""COMPUTED_VALUE"""),9891283.0)</f>
        <v>9891283</v>
      </c>
    </row>
    <row r="4122">
      <c r="A4122" t="str">
        <f t="shared" si="1"/>
        <v>cze#1973</v>
      </c>
      <c r="B4122" t="str">
        <f>IFERROR(__xludf.DUMMYFUNCTION("""COMPUTED_VALUE"""),"cze")</f>
        <v>cze</v>
      </c>
      <c r="C4122" t="str">
        <f>IFERROR(__xludf.DUMMYFUNCTION("""COMPUTED_VALUE"""),"Czech Republic")</f>
        <v>Czech Republic</v>
      </c>
      <c r="D4122">
        <f>IFERROR(__xludf.DUMMYFUNCTION("""COMPUTED_VALUE"""),1973.0)</f>
        <v>1973</v>
      </c>
      <c r="E4122">
        <f>IFERROR(__xludf.DUMMYFUNCTION("""COMPUTED_VALUE"""),9946376.0)</f>
        <v>9946376</v>
      </c>
    </row>
    <row r="4123">
      <c r="A4123" t="str">
        <f t="shared" si="1"/>
        <v>cze#1974</v>
      </c>
      <c r="B4123" t="str">
        <f>IFERROR(__xludf.DUMMYFUNCTION("""COMPUTED_VALUE"""),"cze")</f>
        <v>cze</v>
      </c>
      <c r="C4123" t="str">
        <f>IFERROR(__xludf.DUMMYFUNCTION("""COMPUTED_VALUE"""),"Czech Republic")</f>
        <v>Czech Republic</v>
      </c>
      <c r="D4123">
        <f>IFERROR(__xludf.DUMMYFUNCTION("""COMPUTED_VALUE"""),1974.0)</f>
        <v>1974</v>
      </c>
      <c r="E4123">
        <f>IFERROR(__xludf.DUMMYFUNCTION("""COMPUTED_VALUE"""),1.0007469E7)</f>
        <v>10007469</v>
      </c>
    </row>
    <row r="4124">
      <c r="A4124" t="str">
        <f t="shared" si="1"/>
        <v>cze#1975</v>
      </c>
      <c r="B4124" t="str">
        <f>IFERROR(__xludf.DUMMYFUNCTION("""COMPUTED_VALUE"""),"cze")</f>
        <v>cze</v>
      </c>
      <c r="C4124" t="str">
        <f>IFERROR(__xludf.DUMMYFUNCTION("""COMPUTED_VALUE"""),"Czech Republic")</f>
        <v>Czech Republic</v>
      </c>
      <c r="D4124">
        <f>IFERROR(__xludf.DUMMYFUNCTION("""COMPUTED_VALUE"""),1975.0)</f>
        <v>1975</v>
      </c>
      <c r="E4124">
        <f>IFERROR(__xludf.DUMMYFUNCTION("""COMPUTED_VALUE"""),1.0070144E7)</f>
        <v>10070144</v>
      </c>
    </row>
    <row r="4125">
      <c r="A4125" t="str">
        <f t="shared" si="1"/>
        <v>cze#1976</v>
      </c>
      <c r="B4125" t="str">
        <f>IFERROR(__xludf.DUMMYFUNCTION("""COMPUTED_VALUE"""),"cze")</f>
        <v>cze</v>
      </c>
      <c r="C4125" t="str">
        <f>IFERROR(__xludf.DUMMYFUNCTION("""COMPUTED_VALUE"""),"Czech Republic")</f>
        <v>Czech Republic</v>
      </c>
      <c r="D4125">
        <f>IFERROR(__xludf.DUMMYFUNCTION("""COMPUTED_VALUE"""),1976.0)</f>
        <v>1976</v>
      </c>
      <c r="E4125">
        <f>IFERROR(__xludf.DUMMYFUNCTION("""COMPUTED_VALUE"""),1.0134717E7)</f>
        <v>10134717</v>
      </c>
    </row>
    <row r="4126">
      <c r="A4126" t="str">
        <f t="shared" si="1"/>
        <v>cze#1977</v>
      </c>
      <c r="B4126" t="str">
        <f>IFERROR(__xludf.DUMMYFUNCTION("""COMPUTED_VALUE"""),"cze")</f>
        <v>cze</v>
      </c>
      <c r="C4126" t="str">
        <f>IFERROR(__xludf.DUMMYFUNCTION("""COMPUTED_VALUE"""),"Czech Republic")</f>
        <v>Czech Republic</v>
      </c>
      <c r="D4126">
        <f>IFERROR(__xludf.DUMMYFUNCTION("""COMPUTED_VALUE"""),1977.0)</f>
        <v>1977</v>
      </c>
      <c r="E4126">
        <f>IFERROR(__xludf.DUMMYFUNCTION("""COMPUTED_VALUE"""),1.0200921E7)</f>
        <v>10200921</v>
      </c>
    </row>
    <row r="4127">
      <c r="A4127" t="str">
        <f t="shared" si="1"/>
        <v>cze#1978</v>
      </c>
      <c r="B4127" t="str">
        <f>IFERROR(__xludf.DUMMYFUNCTION("""COMPUTED_VALUE"""),"cze")</f>
        <v>cze</v>
      </c>
      <c r="C4127" t="str">
        <f>IFERROR(__xludf.DUMMYFUNCTION("""COMPUTED_VALUE"""),"Czech Republic")</f>
        <v>Czech Republic</v>
      </c>
      <c r="D4127">
        <f>IFERROR(__xludf.DUMMYFUNCTION("""COMPUTED_VALUE"""),1978.0)</f>
        <v>1978</v>
      </c>
      <c r="E4127">
        <f>IFERROR(__xludf.DUMMYFUNCTION("""COMPUTED_VALUE"""),1.0263109E7)</f>
        <v>10263109</v>
      </c>
    </row>
    <row r="4128">
      <c r="A4128" t="str">
        <f t="shared" si="1"/>
        <v>cze#1979</v>
      </c>
      <c r="B4128" t="str">
        <f>IFERROR(__xludf.DUMMYFUNCTION("""COMPUTED_VALUE"""),"cze")</f>
        <v>cze</v>
      </c>
      <c r="C4128" t="str">
        <f>IFERROR(__xludf.DUMMYFUNCTION("""COMPUTED_VALUE"""),"Czech Republic")</f>
        <v>Czech Republic</v>
      </c>
      <c r="D4128">
        <f>IFERROR(__xludf.DUMMYFUNCTION("""COMPUTED_VALUE"""),1979.0)</f>
        <v>1979</v>
      </c>
      <c r="E4128">
        <f>IFERROR(__xludf.DUMMYFUNCTION("""COMPUTED_VALUE"""),1.0314154E7)</f>
        <v>10314154</v>
      </c>
    </row>
    <row r="4129">
      <c r="A4129" t="str">
        <f t="shared" si="1"/>
        <v>cze#1980</v>
      </c>
      <c r="B4129" t="str">
        <f>IFERROR(__xludf.DUMMYFUNCTION("""COMPUTED_VALUE"""),"cze")</f>
        <v>cze</v>
      </c>
      <c r="C4129" t="str">
        <f>IFERROR(__xludf.DUMMYFUNCTION("""COMPUTED_VALUE"""),"Czech Republic")</f>
        <v>Czech Republic</v>
      </c>
      <c r="D4129">
        <f>IFERROR(__xludf.DUMMYFUNCTION("""COMPUTED_VALUE"""),1980.0)</f>
        <v>1980</v>
      </c>
      <c r="E4129">
        <f>IFERROR(__xludf.DUMMYFUNCTION("""COMPUTED_VALUE"""),1.0349271E7)</f>
        <v>10349271</v>
      </c>
    </row>
    <row r="4130">
      <c r="A4130" t="str">
        <f t="shared" si="1"/>
        <v>cze#1981</v>
      </c>
      <c r="B4130" t="str">
        <f>IFERROR(__xludf.DUMMYFUNCTION("""COMPUTED_VALUE"""),"cze")</f>
        <v>cze</v>
      </c>
      <c r="C4130" t="str">
        <f>IFERROR(__xludf.DUMMYFUNCTION("""COMPUTED_VALUE"""),"Czech Republic")</f>
        <v>Czech Republic</v>
      </c>
      <c r="D4130">
        <f>IFERROR(__xludf.DUMMYFUNCTION("""COMPUTED_VALUE"""),1981.0)</f>
        <v>1981</v>
      </c>
      <c r="E4130">
        <f>IFERROR(__xludf.DUMMYFUNCTION("""COMPUTED_VALUE"""),1.0365718E7)</f>
        <v>10365718</v>
      </c>
    </row>
    <row r="4131">
      <c r="A4131" t="str">
        <f t="shared" si="1"/>
        <v>cze#1982</v>
      </c>
      <c r="B4131" t="str">
        <f>IFERROR(__xludf.DUMMYFUNCTION("""COMPUTED_VALUE"""),"cze")</f>
        <v>cze</v>
      </c>
      <c r="C4131" t="str">
        <f>IFERROR(__xludf.DUMMYFUNCTION("""COMPUTED_VALUE"""),"Czech Republic")</f>
        <v>Czech Republic</v>
      </c>
      <c r="D4131">
        <f>IFERROR(__xludf.DUMMYFUNCTION("""COMPUTED_VALUE"""),1982.0)</f>
        <v>1982</v>
      </c>
      <c r="E4131">
        <f>IFERROR(__xludf.DUMMYFUNCTION("""COMPUTED_VALUE"""),1.0365453E7)</f>
        <v>10365453</v>
      </c>
    </row>
    <row r="4132">
      <c r="A4132" t="str">
        <f t="shared" si="1"/>
        <v>cze#1983</v>
      </c>
      <c r="B4132" t="str">
        <f>IFERROR(__xludf.DUMMYFUNCTION("""COMPUTED_VALUE"""),"cze")</f>
        <v>cze</v>
      </c>
      <c r="C4132" t="str">
        <f>IFERROR(__xludf.DUMMYFUNCTION("""COMPUTED_VALUE"""),"Czech Republic")</f>
        <v>Czech Republic</v>
      </c>
      <c r="D4132">
        <f>IFERROR(__xludf.DUMMYFUNCTION("""COMPUTED_VALUE"""),1983.0)</f>
        <v>1983</v>
      </c>
      <c r="E4132">
        <f>IFERROR(__xludf.DUMMYFUNCTION("""COMPUTED_VALUE"""),1.0354307E7)</f>
        <v>10354307</v>
      </c>
    </row>
    <row r="4133">
      <c r="A4133" t="str">
        <f t="shared" si="1"/>
        <v>cze#1984</v>
      </c>
      <c r="B4133" t="str">
        <f>IFERROR(__xludf.DUMMYFUNCTION("""COMPUTED_VALUE"""),"cze")</f>
        <v>cze</v>
      </c>
      <c r="C4133" t="str">
        <f>IFERROR(__xludf.DUMMYFUNCTION("""COMPUTED_VALUE"""),"Czech Republic")</f>
        <v>Czech Republic</v>
      </c>
      <c r="D4133">
        <f>IFERROR(__xludf.DUMMYFUNCTION("""COMPUTED_VALUE"""),1984.0)</f>
        <v>1984</v>
      </c>
      <c r="E4133">
        <f>IFERROR(__xludf.DUMMYFUNCTION("""COMPUTED_VALUE"""),1.0340848E7)</f>
        <v>10340848</v>
      </c>
    </row>
    <row r="4134">
      <c r="A4134" t="str">
        <f t="shared" si="1"/>
        <v>cze#1985</v>
      </c>
      <c r="B4134" t="str">
        <f>IFERROR(__xludf.DUMMYFUNCTION("""COMPUTED_VALUE"""),"cze")</f>
        <v>cze</v>
      </c>
      <c r="C4134" t="str">
        <f>IFERROR(__xludf.DUMMYFUNCTION("""COMPUTED_VALUE"""),"Czech Republic")</f>
        <v>Czech Republic</v>
      </c>
      <c r="D4134">
        <f>IFERROR(__xludf.DUMMYFUNCTION("""COMPUTED_VALUE"""),1985.0)</f>
        <v>1985</v>
      </c>
      <c r="E4134">
        <f>IFERROR(__xludf.DUMMYFUNCTION("""COMPUTED_VALUE"""),1.033137E7)</f>
        <v>10331370</v>
      </c>
    </row>
    <row r="4135">
      <c r="A4135" t="str">
        <f t="shared" si="1"/>
        <v>cze#1986</v>
      </c>
      <c r="B4135" t="str">
        <f>IFERROR(__xludf.DUMMYFUNCTION("""COMPUTED_VALUE"""),"cze")</f>
        <v>cze</v>
      </c>
      <c r="C4135" t="str">
        <f>IFERROR(__xludf.DUMMYFUNCTION("""COMPUTED_VALUE"""),"Czech Republic")</f>
        <v>Czech Republic</v>
      </c>
      <c r="D4135">
        <f>IFERROR(__xludf.DUMMYFUNCTION("""COMPUTED_VALUE"""),1986.0)</f>
        <v>1986</v>
      </c>
      <c r="E4135">
        <f>IFERROR(__xludf.DUMMYFUNCTION("""COMPUTED_VALUE"""),1.0327528E7)</f>
        <v>10327528</v>
      </c>
    </row>
    <row r="4136">
      <c r="A4136" t="str">
        <f t="shared" si="1"/>
        <v>cze#1987</v>
      </c>
      <c r="B4136" t="str">
        <f>IFERROR(__xludf.DUMMYFUNCTION("""COMPUTED_VALUE"""),"cze")</f>
        <v>cze</v>
      </c>
      <c r="C4136" t="str">
        <f>IFERROR(__xludf.DUMMYFUNCTION("""COMPUTED_VALUE"""),"Czech Republic")</f>
        <v>Czech Republic</v>
      </c>
      <c r="D4136">
        <f>IFERROR(__xludf.DUMMYFUNCTION("""COMPUTED_VALUE"""),1987.0)</f>
        <v>1987</v>
      </c>
      <c r="E4136">
        <f>IFERROR(__xludf.DUMMYFUNCTION("""COMPUTED_VALUE"""),1.0327732E7)</f>
        <v>10327732</v>
      </c>
    </row>
    <row r="4137">
      <c r="A4137" t="str">
        <f t="shared" si="1"/>
        <v>cze#1988</v>
      </c>
      <c r="B4137" t="str">
        <f>IFERROR(__xludf.DUMMYFUNCTION("""COMPUTED_VALUE"""),"cze")</f>
        <v>cze</v>
      </c>
      <c r="C4137" t="str">
        <f>IFERROR(__xludf.DUMMYFUNCTION("""COMPUTED_VALUE"""),"Czech Republic")</f>
        <v>Czech Republic</v>
      </c>
      <c r="D4137">
        <f>IFERROR(__xludf.DUMMYFUNCTION("""COMPUTED_VALUE"""),1988.0)</f>
        <v>1988</v>
      </c>
      <c r="E4137">
        <f>IFERROR(__xludf.DUMMYFUNCTION("""COMPUTED_VALUE"""),1.0331215E7)</f>
        <v>10331215</v>
      </c>
    </row>
    <row r="4138">
      <c r="A4138" t="str">
        <f t="shared" si="1"/>
        <v>cze#1989</v>
      </c>
      <c r="B4138" t="str">
        <f>IFERROR(__xludf.DUMMYFUNCTION("""COMPUTED_VALUE"""),"cze")</f>
        <v>cze</v>
      </c>
      <c r="C4138" t="str">
        <f>IFERROR(__xludf.DUMMYFUNCTION("""COMPUTED_VALUE"""),"Czech Republic")</f>
        <v>Czech Republic</v>
      </c>
      <c r="D4138">
        <f>IFERROR(__xludf.DUMMYFUNCTION("""COMPUTED_VALUE"""),1989.0)</f>
        <v>1989</v>
      </c>
      <c r="E4138">
        <f>IFERROR(__xludf.DUMMYFUNCTION("""COMPUTED_VALUE"""),1.033617E7)</f>
        <v>10336170</v>
      </c>
    </row>
    <row r="4139">
      <c r="A4139" t="str">
        <f t="shared" si="1"/>
        <v>cze#1990</v>
      </c>
      <c r="B4139" t="str">
        <f>IFERROR(__xludf.DUMMYFUNCTION("""COMPUTED_VALUE"""),"cze")</f>
        <v>cze</v>
      </c>
      <c r="C4139" t="str">
        <f>IFERROR(__xludf.DUMMYFUNCTION("""COMPUTED_VALUE"""),"Czech Republic")</f>
        <v>Czech Republic</v>
      </c>
      <c r="D4139">
        <f>IFERROR(__xludf.DUMMYFUNCTION("""COMPUTED_VALUE"""),1990.0)</f>
        <v>1990</v>
      </c>
      <c r="E4139">
        <f>IFERROR(__xludf.DUMMYFUNCTION("""COMPUTED_VALUE"""),1.0341169E7)</f>
        <v>10341169</v>
      </c>
    </row>
    <row r="4140">
      <c r="A4140" t="str">
        <f t="shared" si="1"/>
        <v>cze#1991</v>
      </c>
      <c r="B4140" t="str">
        <f>IFERROR(__xludf.DUMMYFUNCTION("""COMPUTED_VALUE"""),"cze")</f>
        <v>cze</v>
      </c>
      <c r="C4140" t="str">
        <f>IFERROR(__xludf.DUMMYFUNCTION("""COMPUTED_VALUE"""),"Czech Republic")</f>
        <v>Czech Republic</v>
      </c>
      <c r="D4140">
        <f>IFERROR(__xludf.DUMMYFUNCTION("""COMPUTED_VALUE"""),1991.0)</f>
        <v>1991</v>
      </c>
      <c r="E4140">
        <f>IFERROR(__xludf.DUMMYFUNCTION("""COMPUTED_VALUE"""),1.034675E7)</f>
        <v>10346750</v>
      </c>
    </row>
    <row r="4141">
      <c r="A4141" t="str">
        <f t="shared" si="1"/>
        <v>cze#1992</v>
      </c>
      <c r="B4141" t="str">
        <f>IFERROR(__xludf.DUMMYFUNCTION("""COMPUTED_VALUE"""),"cze")</f>
        <v>cze</v>
      </c>
      <c r="C4141" t="str">
        <f>IFERROR(__xludf.DUMMYFUNCTION("""COMPUTED_VALUE"""),"Czech Republic")</f>
        <v>Czech Republic</v>
      </c>
      <c r="D4141">
        <f>IFERROR(__xludf.DUMMYFUNCTION("""COMPUTED_VALUE"""),1992.0)</f>
        <v>1992</v>
      </c>
      <c r="E4141">
        <f>IFERROR(__xludf.DUMMYFUNCTION("""COMPUTED_VALUE"""),1.0353318E7)</f>
        <v>10353318</v>
      </c>
    </row>
    <row r="4142">
      <c r="A4142" t="str">
        <f t="shared" si="1"/>
        <v>cze#1993</v>
      </c>
      <c r="B4142" t="str">
        <f>IFERROR(__xludf.DUMMYFUNCTION("""COMPUTED_VALUE"""),"cze")</f>
        <v>cze</v>
      </c>
      <c r="C4142" t="str">
        <f>IFERROR(__xludf.DUMMYFUNCTION("""COMPUTED_VALUE"""),"Czech Republic")</f>
        <v>Czech Republic</v>
      </c>
      <c r="D4142">
        <f>IFERROR(__xludf.DUMMYFUNCTION("""COMPUTED_VALUE"""),1993.0)</f>
        <v>1993</v>
      </c>
      <c r="E4142">
        <f>IFERROR(__xludf.DUMMYFUNCTION("""COMPUTED_VALUE"""),1.0358972E7)</f>
        <v>10358972</v>
      </c>
    </row>
    <row r="4143">
      <c r="A4143" t="str">
        <f t="shared" si="1"/>
        <v>cze#1994</v>
      </c>
      <c r="B4143" t="str">
        <f>IFERROR(__xludf.DUMMYFUNCTION("""COMPUTED_VALUE"""),"cze")</f>
        <v>cze</v>
      </c>
      <c r="C4143" t="str">
        <f>IFERROR(__xludf.DUMMYFUNCTION("""COMPUTED_VALUE"""),"Czech Republic")</f>
        <v>Czech Republic</v>
      </c>
      <c r="D4143">
        <f>IFERROR(__xludf.DUMMYFUNCTION("""COMPUTED_VALUE"""),1994.0)</f>
        <v>1994</v>
      </c>
      <c r="E4143">
        <f>IFERROR(__xludf.DUMMYFUNCTION("""COMPUTED_VALUE"""),1.0361242E7)</f>
        <v>10361242</v>
      </c>
    </row>
    <row r="4144">
      <c r="A4144" t="str">
        <f t="shared" si="1"/>
        <v>cze#1995</v>
      </c>
      <c r="B4144" t="str">
        <f>IFERROR(__xludf.DUMMYFUNCTION("""COMPUTED_VALUE"""),"cze")</f>
        <v>cze</v>
      </c>
      <c r="C4144" t="str">
        <f>IFERROR(__xludf.DUMMYFUNCTION("""COMPUTED_VALUE"""),"Czech Republic")</f>
        <v>Czech Republic</v>
      </c>
      <c r="D4144">
        <f>IFERROR(__xludf.DUMMYFUNCTION("""COMPUTED_VALUE"""),1995.0)</f>
        <v>1995</v>
      </c>
      <c r="E4144">
        <f>IFERROR(__xludf.DUMMYFUNCTION("""COMPUTED_VALUE"""),1.0358456E7)</f>
        <v>10358456</v>
      </c>
    </row>
    <row r="4145">
      <c r="A4145" t="str">
        <f t="shared" si="1"/>
        <v>cze#1996</v>
      </c>
      <c r="B4145" t="str">
        <f>IFERROR(__xludf.DUMMYFUNCTION("""COMPUTED_VALUE"""),"cze")</f>
        <v>cze</v>
      </c>
      <c r="C4145" t="str">
        <f>IFERROR(__xludf.DUMMYFUNCTION("""COMPUTED_VALUE"""),"Czech Republic")</f>
        <v>Czech Republic</v>
      </c>
      <c r="D4145">
        <f>IFERROR(__xludf.DUMMYFUNCTION("""COMPUTED_VALUE"""),1996.0)</f>
        <v>1996</v>
      </c>
      <c r="E4145">
        <f>IFERROR(__xludf.DUMMYFUNCTION("""COMPUTED_VALUE"""),1.035057E7)</f>
        <v>10350570</v>
      </c>
    </row>
    <row r="4146">
      <c r="A4146" t="str">
        <f t="shared" si="1"/>
        <v>cze#1997</v>
      </c>
      <c r="B4146" t="str">
        <f>IFERROR(__xludf.DUMMYFUNCTION("""COMPUTED_VALUE"""),"cze")</f>
        <v>cze</v>
      </c>
      <c r="C4146" t="str">
        <f>IFERROR(__xludf.DUMMYFUNCTION("""COMPUTED_VALUE"""),"Czech Republic")</f>
        <v>Czech Republic</v>
      </c>
      <c r="D4146">
        <f>IFERROR(__xludf.DUMMYFUNCTION("""COMPUTED_VALUE"""),1997.0)</f>
        <v>1997</v>
      </c>
      <c r="E4146">
        <f>IFERROR(__xludf.DUMMYFUNCTION("""COMPUTED_VALUE"""),1.0338593E7)</f>
        <v>10338593</v>
      </c>
    </row>
    <row r="4147">
      <c r="A4147" t="str">
        <f t="shared" si="1"/>
        <v>cze#1998</v>
      </c>
      <c r="B4147" t="str">
        <f>IFERROR(__xludf.DUMMYFUNCTION("""COMPUTED_VALUE"""),"cze")</f>
        <v>cze</v>
      </c>
      <c r="C4147" t="str">
        <f>IFERROR(__xludf.DUMMYFUNCTION("""COMPUTED_VALUE"""),"Czech Republic")</f>
        <v>Czech Republic</v>
      </c>
      <c r="D4147">
        <f>IFERROR(__xludf.DUMMYFUNCTION("""COMPUTED_VALUE"""),1998.0)</f>
        <v>1998</v>
      </c>
      <c r="E4147">
        <f>IFERROR(__xludf.DUMMYFUNCTION("""COMPUTED_VALUE"""),1.0323488E7)</f>
        <v>10323488</v>
      </c>
    </row>
    <row r="4148">
      <c r="A4148" t="str">
        <f t="shared" si="1"/>
        <v>cze#1999</v>
      </c>
      <c r="B4148" t="str">
        <f>IFERROR(__xludf.DUMMYFUNCTION("""COMPUTED_VALUE"""),"cze")</f>
        <v>cze</v>
      </c>
      <c r="C4148" t="str">
        <f>IFERROR(__xludf.DUMMYFUNCTION("""COMPUTED_VALUE"""),"Czech Republic")</f>
        <v>Czech Republic</v>
      </c>
      <c r="D4148">
        <f>IFERROR(__xludf.DUMMYFUNCTION("""COMPUTED_VALUE"""),1999.0)</f>
        <v>1999</v>
      </c>
      <c r="E4148">
        <f>IFERROR(__xludf.DUMMYFUNCTION("""COMPUTED_VALUE"""),1.0306645E7)</f>
        <v>10306645</v>
      </c>
    </row>
    <row r="4149">
      <c r="A4149" t="str">
        <f t="shared" si="1"/>
        <v>cze#2000</v>
      </c>
      <c r="B4149" t="str">
        <f>IFERROR(__xludf.DUMMYFUNCTION("""COMPUTED_VALUE"""),"cze")</f>
        <v>cze</v>
      </c>
      <c r="C4149" t="str">
        <f>IFERROR(__xludf.DUMMYFUNCTION("""COMPUTED_VALUE"""),"Czech Republic")</f>
        <v>Czech Republic</v>
      </c>
      <c r="D4149">
        <f>IFERROR(__xludf.DUMMYFUNCTION("""COMPUTED_VALUE"""),2000.0)</f>
        <v>2000</v>
      </c>
      <c r="E4149">
        <f>IFERROR(__xludf.DUMMYFUNCTION("""COMPUTED_VALUE"""),1.0289594E7)</f>
        <v>10289594</v>
      </c>
    </row>
    <row r="4150">
      <c r="A4150" t="str">
        <f t="shared" si="1"/>
        <v>cze#2001</v>
      </c>
      <c r="B4150" t="str">
        <f>IFERROR(__xludf.DUMMYFUNCTION("""COMPUTED_VALUE"""),"cze")</f>
        <v>cze</v>
      </c>
      <c r="C4150" t="str">
        <f>IFERROR(__xludf.DUMMYFUNCTION("""COMPUTED_VALUE"""),"Czech Republic")</f>
        <v>Czech Republic</v>
      </c>
      <c r="D4150">
        <f>IFERROR(__xludf.DUMMYFUNCTION("""COMPUTED_VALUE"""),2001.0)</f>
        <v>2001</v>
      </c>
      <c r="E4150">
        <f>IFERROR(__xludf.DUMMYFUNCTION("""COMPUTED_VALUE"""),1.0271204E7)</f>
        <v>10271204</v>
      </c>
    </row>
    <row r="4151">
      <c r="A4151" t="str">
        <f t="shared" si="1"/>
        <v>cze#2002</v>
      </c>
      <c r="B4151" t="str">
        <f>IFERROR(__xludf.DUMMYFUNCTION("""COMPUTED_VALUE"""),"cze")</f>
        <v>cze</v>
      </c>
      <c r="C4151" t="str">
        <f>IFERROR(__xludf.DUMMYFUNCTION("""COMPUTED_VALUE"""),"Czech Republic")</f>
        <v>Czech Republic</v>
      </c>
      <c r="D4151">
        <f>IFERROR(__xludf.DUMMYFUNCTION("""COMPUTED_VALUE"""),2002.0)</f>
        <v>2002</v>
      </c>
      <c r="E4151">
        <f>IFERROR(__xludf.DUMMYFUNCTION("""COMPUTED_VALUE"""),1.0252439E7)</f>
        <v>10252439</v>
      </c>
    </row>
    <row r="4152">
      <c r="A4152" t="str">
        <f t="shared" si="1"/>
        <v>cze#2003</v>
      </c>
      <c r="B4152" t="str">
        <f>IFERROR(__xludf.DUMMYFUNCTION("""COMPUTED_VALUE"""),"cze")</f>
        <v>cze</v>
      </c>
      <c r="C4152" t="str">
        <f>IFERROR(__xludf.DUMMYFUNCTION("""COMPUTED_VALUE"""),"Czech Republic")</f>
        <v>Czech Republic</v>
      </c>
      <c r="D4152">
        <f>IFERROR(__xludf.DUMMYFUNCTION("""COMPUTED_VALUE"""),2003.0)</f>
        <v>2003</v>
      </c>
      <c r="E4152">
        <f>IFERROR(__xludf.DUMMYFUNCTION("""COMPUTED_VALUE"""),1.0239277E7)</f>
        <v>10239277</v>
      </c>
    </row>
    <row r="4153">
      <c r="A4153" t="str">
        <f t="shared" si="1"/>
        <v>cze#2004</v>
      </c>
      <c r="B4153" t="str">
        <f>IFERROR(__xludf.DUMMYFUNCTION("""COMPUTED_VALUE"""),"cze")</f>
        <v>cze</v>
      </c>
      <c r="C4153" t="str">
        <f>IFERROR(__xludf.DUMMYFUNCTION("""COMPUTED_VALUE"""),"Czech Republic")</f>
        <v>Czech Republic</v>
      </c>
      <c r="D4153">
        <f>IFERROR(__xludf.DUMMYFUNCTION("""COMPUTED_VALUE"""),2004.0)</f>
        <v>2004</v>
      </c>
      <c r="E4153">
        <f>IFERROR(__xludf.DUMMYFUNCTION("""COMPUTED_VALUE"""),1.0239536E7)</f>
        <v>10239536</v>
      </c>
    </row>
    <row r="4154">
      <c r="A4154" t="str">
        <f t="shared" si="1"/>
        <v>cze#2005</v>
      </c>
      <c r="B4154" t="str">
        <f>IFERROR(__xludf.DUMMYFUNCTION("""COMPUTED_VALUE"""),"cze")</f>
        <v>cze</v>
      </c>
      <c r="C4154" t="str">
        <f>IFERROR(__xludf.DUMMYFUNCTION("""COMPUTED_VALUE"""),"Czech Republic")</f>
        <v>Czech Republic</v>
      </c>
      <c r="D4154">
        <f>IFERROR(__xludf.DUMMYFUNCTION("""COMPUTED_VALUE"""),2005.0)</f>
        <v>2005</v>
      </c>
      <c r="E4154">
        <f>IFERROR(__xludf.DUMMYFUNCTION("""COMPUTED_VALUE"""),1.0258176E7)</f>
        <v>10258176</v>
      </c>
    </row>
    <row r="4155">
      <c r="A4155" t="str">
        <f t="shared" si="1"/>
        <v>cze#2006</v>
      </c>
      <c r="B4155" t="str">
        <f>IFERROR(__xludf.DUMMYFUNCTION("""COMPUTED_VALUE"""),"cze")</f>
        <v>cze</v>
      </c>
      <c r="C4155" t="str">
        <f>IFERROR(__xludf.DUMMYFUNCTION("""COMPUTED_VALUE"""),"Czech Republic")</f>
        <v>Czech Republic</v>
      </c>
      <c r="D4155">
        <f>IFERROR(__xludf.DUMMYFUNCTION("""COMPUTED_VALUE"""),2006.0)</f>
        <v>2006</v>
      </c>
      <c r="E4155">
        <f>IFERROR(__xludf.DUMMYFUNCTION("""COMPUTED_VALUE"""),1.0298288E7)</f>
        <v>10298288</v>
      </c>
    </row>
    <row r="4156">
      <c r="A4156" t="str">
        <f t="shared" si="1"/>
        <v>cze#2007</v>
      </c>
      <c r="B4156" t="str">
        <f>IFERROR(__xludf.DUMMYFUNCTION("""COMPUTED_VALUE"""),"cze")</f>
        <v>cze</v>
      </c>
      <c r="C4156" t="str">
        <f>IFERROR(__xludf.DUMMYFUNCTION("""COMPUTED_VALUE"""),"Czech Republic")</f>
        <v>Czech Republic</v>
      </c>
      <c r="D4156">
        <f>IFERROR(__xludf.DUMMYFUNCTION("""COMPUTED_VALUE"""),2007.0)</f>
        <v>2007</v>
      </c>
      <c r="E4156">
        <f>IFERROR(__xludf.DUMMYFUNCTION("""COMPUTED_VALUE"""),1.0356586E7)</f>
        <v>10356586</v>
      </c>
    </row>
    <row r="4157">
      <c r="A4157" t="str">
        <f t="shared" si="1"/>
        <v>cze#2008</v>
      </c>
      <c r="B4157" t="str">
        <f>IFERROR(__xludf.DUMMYFUNCTION("""COMPUTED_VALUE"""),"cze")</f>
        <v>cze</v>
      </c>
      <c r="C4157" t="str">
        <f>IFERROR(__xludf.DUMMYFUNCTION("""COMPUTED_VALUE"""),"Czech Republic")</f>
        <v>Czech Republic</v>
      </c>
      <c r="D4157">
        <f>IFERROR(__xludf.DUMMYFUNCTION("""COMPUTED_VALUE"""),2008.0)</f>
        <v>2008</v>
      </c>
      <c r="E4157">
        <f>IFERROR(__xludf.DUMMYFUNCTION("""COMPUTED_VALUE"""),1.0423794E7)</f>
        <v>10423794</v>
      </c>
    </row>
    <row r="4158">
      <c r="A4158" t="str">
        <f t="shared" si="1"/>
        <v>cze#2009</v>
      </c>
      <c r="B4158" t="str">
        <f>IFERROR(__xludf.DUMMYFUNCTION("""COMPUTED_VALUE"""),"cze")</f>
        <v>cze</v>
      </c>
      <c r="C4158" t="str">
        <f>IFERROR(__xludf.DUMMYFUNCTION("""COMPUTED_VALUE"""),"Czech Republic")</f>
        <v>Czech Republic</v>
      </c>
      <c r="D4158">
        <f>IFERROR(__xludf.DUMMYFUNCTION("""COMPUTED_VALUE"""),2009.0)</f>
        <v>2009</v>
      </c>
      <c r="E4158">
        <f>IFERROR(__xludf.DUMMYFUNCTION("""COMPUTED_VALUE"""),1.0486845E7)</f>
        <v>10486845</v>
      </c>
    </row>
    <row r="4159">
      <c r="A4159" t="str">
        <f t="shared" si="1"/>
        <v>cze#2010</v>
      </c>
      <c r="B4159" t="str">
        <f>IFERROR(__xludf.DUMMYFUNCTION("""COMPUTED_VALUE"""),"cze")</f>
        <v>cze</v>
      </c>
      <c r="C4159" t="str">
        <f>IFERROR(__xludf.DUMMYFUNCTION("""COMPUTED_VALUE"""),"Czech Republic")</f>
        <v>Czech Republic</v>
      </c>
      <c r="D4159">
        <f>IFERROR(__xludf.DUMMYFUNCTION("""COMPUTED_VALUE"""),2010.0)</f>
        <v>2010</v>
      </c>
      <c r="E4159">
        <f>IFERROR(__xludf.DUMMYFUNCTION("""COMPUTED_VALUE"""),1.0536286E7)</f>
        <v>10536286</v>
      </c>
    </row>
    <row r="4160">
      <c r="A4160" t="str">
        <f t="shared" si="1"/>
        <v>cze#2011</v>
      </c>
      <c r="B4160" t="str">
        <f>IFERROR(__xludf.DUMMYFUNCTION("""COMPUTED_VALUE"""),"cze")</f>
        <v>cze</v>
      </c>
      <c r="C4160" t="str">
        <f>IFERROR(__xludf.DUMMYFUNCTION("""COMPUTED_VALUE"""),"Czech Republic")</f>
        <v>Czech Republic</v>
      </c>
      <c r="D4160">
        <f>IFERROR(__xludf.DUMMYFUNCTION("""COMPUTED_VALUE"""),2011.0)</f>
        <v>2011</v>
      </c>
      <c r="E4160">
        <f>IFERROR(__xludf.DUMMYFUNCTION("""COMPUTED_VALUE"""),1.0568715E7)</f>
        <v>10568715</v>
      </c>
    </row>
    <row r="4161">
      <c r="A4161" t="str">
        <f t="shared" si="1"/>
        <v>cze#2012</v>
      </c>
      <c r="B4161" t="str">
        <f>IFERROR(__xludf.DUMMYFUNCTION("""COMPUTED_VALUE"""),"cze")</f>
        <v>cze</v>
      </c>
      <c r="C4161" t="str">
        <f>IFERROR(__xludf.DUMMYFUNCTION("""COMPUTED_VALUE"""),"Czech Republic")</f>
        <v>Czech Republic</v>
      </c>
      <c r="D4161">
        <f>IFERROR(__xludf.DUMMYFUNCTION("""COMPUTED_VALUE"""),2012.0)</f>
        <v>2012</v>
      </c>
      <c r="E4161">
        <f>IFERROR(__xludf.DUMMYFUNCTION("""COMPUTED_VALUE"""),1.0586755E7)</f>
        <v>10586755</v>
      </c>
    </row>
    <row r="4162">
      <c r="A4162" t="str">
        <f t="shared" si="1"/>
        <v>cze#2013</v>
      </c>
      <c r="B4162" t="str">
        <f>IFERROR(__xludf.DUMMYFUNCTION("""COMPUTED_VALUE"""),"cze")</f>
        <v>cze</v>
      </c>
      <c r="C4162" t="str">
        <f>IFERROR(__xludf.DUMMYFUNCTION("""COMPUTED_VALUE"""),"Czech Republic")</f>
        <v>Czech Republic</v>
      </c>
      <c r="D4162">
        <f>IFERROR(__xludf.DUMMYFUNCTION("""COMPUTED_VALUE"""),2013.0)</f>
        <v>2013</v>
      </c>
      <c r="E4162">
        <f>IFERROR(__xludf.DUMMYFUNCTION("""COMPUTED_VALUE"""),1.0594481E7)</f>
        <v>10594481</v>
      </c>
    </row>
    <row r="4163">
      <c r="A4163" t="str">
        <f t="shared" si="1"/>
        <v>cze#2014</v>
      </c>
      <c r="B4163" t="str">
        <f>IFERROR(__xludf.DUMMYFUNCTION("""COMPUTED_VALUE"""),"cze")</f>
        <v>cze</v>
      </c>
      <c r="C4163" t="str">
        <f>IFERROR(__xludf.DUMMYFUNCTION("""COMPUTED_VALUE"""),"Czech Republic")</f>
        <v>Czech Republic</v>
      </c>
      <c r="D4163">
        <f>IFERROR(__xludf.DUMMYFUNCTION("""COMPUTED_VALUE"""),2014.0)</f>
        <v>2014</v>
      </c>
      <c r="E4163">
        <f>IFERROR(__xludf.DUMMYFUNCTION("""COMPUTED_VALUE"""),1.0598526E7)</f>
        <v>10598526</v>
      </c>
    </row>
    <row r="4164">
      <c r="A4164" t="str">
        <f t="shared" si="1"/>
        <v>cze#2015</v>
      </c>
      <c r="B4164" t="str">
        <f>IFERROR(__xludf.DUMMYFUNCTION("""COMPUTED_VALUE"""),"cze")</f>
        <v>cze</v>
      </c>
      <c r="C4164" t="str">
        <f>IFERROR(__xludf.DUMMYFUNCTION("""COMPUTED_VALUE"""),"Czech Republic")</f>
        <v>Czech Republic</v>
      </c>
      <c r="D4164">
        <f>IFERROR(__xludf.DUMMYFUNCTION("""COMPUTED_VALUE"""),2015.0)</f>
        <v>2015</v>
      </c>
      <c r="E4164">
        <f>IFERROR(__xludf.DUMMYFUNCTION("""COMPUTED_VALUE"""),1.0603762E7)</f>
        <v>10603762</v>
      </c>
    </row>
    <row r="4165">
      <c r="A4165" t="str">
        <f t="shared" si="1"/>
        <v>cze#2016</v>
      </c>
      <c r="B4165" t="str">
        <f>IFERROR(__xludf.DUMMYFUNCTION("""COMPUTED_VALUE"""),"cze")</f>
        <v>cze</v>
      </c>
      <c r="C4165" t="str">
        <f>IFERROR(__xludf.DUMMYFUNCTION("""COMPUTED_VALUE"""),"Czech Republic")</f>
        <v>Czech Republic</v>
      </c>
      <c r="D4165">
        <f>IFERROR(__xludf.DUMMYFUNCTION("""COMPUTED_VALUE"""),2016.0)</f>
        <v>2016</v>
      </c>
      <c r="E4165">
        <f>IFERROR(__xludf.DUMMYFUNCTION("""COMPUTED_VALUE"""),1.0610947E7)</f>
        <v>10610947</v>
      </c>
    </row>
    <row r="4166">
      <c r="A4166" t="str">
        <f t="shared" si="1"/>
        <v>cze#2017</v>
      </c>
      <c r="B4166" t="str">
        <f>IFERROR(__xludf.DUMMYFUNCTION("""COMPUTED_VALUE"""),"cze")</f>
        <v>cze</v>
      </c>
      <c r="C4166" t="str">
        <f>IFERROR(__xludf.DUMMYFUNCTION("""COMPUTED_VALUE"""),"Czech Republic")</f>
        <v>Czech Republic</v>
      </c>
      <c r="D4166">
        <f>IFERROR(__xludf.DUMMYFUNCTION("""COMPUTED_VALUE"""),2017.0)</f>
        <v>2017</v>
      </c>
      <c r="E4166">
        <f>IFERROR(__xludf.DUMMYFUNCTION("""COMPUTED_VALUE"""),1.0618303E7)</f>
        <v>10618303</v>
      </c>
    </row>
    <row r="4167">
      <c r="A4167" t="str">
        <f t="shared" si="1"/>
        <v>cze#2018</v>
      </c>
      <c r="B4167" t="str">
        <f>IFERROR(__xludf.DUMMYFUNCTION("""COMPUTED_VALUE"""),"cze")</f>
        <v>cze</v>
      </c>
      <c r="C4167" t="str">
        <f>IFERROR(__xludf.DUMMYFUNCTION("""COMPUTED_VALUE"""),"Czech Republic")</f>
        <v>Czech Republic</v>
      </c>
      <c r="D4167">
        <f>IFERROR(__xludf.DUMMYFUNCTION("""COMPUTED_VALUE"""),2018.0)</f>
        <v>2018</v>
      </c>
      <c r="E4167">
        <f>IFERROR(__xludf.DUMMYFUNCTION("""COMPUTED_VALUE"""),1.062525E7)</f>
        <v>10625250</v>
      </c>
    </row>
    <row r="4168">
      <c r="A4168" t="str">
        <f t="shared" si="1"/>
        <v>cze#2019</v>
      </c>
      <c r="B4168" t="str">
        <f>IFERROR(__xludf.DUMMYFUNCTION("""COMPUTED_VALUE"""),"cze")</f>
        <v>cze</v>
      </c>
      <c r="C4168" t="str">
        <f>IFERROR(__xludf.DUMMYFUNCTION("""COMPUTED_VALUE"""),"Czech Republic")</f>
        <v>Czech Republic</v>
      </c>
      <c r="D4168">
        <f>IFERROR(__xludf.DUMMYFUNCTION("""COMPUTED_VALUE"""),2019.0)</f>
        <v>2019</v>
      </c>
      <c r="E4168">
        <f>IFERROR(__xludf.DUMMYFUNCTION("""COMPUTED_VALUE"""),1.0630589E7)</f>
        <v>10630589</v>
      </c>
    </row>
    <row r="4169">
      <c r="A4169" t="str">
        <f t="shared" si="1"/>
        <v>cze#2020</v>
      </c>
      <c r="B4169" t="str">
        <f>IFERROR(__xludf.DUMMYFUNCTION("""COMPUTED_VALUE"""),"cze")</f>
        <v>cze</v>
      </c>
      <c r="C4169" t="str">
        <f>IFERROR(__xludf.DUMMYFUNCTION("""COMPUTED_VALUE"""),"Czech Republic")</f>
        <v>Czech Republic</v>
      </c>
      <c r="D4169">
        <f>IFERROR(__xludf.DUMMYFUNCTION("""COMPUTED_VALUE"""),2020.0)</f>
        <v>2020</v>
      </c>
      <c r="E4169">
        <f>IFERROR(__xludf.DUMMYFUNCTION("""COMPUTED_VALUE"""),1.0633424E7)</f>
        <v>10633424</v>
      </c>
    </row>
    <row r="4170">
      <c r="A4170" t="str">
        <f t="shared" si="1"/>
        <v>cze#2021</v>
      </c>
      <c r="B4170" t="str">
        <f>IFERROR(__xludf.DUMMYFUNCTION("""COMPUTED_VALUE"""),"cze")</f>
        <v>cze</v>
      </c>
      <c r="C4170" t="str">
        <f>IFERROR(__xludf.DUMMYFUNCTION("""COMPUTED_VALUE"""),"Czech Republic")</f>
        <v>Czech Republic</v>
      </c>
      <c r="D4170">
        <f>IFERROR(__xludf.DUMMYFUNCTION("""COMPUTED_VALUE"""),2021.0)</f>
        <v>2021</v>
      </c>
      <c r="E4170">
        <f>IFERROR(__xludf.DUMMYFUNCTION("""COMPUTED_VALUE"""),1.063385E7)</f>
        <v>10633850</v>
      </c>
    </row>
    <row r="4171">
      <c r="A4171" t="str">
        <f t="shared" si="1"/>
        <v>cze#2022</v>
      </c>
      <c r="B4171" t="str">
        <f>IFERROR(__xludf.DUMMYFUNCTION("""COMPUTED_VALUE"""),"cze")</f>
        <v>cze</v>
      </c>
      <c r="C4171" t="str">
        <f>IFERROR(__xludf.DUMMYFUNCTION("""COMPUTED_VALUE"""),"Czech Republic")</f>
        <v>Czech Republic</v>
      </c>
      <c r="D4171">
        <f>IFERROR(__xludf.DUMMYFUNCTION("""COMPUTED_VALUE"""),2022.0)</f>
        <v>2022</v>
      </c>
      <c r="E4171">
        <f>IFERROR(__xludf.DUMMYFUNCTION("""COMPUTED_VALUE"""),1.0632288E7)</f>
        <v>10632288</v>
      </c>
    </row>
    <row r="4172">
      <c r="A4172" t="str">
        <f t="shared" si="1"/>
        <v>cze#2023</v>
      </c>
      <c r="B4172" t="str">
        <f>IFERROR(__xludf.DUMMYFUNCTION("""COMPUTED_VALUE"""),"cze")</f>
        <v>cze</v>
      </c>
      <c r="C4172" t="str">
        <f>IFERROR(__xludf.DUMMYFUNCTION("""COMPUTED_VALUE"""),"Czech Republic")</f>
        <v>Czech Republic</v>
      </c>
      <c r="D4172">
        <f>IFERROR(__xludf.DUMMYFUNCTION("""COMPUTED_VALUE"""),2023.0)</f>
        <v>2023</v>
      </c>
      <c r="E4172">
        <f>IFERROR(__xludf.DUMMYFUNCTION("""COMPUTED_VALUE"""),1.0628469E7)</f>
        <v>10628469</v>
      </c>
    </row>
    <row r="4173">
      <c r="A4173" t="str">
        <f t="shared" si="1"/>
        <v>cze#2024</v>
      </c>
      <c r="B4173" t="str">
        <f>IFERROR(__xludf.DUMMYFUNCTION("""COMPUTED_VALUE"""),"cze")</f>
        <v>cze</v>
      </c>
      <c r="C4173" t="str">
        <f>IFERROR(__xludf.DUMMYFUNCTION("""COMPUTED_VALUE"""),"Czech Republic")</f>
        <v>Czech Republic</v>
      </c>
      <c r="D4173">
        <f>IFERROR(__xludf.DUMMYFUNCTION("""COMPUTED_VALUE"""),2024.0)</f>
        <v>2024</v>
      </c>
      <c r="E4173">
        <f>IFERROR(__xludf.DUMMYFUNCTION("""COMPUTED_VALUE"""),1.0622091E7)</f>
        <v>10622091</v>
      </c>
    </row>
    <row r="4174">
      <c r="A4174" t="str">
        <f t="shared" si="1"/>
        <v>cze#2025</v>
      </c>
      <c r="B4174" t="str">
        <f>IFERROR(__xludf.DUMMYFUNCTION("""COMPUTED_VALUE"""),"cze")</f>
        <v>cze</v>
      </c>
      <c r="C4174" t="str">
        <f>IFERROR(__xludf.DUMMYFUNCTION("""COMPUTED_VALUE"""),"Czech Republic")</f>
        <v>Czech Republic</v>
      </c>
      <c r="D4174">
        <f>IFERROR(__xludf.DUMMYFUNCTION("""COMPUTED_VALUE"""),2025.0)</f>
        <v>2025</v>
      </c>
      <c r="E4174">
        <f>IFERROR(__xludf.DUMMYFUNCTION("""COMPUTED_VALUE"""),1.0612937E7)</f>
        <v>10612937</v>
      </c>
    </row>
    <row r="4175">
      <c r="A4175" t="str">
        <f t="shared" si="1"/>
        <v>cze#2026</v>
      </c>
      <c r="B4175" t="str">
        <f>IFERROR(__xludf.DUMMYFUNCTION("""COMPUTED_VALUE"""),"cze")</f>
        <v>cze</v>
      </c>
      <c r="C4175" t="str">
        <f>IFERROR(__xludf.DUMMYFUNCTION("""COMPUTED_VALUE"""),"Czech Republic")</f>
        <v>Czech Republic</v>
      </c>
      <c r="D4175">
        <f>IFERROR(__xludf.DUMMYFUNCTION("""COMPUTED_VALUE"""),2026.0)</f>
        <v>2026</v>
      </c>
      <c r="E4175">
        <f>IFERROR(__xludf.DUMMYFUNCTION("""COMPUTED_VALUE"""),1.0601013E7)</f>
        <v>10601013</v>
      </c>
    </row>
    <row r="4176">
      <c r="A4176" t="str">
        <f t="shared" si="1"/>
        <v>cze#2027</v>
      </c>
      <c r="B4176" t="str">
        <f>IFERROR(__xludf.DUMMYFUNCTION("""COMPUTED_VALUE"""),"cze")</f>
        <v>cze</v>
      </c>
      <c r="C4176" t="str">
        <f>IFERROR(__xludf.DUMMYFUNCTION("""COMPUTED_VALUE"""),"Czech Republic")</f>
        <v>Czech Republic</v>
      </c>
      <c r="D4176">
        <f>IFERROR(__xludf.DUMMYFUNCTION("""COMPUTED_VALUE"""),2027.0)</f>
        <v>2027</v>
      </c>
      <c r="E4176">
        <f>IFERROR(__xludf.DUMMYFUNCTION("""COMPUTED_VALUE"""),1.0586452E7)</f>
        <v>10586452</v>
      </c>
    </row>
    <row r="4177">
      <c r="A4177" t="str">
        <f t="shared" si="1"/>
        <v>cze#2028</v>
      </c>
      <c r="B4177" t="str">
        <f>IFERROR(__xludf.DUMMYFUNCTION("""COMPUTED_VALUE"""),"cze")</f>
        <v>cze</v>
      </c>
      <c r="C4177" t="str">
        <f>IFERROR(__xludf.DUMMYFUNCTION("""COMPUTED_VALUE"""),"Czech Republic")</f>
        <v>Czech Republic</v>
      </c>
      <c r="D4177">
        <f>IFERROR(__xludf.DUMMYFUNCTION("""COMPUTED_VALUE"""),2028.0)</f>
        <v>2028</v>
      </c>
      <c r="E4177">
        <f>IFERROR(__xludf.DUMMYFUNCTION("""COMPUTED_VALUE"""),1.0569339E7)</f>
        <v>10569339</v>
      </c>
    </row>
    <row r="4178">
      <c r="A4178" t="str">
        <f t="shared" si="1"/>
        <v>cze#2029</v>
      </c>
      <c r="B4178" t="str">
        <f>IFERROR(__xludf.DUMMYFUNCTION("""COMPUTED_VALUE"""),"cze")</f>
        <v>cze</v>
      </c>
      <c r="C4178" t="str">
        <f>IFERROR(__xludf.DUMMYFUNCTION("""COMPUTED_VALUE"""),"Czech Republic")</f>
        <v>Czech Republic</v>
      </c>
      <c r="D4178">
        <f>IFERROR(__xludf.DUMMYFUNCTION("""COMPUTED_VALUE"""),2029.0)</f>
        <v>2029</v>
      </c>
      <c r="E4178">
        <f>IFERROR(__xludf.DUMMYFUNCTION("""COMPUTED_VALUE"""),1.0549862E7)</f>
        <v>10549862</v>
      </c>
    </row>
    <row r="4179">
      <c r="A4179" t="str">
        <f t="shared" si="1"/>
        <v>cze#2030</v>
      </c>
      <c r="B4179" t="str">
        <f>IFERROR(__xludf.DUMMYFUNCTION("""COMPUTED_VALUE"""),"cze")</f>
        <v>cze</v>
      </c>
      <c r="C4179" t="str">
        <f>IFERROR(__xludf.DUMMYFUNCTION("""COMPUTED_VALUE"""),"Czech Republic")</f>
        <v>Czech Republic</v>
      </c>
      <c r="D4179">
        <f>IFERROR(__xludf.DUMMYFUNCTION("""COMPUTED_VALUE"""),2030.0)</f>
        <v>2030</v>
      </c>
      <c r="E4179">
        <f>IFERROR(__xludf.DUMMYFUNCTION("""COMPUTED_VALUE"""),1.0528196E7)</f>
        <v>10528196</v>
      </c>
    </row>
    <row r="4180">
      <c r="A4180" t="str">
        <f t="shared" si="1"/>
        <v>cze#2031</v>
      </c>
      <c r="B4180" t="str">
        <f>IFERROR(__xludf.DUMMYFUNCTION("""COMPUTED_VALUE"""),"cze")</f>
        <v>cze</v>
      </c>
      <c r="C4180" t="str">
        <f>IFERROR(__xludf.DUMMYFUNCTION("""COMPUTED_VALUE"""),"Czech Republic")</f>
        <v>Czech Republic</v>
      </c>
      <c r="D4180">
        <f>IFERROR(__xludf.DUMMYFUNCTION("""COMPUTED_VALUE"""),2031.0)</f>
        <v>2031</v>
      </c>
      <c r="E4180">
        <f>IFERROR(__xludf.DUMMYFUNCTION("""COMPUTED_VALUE"""),1.0504439E7)</f>
        <v>10504439</v>
      </c>
    </row>
    <row r="4181">
      <c r="A4181" t="str">
        <f t="shared" si="1"/>
        <v>cze#2032</v>
      </c>
      <c r="B4181" t="str">
        <f>IFERROR(__xludf.DUMMYFUNCTION("""COMPUTED_VALUE"""),"cze")</f>
        <v>cze</v>
      </c>
      <c r="C4181" t="str">
        <f>IFERROR(__xludf.DUMMYFUNCTION("""COMPUTED_VALUE"""),"Czech Republic")</f>
        <v>Czech Republic</v>
      </c>
      <c r="D4181">
        <f>IFERROR(__xludf.DUMMYFUNCTION("""COMPUTED_VALUE"""),2032.0)</f>
        <v>2032</v>
      </c>
      <c r="E4181">
        <f>IFERROR(__xludf.DUMMYFUNCTION("""COMPUTED_VALUE"""),1.0478832E7)</f>
        <v>10478832</v>
      </c>
    </row>
    <row r="4182">
      <c r="A4182" t="str">
        <f t="shared" si="1"/>
        <v>cze#2033</v>
      </c>
      <c r="B4182" t="str">
        <f>IFERROR(__xludf.DUMMYFUNCTION("""COMPUTED_VALUE"""),"cze")</f>
        <v>cze</v>
      </c>
      <c r="C4182" t="str">
        <f>IFERROR(__xludf.DUMMYFUNCTION("""COMPUTED_VALUE"""),"Czech Republic")</f>
        <v>Czech Republic</v>
      </c>
      <c r="D4182">
        <f>IFERROR(__xludf.DUMMYFUNCTION("""COMPUTED_VALUE"""),2033.0)</f>
        <v>2033</v>
      </c>
      <c r="E4182">
        <f>IFERROR(__xludf.DUMMYFUNCTION("""COMPUTED_VALUE"""),1.0451919E7)</f>
        <v>10451919</v>
      </c>
    </row>
    <row r="4183">
      <c r="A4183" t="str">
        <f t="shared" si="1"/>
        <v>cze#2034</v>
      </c>
      <c r="B4183" t="str">
        <f>IFERROR(__xludf.DUMMYFUNCTION("""COMPUTED_VALUE"""),"cze")</f>
        <v>cze</v>
      </c>
      <c r="C4183" t="str">
        <f>IFERROR(__xludf.DUMMYFUNCTION("""COMPUTED_VALUE"""),"Czech Republic")</f>
        <v>Czech Republic</v>
      </c>
      <c r="D4183">
        <f>IFERROR(__xludf.DUMMYFUNCTION("""COMPUTED_VALUE"""),2034.0)</f>
        <v>2034</v>
      </c>
      <c r="E4183">
        <f>IFERROR(__xludf.DUMMYFUNCTION("""COMPUTED_VALUE"""),1.0424374E7)</f>
        <v>10424374</v>
      </c>
    </row>
    <row r="4184">
      <c r="A4184" t="str">
        <f t="shared" si="1"/>
        <v>cze#2035</v>
      </c>
      <c r="B4184" t="str">
        <f>IFERROR(__xludf.DUMMYFUNCTION("""COMPUTED_VALUE"""),"cze")</f>
        <v>cze</v>
      </c>
      <c r="C4184" t="str">
        <f>IFERROR(__xludf.DUMMYFUNCTION("""COMPUTED_VALUE"""),"Czech Republic")</f>
        <v>Czech Republic</v>
      </c>
      <c r="D4184">
        <f>IFERROR(__xludf.DUMMYFUNCTION("""COMPUTED_VALUE"""),2035.0)</f>
        <v>2035</v>
      </c>
      <c r="E4184">
        <f>IFERROR(__xludf.DUMMYFUNCTION("""COMPUTED_VALUE"""),1.0396773E7)</f>
        <v>10396773</v>
      </c>
    </row>
    <row r="4185">
      <c r="A4185" t="str">
        <f t="shared" si="1"/>
        <v>cze#2036</v>
      </c>
      <c r="B4185" t="str">
        <f>IFERROR(__xludf.DUMMYFUNCTION("""COMPUTED_VALUE"""),"cze")</f>
        <v>cze</v>
      </c>
      <c r="C4185" t="str">
        <f>IFERROR(__xludf.DUMMYFUNCTION("""COMPUTED_VALUE"""),"Czech Republic")</f>
        <v>Czech Republic</v>
      </c>
      <c r="D4185">
        <f>IFERROR(__xludf.DUMMYFUNCTION("""COMPUTED_VALUE"""),2036.0)</f>
        <v>2036</v>
      </c>
      <c r="E4185">
        <f>IFERROR(__xludf.DUMMYFUNCTION("""COMPUTED_VALUE"""),1.0369331E7)</f>
        <v>10369331</v>
      </c>
    </row>
    <row r="4186">
      <c r="A4186" t="str">
        <f t="shared" si="1"/>
        <v>cze#2037</v>
      </c>
      <c r="B4186" t="str">
        <f>IFERROR(__xludf.DUMMYFUNCTION("""COMPUTED_VALUE"""),"cze")</f>
        <v>cze</v>
      </c>
      <c r="C4186" t="str">
        <f>IFERROR(__xludf.DUMMYFUNCTION("""COMPUTED_VALUE"""),"Czech Republic")</f>
        <v>Czech Republic</v>
      </c>
      <c r="D4186">
        <f>IFERROR(__xludf.DUMMYFUNCTION("""COMPUTED_VALUE"""),2037.0)</f>
        <v>2037</v>
      </c>
      <c r="E4186">
        <f>IFERROR(__xludf.DUMMYFUNCTION("""COMPUTED_VALUE"""),1.0342163E7)</f>
        <v>10342163</v>
      </c>
    </row>
    <row r="4187">
      <c r="A4187" t="str">
        <f t="shared" si="1"/>
        <v>cze#2038</v>
      </c>
      <c r="B4187" t="str">
        <f>IFERROR(__xludf.DUMMYFUNCTION("""COMPUTED_VALUE"""),"cze")</f>
        <v>cze</v>
      </c>
      <c r="C4187" t="str">
        <f>IFERROR(__xludf.DUMMYFUNCTION("""COMPUTED_VALUE"""),"Czech Republic")</f>
        <v>Czech Republic</v>
      </c>
      <c r="D4187">
        <f>IFERROR(__xludf.DUMMYFUNCTION("""COMPUTED_VALUE"""),2038.0)</f>
        <v>2038</v>
      </c>
      <c r="E4187">
        <f>IFERROR(__xludf.DUMMYFUNCTION("""COMPUTED_VALUE"""),1.0315532E7)</f>
        <v>10315532</v>
      </c>
    </row>
    <row r="4188">
      <c r="A4188" t="str">
        <f t="shared" si="1"/>
        <v>cze#2039</v>
      </c>
      <c r="B4188" t="str">
        <f>IFERROR(__xludf.DUMMYFUNCTION("""COMPUTED_VALUE"""),"cze")</f>
        <v>cze</v>
      </c>
      <c r="C4188" t="str">
        <f>IFERROR(__xludf.DUMMYFUNCTION("""COMPUTED_VALUE"""),"Czech Republic")</f>
        <v>Czech Republic</v>
      </c>
      <c r="D4188">
        <f>IFERROR(__xludf.DUMMYFUNCTION("""COMPUTED_VALUE"""),2039.0)</f>
        <v>2039</v>
      </c>
      <c r="E4188">
        <f>IFERROR(__xludf.DUMMYFUNCTION("""COMPUTED_VALUE"""),1.0289698E7)</f>
        <v>10289698</v>
      </c>
    </row>
    <row r="4189">
      <c r="A4189" t="str">
        <f t="shared" si="1"/>
        <v>cze#2040</v>
      </c>
      <c r="B4189" t="str">
        <f>IFERROR(__xludf.DUMMYFUNCTION("""COMPUTED_VALUE"""),"cze")</f>
        <v>cze</v>
      </c>
      <c r="C4189" t="str">
        <f>IFERROR(__xludf.DUMMYFUNCTION("""COMPUTED_VALUE"""),"Czech Republic")</f>
        <v>Czech Republic</v>
      </c>
      <c r="D4189">
        <f>IFERROR(__xludf.DUMMYFUNCTION("""COMPUTED_VALUE"""),2040.0)</f>
        <v>2040</v>
      </c>
      <c r="E4189">
        <f>IFERROR(__xludf.DUMMYFUNCTION("""COMPUTED_VALUE"""),1.0264847E7)</f>
        <v>10264847</v>
      </c>
    </row>
    <row r="4190">
      <c r="A4190" t="str">
        <f t="shared" si="1"/>
        <v>dnk#1950</v>
      </c>
      <c r="B4190" t="str">
        <f>IFERROR(__xludf.DUMMYFUNCTION("""COMPUTED_VALUE"""),"dnk")</f>
        <v>dnk</v>
      </c>
      <c r="C4190" t="str">
        <f>IFERROR(__xludf.DUMMYFUNCTION("""COMPUTED_VALUE"""),"Denmark")</f>
        <v>Denmark</v>
      </c>
      <c r="D4190">
        <f>IFERROR(__xludf.DUMMYFUNCTION("""COMPUTED_VALUE"""),1950.0)</f>
        <v>1950</v>
      </c>
      <c r="E4190">
        <f>IFERROR(__xludf.DUMMYFUNCTION("""COMPUTED_VALUE"""),4268271.0)</f>
        <v>4268271</v>
      </c>
    </row>
    <row r="4191">
      <c r="A4191" t="str">
        <f t="shared" si="1"/>
        <v>dnk#1951</v>
      </c>
      <c r="B4191" t="str">
        <f>IFERROR(__xludf.DUMMYFUNCTION("""COMPUTED_VALUE"""),"dnk")</f>
        <v>dnk</v>
      </c>
      <c r="C4191" t="str">
        <f>IFERROR(__xludf.DUMMYFUNCTION("""COMPUTED_VALUE"""),"Denmark")</f>
        <v>Denmark</v>
      </c>
      <c r="D4191">
        <f>IFERROR(__xludf.DUMMYFUNCTION("""COMPUTED_VALUE"""),1951.0)</f>
        <v>1951</v>
      </c>
      <c r="E4191">
        <f>IFERROR(__xludf.DUMMYFUNCTION("""COMPUTED_VALUE"""),4308921.0)</f>
        <v>4308921</v>
      </c>
    </row>
    <row r="4192">
      <c r="A4192" t="str">
        <f t="shared" si="1"/>
        <v>dnk#1952</v>
      </c>
      <c r="B4192" t="str">
        <f>IFERROR(__xludf.DUMMYFUNCTION("""COMPUTED_VALUE"""),"dnk")</f>
        <v>dnk</v>
      </c>
      <c r="C4192" t="str">
        <f>IFERROR(__xludf.DUMMYFUNCTION("""COMPUTED_VALUE"""),"Denmark")</f>
        <v>Denmark</v>
      </c>
      <c r="D4192">
        <f>IFERROR(__xludf.DUMMYFUNCTION("""COMPUTED_VALUE"""),1952.0)</f>
        <v>1952</v>
      </c>
      <c r="E4192">
        <f>IFERROR(__xludf.DUMMYFUNCTION("""COMPUTED_VALUE"""),4346182.0)</f>
        <v>4346182</v>
      </c>
    </row>
    <row r="4193">
      <c r="A4193" t="str">
        <f t="shared" si="1"/>
        <v>dnk#1953</v>
      </c>
      <c r="B4193" t="str">
        <f>IFERROR(__xludf.DUMMYFUNCTION("""COMPUTED_VALUE"""),"dnk")</f>
        <v>dnk</v>
      </c>
      <c r="C4193" t="str">
        <f>IFERROR(__xludf.DUMMYFUNCTION("""COMPUTED_VALUE"""),"Denmark")</f>
        <v>Denmark</v>
      </c>
      <c r="D4193">
        <f>IFERROR(__xludf.DUMMYFUNCTION("""COMPUTED_VALUE"""),1953.0)</f>
        <v>1953</v>
      </c>
      <c r="E4193">
        <f>IFERROR(__xludf.DUMMYFUNCTION("""COMPUTED_VALUE"""),4380301.0)</f>
        <v>4380301</v>
      </c>
    </row>
    <row r="4194">
      <c r="A4194" t="str">
        <f t="shared" si="1"/>
        <v>dnk#1954</v>
      </c>
      <c r="B4194" t="str">
        <f>IFERROR(__xludf.DUMMYFUNCTION("""COMPUTED_VALUE"""),"dnk")</f>
        <v>dnk</v>
      </c>
      <c r="C4194" t="str">
        <f>IFERROR(__xludf.DUMMYFUNCTION("""COMPUTED_VALUE"""),"Denmark")</f>
        <v>Denmark</v>
      </c>
      <c r="D4194">
        <f>IFERROR(__xludf.DUMMYFUNCTION("""COMPUTED_VALUE"""),1954.0)</f>
        <v>1954</v>
      </c>
      <c r="E4194">
        <f>IFERROR(__xludf.DUMMYFUNCTION("""COMPUTED_VALUE"""),4411657.0)</f>
        <v>4411657</v>
      </c>
    </row>
    <row r="4195">
      <c r="A4195" t="str">
        <f t="shared" si="1"/>
        <v>dnk#1955</v>
      </c>
      <c r="B4195" t="str">
        <f>IFERROR(__xludf.DUMMYFUNCTION("""COMPUTED_VALUE"""),"dnk")</f>
        <v>dnk</v>
      </c>
      <c r="C4195" t="str">
        <f>IFERROR(__xludf.DUMMYFUNCTION("""COMPUTED_VALUE"""),"Denmark")</f>
        <v>Denmark</v>
      </c>
      <c r="D4195">
        <f>IFERROR(__xludf.DUMMYFUNCTION("""COMPUTED_VALUE"""),1955.0)</f>
        <v>1955</v>
      </c>
      <c r="E4195">
        <f>IFERROR(__xludf.DUMMYFUNCTION("""COMPUTED_VALUE"""),4440778.0)</f>
        <v>4440778</v>
      </c>
    </row>
    <row r="4196">
      <c r="A4196" t="str">
        <f t="shared" si="1"/>
        <v>dnk#1956</v>
      </c>
      <c r="B4196" t="str">
        <f>IFERROR(__xludf.DUMMYFUNCTION("""COMPUTED_VALUE"""),"dnk")</f>
        <v>dnk</v>
      </c>
      <c r="C4196" t="str">
        <f>IFERROR(__xludf.DUMMYFUNCTION("""COMPUTED_VALUE"""),"Denmark")</f>
        <v>Denmark</v>
      </c>
      <c r="D4196">
        <f>IFERROR(__xludf.DUMMYFUNCTION("""COMPUTED_VALUE"""),1956.0)</f>
        <v>1956</v>
      </c>
      <c r="E4196">
        <f>IFERROR(__xludf.DUMMYFUNCTION("""COMPUTED_VALUE"""),4468346.0)</f>
        <v>4468346</v>
      </c>
    </row>
    <row r="4197">
      <c r="A4197" t="str">
        <f t="shared" si="1"/>
        <v>dnk#1957</v>
      </c>
      <c r="B4197" t="str">
        <f>IFERROR(__xludf.DUMMYFUNCTION("""COMPUTED_VALUE"""),"dnk")</f>
        <v>dnk</v>
      </c>
      <c r="C4197" t="str">
        <f>IFERROR(__xludf.DUMMYFUNCTION("""COMPUTED_VALUE"""),"Denmark")</f>
        <v>Denmark</v>
      </c>
      <c r="D4197">
        <f>IFERROR(__xludf.DUMMYFUNCTION("""COMPUTED_VALUE"""),1957.0)</f>
        <v>1957</v>
      </c>
      <c r="E4197">
        <f>IFERROR(__xludf.DUMMYFUNCTION("""COMPUTED_VALUE"""),4495221.0)</f>
        <v>4495221</v>
      </c>
    </row>
    <row r="4198">
      <c r="A4198" t="str">
        <f t="shared" si="1"/>
        <v>dnk#1958</v>
      </c>
      <c r="B4198" t="str">
        <f>IFERROR(__xludf.DUMMYFUNCTION("""COMPUTED_VALUE"""),"dnk")</f>
        <v>dnk</v>
      </c>
      <c r="C4198" t="str">
        <f>IFERROR(__xludf.DUMMYFUNCTION("""COMPUTED_VALUE"""),"Denmark")</f>
        <v>Denmark</v>
      </c>
      <c r="D4198">
        <f>IFERROR(__xludf.DUMMYFUNCTION("""COMPUTED_VALUE"""),1958.0)</f>
        <v>1958</v>
      </c>
      <c r="E4198">
        <f>IFERROR(__xludf.DUMMYFUNCTION("""COMPUTED_VALUE"""),4522334.0)</f>
        <v>4522334</v>
      </c>
    </row>
    <row r="4199">
      <c r="A4199" t="str">
        <f t="shared" si="1"/>
        <v>dnk#1959</v>
      </c>
      <c r="B4199" t="str">
        <f>IFERROR(__xludf.DUMMYFUNCTION("""COMPUTED_VALUE"""),"dnk")</f>
        <v>dnk</v>
      </c>
      <c r="C4199" t="str">
        <f>IFERROR(__xludf.DUMMYFUNCTION("""COMPUTED_VALUE"""),"Denmark")</f>
        <v>Denmark</v>
      </c>
      <c r="D4199">
        <f>IFERROR(__xludf.DUMMYFUNCTION("""COMPUTED_VALUE"""),1959.0)</f>
        <v>1959</v>
      </c>
      <c r="E4199">
        <f>IFERROR(__xludf.DUMMYFUNCTION("""COMPUTED_VALUE"""),4550682.0)</f>
        <v>4550682</v>
      </c>
    </row>
    <row r="4200">
      <c r="A4200" t="str">
        <f t="shared" si="1"/>
        <v>dnk#1960</v>
      </c>
      <c r="B4200" t="str">
        <f>IFERROR(__xludf.DUMMYFUNCTION("""COMPUTED_VALUE"""),"dnk")</f>
        <v>dnk</v>
      </c>
      <c r="C4200" t="str">
        <f>IFERROR(__xludf.DUMMYFUNCTION("""COMPUTED_VALUE"""),"Denmark")</f>
        <v>Denmark</v>
      </c>
      <c r="D4200">
        <f>IFERROR(__xludf.DUMMYFUNCTION("""COMPUTED_VALUE"""),1960.0)</f>
        <v>1960</v>
      </c>
      <c r="E4200">
        <f>IFERROR(__xludf.DUMMYFUNCTION("""COMPUTED_VALUE"""),4581101.0)</f>
        <v>4581101</v>
      </c>
    </row>
    <row r="4201">
      <c r="A4201" t="str">
        <f t="shared" si="1"/>
        <v>dnk#1961</v>
      </c>
      <c r="B4201" t="str">
        <f>IFERROR(__xludf.DUMMYFUNCTION("""COMPUTED_VALUE"""),"dnk")</f>
        <v>dnk</v>
      </c>
      <c r="C4201" t="str">
        <f>IFERROR(__xludf.DUMMYFUNCTION("""COMPUTED_VALUE"""),"Denmark")</f>
        <v>Denmark</v>
      </c>
      <c r="D4201">
        <f>IFERROR(__xludf.DUMMYFUNCTION("""COMPUTED_VALUE"""),1961.0)</f>
        <v>1961</v>
      </c>
      <c r="E4201">
        <f>IFERROR(__xludf.DUMMYFUNCTION("""COMPUTED_VALUE"""),4614027.0)</f>
        <v>4614027</v>
      </c>
    </row>
    <row r="4202">
      <c r="A4202" t="str">
        <f t="shared" si="1"/>
        <v>dnk#1962</v>
      </c>
      <c r="B4202" t="str">
        <f>IFERROR(__xludf.DUMMYFUNCTION("""COMPUTED_VALUE"""),"dnk")</f>
        <v>dnk</v>
      </c>
      <c r="C4202" t="str">
        <f>IFERROR(__xludf.DUMMYFUNCTION("""COMPUTED_VALUE"""),"Denmark")</f>
        <v>Denmark</v>
      </c>
      <c r="D4202">
        <f>IFERROR(__xludf.DUMMYFUNCTION("""COMPUTED_VALUE"""),1962.0)</f>
        <v>1962</v>
      </c>
      <c r="E4202">
        <f>IFERROR(__xludf.DUMMYFUNCTION("""COMPUTED_VALUE"""),4649346.0)</f>
        <v>4649346</v>
      </c>
    </row>
    <row r="4203">
      <c r="A4203" t="str">
        <f t="shared" si="1"/>
        <v>dnk#1963</v>
      </c>
      <c r="B4203" t="str">
        <f>IFERROR(__xludf.DUMMYFUNCTION("""COMPUTED_VALUE"""),"dnk")</f>
        <v>dnk</v>
      </c>
      <c r="C4203" t="str">
        <f>IFERROR(__xludf.DUMMYFUNCTION("""COMPUTED_VALUE"""),"Denmark")</f>
        <v>Denmark</v>
      </c>
      <c r="D4203">
        <f>IFERROR(__xludf.DUMMYFUNCTION("""COMPUTED_VALUE"""),1963.0)</f>
        <v>1963</v>
      </c>
      <c r="E4203">
        <f>IFERROR(__xludf.DUMMYFUNCTION("""COMPUTED_VALUE"""),4686279.0)</f>
        <v>4686279</v>
      </c>
    </row>
    <row r="4204">
      <c r="A4204" t="str">
        <f t="shared" si="1"/>
        <v>dnk#1964</v>
      </c>
      <c r="B4204" t="str">
        <f>IFERROR(__xludf.DUMMYFUNCTION("""COMPUTED_VALUE"""),"dnk")</f>
        <v>dnk</v>
      </c>
      <c r="C4204" t="str">
        <f>IFERROR(__xludf.DUMMYFUNCTION("""COMPUTED_VALUE"""),"Denmark")</f>
        <v>Denmark</v>
      </c>
      <c r="D4204">
        <f>IFERROR(__xludf.DUMMYFUNCTION("""COMPUTED_VALUE"""),1964.0)</f>
        <v>1964</v>
      </c>
      <c r="E4204">
        <f>IFERROR(__xludf.DUMMYFUNCTION("""COMPUTED_VALUE"""),4723629.0)</f>
        <v>4723629</v>
      </c>
    </row>
    <row r="4205">
      <c r="A4205" t="str">
        <f t="shared" si="1"/>
        <v>dnk#1965</v>
      </c>
      <c r="B4205" t="str">
        <f>IFERROR(__xludf.DUMMYFUNCTION("""COMPUTED_VALUE"""),"dnk")</f>
        <v>dnk</v>
      </c>
      <c r="C4205" t="str">
        <f>IFERROR(__xludf.DUMMYFUNCTION("""COMPUTED_VALUE"""),"Denmark")</f>
        <v>Denmark</v>
      </c>
      <c r="D4205">
        <f>IFERROR(__xludf.DUMMYFUNCTION("""COMPUTED_VALUE"""),1965.0)</f>
        <v>1965</v>
      </c>
      <c r="E4205">
        <f>IFERROR(__xludf.DUMMYFUNCTION("""COMPUTED_VALUE"""),4760460.0)</f>
        <v>4760460</v>
      </c>
    </row>
    <row r="4206">
      <c r="A4206" t="str">
        <f t="shared" si="1"/>
        <v>dnk#1966</v>
      </c>
      <c r="B4206" t="str">
        <f>IFERROR(__xludf.DUMMYFUNCTION("""COMPUTED_VALUE"""),"dnk")</f>
        <v>dnk</v>
      </c>
      <c r="C4206" t="str">
        <f>IFERROR(__xludf.DUMMYFUNCTION("""COMPUTED_VALUE"""),"Denmark")</f>
        <v>Denmark</v>
      </c>
      <c r="D4206">
        <f>IFERROR(__xludf.DUMMYFUNCTION("""COMPUTED_VALUE"""),1966.0)</f>
        <v>1966</v>
      </c>
      <c r="E4206">
        <f>IFERROR(__xludf.DUMMYFUNCTION("""COMPUTED_VALUE"""),4796487.0)</f>
        <v>4796487</v>
      </c>
    </row>
    <row r="4207">
      <c r="A4207" t="str">
        <f t="shared" si="1"/>
        <v>dnk#1967</v>
      </c>
      <c r="B4207" t="str">
        <f>IFERROR(__xludf.DUMMYFUNCTION("""COMPUTED_VALUE"""),"dnk")</f>
        <v>dnk</v>
      </c>
      <c r="C4207" t="str">
        <f>IFERROR(__xludf.DUMMYFUNCTION("""COMPUTED_VALUE"""),"Denmark")</f>
        <v>Denmark</v>
      </c>
      <c r="D4207">
        <f>IFERROR(__xludf.DUMMYFUNCTION("""COMPUTED_VALUE"""),1967.0)</f>
        <v>1967</v>
      </c>
      <c r="E4207">
        <f>IFERROR(__xludf.DUMMYFUNCTION("""COMPUTED_VALUE"""),4831752.0)</f>
        <v>4831752</v>
      </c>
    </row>
    <row r="4208">
      <c r="A4208" t="str">
        <f t="shared" si="1"/>
        <v>dnk#1968</v>
      </c>
      <c r="B4208" t="str">
        <f>IFERROR(__xludf.DUMMYFUNCTION("""COMPUTED_VALUE"""),"dnk")</f>
        <v>dnk</v>
      </c>
      <c r="C4208" t="str">
        <f>IFERROR(__xludf.DUMMYFUNCTION("""COMPUTED_VALUE"""),"Denmark")</f>
        <v>Denmark</v>
      </c>
      <c r="D4208">
        <f>IFERROR(__xludf.DUMMYFUNCTION("""COMPUTED_VALUE"""),1968.0)</f>
        <v>1968</v>
      </c>
      <c r="E4208">
        <f>IFERROR(__xludf.DUMMYFUNCTION("""COMPUTED_VALUE"""),4866068.0)</f>
        <v>4866068</v>
      </c>
    </row>
    <row r="4209">
      <c r="A4209" t="str">
        <f t="shared" si="1"/>
        <v>dnk#1969</v>
      </c>
      <c r="B4209" t="str">
        <f>IFERROR(__xludf.DUMMYFUNCTION("""COMPUTED_VALUE"""),"dnk")</f>
        <v>dnk</v>
      </c>
      <c r="C4209" t="str">
        <f>IFERROR(__xludf.DUMMYFUNCTION("""COMPUTED_VALUE"""),"Denmark")</f>
        <v>Denmark</v>
      </c>
      <c r="D4209">
        <f>IFERROR(__xludf.DUMMYFUNCTION("""COMPUTED_VALUE"""),1969.0)</f>
        <v>1969</v>
      </c>
      <c r="E4209">
        <f>IFERROR(__xludf.DUMMYFUNCTION("""COMPUTED_VALUE"""),4899291.0)</f>
        <v>4899291</v>
      </c>
    </row>
    <row r="4210">
      <c r="A4210" t="str">
        <f t="shared" si="1"/>
        <v>dnk#1970</v>
      </c>
      <c r="B4210" t="str">
        <f>IFERROR(__xludf.DUMMYFUNCTION("""COMPUTED_VALUE"""),"dnk")</f>
        <v>dnk</v>
      </c>
      <c r="C4210" t="str">
        <f>IFERROR(__xludf.DUMMYFUNCTION("""COMPUTED_VALUE"""),"Denmark")</f>
        <v>Denmark</v>
      </c>
      <c r="D4210">
        <f>IFERROR(__xludf.DUMMYFUNCTION("""COMPUTED_VALUE"""),1970.0)</f>
        <v>1970</v>
      </c>
      <c r="E4210">
        <f>IFERROR(__xludf.DUMMYFUNCTION("""COMPUTED_VALUE"""),4931241.0)</f>
        <v>4931241</v>
      </c>
    </row>
    <row r="4211">
      <c r="A4211" t="str">
        <f t="shared" si="1"/>
        <v>dnk#1971</v>
      </c>
      <c r="B4211" t="str">
        <f>IFERROR(__xludf.DUMMYFUNCTION("""COMPUTED_VALUE"""),"dnk")</f>
        <v>dnk</v>
      </c>
      <c r="C4211" t="str">
        <f>IFERROR(__xludf.DUMMYFUNCTION("""COMPUTED_VALUE"""),"Denmark")</f>
        <v>Denmark</v>
      </c>
      <c r="D4211">
        <f>IFERROR(__xludf.DUMMYFUNCTION("""COMPUTED_VALUE"""),1971.0)</f>
        <v>1971</v>
      </c>
      <c r="E4211">
        <f>IFERROR(__xludf.DUMMYFUNCTION("""COMPUTED_VALUE"""),4961762.0)</f>
        <v>4961762</v>
      </c>
    </row>
    <row r="4212">
      <c r="A4212" t="str">
        <f t="shared" si="1"/>
        <v>dnk#1972</v>
      </c>
      <c r="B4212" t="str">
        <f>IFERROR(__xludf.DUMMYFUNCTION("""COMPUTED_VALUE"""),"dnk")</f>
        <v>dnk</v>
      </c>
      <c r="C4212" t="str">
        <f>IFERROR(__xludf.DUMMYFUNCTION("""COMPUTED_VALUE"""),"Denmark")</f>
        <v>Denmark</v>
      </c>
      <c r="D4212">
        <f>IFERROR(__xludf.DUMMYFUNCTION("""COMPUTED_VALUE"""),1972.0)</f>
        <v>1972</v>
      </c>
      <c r="E4212">
        <f>IFERROR(__xludf.DUMMYFUNCTION("""COMPUTED_VALUE"""),4990546.0)</f>
        <v>4990546</v>
      </c>
    </row>
    <row r="4213">
      <c r="A4213" t="str">
        <f t="shared" si="1"/>
        <v>dnk#1973</v>
      </c>
      <c r="B4213" t="str">
        <f>IFERROR(__xludf.DUMMYFUNCTION("""COMPUTED_VALUE"""),"dnk")</f>
        <v>dnk</v>
      </c>
      <c r="C4213" t="str">
        <f>IFERROR(__xludf.DUMMYFUNCTION("""COMPUTED_VALUE"""),"Denmark")</f>
        <v>Denmark</v>
      </c>
      <c r="D4213">
        <f>IFERROR(__xludf.DUMMYFUNCTION("""COMPUTED_VALUE"""),1973.0)</f>
        <v>1973</v>
      </c>
      <c r="E4213">
        <f>IFERROR(__xludf.DUMMYFUNCTION("""COMPUTED_VALUE"""),5017248.0)</f>
        <v>5017248</v>
      </c>
    </row>
    <row r="4214">
      <c r="A4214" t="str">
        <f t="shared" si="1"/>
        <v>dnk#1974</v>
      </c>
      <c r="B4214" t="str">
        <f>IFERROR(__xludf.DUMMYFUNCTION("""COMPUTED_VALUE"""),"dnk")</f>
        <v>dnk</v>
      </c>
      <c r="C4214" t="str">
        <f>IFERROR(__xludf.DUMMYFUNCTION("""COMPUTED_VALUE"""),"Denmark")</f>
        <v>Denmark</v>
      </c>
      <c r="D4214">
        <f>IFERROR(__xludf.DUMMYFUNCTION("""COMPUTED_VALUE"""),1974.0)</f>
        <v>1974</v>
      </c>
      <c r="E4214">
        <f>IFERROR(__xludf.DUMMYFUNCTION("""COMPUTED_VALUE"""),5041419.0)</f>
        <v>5041419</v>
      </c>
    </row>
    <row r="4215">
      <c r="A4215" t="str">
        <f t="shared" si="1"/>
        <v>dnk#1975</v>
      </c>
      <c r="B4215" t="str">
        <f>IFERROR(__xludf.DUMMYFUNCTION("""COMPUTED_VALUE"""),"dnk")</f>
        <v>dnk</v>
      </c>
      <c r="C4215" t="str">
        <f>IFERROR(__xludf.DUMMYFUNCTION("""COMPUTED_VALUE"""),"Denmark")</f>
        <v>Denmark</v>
      </c>
      <c r="D4215">
        <f>IFERROR(__xludf.DUMMYFUNCTION("""COMPUTED_VALUE"""),1975.0)</f>
        <v>1975</v>
      </c>
      <c r="E4215">
        <f>IFERROR(__xludf.DUMMYFUNCTION("""COMPUTED_VALUE"""),5062729.0)</f>
        <v>5062729</v>
      </c>
    </row>
    <row r="4216">
      <c r="A4216" t="str">
        <f t="shared" si="1"/>
        <v>dnk#1976</v>
      </c>
      <c r="B4216" t="str">
        <f>IFERROR(__xludf.DUMMYFUNCTION("""COMPUTED_VALUE"""),"dnk")</f>
        <v>dnk</v>
      </c>
      <c r="C4216" t="str">
        <f>IFERROR(__xludf.DUMMYFUNCTION("""COMPUTED_VALUE"""),"Denmark")</f>
        <v>Denmark</v>
      </c>
      <c r="D4216">
        <f>IFERROR(__xludf.DUMMYFUNCTION("""COMPUTED_VALUE"""),1976.0)</f>
        <v>1976</v>
      </c>
      <c r="E4216">
        <f>IFERROR(__xludf.DUMMYFUNCTION("""COMPUTED_VALUE"""),5081267.0)</f>
        <v>5081267</v>
      </c>
    </row>
    <row r="4217">
      <c r="A4217" t="str">
        <f t="shared" si="1"/>
        <v>dnk#1977</v>
      </c>
      <c r="B4217" t="str">
        <f>IFERROR(__xludf.DUMMYFUNCTION("""COMPUTED_VALUE"""),"dnk")</f>
        <v>dnk</v>
      </c>
      <c r="C4217" t="str">
        <f>IFERROR(__xludf.DUMMYFUNCTION("""COMPUTED_VALUE"""),"Denmark")</f>
        <v>Denmark</v>
      </c>
      <c r="D4217">
        <f>IFERROR(__xludf.DUMMYFUNCTION("""COMPUTED_VALUE"""),1977.0)</f>
        <v>1977</v>
      </c>
      <c r="E4217">
        <f>IFERROR(__xludf.DUMMYFUNCTION("""COMPUTED_VALUE"""),5097045.0)</f>
        <v>5097045</v>
      </c>
    </row>
    <row r="4218">
      <c r="A4218" t="str">
        <f t="shared" si="1"/>
        <v>dnk#1978</v>
      </c>
      <c r="B4218" t="str">
        <f>IFERROR(__xludf.DUMMYFUNCTION("""COMPUTED_VALUE"""),"dnk")</f>
        <v>dnk</v>
      </c>
      <c r="C4218" t="str">
        <f>IFERROR(__xludf.DUMMYFUNCTION("""COMPUTED_VALUE"""),"Denmark")</f>
        <v>Denmark</v>
      </c>
      <c r="D4218">
        <f>IFERROR(__xludf.DUMMYFUNCTION("""COMPUTED_VALUE"""),1978.0)</f>
        <v>1978</v>
      </c>
      <c r="E4218">
        <f>IFERROR(__xludf.DUMMYFUNCTION("""COMPUTED_VALUE"""),5109690.0)</f>
        <v>5109690</v>
      </c>
    </row>
    <row r="4219">
      <c r="A4219" t="str">
        <f t="shared" si="1"/>
        <v>dnk#1979</v>
      </c>
      <c r="B4219" t="str">
        <f>IFERROR(__xludf.DUMMYFUNCTION("""COMPUTED_VALUE"""),"dnk")</f>
        <v>dnk</v>
      </c>
      <c r="C4219" t="str">
        <f>IFERROR(__xludf.DUMMYFUNCTION("""COMPUTED_VALUE"""),"Denmark")</f>
        <v>Denmark</v>
      </c>
      <c r="D4219">
        <f>IFERROR(__xludf.DUMMYFUNCTION("""COMPUTED_VALUE"""),1979.0)</f>
        <v>1979</v>
      </c>
      <c r="E4219">
        <f>IFERROR(__xludf.DUMMYFUNCTION("""COMPUTED_VALUE"""),5118707.0)</f>
        <v>5118707</v>
      </c>
    </row>
    <row r="4220">
      <c r="A4220" t="str">
        <f t="shared" si="1"/>
        <v>dnk#1980</v>
      </c>
      <c r="B4220" t="str">
        <f>IFERROR(__xludf.DUMMYFUNCTION("""COMPUTED_VALUE"""),"dnk")</f>
        <v>dnk</v>
      </c>
      <c r="C4220" t="str">
        <f>IFERROR(__xludf.DUMMYFUNCTION("""COMPUTED_VALUE"""),"Denmark")</f>
        <v>Denmark</v>
      </c>
      <c r="D4220">
        <f>IFERROR(__xludf.DUMMYFUNCTION("""COMPUTED_VALUE"""),1980.0)</f>
        <v>1980</v>
      </c>
      <c r="E4220">
        <f>IFERROR(__xludf.DUMMYFUNCTION("""COMPUTED_VALUE"""),5123945.0)</f>
        <v>5123945</v>
      </c>
    </row>
    <row r="4221">
      <c r="A4221" t="str">
        <f t="shared" si="1"/>
        <v>dnk#1981</v>
      </c>
      <c r="B4221" t="str">
        <f>IFERROR(__xludf.DUMMYFUNCTION("""COMPUTED_VALUE"""),"dnk")</f>
        <v>dnk</v>
      </c>
      <c r="C4221" t="str">
        <f>IFERROR(__xludf.DUMMYFUNCTION("""COMPUTED_VALUE"""),"Denmark")</f>
        <v>Denmark</v>
      </c>
      <c r="D4221">
        <f>IFERROR(__xludf.DUMMYFUNCTION("""COMPUTED_VALUE"""),1981.0)</f>
        <v>1981</v>
      </c>
      <c r="E4221">
        <f>IFERROR(__xludf.DUMMYFUNCTION("""COMPUTED_VALUE"""),5125298.0)</f>
        <v>5125298</v>
      </c>
    </row>
    <row r="4222">
      <c r="A4222" t="str">
        <f t="shared" si="1"/>
        <v>dnk#1982</v>
      </c>
      <c r="B4222" t="str">
        <f>IFERROR(__xludf.DUMMYFUNCTION("""COMPUTED_VALUE"""),"dnk")</f>
        <v>dnk</v>
      </c>
      <c r="C4222" t="str">
        <f>IFERROR(__xludf.DUMMYFUNCTION("""COMPUTED_VALUE"""),"Denmark")</f>
        <v>Denmark</v>
      </c>
      <c r="D4222">
        <f>IFERROR(__xludf.DUMMYFUNCTION("""COMPUTED_VALUE"""),1982.0)</f>
        <v>1982</v>
      </c>
      <c r="E4222">
        <f>IFERROR(__xludf.DUMMYFUNCTION("""COMPUTED_VALUE"""),5123349.0)</f>
        <v>5123349</v>
      </c>
    </row>
    <row r="4223">
      <c r="A4223" t="str">
        <f t="shared" si="1"/>
        <v>dnk#1983</v>
      </c>
      <c r="B4223" t="str">
        <f>IFERROR(__xludf.DUMMYFUNCTION("""COMPUTED_VALUE"""),"dnk")</f>
        <v>dnk</v>
      </c>
      <c r="C4223" t="str">
        <f>IFERROR(__xludf.DUMMYFUNCTION("""COMPUTED_VALUE"""),"Denmark")</f>
        <v>Denmark</v>
      </c>
      <c r="D4223">
        <f>IFERROR(__xludf.DUMMYFUNCTION("""COMPUTED_VALUE"""),1983.0)</f>
        <v>1983</v>
      </c>
      <c r="E4223">
        <f>IFERROR(__xludf.DUMMYFUNCTION("""COMPUTED_VALUE"""),5119607.0)</f>
        <v>5119607</v>
      </c>
    </row>
    <row r="4224">
      <c r="A4224" t="str">
        <f t="shared" si="1"/>
        <v>dnk#1984</v>
      </c>
      <c r="B4224" t="str">
        <f>IFERROR(__xludf.DUMMYFUNCTION("""COMPUTED_VALUE"""),"dnk")</f>
        <v>dnk</v>
      </c>
      <c r="C4224" t="str">
        <f>IFERROR(__xludf.DUMMYFUNCTION("""COMPUTED_VALUE"""),"Denmark")</f>
        <v>Denmark</v>
      </c>
      <c r="D4224">
        <f>IFERROR(__xludf.DUMMYFUNCTION("""COMPUTED_VALUE"""),1984.0)</f>
        <v>1984</v>
      </c>
      <c r="E4224">
        <f>IFERROR(__xludf.DUMMYFUNCTION("""COMPUTED_VALUE"""),5116058.0)</f>
        <v>5116058</v>
      </c>
    </row>
    <row r="4225">
      <c r="A4225" t="str">
        <f t="shared" si="1"/>
        <v>dnk#1985</v>
      </c>
      <c r="B4225" t="str">
        <f>IFERROR(__xludf.DUMMYFUNCTION("""COMPUTED_VALUE"""),"dnk")</f>
        <v>dnk</v>
      </c>
      <c r="C4225" t="str">
        <f>IFERROR(__xludf.DUMMYFUNCTION("""COMPUTED_VALUE"""),"Denmark")</f>
        <v>Denmark</v>
      </c>
      <c r="D4225">
        <f>IFERROR(__xludf.DUMMYFUNCTION("""COMPUTED_VALUE"""),1985.0)</f>
        <v>1985</v>
      </c>
      <c r="E4225">
        <f>IFERROR(__xludf.DUMMYFUNCTION("""COMPUTED_VALUE"""),5114243.0)</f>
        <v>5114243</v>
      </c>
    </row>
    <row r="4226">
      <c r="A4226" t="str">
        <f t="shared" si="1"/>
        <v>dnk#1986</v>
      </c>
      <c r="B4226" t="str">
        <f>IFERROR(__xludf.DUMMYFUNCTION("""COMPUTED_VALUE"""),"dnk")</f>
        <v>dnk</v>
      </c>
      <c r="C4226" t="str">
        <f>IFERROR(__xludf.DUMMYFUNCTION("""COMPUTED_VALUE"""),"Denmark")</f>
        <v>Denmark</v>
      </c>
      <c r="D4226">
        <f>IFERROR(__xludf.DUMMYFUNCTION("""COMPUTED_VALUE"""),1986.0)</f>
        <v>1986</v>
      </c>
      <c r="E4226">
        <f>IFERROR(__xludf.DUMMYFUNCTION("""COMPUTED_VALUE"""),5114657.0)</f>
        <v>5114657</v>
      </c>
    </row>
    <row r="4227">
      <c r="A4227" t="str">
        <f t="shared" si="1"/>
        <v>dnk#1987</v>
      </c>
      <c r="B4227" t="str">
        <f>IFERROR(__xludf.DUMMYFUNCTION("""COMPUTED_VALUE"""),"dnk")</f>
        <v>dnk</v>
      </c>
      <c r="C4227" t="str">
        <f>IFERROR(__xludf.DUMMYFUNCTION("""COMPUTED_VALUE"""),"Denmark")</f>
        <v>Denmark</v>
      </c>
      <c r="D4227">
        <f>IFERROR(__xludf.DUMMYFUNCTION("""COMPUTED_VALUE"""),1987.0)</f>
        <v>1987</v>
      </c>
      <c r="E4227">
        <f>IFERROR(__xludf.DUMMYFUNCTION("""COMPUTED_VALUE"""),5117277.0)</f>
        <v>5117277</v>
      </c>
    </row>
    <row r="4228">
      <c r="A4228" t="str">
        <f t="shared" si="1"/>
        <v>dnk#1988</v>
      </c>
      <c r="B4228" t="str">
        <f>IFERROR(__xludf.DUMMYFUNCTION("""COMPUTED_VALUE"""),"dnk")</f>
        <v>dnk</v>
      </c>
      <c r="C4228" t="str">
        <f>IFERROR(__xludf.DUMMYFUNCTION("""COMPUTED_VALUE"""),"Denmark")</f>
        <v>Denmark</v>
      </c>
      <c r="D4228">
        <f>IFERROR(__xludf.DUMMYFUNCTION("""COMPUTED_VALUE"""),1988.0)</f>
        <v>1988</v>
      </c>
      <c r="E4228">
        <f>IFERROR(__xludf.DUMMYFUNCTION("""COMPUTED_VALUE"""),5122441.0)</f>
        <v>5122441</v>
      </c>
    </row>
    <row r="4229">
      <c r="A4229" t="str">
        <f t="shared" si="1"/>
        <v>dnk#1989</v>
      </c>
      <c r="B4229" t="str">
        <f>IFERROR(__xludf.DUMMYFUNCTION("""COMPUTED_VALUE"""),"dnk")</f>
        <v>dnk</v>
      </c>
      <c r="C4229" t="str">
        <f>IFERROR(__xludf.DUMMYFUNCTION("""COMPUTED_VALUE"""),"Denmark")</f>
        <v>Denmark</v>
      </c>
      <c r="D4229">
        <f>IFERROR(__xludf.DUMMYFUNCTION("""COMPUTED_VALUE"""),1989.0)</f>
        <v>1989</v>
      </c>
      <c r="E4229">
        <f>IFERROR(__xludf.DUMMYFUNCTION("""COMPUTED_VALUE"""),5130361.0)</f>
        <v>5130361</v>
      </c>
    </row>
    <row r="4230">
      <c r="A4230" t="str">
        <f t="shared" si="1"/>
        <v>dnk#1990</v>
      </c>
      <c r="B4230" t="str">
        <f>IFERROR(__xludf.DUMMYFUNCTION("""COMPUTED_VALUE"""),"dnk")</f>
        <v>dnk</v>
      </c>
      <c r="C4230" t="str">
        <f>IFERROR(__xludf.DUMMYFUNCTION("""COMPUTED_VALUE"""),"Denmark")</f>
        <v>Denmark</v>
      </c>
      <c r="D4230">
        <f>IFERROR(__xludf.DUMMYFUNCTION("""COMPUTED_VALUE"""),1990.0)</f>
        <v>1990</v>
      </c>
      <c r="E4230">
        <f>IFERROR(__xludf.DUMMYFUNCTION("""COMPUTED_VALUE"""),5141115.0)</f>
        <v>5141115</v>
      </c>
    </row>
    <row r="4231">
      <c r="A4231" t="str">
        <f t="shared" si="1"/>
        <v>dnk#1991</v>
      </c>
      <c r="B4231" t="str">
        <f>IFERROR(__xludf.DUMMYFUNCTION("""COMPUTED_VALUE"""),"dnk")</f>
        <v>dnk</v>
      </c>
      <c r="C4231" t="str">
        <f>IFERROR(__xludf.DUMMYFUNCTION("""COMPUTED_VALUE"""),"Denmark")</f>
        <v>Denmark</v>
      </c>
      <c r="D4231">
        <f>IFERROR(__xludf.DUMMYFUNCTION("""COMPUTED_VALUE"""),1991.0)</f>
        <v>1991</v>
      </c>
      <c r="E4231">
        <f>IFERROR(__xludf.DUMMYFUNCTION("""COMPUTED_VALUE"""),5154908.0)</f>
        <v>5154908</v>
      </c>
    </row>
    <row r="4232">
      <c r="A4232" t="str">
        <f t="shared" si="1"/>
        <v>dnk#1992</v>
      </c>
      <c r="B4232" t="str">
        <f>IFERROR(__xludf.DUMMYFUNCTION("""COMPUTED_VALUE"""),"dnk")</f>
        <v>dnk</v>
      </c>
      <c r="C4232" t="str">
        <f>IFERROR(__xludf.DUMMYFUNCTION("""COMPUTED_VALUE"""),"Denmark")</f>
        <v>Denmark</v>
      </c>
      <c r="D4232">
        <f>IFERROR(__xludf.DUMMYFUNCTION("""COMPUTED_VALUE"""),1992.0)</f>
        <v>1992</v>
      </c>
      <c r="E4232">
        <f>IFERROR(__xludf.DUMMYFUNCTION("""COMPUTED_VALUE"""),5171650.0)</f>
        <v>5171650</v>
      </c>
    </row>
    <row r="4233">
      <c r="A4233" t="str">
        <f t="shared" si="1"/>
        <v>dnk#1993</v>
      </c>
      <c r="B4233" t="str">
        <f>IFERROR(__xludf.DUMMYFUNCTION("""COMPUTED_VALUE"""),"dnk")</f>
        <v>dnk</v>
      </c>
      <c r="C4233" t="str">
        <f>IFERROR(__xludf.DUMMYFUNCTION("""COMPUTED_VALUE"""),"Denmark")</f>
        <v>Denmark</v>
      </c>
      <c r="D4233">
        <f>IFERROR(__xludf.DUMMYFUNCTION("""COMPUTED_VALUE"""),1993.0)</f>
        <v>1993</v>
      </c>
      <c r="E4233">
        <f>IFERROR(__xludf.DUMMYFUNCTION("""COMPUTED_VALUE"""),5190742.0)</f>
        <v>5190742</v>
      </c>
    </row>
    <row r="4234">
      <c r="A4234" t="str">
        <f t="shared" si="1"/>
        <v>dnk#1994</v>
      </c>
      <c r="B4234" t="str">
        <f>IFERROR(__xludf.DUMMYFUNCTION("""COMPUTED_VALUE"""),"dnk")</f>
        <v>dnk</v>
      </c>
      <c r="C4234" t="str">
        <f>IFERROR(__xludf.DUMMYFUNCTION("""COMPUTED_VALUE"""),"Denmark")</f>
        <v>Denmark</v>
      </c>
      <c r="D4234">
        <f>IFERROR(__xludf.DUMMYFUNCTION("""COMPUTED_VALUE"""),1994.0)</f>
        <v>1994</v>
      </c>
      <c r="E4234">
        <f>IFERROR(__xludf.DUMMYFUNCTION("""COMPUTED_VALUE"""),5211334.0)</f>
        <v>5211334</v>
      </c>
    </row>
    <row r="4235">
      <c r="A4235" t="str">
        <f t="shared" si="1"/>
        <v>dnk#1995</v>
      </c>
      <c r="B4235" t="str">
        <f>IFERROR(__xludf.DUMMYFUNCTION("""COMPUTED_VALUE"""),"dnk")</f>
        <v>dnk</v>
      </c>
      <c r="C4235" t="str">
        <f>IFERROR(__xludf.DUMMYFUNCTION("""COMPUTED_VALUE"""),"Denmark")</f>
        <v>Denmark</v>
      </c>
      <c r="D4235">
        <f>IFERROR(__xludf.DUMMYFUNCTION("""COMPUTED_VALUE"""),1995.0)</f>
        <v>1995</v>
      </c>
      <c r="E4235">
        <f>IFERROR(__xludf.DUMMYFUNCTION("""COMPUTED_VALUE"""),5232704.0)</f>
        <v>5232704</v>
      </c>
    </row>
    <row r="4236">
      <c r="A4236" t="str">
        <f t="shared" si="1"/>
        <v>dnk#1996</v>
      </c>
      <c r="B4236" t="str">
        <f>IFERROR(__xludf.DUMMYFUNCTION("""COMPUTED_VALUE"""),"dnk")</f>
        <v>dnk</v>
      </c>
      <c r="C4236" t="str">
        <f>IFERROR(__xludf.DUMMYFUNCTION("""COMPUTED_VALUE"""),"Denmark")</f>
        <v>Denmark</v>
      </c>
      <c r="D4236">
        <f>IFERROR(__xludf.DUMMYFUNCTION("""COMPUTED_VALUE"""),1996.0)</f>
        <v>1996</v>
      </c>
      <c r="E4236">
        <f>IFERROR(__xludf.DUMMYFUNCTION("""COMPUTED_VALUE"""),5254860.0)</f>
        <v>5254860</v>
      </c>
    </row>
    <row r="4237">
      <c r="A4237" t="str">
        <f t="shared" si="1"/>
        <v>dnk#1997</v>
      </c>
      <c r="B4237" t="str">
        <f>IFERROR(__xludf.DUMMYFUNCTION("""COMPUTED_VALUE"""),"dnk")</f>
        <v>dnk</v>
      </c>
      <c r="C4237" t="str">
        <f>IFERROR(__xludf.DUMMYFUNCTION("""COMPUTED_VALUE"""),"Denmark")</f>
        <v>Denmark</v>
      </c>
      <c r="D4237">
        <f>IFERROR(__xludf.DUMMYFUNCTION("""COMPUTED_VALUE"""),1997.0)</f>
        <v>1997</v>
      </c>
      <c r="E4237">
        <f>IFERROR(__xludf.DUMMYFUNCTION("""COMPUTED_VALUE"""),5277711.0)</f>
        <v>5277711</v>
      </c>
    </row>
    <row r="4238">
      <c r="A4238" t="str">
        <f t="shared" si="1"/>
        <v>dnk#1998</v>
      </c>
      <c r="B4238" t="str">
        <f>IFERROR(__xludf.DUMMYFUNCTION("""COMPUTED_VALUE"""),"dnk")</f>
        <v>dnk</v>
      </c>
      <c r="C4238" t="str">
        <f>IFERROR(__xludf.DUMMYFUNCTION("""COMPUTED_VALUE"""),"Denmark")</f>
        <v>Denmark</v>
      </c>
      <c r="D4238">
        <f>IFERROR(__xludf.DUMMYFUNCTION("""COMPUTED_VALUE"""),1998.0)</f>
        <v>1998</v>
      </c>
      <c r="E4238">
        <f>IFERROR(__xludf.DUMMYFUNCTION("""COMPUTED_VALUE"""),5300379.0)</f>
        <v>5300379</v>
      </c>
    </row>
    <row r="4239">
      <c r="A4239" t="str">
        <f t="shared" si="1"/>
        <v>dnk#1999</v>
      </c>
      <c r="B4239" t="str">
        <f>IFERROR(__xludf.DUMMYFUNCTION("""COMPUTED_VALUE"""),"dnk")</f>
        <v>dnk</v>
      </c>
      <c r="C4239" t="str">
        <f>IFERROR(__xludf.DUMMYFUNCTION("""COMPUTED_VALUE"""),"Denmark")</f>
        <v>Denmark</v>
      </c>
      <c r="D4239">
        <f>IFERROR(__xludf.DUMMYFUNCTION("""COMPUTED_VALUE"""),1999.0)</f>
        <v>1999</v>
      </c>
      <c r="E4239">
        <f>IFERROR(__xludf.DUMMYFUNCTION("""COMPUTED_VALUE"""),5321774.0)</f>
        <v>5321774</v>
      </c>
    </row>
    <row r="4240">
      <c r="A4240" t="str">
        <f t="shared" si="1"/>
        <v>dnk#2000</v>
      </c>
      <c r="B4240" t="str">
        <f>IFERROR(__xludf.DUMMYFUNCTION("""COMPUTED_VALUE"""),"dnk")</f>
        <v>dnk</v>
      </c>
      <c r="C4240" t="str">
        <f>IFERROR(__xludf.DUMMYFUNCTION("""COMPUTED_VALUE"""),"Denmark")</f>
        <v>Denmark</v>
      </c>
      <c r="D4240">
        <f>IFERROR(__xludf.DUMMYFUNCTION("""COMPUTED_VALUE"""),2000.0)</f>
        <v>2000</v>
      </c>
      <c r="E4240">
        <f>IFERROR(__xludf.DUMMYFUNCTION("""COMPUTED_VALUE"""),5341194.0)</f>
        <v>5341194</v>
      </c>
    </row>
    <row r="4241">
      <c r="A4241" t="str">
        <f t="shared" si="1"/>
        <v>dnk#2001</v>
      </c>
      <c r="B4241" t="str">
        <f>IFERROR(__xludf.DUMMYFUNCTION("""COMPUTED_VALUE"""),"dnk")</f>
        <v>dnk</v>
      </c>
      <c r="C4241" t="str">
        <f>IFERROR(__xludf.DUMMYFUNCTION("""COMPUTED_VALUE"""),"Denmark")</f>
        <v>Denmark</v>
      </c>
      <c r="D4241">
        <f>IFERROR(__xludf.DUMMYFUNCTION("""COMPUTED_VALUE"""),2001.0)</f>
        <v>2001</v>
      </c>
      <c r="E4241">
        <f>IFERROR(__xludf.DUMMYFUNCTION("""COMPUTED_VALUE"""),5358062.0)</f>
        <v>5358062</v>
      </c>
    </row>
    <row r="4242">
      <c r="A4242" t="str">
        <f t="shared" si="1"/>
        <v>dnk#2002</v>
      </c>
      <c r="B4242" t="str">
        <f>IFERROR(__xludf.DUMMYFUNCTION("""COMPUTED_VALUE"""),"dnk")</f>
        <v>dnk</v>
      </c>
      <c r="C4242" t="str">
        <f>IFERROR(__xludf.DUMMYFUNCTION("""COMPUTED_VALUE"""),"Denmark")</f>
        <v>Denmark</v>
      </c>
      <c r="D4242">
        <f>IFERROR(__xludf.DUMMYFUNCTION("""COMPUTED_VALUE"""),2002.0)</f>
        <v>2002</v>
      </c>
      <c r="E4242">
        <f>IFERROR(__xludf.DUMMYFUNCTION("""COMPUTED_VALUE"""),5372801.0)</f>
        <v>5372801</v>
      </c>
    </row>
    <row r="4243">
      <c r="A4243" t="str">
        <f t="shared" si="1"/>
        <v>dnk#2003</v>
      </c>
      <c r="B4243" t="str">
        <f>IFERROR(__xludf.DUMMYFUNCTION("""COMPUTED_VALUE"""),"dnk")</f>
        <v>dnk</v>
      </c>
      <c r="C4243" t="str">
        <f>IFERROR(__xludf.DUMMYFUNCTION("""COMPUTED_VALUE"""),"Denmark")</f>
        <v>Denmark</v>
      </c>
      <c r="D4243">
        <f>IFERROR(__xludf.DUMMYFUNCTION("""COMPUTED_VALUE"""),2003.0)</f>
        <v>2003</v>
      </c>
      <c r="E4243">
        <f>IFERROR(__xludf.DUMMYFUNCTION("""COMPUTED_VALUE"""),5386968.0)</f>
        <v>5386968</v>
      </c>
    </row>
    <row r="4244">
      <c r="A4244" t="str">
        <f t="shared" si="1"/>
        <v>dnk#2004</v>
      </c>
      <c r="B4244" t="str">
        <f>IFERROR(__xludf.DUMMYFUNCTION("""COMPUTED_VALUE"""),"dnk")</f>
        <v>dnk</v>
      </c>
      <c r="C4244" t="str">
        <f>IFERROR(__xludf.DUMMYFUNCTION("""COMPUTED_VALUE"""),"Denmark")</f>
        <v>Denmark</v>
      </c>
      <c r="D4244">
        <f>IFERROR(__xludf.DUMMYFUNCTION("""COMPUTED_VALUE"""),2004.0)</f>
        <v>2004</v>
      </c>
      <c r="E4244">
        <f>IFERROR(__xludf.DUMMYFUNCTION("""COMPUTED_VALUE"""),5402761.0)</f>
        <v>5402761</v>
      </c>
    </row>
    <row r="4245">
      <c r="A4245" t="str">
        <f t="shared" si="1"/>
        <v>dnk#2005</v>
      </c>
      <c r="B4245" t="str">
        <f>IFERROR(__xludf.DUMMYFUNCTION("""COMPUTED_VALUE"""),"dnk")</f>
        <v>dnk</v>
      </c>
      <c r="C4245" t="str">
        <f>IFERROR(__xludf.DUMMYFUNCTION("""COMPUTED_VALUE"""),"Denmark")</f>
        <v>Denmark</v>
      </c>
      <c r="D4245">
        <f>IFERROR(__xludf.DUMMYFUNCTION("""COMPUTED_VALUE"""),2005.0)</f>
        <v>2005</v>
      </c>
      <c r="E4245">
        <f>IFERROR(__xludf.DUMMYFUNCTION("""COMPUTED_VALUE"""),5421702.0)</f>
        <v>5421702</v>
      </c>
    </row>
    <row r="4246">
      <c r="A4246" t="str">
        <f t="shared" si="1"/>
        <v>dnk#2006</v>
      </c>
      <c r="B4246" t="str">
        <f>IFERROR(__xludf.DUMMYFUNCTION("""COMPUTED_VALUE"""),"dnk")</f>
        <v>dnk</v>
      </c>
      <c r="C4246" t="str">
        <f>IFERROR(__xludf.DUMMYFUNCTION("""COMPUTED_VALUE"""),"Denmark")</f>
        <v>Denmark</v>
      </c>
      <c r="D4246">
        <f>IFERROR(__xludf.DUMMYFUNCTION("""COMPUTED_VALUE"""),2006.0)</f>
        <v>2006</v>
      </c>
      <c r="E4246">
        <f>IFERROR(__xludf.DUMMYFUNCTION("""COMPUTED_VALUE"""),5444303.0)</f>
        <v>5444303</v>
      </c>
    </row>
    <row r="4247">
      <c r="A4247" t="str">
        <f t="shared" si="1"/>
        <v>dnk#2007</v>
      </c>
      <c r="B4247" t="str">
        <f>IFERROR(__xludf.DUMMYFUNCTION("""COMPUTED_VALUE"""),"dnk")</f>
        <v>dnk</v>
      </c>
      <c r="C4247" t="str">
        <f>IFERROR(__xludf.DUMMYFUNCTION("""COMPUTED_VALUE"""),"Denmark")</f>
        <v>Denmark</v>
      </c>
      <c r="D4247">
        <f>IFERROR(__xludf.DUMMYFUNCTION("""COMPUTED_VALUE"""),2007.0)</f>
        <v>2007</v>
      </c>
      <c r="E4247">
        <f>IFERROR(__xludf.DUMMYFUNCTION("""COMPUTED_VALUE"""),5469957.0)</f>
        <v>5469957</v>
      </c>
    </row>
    <row r="4248">
      <c r="A4248" t="str">
        <f t="shared" si="1"/>
        <v>dnk#2008</v>
      </c>
      <c r="B4248" t="str">
        <f>IFERROR(__xludf.DUMMYFUNCTION("""COMPUTED_VALUE"""),"dnk")</f>
        <v>dnk</v>
      </c>
      <c r="C4248" t="str">
        <f>IFERROR(__xludf.DUMMYFUNCTION("""COMPUTED_VALUE"""),"Denmark")</f>
        <v>Denmark</v>
      </c>
      <c r="D4248">
        <f>IFERROR(__xludf.DUMMYFUNCTION("""COMPUTED_VALUE"""),2008.0)</f>
        <v>2008</v>
      </c>
      <c r="E4248">
        <f>IFERROR(__xludf.DUMMYFUNCTION("""COMPUTED_VALUE"""),5497795.0)</f>
        <v>5497795</v>
      </c>
    </row>
    <row r="4249">
      <c r="A4249" t="str">
        <f t="shared" si="1"/>
        <v>dnk#2009</v>
      </c>
      <c r="B4249" t="str">
        <f>IFERROR(__xludf.DUMMYFUNCTION("""COMPUTED_VALUE"""),"dnk")</f>
        <v>dnk</v>
      </c>
      <c r="C4249" t="str">
        <f>IFERROR(__xludf.DUMMYFUNCTION("""COMPUTED_VALUE"""),"Denmark")</f>
        <v>Denmark</v>
      </c>
      <c r="D4249">
        <f>IFERROR(__xludf.DUMMYFUNCTION("""COMPUTED_VALUE"""),2009.0)</f>
        <v>2009</v>
      </c>
      <c r="E4249">
        <f>IFERROR(__xludf.DUMMYFUNCTION("""COMPUTED_VALUE"""),5526447.0)</f>
        <v>5526447</v>
      </c>
    </row>
    <row r="4250">
      <c r="A4250" t="str">
        <f t="shared" si="1"/>
        <v>dnk#2010</v>
      </c>
      <c r="B4250" t="str">
        <f>IFERROR(__xludf.DUMMYFUNCTION("""COMPUTED_VALUE"""),"dnk")</f>
        <v>dnk</v>
      </c>
      <c r="C4250" t="str">
        <f>IFERROR(__xludf.DUMMYFUNCTION("""COMPUTED_VALUE"""),"Denmark")</f>
        <v>Denmark</v>
      </c>
      <c r="D4250">
        <f>IFERROR(__xludf.DUMMYFUNCTION("""COMPUTED_VALUE"""),2010.0)</f>
        <v>2010</v>
      </c>
      <c r="E4250">
        <f>IFERROR(__xludf.DUMMYFUNCTION("""COMPUTED_VALUE"""),5554844.0)</f>
        <v>5554844</v>
      </c>
    </row>
    <row r="4251">
      <c r="A4251" t="str">
        <f t="shared" si="1"/>
        <v>dnk#2011</v>
      </c>
      <c r="B4251" t="str">
        <f>IFERROR(__xludf.DUMMYFUNCTION("""COMPUTED_VALUE"""),"dnk")</f>
        <v>dnk</v>
      </c>
      <c r="C4251" t="str">
        <f>IFERROR(__xludf.DUMMYFUNCTION("""COMPUTED_VALUE"""),"Denmark")</f>
        <v>Denmark</v>
      </c>
      <c r="D4251">
        <f>IFERROR(__xludf.DUMMYFUNCTION("""COMPUTED_VALUE"""),2011.0)</f>
        <v>2011</v>
      </c>
      <c r="E4251">
        <f>IFERROR(__xludf.DUMMYFUNCTION("""COMPUTED_VALUE"""),5582873.0)</f>
        <v>5582873</v>
      </c>
    </row>
    <row r="4252">
      <c r="A4252" t="str">
        <f t="shared" si="1"/>
        <v>dnk#2012</v>
      </c>
      <c r="B4252" t="str">
        <f>IFERROR(__xludf.DUMMYFUNCTION("""COMPUTED_VALUE"""),"dnk")</f>
        <v>dnk</v>
      </c>
      <c r="C4252" t="str">
        <f>IFERROR(__xludf.DUMMYFUNCTION("""COMPUTED_VALUE"""),"Denmark")</f>
        <v>Denmark</v>
      </c>
      <c r="D4252">
        <f>IFERROR(__xludf.DUMMYFUNCTION("""COMPUTED_VALUE"""),2012.0)</f>
        <v>2012</v>
      </c>
      <c r="E4252">
        <f>IFERROR(__xludf.DUMMYFUNCTION("""COMPUTED_VALUE"""),5610660.0)</f>
        <v>5610660</v>
      </c>
    </row>
    <row r="4253">
      <c r="A4253" t="str">
        <f t="shared" si="1"/>
        <v>dnk#2013</v>
      </c>
      <c r="B4253" t="str">
        <f>IFERROR(__xludf.DUMMYFUNCTION("""COMPUTED_VALUE"""),"dnk")</f>
        <v>dnk</v>
      </c>
      <c r="C4253" t="str">
        <f>IFERROR(__xludf.DUMMYFUNCTION("""COMPUTED_VALUE"""),"Denmark")</f>
        <v>Denmark</v>
      </c>
      <c r="D4253">
        <f>IFERROR(__xludf.DUMMYFUNCTION("""COMPUTED_VALUE"""),2013.0)</f>
        <v>2013</v>
      </c>
      <c r="E4253">
        <f>IFERROR(__xludf.DUMMYFUNCTION("""COMPUTED_VALUE"""),5637817.0)</f>
        <v>5637817</v>
      </c>
    </row>
    <row r="4254">
      <c r="A4254" t="str">
        <f t="shared" si="1"/>
        <v>dnk#2014</v>
      </c>
      <c r="B4254" t="str">
        <f>IFERROR(__xludf.DUMMYFUNCTION("""COMPUTED_VALUE"""),"dnk")</f>
        <v>dnk</v>
      </c>
      <c r="C4254" t="str">
        <f>IFERROR(__xludf.DUMMYFUNCTION("""COMPUTED_VALUE"""),"Denmark")</f>
        <v>Denmark</v>
      </c>
      <c r="D4254">
        <f>IFERROR(__xludf.DUMMYFUNCTION("""COMPUTED_VALUE"""),2014.0)</f>
        <v>2014</v>
      </c>
      <c r="E4254">
        <f>IFERROR(__xludf.DUMMYFUNCTION("""COMPUTED_VALUE"""),5663914.0)</f>
        <v>5663914</v>
      </c>
    </row>
    <row r="4255">
      <c r="A4255" t="str">
        <f t="shared" si="1"/>
        <v>dnk#2015</v>
      </c>
      <c r="B4255" t="str">
        <f>IFERROR(__xludf.DUMMYFUNCTION("""COMPUTED_VALUE"""),"dnk")</f>
        <v>dnk</v>
      </c>
      <c r="C4255" t="str">
        <f>IFERROR(__xludf.DUMMYFUNCTION("""COMPUTED_VALUE"""),"Denmark")</f>
        <v>Denmark</v>
      </c>
      <c r="D4255">
        <f>IFERROR(__xludf.DUMMYFUNCTION("""COMPUTED_VALUE"""),2015.0)</f>
        <v>2015</v>
      </c>
      <c r="E4255">
        <f>IFERROR(__xludf.DUMMYFUNCTION("""COMPUTED_VALUE"""),5688695.0)</f>
        <v>5688695</v>
      </c>
    </row>
    <row r="4256">
      <c r="A4256" t="str">
        <f t="shared" si="1"/>
        <v>dnk#2016</v>
      </c>
      <c r="B4256" t="str">
        <f>IFERROR(__xludf.DUMMYFUNCTION("""COMPUTED_VALUE"""),"dnk")</f>
        <v>dnk</v>
      </c>
      <c r="C4256" t="str">
        <f>IFERROR(__xludf.DUMMYFUNCTION("""COMPUTED_VALUE"""),"Denmark")</f>
        <v>Denmark</v>
      </c>
      <c r="D4256">
        <f>IFERROR(__xludf.DUMMYFUNCTION("""COMPUTED_VALUE"""),2016.0)</f>
        <v>2016</v>
      </c>
      <c r="E4256">
        <f>IFERROR(__xludf.DUMMYFUNCTION("""COMPUTED_VALUE"""),5711870.0)</f>
        <v>5711870</v>
      </c>
    </row>
    <row r="4257">
      <c r="A4257" t="str">
        <f t="shared" si="1"/>
        <v>dnk#2017</v>
      </c>
      <c r="B4257" t="str">
        <f>IFERROR(__xludf.DUMMYFUNCTION("""COMPUTED_VALUE"""),"dnk")</f>
        <v>dnk</v>
      </c>
      <c r="C4257" t="str">
        <f>IFERROR(__xludf.DUMMYFUNCTION("""COMPUTED_VALUE"""),"Denmark")</f>
        <v>Denmark</v>
      </c>
      <c r="D4257">
        <f>IFERROR(__xludf.DUMMYFUNCTION("""COMPUTED_VALUE"""),2017.0)</f>
        <v>2017</v>
      </c>
      <c r="E4257">
        <f>IFERROR(__xludf.DUMMYFUNCTION("""COMPUTED_VALUE"""),5733551.0)</f>
        <v>5733551</v>
      </c>
    </row>
    <row r="4258">
      <c r="A4258" t="str">
        <f t="shared" si="1"/>
        <v>dnk#2018</v>
      </c>
      <c r="B4258" t="str">
        <f>IFERROR(__xludf.DUMMYFUNCTION("""COMPUTED_VALUE"""),"dnk")</f>
        <v>dnk</v>
      </c>
      <c r="C4258" t="str">
        <f>IFERROR(__xludf.DUMMYFUNCTION("""COMPUTED_VALUE"""),"Denmark")</f>
        <v>Denmark</v>
      </c>
      <c r="D4258">
        <f>IFERROR(__xludf.DUMMYFUNCTION("""COMPUTED_VALUE"""),2018.0)</f>
        <v>2018</v>
      </c>
      <c r="E4258">
        <f>IFERROR(__xludf.DUMMYFUNCTION("""COMPUTED_VALUE"""),5754356.0)</f>
        <v>5754356</v>
      </c>
    </row>
    <row r="4259">
      <c r="A4259" t="str">
        <f t="shared" si="1"/>
        <v>dnk#2019</v>
      </c>
      <c r="B4259" t="str">
        <f>IFERROR(__xludf.DUMMYFUNCTION("""COMPUTED_VALUE"""),"dnk")</f>
        <v>dnk</v>
      </c>
      <c r="C4259" t="str">
        <f>IFERROR(__xludf.DUMMYFUNCTION("""COMPUTED_VALUE"""),"Denmark")</f>
        <v>Denmark</v>
      </c>
      <c r="D4259">
        <f>IFERROR(__xludf.DUMMYFUNCTION("""COMPUTED_VALUE"""),2019.0)</f>
        <v>2019</v>
      </c>
      <c r="E4259">
        <f>IFERROR(__xludf.DUMMYFUNCTION("""COMPUTED_VALUE"""),5775224.0)</f>
        <v>5775224</v>
      </c>
    </row>
    <row r="4260">
      <c r="A4260" t="str">
        <f t="shared" si="1"/>
        <v>dnk#2020</v>
      </c>
      <c r="B4260" t="str">
        <f>IFERROR(__xludf.DUMMYFUNCTION("""COMPUTED_VALUE"""),"dnk")</f>
        <v>dnk</v>
      </c>
      <c r="C4260" t="str">
        <f>IFERROR(__xludf.DUMMYFUNCTION("""COMPUTED_VALUE"""),"Denmark")</f>
        <v>Denmark</v>
      </c>
      <c r="D4260">
        <f>IFERROR(__xludf.DUMMYFUNCTION("""COMPUTED_VALUE"""),2020.0)</f>
        <v>2020</v>
      </c>
      <c r="E4260">
        <f>IFERROR(__xludf.DUMMYFUNCTION("""COMPUTED_VALUE"""),5796800.0)</f>
        <v>5796800</v>
      </c>
    </row>
    <row r="4261">
      <c r="A4261" t="str">
        <f t="shared" si="1"/>
        <v>dnk#2021</v>
      </c>
      <c r="B4261" t="str">
        <f>IFERROR(__xludf.DUMMYFUNCTION("""COMPUTED_VALUE"""),"dnk")</f>
        <v>dnk</v>
      </c>
      <c r="C4261" t="str">
        <f>IFERROR(__xludf.DUMMYFUNCTION("""COMPUTED_VALUE"""),"Denmark")</f>
        <v>Denmark</v>
      </c>
      <c r="D4261">
        <f>IFERROR(__xludf.DUMMYFUNCTION("""COMPUTED_VALUE"""),2021.0)</f>
        <v>2021</v>
      </c>
      <c r="E4261">
        <f>IFERROR(__xludf.DUMMYFUNCTION("""COMPUTED_VALUE"""),5819262.0)</f>
        <v>5819262</v>
      </c>
    </row>
    <row r="4262">
      <c r="A4262" t="str">
        <f t="shared" si="1"/>
        <v>dnk#2022</v>
      </c>
      <c r="B4262" t="str">
        <f>IFERROR(__xludf.DUMMYFUNCTION("""COMPUTED_VALUE"""),"dnk")</f>
        <v>dnk</v>
      </c>
      <c r="C4262" t="str">
        <f>IFERROR(__xludf.DUMMYFUNCTION("""COMPUTED_VALUE"""),"Denmark")</f>
        <v>Denmark</v>
      </c>
      <c r="D4262">
        <f>IFERROR(__xludf.DUMMYFUNCTION("""COMPUTED_VALUE"""),2022.0)</f>
        <v>2022</v>
      </c>
      <c r="E4262">
        <f>IFERROR(__xludf.DUMMYFUNCTION("""COMPUTED_VALUE"""),5842422.0)</f>
        <v>5842422</v>
      </c>
    </row>
    <row r="4263">
      <c r="A4263" t="str">
        <f t="shared" si="1"/>
        <v>dnk#2023</v>
      </c>
      <c r="B4263" t="str">
        <f>IFERROR(__xludf.DUMMYFUNCTION("""COMPUTED_VALUE"""),"dnk")</f>
        <v>dnk</v>
      </c>
      <c r="C4263" t="str">
        <f>IFERROR(__xludf.DUMMYFUNCTION("""COMPUTED_VALUE"""),"Denmark")</f>
        <v>Denmark</v>
      </c>
      <c r="D4263">
        <f>IFERROR(__xludf.DUMMYFUNCTION("""COMPUTED_VALUE"""),2023.0)</f>
        <v>2023</v>
      </c>
      <c r="E4263">
        <f>IFERROR(__xludf.DUMMYFUNCTION("""COMPUTED_VALUE"""),5866015.0)</f>
        <v>5866015</v>
      </c>
    </row>
    <row r="4264">
      <c r="A4264" t="str">
        <f t="shared" si="1"/>
        <v>dnk#2024</v>
      </c>
      <c r="B4264" t="str">
        <f>IFERROR(__xludf.DUMMYFUNCTION("""COMPUTED_VALUE"""),"dnk")</f>
        <v>dnk</v>
      </c>
      <c r="C4264" t="str">
        <f>IFERROR(__xludf.DUMMYFUNCTION("""COMPUTED_VALUE"""),"Denmark")</f>
        <v>Denmark</v>
      </c>
      <c r="D4264">
        <f>IFERROR(__xludf.DUMMYFUNCTION("""COMPUTED_VALUE"""),2024.0)</f>
        <v>2024</v>
      </c>
      <c r="E4264">
        <f>IFERROR(__xludf.DUMMYFUNCTION("""COMPUTED_VALUE"""),5889673.0)</f>
        <v>5889673</v>
      </c>
    </row>
    <row r="4265">
      <c r="A4265" t="str">
        <f t="shared" si="1"/>
        <v>dnk#2025</v>
      </c>
      <c r="B4265" t="str">
        <f>IFERROR(__xludf.DUMMYFUNCTION("""COMPUTED_VALUE"""),"dnk")</f>
        <v>dnk</v>
      </c>
      <c r="C4265" t="str">
        <f>IFERROR(__xludf.DUMMYFUNCTION("""COMPUTED_VALUE"""),"Denmark")</f>
        <v>Denmark</v>
      </c>
      <c r="D4265">
        <f>IFERROR(__xludf.DUMMYFUNCTION("""COMPUTED_VALUE"""),2025.0)</f>
        <v>2025</v>
      </c>
      <c r="E4265">
        <f>IFERROR(__xludf.DUMMYFUNCTION("""COMPUTED_VALUE"""),5913085.0)</f>
        <v>5913085</v>
      </c>
    </row>
    <row r="4266">
      <c r="A4266" t="str">
        <f t="shared" si="1"/>
        <v>dnk#2026</v>
      </c>
      <c r="B4266" t="str">
        <f>IFERROR(__xludf.DUMMYFUNCTION("""COMPUTED_VALUE"""),"dnk")</f>
        <v>dnk</v>
      </c>
      <c r="C4266" t="str">
        <f>IFERROR(__xludf.DUMMYFUNCTION("""COMPUTED_VALUE"""),"Denmark")</f>
        <v>Denmark</v>
      </c>
      <c r="D4266">
        <f>IFERROR(__xludf.DUMMYFUNCTION("""COMPUTED_VALUE"""),2026.0)</f>
        <v>2026</v>
      </c>
      <c r="E4266">
        <f>IFERROR(__xludf.DUMMYFUNCTION("""COMPUTED_VALUE"""),5936212.0)</f>
        <v>5936212</v>
      </c>
    </row>
    <row r="4267">
      <c r="A4267" t="str">
        <f t="shared" si="1"/>
        <v>dnk#2027</v>
      </c>
      <c r="B4267" t="str">
        <f>IFERROR(__xludf.DUMMYFUNCTION("""COMPUTED_VALUE"""),"dnk")</f>
        <v>dnk</v>
      </c>
      <c r="C4267" t="str">
        <f>IFERROR(__xludf.DUMMYFUNCTION("""COMPUTED_VALUE"""),"Denmark")</f>
        <v>Denmark</v>
      </c>
      <c r="D4267">
        <f>IFERROR(__xludf.DUMMYFUNCTION("""COMPUTED_VALUE"""),2027.0)</f>
        <v>2027</v>
      </c>
      <c r="E4267">
        <f>IFERROR(__xludf.DUMMYFUNCTION("""COMPUTED_VALUE"""),5959089.0)</f>
        <v>5959089</v>
      </c>
    </row>
    <row r="4268">
      <c r="A4268" t="str">
        <f t="shared" si="1"/>
        <v>dnk#2028</v>
      </c>
      <c r="B4268" t="str">
        <f>IFERROR(__xludf.DUMMYFUNCTION("""COMPUTED_VALUE"""),"dnk")</f>
        <v>dnk</v>
      </c>
      <c r="C4268" t="str">
        <f>IFERROR(__xludf.DUMMYFUNCTION("""COMPUTED_VALUE"""),"Denmark")</f>
        <v>Denmark</v>
      </c>
      <c r="D4268">
        <f>IFERROR(__xludf.DUMMYFUNCTION("""COMPUTED_VALUE"""),2028.0)</f>
        <v>2028</v>
      </c>
      <c r="E4268">
        <f>IFERROR(__xludf.DUMMYFUNCTION("""COMPUTED_VALUE"""),5981545.0)</f>
        <v>5981545</v>
      </c>
    </row>
    <row r="4269">
      <c r="A4269" t="str">
        <f t="shared" si="1"/>
        <v>dnk#2029</v>
      </c>
      <c r="B4269" t="str">
        <f>IFERROR(__xludf.DUMMYFUNCTION("""COMPUTED_VALUE"""),"dnk")</f>
        <v>dnk</v>
      </c>
      <c r="C4269" t="str">
        <f>IFERROR(__xludf.DUMMYFUNCTION("""COMPUTED_VALUE"""),"Denmark")</f>
        <v>Denmark</v>
      </c>
      <c r="D4269">
        <f>IFERROR(__xludf.DUMMYFUNCTION("""COMPUTED_VALUE"""),2029.0)</f>
        <v>2029</v>
      </c>
      <c r="E4269">
        <f>IFERROR(__xludf.DUMMYFUNCTION("""COMPUTED_VALUE"""),6003398.0)</f>
        <v>6003398</v>
      </c>
    </row>
    <row r="4270">
      <c r="A4270" t="str">
        <f t="shared" si="1"/>
        <v>dnk#2030</v>
      </c>
      <c r="B4270" t="str">
        <f>IFERROR(__xludf.DUMMYFUNCTION("""COMPUTED_VALUE"""),"dnk")</f>
        <v>dnk</v>
      </c>
      <c r="C4270" t="str">
        <f>IFERROR(__xludf.DUMMYFUNCTION("""COMPUTED_VALUE"""),"Denmark")</f>
        <v>Denmark</v>
      </c>
      <c r="D4270">
        <f>IFERROR(__xludf.DUMMYFUNCTION("""COMPUTED_VALUE"""),2030.0)</f>
        <v>2030</v>
      </c>
      <c r="E4270">
        <f>IFERROR(__xludf.DUMMYFUNCTION("""COMPUTED_VALUE"""),6024516.0)</f>
        <v>6024516</v>
      </c>
    </row>
    <row r="4271">
      <c r="A4271" t="str">
        <f t="shared" si="1"/>
        <v>dnk#2031</v>
      </c>
      <c r="B4271" t="str">
        <f>IFERROR(__xludf.DUMMYFUNCTION("""COMPUTED_VALUE"""),"dnk")</f>
        <v>dnk</v>
      </c>
      <c r="C4271" t="str">
        <f>IFERROR(__xludf.DUMMYFUNCTION("""COMPUTED_VALUE"""),"Denmark")</f>
        <v>Denmark</v>
      </c>
      <c r="D4271">
        <f>IFERROR(__xludf.DUMMYFUNCTION("""COMPUTED_VALUE"""),2031.0)</f>
        <v>2031</v>
      </c>
      <c r="E4271">
        <f>IFERROR(__xludf.DUMMYFUNCTION("""COMPUTED_VALUE"""),6044817.0)</f>
        <v>6044817</v>
      </c>
    </row>
    <row r="4272">
      <c r="A4272" t="str">
        <f t="shared" si="1"/>
        <v>dnk#2032</v>
      </c>
      <c r="B4272" t="str">
        <f>IFERROR(__xludf.DUMMYFUNCTION("""COMPUTED_VALUE"""),"dnk")</f>
        <v>dnk</v>
      </c>
      <c r="C4272" t="str">
        <f>IFERROR(__xludf.DUMMYFUNCTION("""COMPUTED_VALUE"""),"Denmark")</f>
        <v>Denmark</v>
      </c>
      <c r="D4272">
        <f>IFERROR(__xludf.DUMMYFUNCTION("""COMPUTED_VALUE"""),2032.0)</f>
        <v>2032</v>
      </c>
      <c r="E4272">
        <f>IFERROR(__xludf.DUMMYFUNCTION("""COMPUTED_VALUE"""),6064297.0)</f>
        <v>6064297</v>
      </c>
    </row>
    <row r="4273">
      <c r="A4273" t="str">
        <f t="shared" si="1"/>
        <v>dnk#2033</v>
      </c>
      <c r="B4273" t="str">
        <f>IFERROR(__xludf.DUMMYFUNCTION("""COMPUTED_VALUE"""),"dnk")</f>
        <v>dnk</v>
      </c>
      <c r="C4273" t="str">
        <f>IFERROR(__xludf.DUMMYFUNCTION("""COMPUTED_VALUE"""),"Denmark")</f>
        <v>Denmark</v>
      </c>
      <c r="D4273">
        <f>IFERROR(__xludf.DUMMYFUNCTION("""COMPUTED_VALUE"""),2033.0)</f>
        <v>2033</v>
      </c>
      <c r="E4273">
        <f>IFERROR(__xludf.DUMMYFUNCTION("""COMPUTED_VALUE"""),6082947.0)</f>
        <v>6082947</v>
      </c>
    </row>
    <row r="4274">
      <c r="A4274" t="str">
        <f t="shared" si="1"/>
        <v>dnk#2034</v>
      </c>
      <c r="B4274" t="str">
        <f>IFERROR(__xludf.DUMMYFUNCTION("""COMPUTED_VALUE"""),"dnk")</f>
        <v>dnk</v>
      </c>
      <c r="C4274" t="str">
        <f>IFERROR(__xludf.DUMMYFUNCTION("""COMPUTED_VALUE"""),"Denmark")</f>
        <v>Denmark</v>
      </c>
      <c r="D4274">
        <f>IFERROR(__xludf.DUMMYFUNCTION("""COMPUTED_VALUE"""),2034.0)</f>
        <v>2034</v>
      </c>
      <c r="E4274">
        <f>IFERROR(__xludf.DUMMYFUNCTION("""COMPUTED_VALUE"""),6100784.0)</f>
        <v>6100784</v>
      </c>
    </row>
    <row r="4275">
      <c r="A4275" t="str">
        <f t="shared" si="1"/>
        <v>dnk#2035</v>
      </c>
      <c r="B4275" t="str">
        <f>IFERROR(__xludf.DUMMYFUNCTION("""COMPUTED_VALUE"""),"dnk")</f>
        <v>dnk</v>
      </c>
      <c r="C4275" t="str">
        <f>IFERROR(__xludf.DUMMYFUNCTION("""COMPUTED_VALUE"""),"Denmark")</f>
        <v>Denmark</v>
      </c>
      <c r="D4275">
        <f>IFERROR(__xludf.DUMMYFUNCTION("""COMPUTED_VALUE"""),2035.0)</f>
        <v>2035</v>
      </c>
      <c r="E4275">
        <f>IFERROR(__xludf.DUMMYFUNCTION("""COMPUTED_VALUE"""),6117850.0)</f>
        <v>6117850</v>
      </c>
    </row>
    <row r="4276">
      <c r="A4276" t="str">
        <f t="shared" si="1"/>
        <v>dnk#2036</v>
      </c>
      <c r="B4276" t="str">
        <f>IFERROR(__xludf.DUMMYFUNCTION("""COMPUTED_VALUE"""),"dnk")</f>
        <v>dnk</v>
      </c>
      <c r="C4276" t="str">
        <f>IFERROR(__xludf.DUMMYFUNCTION("""COMPUTED_VALUE"""),"Denmark")</f>
        <v>Denmark</v>
      </c>
      <c r="D4276">
        <f>IFERROR(__xludf.DUMMYFUNCTION("""COMPUTED_VALUE"""),2036.0)</f>
        <v>2036</v>
      </c>
      <c r="E4276">
        <f>IFERROR(__xludf.DUMMYFUNCTION("""COMPUTED_VALUE"""),6134128.0)</f>
        <v>6134128</v>
      </c>
    </row>
    <row r="4277">
      <c r="A4277" t="str">
        <f t="shared" si="1"/>
        <v>dnk#2037</v>
      </c>
      <c r="B4277" t="str">
        <f>IFERROR(__xludf.DUMMYFUNCTION("""COMPUTED_VALUE"""),"dnk")</f>
        <v>dnk</v>
      </c>
      <c r="C4277" t="str">
        <f>IFERROR(__xludf.DUMMYFUNCTION("""COMPUTED_VALUE"""),"Denmark")</f>
        <v>Denmark</v>
      </c>
      <c r="D4277">
        <f>IFERROR(__xludf.DUMMYFUNCTION("""COMPUTED_VALUE"""),2037.0)</f>
        <v>2037</v>
      </c>
      <c r="E4277">
        <f>IFERROR(__xludf.DUMMYFUNCTION("""COMPUTED_VALUE"""),6149657.0)</f>
        <v>6149657</v>
      </c>
    </row>
    <row r="4278">
      <c r="A4278" t="str">
        <f t="shared" si="1"/>
        <v>dnk#2038</v>
      </c>
      <c r="B4278" t="str">
        <f>IFERROR(__xludf.DUMMYFUNCTION("""COMPUTED_VALUE"""),"dnk")</f>
        <v>dnk</v>
      </c>
      <c r="C4278" t="str">
        <f>IFERROR(__xludf.DUMMYFUNCTION("""COMPUTED_VALUE"""),"Denmark")</f>
        <v>Denmark</v>
      </c>
      <c r="D4278">
        <f>IFERROR(__xludf.DUMMYFUNCTION("""COMPUTED_VALUE"""),2038.0)</f>
        <v>2038</v>
      </c>
      <c r="E4278">
        <f>IFERROR(__xludf.DUMMYFUNCTION("""COMPUTED_VALUE"""),6164478.0)</f>
        <v>6164478</v>
      </c>
    </row>
    <row r="4279">
      <c r="A4279" t="str">
        <f t="shared" si="1"/>
        <v>dnk#2039</v>
      </c>
      <c r="B4279" t="str">
        <f>IFERROR(__xludf.DUMMYFUNCTION("""COMPUTED_VALUE"""),"dnk")</f>
        <v>dnk</v>
      </c>
      <c r="C4279" t="str">
        <f>IFERROR(__xludf.DUMMYFUNCTION("""COMPUTED_VALUE"""),"Denmark")</f>
        <v>Denmark</v>
      </c>
      <c r="D4279">
        <f>IFERROR(__xludf.DUMMYFUNCTION("""COMPUTED_VALUE"""),2039.0)</f>
        <v>2039</v>
      </c>
      <c r="E4279">
        <f>IFERROR(__xludf.DUMMYFUNCTION("""COMPUTED_VALUE"""),6178666.0)</f>
        <v>6178666</v>
      </c>
    </row>
    <row r="4280">
      <c r="A4280" t="str">
        <f t="shared" si="1"/>
        <v>dnk#2040</v>
      </c>
      <c r="B4280" t="str">
        <f>IFERROR(__xludf.DUMMYFUNCTION("""COMPUTED_VALUE"""),"dnk")</f>
        <v>dnk</v>
      </c>
      <c r="C4280" t="str">
        <f>IFERROR(__xludf.DUMMYFUNCTION("""COMPUTED_VALUE"""),"Denmark")</f>
        <v>Denmark</v>
      </c>
      <c r="D4280">
        <f>IFERROR(__xludf.DUMMYFUNCTION("""COMPUTED_VALUE"""),2040.0)</f>
        <v>2040</v>
      </c>
      <c r="E4280">
        <f>IFERROR(__xludf.DUMMYFUNCTION("""COMPUTED_VALUE"""),6192283.0)</f>
        <v>6192283</v>
      </c>
    </row>
    <row r="4281">
      <c r="A4281" t="str">
        <f t="shared" si="1"/>
        <v>dji#1950</v>
      </c>
      <c r="B4281" t="str">
        <f>IFERROR(__xludf.DUMMYFUNCTION("""COMPUTED_VALUE"""),"dji")</f>
        <v>dji</v>
      </c>
      <c r="C4281" t="str">
        <f>IFERROR(__xludf.DUMMYFUNCTION("""COMPUTED_VALUE"""),"Djibouti")</f>
        <v>Djibouti</v>
      </c>
      <c r="D4281">
        <f>IFERROR(__xludf.DUMMYFUNCTION("""COMPUTED_VALUE"""),1950.0)</f>
        <v>1950</v>
      </c>
      <c r="E4281">
        <f>IFERROR(__xludf.DUMMYFUNCTION("""COMPUTED_VALUE"""),62001.0)</f>
        <v>62001</v>
      </c>
    </row>
    <row r="4282">
      <c r="A4282" t="str">
        <f t="shared" si="1"/>
        <v>dji#1951</v>
      </c>
      <c r="B4282" t="str">
        <f>IFERROR(__xludf.DUMMYFUNCTION("""COMPUTED_VALUE"""),"dji")</f>
        <v>dji</v>
      </c>
      <c r="C4282" t="str">
        <f>IFERROR(__xludf.DUMMYFUNCTION("""COMPUTED_VALUE"""),"Djibouti")</f>
        <v>Djibouti</v>
      </c>
      <c r="D4282">
        <f>IFERROR(__xludf.DUMMYFUNCTION("""COMPUTED_VALUE"""),1951.0)</f>
        <v>1951</v>
      </c>
      <c r="E4282">
        <f>IFERROR(__xludf.DUMMYFUNCTION("""COMPUTED_VALUE"""),63306.0)</f>
        <v>63306</v>
      </c>
    </row>
    <row r="4283">
      <c r="A4283" t="str">
        <f t="shared" si="1"/>
        <v>dji#1952</v>
      </c>
      <c r="B4283" t="str">
        <f>IFERROR(__xludf.DUMMYFUNCTION("""COMPUTED_VALUE"""),"dji")</f>
        <v>dji</v>
      </c>
      <c r="C4283" t="str">
        <f>IFERROR(__xludf.DUMMYFUNCTION("""COMPUTED_VALUE"""),"Djibouti")</f>
        <v>Djibouti</v>
      </c>
      <c r="D4283">
        <f>IFERROR(__xludf.DUMMYFUNCTION("""COMPUTED_VALUE"""),1952.0)</f>
        <v>1952</v>
      </c>
      <c r="E4283">
        <f>IFERROR(__xludf.DUMMYFUNCTION("""COMPUTED_VALUE"""),64750.0)</f>
        <v>64750</v>
      </c>
    </row>
    <row r="4284">
      <c r="A4284" t="str">
        <f t="shared" si="1"/>
        <v>dji#1953</v>
      </c>
      <c r="B4284" t="str">
        <f>IFERROR(__xludf.DUMMYFUNCTION("""COMPUTED_VALUE"""),"dji")</f>
        <v>dji</v>
      </c>
      <c r="C4284" t="str">
        <f>IFERROR(__xludf.DUMMYFUNCTION("""COMPUTED_VALUE"""),"Djibouti")</f>
        <v>Djibouti</v>
      </c>
      <c r="D4284">
        <f>IFERROR(__xludf.DUMMYFUNCTION("""COMPUTED_VALUE"""),1953.0)</f>
        <v>1953</v>
      </c>
      <c r="E4284">
        <f>IFERROR(__xludf.DUMMYFUNCTION("""COMPUTED_VALUE"""),66269.0)</f>
        <v>66269</v>
      </c>
    </row>
    <row r="4285">
      <c r="A4285" t="str">
        <f t="shared" si="1"/>
        <v>dji#1954</v>
      </c>
      <c r="B4285" t="str">
        <f>IFERROR(__xludf.DUMMYFUNCTION("""COMPUTED_VALUE"""),"dji")</f>
        <v>dji</v>
      </c>
      <c r="C4285" t="str">
        <f>IFERROR(__xludf.DUMMYFUNCTION("""COMPUTED_VALUE"""),"Djibouti")</f>
        <v>Djibouti</v>
      </c>
      <c r="D4285">
        <f>IFERROR(__xludf.DUMMYFUNCTION("""COMPUTED_VALUE"""),1954.0)</f>
        <v>1954</v>
      </c>
      <c r="E4285">
        <f>IFERROR(__xludf.DUMMYFUNCTION("""COMPUTED_VALUE"""),67872.0)</f>
        <v>67872</v>
      </c>
    </row>
    <row r="4286">
      <c r="A4286" t="str">
        <f t="shared" si="1"/>
        <v>dji#1955</v>
      </c>
      <c r="B4286" t="str">
        <f>IFERROR(__xludf.DUMMYFUNCTION("""COMPUTED_VALUE"""),"dji")</f>
        <v>dji</v>
      </c>
      <c r="C4286" t="str">
        <f>IFERROR(__xludf.DUMMYFUNCTION("""COMPUTED_VALUE"""),"Djibouti")</f>
        <v>Djibouti</v>
      </c>
      <c r="D4286">
        <f>IFERROR(__xludf.DUMMYFUNCTION("""COMPUTED_VALUE"""),1955.0)</f>
        <v>1955</v>
      </c>
      <c r="E4286">
        <f>IFERROR(__xludf.DUMMYFUNCTION("""COMPUTED_VALUE"""),69589.0)</f>
        <v>69589</v>
      </c>
    </row>
    <row r="4287">
      <c r="A4287" t="str">
        <f t="shared" si="1"/>
        <v>dji#1956</v>
      </c>
      <c r="B4287" t="str">
        <f>IFERROR(__xludf.DUMMYFUNCTION("""COMPUTED_VALUE"""),"dji")</f>
        <v>dji</v>
      </c>
      <c r="C4287" t="str">
        <f>IFERROR(__xludf.DUMMYFUNCTION("""COMPUTED_VALUE"""),"Djibouti")</f>
        <v>Djibouti</v>
      </c>
      <c r="D4287">
        <f>IFERROR(__xludf.DUMMYFUNCTION("""COMPUTED_VALUE"""),1956.0)</f>
        <v>1956</v>
      </c>
      <c r="E4287">
        <f>IFERROR(__xludf.DUMMYFUNCTION("""COMPUTED_VALUE"""),71497.0)</f>
        <v>71497</v>
      </c>
    </row>
    <row r="4288">
      <c r="A4288" t="str">
        <f t="shared" si="1"/>
        <v>dji#1957</v>
      </c>
      <c r="B4288" t="str">
        <f>IFERROR(__xludf.DUMMYFUNCTION("""COMPUTED_VALUE"""),"dji")</f>
        <v>dji</v>
      </c>
      <c r="C4288" t="str">
        <f>IFERROR(__xludf.DUMMYFUNCTION("""COMPUTED_VALUE"""),"Djibouti")</f>
        <v>Djibouti</v>
      </c>
      <c r="D4288">
        <f>IFERROR(__xludf.DUMMYFUNCTION("""COMPUTED_VALUE"""),1957.0)</f>
        <v>1957</v>
      </c>
      <c r="E4288">
        <f>IFERROR(__xludf.DUMMYFUNCTION("""COMPUTED_VALUE"""),73702.0)</f>
        <v>73702</v>
      </c>
    </row>
    <row r="4289">
      <c r="A4289" t="str">
        <f t="shared" si="1"/>
        <v>dji#1958</v>
      </c>
      <c r="B4289" t="str">
        <f>IFERROR(__xludf.DUMMYFUNCTION("""COMPUTED_VALUE"""),"dji")</f>
        <v>dji</v>
      </c>
      <c r="C4289" t="str">
        <f>IFERROR(__xludf.DUMMYFUNCTION("""COMPUTED_VALUE"""),"Djibouti")</f>
        <v>Djibouti</v>
      </c>
      <c r="D4289">
        <f>IFERROR(__xludf.DUMMYFUNCTION("""COMPUTED_VALUE"""),1958.0)</f>
        <v>1958</v>
      </c>
      <c r="E4289">
        <f>IFERROR(__xludf.DUMMYFUNCTION("""COMPUTED_VALUE"""),76353.0)</f>
        <v>76353</v>
      </c>
    </row>
    <row r="4290">
      <c r="A4290" t="str">
        <f t="shared" si="1"/>
        <v>dji#1959</v>
      </c>
      <c r="B4290" t="str">
        <f>IFERROR(__xludf.DUMMYFUNCTION("""COMPUTED_VALUE"""),"dji")</f>
        <v>dji</v>
      </c>
      <c r="C4290" t="str">
        <f>IFERROR(__xludf.DUMMYFUNCTION("""COMPUTED_VALUE"""),"Djibouti")</f>
        <v>Djibouti</v>
      </c>
      <c r="D4290">
        <f>IFERROR(__xludf.DUMMYFUNCTION("""COMPUTED_VALUE"""),1959.0)</f>
        <v>1959</v>
      </c>
      <c r="E4290">
        <f>IFERROR(__xludf.DUMMYFUNCTION("""COMPUTED_VALUE"""),79612.0)</f>
        <v>79612</v>
      </c>
    </row>
    <row r="4291">
      <c r="A4291" t="str">
        <f t="shared" si="1"/>
        <v>dji#1960</v>
      </c>
      <c r="B4291" t="str">
        <f>IFERROR(__xludf.DUMMYFUNCTION("""COMPUTED_VALUE"""),"dji")</f>
        <v>dji</v>
      </c>
      <c r="C4291" t="str">
        <f>IFERROR(__xludf.DUMMYFUNCTION("""COMPUTED_VALUE"""),"Djibouti")</f>
        <v>Djibouti</v>
      </c>
      <c r="D4291">
        <f>IFERROR(__xludf.DUMMYFUNCTION("""COMPUTED_VALUE"""),1960.0)</f>
        <v>1960</v>
      </c>
      <c r="E4291">
        <f>IFERROR(__xludf.DUMMYFUNCTION("""COMPUTED_VALUE"""),83636.0)</f>
        <v>83636</v>
      </c>
    </row>
    <row r="4292">
      <c r="A4292" t="str">
        <f t="shared" si="1"/>
        <v>dji#1961</v>
      </c>
      <c r="B4292" t="str">
        <f>IFERROR(__xludf.DUMMYFUNCTION("""COMPUTED_VALUE"""),"dji")</f>
        <v>dji</v>
      </c>
      <c r="C4292" t="str">
        <f>IFERROR(__xludf.DUMMYFUNCTION("""COMPUTED_VALUE"""),"Djibouti")</f>
        <v>Djibouti</v>
      </c>
      <c r="D4292">
        <f>IFERROR(__xludf.DUMMYFUNCTION("""COMPUTED_VALUE"""),1961.0)</f>
        <v>1961</v>
      </c>
      <c r="E4292">
        <f>IFERROR(__xludf.DUMMYFUNCTION("""COMPUTED_VALUE"""),88498.0)</f>
        <v>88498</v>
      </c>
    </row>
    <row r="4293">
      <c r="A4293" t="str">
        <f t="shared" si="1"/>
        <v>dji#1962</v>
      </c>
      <c r="B4293" t="str">
        <f>IFERROR(__xludf.DUMMYFUNCTION("""COMPUTED_VALUE"""),"dji")</f>
        <v>dji</v>
      </c>
      <c r="C4293" t="str">
        <f>IFERROR(__xludf.DUMMYFUNCTION("""COMPUTED_VALUE"""),"Djibouti")</f>
        <v>Djibouti</v>
      </c>
      <c r="D4293">
        <f>IFERROR(__xludf.DUMMYFUNCTION("""COMPUTED_VALUE"""),1962.0)</f>
        <v>1962</v>
      </c>
      <c r="E4293">
        <f>IFERROR(__xludf.DUMMYFUNCTION("""COMPUTED_VALUE"""),94204.0)</f>
        <v>94204</v>
      </c>
    </row>
    <row r="4294">
      <c r="A4294" t="str">
        <f t="shared" si="1"/>
        <v>dji#1963</v>
      </c>
      <c r="B4294" t="str">
        <f>IFERROR(__xludf.DUMMYFUNCTION("""COMPUTED_VALUE"""),"dji")</f>
        <v>dji</v>
      </c>
      <c r="C4294" t="str">
        <f>IFERROR(__xludf.DUMMYFUNCTION("""COMPUTED_VALUE"""),"Djibouti")</f>
        <v>Djibouti</v>
      </c>
      <c r="D4294">
        <f>IFERROR(__xludf.DUMMYFUNCTION("""COMPUTED_VALUE"""),1963.0)</f>
        <v>1963</v>
      </c>
      <c r="E4294">
        <f>IFERROR(__xludf.DUMMYFUNCTION("""COMPUTED_VALUE"""),100628.0)</f>
        <v>100628</v>
      </c>
    </row>
    <row r="4295">
      <c r="A4295" t="str">
        <f t="shared" si="1"/>
        <v>dji#1964</v>
      </c>
      <c r="B4295" t="str">
        <f>IFERROR(__xludf.DUMMYFUNCTION("""COMPUTED_VALUE"""),"dji")</f>
        <v>dji</v>
      </c>
      <c r="C4295" t="str">
        <f>IFERROR(__xludf.DUMMYFUNCTION("""COMPUTED_VALUE"""),"Djibouti")</f>
        <v>Djibouti</v>
      </c>
      <c r="D4295">
        <f>IFERROR(__xludf.DUMMYFUNCTION("""COMPUTED_VALUE"""),1964.0)</f>
        <v>1964</v>
      </c>
      <c r="E4295">
        <f>IFERROR(__xludf.DUMMYFUNCTION("""COMPUTED_VALUE"""),107583.0)</f>
        <v>107583</v>
      </c>
    </row>
    <row r="4296">
      <c r="A4296" t="str">
        <f t="shared" si="1"/>
        <v>dji#1965</v>
      </c>
      <c r="B4296" t="str">
        <f>IFERROR(__xludf.DUMMYFUNCTION("""COMPUTED_VALUE"""),"dji")</f>
        <v>dji</v>
      </c>
      <c r="C4296" t="str">
        <f>IFERROR(__xludf.DUMMYFUNCTION("""COMPUTED_VALUE"""),"Djibouti")</f>
        <v>Djibouti</v>
      </c>
      <c r="D4296">
        <f>IFERROR(__xludf.DUMMYFUNCTION("""COMPUTED_VALUE"""),1965.0)</f>
        <v>1965</v>
      </c>
      <c r="E4296">
        <f>IFERROR(__xludf.DUMMYFUNCTION("""COMPUTED_VALUE"""),114963.0)</f>
        <v>114963</v>
      </c>
    </row>
    <row r="4297">
      <c r="A4297" t="str">
        <f t="shared" si="1"/>
        <v>dji#1966</v>
      </c>
      <c r="B4297" t="str">
        <f>IFERROR(__xludf.DUMMYFUNCTION("""COMPUTED_VALUE"""),"dji")</f>
        <v>dji</v>
      </c>
      <c r="C4297" t="str">
        <f>IFERROR(__xludf.DUMMYFUNCTION("""COMPUTED_VALUE"""),"Djibouti")</f>
        <v>Djibouti</v>
      </c>
      <c r="D4297">
        <f>IFERROR(__xludf.DUMMYFUNCTION("""COMPUTED_VALUE"""),1966.0)</f>
        <v>1966</v>
      </c>
      <c r="E4297">
        <f>IFERROR(__xludf.DUMMYFUNCTION("""COMPUTED_VALUE"""),122866.0)</f>
        <v>122866</v>
      </c>
    </row>
    <row r="4298">
      <c r="A4298" t="str">
        <f t="shared" si="1"/>
        <v>dji#1967</v>
      </c>
      <c r="B4298" t="str">
        <f>IFERROR(__xludf.DUMMYFUNCTION("""COMPUTED_VALUE"""),"dji")</f>
        <v>dji</v>
      </c>
      <c r="C4298" t="str">
        <f>IFERROR(__xludf.DUMMYFUNCTION("""COMPUTED_VALUE"""),"Djibouti")</f>
        <v>Djibouti</v>
      </c>
      <c r="D4298">
        <f>IFERROR(__xludf.DUMMYFUNCTION("""COMPUTED_VALUE"""),1967.0)</f>
        <v>1967</v>
      </c>
      <c r="E4298">
        <f>IFERROR(__xludf.DUMMYFUNCTION("""COMPUTED_VALUE"""),131397.0)</f>
        <v>131397</v>
      </c>
    </row>
    <row r="4299">
      <c r="A4299" t="str">
        <f t="shared" si="1"/>
        <v>dji#1968</v>
      </c>
      <c r="B4299" t="str">
        <f>IFERROR(__xludf.DUMMYFUNCTION("""COMPUTED_VALUE"""),"dji")</f>
        <v>dji</v>
      </c>
      <c r="C4299" t="str">
        <f>IFERROR(__xludf.DUMMYFUNCTION("""COMPUTED_VALUE"""),"Djibouti")</f>
        <v>Djibouti</v>
      </c>
      <c r="D4299">
        <f>IFERROR(__xludf.DUMMYFUNCTION("""COMPUTED_VALUE"""),1968.0)</f>
        <v>1968</v>
      </c>
      <c r="E4299">
        <f>IFERROR(__xludf.DUMMYFUNCTION("""COMPUTED_VALUE"""),140462.0)</f>
        <v>140462</v>
      </c>
    </row>
    <row r="4300">
      <c r="A4300" t="str">
        <f t="shared" si="1"/>
        <v>dji#1969</v>
      </c>
      <c r="B4300" t="str">
        <f>IFERROR(__xludf.DUMMYFUNCTION("""COMPUTED_VALUE"""),"dji")</f>
        <v>dji</v>
      </c>
      <c r="C4300" t="str">
        <f>IFERROR(__xludf.DUMMYFUNCTION("""COMPUTED_VALUE"""),"Djibouti")</f>
        <v>Djibouti</v>
      </c>
      <c r="D4300">
        <f>IFERROR(__xludf.DUMMYFUNCTION("""COMPUTED_VALUE"""),1969.0)</f>
        <v>1969</v>
      </c>
      <c r="E4300">
        <f>IFERROR(__xludf.DUMMYFUNCTION("""COMPUTED_VALUE"""),149887.0)</f>
        <v>149887</v>
      </c>
    </row>
    <row r="4301">
      <c r="A4301" t="str">
        <f t="shared" si="1"/>
        <v>dji#1970</v>
      </c>
      <c r="B4301" t="str">
        <f>IFERROR(__xludf.DUMMYFUNCTION("""COMPUTED_VALUE"""),"dji")</f>
        <v>dji</v>
      </c>
      <c r="C4301" t="str">
        <f>IFERROR(__xludf.DUMMYFUNCTION("""COMPUTED_VALUE"""),"Djibouti")</f>
        <v>Djibouti</v>
      </c>
      <c r="D4301">
        <f>IFERROR(__xludf.DUMMYFUNCTION("""COMPUTED_VALUE"""),1970.0)</f>
        <v>1970</v>
      </c>
      <c r="E4301">
        <f>IFERROR(__xludf.DUMMYFUNCTION("""COMPUTED_VALUE"""),159659.0)</f>
        <v>159659</v>
      </c>
    </row>
    <row r="4302">
      <c r="A4302" t="str">
        <f t="shared" si="1"/>
        <v>dji#1971</v>
      </c>
      <c r="B4302" t="str">
        <f>IFERROR(__xludf.DUMMYFUNCTION("""COMPUTED_VALUE"""),"dji")</f>
        <v>dji</v>
      </c>
      <c r="C4302" t="str">
        <f>IFERROR(__xludf.DUMMYFUNCTION("""COMPUTED_VALUE"""),"Djibouti")</f>
        <v>Djibouti</v>
      </c>
      <c r="D4302">
        <f>IFERROR(__xludf.DUMMYFUNCTION("""COMPUTED_VALUE"""),1971.0)</f>
        <v>1971</v>
      </c>
      <c r="E4302">
        <f>IFERROR(__xludf.DUMMYFUNCTION("""COMPUTED_VALUE"""),169372.0)</f>
        <v>169372</v>
      </c>
    </row>
    <row r="4303">
      <c r="A4303" t="str">
        <f t="shared" si="1"/>
        <v>dji#1972</v>
      </c>
      <c r="B4303" t="str">
        <f>IFERROR(__xludf.DUMMYFUNCTION("""COMPUTED_VALUE"""),"dji")</f>
        <v>dji</v>
      </c>
      <c r="C4303" t="str">
        <f>IFERROR(__xludf.DUMMYFUNCTION("""COMPUTED_VALUE"""),"Djibouti")</f>
        <v>Djibouti</v>
      </c>
      <c r="D4303">
        <f>IFERROR(__xludf.DUMMYFUNCTION("""COMPUTED_VALUE"""),1972.0)</f>
        <v>1972</v>
      </c>
      <c r="E4303">
        <f>IFERROR(__xludf.DUMMYFUNCTION("""COMPUTED_VALUE"""),179224.0)</f>
        <v>179224</v>
      </c>
    </row>
    <row r="4304">
      <c r="A4304" t="str">
        <f t="shared" si="1"/>
        <v>dji#1973</v>
      </c>
      <c r="B4304" t="str">
        <f>IFERROR(__xludf.DUMMYFUNCTION("""COMPUTED_VALUE"""),"dji")</f>
        <v>dji</v>
      </c>
      <c r="C4304" t="str">
        <f>IFERROR(__xludf.DUMMYFUNCTION("""COMPUTED_VALUE"""),"Djibouti")</f>
        <v>Djibouti</v>
      </c>
      <c r="D4304">
        <f>IFERROR(__xludf.DUMMYFUNCTION("""COMPUTED_VALUE"""),1973.0)</f>
        <v>1973</v>
      </c>
      <c r="E4304">
        <f>IFERROR(__xludf.DUMMYFUNCTION("""COMPUTED_VALUE"""),190568.0)</f>
        <v>190568</v>
      </c>
    </row>
    <row r="4305">
      <c r="A4305" t="str">
        <f t="shared" si="1"/>
        <v>dji#1974</v>
      </c>
      <c r="B4305" t="str">
        <f>IFERROR(__xludf.DUMMYFUNCTION("""COMPUTED_VALUE"""),"dji")</f>
        <v>dji</v>
      </c>
      <c r="C4305" t="str">
        <f>IFERROR(__xludf.DUMMYFUNCTION("""COMPUTED_VALUE"""),"Djibouti")</f>
        <v>Djibouti</v>
      </c>
      <c r="D4305">
        <f>IFERROR(__xludf.DUMMYFUNCTION("""COMPUTED_VALUE"""),1974.0)</f>
        <v>1974</v>
      </c>
      <c r="E4305">
        <f>IFERROR(__xludf.DUMMYFUNCTION("""COMPUTED_VALUE"""),205181.0)</f>
        <v>205181</v>
      </c>
    </row>
    <row r="4306">
      <c r="A4306" t="str">
        <f t="shared" si="1"/>
        <v>dji#1975</v>
      </c>
      <c r="B4306" t="str">
        <f>IFERROR(__xludf.DUMMYFUNCTION("""COMPUTED_VALUE"""),"dji")</f>
        <v>dji</v>
      </c>
      <c r="C4306" t="str">
        <f>IFERROR(__xludf.DUMMYFUNCTION("""COMPUTED_VALUE"""),"Djibouti")</f>
        <v>Djibouti</v>
      </c>
      <c r="D4306">
        <f>IFERROR(__xludf.DUMMYFUNCTION("""COMPUTED_VALUE"""),1975.0)</f>
        <v>1975</v>
      </c>
      <c r="E4306">
        <f>IFERROR(__xludf.DUMMYFUNCTION("""COMPUTED_VALUE"""),224183.0)</f>
        <v>224183</v>
      </c>
    </row>
    <row r="4307">
      <c r="A4307" t="str">
        <f t="shared" si="1"/>
        <v>dji#1976</v>
      </c>
      <c r="B4307" t="str">
        <f>IFERROR(__xludf.DUMMYFUNCTION("""COMPUTED_VALUE"""),"dji")</f>
        <v>dji</v>
      </c>
      <c r="C4307" t="str">
        <f>IFERROR(__xludf.DUMMYFUNCTION("""COMPUTED_VALUE"""),"Djibouti")</f>
        <v>Djibouti</v>
      </c>
      <c r="D4307">
        <f>IFERROR(__xludf.DUMMYFUNCTION("""COMPUTED_VALUE"""),1976.0)</f>
        <v>1976</v>
      </c>
      <c r="E4307">
        <f>IFERROR(__xludf.DUMMYFUNCTION("""COMPUTED_VALUE"""),248556.0)</f>
        <v>248556</v>
      </c>
    </row>
    <row r="4308">
      <c r="A4308" t="str">
        <f t="shared" si="1"/>
        <v>dji#1977</v>
      </c>
      <c r="B4308" t="str">
        <f>IFERROR(__xludf.DUMMYFUNCTION("""COMPUTED_VALUE"""),"dji")</f>
        <v>dji</v>
      </c>
      <c r="C4308" t="str">
        <f>IFERROR(__xludf.DUMMYFUNCTION("""COMPUTED_VALUE"""),"Djibouti")</f>
        <v>Djibouti</v>
      </c>
      <c r="D4308">
        <f>IFERROR(__xludf.DUMMYFUNCTION("""COMPUTED_VALUE"""),1977.0)</f>
        <v>1977</v>
      </c>
      <c r="E4308">
        <f>IFERROR(__xludf.DUMMYFUNCTION("""COMPUTED_VALUE"""),277479.0)</f>
        <v>277479</v>
      </c>
    </row>
    <row r="4309">
      <c r="A4309" t="str">
        <f t="shared" si="1"/>
        <v>dji#1978</v>
      </c>
      <c r="B4309" t="str">
        <f>IFERROR(__xludf.DUMMYFUNCTION("""COMPUTED_VALUE"""),"dji")</f>
        <v>dji</v>
      </c>
      <c r="C4309" t="str">
        <f>IFERROR(__xludf.DUMMYFUNCTION("""COMPUTED_VALUE"""),"Djibouti")</f>
        <v>Djibouti</v>
      </c>
      <c r="D4309">
        <f>IFERROR(__xludf.DUMMYFUNCTION("""COMPUTED_VALUE"""),1978.0)</f>
        <v>1978</v>
      </c>
      <c r="E4309">
        <f>IFERROR(__xludf.DUMMYFUNCTION("""COMPUTED_VALUE"""),308008.0)</f>
        <v>308008</v>
      </c>
    </row>
    <row r="4310">
      <c r="A4310" t="str">
        <f t="shared" si="1"/>
        <v>dji#1979</v>
      </c>
      <c r="B4310" t="str">
        <f>IFERROR(__xludf.DUMMYFUNCTION("""COMPUTED_VALUE"""),"dji")</f>
        <v>dji</v>
      </c>
      <c r="C4310" t="str">
        <f>IFERROR(__xludf.DUMMYFUNCTION("""COMPUTED_VALUE"""),"Djibouti")</f>
        <v>Djibouti</v>
      </c>
      <c r="D4310">
        <f>IFERROR(__xludf.DUMMYFUNCTION("""COMPUTED_VALUE"""),1979.0)</f>
        <v>1979</v>
      </c>
      <c r="E4310">
        <f>IFERROR(__xludf.DUMMYFUNCTION("""COMPUTED_VALUE"""),336085.0)</f>
        <v>336085</v>
      </c>
    </row>
    <row r="4311">
      <c r="A4311" t="str">
        <f t="shared" si="1"/>
        <v>dji#1980</v>
      </c>
      <c r="B4311" t="str">
        <f>IFERROR(__xludf.DUMMYFUNCTION("""COMPUTED_VALUE"""),"dji")</f>
        <v>dji</v>
      </c>
      <c r="C4311" t="str">
        <f>IFERROR(__xludf.DUMMYFUNCTION("""COMPUTED_VALUE"""),"Djibouti")</f>
        <v>Djibouti</v>
      </c>
      <c r="D4311">
        <f>IFERROR(__xludf.DUMMYFUNCTION("""COMPUTED_VALUE"""),1980.0)</f>
        <v>1980</v>
      </c>
      <c r="E4311">
        <f>IFERROR(__xludf.DUMMYFUNCTION("""COMPUTED_VALUE"""),358960.0)</f>
        <v>358960</v>
      </c>
    </row>
    <row r="4312">
      <c r="A4312" t="str">
        <f t="shared" si="1"/>
        <v>dji#1981</v>
      </c>
      <c r="B4312" t="str">
        <f>IFERROR(__xludf.DUMMYFUNCTION("""COMPUTED_VALUE"""),"dji")</f>
        <v>dji</v>
      </c>
      <c r="C4312" t="str">
        <f>IFERROR(__xludf.DUMMYFUNCTION("""COMPUTED_VALUE"""),"Djibouti")</f>
        <v>Djibouti</v>
      </c>
      <c r="D4312">
        <f>IFERROR(__xludf.DUMMYFUNCTION("""COMPUTED_VALUE"""),1981.0)</f>
        <v>1981</v>
      </c>
      <c r="E4312">
        <f>IFERROR(__xludf.DUMMYFUNCTION("""COMPUTED_VALUE"""),374937.0)</f>
        <v>374937</v>
      </c>
    </row>
    <row r="4313">
      <c r="A4313" t="str">
        <f t="shared" si="1"/>
        <v>dji#1982</v>
      </c>
      <c r="B4313" t="str">
        <f>IFERROR(__xludf.DUMMYFUNCTION("""COMPUTED_VALUE"""),"dji")</f>
        <v>dji</v>
      </c>
      <c r="C4313" t="str">
        <f>IFERROR(__xludf.DUMMYFUNCTION("""COMPUTED_VALUE"""),"Djibouti")</f>
        <v>Djibouti</v>
      </c>
      <c r="D4313">
        <f>IFERROR(__xludf.DUMMYFUNCTION("""COMPUTED_VALUE"""),1982.0)</f>
        <v>1982</v>
      </c>
      <c r="E4313">
        <f>IFERROR(__xludf.DUMMYFUNCTION("""COMPUTED_VALUE"""),385271.0)</f>
        <v>385271</v>
      </c>
    </row>
    <row r="4314">
      <c r="A4314" t="str">
        <f t="shared" si="1"/>
        <v>dji#1983</v>
      </c>
      <c r="B4314" t="str">
        <f>IFERROR(__xludf.DUMMYFUNCTION("""COMPUTED_VALUE"""),"dji")</f>
        <v>dji</v>
      </c>
      <c r="C4314" t="str">
        <f>IFERROR(__xludf.DUMMYFUNCTION("""COMPUTED_VALUE"""),"Djibouti")</f>
        <v>Djibouti</v>
      </c>
      <c r="D4314">
        <f>IFERROR(__xludf.DUMMYFUNCTION("""COMPUTED_VALUE"""),1983.0)</f>
        <v>1983</v>
      </c>
      <c r="E4314">
        <f>IFERROR(__xludf.DUMMYFUNCTION("""COMPUTED_VALUE"""),393802.0)</f>
        <v>393802</v>
      </c>
    </row>
    <row r="4315">
      <c r="A4315" t="str">
        <f t="shared" si="1"/>
        <v>dji#1984</v>
      </c>
      <c r="B4315" t="str">
        <f>IFERROR(__xludf.DUMMYFUNCTION("""COMPUTED_VALUE"""),"dji")</f>
        <v>dji</v>
      </c>
      <c r="C4315" t="str">
        <f>IFERROR(__xludf.DUMMYFUNCTION("""COMPUTED_VALUE"""),"Djibouti")</f>
        <v>Djibouti</v>
      </c>
      <c r="D4315">
        <f>IFERROR(__xludf.DUMMYFUNCTION("""COMPUTED_VALUE"""),1984.0)</f>
        <v>1984</v>
      </c>
      <c r="E4315">
        <f>IFERROR(__xludf.DUMMYFUNCTION("""COMPUTED_VALUE"""),406017.0)</f>
        <v>406017</v>
      </c>
    </row>
    <row r="4316">
      <c r="A4316" t="str">
        <f t="shared" si="1"/>
        <v>dji#1985</v>
      </c>
      <c r="B4316" t="str">
        <f>IFERROR(__xludf.DUMMYFUNCTION("""COMPUTED_VALUE"""),"dji")</f>
        <v>dji</v>
      </c>
      <c r="C4316" t="str">
        <f>IFERROR(__xludf.DUMMYFUNCTION("""COMPUTED_VALUE"""),"Djibouti")</f>
        <v>Djibouti</v>
      </c>
      <c r="D4316">
        <f>IFERROR(__xludf.DUMMYFUNCTION("""COMPUTED_VALUE"""),1985.0)</f>
        <v>1985</v>
      </c>
      <c r="E4316">
        <f>IFERROR(__xludf.DUMMYFUNCTION("""COMPUTED_VALUE"""),425613.0)</f>
        <v>425613</v>
      </c>
    </row>
    <row r="4317">
      <c r="A4317" t="str">
        <f t="shared" si="1"/>
        <v>dji#1986</v>
      </c>
      <c r="B4317" t="str">
        <f>IFERROR(__xludf.DUMMYFUNCTION("""COMPUTED_VALUE"""),"dji")</f>
        <v>dji</v>
      </c>
      <c r="C4317" t="str">
        <f>IFERROR(__xludf.DUMMYFUNCTION("""COMPUTED_VALUE"""),"Djibouti")</f>
        <v>Djibouti</v>
      </c>
      <c r="D4317">
        <f>IFERROR(__xludf.DUMMYFUNCTION("""COMPUTED_VALUE"""),1986.0)</f>
        <v>1986</v>
      </c>
      <c r="E4317">
        <f>IFERROR(__xludf.DUMMYFUNCTION("""COMPUTED_VALUE"""),454361.0)</f>
        <v>454361</v>
      </c>
    </row>
    <row r="4318">
      <c r="A4318" t="str">
        <f t="shared" si="1"/>
        <v>dji#1987</v>
      </c>
      <c r="B4318" t="str">
        <f>IFERROR(__xludf.DUMMYFUNCTION("""COMPUTED_VALUE"""),"dji")</f>
        <v>dji</v>
      </c>
      <c r="C4318" t="str">
        <f>IFERROR(__xludf.DUMMYFUNCTION("""COMPUTED_VALUE"""),"Djibouti")</f>
        <v>Djibouti</v>
      </c>
      <c r="D4318">
        <f>IFERROR(__xludf.DUMMYFUNCTION("""COMPUTED_VALUE"""),1987.0)</f>
        <v>1987</v>
      </c>
      <c r="E4318">
        <f>IFERROR(__xludf.DUMMYFUNCTION("""COMPUTED_VALUE"""),490330.0)</f>
        <v>490330</v>
      </c>
    </row>
    <row r="4319">
      <c r="A4319" t="str">
        <f t="shared" si="1"/>
        <v>dji#1988</v>
      </c>
      <c r="B4319" t="str">
        <f>IFERROR(__xludf.DUMMYFUNCTION("""COMPUTED_VALUE"""),"dji")</f>
        <v>dji</v>
      </c>
      <c r="C4319" t="str">
        <f>IFERROR(__xludf.DUMMYFUNCTION("""COMPUTED_VALUE"""),"Djibouti")</f>
        <v>Djibouti</v>
      </c>
      <c r="D4319">
        <f>IFERROR(__xludf.DUMMYFUNCTION("""COMPUTED_VALUE"""),1988.0)</f>
        <v>1988</v>
      </c>
      <c r="E4319">
        <f>IFERROR(__xludf.DUMMYFUNCTION("""COMPUTED_VALUE"""),528999.0)</f>
        <v>528999</v>
      </c>
    </row>
    <row r="4320">
      <c r="A4320" t="str">
        <f t="shared" si="1"/>
        <v>dji#1989</v>
      </c>
      <c r="B4320" t="str">
        <f>IFERROR(__xludf.DUMMYFUNCTION("""COMPUTED_VALUE"""),"dji")</f>
        <v>dji</v>
      </c>
      <c r="C4320" t="str">
        <f>IFERROR(__xludf.DUMMYFUNCTION("""COMPUTED_VALUE"""),"Djibouti")</f>
        <v>Djibouti</v>
      </c>
      <c r="D4320">
        <f>IFERROR(__xludf.DUMMYFUNCTION("""COMPUTED_VALUE"""),1989.0)</f>
        <v>1989</v>
      </c>
      <c r="E4320">
        <f>IFERROR(__xludf.DUMMYFUNCTION("""COMPUTED_VALUE"""),563864.0)</f>
        <v>563864</v>
      </c>
    </row>
    <row r="4321">
      <c r="A4321" t="str">
        <f t="shared" si="1"/>
        <v>dji#1990</v>
      </c>
      <c r="B4321" t="str">
        <f>IFERROR(__xludf.DUMMYFUNCTION("""COMPUTED_VALUE"""),"dji")</f>
        <v>dji</v>
      </c>
      <c r="C4321" t="str">
        <f>IFERROR(__xludf.DUMMYFUNCTION("""COMPUTED_VALUE"""),"Djibouti")</f>
        <v>Djibouti</v>
      </c>
      <c r="D4321">
        <f>IFERROR(__xludf.DUMMYFUNCTION("""COMPUTED_VALUE"""),1990.0)</f>
        <v>1990</v>
      </c>
      <c r="E4321">
        <f>IFERROR(__xludf.DUMMYFUNCTION("""COMPUTED_VALUE"""),590398.0)</f>
        <v>590398</v>
      </c>
    </row>
    <row r="4322">
      <c r="A4322" t="str">
        <f t="shared" si="1"/>
        <v>dji#1991</v>
      </c>
      <c r="B4322" t="str">
        <f>IFERROR(__xludf.DUMMYFUNCTION("""COMPUTED_VALUE"""),"dji")</f>
        <v>dji</v>
      </c>
      <c r="C4322" t="str">
        <f>IFERROR(__xludf.DUMMYFUNCTION("""COMPUTED_VALUE"""),"Djibouti")</f>
        <v>Djibouti</v>
      </c>
      <c r="D4322">
        <f>IFERROR(__xludf.DUMMYFUNCTION("""COMPUTED_VALUE"""),1991.0)</f>
        <v>1991</v>
      </c>
      <c r="E4322">
        <f>IFERROR(__xludf.DUMMYFUNCTION("""COMPUTED_VALUE"""),606844.0)</f>
        <v>606844</v>
      </c>
    </row>
    <row r="4323">
      <c r="A4323" t="str">
        <f t="shared" si="1"/>
        <v>dji#1992</v>
      </c>
      <c r="B4323" t="str">
        <f>IFERROR(__xludf.DUMMYFUNCTION("""COMPUTED_VALUE"""),"dji")</f>
        <v>dji</v>
      </c>
      <c r="C4323" t="str">
        <f>IFERROR(__xludf.DUMMYFUNCTION("""COMPUTED_VALUE"""),"Djibouti")</f>
        <v>Djibouti</v>
      </c>
      <c r="D4323">
        <f>IFERROR(__xludf.DUMMYFUNCTION("""COMPUTED_VALUE"""),1992.0)</f>
        <v>1992</v>
      </c>
      <c r="E4323">
        <f>IFERROR(__xludf.DUMMYFUNCTION("""COMPUTED_VALUE"""),615054.0)</f>
        <v>615054</v>
      </c>
    </row>
    <row r="4324">
      <c r="A4324" t="str">
        <f t="shared" si="1"/>
        <v>dji#1993</v>
      </c>
      <c r="B4324" t="str">
        <f>IFERROR(__xludf.DUMMYFUNCTION("""COMPUTED_VALUE"""),"dji")</f>
        <v>dji</v>
      </c>
      <c r="C4324" t="str">
        <f>IFERROR(__xludf.DUMMYFUNCTION("""COMPUTED_VALUE"""),"Djibouti")</f>
        <v>Djibouti</v>
      </c>
      <c r="D4324">
        <f>IFERROR(__xludf.DUMMYFUNCTION("""COMPUTED_VALUE"""),1993.0)</f>
        <v>1993</v>
      </c>
      <c r="E4324">
        <f>IFERROR(__xludf.DUMMYFUNCTION("""COMPUTED_VALUE"""),618495.0)</f>
        <v>618495</v>
      </c>
    </row>
    <row r="4325">
      <c r="A4325" t="str">
        <f t="shared" si="1"/>
        <v>dji#1994</v>
      </c>
      <c r="B4325" t="str">
        <f>IFERROR(__xludf.DUMMYFUNCTION("""COMPUTED_VALUE"""),"dji")</f>
        <v>dji</v>
      </c>
      <c r="C4325" t="str">
        <f>IFERROR(__xludf.DUMMYFUNCTION("""COMPUTED_VALUE"""),"Djibouti")</f>
        <v>Djibouti</v>
      </c>
      <c r="D4325">
        <f>IFERROR(__xludf.DUMMYFUNCTION("""COMPUTED_VALUE"""),1994.0)</f>
        <v>1994</v>
      </c>
      <c r="E4325">
        <f>IFERROR(__xludf.DUMMYFUNCTION("""COMPUTED_VALUE"""),622366.0)</f>
        <v>622366</v>
      </c>
    </row>
    <row r="4326">
      <c r="A4326" t="str">
        <f t="shared" si="1"/>
        <v>dji#1995</v>
      </c>
      <c r="B4326" t="str">
        <f>IFERROR(__xludf.DUMMYFUNCTION("""COMPUTED_VALUE"""),"dji")</f>
        <v>dji</v>
      </c>
      <c r="C4326" t="str">
        <f>IFERROR(__xludf.DUMMYFUNCTION("""COMPUTED_VALUE"""),"Djibouti")</f>
        <v>Djibouti</v>
      </c>
      <c r="D4326">
        <f>IFERROR(__xludf.DUMMYFUNCTION("""COMPUTED_VALUE"""),1995.0)</f>
        <v>1995</v>
      </c>
      <c r="E4326">
        <f>IFERROR(__xludf.DUMMYFUNCTION("""COMPUTED_VALUE"""),630388.0)</f>
        <v>630388</v>
      </c>
    </row>
    <row r="4327">
      <c r="A4327" t="str">
        <f t="shared" si="1"/>
        <v>dji#1996</v>
      </c>
      <c r="B4327" t="str">
        <f>IFERROR(__xludf.DUMMYFUNCTION("""COMPUTED_VALUE"""),"dji")</f>
        <v>dji</v>
      </c>
      <c r="C4327" t="str">
        <f>IFERROR(__xludf.DUMMYFUNCTION("""COMPUTED_VALUE"""),"Djibouti")</f>
        <v>Djibouti</v>
      </c>
      <c r="D4327">
        <f>IFERROR(__xludf.DUMMYFUNCTION("""COMPUTED_VALUE"""),1996.0)</f>
        <v>1996</v>
      </c>
      <c r="E4327">
        <f>IFERROR(__xludf.DUMMYFUNCTION("""COMPUTED_VALUE"""),643682.0)</f>
        <v>643682</v>
      </c>
    </row>
    <row r="4328">
      <c r="A4328" t="str">
        <f t="shared" si="1"/>
        <v>dji#1997</v>
      </c>
      <c r="B4328" t="str">
        <f>IFERROR(__xludf.DUMMYFUNCTION("""COMPUTED_VALUE"""),"dji")</f>
        <v>dji</v>
      </c>
      <c r="C4328" t="str">
        <f>IFERROR(__xludf.DUMMYFUNCTION("""COMPUTED_VALUE"""),"Djibouti")</f>
        <v>Djibouti</v>
      </c>
      <c r="D4328">
        <f>IFERROR(__xludf.DUMMYFUNCTION("""COMPUTED_VALUE"""),1997.0)</f>
        <v>1997</v>
      </c>
      <c r="E4328">
        <f>IFERROR(__xludf.DUMMYFUNCTION("""COMPUTED_VALUE"""),660953.0)</f>
        <v>660953</v>
      </c>
    </row>
    <row r="4329">
      <c r="A4329" t="str">
        <f t="shared" si="1"/>
        <v>dji#1998</v>
      </c>
      <c r="B4329" t="str">
        <f>IFERROR(__xludf.DUMMYFUNCTION("""COMPUTED_VALUE"""),"dji")</f>
        <v>dji</v>
      </c>
      <c r="C4329" t="str">
        <f>IFERROR(__xludf.DUMMYFUNCTION("""COMPUTED_VALUE"""),"Djibouti")</f>
        <v>Djibouti</v>
      </c>
      <c r="D4329">
        <f>IFERROR(__xludf.DUMMYFUNCTION("""COMPUTED_VALUE"""),1998.0)</f>
        <v>1998</v>
      </c>
      <c r="E4329">
        <f>IFERROR(__xludf.DUMMYFUNCTION("""COMPUTED_VALUE"""),680612.0)</f>
        <v>680612</v>
      </c>
    </row>
    <row r="4330">
      <c r="A4330" t="str">
        <f t="shared" si="1"/>
        <v>dji#1999</v>
      </c>
      <c r="B4330" t="str">
        <f>IFERROR(__xludf.DUMMYFUNCTION("""COMPUTED_VALUE"""),"dji")</f>
        <v>dji</v>
      </c>
      <c r="C4330" t="str">
        <f>IFERROR(__xludf.DUMMYFUNCTION("""COMPUTED_VALUE"""),"Djibouti")</f>
        <v>Djibouti</v>
      </c>
      <c r="D4330">
        <f>IFERROR(__xludf.DUMMYFUNCTION("""COMPUTED_VALUE"""),1999.0)</f>
        <v>1999</v>
      </c>
      <c r="E4330">
        <f>IFERROR(__xludf.DUMMYFUNCTION("""COMPUTED_VALUE"""),700099.0)</f>
        <v>700099</v>
      </c>
    </row>
    <row r="4331">
      <c r="A4331" t="str">
        <f t="shared" si="1"/>
        <v>dji#2000</v>
      </c>
      <c r="B4331" t="str">
        <f>IFERROR(__xludf.DUMMYFUNCTION("""COMPUTED_VALUE"""),"dji")</f>
        <v>dji</v>
      </c>
      <c r="C4331" t="str">
        <f>IFERROR(__xludf.DUMMYFUNCTION("""COMPUTED_VALUE"""),"Djibouti")</f>
        <v>Djibouti</v>
      </c>
      <c r="D4331">
        <f>IFERROR(__xludf.DUMMYFUNCTION("""COMPUTED_VALUE"""),2000.0)</f>
        <v>2000</v>
      </c>
      <c r="E4331">
        <f>IFERROR(__xludf.DUMMYFUNCTION("""COMPUTED_VALUE"""),717584.0)</f>
        <v>717584</v>
      </c>
    </row>
    <row r="4332">
      <c r="A4332" t="str">
        <f t="shared" si="1"/>
        <v>dji#2001</v>
      </c>
      <c r="B4332" t="str">
        <f>IFERROR(__xludf.DUMMYFUNCTION("""COMPUTED_VALUE"""),"dji")</f>
        <v>dji</v>
      </c>
      <c r="C4332" t="str">
        <f>IFERROR(__xludf.DUMMYFUNCTION("""COMPUTED_VALUE"""),"Djibouti")</f>
        <v>Djibouti</v>
      </c>
      <c r="D4332">
        <f>IFERROR(__xludf.DUMMYFUNCTION("""COMPUTED_VALUE"""),2001.0)</f>
        <v>2001</v>
      </c>
      <c r="E4332">
        <f>IFERROR(__xludf.DUMMYFUNCTION("""COMPUTED_VALUE"""),732711.0)</f>
        <v>732711</v>
      </c>
    </row>
    <row r="4333">
      <c r="A4333" t="str">
        <f t="shared" si="1"/>
        <v>dji#2002</v>
      </c>
      <c r="B4333" t="str">
        <f>IFERROR(__xludf.DUMMYFUNCTION("""COMPUTED_VALUE"""),"dji")</f>
        <v>dji</v>
      </c>
      <c r="C4333" t="str">
        <f>IFERROR(__xludf.DUMMYFUNCTION("""COMPUTED_VALUE"""),"Djibouti")</f>
        <v>Djibouti</v>
      </c>
      <c r="D4333">
        <f>IFERROR(__xludf.DUMMYFUNCTION("""COMPUTED_VALUE"""),2002.0)</f>
        <v>2002</v>
      </c>
      <c r="E4333">
        <f>IFERROR(__xludf.DUMMYFUNCTION("""COMPUTED_VALUE"""),746221.0)</f>
        <v>746221</v>
      </c>
    </row>
    <row r="4334">
      <c r="A4334" t="str">
        <f t="shared" si="1"/>
        <v>dji#2003</v>
      </c>
      <c r="B4334" t="str">
        <f>IFERROR(__xludf.DUMMYFUNCTION("""COMPUTED_VALUE"""),"dji")</f>
        <v>dji</v>
      </c>
      <c r="C4334" t="str">
        <f>IFERROR(__xludf.DUMMYFUNCTION("""COMPUTED_VALUE"""),"Djibouti")</f>
        <v>Djibouti</v>
      </c>
      <c r="D4334">
        <f>IFERROR(__xludf.DUMMYFUNCTION("""COMPUTED_VALUE"""),2003.0)</f>
        <v>2003</v>
      </c>
      <c r="E4334">
        <f>IFERROR(__xludf.DUMMYFUNCTION("""COMPUTED_VALUE"""),758615.0)</f>
        <v>758615</v>
      </c>
    </row>
    <row r="4335">
      <c r="A4335" t="str">
        <f t="shared" si="1"/>
        <v>dji#2004</v>
      </c>
      <c r="B4335" t="str">
        <f>IFERROR(__xludf.DUMMYFUNCTION("""COMPUTED_VALUE"""),"dji")</f>
        <v>dji</v>
      </c>
      <c r="C4335" t="str">
        <f>IFERROR(__xludf.DUMMYFUNCTION("""COMPUTED_VALUE"""),"Djibouti")</f>
        <v>Djibouti</v>
      </c>
      <c r="D4335">
        <f>IFERROR(__xludf.DUMMYFUNCTION("""COMPUTED_VALUE"""),2004.0)</f>
        <v>2004</v>
      </c>
      <c r="E4335">
        <f>IFERROR(__xludf.DUMMYFUNCTION("""COMPUTED_VALUE"""),770752.0)</f>
        <v>770752</v>
      </c>
    </row>
    <row r="4336">
      <c r="A4336" t="str">
        <f t="shared" si="1"/>
        <v>dji#2005</v>
      </c>
      <c r="B4336" t="str">
        <f>IFERROR(__xludf.DUMMYFUNCTION("""COMPUTED_VALUE"""),"dji")</f>
        <v>dji</v>
      </c>
      <c r="C4336" t="str">
        <f>IFERROR(__xludf.DUMMYFUNCTION("""COMPUTED_VALUE"""),"Djibouti")</f>
        <v>Djibouti</v>
      </c>
      <c r="D4336">
        <f>IFERROR(__xludf.DUMMYFUNCTION("""COMPUTED_VALUE"""),2005.0)</f>
        <v>2005</v>
      </c>
      <c r="E4336">
        <f>IFERROR(__xludf.DUMMYFUNCTION("""COMPUTED_VALUE"""),783254.0)</f>
        <v>783254</v>
      </c>
    </row>
    <row r="4337">
      <c r="A4337" t="str">
        <f t="shared" si="1"/>
        <v>dji#2006</v>
      </c>
      <c r="B4337" t="str">
        <f>IFERROR(__xludf.DUMMYFUNCTION("""COMPUTED_VALUE"""),"dji")</f>
        <v>dji</v>
      </c>
      <c r="C4337" t="str">
        <f>IFERROR(__xludf.DUMMYFUNCTION("""COMPUTED_VALUE"""),"Djibouti")</f>
        <v>Djibouti</v>
      </c>
      <c r="D4337">
        <f>IFERROR(__xludf.DUMMYFUNCTION("""COMPUTED_VALUE"""),2006.0)</f>
        <v>2006</v>
      </c>
      <c r="E4337">
        <f>IFERROR(__xludf.DUMMYFUNCTION("""COMPUTED_VALUE"""),796208.0)</f>
        <v>796208</v>
      </c>
    </row>
    <row r="4338">
      <c r="A4338" t="str">
        <f t="shared" si="1"/>
        <v>dji#2007</v>
      </c>
      <c r="B4338" t="str">
        <f>IFERROR(__xludf.DUMMYFUNCTION("""COMPUTED_VALUE"""),"dji")</f>
        <v>dji</v>
      </c>
      <c r="C4338" t="str">
        <f>IFERROR(__xludf.DUMMYFUNCTION("""COMPUTED_VALUE"""),"Djibouti")</f>
        <v>Djibouti</v>
      </c>
      <c r="D4338">
        <f>IFERROR(__xludf.DUMMYFUNCTION("""COMPUTED_VALUE"""),2007.0)</f>
        <v>2007</v>
      </c>
      <c r="E4338">
        <f>IFERROR(__xludf.DUMMYFUNCTION("""COMPUTED_VALUE"""),809402.0)</f>
        <v>809402</v>
      </c>
    </row>
    <row r="4339">
      <c r="A4339" t="str">
        <f t="shared" si="1"/>
        <v>dji#2008</v>
      </c>
      <c r="B4339" t="str">
        <f>IFERROR(__xludf.DUMMYFUNCTION("""COMPUTED_VALUE"""),"dji")</f>
        <v>dji</v>
      </c>
      <c r="C4339" t="str">
        <f>IFERROR(__xludf.DUMMYFUNCTION("""COMPUTED_VALUE"""),"Djibouti")</f>
        <v>Djibouti</v>
      </c>
      <c r="D4339">
        <f>IFERROR(__xludf.DUMMYFUNCTION("""COMPUTED_VALUE"""),2008.0)</f>
        <v>2008</v>
      </c>
      <c r="E4339">
        <f>IFERROR(__xludf.DUMMYFUNCTION("""COMPUTED_VALUE"""),822934.0)</f>
        <v>822934</v>
      </c>
    </row>
    <row r="4340">
      <c r="A4340" t="str">
        <f t="shared" si="1"/>
        <v>dji#2009</v>
      </c>
      <c r="B4340" t="str">
        <f>IFERROR(__xludf.DUMMYFUNCTION("""COMPUTED_VALUE"""),"dji")</f>
        <v>dji</v>
      </c>
      <c r="C4340" t="str">
        <f>IFERROR(__xludf.DUMMYFUNCTION("""COMPUTED_VALUE"""),"Djibouti")</f>
        <v>Djibouti</v>
      </c>
      <c r="D4340">
        <f>IFERROR(__xludf.DUMMYFUNCTION("""COMPUTED_VALUE"""),2009.0)</f>
        <v>2009</v>
      </c>
      <c r="E4340">
        <f>IFERROR(__xludf.DUMMYFUNCTION("""COMPUTED_VALUE"""),836840.0)</f>
        <v>836840</v>
      </c>
    </row>
    <row r="4341">
      <c r="A4341" t="str">
        <f t="shared" si="1"/>
        <v>dji#2010</v>
      </c>
      <c r="B4341" t="str">
        <f>IFERROR(__xludf.DUMMYFUNCTION("""COMPUTED_VALUE"""),"dji")</f>
        <v>dji</v>
      </c>
      <c r="C4341" t="str">
        <f>IFERROR(__xludf.DUMMYFUNCTION("""COMPUTED_VALUE"""),"Djibouti")</f>
        <v>Djibouti</v>
      </c>
      <c r="D4341">
        <f>IFERROR(__xludf.DUMMYFUNCTION("""COMPUTED_VALUE"""),2010.0)</f>
        <v>2010</v>
      </c>
      <c r="E4341">
        <f>IFERROR(__xludf.DUMMYFUNCTION("""COMPUTED_VALUE"""),851146.0)</f>
        <v>851146</v>
      </c>
    </row>
    <row r="4342">
      <c r="A4342" t="str">
        <f t="shared" si="1"/>
        <v>dji#2011</v>
      </c>
      <c r="B4342" t="str">
        <f>IFERROR(__xludf.DUMMYFUNCTION("""COMPUTED_VALUE"""),"dji")</f>
        <v>dji</v>
      </c>
      <c r="C4342" t="str">
        <f>IFERROR(__xludf.DUMMYFUNCTION("""COMPUTED_VALUE"""),"Djibouti")</f>
        <v>Djibouti</v>
      </c>
      <c r="D4342">
        <f>IFERROR(__xludf.DUMMYFUNCTION("""COMPUTED_VALUE"""),2011.0)</f>
        <v>2011</v>
      </c>
      <c r="E4342">
        <f>IFERROR(__xludf.DUMMYFUNCTION("""COMPUTED_VALUE"""),865937.0)</f>
        <v>865937</v>
      </c>
    </row>
    <row r="4343">
      <c r="A4343" t="str">
        <f t="shared" si="1"/>
        <v>dji#2012</v>
      </c>
      <c r="B4343" t="str">
        <f>IFERROR(__xludf.DUMMYFUNCTION("""COMPUTED_VALUE"""),"dji")</f>
        <v>dji</v>
      </c>
      <c r="C4343" t="str">
        <f>IFERROR(__xludf.DUMMYFUNCTION("""COMPUTED_VALUE"""),"Djibouti")</f>
        <v>Djibouti</v>
      </c>
      <c r="D4343">
        <f>IFERROR(__xludf.DUMMYFUNCTION("""COMPUTED_VALUE"""),2012.0)</f>
        <v>2012</v>
      </c>
      <c r="E4343">
        <f>IFERROR(__xludf.DUMMYFUNCTION("""COMPUTED_VALUE"""),881185.0)</f>
        <v>881185</v>
      </c>
    </row>
    <row r="4344">
      <c r="A4344" t="str">
        <f t="shared" si="1"/>
        <v>dji#2013</v>
      </c>
      <c r="B4344" t="str">
        <f>IFERROR(__xludf.DUMMYFUNCTION("""COMPUTED_VALUE"""),"dji")</f>
        <v>dji</v>
      </c>
      <c r="C4344" t="str">
        <f>IFERROR(__xludf.DUMMYFUNCTION("""COMPUTED_VALUE"""),"Djibouti")</f>
        <v>Djibouti</v>
      </c>
      <c r="D4344">
        <f>IFERROR(__xludf.DUMMYFUNCTION("""COMPUTED_VALUE"""),2013.0)</f>
        <v>2013</v>
      </c>
      <c r="E4344">
        <f>IFERROR(__xludf.DUMMYFUNCTION("""COMPUTED_VALUE"""),896688.0)</f>
        <v>896688</v>
      </c>
    </row>
    <row r="4345">
      <c r="A4345" t="str">
        <f t="shared" si="1"/>
        <v>dji#2014</v>
      </c>
      <c r="B4345" t="str">
        <f>IFERROR(__xludf.DUMMYFUNCTION("""COMPUTED_VALUE"""),"dji")</f>
        <v>dji</v>
      </c>
      <c r="C4345" t="str">
        <f>IFERROR(__xludf.DUMMYFUNCTION("""COMPUTED_VALUE"""),"Djibouti")</f>
        <v>Djibouti</v>
      </c>
      <c r="D4345">
        <f>IFERROR(__xludf.DUMMYFUNCTION("""COMPUTED_VALUE"""),2014.0)</f>
        <v>2014</v>
      </c>
      <c r="E4345">
        <f>IFERROR(__xludf.DUMMYFUNCTION("""COMPUTED_VALUE"""),912164.0)</f>
        <v>912164</v>
      </c>
    </row>
    <row r="4346">
      <c r="A4346" t="str">
        <f t="shared" si="1"/>
        <v>dji#2015</v>
      </c>
      <c r="B4346" t="str">
        <f>IFERROR(__xludf.DUMMYFUNCTION("""COMPUTED_VALUE"""),"dji")</f>
        <v>dji</v>
      </c>
      <c r="C4346" t="str">
        <f>IFERROR(__xludf.DUMMYFUNCTION("""COMPUTED_VALUE"""),"Djibouti")</f>
        <v>Djibouti</v>
      </c>
      <c r="D4346">
        <f>IFERROR(__xludf.DUMMYFUNCTION("""COMPUTED_VALUE"""),2015.0)</f>
        <v>2015</v>
      </c>
      <c r="E4346">
        <f>IFERROR(__xludf.DUMMYFUNCTION("""COMPUTED_VALUE"""),927414.0)</f>
        <v>927414</v>
      </c>
    </row>
    <row r="4347">
      <c r="A4347" t="str">
        <f t="shared" si="1"/>
        <v>dji#2016</v>
      </c>
      <c r="B4347" t="str">
        <f>IFERROR(__xludf.DUMMYFUNCTION("""COMPUTED_VALUE"""),"dji")</f>
        <v>dji</v>
      </c>
      <c r="C4347" t="str">
        <f>IFERROR(__xludf.DUMMYFUNCTION("""COMPUTED_VALUE"""),"Djibouti")</f>
        <v>Djibouti</v>
      </c>
      <c r="D4347">
        <f>IFERROR(__xludf.DUMMYFUNCTION("""COMPUTED_VALUE"""),2016.0)</f>
        <v>2016</v>
      </c>
      <c r="E4347">
        <f>IFERROR(__xludf.DUMMYFUNCTION("""COMPUTED_VALUE"""),942333.0)</f>
        <v>942333</v>
      </c>
    </row>
    <row r="4348">
      <c r="A4348" t="str">
        <f t="shared" si="1"/>
        <v>dji#2017</v>
      </c>
      <c r="B4348" t="str">
        <f>IFERROR(__xludf.DUMMYFUNCTION("""COMPUTED_VALUE"""),"dji")</f>
        <v>dji</v>
      </c>
      <c r="C4348" t="str">
        <f>IFERROR(__xludf.DUMMYFUNCTION("""COMPUTED_VALUE"""),"Djibouti")</f>
        <v>Djibouti</v>
      </c>
      <c r="D4348">
        <f>IFERROR(__xludf.DUMMYFUNCTION("""COMPUTED_VALUE"""),2017.0)</f>
        <v>2017</v>
      </c>
      <c r="E4348">
        <f>IFERROR(__xludf.DUMMYFUNCTION("""COMPUTED_VALUE"""),956985.0)</f>
        <v>956985</v>
      </c>
    </row>
    <row r="4349">
      <c r="A4349" t="str">
        <f t="shared" si="1"/>
        <v>dji#2018</v>
      </c>
      <c r="B4349" t="str">
        <f>IFERROR(__xludf.DUMMYFUNCTION("""COMPUTED_VALUE"""),"dji")</f>
        <v>dji</v>
      </c>
      <c r="C4349" t="str">
        <f>IFERROR(__xludf.DUMMYFUNCTION("""COMPUTED_VALUE"""),"Djibouti")</f>
        <v>Djibouti</v>
      </c>
      <c r="D4349">
        <f>IFERROR(__xludf.DUMMYFUNCTION("""COMPUTED_VALUE"""),2018.0)</f>
        <v>2018</v>
      </c>
      <c r="E4349">
        <f>IFERROR(__xludf.DUMMYFUNCTION("""COMPUTED_VALUE"""),971408.0)</f>
        <v>971408</v>
      </c>
    </row>
    <row r="4350">
      <c r="A4350" t="str">
        <f t="shared" si="1"/>
        <v>dji#2019</v>
      </c>
      <c r="B4350" t="str">
        <f>IFERROR(__xludf.DUMMYFUNCTION("""COMPUTED_VALUE"""),"dji")</f>
        <v>dji</v>
      </c>
      <c r="C4350" t="str">
        <f>IFERROR(__xludf.DUMMYFUNCTION("""COMPUTED_VALUE"""),"Djibouti")</f>
        <v>Djibouti</v>
      </c>
      <c r="D4350">
        <f>IFERROR(__xludf.DUMMYFUNCTION("""COMPUTED_VALUE"""),2019.0)</f>
        <v>2019</v>
      </c>
      <c r="E4350">
        <f>IFERROR(__xludf.DUMMYFUNCTION("""COMPUTED_VALUE"""),985690.0)</f>
        <v>985690</v>
      </c>
    </row>
    <row r="4351">
      <c r="A4351" t="str">
        <f t="shared" si="1"/>
        <v>dji#2020</v>
      </c>
      <c r="B4351" t="str">
        <f>IFERROR(__xludf.DUMMYFUNCTION("""COMPUTED_VALUE"""),"dji")</f>
        <v>dji</v>
      </c>
      <c r="C4351" t="str">
        <f>IFERROR(__xludf.DUMMYFUNCTION("""COMPUTED_VALUE"""),"Djibouti")</f>
        <v>Djibouti</v>
      </c>
      <c r="D4351">
        <f>IFERROR(__xludf.DUMMYFUNCTION("""COMPUTED_VALUE"""),2020.0)</f>
        <v>2020</v>
      </c>
      <c r="E4351">
        <f>IFERROR(__xludf.DUMMYFUNCTION("""COMPUTED_VALUE"""),999899.0)</f>
        <v>999899</v>
      </c>
    </row>
    <row r="4352">
      <c r="A4352" t="str">
        <f t="shared" si="1"/>
        <v>dji#2021</v>
      </c>
      <c r="B4352" t="str">
        <f>IFERROR(__xludf.DUMMYFUNCTION("""COMPUTED_VALUE"""),"dji")</f>
        <v>dji</v>
      </c>
      <c r="C4352" t="str">
        <f>IFERROR(__xludf.DUMMYFUNCTION("""COMPUTED_VALUE"""),"Djibouti")</f>
        <v>Djibouti</v>
      </c>
      <c r="D4352">
        <f>IFERROR(__xludf.DUMMYFUNCTION("""COMPUTED_VALUE"""),2021.0)</f>
        <v>2021</v>
      </c>
      <c r="E4352">
        <f>IFERROR(__xludf.DUMMYFUNCTION("""COMPUTED_VALUE"""),1014025.0)</f>
        <v>1014025</v>
      </c>
    </row>
    <row r="4353">
      <c r="A4353" t="str">
        <f t="shared" si="1"/>
        <v>dji#2022</v>
      </c>
      <c r="B4353" t="str">
        <f>IFERROR(__xludf.DUMMYFUNCTION("""COMPUTED_VALUE"""),"dji")</f>
        <v>dji</v>
      </c>
      <c r="C4353" t="str">
        <f>IFERROR(__xludf.DUMMYFUNCTION("""COMPUTED_VALUE"""),"Djibouti")</f>
        <v>Djibouti</v>
      </c>
      <c r="D4353">
        <f>IFERROR(__xludf.DUMMYFUNCTION("""COMPUTED_VALUE"""),2022.0)</f>
        <v>2022</v>
      </c>
      <c r="E4353">
        <f>IFERROR(__xludf.DUMMYFUNCTION("""COMPUTED_VALUE"""),1028031.0)</f>
        <v>1028031</v>
      </c>
    </row>
    <row r="4354">
      <c r="A4354" t="str">
        <f t="shared" si="1"/>
        <v>dji#2023</v>
      </c>
      <c r="B4354" t="str">
        <f>IFERROR(__xludf.DUMMYFUNCTION("""COMPUTED_VALUE"""),"dji")</f>
        <v>dji</v>
      </c>
      <c r="C4354" t="str">
        <f>IFERROR(__xludf.DUMMYFUNCTION("""COMPUTED_VALUE"""),"Djibouti")</f>
        <v>Djibouti</v>
      </c>
      <c r="D4354">
        <f>IFERROR(__xludf.DUMMYFUNCTION("""COMPUTED_VALUE"""),2023.0)</f>
        <v>2023</v>
      </c>
      <c r="E4354">
        <f>IFERROR(__xludf.DUMMYFUNCTION("""COMPUTED_VALUE"""),1041880.0)</f>
        <v>1041880</v>
      </c>
    </row>
    <row r="4355">
      <c r="A4355" t="str">
        <f t="shared" si="1"/>
        <v>dji#2024</v>
      </c>
      <c r="B4355" t="str">
        <f>IFERROR(__xludf.DUMMYFUNCTION("""COMPUTED_VALUE"""),"dji")</f>
        <v>dji</v>
      </c>
      <c r="C4355" t="str">
        <f>IFERROR(__xludf.DUMMYFUNCTION("""COMPUTED_VALUE"""),"Djibouti")</f>
        <v>Djibouti</v>
      </c>
      <c r="D4355">
        <f>IFERROR(__xludf.DUMMYFUNCTION("""COMPUTED_VALUE"""),2024.0)</f>
        <v>2024</v>
      </c>
      <c r="E4355">
        <f>IFERROR(__xludf.DUMMYFUNCTION("""COMPUTED_VALUE"""),1055552.0)</f>
        <v>1055552</v>
      </c>
    </row>
    <row r="4356">
      <c r="A4356" t="str">
        <f t="shared" si="1"/>
        <v>dji#2025</v>
      </c>
      <c r="B4356" t="str">
        <f>IFERROR(__xludf.DUMMYFUNCTION("""COMPUTED_VALUE"""),"dji")</f>
        <v>dji</v>
      </c>
      <c r="C4356" t="str">
        <f>IFERROR(__xludf.DUMMYFUNCTION("""COMPUTED_VALUE"""),"Djibouti")</f>
        <v>Djibouti</v>
      </c>
      <c r="D4356">
        <f>IFERROR(__xludf.DUMMYFUNCTION("""COMPUTED_VALUE"""),2025.0)</f>
        <v>2025</v>
      </c>
      <c r="E4356">
        <f>IFERROR(__xludf.DUMMYFUNCTION("""COMPUTED_VALUE"""),1069009.0)</f>
        <v>1069009</v>
      </c>
    </row>
    <row r="4357">
      <c r="A4357" t="str">
        <f t="shared" si="1"/>
        <v>dji#2026</v>
      </c>
      <c r="B4357" t="str">
        <f>IFERROR(__xludf.DUMMYFUNCTION("""COMPUTED_VALUE"""),"dji")</f>
        <v>dji</v>
      </c>
      <c r="C4357" t="str">
        <f>IFERROR(__xludf.DUMMYFUNCTION("""COMPUTED_VALUE"""),"Djibouti")</f>
        <v>Djibouti</v>
      </c>
      <c r="D4357">
        <f>IFERROR(__xludf.DUMMYFUNCTION("""COMPUTED_VALUE"""),2026.0)</f>
        <v>2026</v>
      </c>
      <c r="E4357">
        <f>IFERROR(__xludf.DUMMYFUNCTION("""COMPUTED_VALUE"""),1082248.0)</f>
        <v>1082248</v>
      </c>
    </row>
    <row r="4358">
      <c r="A4358" t="str">
        <f t="shared" si="1"/>
        <v>dji#2027</v>
      </c>
      <c r="B4358" t="str">
        <f>IFERROR(__xludf.DUMMYFUNCTION("""COMPUTED_VALUE"""),"dji")</f>
        <v>dji</v>
      </c>
      <c r="C4358" t="str">
        <f>IFERROR(__xludf.DUMMYFUNCTION("""COMPUTED_VALUE"""),"Djibouti")</f>
        <v>Djibouti</v>
      </c>
      <c r="D4358">
        <f>IFERROR(__xludf.DUMMYFUNCTION("""COMPUTED_VALUE"""),2027.0)</f>
        <v>2027</v>
      </c>
      <c r="E4358">
        <f>IFERROR(__xludf.DUMMYFUNCTION("""COMPUTED_VALUE"""),1095262.0)</f>
        <v>1095262</v>
      </c>
    </row>
    <row r="4359">
      <c r="A4359" t="str">
        <f t="shared" si="1"/>
        <v>dji#2028</v>
      </c>
      <c r="B4359" t="str">
        <f>IFERROR(__xludf.DUMMYFUNCTION("""COMPUTED_VALUE"""),"dji")</f>
        <v>dji</v>
      </c>
      <c r="C4359" t="str">
        <f>IFERROR(__xludf.DUMMYFUNCTION("""COMPUTED_VALUE"""),"Djibouti")</f>
        <v>Djibouti</v>
      </c>
      <c r="D4359">
        <f>IFERROR(__xludf.DUMMYFUNCTION("""COMPUTED_VALUE"""),2028.0)</f>
        <v>2028</v>
      </c>
      <c r="E4359">
        <f>IFERROR(__xludf.DUMMYFUNCTION("""COMPUTED_VALUE"""),1108021.0)</f>
        <v>1108021</v>
      </c>
    </row>
    <row r="4360">
      <c r="A4360" t="str">
        <f t="shared" si="1"/>
        <v>dji#2029</v>
      </c>
      <c r="B4360" t="str">
        <f>IFERROR(__xludf.DUMMYFUNCTION("""COMPUTED_VALUE"""),"dji")</f>
        <v>dji</v>
      </c>
      <c r="C4360" t="str">
        <f>IFERROR(__xludf.DUMMYFUNCTION("""COMPUTED_VALUE"""),"Djibouti")</f>
        <v>Djibouti</v>
      </c>
      <c r="D4360">
        <f>IFERROR(__xludf.DUMMYFUNCTION("""COMPUTED_VALUE"""),2029.0)</f>
        <v>2029</v>
      </c>
      <c r="E4360">
        <f>IFERROR(__xludf.DUMMYFUNCTION("""COMPUTED_VALUE"""),1120511.0)</f>
        <v>1120511</v>
      </c>
    </row>
    <row r="4361">
      <c r="A4361" t="str">
        <f t="shared" si="1"/>
        <v>dji#2030</v>
      </c>
      <c r="B4361" t="str">
        <f>IFERROR(__xludf.DUMMYFUNCTION("""COMPUTED_VALUE"""),"dji")</f>
        <v>dji</v>
      </c>
      <c r="C4361" t="str">
        <f>IFERROR(__xludf.DUMMYFUNCTION("""COMPUTED_VALUE"""),"Djibouti")</f>
        <v>Djibouti</v>
      </c>
      <c r="D4361">
        <f>IFERROR(__xludf.DUMMYFUNCTION("""COMPUTED_VALUE"""),2030.0)</f>
        <v>2030</v>
      </c>
      <c r="E4361">
        <f>IFERROR(__xludf.DUMMYFUNCTION("""COMPUTED_VALUE"""),1132710.0)</f>
        <v>1132710</v>
      </c>
    </row>
    <row r="4362">
      <c r="A4362" t="str">
        <f t="shared" si="1"/>
        <v>dji#2031</v>
      </c>
      <c r="B4362" t="str">
        <f>IFERROR(__xludf.DUMMYFUNCTION("""COMPUTED_VALUE"""),"dji")</f>
        <v>dji</v>
      </c>
      <c r="C4362" t="str">
        <f>IFERROR(__xludf.DUMMYFUNCTION("""COMPUTED_VALUE"""),"Djibouti")</f>
        <v>Djibouti</v>
      </c>
      <c r="D4362">
        <f>IFERROR(__xludf.DUMMYFUNCTION("""COMPUTED_VALUE"""),2031.0)</f>
        <v>2031</v>
      </c>
      <c r="E4362">
        <f>IFERROR(__xludf.DUMMYFUNCTION("""COMPUTED_VALUE"""),1144609.0)</f>
        <v>1144609</v>
      </c>
    </row>
    <row r="4363">
      <c r="A4363" t="str">
        <f t="shared" si="1"/>
        <v>dji#2032</v>
      </c>
      <c r="B4363" t="str">
        <f>IFERROR(__xludf.DUMMYFUNCTION("""COMPUTED_VALUE"""),"dji")</f>
        <v>dji</v>
      </c>
      <c r="C4363" t="str">
        <f>IFERROR(__xludf.DUMMYFUNCTION("""COMPUTED_VALUE"""),"Djibouti")</f>
        <v>Djibouti</v>
      </c>
      <c r="D4363">
        <f>IFERROR(__xludf.DUMMYFUNCTION("""COMPUTED_VALUE"""),2032.0)</f>
        <v>2032</v>
      </c>
      <c r="E4363">
        <f>IFERROR(__xludf.DUMMYFUNCTION("""COMPUTED_VALUE"""),1156203.0)</f>
        <v>1156203</v>
      </c>
    </row>
    <row r="4364">
      <c r="A4364" t="str">
        <f t="shared" si="1"/>
        <v>dji#2033</v>
      </c>
      <c r="B4364" t="str">
        <f>IFERROR(__xludf.DUMMYFUNCTION("""COMPUTED_VALUE"""),"dji")</f>
        <v>dji</v>
      </c>
      <c r="C4364" t="str">
        <f>IFERROR(__xludf.DUMMYFUNCTION("""COMPUTED_VALUE"""),"Djibouti")</f>
        <v>Djibouti</v>
      </c>
      <c r="D4364">
        <f>IFERROR(__xludf.DUMMYFUNCTION("""COMPUTED_VALUE"""),2033.0)</f>
        <v>2033</v>
      </c>
      <c r="E4364">
        <f>IFERROR(__xludf.DUMMYFUNCTION("""COMPUTED_VALUE"""),1167462.0)</f>
        <v>1167462</v>
      </c>
    </row>
    <row r="4365">
      <c r="A4365" t="str">
        <f t="shared" si="1"/>
        <v>dji#2034</v>
      </c>
      <c r="B4365" t="str">
        <f>IFERROR(__xludf.DUMMYFUNCTION("""COMPUTED_VALUE"""),"dji")</f>
        <v>dji</v>
      </c>
      <c r="C4365" t="str">
        <f>IFERROR(__xludf.DUMMYFUNCTION("""COMPUTED_VALUE"""),"Djibouti")</f>
        <v>Djibouti</v>
      </c>
      <c r="D4365">
        <f>IFERROR(__xludf.DUMMYFUNCTION("""COMPUTED_VALUE"""),2034.0)</f>
        <v>2034</v>
      </c>
      <c r="E4365">
        <f>IFERROR(__xludf.DUMMYFUNCTION("""COMPUTED_VALUE"""),1178401.0)</f>
        <v>1178401</v>
      </c>
    </row>
    <row r="4366">
      <c r="A4366" t="str">
        <f t="shared" si="1"/>
        <v>dji#2035</v>
      </c>
      <c r="B4366" t="str">
        <f>IFERROR(__xludf.DUMMYFUNCTION("""COMPUTED_VALUE"""),"dji")</f>
        <v>dji</v>
      </c>
      <c r="C4366" t="str">
        <f>IFERROR(__xludf.DUMMYFUNCTION("""COMPUTED_VALUE"""),"Djibouti")</f>
        <v>Djibouti</v>
      </c>
      <c r="D4366">
        <f>IFERROR(__xludf.DUMMYFUNCTION("""COMPUTED_VALUE"""),2035.0)</f>
        <v>2035</v>
      </c>
      <c r="E4366">
        <f>IFERROR(__xludf.DUMMYFUNCTION("""COMPUTED_VALUE"""),1189001.0)</f>
        <v>1189001</v>
      </c>
    </row>
    <row r="4367">
      <c r="A4367" t="str">
        <f t="shared" si="1"/>
        <v>dji#2036</v>
      </c>
      <c r="B4367" t="str">
        <f>IFERROR(__xludf.DUMMYFUNCTION("""COMPUTED_VALUE"""),"dji")</f>
        <v>dji</v>
      </c>
      <c r="C4367" t="str">
        <f>IFERROR(__xludf.DUMMYFUNCTION("""COMPUTED_VALUE"""),"Djibouti")</f>
        <v>Djibouti</v>
      </c>
      <c r="D4367">
        <f>IFERROR(__xludf.DUMMYFUNCTION("""COMPUTED_VALUE"""),2036.0)</f>
        <v>2036</v>
      </c>
      <c r="E4367">
        <f>IFERROR(__xludf.DUMMYFUNCTION("""COMPUTED_VALUE"""),1199256.0)</f>
        <v>1199256</v>
      </c>
    </row>
    <row r="4368">
      <c r="A4368" t="str">
        <f t="shared" si="1"/>
        <v>dji#2037</v>
      </c>
      <c r="B4368" t="str">
        <f>IFERROR(__xludf.DUMMYFUNCTION("""COMPUTED_VALUE"""),"dji")</f>
        <v>dji</v>
      </c>
      <c r="C4368" t="str">
        <f>IFERROR(__xludf.DUMMYFUNCTION("""COMPUTED_VALUE"""),"Djibouti")</f>
        <v>Djibouti</v>
      </c>
      <c r="D4368">
        <f>IFERROR(__xludf.DUMMYFUNCTION("""COMPUTED_VALUE"""),2037.0)</f>
        <v>2037</v>
      </c>
      <c r="E4368">
        <f>IFERROR(__xludf.DUMMYFUNCTION("""COMPUTED_VALUE"""),1209170.0)</f>
        <v>1209170</v>
      </c>
    </row>
    <row r="4369">
      <c r="A4369" t="str">
        <f t="shared" si="1"/>
        <v>dji#2038</v>
      </c>
      <c r="B4369" t="str">
        <f>IFERROR(__xludf.DUMMYFUNCTION("""COMPUTED_VALUE"""),"dji")</f>
        <v>dji</v>
      </c>
      <c r="C4369" t="str">
        <f>IFERROR(__xludf.DUMMYFUNCTION("""COMPUTED_VALUE"""),"Djibouti")</f>
        <v>Djibouti</v>
      </c>
      <c r="D4369">
        <f>IFERROR(__xludf.DUMMYFUNCTION("""COMPUTED_VALUE"""),2038.0)</f>
        <v>2038</v>
      </c>
      <c r="E4369">
        <f>IFERROR(__xludf.DUMMYFUNCTION("""COMPUTED_VALUE"""),1218739.0)</f>
        <v>1218739</v>
      </c>
    </row>
    <row r="4370">
      <c r="A4370" t="str">
        <f t="shared" si="1"/>
        <v>dji#2039</v>
      </c>
      <c r="B4370" t="str">
        <f>IFERROR(__xludf.DUMMYFUNCTION("""COMPUTED_VALUE"""),"dji")</f>
        <v>dji</v>
      </c>
      <c r="C4370" t="str">
        <f>IFERROR(__xludf.DUMMYFUNCTION("""COMPUTED_VALUE"""),"Djibouti")</f>
        <v>Djibouti</v>
      </c>
      <c r="D4370">
        <f>IFERROR(__xludf.DUMMYFUNCTION("""COMPUTED_VALUE"""),2039.0)</f>
        <v>2039</v>
      </c>
      <c r="E4370">
        <f>IFERROR(__xludf.DUMMYFUNCTION("""COMPUTED_VALUE"""),1227967.0)</f>
        <v>1227967</v>
      </c>
    </row>
    <row r="4371">
      <c r="A4371" t="str">
        <f t="shared" si="1"/>
        <v>dji#2040</v>
      </c>
      <c r="B4371" t="str">
        <f>IFERROR(__xludf.DUMMYFUNCTION("""COMPUTED_VALUE"""),"dji")</f>
        <v>dji</v>
      </c>
      <c r="C4371" t="str">
        <f>IFERROR(__xludf.DUMMYFUNCTION("""COMPUTED_VALUE"""),"Djibouti")</f>
        <v>Djibouti</v>
      </c>
      <c r="D4371">
        <f>IFERROR(__xludf.DUMMYFUNCTION("""COMPUTED_VALUE"""),2040.0)</f>
        <v>2040</v>
      </c>
      <c r="E4371">
        <f>IFERROR(__xludf.DUMMYFUNCTION("""COMPUTED_VALUE"""),1236850.0)</f>
        <v>1236850</v>
      </c>
    </row>
    <row r="4372">
      <c r="A4372" t="str">
        <f t="shared" si="1"/>
        <v>dma#1950</v>
      </c>
      <c r="B4372" t="str">
        <f>IFERROR(__xludf.DUMMYFUNCTION("""COMPUTED_VALUE"""),"dma")</f>
        <v>dma</v>
      </c>
      <c r="C4372" t="str">
        <f>IFERROR(__xludf.DUMMYFUNCTION("""COMPUTED_VALUE"""),"Dominica")</f>
        <v>Dominica</v>
      </c>
      <c r="D4372">
        <f>IFERROR(__xludf.DUMMYFUNCTION("""COMPUTED_VALUE"""),1950.0)</f>
        <v>1950</v>
      </c>
      <c r="E4372">
        <f>IFERROR(__xludf.DUMMYFUNCTION("""COMPUTED_VALUE"""),51100.0)</f>
        <v>51100</v>
      </c>
    </row>
    <row r="4373">
      <c r="A4373" t="str">
        <f t="shared" si="1"/>
        <v>dma#1951</v>
      </c>
      <c r="B4373" t="str">
        <f>IFERROR(__xludf.DUMMYFUNCTION("""COMPUTED_VALUE"""),"dma")</f>
        <v>dma</v>
      </c>
      <c r="C4373" t="str">
        <f>IFERROR(__xludf.DUMMYFUNCTION("""COMPUTED_VALUE"""),"Dominica")</f>
        <v>Dominica</v>
      </c>
      <c r="D4373">
        <f>IFERROR(__xludf.DUMMYFUNCTION("""COMPUTED_VALUE"""),1951.0)</f>
        <v>1951</v>
      </c>
      <c r="E4373">
        <f>IFERROR(__xludf.DUMMYFUNCTION("""COMPUTED_VALUE"""),51706.0)</f>
        <v>51706</v>
      </c>
    </row>
    <row r="4374">
      <c r="A4374" t="str">
        <f t="shared" si="1"/>
        <v>dma#1952</v>
      </c>
      <c r="B4374" t="str">
        <f>IFERROR(__xludf.DUMMYFUNCTION("""COMPUTED_VALUE"""),"dma")</f>
        <v>dma</v>
      </c>
      <c r="C4374" t="str">
        <f>IFERROR(__xludf.DUMMYFUNCTION("""COMPUTED_VALUE"""),"Dominica")</f>
        <v>Dominica</v>
      </c>
      <c r="D4374">
        <f>IFERROR(__xludf.DUMMYFUNCTION("""COMPUTED_VALUE"""),1952.0)</f>
        <v>1952</v>
      </c>
      <c r="E4374">
        <f>IFERROR(__xludf.DUMMYFUNCTION("""COMPUTED_VALUE"""),52301.0)</f>
        <v>52301</v>
      </c>
    </row>
    <row r="4375">
      <c r="A4375" t="str">
        <f t="shared" si="1"/>
        <v>dma#1953</v>
      </c>
      <c r="B4375" t="str">
        <f>IFERROR(__xludf.DUMMYFUNCTION("""COMPUTED_VALUE"""),"dma")</f>
        <v>dma</v>
      </c>
      <c r="C4375" t="str">
        <f>IFERROR(__xludf.DUMMYFUNCTION("""COMPUTED_VALUE"""),"Dominica")</f>
        <v>Dominica</v>
      </c>
      <c r="D4375">
        <f>IFERROR(__xludf.DUMMYFUNCTION("""COMPUTED_VALUE"""),1953.0)</f>
        <v>1953</v>
      </c>
      <c r="E4375">
        <f>IFERROR(__xludf.DUMMYFUNCTION("""COMPUTED_VALUE"""),52947.0)</f>
        <v>52947</v>
      </c>
    </row>
    <row r="4376">
      <c r="A4376" t="str">
        <f t="shared" si="1"/>
        <v>dma#1954</v>
      </c>
      <c r="B4376" t="str">
        <f>IFERROR(__xludf.DUMMYFUNCTION("""COMPUTED_VALUE"""),"dma")</f>
        <v>dma</v>
      </c>
      <c r="C4376" t="str">
        <f>IFERROR(__xludf.DUMMYFUNCTION("""COMPUTED_VALUE"""),"Dominica")</f>
        <v>Dominica</v>
      </c>
      <c r="D4376">
        <f>IFERROR(__xludf.DUMMYFUNCTION("""COMPUTED_VALUE"""),1954.0)</f>
        <v>1954</v>
      </c>
      <c r="E4376">
        <f>IFERROR(__xludf.DUMMYFUNCTION("""COMPUTED_VALUE"""),53688.0)</f>
        <v>53688</v>
      </c>
    </row>
    <row r="4377">
      <c r="A4377" t="str">
        <f t="shared" si="1"/>
        <v>dma#1955</v>
      </c>
      <c r="B4377" t="str">
        <f>IFERROR(__xludf.DUMMYFUNCTION("""COMPUTED_VALUE"""),"dma")</f>
        <v>dma</v>
      </c>
      <c r="C4377" t="str">
        <f>IFERROR(__xludf.DUMMYFUNCTION("""COMPUTED_VALUE"""),"Dominica")</f>
        <v>Dominica</v>
      </c>
      <c r="D4377">
        <f>IFERROR(__xludf.DUMMYFUNCTION("""COMPUTED_VALUE"""),1955.0)</f>
        <v>1955</v>
      </c>
      <c r="E4377">
        <f>IFERROR(__xludf.DUMMYFUNCTION("""COMPUTED_VALUE"""),54560.0)</f>
        <v>54560</v>
      </c>
    </row>
    <row r="4378">
      <c r="A4378" t="str">
        <f t="shared" si="1"/>
        <v>dma#1956</v>
      </c>
      <c r="B4378" t="str">
        <f>IFERROR(__xludf.DUMMYFUNCTION("""COMPUTED_VALUE"""),"dma")</f>
        <v>dma</v>
      </c>
      <c r="C4378" t="str">
        <f>IFERROR(__xludf.DUMMYFUNCTION("""COMPUTED_VALUE"""),"Dominica")</f>
        <v>Dominica</v>
      </c>
      <c r="D4378">
        <f>IFERROR(__xludf.DUMMYFUNCTION("""COMPUTED_VALUE"""),1956.0)</f>
        <v>1956</v>
      </c>
      <c r="E4378">
        <f>IFERROR(__xludf.DUMMYFUNCTION("""COMPUTED_VALUE"""),55547.0)</f>
        <v>55547</v>
      </c>
    </row>
    <row r="4379">
      <c r="A4379" t="str">
        <f t="shared" si="1"/>
        <v>dma#1957</v>
      </c>
      <c r="B4379" t="str">
        <f>IFERROR(__xludf.DUMMYFUNCTION("""COMPUTED_VALUE"""),"dma")</f>
        <v>dma</v>
      </c>
      <c r="C4379" t="str">
        <f>IFERROR(__xludf.DUMMYFUNCTION("""COMPUTED_VALUE"""),"Dominica")</f>
        <v>Dominica</v>
      </c>
      <c r="D4379">
        <f>IFERROR(__xludf.DUMMYFUNCTION("""COMPUTED_VALUE"""),1957.0)</f>
        <v>1957</v>
      </c>
      <c r="E4379">
        <f>IFERROR(__xludf.DUMMYFUNCTION("""COMPUTED_VALUE"""),56630.0)</f>
        <v>56630</v>
      </c>
    </row>
    <row r="4380">
      <c r="A4380" t="str">
        <f t="shared" si="1"/>
        <v>dma#1958</v>
      </c>
      <c r="B4380" t="str">
        <f>IFERROR(__xludf.DUMMYFUNCTION("""COMPUTED_VALUE"""),"dma")</f>
        <v>dma</v>
      </c>
      <c r="C4380" t="str">
        <f>IFERROR(__xludf.DUMMYFUNCTION("""COMPUTED_VALUE"""),"Dominica")</f>
        <v>Dominica</v>
      </c>
      <c r="D4380">
        <f>IFERROR(__xludf.DUMMYFUNCTION("""COMPUTED_VALUE"""),1958.0)</f>
        <v>1958</v>
      </c>
      <c r="E4380">
        <f>IFERROR(__xludf.DUMMYFUNCTION("""COMPUTED_VALUE"""),57772.0)</f>
        <v>57772</v>
      </c>
    </row>
    <row r="4381">
      <c r="A4381" t="str">
        <f t="shared" si="1"/>
        <v>dma#1959</v>
      </c>
      <c r="B4381" t="str">
        <f>IFERROR(__xludf.DUMMYFUNCTION("""COMPUTED_VALUE"""),"dma")</f>
        <v>dma</v>
      </c>
      <c r="C4381" t="str">
        <f>IFERROR(__xludf.DUMMYFUNCTION("""COMPUTED_VALUE"""),"Dominica")</f>
        <v>Dominica</v>
      </c>
      <c r="D4381">
        <f>IFERROR(__xludf.DUMMYFUNCTION("""COMPUTED_VALUE"""),1959.0)</f>
        <v>1959</v>
      </c>
      <c r="E4381">
        <f>IFERROR(__xludf.DUMMYFUNCTION("""COMPUTED_VALUE"""),58922.0)</f>
        <v>58922</v>
      </c>
    </row>
    <row r="4382">
      <c r="A4382" t="str">
        <f t="shared" si="1"/>
        <v>dma#1960</v>
      </c>
      <c r="B4382" t="str">
        <f>IFERROR(__xludf.DUMMYFUNCTION("""COMPUTED_VALUE"""),"dma")</f>
        <v>dma</v>
      </c>
      <c r="C4382" t="str">
        <f>IFERROR(__xludf.DUMMYFUNCTION("""COMPUTED_VALUE"""),"Dominica")</f>
        <v>Dominica</v>
      </c>
      <c r="D4382">
        <f>IFERROR(__xludf.DUMMYFUNCTION("""COMPUTED_VALUE"""),1960.0)</f>
        <v>1960</v>
      </c>
      <c r="E4382">
        <f>IFERROR(__xludf.DUMMYFUNCTION("""COMPUTED_VALUE"""),60011.0)</f>
        <v>60011</v>
      </c>
    </row>
    <row r="4383">
      <c r="A4383" t="str">
        <f t="shared" si="1"/>
        <v>dma#1961</v>
      </c>
      <c r="B4383" t="str">
        <f>IFERROR(__xludf.DUMMYFUNCTION("""COMPUTED_VALUE"""),"dma")</f>
        <v>dma</v>
      </c>
      <c r="C4383" t="str">
        <f>IFERROR(__xludf.DUMMYFUNCTION("""COMPUTED_VALUE"""),"Dominica")</f>
        <v>Dominica</v>
      </c>
      <c r="D4383">
        <f>IFERROR(__xludf.DUMMYFUNCTION("""COMPUTED_VALUE"""),1961.0)</f>
        <v>1961</v>
      </c>
      <c r="E4383">
        <f>IFERROR(__xludf.DUMMYFUNCTION("""COMPUTED_VALUE"""),61032.0)</f>
        <v>61032</v>
      </c>
    </row>
    <row r="4384">
      <c r="A4384" t="str">
        <f t="shared" si="1"/>
        <v>dma#1962</v>
      </c>
      <c r="B4384" t="str">
        <f>IFERROR(__xludf.DUMMYFUNCTION("""COMPUTED_VALUE"""),"dma")</f>
        <v>dma</v>
      </c>
      <c r="C4384" t="str">
        <f>IFERROR(__xludf.DUMMYFUNCTION("""COMPUTED_VALUE"""),"Dominica")</f>
        <v>Dominica</v>
      </c>
      <c r="D4384">
        <f>IFERROR(__xludf.DUMMYFUNCTION("""COMPUTED_VALUE"""),1962.0)</f>
        <v>1962</v>
      </c>
      <c r="E4384">
        <f>IFERROR(__xludf.DUMMYFUNCTION("""COMPUTED_VALUE"""),61982.0)</f>
        <v>61982</v>
      </c>
    </row>
    <row r="4385">
      <c r="A4385" t="str">
        <f t="shared" si="1"/>
        <v>dma#1963</v>
      </c>
      <c r="B4385" t="str">
        <f>IFERROR(__xludf.DUMMYFUNCTION("""COMPUTED_VALUE"""),"dma")</f>
        <v>dma</v>
      </c>
      <c r="C4385" t="str">
        <f>IFERROR(__xludf.DUMMYFUNCTION("""COMPUTED_VALUE"""),"Dominica")</f>
        <v>Dominica</v>
      </c>
      <c r="D4385">
        <f>IFERROR(__xludf.DUMMYFUNCTION("""COMPUTED_VALUE"""),1963.0)</f>
        <v>1963</v>
      </c>
      <c r="E4385">
        <f>IFERROR(__xludf.DUMMYFUNCTION("""COMPUTED_VALUE"""),62918.0)</f>
        <v>62918</v>
      </c>
    </row>
    <row r="4386">
      <c r="A4386" t="str">
        <f t="shared" si="1"/>
        <v>dma#1964</v>
      </c>
      <c r="B4386" t="str">
        <f>IFERROR(__xludf.DUMMYFUNCTION("""COMPUTED_VALUE"""),"dma")</f>
        <v>dma</v>
      </c>
      <c r="C4386" t="str">
        <f>IFERROR(__xludf.DUMMYFUNCTION("""COMPUTED_VALUE"""),"Dominica")</f>
        <v>Dominica</v>
      </c>
      <c r="D4386">
        <f>IFERROR(__xludf.DUMMYFUNCTION("""COMPUTED_VALUE"""),1964.0)</f>
        <v>1964</v>
      </c>
      <c r="E4386">
        <f>IFERROR(__xludf.DUMMYFUNCTION("""COMPUTED_VALUE"""),63926.0)</f>
        <v>63926</v>
      </c>
    </row>
    <row r="4387">
      <c r="A4387" t="str">
        <f t="shared" si="1"/>
        <v>dma#1965</v>
      </c>
      <c r="B4387" t="str">
        <f>IFERROR(__xludf.DUMMYFUNCTION("""COMPUTED_VALUE"""),"dma")</f>
        <v>dma</v>
      </c>
      <c r="C4387" t="str">
        <f>IFERROR(__xludf.DUMMYFUNCTION("""COMPUTED_VALUE"""),"Dominica")</f>
        <v>Dominica</v>
      </c>
      <c r="D4387">
        <f>IFERROR(__xludf.DUMMYFUNCTION("""COMPUTED_VALUE"""),1965.0)</f>
        <v>1965</v>
      </c>
      <c r="E4387">
        <f>IFERROR(__xludf.DUMMYFUNCTION("""COMPUTED_VALUE"""),65038.0)</f>
        <v>65038</v>
      </c>
    </row>
    <row r="4388">
      <c r="A4388" t="str">
        <f t="shared" si="1"/>
        <v>dma#1966</v>
      </c>
      <c r="B4388" t="str">
        <f>IFERROR(__xludf.DUMMYFUNCTION("""COMPUTED_VALUE"""),"dma")</f>
        <v>dma</v>
      </c>
      <c r="C4388" t="str">
        <f>IFERROR(__xludf.DUMMYFUNCTION("""COMPUTED_VALUE"""),"Dominica")</f>
        <v>Dominica</v>
      </c>
      <c r="D4388">
        <f>IFERROR(__xludf.DUMMYFUNCTION("""COMPUTED_VALUE"""),1966.0)</f>
        <v>1966</v>
      </c>
      <c r="E4388">
        <f>IFERROR(__xludf.DUMMYFUNCTION("""COMPUTED_VALUE"""),66311.0)</f>
        <v>66311</v>
      </c>
    </row>
    <row r="4389">
      <c r="A4389" t="str">
        <f t="shared" si="1"/>
        <v>dma#1967</v>
      </c>
      <c r="B4389" t="str">
        <f>IFERROR(__xludf.DUMMYFUNCTION("""COMPUTED_VALUE"""),"dma")</f>
        <v>dma</v>
      </c>
      <c r="C4389" t="str">
        <f>IFERROR(__xludf.DUMMYFUNCTION("""COMPUTED_VALUE"""),"Dominica")</f>
        <v>Dominica</v>
      </c>
      <c r="D4389">
        <f>IFERROR(__xludf.DUMMYFUNCTION("""COMPUTED_VALUE"""),1967.0)</f>
        <v>1967</v>
      </c>
      <c r="E4389">
        <f>IFERROR(__xludf.DUMMYFUNCTION("""COMPUTED_VALUE"""),67686.0)</f>
        <v>67686</v>
      </c>
    </row>
    <row r="4390">
      <c r="A4390" t="str">
        <f t="shared" si="1"/>
        <v>dma#1968</v>
      </c>
      <c r="B4390" t="str">
        <f>IFERROR(__xludf.DUMMYFUNCTION("""COMPUTED_VALUE"""),"dma")</f>
        <v>dma</v>
      </c>
      <c r="C4390" t="str">
        <f>IFERROR(__xludf.DUMMYFUNCTION("""COMPUTED_VALUE"""),"Dominica")</f>
        <v>Dominica</v>
      </c>
      <c r="D4390">
        <f>IFERROR(__xludf.DUMMYFUNCTION("""COMPUTED_VALUE"""),1968.0)</f>
        <v>1968</v>
      </c>
      <c r="E4390">
        <f>IFERROR(__xludf.DUMMYFUNCTION("""COMPUTED_VALUE"""),69040.0)</f>
        <v>69040</v>
      </c>
    </row>
    <row r="4391">
      <c r="A4391" t="str">
        <f t="shared" si="1"/>
        <v>dma#1969</v>
      </c>
      <c r="B4391" t="str">
        <f>IFERROR(__xludf.DUMMYFUNCTION("""COMPUTED_VALUE"""),"dma")</f>
        <v>dma</v>
      </c>
      <c r="C4391" t="str">
        <f>IFERROR(__xludf.DUMMYFUNCTION("""COMPUTED_VALUE"""),"Dominica")</f>
        <v>Dominica</v>
      </c>
      <c r="D4391">
        <f>IFERROR(__xludf.DUMMYFUNCTION("""COMPUTED_VALUE"""),1969.0)</f>
        <v>1969</v>
      </c>
      <c r="E4391">
        <f>IFERROR(__xludf.DUMMYFUNCTION("""COMPUTED_VALUE"""),70213.0)</f>
        <v>70213</v>
      </c>
    </row>
    <row r="4392">
      <c r="A4392" t="str">
        <f t="shared" si="1"/>
        <v>dma#1970</v>
      </c>
      <c r="B4392" t="str">
        <f>IFERROR(__xludf.DUMMYFUNCTION("""COMPUTED_VALUE"""),"dma")</f>
        <v>dma</v>
      </c>
      <c r="C4392" t="str">
        <f>IFERROR(__xludf.DUMMYFUNCTION("""COMPUTED_VALUE"""),"Dominica")</f>
        <v>Dominica</v>
      </c>
      <c r="D4392">
        <f>IFERROR(__xludf.DUMMYFUNCTION("""COMPUTED_VALUE"""),1970.0)</f>
        <v>1970</v>
      </c>
      <c r="E4392">
        <f>IFERROR(__xludf.DUMMYFUNCTION("""COMPUTED_VALUE"""),71073.0)</f>
        <v>71073</v>
      </c>
    </row>
    <row r="4393">
      <c r="A4393" t="str">
        <f t="shared" si="1"/>
        <v>dma#1971</v>
      </c>
      <c r="B4393" t="str">
        <f>IFERROR(__xludf.DUMMYFUNCTION("""COMPUTED_VALUE"""),"dma")</f>
        <v>dma</v>
      </c>
      <c r="C4393" t="str">
        <f>IFERROR(__xludf.DUMMYFUNCTION("""COMPUTED_VALUE"""),"Dominica")</f>
        <v>Dominica</v>
      </c>
      <c r="D4393">
        <f>IFERROR(__xludf.DUMMYFUNCTION("""COMPUTED_VALUE"""),1971.0)</f>
        <v>1971</v>
      </c>
      <c r="E4393">
        <f>IFERROR(__xludf.DUMMYFUNCTION("""COMPUTED_VALUE"""),71569.0)</f>
        <v>71569</v>
      </c>
    </row>
    <row r="4394">
      <c r="A4394" t="str">
        <f t="shared" si="1"/>
        <v>dma#1972</v>
      </c>
      <c r="B4394" t="str">
        <f>IFERROR(__xludf.DUMMYFUNCTION("""COMPUTED_VALUE"""),"dma")</f>
        <v>dma</v>
      </c>
      <c r="C4394" t="str">
        <f>IFERROR(__xludf.DUMMYFUNCTION("""COMPUTED_VALUE"""),"Dominica")</f>
        <v>Dominica</v>
      </c>
      <c r="D4394">
        <f>IFERROR(__xludf.DUMMYFUNCTION("""COMPUTED_VALUE"""),1972.0)</f>
        <v>1972</v>
      </c>
      <c r="E4394">
        <f>IFERROR(__xludf.DUMMYFUNCTION("""COMPUTED_VALUE"""),71734.0)</f>
        <v>71734</v>
      </c>
    </row>
    <row r="4395">
      <c r="A4395" t="str">
        <f t="shared" si="1"/>
        <v>dma#1973</v>
      </c>
      <c r="B4395" t="str">
        <f>IFERROR(__xludf.DUMMYFUNCTION("""COMPUTED_VALUE"""),"dma")</f>
        <v>dma</v>
      </c>
      <c r="C4395" t="str">
        <f>IFERROR(__xludf.DUMMYFUNCTION("""COMPUTED_VALUE"""),"Dominica")</f>
        <v>Dominica</v>
      </c>
      <c r="D4395">
        <f>IFERROR(__xludf.DUMMYFUNCTION("""COMPUTED_VALUE"""),1973.0)</f>
        <v>1973</v>
      </c>
      <c r="E4395">
        <f>IFERROR(__xludf.DUMMYFUNCTION("""COMPUTED_VALUE"""),71744.0)</f>
        <v>71744</v>
      </c>
    </row>
    <row r="4396">
      <c r="A4396" t="str">
        <f t="shared" si="1"/>
        <v>dma#1974</v>
      </c>
      <c r="B4396" t="str">
        <f>IFERROR(__xludf.DUMMYFUNCTION("""COMPUTED_VALUE"""),"dma")</f>
        <v>dma</v>
      </c>
      <c r="C4396" t="str">
        <f>IFERROR(__xludf.DUMMYFUNCTION("""COMPUTED_VALUE"""),"Dominica")</f>
        <v>Dominica</v>
      </c>
      <c r="D4396">
        <f>IFERROR(__xludf.DUMMYFUNCTION("""COMPUTED_VALUE"""),1974.0)</f>
        <v>1974</v>
      </c>
      <c r="E4396">
        <f>IFERROR(__xludf.DUMMYFUNCTION("""COMPUTED_VALUE"""),71807.0)</f>
        <v>71807</v>
      </c>
    </row>
    <row r="4397">
      <c r="A4397" t="str">
        <f t="shared" si="1"/>
        <v>dma#1975</v>
      </c>
      <c r="B4397" t="str">
        <f>IFERROR(__xludf.DUMMYFUNCTION("""COMPUTED_VALUE"""),"dma")</f>
        <v>dma</v>
      </c>
      <c r="C4397" t="str">
        <f>IFERROR(__xludf.DUMMYFUNCTION("""COMPUTED_VALUE"""),"Dominica")</f>
        <v>Dominica</v>
      </c>
      <c r="D4397">
        <f>IFERROR(__xludf.DUMMYFUNCTION("""COMPUTED_VALUE"""),1975.0)</f>
        <v>1975</v>
      </c>
      <c r="E4397">
        <f>IFERROR(__xludf.DUMMYFUNCTION("""COMPUTED_VALUE"""),72094.0)</f>
        <v>72094</v>
      </c>
    </row>
    <row r="4398">
      <c r="A4398" t="str">
        <f t="shared" si="1"/>
        <v>dma#1976</v>
      </c>
      <c r="B4398" t="str">
        <f>IFERROR(__xludf.DUMMYFUNCTION("""COMPUTED_VALUE"""),"dma")</f>
        <v>dma</v>
      </c>
      <c r="C4398" t="str">
        <f>IFERROR(__xludf.DUMMYFUNCTION("""COMPUTED_VALUE"""),"Dominica")</f>
        <v>Dominica</v>
      </c>
      <c r="D4398">
        <f>IFERROR(__xludf.DUMMYFUNCTION("""COMPUTED_VALUE"""),1976.0)</f>
        <v>1976</v>
      </c>
      <c r="E4398">
        <f>IFERROR(__xludf.DUMMYFUNCTION("""COMPUTED_VALUE"""),72642.0)</f>
        <v>72642</v>
      </c>
    </row>
    <row r="4399">
      <c r="A4399" t="str">
        <f t="shared" si="1"/>
        <v>dma#1977</v>
      </c>
      <c r="B4399" t="str">
        <f>IFERROR(__xludf.DUMMYFUNCTION("""COMPUTED_VALUE"""),"dma")</f>
        <v>dma</v>
      </c>
      <c r="C4399" t="str">
        <f>IFERROR(__xludf.DUMMYFUNCTION("""COMPUTED_VALUE"""),"Dominica")</f>
        <v>Dominica</v>
      </c>
      <c r="D4399">
        <f>IFERROR(__xludf.DUMMYFUNCTION("""COMPUTED_VALUE"""),1977.0)</f>
        <v>1977</v>
      </c>
      <c r="E4399">
        <f>IFERROR(__xludf.DUMMYFUNCTION("""COMPUTED_VALUE"""),73411.0)</f>
        <v>73411</v>
      </c>
    </row>
    <row r="4400">
      <c r="A4400" t="str">
        <f t="shared" si="1"/>
        <v>dma#1978</v>
      </c>
      <c r="B4400" t="str">
        <f>IFERROR(__xludf.DUMMYFUNCTION("""COMPUTED_VALUE"""),"dma")</f>
        <v>dma</v>
      </c>
      <c r="C4400" t="str">
        <f>IFERROR(__xludf.DUMMYFUNCTION("""COMPUTED_VALUE"""),"Dominica")</f>
        <v>Dominica</v>
      </c>
      <c r="D4400">
        <f>IFERROR(__xludf.DUMMYFUNCTION("""COMPUTED_VALUE"""),1978.0)</f>
        <v>1978</v>
      </c>
      <c r="E4400">
        <f>IFERROR(__xludf.DUMMYFUNCTION("""COMPUTED_VALUE"""),74242.0)</f>
        <v>74242</v>
      </c>
    </row>
    <row r="4401">
      <c r="A4401" t="str">
        <f t="shared" si="1"/>
        <v>dma#1979</v>
      </c>
      <c r="B4401" t="str">
        <f>IFERROR(__xludf.DUMMYFUNCTION("""COMPUTED_VALUE"""),"dma")</f>
        <v>dma</v>
      </c>
      <c r="C4401" t="str">
        <f>IFERROR(__xludf.DUMMYFUNCTION("""COMPUTED_VALUE"""),"Dominica")</f>
        <v>Dominica</v>
      </c>
      <c r="D4401">
        <f>IFERROR(__xludf.DUMMYFUNCTION("""COMPUTED_VALUE"""),1979.0)</f>
        <v>1979</v>
      </c>
      <c r="E4401">
        <f>IFERROR(__xludf.DUMMYFUNCTION("""COMPUTED_VALUE"""),74925.0)</f>
        <v>74925</v>
      </c>
    </row>
    <row r="4402">
      <c r="A4402" t="str">
        <f t="shared" si="1"/>
        <v>dma#1980</v>
      </c>
      <c r="B4402" t="str">
        <f>IFERROR(__xludf.DUMMYFUNCTION("""COMPUTED_VALUE"""),"dma")</f>
        <v>dma</v>
      </c>
      <c r="C4402" t="str">
        <f>IFERROR(__xludf.DUMMYFUNCTION("""COMPUTED_VALUE"""),"Dominica")</f>
        <v>Dominica</v>
      </c>
      <c r="D4402">
        <f>IFERROR(__xludf.DUMMYFUNCTION("""COMPUTED_VALUE"""),1980.0)</f>
        <v>1980</v>
      </c>
      <c r="E4402">
        <f>IFERROR(__xludf.DUMMYFUNCTION("""COMPUTED_VALUE"""),75314.0)</f>
        <v>75314</v>
      </c>
    </row>
    <row r="4403">
      <c r="A4403" t="str">
        <f t="shared" si="1"/>
        <v>dma#1981</v>
      </c>
      <c r="B4403" t="str">
        <f>IFERROR(__xludf.DUMMYFUNCTION("""COMPUTED_VALUE"""),"dma")</f>
        <v>dma</v>
      </c>
      <c r="C4403" t="str">
        <f>IFERROR(__xludf.DUMMYFUNCTION("""COMPUTED_VALUE"""),"Dominica")</f>
        <v>Dominica</v>
      </c>
      <c r="D4403">
        <f>IFERROR(__xludf.DUMMYFUNCTION("""COMPUTED_VALUE"""),1981.0)</f>
        <v>1981</v>
      </c>
      <c r="E4403">
        <f>IFERROR(__xludf.DUMMYFUNCTION("""COMPUTED_VALUE"""),75375.0)</f>
        <v>75375</v>
      </c>
    </row>
    <row r="4404">
      <c r="A4404" t="str">
        <f t="shared" si="1"/>
        <v>dma#1982</v>
      </c>
      <c r="B4404" t="str">
        <f>IFERROR(__xludf.DUMMYFUNCTION("""COMPUTED_VALUE"""),"dma")</f>
        <v>dma</v>
      </c>
      <c r="C4404" t="str">
        <f>IFERROR(__xludf.DUMMYFUNCTION("""COMPUTED_VALUE"""),"Dominica")</f>
        <v>Dominica</v>
      </c>
      <c r="D4404">
        <f>IFERROR(__xludf.DUMMYFUNCTION("""COMPUTED_VALUE"""),1982.0)</f>
        <v>1982</v>
      </c>
      <c r="E4404">
        <f>IFERROR(__xludf.DUMMYFUNCTION("""COMPUTED_VALUE"""),75170.0)</f>
        <v>75170</v>
      </c>
    </row>
    <row r="4405">
      <c r="A4405" t="str">
        <f t="shared" si="1"/>
        <v>dma#1983</v>
      </c>
      <c r="B4405" t="str">
        <f>IFERROR(__xludf.DUMMYFUNCTION("""COMPUTED_VALUE"""),"dma")</f>
        <v>dma</v>
      </c>
      <c r="C4405" t="str">
        <f>IFERROR(__xludf.DUMMYFUNCTION("""COMPUTED_VALUE"""),"Dominica")</f>
        <v>Dominica</v>
      </c>
      <c r="D4405">
        <f>IFERROR(__xludf.DUMMYFUNCTION("""COMPUTED_VALUE"""),1983.0)</f>
        <v>1983</v>
      </c>
      <c r="E4405">
        <f>IFERROR(__xludf.DUMMYFUNCTION("""COMPUTED_VALUE"""),74747.0)</f>
        <v>74747</v>
      </c>
    </row>
    <row r="4406">
      <c r="A4406" t="str">
        <f t="shared" si="1"/>
        <v>dma#1984</v>
      </c>
      <c r="B4406" t="str">
        <f>IFERROR(__xludf.DUMMYFUNCTION("""COMPUTED_VALUE"""),"dma")</f>
        <v>dma</v>
      </c>
      <c r="C4406" t="str">
        <f>IFERROR(__xludf.DUMMYFUNCTION("""COMPUTED_VALUE"""),"Dominica")</f>
        <v>Dominica</v>
      </c>
      <c r="D4406">
        <f>IFERROR(__xludf.DUMMYFUNCTION("""COMPUTED_VALUE"""),1984.0)</f>
        <v>1984</v>
      </c>
      <c r="E4406">
        <f>IFERROR(__xludf.DUMMYFUNCTION("""COMPUTED_VALUE"""),74213.0)</f>
        <v>74213</v>
      </c>
    </row>
    <row r="4407">
      <c r="A4407" t="str">
        <f t="shared" si="1"/>
        <v>dma#1985</v>
      </c>
      <c r="B4407" t="str">
        <f>IFERROR(__xludf.DUMMYFUNCTION("""COMPUTED_VALUE"""),"dma")</f>
        <v>dma</v>
      </c>
      <c r="C4407" t="str">
        <f>IFERROR(__xludf.DUMMYFUNCTION("""COMPUTED_VALUE"""),"Dominica")</f>
        <v>Dominica</v>
      </c>
      <c r="D4407">
        <f>IFERROR(__xludf.DUMMYFUNCTION("""COMPUTED_VALUE"""),1985.0)</f>
        <v>1985</v>
      </c>
      <c r="E4407">
        <f>IFERROR(__xludf.DUMMYFUNCTION("""COMPUTED_VALUE"""),73643.0)</f>
        <v>73643</v>
      </c>
    </row>
    <row r="4408">
      <c r="A4408" t="str">
        <f t="shared" si="1"/>
        <v>dma#1986</v>
      </c>
      <c r="B4408" t="str">
        <f>IFERROR(__xludf.DUMMYFUNCTION("""COMPUTED_VALUE"""),"dma")</f>
        <v>dma</v>
      </c>
      <c r="C4408" t="str">
        <f>IFERROR(__xludf.DUMMYFUNCTION("""COMPUTED_VALUE"""),"Dominica")</f>
        <v>Dominica</v>
      </c>
      <c r="D4408">
        <f>IFERROR(__xludf.DUMMYFUNCTION("""COMPUTED_VALUE"""),1986.0)</f>
        <v>1986</v>
      </c>
      <c r="E4408">
        <f>IFERROR(__xludf.DUMMYFUNCTION("""COMPUTED_VALUE"""),73025.0)</f>
        <v>73025</v>
      </c>
    </row>
    <row r="4409">
      <c r="A4409" t="str">
        <f t="shared" si="1"/>
        <v>dma#1987</v>
      </c>
      <c r="B4409" t="str">
        <f>IFERROR(__xludf.DUMMYFUNCTION("""COMPUTED_VALUE"""),"dma")</f>
        <v>dma</v>
      </c>
      <c r="C4409" t="str">
        <f>IFERROR(__xludf.DUMMYFUNCTION("""COMPUTED_VALUE"""),"Dominica")</f>
        <v>Dominica</v>
      </c>
      <c r="D4409">
        <f>IFERROR(__xludf.DUMMYFUNCTION("""COMPUTED_VALUE"""),1987.0)</f>
        <v>1987</v>
      </c>
      <c r="E4409">
        <f>IFERROR(__xludf.DUMMYFUNCTION("""COMPUTED_VALUE"""),72370.0)</f>
        <v>72370</v>
      </c>
    </row>
    <row r="4410">
      <c r="A4410" t="str">
        <f t="shared" si="1"/>
        <v>dma#1988</v>
      </c>
      <c r="B4410" t="str">
        <f>IFERROR(__xludf.DUMMYFUNCTION("""COMPUTED_VALUE"""),"dma")</f>
        <v>dma</v>
      </c>
      <c r="C4410" t="str">
        <f>IFERROR(__xludf.DUMMYFUNCTION("""COMPUTED_VALUE"""),"Dominica")</f>
        <v>Dominica</v>
      </c>
      <c r="D4410">
        <f>IFERROR(__xludf.DUMMYFUNCTION("""COMPUTED_VALUE"""),1988.0)</f>
        <v>1988</v>
      </c>
      <c r="E4410">
        <f>IFERROR(__xludf.DUMMYFUNCTION("""COMPUTED_VALUE"""),71742.0)</f>
        <v>71742</v>
      </c>
    </row>
    <row r="4411">
      <c r="A4411" t="str">
        <f t="shared" si="1"/>
        <v>dma#1989</v>
      </c>
      <c r="B4411" t="str">
        <f>IFERROR(__xludf.DUMMYFUNCTION("""COMPUTED_VALUE"""),"dma")</f>
        <v>dma</v>
      </c>
      <c r="C4411" t="str">
        <f>IFERROR(__xludf.DUMMYFUNCTION("""COMPUTED_VALUE"""),"Dominica")</f>
        <v>Dominica</v>
      </c>
      <c r="D4411">
        <f>IFERROR(__xludf.DUMMYFUNCTION("""COMPUTED_VALUE"""),1989.0)</f>
        <v>1989</v>
      </c>
      <c r="E4411">
        <f>IFERROR(__xludf.DUMMYFUNCTION("""COMPUTED_VALUE"""),71242.0)</f>
        <v>71242</v>
      </c>
    </row>
    <row r="4412">
      <c r="A4412" t="str">
        <f t="shared" si="1"/>
        <v>dma#1990</v>
      </c>
      <c r="B4412" t="str">
        <f>IFERROR(__xludf.DUMMYFUNCTION("""COMPUTED_VALUE"""),"dma")</f>
        <v>dma</v>
      </c>
      <c r="C4412" t="str">
        <f>IFERROR(__xludf.DUMMYFUNCTION("""COMPUTED_VALUE"""),"Dominica")</f>
        <v>Dominica</v>
      </c>
      <c r="D4412">
        <f>IFERROR(__xludf.DUMMYFUNCTION("""COMPUTED_VALUE"""),1990.0)</f>
        <v>1990</v>
      </c>
      <c r="E4412">
        <f>IFERROR(__xludf.DUMMYFUNCTION("""COMPUTED_VALUE"""),70926.0)</f>
        <v>70926</v>
      </c>
    </row>
    <row r="4413">
      <c r="A4413" t="str">
        <f t="shared" si="1"/>
        <v>dma#1991</v>
      </c>
      <c r="B4413" t="str">
        <f>IFERROR(__xludf.DUMMYFUNCTION("""COMPUTED_VALUE"""),"dma")</f>
        <v>dma</v>
      </c>
      <c r="C4413" t="str">
        <f>IFERROR(__xludf.DUMMYFUNCTION("""COMPUTED_VALUE"""),"Dominica")</f>
        <v>Dominica</v>
      </c>
      <c r="D4413">
        <f>IFERROR(__xludf.DUMMYFUNCTION("""COMPUTED_VALUE"""),1991.0)</f>
        <v>1991</v>
      </c>
      <c r="E4413">
        <f>IFERROR(__xludf.DUMMYFUNCTION("""COMPUTED_VALUE"""),70842.0)</f>
        <v>70842</v>
      </c>
    </row>
    <row r="4414">
      <c r="A4414" t="str">
        <f t="shared" si="1"/>
        <v>dma#1992</v>
      </c>
      <c r="B4414" t="str">
        <f>IFERROR(__xludf.DUMMYFUNCTION("""COMPUTED_VALUE"""),"dma")</f>
        <v>dma</v>
      </c>
      <c r="C4414" t="str">
        <f>IFERROR(__xludf.DUMMYFUNCTION("""COMPUTED_VALUE"""),"Dominica")</f>
        <v>Dominica</v>
      </c>
      <c r="D4414">
        <f>IFERROR(__xludf.DUMMYFUNCTION("""COMPUTED_VALUE"""),1992.0)</f>
        <v>1992</v>
      </c>
      <c r="E4414">
        <f>IFERROR(__xludf.DUMMYFUNCTION("""COMPUTED_VALUE"""),70970.0)</f>
        <v>70970</v>
      </c>
    </row>
    <row r="4415">
      <c r="A4415" t="str">
        <f t="shared" si="1"/>
        <v>dma#1993</v>
      </c>
      <c r="B4415" t="str">
        <f>IFERROR(__xludf.DUMMYFUNCTION("""COMPUTED_VALUE"""),"dma")</f>
        <v>dma</v>
      </c>
      <c r="C4415" t="str">
        <f>IFERROR(__xludf.DUMMYFUNCTION("""COMPUTED_VALUE"""),"Dominica")</f>
        <v>Dominica</v>
      </c>
      <c r="D4415">
        <f>IFERROR(__xludf.DUMMYFUNCTION("""COMPUTED_VALUE"""),1993.0)</f>
        <v>1993</v>
      </c>
      <c r="E4415">
        <f>IFERROR(__xludf.DUMMYFUNCTION("""COMPUTED_VALUE"""),71210.0)</f>
        <v>71210</v>
      </c>
    </row>
    <row r="4416">
      <c r="A4416" t="str">
        <f t="shared" si="1"/>
        <v>dma#1994</v>
      </c>
      <c r="B4416" t="str">
        <f>IFERROR(__xludf.DUMMYFUNCTION("""COMPUTED_VALUE"""),"dma")</f>
        <v>dma</v>
      </c>
      <c r="C4416" t="str">
        <f>IFERROR(__xludf.DUMMYFUNCTION("""COMPUTED_VALUE"""),"Dominica")</f>
        <v>Dominica</v>
      </c>
      <c r="D4416">
        <f>IFERROR(__xludf.DUMMYFUNCTION("""COMPUTED_VALUE"""),1994.0)</f>
        <v>1994</v>
      </c>
      <c r="E4416">
        <f>IFERROR(__xludf.DUMMYFUNCTION("""COMPUTED_VALUE"""),71373.0)</f>
        <v>71373</v>
      </c>
    </row>
    <row r="4417">
      <c r="A4417" t="str">
        <f t="shared" si="1"/>
        <v>dma#1995</v>
      </c>
      <c r="B4417" t="str">
        <f>IFERROR(__xludf.DUMMYFUNCTION("""COMPUTED_VALUE"""),"dma")</f>
        <v>dma</v>
      </c>
      <c r="C4417" t="str">
        <f>IFERROR(__xludf.DUMMYFUNCTION("""COMPUTED_VALUE"""),"Dominica")</f>
        <v>Dominica</v>
      </c>
      <c r="D4417">
        <f>IFERROR(__xludf.DUMMYFUNCTION("""COMPUTED_VALUE"""),1995.0)</f>
        <v>1995</v>
      </c>
      <c r="E4417">
        <f>IFERROR(__xludf.DUMMYFUNCTION("""COMPUTED_VALUE"""),71368.0)</f>
        <v>71368</v>
      </c>
    </row>
    <row r="4418">
      <c r="A4418" t="str">
        <f t="shared" si="1"/>
        <v>dma#1996</v>
      </c>
      <c r="B4418" t="str">
        <f>IFERROR(__xludf.DUMMYFUNCTION("""COMPUTED_VALUE"""),"dma")</f>
        <v>dma</v>
      </c>
      <c r="C4418" t="str">
        <f>IFERROR(__xludf.DUMMYFUNCTION("""COMPUTED_VALUE"""),"Dominica")</f>
        <v>Dominica</v>
      </c>
      <c r="D4418">
        <f>IFERROR(__xludf.DUMMYFUNCTION("""COMPUTED_VALUE"""),1996.0)</f>
        <v>1996</v>
      </c>
      <c r="E4418">
        <f>IFERROR(__xludf.DUMMYFUNCTION("""COMPUTED_VALUE"""),71145.0)</f>
        <v>71145</v>
      </c>
    </row>
    <row r="4419">
      <c r="A4419" t="str">
        <f t="shared" si="1"/>
        <v>dma#1997</v>
      </c>
      <c r="B4419" t="str">
        <f>IFERROR(__xludf.DUMMYFUNCTION("""COMPUTED_VALUE"""),"dma")</f>
        <v>dma</v>
      </c>
      <c r="C4419" t="str">
        <f>IFERROR(__xludf.DUMMYFUNCTION("""COMPUTED_VALUE"""),"Dominica")</f>
        <v>Dominica</v>
      </c>
      <c r="D4419">
        <f>IFERROR(__xludf.DUMMYFUNCTION("""COMPUTED_VALUE"""),1997.0)</f>
        <v>1997</v>
      </c>
      <c r="E4419">
        <f>IFERROR(__xludf.DUMMYFUNCTION("""COMPUTED_VALUE"""),70753.0)</f>
        <v>70753</v>
      </c>
    </row>
    <row r="4420">
      <c r="A4420" t="str">
        <f t="shared" si="1"/>
        <v>dma#1998</v>
      </c>
      <c r="B4420" t="str">
        <f>IFERROR(__xludf.DUMMYFUNCTION("""COMPUTED_VALUE"""),"dma")</f>
        <v>dma</v>
      </c>
      <c r="C4420" t="str">
        <f>IFERROR(__xludf.DUMMYFUNCTION("""COMPUTED_VALUE"""),"Dominica")</f>
        <v>Dominica</v>
      </c>
      <c r="D4420">
        <f>IFERROR(__xludf.DUMMYFUNCTION("""COMPUTED_VALUE"""),1998.0)</f>
        <v>1998</v>
      </c>
      <c r="E4420">
        <f>IFERROR(__xludf.DUMMYFUNCTION("""COMPUTED_VALUE"""),70290.0)</f>
        <v>70290</v>
      </c>
    </row>
    <row r="4421">
      <c r="A4421" t="str">
        <f t="shared" si="1"/>
        <v>dma#1999</v>
      </c>
      <c r="B4421" t="str">
        <f>IFERROR(__xludf.DUMMYFUNCTION("""COMPUTED_VALUE"""),"dma")</f>
        <v>dma</v>
      </c>
      <c r="C4421" t="str">
        <f>IFERROR(__xludf.DUMMYFUNCTION("""COMPUTED_VALUE"""),"Dominica")</f>
        <v>Dominica</v>
      </c>
      <c r="D4421">
        <f>IFERROR(__xludf.DUMMYFUNCTION("""COMPUTED_VALUE"""),1999.0)</f>
        <v>1999</v>
      </c>
      <c r="E4421">
        <f>IFERROR(__xludf.DUMMYFUNCTION("""COMPUTED_VALUE"""),69903.0)</f>
        <v>69903</v>
      </c>
    </row>
    <row r="4422">
      <c r="A4422" t="str">
        <f t="shared" si="1"/>
        <v>dma#2000</v>
      </c>
      <c r="B4422" t="str">
        <f>IFERROR(__xludf.DUMMYFUNCTION("""COMPUTED_VALUE"""),"dma")</f>
        <v>dma</v>
      </c>
      <c r="C4422" t="str">
        <f>IFERROR(__xludf.DUMMYFUNCTION("""COMPUTED_VALUE"""),"Dominica")</f>
        <v>Dominica</v>
      </c>
      <c r="D4422">
        <f>IFERROR(__xludf.DUMMYFUNCTION("""COMPUTED_VALUE"""),2000.0)</f>
        <v>2000</v>
      </c>
      <c r="E4422">
        <f>IFERROR(__xludf.DUMMYFUNCTION("""COMPUTED_VALUE"""),69676.0)</f>
        <v>69676</v>
      </c>
    </row>
    <row r="4423">
      <c r="A4423" t="str">
        <f t="shared" si="1"/>
        <v>dma#2001</v>
      </c>
      <c r="B4423" t="str">
        <f>IFERROR(__xludf.DUMMYFUNCTION("""COMPUTED_VALUE"""),"dma")</f>
        <v>dma</v>
      </c>
      <c r="C4423" t="str">
        <f>IFERROR(__xludf.DUMMYFUNCTION("""COMPUTED_VALUE"""),"Dominica")</f>
        <v>Dominica</v>
      </c>
      <c r="D4423">
        <f>IFERROR(__xludf.DUMMYFUNCTION("""COMPUTED_VALUE"""),2001.0)</f>
        <v>2001</v>
      </c>
      <c r="E4423">
        <f>IFERROR(__xludf.DUMMYFUNCTION("""COMPUTED_VALUE"""),69670.0)</f>
        <v>69670</v>
      </c>
    </row>
    <row r="4424">
      <c r="A4424" t="str">
        <f t="shared" si="1"/>
        <v>dma#2002</v>
      </c>
      <c r="B4424" t="str">
        <f>IFERROR(__xludf.DUMMYFUNCTION("""COMPUTED_VALUE"""),"dma")</f>
        <v>dma</v>
      </c>
      <c r="C4424" t="str">
        <f>IFERROR(__xludf.DUMMYFUNCTION("""COMPUTED_VALUE"""),"Dominica")</f>
        <v>Dominica</v>
      </c>
      <c r="D4424">
        <f>IFERROR(__xludf.DUMMYFUNCTION("""COMPUTED_VALUE"""),2002.0)</f>
        <v>2002</v>
      </c>
      <c r="E4424">
        <f>IFERROR(__xludf.DUMMYFUNCTION("""COMPUTED_VALUE"""),69824.0)</f>
        <v>69824</v>
      </c>
    </row>
    <row r="4425">
      <c r="A4425" t="str">
        <f t="shared" si="1"/>
        <v>dma#2003</v>
      </c>
      <c r="B4425" t="str">
        <f>IFERROR(__xludf.DUMMYFUNCTION("""COMPUTED_VALUE"""),"dma")</f>
        <v>dma</v>
      </c>
      <c r="C4425" t="str">
        <f>IFERROR(__xludf.DUMMYFUNCTION("""COMPUTED_VALUE"""),"Dominica")</f>
        <v>Dominica</v>
      </c>
      <c r="D4425">
        <f>IFERROR(__xludf.DUMMYFUNCTION("""COMPUTED_VALUE"""),2003.0)</f>
        <v>2003</v>
      </c>
      <c r="E4425">
        <f>IFERROR(__xludf.DUMMYFUNCTION("""COMPUTED_VALUE"""),70093.0)</f>
        <v>70093</v>
      </c>
    </row>
    <row r="4426">
      <c r="A4426" t="str">
        <f t="shared" si="1"/>
        <v>dma#2004</v>
      </c>
      <c r="B4426" t="str">
        <f>IFERROR(__xludf.DUMMYFUNCTION("""COMPUTED_VALUE"""),"dma")</f>
        <v>dma</v>
      </c>
      <c r="C4426" t="str">
        <f>IFERROR(__xludf.DUMMYFUNCTION("""COMPUTED_VALUE"""),"Dominica")</f>
        <v>Dominica</v>
      </c>
      <c r="D4426">
        <f>IFERROR(__xludf.DUMMYFUNCTION("""COMPUTED_VALUE"""),2004.0)</f>
        <v>2004</v>
      </c>
      <c r="E4426">
        <f>IFERROR(__xludf.DUMMYFUNCTION("""COMPUTED_VALUE"""),70379.0)</f>
        <v>70379</v>
      </c>
    </row>
    <row r="4427">
      <c r="A4427" t="str">
        <f t="shared" si="1"/>
        <v>dma#2005</v>
      </c>
      <c r="B4427" t="str">
        <f>IFERROR(__xludf.DUMMYFUNCTION("""COMPUTED_VALUE"""),"dma")</f>
        <v>dma</v>
      </c>
      <c r="C4427" t="str">
        <f>IFERROR(__xludf.DUMMYFUNCTION("""COMPUTED_VALUE"""),"Dominica")</f>
        <v>Dominica</v>
      </c>
      <c r="D4427">
        <f>IFERROR(__xludf.DUMMYFUNCTION("""COMPUTED_VALUE"""),2005.0)</f>
        <v>2005</v>
      </c>
      <c r="E4427">
        <f>IFERROR(__xludf.DUMMYFUNCTION("""COMPUTED_VALUE"""),70627.0)</f>
        <v>70627</v>
      </c>
    </row>
    <row r="4428">
      <c r="A4428" t="str">
        <f t="shared" si="1"/>
        <v>dma#2006</v>
      </c>
      <c r="B4428" t="str">
        <f>IFERROR(__xludf.DUMMYFUNCTION("""COMPUTED_VALUE"""),"dma")</f>
        <v>dma</v>
      </c>
      <c r="C4428" t="str">
        <f>IFERROR(__xludf.DUMMYFUNCTION("""COMPUTED_VALUE"""),"Dominica")</f>
        <v>Dominica</v>
      </c>
      <c r="D4428">
        <f>IFERROR(__xludf.DUMMYFUNCTION("""COMPUTED_VALUE"""),2006.0)</f>
        <v>2006</v>
      </c>
      <c r="E4428">
        <f>IFERROR(__xludf.DUMMYFUNCTION("""COMPUTED_VALUE"""),70807.0)</f>
        <v>70807</v>
      </c>
    </row>
    <row r="4429">
      <c r="A4429" t="str">
        <f t="shared" si="1"/>
        <v>dma#2007</v>
      </c>
      <c r="B4429" t="str">
        <f>IFERROR(__xludf.DUMMYFUNCTION("""COMPUTED_VALUE"""),"dma")</f>
        <v>dma</v>
      </c>
      <c r="C4429" t="str">
        <f>IFERROR(__xludf.DUMMYFUNCTION("""COMPUTED_VALUE"""),"Dominica")</f>
        <v>Dominica</v>
      </c>
      <c r="D4429">
        <f>IFERROR(__xludf.DUMMYFUNCTION("""COMPUTED_VALUE"""),2007.0)</f>
        <v>2007</v>
      </c>
      <c r="E4429">
        <f>IFERROR(__xludf.DUMMYFUNCTION("""COMPUTED_VALUE"""),70950.0)</f>
        <v>70950</v>
      </c>
    </row>
    <row r="4430">
      <c r="A4430" t="str">
        <f t="shared" si="1"/>
        <v>dma#2008</v>
      </c>
      <c r="B4430" t="str">
        <f>IFERROR(__xludf.DUMMYFUNCTION("""COMPUTED_VALUE"""),"dma")</f>
        <v>dma</v>
      </c>
      <c r="C4430" t="str">
        <f>IFERROR(__xludf.DUMMYFUNCTION("""COMPUTED_VALUE"""),"Dominica")</f>
        <v>Dominica</v>
      </c>
      <c r="D4430">
        <f>IFERROR(__xludf.DUMMYFUNCTION("""COMPUTED_VALUE"""),2008.0)</f>
        <v>2008</v>
      </c>
      <c r="E4430">
        <f>IFERROR(__xludf.DUMMYFUNCTION("""COMPUTED_VALUE"""),71074.0)</f>
        <v>71074</v>
      </c>
    </row>
    <row r="4431">
      <c r="A4431" t="str">
        <f t="shared" si="1"/>
        <v>dma#2009</v>
      </c>
      <c r="B4431" t="str">
        <f>IFERROR(__xludf.DUMMYFUNCTION("""COMPUTED_VALUE"""),"dma")</f>
        <v>dma</v>
      </c>
      <c r="C4431" t="str">
        <f>IFERROR(__xludf.DUMMYFUNCTION("""COMPUTED_VALUE"""),"Dominica")</f>
        <v>Dominica</v>
      </c>
      <c r="D4431">
        <f>IFERROR(__xludf.DUMMYFUNCTION("""COMPUTED_VALUE"""),2009.0)</f>
        <v>2009</v>
      </c>
      <c r="E4431">
        <f>IFERROR(__xludf.DUMMYFUNCTION("""COMPUTED_VALUE"""),71229.0)</f>
        <v>71229</v>
      </c>
    </row>
    <row r="4432">
      <c r="A4432" t="str">
        <f t="shared" si="1"/>
        <v>dma#2010</v>
      </c>
      <c r="B4432" t="str">
        <f>IFERROR(__xludf.DUMMYFUNCTION("""COMPUTED_VALUE"""),"dma")</f>
        <v>dma</v>
      </c>
      <c r="C4432" t="str">
        <f>IFERROR(__xludf.DUMMYFUNCTION("""COMPUTED_VALUE"""),"Dominica")</f>
        <v>Dominica</v>
      </c>
      <c r="D4432">
        <f>IFERROR(__xludf.DUMMYFUNCTION("""COMPUTED_VALUE"""),2010.0)</f>
        <v>2010</v>
      </c>
      <c r="E4432">
        <f>IFERROR(__xludf.DUMMYFUNCTION("""COMPUTED_VALUE"""),71440.0)</f>
        <v>71440</v>
      </c>
    </row>
    <row r="4433">
      <c r="A4433" t="str">
        <f t="shared" si="1"/>
        <v>dma#2011</v>
      </c>
      <c r="B4433" t="str">
        <f>IFERROR(__xludf.DUMMYFUNCTION("""COMPUTED_VALUE"""),"dma")</f>
        <v>dma</v>
      </c>
      <c r="C4433" t="str">
        <f>IFERROR(__xludf.DUMMYFUNCTION("""COMPUTED_VALUE"""),"Dominica")</f>
        <v>Dominica</v>
      </c>
      <c r="D4433">
        <f>IFERROR(__xludf.DUMMYFUNCTION("""COMPUTED_VALUE"""),2011.0)</f>
        <v>2011</v>
      </c>
      <c r="E4433">
        <f>IFERROR(__xludf.DUMMYFUNCTION("""COMPUTED_VALUE"""),71718.0)</f>
        <v>71718</v>
      </c>
    </row>
    <row r="4434">
      <c r="A4434" t="str">
        <f t="shared" si="1"/>
        <v>dma#2012</v>
      </c>
      <c r="B4434" t="str">
        <f>IFERROR(__xludf.DUMMYFUNCTION("""COMPUTED_VALUE"""),"dma")</f>
        <v>dma</v>
      </c>
      <c r="C4434" t="str">
        <f>IFERROR(__xludf.DUMMYFUNCTION("""COMPUTED_VALUE"""),"Dominica")</f>
        <v>Dominica</v>
      </c>
      <c r="D4434">
        <f>IFERROR(__xludf.DUMMYFUNCTION("""COMPUTED_VALUE"""),2012.0)</f>
        <v>2012</v>
      </c>
      <c r="E4434">
        <f>IFERROR(__xludf.DUMMYFUNCTION("""COMPUTED_VALUE"""),72044.0)</f>
        <v>72044</v>
      </c>
    </row>
    <row r="4435">
      <c r="A4435" t="str">
        <f t="shared" si="1"/>
        <v>dma#2013</v>
      </c>
      <c r="B4435" t="str">
        <f>IFERROR(__xludf.DUMMYFUNCTION("""COMPUTED_VALUE"""),"dma")</f>
        <v>dma</v>
      </c>
      <c r="C4435" t="str">
        <f>IFERROR(__xludf.DUMMYFUNCTION("""COMPUTED_VALUE"""),"Dominica")</f>
        <v>Dominica</v>
      </c>
      <c r="D4435">
        <f>IFERROR(__xludf.DUMMYFUNCTION("""COMPUTED_VALUE"""),2013.0)</f>
        <v>2013</v>
      </c>
      <c r="E4435">
        <f>IFERROR(__xludf.DUMMYFUNCTION("""COMPUTED_VALUE"""),72400.0)</f>
        <v>72400</v>
      </c>
    </row>
    <row r="4436">
      <c r="A4436" t="str">
        <f t="shared" si="1"/>
        <v>dma#2014</v>
      </c>
      <c r="B4436" t="str">
        <f>IFERROR(__xludf.DUMMYFUNCTION("""COMPUTED_VALUE"""),"dma")</f>
        <v>dma</v>
      </c>
      <c r="C4436" t="str">
        <f>IFERROR(__xludf.DUMMYFUNCTION("""COMPUTED_VALUE"""),"Dominica")</f>
        <v>Dominica</v>
      </c>
      <c r="D4436">
        <f>IFERROR(__xludf.DUMMYFUNCTION("""COMPUTED_VALUE"""),2014.0)</f>
        <v>2014</v>
      </c>
      <c r="E4436">
        <f>IFERROR(__xludf.DUMMYFUNCTION("""COMPUTED_VALUE"""),72778.0)</f>
        <v>72778</v>
      </c>
    </row>
    <row r="4437">
      <c r="A4437" t="str">
        <f t="shared" si="1"/>
        <v>dma#2015</v>
      </c>
      <c r="B4437" t="str">
        <f>IFERROR(__xludf.DUMMYFUNCTION("""COMPUTED_VALUE"""),"dma")</f>
        <v>dma</v>
      </c>
      <c r="C4437" t="str">
        <f>IFERROR(__xludf.DUMMYFUNCTION("""COMPUTED_VALUE"""),"Dominica")</f>
        <v>Dominica</v>
      </c>
      <c r="D4437">
        <f>IFERROR(__xludf.DUMMYFUNCTION("""COMPUTED_VALUE"""),2015.0)</f>
        <v>2015</v>
      </c>
      <c r="E4437">
        <f>IFERROR(__xludf.DUMMYFUNCTION("""COMPUTED_VALUE"""),73162.0)</f>
        <v>73162</v>
      </c>
    </row>
    <row r="4438">
      <c r="A4438" t="str">
        <f t="shared" si="1"/>
        <v>dma#2016</v>
      </c>
      <c r="B4438" t="str">
        <f>IFERROR(__xludf.DUMMYFUNCTION("""COMPUTED_VALUE"""),"dma")</f>
        <v>dma</v>
      </c>
      <c r="C4438" t="str">
        <f>IFERROR(__xludf.DUMMYFUNCTION("""COMPUTED_VALUE"""),"Dominica")</f>
        <v>Dominica</v>
      </c>
      <c r="D4438">
        <f>IFERROR(__xludf.DUMMYFUNCTION("""COMPUTED_VALUE"""),2016.0)</f>
        <v>2016</v>
      </c>
      <c r="E4438">
        <f>IFERROR(__xludf.DUMMYFUNCTION("""COMPUTED_VALUE"""),73543.0)</f>
        <v>73543</v>
      </c>
    </row>
    <row r="4439">
      <c r="A4439" t="str">
        <f t="shared" si="1"/>
        <v>dma#2017</v>
      </c>
      <c r="B4439" t="str">
        <f>IFERROR(__xludf.DUMMYFUNCTION("""COMPUTED_VALUE"""),"dma")</f>
        <v>dma</v>
      </c>
      <c r="C4439" t="str">
        <f>IFERROR(__xludf.DUMMYFUNCTION("""COMPUTED_VALUE"""),"Dominica")</f>
        <v>Dominica</v>
      </c>
      <c r="D4439">
        <f>IFERROR(__xludf.DUMMYFUNCTION("""COMPUTED_VALUE"""),2017.0)</f>
        <v>2017</v>
      </c>
      <c r="E4439">
        <f>IFERROR(__xludf.DUMMYFUNCTION("""COMPUTED_VALUE"""),73925.0)</f>
        <v>73925</v>
      </c>
    </row>
    <row r="4440">
      <c r="A4440" t="str">
        <f t="shared" si="1"/>
        <v>dma#2018</v>
      </c>
      <c r="B4440" t="str">
        <f>IFERROR(__xludf.DUMMYFUNCTION("""COMPUTED_VALUE"""),"dma")</f>
        <v>dma</v>
      </c>
      <c r="C4440" t="str">
        <f>IFERROR(__xludf.DUMMYFUNCTION("""COMPUTED_VALUE"""),"Dominica")</f>
        <v>Dominica</v>
      </c>
      <c r="D4440">
        <f>IFERROR(__xludf.DUMMYFUNCTION("""COMPUTED_VALUE"""),2018.0)</f>
        <v>2018</v>
      </c>
      <c r="E4440">
        <f>IFERROR(__xludf.DUMMYFUNCTION("""COMPUTED_VALUE"""),74308.0)</f>
        <v>74308</v>
      </c>
    </row>
    <row r="4441">
      <c r="A4441" t="str">
        <f t="shared" si="1"/>
        <v>dma#2019</v>
      </c>
      <c r="B4441" t="str">
        <f>IFERROR(__xludf.DUMMYFUNCTION("""COMPUTED_VALUE"""),"dma")</f>
        <v>dma</v>
      </c>
      <c r="C4441" t="str">
        <f>IFERROR(__xludf.DUMMYFUNCTION("""COMPUTED_VALUE"""),"Dominica")</f>
        <v>Dominica</v>
      </c>
      <c r="D4441">
        <f>IFERROR(__xludf.DUMMYFUNCTION("""COMPUTED_VALUE"""),2019.0)</f>
        <v>2019</v>
      </c>
      <c r="E4441">
        <f>IFERROR(__xludf.DUMMYFUNCTION("""COMPUTED_VALUE"""),74679.0)</f>
        <v>74679</v>
      </c>
    </row>
    <row r="4442">
      <c r="A4442" t="str">
        <f t="shared" si="1"/>
        <v>dma#2020</v>
      </c>
      <c r="B4442" t="str">
        <f>IFERROR(__xludf.DUMMYFUNCTION("""COMPUTED_VALUE"""),"dma")</f>
        <v>dma</v>
      </c>
      <c r="C4442" t="str">
        <f>IFERROR(__xludf.DUMMYFUNCTION("""COMPUTED_VALUE"""),"Dominica")</f>
        <v>Dominica</v>
      </c>
      <c r="D4442">
        <f>IFERROR(__xludf.DUMMYFUNCTION("""COMPUTED_VALUE"""),2020.0)</f>
        <v>2020</v>
      </c>
      <c r="E4442">
        <f>IFERROR(__xludf.DUMMYFUNCTION("""COMPUTED_VALUE"""),75052.0)</f>
        <v>75052</v>
      </c>
    </row>
    <row r="4443">
      <c r="A4443" t="str">
        <f t="shared" si="1"/>
        <v>dma#2021</v>
      </c>
      <c r="B4443" t="str">
        <f>IFERROR(__xludf.DUMMYFUNCTION("""COMPUTED_VALUE"""),"dma")</f>
        <v>dma</v>
      </c>
      <c r="C4443" t="str">
        <f>IFERROR(__xludf.DUMMYFUNCTION("""COMPUTED_VALUE"""),"Dominica")</f>
        <v>Dominica</v>
      </c>
      <c r="D4443">
        <f>IFERROR(__xludf.DUMMYFUNCTION("""COMPUTED_VALUE"""),2021.0)</f>
        <v>2021</v>
      </c>
      <c r="E4443">
        <f>IFERROR(__xludf.DUMMYFUNCTION("""COMPUTED_VALUE"""),75401.0)</f>
        <v>75401</v>
      </c>
    </row>
    <row r="4444">
      <c r="A4444" t="str">
        <f t="shared" si="1"/>
        <v>dma#2022</v>
      </c>
      <c r="B4444" t="str">
        <f>IFERROR(__xludf.DUMMYFUNCTION("""COMPUTED_VALUE"""),"dma")</f>
        <v>dma</v>
      </c>
      <c r="C4444" t="str">
        <f>IFERROR(__xludf.DUMMYFUNCTION("""COMPUTED_VALUE"""),"Dominica")</f>
        <v>Dominica</v>
      </c>
      <c r="D4444">
        <f>IFERROR(__xludf.DUMMYFUNCTION("""COMPUTED_VALUE"""),2022.0)</f>
        <v>2022</v>
      </c>
      <c r="E4444">
        <f>IFERROR(__xludf.DUMMYFUNCTION("""COMPUTED_VALUE"""),75748.0)</f>
        <v>75748</v>
      </c>
    </row>
    <row r="4445">
      <c r="A4445" t="str">
        <f t="shared" si="1"/>
        <v>dma#2023</v>
      </c>
      <c r="B4445" t="str">
        <f>IFERROR(__xludf.DUMMYFUNCTION("""COMPUTED_VALUE"""),"dma")</f>
        <v>dma</v>
      </c>
      <c r="C4445" t="str">
        <f>IFERROR(__xludf.DUMMYFUNCTION("""COMPUTED_VALUE"""),"Dominica")</f>
        <v>Dominica</v>
      </c>
      <c r="D4445">
        <f>IFERROR(__xludf.DUMMYFUNCTION("""COMPUTED_VALUE"""),2023.0)</f>
        <v>2023</v>
      </c>
      <c r="E4445">
        <f>IFERROR(__xludf.DUMMYFUNCTION("""COMPUTED_VALUE"""),76070.0)</f>
        <v>76070</v>
      </c>
    </row>
    <row r="4446">
      <c r="A4446" t="str">
        <f t="shared" si="1"/>
        <v>dma#2024</v>
      </c>
      <c r="B4446" t="str">
        <f>IFERROR(__xludf.DUMMYFUNCTION("""COMPUTED_VALUE"""),"dma")</f>
        <v>dma</v>
      </c>
      <c r="C4446" t="str">
        <f>IFERROR(__xludf.DUMMYFUNCTION("""COMPUTED_VALUE"""),"Dominica")</f>
        <v>Dominica</v>
      </c>
      <c r="D4446">
        <f>IFERROR(__xludf.DUMMYFUNCTION("""COMPUTED_VALUE"""),2024.0)</f>
        <v>2024</v>
      </c>
      <c r="E4446">
        <f>IFERROR(__xludf.DUMMYFUNCTION("""COMPUTED_VALUE"""),76369.0)</f>
        <v>76369</v>
      </c>
    </row>
    <row r="4447">
      <c r="A4447" t="str">
        <f t="shared" si="1"/>
        <v>dma#2025</v>
      </c>
      <c r="B4447" t="str">
        <f>IFERROR(__xludf.DUMMYFUNCTION("""COMPUTED_VALUE"""),"dma")</f>
        <v>dma</v>
      </c>
      <c r="C4447" t="str">
        <f>IFERROR(__xludf.DUMMYFUNCTION("""COMPUTED_VALUE"""),"Dominica")</f>
        <v>Dominica</v>
      </c>
      <c r="D4447">
        <f>IFERROR(__xludf.DUMMYFUNCTION("""COMPUTED_VALUE"""),2025.0)</f>
        <v>2025</v>
      </c>
      <c r="E4447">
        <f>IFERROR(__xludf.DUMMYFUNCTION("""COMPUTED_VALUE"""),76643.0)</f>
        <v>76643</v>
      </c>
    </row>
    <row r="4448">
      <c r="A4448" t="str">
        <f t="shared" si="1"/>
        <v>dma#2026</v>
      </c>
      <c r="B4448" t="str">
        <f>IFERROR(__xludf.DUMMYFUNCTION("""COMPUTED_VALUE"""),"dma")</f>
        <v>dma</v>
      </c>
      <c r="C4448" t="str">
        <f>IFERROR(__xludf.DUMMYFUNCTION("""COMPUTED_VALUE"""),"Dominica")</f>
        <v>Dominica</v>
      </c>
      <c r="D4448">
        <f>IFERROR(__xludf.DUMMYFUNCTION("""COMPUTED_VALUE"""),2026.0)</f>
        <v>2026</v>
      </c>
      <c r="E4448">
        <f>IFERROR(__xludf.DUMMYFUNCTION("""COMPUTED_VALUE"""),76884.0)</f>
        <v>76884</v>
      </c>
    </row>
    <row r="4449">
      <c r="A4449" t="str">
        <f t="shared" si="1"/>
        <v>dma#2027</v>
      </c>
      <c r="B4449" t="str">
        <f>IFERROR(__xludf.DUMMYFUNCTION("""COMPUTED_VALUE"""),"dma")</f>
        <v>dma</v>
      </c>
      <c r="C4449" t="str">
        <f>IFERROR(__xludf.DUMMYFUNCTION("""COMPUTED_VALUE"""),"Dominica")</f>
        <v>Dominica</v>
      </c>
      <c r="D4449">
        <f>IFERROR(__xludf.DUMMYFUNCTION("""COMPUTED_VALUE"""),2027.0)</f>
        <v>2027</v>
      </c>
      <c r="E4449">
        <f>IFERROR(__xludf.DUMMYFUNCTION("""COMPUTED_VALUE"""),77106.0)</f>
        <v>77106</v>
      </c>
    </row>
    <row r="4450">
      <c r="A4450" t="str">
        <f t="shared" si="1"/>
        <v>dma#2028</v>
      </c>
      <c r="B4450" t="str">
        <f>IFERROR(__xludf.DUMMYFUNCTION("""COMPUTED_VALUE"""),"dma")</f>
        <v>dma</v>
      </c>
      <c r="C4450" t="str">
        <f>IFERROR(__xludf.DUMMYFUNCTION("""COMPUTED_VALUE"""),"Dominica")</f>
        <v>Dominica</v>
      </c>
      <c r="D4450">
        <f>IFERROR(__xludf.DUMMYFUNCTION("""COMPUTED_VALUE"""),2028.0)</f>
        <v>2028</v>
      </c>
      <c r="E4450">
        <f>IFERROR(__xludf.DUMMYFUNCTION("""COMPUTED_VALUE"""),77295.0)</f>
        <v>77295</v>
      </c>
    </row>
    <row r="4451">
      <c r="A4451" t="str">
        <f t="shared" si="1"/>
        <v>dma#2029</v>
      </c>
      <c r="B4451" t="str">
        <f>IFERROR(__xludf.DUMMYFUNCTION("""COMPUTED_VALUE"""),"dma")</f>
        <v>dma</v>
      </c>
      <c r="C4451" t="str">
        <f>IFERROR(__xludf.DUMMYFUNCTION("""COMPUTED_VALUE"""),"Dominica")</f>
        <v>Dominica</v>
      </c>
      <c r="D4451">
        <f>IFERROR(__xludf.DUMMYFUNCTION("""COMPUTED_VALUE"""),2029.0)</f>
        <v>2029</v>
      </c>
      <c r="E4451">
        <f>IFERROR(__xludf.DUMMYFUNCTION("""COMPUTED_VALUE"""),77453.0)</f>
        <v>77453</v>
      </c>
    </row>
    <row r="4452">
      <c r="A4452" t="str">
        <f t="shared" si="1"/>
        <v>dma#2030</v>
      </c>
      <c r="B4452" t="str">
        <f>IFERROR(__xludf.DUMMYFUNCTION("""COMPUTED_VALUE"""),"dma")</f>
        <v>dma</v>
      </c>
      <c r="C4452" t="str">
        <f>IFERROR(__xludf.DUMMYFUNCTION("""COMPUTED_VALUE"""),"Dominica")</f>
        <v>Dominica</v>
      </c>
      <c r="D4452">
        <f>IFERROR(__xludf.DUMMYFUNCTION("""COMPUTED_VALUE"""),2030.0)</f>
        <v>2030</v>
      </c>
      <c r="E4452">
        <f>IFERROR(__xludf.DUMMYFUNCTION("""COMPUTED_VALUE"""),77593.0)</f>
        <v>77593</v>
      </c>
    </row>
    <row r="4453">
      <c r="A4453" t="str">
        <f t="shared" si="1"/>
        <v>dma#2031</v>
      </c>
      <c r="B4453" t="str">
        <f>IFERROR(__xludf.DUMMYFUNCTION("""COMPUTED_VALUE"""),"dma")</f>
        <v>dma</v>
      </c>
      <c r="C4453" t="str">
        <f>IFERROR(__xludf.DUMMYFUNCTION("""COMPUTED_VALUE"""),"Dominica")</f>
        <v>Dominica</v>
      </c>
      <c r="D4453">
        <f>IFERROR(__xludf.DUMMYFUNCTION("""COMPUTED_VALUE"""),2031.0)</f>
        <v>2031</v>
      </c>
      <c r="E4453">
        <f>IFERROR(__xludf.DUMMYFUNCTION("""COMPUTED_VALUE"""),77694.0)</f>
        <v>77694</v>
      </c>
    </row>
    <row r="4454">
      <c r="A4454" t="str">
        <f t="shared" si="1"/>
        <v>dma#2032</v>
      </c>
      <c r="B4454" t="str">
        <f>IFERROR(__xludf.DUMMYFUNCTION("""COMPUTED_VALUE"""),"dma")</f>
        <v>dma</v>
      </c>
      <c r="C4454" t="str">
        <f>IFERROR(__xludf.DUMMYFUNCTION("""COMPUTED_VALUE"""),"Dominica")</f>
        <v>Dominica</v>
      </c>
      <c r="D4454">
        <f>IFERROR(__xludf.DUMMYFUNCTION("""COMPUTED_VALUE"""),2032.0)</f>
        <v>2032</v>
      </c>
      <c r="E4454">
        <f>IFERROR(__xludf.DUMMYFUNCTION("""COMPUTED_VALUE"""),77778.0)</f>
        <v>77778</v>
      </c>
    </row>
    <row r="4455">
      <c r="A4455" t="str">
        <f t="shared" si="1"/>
        <v>dma#2033</v>
      </c>
      <c r="B4455" t="str">
        <f>IFERROR(__xludf.DUMMYFUNCTION("""COMPUTED_VALUE"""),"dma")</f>
        <v>dma</v>
      </c>
      <c r="C4455" t="str">
        <f>IFERROR(__xludf.DUMMYFUNCTION("""COMPUTED_VALUE"""),"Dominica")</f>
        <v>Dominica</v>
      </c>
      <c r="D4455">
        <f>IFERROR(__xludf.DUMMYFUNCTION("""COMPUTED_VALUE"""),2033.0)</f>
        <v>2033</v>
      </c>
      <c r="E4455">
        <f>IFERROR(__xludf.DUMMYFUNCTION("""COMPUTED_VALUE"""),77832.0)</f>
        <v>77832</v>
      </c>
    </row>
    <row r="4456">
      <c r="A4456" t="str">
        <f t="shared" si="1"/>
        <v>dma#2034</v>
      </c>
      <c r="B4456" t="str">
        <f>IFERROR(__xludf.DUMMYFUNCTION("""COMPUTED_VALUE"""),"dma")</f>
        <v>dma</v>
      </c>
      <c r="C4456" t="str">
        <f>IFERROR(__xludf.DUMMYFUNCTION("""COMPUTED_VALUE"""),"Dominica")</f>
        <v>Dominica</v>
      </c>
      <c r="D4456">
        <f>IFERROR(__xludf.DUMMYFUNCTION("""COMPUTED_VALUE"""),2034.0)</f>
        <v>2034</v>
      </c>
      <c r="E4456">
        <f>IFERROR(__xludf.DUMMYFUNCTION("""COMPUTED_VALUE"""),77868.0)</f>
        <v>77868</v>
      </c>
    </row>
    <row r="4457">
      <c r="A4457" t="str">
        <f t="shared" si="1"/>
        <v>dma#2035</v>
      </c>
      <c r="B4457" t="str">
        <f>IFERROR(__xludf.DUMMYFUNCTION("""COMPUTED_VALUE"""),"dma")</f>
        <v>dma</v>
      </c>
      <c r="C4457" t="str">
        <f>IFERROR(__xludf.DUMMYFUNCTION("""COMPUTED_VALUE"""),"Dominica")</f>
        <v>Dominica</v>
      </c>
      <c r="D4457">
        <f>IFERROR(__xludf.DUMMYFUNCTION("""COMPUTED_VALUE"""),2035.0)</f>
        <v>2035</v>
      </c>
      <c r="E4457">
        <f>IFERROR(__xludf.DUMMYFUNCTION("""COMPUTED_VALUE"""),77883.0)</f>
        <v>77883</v>
      </c>
    </row>
    <row r="4458">
      <c r="A4458" t="str">
        <f t="shared" si="1"/>
        <v>dma#2036</v>
      </c>
      <c r="B4458" t="str">
        <f>IFERROR(__xludf.DUMMYFUNCTION("""COMPUTED_VALUE"""),"dma")</f>
        <v>dma</v>
      </c>
      <c r="C4458" t="str">
        <f>IFERROR(__xludf.DUMMYFUNCTION("""COMPUTED_VALUE"""),"Dominica")</f>
        <v>Dominica</v>
      </c>
      <c r="D4458">
        <f>IFERROR(__xludf.DUMMYFUNCTION("""COMPUTED_VALUE"""),2036.0)</f>
        <v>2036</v>
      </c>
      <c r="E4458">
        <f>IFERROR(__xludf.DUMMYFUNCTION("""COMPUTED_VALUE"""),77884.0)</f>
        <v>77884</v>
      </c>
    </row>
    <row r="4459">
      <c r="A4459" t="str">
        <f t="shared" si="1"/>
        <v>dma#2037</v>
      </c>
      <c r="B4459" t="str">
        <f>IFERROR(__xludf.DUMMYFUNCTION("""COMPUTED_VALUE"""),"dma")</f>
        <v>dma</v>
      </c>
      <c r="C4459" t="str">
        <f>IFERROR(__xludf.DUMMYFUNCTION("""COMPUTED_VALUE"""),"Dominica")</f>
        <v>Dominica</v>
      </c>
      <c r="D4459">
        <f>IFERROR(__xludf.DUMMYFUNCTION("""COMPUTED_VALUE"""),2037.0)</f>
        <v>2037</v>
      </c>
      <c r="E4459">
        <f>IFERROR(__xludf.DUMMYFUNCTION("""COMPUTED_VALUE"""),77866.0)</f>
        <v>77866</v>
      </c>
    </row>
    <row r="4460">
      <c r="A4460" t="str">
        <f t="shared" si="1"/>
        <v>dma#2038</v>
      </c>
      <c r="B4460" t="str">
        <f>IFERROR(__xludf.DUMMYFUNCTION("""COMPUTED_VALUE"""),"dma")</f>
        <v>dma</v>
      </c>
      <c r="C4460" t="str">
        <f>IFERROR(__xludf.DUMMYFUNCTION("""COMPUTED_VALUE"""),"Dominica")</f>
        <v>Dominica</v>
      </c>
      <c r="D4460">
        <f>IFERROR(__xludf.DUMMYFUNCTION("""COMPUTED_VALUE"""),2038.0)</f>
        <v>2038</v>
      </c>
      <c r="E4460">
        <f>IFERROR(__xludf.DUMMYFUNCTION("""COMPUTED_VALUE"""),77848.0)</f>
        <v>77848</v>
      </c>
    </row>
    <row r="4461">
      <c r="A4461" t="str">
        <f t="shared" si="1"/>
        <v>dma#2039</v>
      </c>
      <c r="B4461" t="str">
        <f>IFERROR(__xludf.DUMMYFUNCTION("""COMPUTED_VALUE"""),"dma")</f>
        <v>dma</v>
      </c>
      <c r="C4461" t="str">
        <f>IFERROR(__xludf.DUMMYFUNCTION("""COMPUTED_VALUE"""),"Dominica")</f>
        <v>Dominica</v>
      </c>
      <c r="D4461">
        <f>IFERROR(__xludf.DUMMYFUNCTION("""COMPUTED_VALUE"""),2039.0)</f>
        <v>2039</v>
      </c>
      <c r="E4461">
        <f>IFERROR(__xludf.DUMMYFUNCTION("""COMPUTED_VALUE"""),77811.0)</f>
        <v>77811</v>
      </c>
    </row>
    <row r="4462">
      <c r="A4462" t="str">
        <f t="shared" si="1"/>
        <v>dma#2040</v>
      </c>
      <c r="B4462" t="str">
        <f>IFERROR(__xludf.DUMMYFUNCTION("""COMPUTED_VALUE"""),"dma")</f>
        <v>dma</v>
      </c>
      <c r="C4462" t="str">
        <f>IFERROR(__xludf.DUMMYFUNCTION("""COMPUTED_VALUE"""),"Dominica")</f>
        <v>Dominica</v>
      </c>
      <c r="D4462">
        <f>IFERROR(__xludf.DUMMYFUNCTION("""COMPUTED_VALUE"""),2040.0)</f>
        <v>2040</v>
      </c>
      <c r="E4462">
        <f>IFERROR(__xludf.DUMMYFUNCTION("""COMPUTED_VALUE"""),77766.0)</f>
        <v>77766</v>
      </c>
    </row>
    <row r="4463">
      <c r="A4463" t="str">
        <f t="shared" si="1"/>
        <v>dom#1950</v>
      </c>
      <c r="B4463" t="str">
        <f>IFERROR(__xludf.DUMMYFUNCTION("""COMPUTED_VALUE"""),"dom")</f>
        <v>dom</v>
      </c>
      <c r="C4463" t="str">
        <f>IFERROR(__xludf.DUMMYFUNCTION("""COMPUTED_VALUE"""),"Dominican Republic")</f>
        <v>Dominican Republic</v>
      </c>
      <c r="D4463">
        <f>IFERROR(__xludf.DUMMYFUNCTION("""COMPUTED_VALUE"""),1950.0)</f>
        <v>1950</v>
      </c>
      <c r="E4463">
        <f>IFERROR(__xludf.DUMMYFUNCTION("""COMPUTED_VALUE"""),2364654.0)</f>
        <v>2364654</v>
      </c>
    </row>
    <row r="4464">
      <c r="A4464" t="str">
        <f t="shared" si="1"/>
        <v>dom#1951</v>
      </c>
      <c r="B4464" t="str">
        <f>IFERROR(__xludf.DUMMYFUNCTION("""COMPUTED_VALUE"""),"dom")</f>
        <v>dom</v>
      </c>
      <c r="C4464" t="str">
        <f>IFERROR(__xludf.DUMMYFUNCTION("""COMPUTED_VALUE"""),"Dominican Republic")</f>
        <v>Dominican Republic</v>
      </c>
      <c r="D4464">
        <f>IFERROR(__xludf.DUMMYFUNCTION("""COMPUTED_VALUE"""),1951.0)</f>
        <v>1951</v>
      </c>
      <c r="E4464">
        <f>IFERROR(__xludf.DUMMYFUNCTION("""COMPUTED_VALUE"""),2438405.0)</f>
        <v>2438405</v>
      </c>
    </row>
    <row r="4465">
      <c r="A4465" t="str">
        <f t="shared" si="1"/>
        <v>dom#1952</v>
      </c>
      <c r="B4465" t="str">
        <f>IFERROR(__xludf.DUMMYFUNCTION("""COMPUTED_VALUE"""),"dom")</f>
        <v>dom</v>
      </c>
      <c r="C4465" t="str">
        <f>IFERROR(__xludf.DUMMYFUNCTION("""COMPUTED_VALUE"""),"Dominican Republic")</f>
        <v>Dominican Republic</v>
      </c>
      <c r="D4465">
        <f>IFERROR(__xludf.DUMMYFUNCTION("""COMPUTED_VALUE"""),1952.0)</f>
        <v>1952</v>
      </c>
      <c r="E4465">
        <f>IFERROR(__xludf.DUMMYFUNCTION("""COMPUTED_VALUE"""),2517259.0)</f>
        <v>2517259</v>
      </c>
    </row>
    <row r="4466">
      <c r="A4466" t="str">
        <f t="shared" si="1"/>
        <v>dom#1953</v>
      </c>
      <c r="B4466" t="str">
        <f>IFERROR(__xludf.DUMMYFUNCTION("""COMPUTED_VALUE"""),"dom")</f>
        <v>dom</v>
      </c>
      <c r="C4466" t="str">
        <f>IFERROR(__xludf.DUMMYFUNCTION("""COMPUTED_VALUE"""),"Dominican Republic")</f>
        <v>Dominican Republic</v>
      </c>
      <c r="D4466">
        <f>IFERROR(__xludf.DUMMYFUNCTION("""COMPUTED_VALUE"""),1953.0)</f>
        <v>1953</v>
      </c>
      <c r="E4466">
        <f>IFERROR(__xludf.DUMMYFUNCTION("""COMPUTED_VALUE"""),2600798.0)</f>
        <v>2600798</v>
      </c>
    </row>
    <row r="4467">
      <c r="A4467" t="str">
        <f t="shared" si="1"/>
        <v>dom#1954</v>
      </c>
      <c r="B4467" t="str">
        <f>IFERROR(__xludf.DUMMYFUNCTION("""COMPUTED_VALUE"""),"dom")</f>
        <v>dom</v>
      </c>
      <c r="C4467" t="str">
        <f>IFERROR(__xludf.DUMMYFUNCTION("""COMPUTED_VALUE"""),"Dominican Republic")</f>
        <v>Dominican Republic</v>
      </c>
      <c r="D4467">
        <f>IFERROR(__xludf.DUMMYFUNCTION("""COMPUTED_VALUE"""),1954.0)</f>
        <v>1954</v>
      </c>
      <c r="E4467">
        <f>IFERROR(__xludf.DUMMYFUNCTION("""COMPUTED_VALUE"""),2688698.0)</f>
        <v>2688698</v>
      </c>
    </row>
    <row r="4468">
      <c r="A4468" t="str">
        <f t="shared" si="1"/>
        <v>dom#1955</v>
      </c>
      <c r="B4468" t="str">
        <f>IFERROR(__xludf.DUMMYFUNCTION("""COMPUTED_VALUE"""),"dom")</f>
        <v>dom</v>
      </c>
      <c r="C4468" t="str">
        <f>IFERROR(__xludf.DUMMYFUNCTION("""COMPUTED_VALUE"""),"Dominican Republic")</f>
        <v>Dominican Republic</v>
      </c>
      <c r="D4468">
        <f>IFERROR(__xludf.DUMMYFUNCTION("""COMPUTED_VALUE"""),1955.0)</f>
        <v>1955</v>
      </c>
      <c r="E4468">
        <f>IFERROR(__xludf.DUMMYFUNCTION("""COMPUTED_VALUE"""),2780652.0)</f>
        <v>2780652</v>
      </c>
    </row>
    <row r="4469">
      <c r="A4469" t="str">
        <f t="shared" si="1"/>
        <v>dom#1956</v>
      </c>
      <c r="B4469" t="str">
        <f>IFERROR(__xludf.DUMMYFUNCTION("""COMPUTED_VALUE"""),"dom")</f>
        <v>dom</v>
      </c>
      <c r="C4469" t="str">
        <f>IFERROR(__xludf.DUMMYFUNCTION("""COMPUTED_VALUE"""),"Dominican Republic")</f>
        <v>Dominican Republic</v>
      </c>
      <c r="D4469">
        <f>IFERROR(__xludf.DUMMYFUNCTION("""COMPUTED_VALUE"""),1956.0)</f>
        <v>1956</v>
      </c>
      <c r="E4469">
        <f>IFERROR(__xludf.DUMMYFUNCTION("""COMPUTED_VALUE"""),2876428.0)</f>
        <v>2876428</v>
      </c>
    </row>
    <row r="4470">
      <c r="A4470" t="str">
        <f t="shared" si="1"/>
        <v>dom#1957</v>
      </c>
      <c r="B4470" t="str">
        <f>IFERROR(__xludf.DUMMYFUNCTION("""COMPUTED_VALUE"""),"dom")</f>
        <v>dom</v>
      </c>
      <c r="C4470" t="str">
        <f>IFERROR(__xludf.DUMMYFUNCTION("""COMPUTED_VALUE"""),"Dominican Republic")</f>
        <v>Dominican Republic</v>
      </c>
      <c r="D4470">
        <f>IFERROR(__xludf.DUMMYFUNCTION("""COMPUTED_VALUE"""),1957.0)</f>
        <v>1957</v>
      </c>
      <c r="E4470">
        <f>IFERROR(__xludf.DUMMYFUNCTION("""COMPUTED_VALUE"""),2975807.0)</f>
        <v>2975807</v>
      </c>
    </row>
    <row r="4471">
      <c r="A4471" t="str">
        <f t="shared" si="1"/>
        <v>dom#1958</v>
      </c>
      <c r="B4471" t="str">
        <f>IFERROR(__xludf.DUMMYFUNCTION("""COMPUTED_VALUE"""),"dom")</f>
        <v>dom</v>
      </c>
      <c r="C4471" t="str">
        <f>IFERROR(__xludf.DUMMYFUNCTION("""COMPUTED_VALUE"""),"Dominican Republic")</f>
        <v>Dominican Republic</v>
      </c>
      <c r="D4471">
        <f>IFERROR(__xludf.DUMMYFUNCTION("""COMPUTED_VALUE"""),1958.0)</f>
        <v>1958</v>
      </c>
      <c r="E4471">
        <f>IFERROR(__xludf.DUMMYFUNCTION("""COMPUTED_VALUE"""),3078629.0)</f>
        <v>3078629</v>
      </c>
    </row>
    <row r="4472">
      <c r="A4472" t="str">
        <f t="shared" si="1"/>
        <v>dom#1959</v>
      </c>
      <c r="B4472" t="str">
        <f>IFERROR(__xludf.DUMMYFUNCTION("""COMPUTED_VALUE"""),"dom")</f>
        <v>dom</v>
      </c>
      <c r="C4472" t="str">
        <f>IFERROR(__xludf.DUMMYFUNCTION("""COMPUTED_VALUE"""),"Dominican Republic")</f>
        <v>Dominican Republic</v>
      </c>
      <c r="D4472">
        <f>IFERROR(__xludf.DUMMYFUNCTION("""COMPUTED_VALUE"""),1959.0)</f>
        <v>1959</v>
      </c>
      <c r="E4472">
        <f>IFERROR(__xludf.DUMMYFUNCTION("""COMPUTED_VALUE"""),3184757.0)</f>
        <v>3184757</v>
      </c>
    </row>
    <row r="4473">
      <c r="A4473" t="str">
        <f t="shared" si="1"/>
        <v>dom#1960</v>
      </c>
      <c r="B4473" t="str">
        <f>IFERROR(__xludf.DUMMYFUNCTION("""COMPUTED_VALUE"""),"dom")</f>
        <v>dom</v>
      </c>
      <c r="C4473" t="str">
        <f>IFERROR(__xludf.DUMMYFUNCTION("""COMPUTED_VALUE"""),"Dominican Republic")</f>
        <v>Dominican Republic</v>
      </c>
      <c r="D4473">
        <f>IFERROR(__xludf.DUMMYFUNCTION("""COMPUTED_VALUE"""),1960.0)</f>
        <v>1960</v>
      </c>
      <c r="E4473">
        <f>IFERROR(__xludf.DUMMYFUNCTION("""COMPUTED_VALUE"""),3294042.0)</f>
        <v>3294042</v>
      </c>
    </row>
    <row r="4474">
      <c r="A4474" t="str">
        <f t="shared" si="1"/>
        <v>dom#1961</v>
      </c>
      <c r="B4474" t="str">
        <f>IFERROR(__xludf.DUMMYFUNCTION("""COMPUTED_VALUE"""),"dom")</f>
        <v>dom</v>
      </c>
      <c r="C4474" t="str">
        <f>IFERROR(__xludf.DUMMYFUNCTION("""COMPUTED_VALUE"""),"Dominican Republic")</f>
        <v>Dominican Republic</v>
      </c>
      <c r="D4474">
        <f>IFERROR(__xludf.DUMMYFUNCTION("""COMPUTED_VALUE"""),1961.0)</f>
        <v>1961</v>
      </c>
      <c r="E4474">
        <f>IFERROR(__xludf.DUMMYFUNCTION("""COMPUTED_VALUE"""),3406299.0)</f>
        <v>3406299</v>
      </c>
    </row>
    <row r="4475">
      <c r="A4475" t="str">
        <f t="shared" si="1"/>
        <v>dom#1962</v>
      </c>
      <c r="B4475" t="str">
        <f>IFERROR(__xludf.DUMMYFUNCTION("""COMPUTED_VALUE"""),"dom")</f>
        <v>dom</v>
      </c>
      <c r="C4475" t="str">
        <f>IFERROR(__xludf.DUMMYFUNCTION("""COMPUTED_VALUE"""),"Dominican Republic")</f>
        <v>Dominican Republic</v>
      </c>
      <c r="D4475">
        <f>IFERROR(__xludf.DUMMYFUNCTION("""COMPUTED_VALUE"""),1962.0)</f>
        <v>1962</v>
      </c>
      <c r="E4475">
        <f>IFERROR(__xludf.DUMMYFUNCTION("""COMPUTED_VALUE"""),3521278.0)</f>
        <v>3521278</v>
      </c>
    </row>
    <row r="4476">
      <c r="A4476" t="str">
        <f t="shared" si="1"/>
        <v>dom#1963</v>
      </c>
      <c r="B4476" t="str">
        <f>IFERROR(__xludf.DUMMYFUNCTION("""COMPUTED_VALUE"""),"dom")</f>
        <v>dom</v>
      </c>
      <c r="C4476" t="str">
        <f>IFERROR(__xludf.DUMMYFUNCTION("""COMPUTED_VALUE"""),"Dominican Republic")</f>
        <v>Dominican Republic</v>
      </c>
      <c r="D4476">
        <f>IFERROR(__xludf.DUMMYFUNCTION("""COMPUTED_VALUE"""),1963.0)</f>
        <v>1963</v>
      </c>
      <c r="E4476">
        <f>IFERROR(__xludf.DUMMYFUNCTION("""COMPUTED_VALUE"""),3638628.0)</f>
        <v>3638628</v>
      </c>
    </row>
    <row r="4477">
      <c r="A4477" t="str">
        <f t="shared" si="1"/>
        <v>dom#1964</v>
      </c>
      <c r="B4477" t="str">
        <f>IFERROR(__xludf.DUMMYFUNCTION("""COMPUTED_VALUE"""),"dom")</f>
        <v>dom</v>
      </c>
      <c r="C4477" t="str">
        <f>IFERROR(__xludf.DUMMYFUNCTION("""COMPUTED_VALUE"""),"Dominican Republic")</f>
        <v>Dominican Republic</v>
      </c>
      <c r="D4477">
        <f>IFERROR(__xludf.DUMMYFUNCTION("""COMPUTED_VALUE"""),1964.0)</f>
        <v>1964</v>
      </c>
      <c r="E4477">
        <f>IFERROR(__xludf.DUMMYFUNCTION("""COMPUTED_VALUE"""),3757956.0)</f>
        <v>3757956</v>
      </c>
    </row>
    <row r="4478">
      <c r="A4478" t="str">
        <f t="shared" si="1"/>
        <v>dom#1965</v>
      </c>
      <c r="B4478" t="str">
        <f>IFERROR(__xludf.DUMMYFUNCTION("""COMPUTED_VALUE"""),"dom")</f>
        <v>dom</v>
      </c>
      <c r="C4478" t="str">
        <f>IFERROR(__xludf.DUMMYFUNCTION("""COMPUTED_VALUE"""),"Dominican Republic")</f>
        <v>Dominican Republic</v>
      </c>
      <c r="D4478">
        <f>IFERROR(__xludf.DUMMYFUNCTION("""COMPUTED_VALUE"""),1965.0)</f>
        <v>1965</v>
      </c>
      <c r="E4478">
        <f>IFERROR(__xludf.DUMMYFUNCTION("""COMPUTED_VALUE"""),3878948.0)</f>
        <v>3878948</v>
      </c>
    </row>
    <row r="4479">
      <c r="A4479" t="str">
        <f t="shared" si="1"/>
        <v>dom#1966</v>
      </c>
      <c r="B4479" t="str">
        <f>IFERROR(__xludf.DUMMYFUNCTION("""COMPUTED_VALUE"""),"dom")</f>
        <v>dom</v>
      </c>
      <c r="C4479" t="str">
        <f>IFERROR(__xludf.DUMMYFUNCTION("""COMPUTED_VALUE"""),"Dominican Republic")</f>
        <v>Dominican Republic</v>
      </c>
      <c r="D4479">
        <f>IFERROR(__xludf.DUMMYFUNCTION("""COMPUTED_VALUE"""),1966.0)</f>
        <v>1966</v>
      </c>
      <c r="E4479">
        <f>IFERROR(__xludf.DUMMYFUNCTION("""COMPUTED_VALUE"""),4001375.0)</f>
        <v>4001375</v>
      </c>
    </row>
    <row r="4480">
      <c r="A4480" t="str">
        <f t="shared" si="1"/>
        <v>dom#1967</v>
      </c>
      <c r="B4480" t="str">
        <f>IFERROR(__xludf.DUMMYFUNCTION("""COMPUTED_VALUE"""),"dom")</f>
        <v>dom</v>
      </c>
      <c r="C4480" t="str">
        <f>IFERROR(__xludf.DUMMYFUNCTION("""COMPUTED_VALUE"""),"Dominican Republic")</f>
        <v>Dominican Republic</v>
      </c>
      <c r="D4480">
        <f>IFERROR(__xludf.DUMMYFUNCTION("""COMPUTED_VALUE"""),1967.0)</f>
        <v>1967</v>
      </c>
      <c r="E4480">
        <f>IFERROR(__xludf.DUMMYFUNCTION("""COMPUTED_VALUE"""),4125109.0)</f>
        <v>4125109</v>
      </c>
    </row>
    <row r="4481">
      <c r="A4481" t="str">
        <f t="shared" si="1"/>
        <v>dom#1968</v>
      </c>
      <c r="B4481" t="str">
        <f>IFERROR(__xludf.DUMMYFUNCTION("""COMPUTED_VALUE"""),"dom")</f>
        <v>dom</v>
      </c>
      <c r="C4481" t="str">
        <f>IFERROR(__xludf.DUMMYFUNCTION("""COMPUTED_VALUE"""),"Dominican Republic")</f>
        <v>Dominican Republic</v>
      </c>
      <c r="D4481">
        <f>IFERROR(__xludf.DUMMYFUNCTION("""COMPUTED_VALUE"""),1968.0)</f>
        <v>1968</v>
      </c>
      <c r="E4481">
        <f>IFERROR(__xludf.DUMMYFUNCTION("""COMPUTED_VALUE"""),4250025.0)</f>
        <v>4250025</v>
      </c>
    </row>
    <row r="4482">
      <c r="A4482" t="str">
        <f t="shared" si="1"/>
        <v>dom#1969</v>
      </c>
      <c r="B4482" t="str">
        <f>IFERROR(__xludf.DUMMYFUNCTION("""COMPUTED_VALUE"""),"dom")</f>
        <v>dom</v>
      </c>
      <c r="C4482" t="str">
        <f>IFERROR(__xludf.DUMMYFUNCTION("""COMPUTED_VALUE"""),"Dominican Republic")</f>
        <v>Dominican Republic</v>
      </c>
      <c r="D4482">
        <f>IFERROR(__xludf.DUMMYFUNCTION("""COMPUTED_VALUE"""),1969.0)</f>
        <v>1969</v>
      </c>
      <c r="E4482">
        <f>IFERROR(__xludf.DUMMYFUNCTION("""COMPUTED_VALUE"""),4376054.0)</f>
        <v>4376054</v>
      </c>
    </row>
    <row r="4483">
      <c r="A4483" t="str">
        <f t="shared" si="1"/>
        <v>dom#1970</v>
      </c>
      <c r="B4483" t="str">
        <f>IFERROR(__xludf.DUMMYFUNCTION("""COMPUTED_VALUE"""),"dom")</f>
        <v>dom</v>
      </c>
      <c r="C4483" t="str">
        <f>IFERROR(__xludf.DUMMYFUNCTION("""COMPUTED_VALUE"""),"Dominican Republic")</f>
        <v>Dominican Republic</v>
      </c>
      <c r="D4483">
        <f>IFERROR(__xludf.DUMMYFUNCTION("""COMPUTED_VALUE"""),1970.0)</f>
        <v>1970</v>
      </c>
      <c r="E4483">
        <f>IFERROR(__xludf.DUMMYFUNCTION("""COMPUTED_VALUE"""),4503114.0)</f>
        <v>4503114</v>
      </c>
    </row>
    <row r="4484">
      <c r="A4484" t="str">
        <f t="shared" si="1"/>
        <v>dom#1971</v>
      </c>
      <c r="B4484" t="str">
        <f>IFERROR(__xludf.DUMMYFUNCTION("""COMPUTED_VALUE"""),"dom")</f>
        <v>dom</v>
      </c>
      <c r="C4484" t="str">
        <f>IFERROR(__xludf.DUMMYFUNCTION("""COMPUTED_VALUE"""),"Dominican Republic")</f>
        <v>Dominican Republic</v>
      </c>
      <c r="D4484">
        <f>IFERROR(__xludf.DUMMYFUNCTION("""COMPUTED_VALUE"""),1971.0)</f>
        <v>1971</v>
      </c>
      <c r="E4484">
        <f>IFERROR(__xludf.DUMMYFUNCTION("""COMPUTED_VALUE"""),4631114.0)</f>
        <v>4631114</v>
      </c>
    </row>
    <row r="4485">
      <c r="A4485" t="str">
        <f t="shared" si="1"/>
        <v>dom#1972</v>
      </c>
      <c r="B4485" t="str">
        <f>IFERROR(__xludf.DUMMYFUNCTION("""COMPUTED_VALUE"""),"dom")</f>
        <v>dom</v>
      </c>
      <c r="C4485" t="str">
        <f>IFERROR(__xludf.DUMMYFUNCTION("""COMPUTED_VALUE"""),"Dominican Republic")</f>
        <v>Dominican Republic</v>
      </c>
      <c r="D4485">
        <f>IFERROR(__xludf.DUMMYFUNCTION("""COMPUTED_VALUE"""),1972.0)</f>
        <v>1972</v>
      </c>
      <c r="E4485">
        <f>IFERROR(__xludf.DUMMYFUNCTION("""COMPUTED_VALUE"""),4759934.0)</f>
        <v>4759934</v>
      </c>
    </row>
    <row r="4486">
      <c r="A4486" t="str">
        <f t="shared" si="1"/>
        <v>dom#1973</v>
      </c>
      <c r="B4486" t="str">
        <f>IFERROR(__xludf.DUMMYFUNCTION("""COMPUTED_VALUE"""),"dom")</f>
        <v>dom</v>
      </c>
      <c r="C4486" t="str">
        <f>IFERROR(__xludf.DUMMYFUNCTION("""COMPUTED_VALUE"""),"Dominican Republic")</f>
        <v>Dominican Republic</v>
      </c>
      <c r="D4486">
        <f>IFERROR(__xludf.DUMMYFUNCTION("""COMPUTED_VALUE"""),1973.0)</f>
        <v>1973</v>
      </c>
      <c r="E4486">
        <f>IFERROR(__xludf.DUMMYFUNCTION("""COMPUTED_VALUE"""),4889436.0)</f>
        <v>4889436</v>
      </c>
    </row>
    <row r="4487">
      <c r="A4487" t="str">
        <f t="shared" si="1"/>
        <v>dom#1974</v>
      </c>
      <c r="B4487" t="str">
        <f>IFERROR(__xludf.DUMMYFUNCTION("""COMPUTED_VALUE"""),"dom")</f>
        <v>dom</v>
      </c>
      <c r="C4487" t="str">
        <f>IFERROR(__xludf.DUMMYFUNCTION("""COMPUTED_VALUE"""),"Dominican Republic")</f>
        <v>Dominican Republic</v>
      </c>
      <c r="D4487">
        <f>IFERROR(__xludf.DUMMYFUNCTION("""COMPUTED_VALUE"""),1974.0)</f>
        <v>1974</v>
      </c>
      <c r="E4487">
        <f>IFERROR(__xludf.DUMMYFUNCTION("""COMPUTED_VALUE"""),5019473.0)</f>
        <v>5019473</v>
      </c>
    </row>
    <row r="4488">
      <c r="A4488" t="str">
        <f t="shared" si="1"/>
        <v>dom#1975</v>
      </c>
      <c r="B4488" t="str">
        <f>IFERROR(__xludf.DUMMYFUNCTION("""COMPUTED_VALUE"""),"dom")</f>
        <v>dom</v>
      </c>
      <c r="C4488" t="str">
        <f>IFERROR(__xludf.DUMMYFUNCTION("""COMPUTED_VALUE"""),"Dominican Republic")</f>
        <v>Dominican Republic</v>
      </c>
      <c r="D4488">
        <f>IFERROR(__xludf.DUMMYFUNCTION("""COMPUTED_VALUE"""),1975.0)</f>
        <v>1975</v>
      </c>
      <c r="E4488">
        <f>IFERROR(__xludf.DUMMYFUNCTION("""COMPUTED_VALUE"""),5149935.0)</f>
        <v>5149935</v>
      </c>
    </row>
    <row r="4489">
      <c r="A4489" t="str">
        <f t="shared" si="1"/>
        <v>dom#1976</v>
      </c>
      <c r="B4489" t="str">
        <f>IFERROR(__xludf.DUMMYFUNCTION("""COMPUTED_VALUE"""),"dom")</f>
        <v>dom</v>
      </c>
      <c r="C4489" t="str">
        <f>IFERROR(__xludf.DUMMYFUNCTION("""COMPUTED_VALUE"""),"Dominican Republic")</f>
        <v>Dominican Republic</v>
      </c>
      <c r="D4489">
        <f>IFERROR(__xludf.DUMMYFUNCTION("""COMPUTED_VALUE"""),1976.0)</f>
        <v>1976</v>
      </c>
      <c r="E4489">
        <f>IFERROR(__xludf.DUMMYFUNCTION("""COMPUTED_VALUE"""),5280723.0)</f>
        <v>5280723</v>
      </c>
    </row>
    <row r="4490">
      <c r="A4490" t="str">
        <f t="shared" si="1"/>
        <v>dom#1977</v>
      </c>
      <c r="B4490" t="str">
        <f>IFERROR(__xludf.DUMMYFUNCTION("""COMPUTED_VALUE"""),"dom")</f>
        <v>dom</v>
      </c>
      <c r="C4490" t="str">
        <f>IFERROR(__xludf.DUMMYFUNCTION("""COMPUTED_VALUE"""),"Dominican Republic")</f>
        <v>Dominican Republic</v>
      </c>
      <c r="D4490">
        <f>IFERROR(__xludf.DUMMYFUNCTION("""COMPUTED_VALUE"""),1977.0)</f>
        <v>1977</v>
      </c>
      <c r="E4490">
        <f>IFERROR(__xludf.DUMMYFUNCTION("""COMPUTED_VALUE"""),5411865.0)</f>
        <v>5411865</v>
      </c>
    </row>
    <row r="4491">
      <c r="A4491" t="str">
        <f t="shared" si="1"/>
        <v>dom#1978</v>
      </c>
      <c r="B4491" t="str">
        <f>IFERROR(__xludf.DUMMYFUNCTION("""COMPUTED_VALUE"""),"dom")</f>
        <v>dom</v>
      </c>
      <c r="C4491" t="str">
        <f>IFERROR(__xludf.DUMMYFUNCTION("""COMPUTED_VALUE"""),"Dominican Republic")</f>
        <v>Dominican Republic</v>
      </c>
      <c r="D4491">
        <f>IFERROR(__xludf.DUMMYFUNCTION("""COMPUTED_VALUE"""),1978.0)</f>
        <v>1978</v>
      </c>
      <c r="E4491">
        <f>IFERROR(__xludf.DUMMYFUNCTION("""COMPUTED_VALUE"""),5543517.0)</f>
        <v>5543517</v>
      </c>
    </row>
    <row r="4492">
      <c r="A4492" t="str">
        <f t="shared" si="1"/>
        <v>dom#1979</v>
      </c>
      <c r="B4492" t="str">
        <f>IFERROR(__xludf.DUMMYFUNCTION("""COMPUTED_VALUE"""),"dom")</f>
        <v>dom</v>
      </c>
      <c r="C4492" t="str">
        <f>IFERROR(__xludf.DUMMYFUNCTION("""COMPUTED_VALUE"""),"Dominican Republic")</f>
        <v>Dominican Republic</v>
      </c>
      <c r="D4492">
        <f>IFERROR(__xludf.DUMMYFUNCTION("""COMPUTED_VALUE"""),1979.0)</f>
        <v>1979</v>
      </c>
      <c r="E4492">
        <f>IFERROR(__xludf.DUMMYFUNCTION("""COMPUTED_VALUE"""),5675931.0)</f>
        <v>5675931</v>
      </c>
    </row>
    <row r="4493">
      <c r="A4493" t="str">
        <f t="shared" si="1"/>
        <v>dom#1980</v>
      </c>
      <c r="B4493" t="str">
        <f>IFERROR(__xludf.DUMMYFUNCTION("""COMPUTED_VALUE"""),"dom")</f>
        <v>dom</v>
      </c>
      <c r="C4493" t="str">
        <f>IFERROR(__xludf.DUMMYFUNCTION("""COMPUTED_VALUE"""),"Dominican Republic")</f>
        <v>Dominican Republic</v>
      </c>
      <c r="D4493">
        <f>IFERROR(__xludf.DUMMYFUNCTION("""COMPUTED_VALUE"""),1980.0)</f>
        <v>1980</v>
      </c>
      <c r="E4493">
        <f>IFERROR(__xludf.DUMMYFUNCTION("""COMPUTED_VALUE"""),5809269.0)</f>
        <v>5809269</v>
      </c>
    </row>
    <row r="4494">
      <c r="A4494" t="str">
        <f t="shared" si="1"/>
        <v>dom#1981</v>
      </c>
      <c r="B4494" t="str">
        <f>IFERROR(__xludf.DUMMYFUNCTION("""COMPUTED_VALUE"""),"dom")</f>
        <v>dom</v>
      </c>
      <c r="C4494" t="str">
        <f>IFERROR(__xludf.DUMMYFUNCTION("""COMPUTED_VALUE"""),"Dominican Republic")</f>
        <v>Dominican Republic</v>
      </c>
      <c r="D4494">
        <f>IFERROR(__xludf.DUMMYFUNCTION("""COMPUTED_VALUE"""),1981.0)</f>
        <v>1981</v>
      </c>
      <c r="E4494">
        <f>IFERROR(__xludf.DUMMYFUNCTION("""COMPUTED_VALUE"""),5943591.0)</f>
        <v>5943591</v>
      </c>
    </row>
    <row r="4495">
      <c r="A4495" t="str">
        <f t="shared" si="1"/>
        <v>dom#1982</v>
      </c>
      <c r="B4495" t="str">
        <f>IFERROR(__xludf.DUMMYFUNCTION("""COMPUTED_VALUE"""),"dom")</f>
        <v>dom</v>
      </c>
      <c r="C4495" t="str">
        <f>IFERROR(__xludf.DUMMYFUNCTION("""COMPUTED_VALUE"""),"Dominican Republic")</f>
        <v>Dominican Republic</v>
      </c>
      <c r="D4495">
        <f>IFERROR(__xludf.DUMMYFUNCTION("""COMPUTED_VALUE"""),1982.0)</f>
        <v>1982</v>
      </c>
      <c r="E4495">
        <f>IFERROR(__xludf.DUMMYFUNCTION("""COMPUTED_VALUE"""),6078820.0)</f>
        <v>6078820</v>
      </c>
    </row>
    <row r="4496">
      <c r="A4496" t="str">
        <f t="shared" si="1"/>
        <v>dom#1983</v>
      </c>
      <c r="B4496" t="str">
        <f>IFERROR(__xludf.DUMMYFUNCTION("""COMPUTED_VALUE"""),"dom")</f>
        <v>dom</v>
      </c>
      <c r="C4496" t="str">
        <f>IFERROR(__xludf.DUMMYFUNCTION("""COMPUTED_VALUE"""),"Dominican Republic")</f>
        <v>Dominican Republic</v>
      </c>
      <c r="D4496">
        <f>IFERROR(__xludf.DUMMYFUNCTION("""COMPUTED_VALUE"""),1983.0)</f>
        <v>1983</v>
      </c>
      <c r="E4496">
        <f>IFERROR(__xludf.DUMMYFUNCTION("""COMPUTED_VALUE"""),6214857.0)</f>
        <v>6214857</v>
      </c>
    </row>
    <row r="4497">
      <c r="A4497" t="str">
        <f t="shared" si="1"/>
        <v>dom#1984</v>
      </c>
      <c r="B4497" t="str">
        <f>IFERROR(__xludf.DUMMYFUNCTION("""COMPUTED_VALUE"""),"dom")</f>
        <v>dom</v>
      </c>
      <c r="C4497" t="str">
        <f>IFERROR(__xludf.DUMMYFUNCTION("""COMPUTED_VALUE"""),"Dominican Republic")</f>
        <v>Dominican Republic</v>
      </c>
      <c r="D4497">
        <f>IFERROR(__xludf.DUMMYFUNCTION("""COMPUTED_VALUE"""),1984.0)</f>
        <v>1984</v>
      </c>
      <c r="E4497">
        <f>IFERROR(__xludf.DUMMYFUNCTION("""COMPUTED_VALUE"""),6351572.0)</f>
        <v>6351572</v>
      </c>
    </row>
    <row r="4498">
      <c r="A4498" t="str">
        <f t="shared" si="1"/>
        <v>dom#1985</v>
      </c>
      <c r="B4498" t="str">
        <f>IFERROR(__xludf.DUMMYFUNCTION("""COMPUTED_VALUE"""),"dom")</f>
        <v>dom</v>
      </c>
      <c r="C4498" t="str">
        <f>IFERROR(__xludf.DUMMYFUNCTION("""COMPUTED_VALUE"""),"Dominican Republic")</f>
        <v>Dominican Republic</v>
      </c>
      <c r="D4498">
        <f>IFERROR(__xludf.DUMMYFUNCTION("""COMPUTED_VALUE"""),1985.0)</f>
        <v>1985</v>
      </c>
      <c r="E4498">
        <f>IFERROR(__xludf.DUMMYFUNCTION("""COMPUTED_VALUE"""),6488856.0)</f>
        <v>6488856</v>
      </c>
    </row>
    <row r="4499">
      <c r="A4499" t="str">
        <f t="shared" si="1"/>
        <v>dom#1986</v>
      </c>
      <c r="B4499" t="str">
        <f>IFERROR(__xludf.DUMMYFUNCTION("""COMPUTED_VALUE"""),"dom")</f>
        <v>dom</v>
      </c>
      <c r="C4499" t="str">
        <f>IFERROR(__xludf.DUMMYFUNCTION("""COMPUTED_VALUE"""),"Dominican Republic")</f>
        <v>Dominican Republic</v>
      </c>
      <c r="D4499">
        <f>IFERROR(__xludf.DUMMYFUNCTION("""COMPUTED_VALUE"""),1986.0)</f>
        <v>1986</v>
      </c>
      <c r="E4499">
        <f>IFERROR(__xludf.DUMMYFUNCTION("""COMPUTED_VALUE"""),6626542.0)</f>
        <v>6626542</v>
      </c>
    </row>
    <row r="4500">
      <c r="A4500" t="str">
        <f t="shared" si="1"/>
        <v>dom#1987</v>
      </c>
      <c r="B4500" t="str">
        <f>IFERROR(__xludf.DUMMYFUNCTION("""COMPUTED_VALUE"""),"dom")</f>
        <v>dom</v>
      </c>
      <c r="C4500" t="str">
        <f>IFERROR(__xludf.DUMMYFUNCTION("""COMPUTED_VALUE"""),"Dominican Republic")</f>
        <v>Dominican Republic</v>
      </c>
      <c r="D4500">
        <f>IFERROR(__xludf.DUMMYFUNCTION("""COMPUTED_VALUE"""),1987.0)</f>
        <v>1987</v>
      </c>
      <c r="E4500">
        <f>IFERROR(__xludf.DUMMYFUNCTION("""COMPUTED_VALUE"""),6764624.0)</f>
        <v>6764624</v>
      </c>
    </row>
    <row r="4501">
      <c r="A4501" t="str">
        <f t="shared" si="1"/>
        <v>dom#1988</v>
      </c>
      <c r="B4501" t="str">
        <f>IFERROR(__xludf.DUMMYFUNCTION("""COMPUTED_VALUE"""),"dom")</f>
        <v>dom</v>
      </c>
      <c r="C4501" t="str">
        <f>IFERROR(__xludf.DUMMYFUNCTION("""COMPUTED_VALUE"""),"Dominican Republic")</f>
        <v>Dominican Republic</v>
      </c>
      <c r="D4501">
        <f>IFERROR(__xludf.DUMMYFUNCTION("""COMPUTED_VALUE"""),1988.0)</f>
        <v>1988</v>
      </c>
      <c r="E4501">
        <f>IFERROR(__xludf.DUMMYFUNCTION("""COMPUTED_VALUE"""),6903316.0)</f>
        <v>6903316</v>
      </c>
    </row>
    <row r="4502">
      <c r="A4502" t="str">
        <f t="shared" si="1"/>
        <v>dom#1989</v>
      </c>
      <c r="B4502" t="str">
        <f>IFERROR(__xludf.DUMMYFUNCTION("""COMPUTED_VALUE"""),"dom")</f>
        <v>dom</v>
      </c>
      <c r="C4502" t="str">
        <f>IFERROR(__xludf.DUMMYFUNCTION("""COMPUTED_VALUE"""),"Dominican Republic")</f>
        <v>Dominican Republic</v>
      </c>
      <c r="D4502">
        <f>IFERROR(__xludf.DUMMYFUNCTION("""COMPUTED_VALUE"""),1989.0)</f>
        <v>1989</v>
      </c>
      <c r="E4502">
        <f>IFERROR(__xludf.DUMMYFUNCTION("""COMPUTED_VALUE"""),7042937.0)</f>
        <v>7042937</v>
      </c>
    </row>
    <row r="4503">
      <c r="A4503" t="str">
        <f t="shared" si="1"/>
        <v>dom#1990</v>
      </c>
      <c r="B4503" t="str">
        <f>IFERROR(__xludf.DUMMYFUNCTION("""COMPUTED_VALUE"""),"dom")</f>
        <v>dom</v>
      </c>
      <c r="C4503" t="str">
        <f>IFERROR(__xludf.DUMMYFUNCTION("""COMPUTED_VALUE"""),"Dominican Republic")</f>
        <v>Dominican Republic</v>
      </c>
      <c r="D4503">
        <f>IFERROR(__xludf.DUMMYFUNCTION("""COMPUTED_VALUE"""),1990.0)</f>
        <v>1990</v>
      </c>
      <c r="E4503">
        <f>IFERROR(__xludf.DUMMYFUNCTION("""COMPUTED_VALUE"""),7183647.0)</f>
        <v>7183647</v>
      </c>
    </row>
    <row r="4504">
      <c r="A4504" t="str">
        <f t="shared" si="1"/>
        <v>dom#1991</v>
      </c>
      <c r="B4504" t="str">
        <f>IFERROR(__xludf.DUMMYFUNCTION("""COMPUTED_VALUE"""),"dom")</f>
        <v>dom</v>
      </c>
      <c r="C4504" t="str">
        <f>IFERROR(__xludf.DUMMYFUNCTION("""COMPUTED_VALUE"""),"Dominican Republic")</f>
        <v>Dominican Republic</v>
      </c>
      <c r="D4504">
        <f>IFERROR(__xludf.DUMMYFUNCTION("""COMPUTED_VALUE"""),1991.0)</f>
        <v>1991</v>
      </c>
      <c r="E4504">
        <f>IFERROR(__xludf.DUMMYFUNCTION("""COMPUTED_VALUE"""),7325622.0)</f>
        <v>7325622</v>
      </c>
    </row>
    <row r="4505">
      <c r="A4505" t="str">
        <f t="shared" si="1"/>
        <v>dom#1992</v>
      </c>
      <c r="B4505" t="str">
        <f>IFERROR(__xludf.DUMMYFUNCTION("""COMPUTED_VALUE"""),"dom")</f>
        <v>dom</v>
      </c>
      <c r="C4505" t="str">
        <f>IFERROR(__xludf.DUMMYFUNCTION("""COMPUTED_VALUE"""),"Dominican Republic")</f>
        <v>Dominican Republic</v>
      </c>
      <c r="D4505">
        <f>IFERROR(__xludf.DUMMYFUNCTION("""COMPUTED_VALUE"""),1992.0)</f>
        <v>1992</v>
      </c>
      <c r="E4505">
        <f>IFERROR(__xludf.DUMMYFUNCTION("""COMPUTED_VALUE"""),7468551.0)</f>
        <v>7468551</v>
      </c>
    </row>
    <row r="4506">
      <c r="A4506" t="str">
        <f t="shared" si="1"/>
        <v>dom#1993</v>
      </c>
      <c r="B4506" t="str">
        <f>IFERROR(__xludf.DUMMYFUNCTION("""COMPUTED_VALUE"""),"dom")</f>
        <v>dom</v>
      </c>
      <c r="C4506" t="str">
        <f>IFERROR(__xludf.DUMMYFUNCTION("""COMPUTED_VALUE"""),"Dominican Republic")</f>
        <v>Dominican Republic</v>
      </c>
      <c r="D4506">
        <f>IFERROR(__xludf.DUMMYFUNCTION("""COMPUTED_VALUE"""),1993.0)</f>
        <v>1993</v>
      </c>
      <c r="E4506">
        <f>IFERROR(__xludf.DUMMYFUNCTION("""COMPUTED_VALUE"""),7611465.0)</f>
        <v>7611465</v>
      </c>
    </row>
    <row r="4507">
      <c r="A4507" t="str">
        <f t="shared" si="1"/>
        <v>dom#1994</v>
      </c>
      <c r="B4507" t="str">
        <f>IFERROR(__xludf.DUMMYFUNCTION("""COMPUTED_VALUE"""),"dom")</f>
        <v>dom</v>
      </c>
      <c r="C4507" t="str">
        <f>IFERROR(__xludf.DUMMYFUNCTION("""COMPUTED_VALUE"""),"Dominican Republic")</f>
        <v>Dominican Republic</v>
      </c>
      <c r="D4507">
        <f>IFERROR(__xludf.DUMMYFUNCTION("""COMPUTED_VALUE"""),1994.0)</f>
        <v>1994</v>
      </c>
      <c r="E4507">
        <f>IFERROR(__xludf.DUMMYFUNCTION("""COMPUTED_VALUE"""),7753052.0)</f>
        <v>7753052</v>
      </c>
    </row>
    <row r="4508">
      <c r="A4508" t="str">
        <f t="shared" si="1"/>
        <v>dom#1995</v>
      </c>
      <c r="B4508" t="str">
        <f>IFERROR(__xludf.DUMMYFUNCTION("""COMPUTED_VALUE"""),"dom")</f>
        <v>dom</v>
      </c>
      <c r="C4508" t="str">
        <f>IFERROR(__xludf.DUMMYFUNCTION("""COMPUTED_VALUE"""),"Dominican Republic")</f>
        <v>Dominican Republic</v>
      </c>
      <c r="D4508">
        <f>IFERROR(__xludf.DUMMYFUNCTION("""COMPUTED_VALUE"""),1995.0)</f>
        <v>1995</v>
      </c>
      <c r="E4508">
        <f>IFERROR(__xludf.DUMMYFUNCTION("""COMPUTED_VALUE"""),7892423.0)</f>
        <v>7892423</v>
      </c>
    </row>
    <row r="4509">
      <c r="A4509" t="str">
        <f t="shared" si="1"/>
        <v>dom#1996</v>
      </c>
      <c r="B4509" t="str">
        <f>IFERROR(__xludf.DUMMYFUNCTION("""COMPUTED_VALUE"""),"dom")</f>
        <v>dom</v>
      </c>
      <c r="C4509" t="str">
        <f>IFERROR(__xludf.DUMMYFUNCTION("""COMPUTED_VALUE"""),"Dominican Republic")</f>
        <v>Dominican Republic</v>
      </c>
      <c r="D4509">
        <f>IFERROR(__xludf.DUMMYFUNCTION("""COMPUTED_VALUE"""),1996.0)</f>
        <v>1996</v>
      </c>
      <c r="E4509">
        <f>IFERROR(__xludf.DUMMYFUNCTION("""COMPUTED_VALUE"""),8029113.0)</f>
        <v>8029113</v>
      </c>
    </row>
    <row r="4510">
      <c r="A4510" t="str">
        <f t="shared" si="1"/>
        <v>dom#1997</v>
      </c>
      <c r="B4510" t="str">
        <f>IFERROR(__xludf.DUMMYFUNCTION("""COMPUTED_VALUE"""),"dom")</f>
        <v>dom</v>
      </c>
      <c r="C4510" t="str">
        <f>IFERROR(__xludf.DUMMYFUNCTION("""COMPUTED_VALUE"""),"Dominican Republic")</f>
        <v>Dominican Republic</v>
      </c>
      <c r="D4510">
        <f>IFERROR(__xludf.DUMMYFUNCTION("""COMPUTED_VALUE"""),1997.0)</f>
        <v>1997</v>
      </c>
      <c r="E4510">
        <f>IFERROR(__xludf.DUMMYFUNCTION("""COMPUTED_VALUE"""),8163472.0)</f>
        <v>8163472</v>
      </c>
    </row>
    <row r="4511">
      <c r="A4511" t="str">
        <f t="shared" si="1"/>
        <v>dom#1998</v>
      </c>
      <c r="B4511" t="str">
        <f>IFERROR(__xludf.DUMMYFUNCTION("""COMPUTED_VALUE"""),"dom")</f>
        <v>dom</v>
      </c>
      <c r="C4511" t="str">
        <f>IFERROR(__xludf.DUMMYFUNCTION("""COMPUTED_VALUE"""),"Dominican Republic")</f>
        <v>Dominican Republic</v>
      </c>
      <c r="D4511">
        <f>IFERROR(__xludf.DUMMYFUNCTION("""COMPUTED_VALUE"""),1998.0)</f>
        <v>1998</v>
      </c>
      <c r="E4511">
        <f>IFERROR(__xludf.DUMMYFUNCTION("""COMPUTED_VALUE"""),8296375.0)</f>
        <v>8296375</v>
      </c>
    </row>
    <row r="4512">
      <c r="A4512" t="str">
        <f t="shared" si="1"/>
        <v>dom#1999</v>
      </c>
      <c r="B4512" t="str">
        <f>IFERROR(__xludf.DUMMYFUNCTION("""COMPUTED_VALUE"""),"dom")</f>
        <v>dom</v>
      </c>
      <c r="C4512" t="str">
        <f>IFERROR(__xludf.DUMMYFUNCTION("""COMPUTED_VALUE"""),"Dominican Republic")</f>
        <v>Dominican Republic</v>
      </c>
      <c r="D4512">
        <f>IFERROR(__xludf.DUMMYFUNCTION("""COMPUTED_VALUE"""),1999.0)</f>
        <v>1999</v>
      </c>
      <c r="E4512">
        <f>IFERROR(__xludf.DUMMYFUNCTION("""COMPUTED_VALUE"""),8429112.0)</f>
        <v>8429112</v>
      </c>
    </row>
    <row r="4513">
      <c r="A4513" t="str">
        <f t="shared" si="1"/>
        <v>dom#2000</v>
      </c>
      <c r="B4513" t="str">
        <f>IFERROR(__xludf.DUMMYFUNCTION("""COMPUTED_VALUE"""),"dom")</f>
        <v>dom</v>
      </c>
      <c r="C4513" t="str">
        <f>IFERROR(__xludf.DUMMYFUNCTION("""COMPUTED_VALUE"""),"Dominican Republic")</f>
        <v>Dominican Republic</v>
      </c>
      <c r="D4513">
        <f>IFERROR(__xludf.DUMMYFUNCTION("""COMPUTED_VALUE"""),2000.0)</f>
        <v>2000</v>
      </c>
      <c r="E4513">
        <f>IFERROR(__xludf.DUMMYFUNCTION("""COMPUTED_VALUE"""),8562622.0)</f>
        <v>8562622</v>
      </c>
    </row>
    <row r="4514">
      <c r="A4514" t="str">
        <f t="shared" si="1"/>
        <v>dom#2001</v>
      </c>
      <c r="B4514" t="str">
        <f>IFERROR(__xludf.DUMMYFUNCTION("""COMPUTED_VALUE"""),"dom")</f>
        <v>dom</v>
      </c>
      <c r="C4514" t="str">
        <f>IFERROR(__xludf.DUMMYFUNCTION("""COMPUTED_VALUE"""),"Dominican Republic")</f>
        <v>Dominican Republic</v>
      </c>
      <c r="D4514">
        <f>IFERROR(__xludf.DUMMYFUNCTION("""COMPUTED_VALUE"""),2001.0)</f>
        <v>2001</v>
      </c>
      <c r="E4514">
        <f>IFERROR(__xludf.DUMMYFUNCTION("""COMPUTED_VALUE"""),8697126.0)</f>
        <v>8697126</v>
      </c>
    </row>
    <row r="4515">
      <c r="A4515" t="str">
        <f t="shared" si="1"/>
        <v>dom#2002</v>
      </c>
      <c r="B4515" t="str">
        <f>IFERROR(__xludf.DUMMYFUNCTION("""COMPUTED_VALUE"""),"dom")</f>
        <v>dom</v>
      </c>
      <c r="C4515" t="str">
        <f>IFERROR(__xludf.DUMMYFUNCTION("""COMPUTED_VALUE"""),"Dominican Republic")</f>
        <v>Dominican Republic</v>
      </c>
      <c r="D4515">
        <f>IFERROR(__xludf.DUMMYFUNCTION("""COMPUTED_VALUE"""),2002.0)</f>
        <v>2002</v>
      </c>
      <c r="E4515">
        <f>IFERROR(__xludf.DUMMYFUNCTION("""COMPUTED_VALUE"""),8832285.0)</f>
        <v>8832285</v>
      </c>
    </row>
    <row r="4516">
      <c r="A4516" t="str">
        <f t="shared" si="1"/>
        <v>dom#2003</v>
      </c>
      <c r="B4516" t="str">
        <f>IFERROR(__xludf.DUMMYFUNCTION("""COMPUTED_VALUE"""),"dom")</f>
        <v>dom</v>
      </c>
      <c r="C4516" t="str">
        <f>IFERROR(__xludf.DUMMYFUNCTION("""COMPUTED_VALUE"""),"Dominican Republic")</f>
        <v>Dominican Republic</v>
      </c>
      <c r="D4516">
        <f>IFERROR(__xludf.DUMMYFUNCTION("""COMPUTED_VALUE"""),2003.0)</f>
        <v>2003</v>
      </c>
      <c r="E4516">
        <f>IFERROR(__xludf.DUMMYFUNCTION("""COMPUTED_VALUE"""),8967760.0)</f>
        <v>8967760</v>
      </c>
    </row>
    <row r="4517">
      <c r="A4517" t="str">
        <f t="shared" si="1"/>
        <v>dom#2004</v>
      </c>
      <c r="B4517" t="str">
        <f>IFERROR(__xludf.DUMMYFUNCTION("""COMPUTED_VALUE"""),"dom")</f>
        <v>dom</v>
      </c>
      <c r="C4517" t="str">
        <f>IFERROR(__xludf.DUMMYFUNCTION("""COMPUTED_VALUE"""),"Dominican Republic")</f>
        <v>Dominican Republic</v>
      </c>
      <c r="D4517">
        <f>IFERROR(__xludf.DUMMYFUNCTION("""COMPUTED_VALUE"""),2004.0)</f>
        <v>2004</v>
      </c>
      <c r="E4517">
        <f>IFERROR(__xludf.DUMMYFUNCTION("""COMPUTED_VALUE"""),9102998.0)</f>
        <v>9102998</v>
      </c>
    </row>
    <row r="4518">
      <c r="A4518" t="str">
        <f t="shared" si="1"/>
        <v>dom#2005</v>
      </c>
      <c r="B4518" t="str">
        <f>IFERROR(__xludf.DUMMYFUNCTION("""COMPUTED_VALUE"""),"dom")</f>
        <v>dom</v>
      </c>
      <c r="C4518" t="str">
        <f>IFERROR(__xludf.DUMMYFUNCTION("""COMPUTED_VALUE"""),"Dominican Republic")</f>
        <v>Dominican Republic</v>
      </c>
      <c r="D4518">
        <f>IFERROR(__xludf.DUMMYFUNCTION("""COMPUTED_VALUE"""),2005.0)</f>
        <v>2005</v>
      </c>
      <c r="E4518">
        <f>IFERROR(__xludf.DUMMYFUNCTION("""COMPUTED_VALUE"""),9237566.0)</f>
        <v>9237566</v>
      </c>
    </row>
    <row r="4519">
      <c r="A4519" t="str">
        <f t="shared" si="1"/>
        <v>dom#2006</v>
      </c>
      <c r="B4519" t="str">
        <f>IFERROR(__xludf.DUMMYFUNCTION("""COMPUTED_VALUE"""),"dom")</f>
        <v>dom</v>
      </c>
      <c r="C4519" t="str">
        <f>IFERROR(__xludf.DUMMYFUNCTION("""COMPUTED_VALUE"""),"Dominican Republic")</f>
        <v>Dominican Republic</v>
      </c>
      <c r="D4519">
        <f>IFERROR(__xludf.DUMMYFUNCTION("""COMPUTED_VALUE"""),2006.0)</f>
        <v>2006</v>
      </c>
      <c r="E4519">
        <f>IFERROR(__xludf.DUMMYFUNCTION("""COMPUTED_VALUE"""),9371338.0)</f>
        <v>9371338</v>
      </c>
    </row>
    <row r="4520">
      <c r="A4520" t="str">
        <f t="shared" si="1"/>
        <v>dom#2007</v>
      </c>
      <c r="B4520" t="str">
        <f>IFERROR(__xludf.DUMMYFUNCTION("""COMPUTED_VALUE"""),"dom")</f>
        <v>dom</v>
      </c>
      <c r="C4520" t="str">
        <f>IFERROR(__xludf.DUMMYFUNCTION("""COMPUTED_VALUE"""),"Dominican Republic")</f>
        <v>Dominican Republic</v>
      </c>
      <c r="D4520">
        <f>IFERROR(__xludf.DUMMYFUNCTION("""COMPUTED_VALUE"""),2007.0)</f>
        <v>2007</v>
      </c>
      <c r="E4520">
        <f>IFERROR(__xludf.DUMMYFUNCTION("""COMPUTED_VALUE"""),9504353.0)</f>
        <v>9504353</v>
      </c>
    </row>
    <row r="4521">
      <c r="A4521" t="str">
        <f t="shared" si="1"/>
        <v>dom#2008</v>
      </c>
      <c r="B4521" t="str">
        <f>IFERROR(__xludf.DUMMYFUNCTION("""COMPUTED_VALUE"""),"dom")</f>
        <v>dom</v>
      </c>
      <c r="C4521" t="str">
        <f>IFERROR(__xludf.DUMMYFUNCTION("""COMPUTED_VALUE"""),"Dominican Republic")</f>
        <v>Dominican Republic</v>
      </c>
      <c r="D4521">
        <f>IFERROR(__xludf.DUMMYFUNCTION("""COMPUTED_VALUE"""),2008.0)</f>
        <v>2008</v>
      </c>
      <c r="E4521">
        <f>IFERROR(__xludf.DUMMYFUNCTION("""COMPUTED_VALUE"""),9636520.0)</f>
        <v>9636520</v>
      </c>
    </row>
    <row r="4522">
      <c r="A4522" t="str">
        <f t="shared" si="1"/>
        <v>dom#2009</v>
      </c>
      <c r="B4522" t="str">
        <f>IFERROR(__xludf.DUMMYFUNCTION("""COMPUTED_VALUE"""),"dom")</f>
        <v>dom</v>
      </c>
      <c r="C4522" t="str">
        <f>IFERROR(__xludf.DUMMYFUNCTION("""COMPUTED_VALUE"""),"Dominican Republic")</f>
        <v>Dominican Republic</v>
      </c>
      <c r="D4522">
        <f>IFERROR(__xludf.DUMMYFUNCTION("""COMPUTED_VALUE"""),2009.0)</f>
        <v>2009</v>
      </c>
      <c r="E4522">
        <f>IFERROR(__xludf.DUMMYFUNCTION("""COMPUTED_VALUE"""),9767758.0)</f>
        <v>9767758</v>
      </c>
    </row>
    <row r="4523">
      <c r="A4523" t="str">
        <f t="shared" si="1"/>
        <v>dom#2010</v>
      </c>
      <c r="B4523" t="str">
        <f>IFERROR(__xludf.DUMMYFUNCTION("""COMPUTED_VALUE"""),"dom")</f>
        <v>dom</v>
      </c>
      <c r="C4523" t="str">
        <f>IFERROR(__xludf.DUMMYFUNCTION("""COMPUTED_VALUE"""),"Dominican Republic")</f>
        <v>Dominican Republic</v>
      </c>
      <c r="D4523">
        <f>IFERROR(__xludf.DUMMYFUNCTION("""COMPUTED_VALUE"""),2010.0)</f>
        <v>2010</v>
      </c>
      <c r="E4523">
        <f>IFERROR(__xludf.DUMMYFUNCTION("""COMPUTED_VALUE"""),9897985.0)</f>
        <v>9897985</v>
      </c>
    </row>
    <row r="4524">
      <c r="A4524" t="str">
        <f t="shared" si="1"/>
        <v>dom#2011</v>
      </c>
      <c r="B4524" t="str">
        <f>IFERROR(__xludf.DUMMYFUNCTION("""COMPUTED_VALUE"""),"dom")</f>
        <v>dom</v>
      </c>
      <c r="C4524" t="str">
        <f>IFERROR(__xludf.DUMMYFUNCTION("""COMPUTED_VALUE"""),"Dominican Republic")</f>
        <v>Dominican Republic</v>
      </c>
      <c r="D4524">
        <f>IFERROR(__xludf.DUMMYFUNCTION("""COMPUTED_VALUE"""),2011.0)</f>
        <v>2011</v>
      </c>
      <c r="E4524">
        <f>IFERROR(__xludf.DUMMYFUNCTION("""COMPUTED_VALUE"""),1.0027095E7)</f>
        <v>10027095</v>
      </c>
    </row>
    <row r="4525">
      <c r="A4525" t="str">
        <f t="shared" si="1"/>
        <v>dom#2012</v>
      </c>
      <c r="B4525" t="str">
        <f>IFERROR(__xludf.DUMMYFUNCTION("""COMPUTED_VALUE"""),"dom")</f>
        <v>dom</v>
      </c>
      <c r="C4525" t="str">
        <f>IFERROR(__xludf.DUMMYFUNCTION("""COMPUTED_VALUE"""),"Dominican Republic")</f>
        <v>Dominican Republic</v>
      </c>
      <c r="D4525">
        <f>IFERROR(__xludf.DUMMYFUNCTION("""COMPUTED_VALUE"""),2012.0)</f>
        <v>2012</v>
      </c>
      <c r="E4525">
        <f>IFERROR(__xludf.DUMMYFUNCTION("""COMPUTED_VALUE"""),1.015495E7)</f>
        <v>10154950</v>
      </c>
    </row>
    <row r="4526">
      <c r="A4526" t="str">
        <f t="shared" si="1"/>
        <v>dom#2013</v>
      </c>
      <c r="B4526" t="str">
        <f>IFERROR(__xludf.DUMMYFUNCTION("""COMPUTED_VALUE"""),"dom")</f>
        <v>dom</v>
      </c>
      <c r="C4526" t="str">
        <f>IFERROR(__xludf.DUMMYFUNCTION("""COMPUTED_VALUE"""),"Dominican Republic")</f>
        <v>Dominican Republic</v>
      </c>
      <c r="D4526">
        <f>IFERROR(__xludf.DUMMYFUNCTION("""COMPUTED_VALUE"""),2013.0)</f>
        <v>2013</v>
      </c>
      <c r="E4526">
        <f>IFERROR(__xludf.DUMMYFUNCTION("""COMPUTED_VALUE"""),1.0281296E7)</f>
        <v>10281296</v>
      </c>
    </row>
    <row r="4527">
      <c r="A4527" t="str">
        <f t="shared" si="1"/>
        <v>dom#2014</v>
      </c>
      <c r="B4527" t="str">
        <f>IFERROR(__xludf.DUMMYFUNCTION("""COMPUTED_VALUE"""),"dom")</f>
        <v>dom</v>
      </c>
      <c r="C4527" t="str">
        <f>IFERROR(__xludf.DUMMYFUNCTION("""COMPUTED_VALUE"""),"Dominican Republic")</f>
        <v>Dominican Republic</v>
      </c>
      <c r="D4527">
        <f>IFERROR(__xludf.DUMMYFUNCTION("""COMPUTED_VALUE"""),2014.0)</f>
        <v>2014</v>
      </c>
      <c r="E4527">
        <f>IFERROR(__xludf.DUMMYFUNCTION("""COMPUTED_VALUE"""),1.0405844E7)</f>
        <v>10405844</v>
      </c>
    </row>
    <row r="4528">
      <c r="A4528" t="str">
        <f t="shared" si="1"/>
        <v>dom#2015</v>
      </c>
      <c r="B4528" t="str">
        <f>IFERROR(__xludf.DUMMYFUNCTION("""COMPUTED_VALUE"""),"dom")</f>
        <v>dom</v>
      </c>
      <c r="C4528" t="str">
        <f>IFERROR(__xludf.DUMMYFUNCTION("""COMPUTED_VALUE"""),"Dominican Republic")</f>
        <v>Dominican Republic</v>
      </c>
      <c r="D4528">
        <f>IFERROR(__xludf.DUMMYFUNCTION("""COMPUTED_VALUE"""),2015.0)</f>
        <v>2015</v>
      </c>
      <c r="E4528">
        <f>IFERROR(__xludf.DUMMYFUNCTION("""COMPUTED_VALUE"""),1.0528394E7)</f>
        <v>10528394</v>
      </c>
    </row>
    <row r="4529">
      <c r="A4529" t="str">
        <f t="shared" si="1"/>
        <v>dom#2016</v>
      </c>
      <c r="B4529" t="str">
        <f>IFERROR(__xludf.DUMMYFUNCTION("""COMPUTED_VALUE"""),"dom")</f>
        <v>dom</v>
      </c>
      <c r="C4529" t="str">
        <f>IFERROR(__xludf.DUMMYFUNCTION("""COMPUTED_VALUE"""),"Dominican Republic")</f>
        <v>Dominican Republic</v>
      </c>
      <c r="D4529">
        <f>IFERROR(__xludf.DUMMYFUNCTION("""COMPUTED_VALUE"""),2016.0)</f>
        <v>2016</v>
      </c>
      <c r="E4529">
        <f>IFERROR(__xludf.DUMMYFUNCTION("""COMPUTED_VALUE"""),1.0648791E7)</f>
        <v>10648791</v>
      </c>
    </row>
    <row r="4530">
      <c r="A4530" t="str">
        <f t="shared" si="1"/>
        <v>dom#2017</v>
      </c>
      <c r="B4530" t="str">
        <f>IFERROR(__xludf.DUMMYFUNCTION("""COMPUTED_VALUE"""),"dom")</f>
        <v>dom</v>
      </c>
      <c r="C4530" t="str">
        <f>IFERROR(__xludf.DUMMYFUNCTION("""COMPUTED_VALUE"""),"Dominican Republic")</f>
        <v>Dominican Republic</v>
      </c>
      <c r="D4530">
        <f>IFERROR(__xludf.DUMMYFUNCTION("""COMPUTED_VALUE"""),2017.0)</f>
        <v>2017</v>
      </c>
      <c r="E4530">
        <f>IFERROR(__xludf.DUMMYFUNCTION("""COMPUTED_VALUE"""),1.0766998E7)</f>
        <v>10766998</v>
      </c>
    </row>
    <row r="4531">
      <c r="A4531" t="str">
        <f t="shared" si="1"/>
        <v>dom#2018</v>
      </c>
      <c r="B4531" t="str">
        <f>IFERROR(__xludf.DUMMYFUNCTION("""COMPUTED_VALUE"""),"dom")</f>
        <v>dom</v>
      </c>
      <c r="C4531" t="str">
        <f>IFERROR(__xludf.DUMMYFUNCTION("""COMPUTED_VALUE"""),"Dominican Republic")</f>
        <v>Dominican Republic</v>
      </c>
      <c r="D4531">
        <f>IFERROR(__xludf.DUMMYFUNCTION("""COMPUTED_VALUE"""),2018.0)</f>
        <v>2018</v>
      </c>
      <c r="E4531">
        <f>IFERROR(__xludf.DUMMYFUNCTION("""COMPUTED_VALUE"""),1.0882996E7)</f>
        <v>10882996</v>
      </c>
    </row>
    <row r="4532">
      <c r="A4532" t="str">
        <f t="shared" si="1"/>
        <v>dom#2019</v>
      </c>
      <c r="B4532" t="str">
        <f>IFERROR(__xludf.DUMMYFUNCTION("""COMPUTED_VALUE"""),"dom")</f>
        <v>dom</v>
      </c>
      <c r="C4532" t="str">
        <f>IFERROR(__xludf.DUMMYFUNCTION("""COMPUTED_VALUE"""),"Dominican Republic")</f>
        <v>Dominican Republic</v>
      </c>
      <c r="D4532">
        <f>IFERROR(__xludf.DUMMYFUNCTION("""COMPUTED_VALUE"""),2019.0)</f>
        <v>2019</v>
      </c>
      <c r="E4532">
        <f>IFERROR(__xludf.DUMMYFUNCTION("""COMPUTED_VALUE"""),1.0996774E7)</f>
        <v>10996774</v>
      </c>
    </row>
    <row r="4533">
      <c r="A4533" t="str">
        <f t="shared" si="1"/>
        <v>dom#2020</v>
      </c>
      <c r="B4533" t="str">
        <f>IFERROR(__xludf.DUMMYFUNCTION("""COMPUTED_VALUE"""),"dom")</f>
        <v>dom</v>
      </c>
      <c r="C4533" t="str">
        <f>IFERROR(__xludf.DUMMYFUNCTION("""COMPUTED_VALUE"""),"Dominican Republic")</f>
        <v>Dominican Republic</v>
      </c>
      <c r="D4533">
        <f>IFERROR(__xludf.DUMMYFUNCTION("""COMPUTED_VALUE"""),2020.0)</f>
        <v>2020</v>
      </c>
      <c r="E4533">
        <f>IFERROR(__xludf.DUMMYFUNCTION("""COMPUTED_VALUE"""),1.1108358E7)</f>
        <v>11108358</v>
      </c>
    </row>
    <row r="4534">
      <c r="A4534" t="str">
        <f t="shared" si="1"/>
        <v>dom#2021</v>
      </c>
      <c r="B4534" t="str">
        <f>IFERROR(__xludf.DUMMYFUNCTION("""COMPUTED_VALUE"""),"dom")</f>
        <v>dom</v>
      </c>
      <c r="C4534" t="str">
        <f>IFERROR(__xludf.DUMMYFUNCTION("""COMPUTED_VALUE"""),"Dominican Republic")</f>
        <v>Dominican Republic</v>
      </c>
      <c r="D4534">
        <f>IFERROR(__xludf.DUMMYFUNCTION("""COMPUTED_VALUE"""),2021.0)</f>
        <v>2021</v>
      </c>
      <c r="E4534">
        <f>IFERROR(__xludf.DUMMYFUNCTION("""COMPUTED_VALUE"""),1.1217656E7)</f>
        <v>11217656</v>
      </c>
    </row>
    <row r="4535">
      <c r="A4535" t="str">
        <f t="shared" si="1"/>
        <v>dom#2022</v>
      </c>
      <c r="B4535" t="str">
        <f>IFERROR(__xludf.DUMMYFUNCTION("""COMPUTED_VALUE"""),"dom")</f>
        <v>dom</v>
      </c>
      <c r="C4535" t="str">
        <f>IFERROR(__xludf.DUMMYFUNCTION("""COMPUTED_VALUE"""),"Dominican Republic")</f>
        <v>Dominican Republic</v>
      </c>
      <c r="D4535">
        <f>IFERROR(__xludf.DUMMYFUNCTION("""COMPUTED_VALUE"""),2022.0)</f>
        <v>2022</v>
      </c>
      <c r="E4535">
        <f>IFERROR(__xludf.DUMMYFUNCTION("""COMPUTED_VALUE"""),1.1324614E7)</f>
        <v>11324614</v>
      </c>
    </row>
    <row r="4536">
      <c r="A4536" t="str">
        <f t="shared" si="1"/>
        <v>dom#2023</v>
      </c>
      <c r="B4536" t="str">
        <f>IFERROR(__xludf.DUMMYFUNCTION("""COMPUTED_VALUE"""),"dom")</f>
        <v>dom</v>
      </c>
      <c r="C4536" t="str">
        <f>IFERROR(__xludf.DUMMYFUNCTION("""COMPUTED_VALUE"""),"Dominican Republic")</f>
        <v>Dominican Republic</v>
      </c>
      <c r="D4536">
        <f>IFERROR(__xludf.DUMMYFUNCTION("""COMPUTED_VALUE"""),2023.0)</f>
        <v>2023</v>
      </c>
      <c r="E4536">
        <f>IFERROR(__xludf.DUMMYFUNCTION("""COMPUTED_VALUE"""),1.1429275E7)</f>
        <v>11429275</v>
      </c>
    </row>
    <row r="4537">
      <c r="A4537" t="str">
        <f t="shared" si="1"/>
        <v>dom#2024</v>
      </c>
      <c r="B4537" t="str">
        <f>IFERROR(__xludf.DUMMYFUNCTION("""COMPUTED_VALUE"""),"dom")</f>
        <v>dom</v>
      </c>
      <c r="C4537" t="str">
        <f>IFERROR(__xludf.DUMMYFUNCTION("""COMPUTED_VALUE"""),"Dominican Republic")</f>
        <v>Dominican Republic</v>
      </c>
      <c r="D4537">
        <f>IFERROR(__xludf.DUMMYFUNCTION("""COMPUTED_VALUE"""),2024.0)</f>
        <v>2024</v>
      </c>
      <c r="E4537">
        <f>IFERROR(__xludf.DUMMYFUNCTION("""COMPUTED_VALUE"""),1.1531725E7)</f>
        <v>11531725</v>
      </c>
    </row>
    <row r="4538">
      <c r="A4538" t="str">
        <f t="shared" si="1"/>
        <v>dom#2025</v>
      </c>
      <c r="B4538" t="str">
        <f>IFERROR(__xludf.DUMMYFUNCTION("""COMPUTED_VALUE"""),"dom")</f>
        <v>dom</v>
      </c>
      <c r="C4538" t="str">
        <f>IFERROR(__xludf.DUMMYFUNCTION("""COMPUTED_VALUE"""),"Dominican Republic")</f>
        <v>Dominican Republic</v>
      </c>
      <c r="D4538">
        <f>IFERROR(__xludf.DUMMYFUNCTION("""COMPUTED_VALUE"""),2025.0)</f>
        <v>2025</v>
      </c>
      <c r="E4538">
        <f>IFERROR(__xludf.DUMMYFUNCTION("""COMPUTED_VALUE"""),1.1631994E7)</f>
        <v>11631994</v>
      </c>
    </row>
    <row r="4539">
      <c r="A4539" t="str">
        <f t="shared" si="1"/>
        <v>dom#2026</v>
      </c>
      <c r="B4539" t="str">
        <f>IFERROR(__xludf.DUMMYFUNCTION("""COMPUTED_VALUE"""),"dom")</f>
        <v>dom</v>
      </c>
      <c r="C4539" t="str">
        <f>IFERROR(__xludf.DUMMYFUNCTION("""COMPUTED_VALUE"""),"Dominican Republic")</f>
        <v>Dominican Republic</v>
      </c>
      <c r="D4539">
        <f>IFERROR(__xludf.DUMMYFUNCTION("""COMPUTED_VALUE"""),2026.0)</f>
        <v>2026</v>
      </c>
      <c r="E4539">
        <f>IFERROR(__xludf.DUMMYFUNCTION("""COMPUTED_VALUE"""),1.1730102E7)</f>
        <v>11730102</v>
      </c>
    </row>
    <row r="4540">
      <c r="A4540" t="str">
        <f t="shared" si="1"/>
        <v>dom#2027</v>
      </c>
      <c r="B4540" t="str">
        <f>IFERROR(__xludf.DUMMYFUNCTION("""COMPUTED_VALUE"""),"dom")</f>
        <v>dom</v>
      </c>
      <c r="C4540" t="str">
        <f>IFERROR(__xludf.DUMMYFUNCTION("""COMPUTED_VALUE"""),"Dominican Republic")</f>
        <v>Dominican Republic</v>
      </c>
      <c r="D4540">
        <f>IFERROR(__xludf.DUMMYFUNCTION("""COMPUTED_VALUE"""),2027.0)</f>
        <v>2027</v>
      </c>
      <c r="E4540">
        <f>IFERROR(__xludf.DUMMYFUNCTION("""COMPUTED_VALUE"""),1.1825969E7)</f>
        <v>11825969</v>
      </c>
    </row>
    <row r="4541">
      <c r="A4541" t="str">
        <f t="shared" si="1"/>
        <v>dom#2028</v>
      </c>
      <c r="B4541" t="str">
        <f>IFERROR(__xludf.DUMMYFUNCTION("""COMPUTED_VALUE"""),"dom")</f>
        <v>dom</v>
      </c>
      <c r="C4541" t="str">
        <f>IFERROR(__xludf.DUMMYFUNCTION("""COMPUTED_VALUE"""),"Dominican Republic")</f>
        <v>Dominican Republic</v>
      </c>
      <c r="D4541">
        <f>IFERROR(__xludf.DUMMYFUNCTION("""COMPUTED_VALUE"""),2028.0)</f>
        <v>2028</v>
      </c>
      <c r="E4541">
        <f>IFERROR(__xludf.DUMMYFUNCTION("""COMPUTED_VALUE"""),1.1919438E7)</f>
        <v>11919438</v>
      </c>
    </row>
    <row r="4542">
      <c r="A4542" t="str">
        <f t="shared" si="1"/>
        <v>dom#2029</v>
      </c>
      <c r="B4542" t="str">
        <f>IFERROR(__xludf.DUMMYFUNCTION("""COMPUTED_VALUE"""),"dom")</f>
        <v>dom</v>
      </c>
      <c r="C4542" t="str">
        <f>IFERROR(__xludf.DUMMYFUNCTION("""COMPUTED_VALUE"""),"Dominican Republic")</f>
        <v>Dominican Republic</v>
      </c>
      <c r="D4542">
        <f>IFERROR(__xludf.DUMMYFUNCTION("""COMPUTED_VALUE"""),2029.0)</f>
        <v>2029</v>
      </c>
      <c r="E4542">
        <f>IFERROR(__xludf.DUMMYFUNCTION("""COMPUTED_VALUE"""),1.2010267E7)</f>
        <v>12010267</v>
      </c>
    </row>
    <row r="4543">
      <c r="A4543" t="str">
        <f t="shared" si="1"/>
        <v>dom#2030</v>
      </c>
      <c r="B4543" t="str">
        <f>IFERROR(__xludf.DUMMYFUNCTION("""COMPUTED_VALUE"""),"dom")</f>
        <v>dom</v>
      </c>
      <c r="C4543" t="str">
        <f>IFERROR(__xludf.DUMMYFUNCTION("""COMPUTED_VALUE"""),"Dominican Republic")</f>
        <v>Dominican Republic</v>
      </c>
      <c r="D4543">
        <f>IFERROR(__xludf.DUMMYFUNCTION("""COMPUTED_VALUE"""),2030.0)</f>
        <v>2030</v>
      </c>
      <c r="E4543">
        <f>IFERROR(__xludf.DUMMYFUNCTION("""COMPUTED_VALUE"""),1.209832E7)</f>
        <v>12098320</v>
      </c>
    </row>
    <row r="4544">
      <c r="A4544" t="str">
        <f t="shared" si="1"/>
        <v>dom#2031</v>
      </c>
      <c r="B4544" t="str">
        <f>IFERROR(__xludf.DUMMYFUNCTION("""COMPUTED_VALUE"""),"dom")</f>
        <v>dom</v>
      </c>
      <c r="C4544" t="str">
        <f>IFERROR(__xludf.DUMMYFUNCTION("""COMPUTED_VALUE"""),"Dominican Republic")</f>
        <v>Dominican Republic</v>
      </c>
      <c r="D4544">
        <f>IFERROR(__xludf.DUMMYFUNCTION("""COMPUTED_VALUE"""),2031.0)</f>
        <v>2031</v>
      </c>
      <c r="E4544">
        <f>IFERROR(__xludf.DUMMYFUNCTION("""COMPUTED_VALUE"""),1.2183473E7)</f>
        <v>12183473</v>
      </c>
    </row>
    <row r="4545">
      <c r="A4545" t="str">
        <f t="shared" si="1"/>
        <v>dom#2032</v>
      </c>
      <c r="B4545" t="str">
        <f>IFERROR(__xludf.DUMMYFUNCTION("""COMPUTED_VALUE"""),"dom")</f>
        <v>dom</v>
      </c>
      <c r="C4545" t="str">
        <f>IFERROR(__xludf.DUMMYFUNCTION("""COMPUTED_VALUE"""),"Dominican Republic")</f>
        <v>Dominican Republic</v>
      </c>
      <c r="D4545">
        <f>IFERROR(__xludf.DUMMYFUNCTION("""COMPUTED_VALUE"""),2032.0)</f>
        <v>2032</v>
      </c>
      <c r="E4545">
        <f>IFERROR(__xludf.DUMMYFUNCTION("""COMPUTED_VALUE"""),1.226575E7)</f>
        <v>12265750</v>
      </c>
    </row>
    <row r="4546">
      <c r="A4546" t="str">
        <f t="shared" si="1"/>
        <v>dom#2033</v>
      </c>
      <c r="B4546" t="str">
        <f>IFERROR(__xludf.DUMMYFUNCTION("""COMPUTED_VALUE"""),"dom")</f>
        <v>dom</v>
      </c>
      <c r="C4546" t="str">
        <f>IFERROR(__xludf.DUMMYFUNCTION("""COMPUTED_VALUE"""),"Dominican Republic")</f>
        <v>Dominican Republic</v>
      </c>
      <c r="D4546">
        <f>IFERROR(__xludf.DUMMYFUNCTION("""COMPUTED_VALUE"""),2033.0)</f>
        <v>2033</v>
      </c>
      <c r="E4546">
        <f>IFERROR(__xludf.DUMMYFUNCTION("""COMPUTED_VALUE"""),1.2345299E7)</f>
        <v>12345299</v>
      </c>
    </row>
    <row r="4547">
      <c r="A4547" t="str">
        <f t="shared" si="1"/>
        <v>dom#2034</v>
      </c>
      <c r="B4547" t="str">
        <f>IFERROR(__xludf.DUMMYFUNCTION("""COMPUTED_VALUE"""),"dom")</f>
        <v>dom</v>
      </c>
      <c r="C4547" t="str">
        <f>IFERROR(__xludf.DUMMYFUNCTION("""COMPUTED_VALUE"""),"Dominican Republic")</f>
        <v>Dominican Republic</v>
      </c>
      <c r="D4547">
        <f>IFERROR(__xludf.DUMMYFUNCTION("""COMPUTED_VALUE"""),2034.0)</f>
        <v>2034</v>
      </c>
      <c r="E4547">
        <f>IFERROR(__xludf.DUMMYFUNCTION("""COMPUTED_VALUE"""),1.2422304E7)</f>
        <v>12422304</v>
      </c>
    </row>
    <row r="4548">
      <c r="A4548" t="str">
        <f t="shared" si="1"/>
        <v>dom#2035</v>
      </c>
      <c r="B4548" t="str">
        <f>IFERROR(__xludf.DUMMYFUNCTION("""COMPUTED_VALUE"""),"dom")</f>
        <v>dom</v>
      </c>
      <c r="C4548" t="str">
        <f>IFERROR(__xludf.DUMMYFUNCTION("""COMPUTED_VALUE"""),"Dominican Republic")</f>
        <v>Dominican Republic</v>
      </c>
      <c r="D4548">
        <f>IFERROR(__xludf.DUMMYFUNCTION("""COMPUTED_VALUE"""),2035.0)</f>
        <v>2035</v>
      </c>
      <c r="E4548">
        <f>IFERROR(__xludf.DUMMYFUNCTION("""COMPUTED_VALUE"""),1.2496897E7)</f>
        <v>12496897</v>
      </c>
    </row>
    <row r="4549">
      <c r="A4549" t="str">
        <f t="shared" si="1"/>
        <v>dom#2036</v>
      </c>
      <c r="B4549" t="str">
        <f>IFERROR(__xludf.DUMMYFUNCTION("""COMPUTED_VALUE"""),"dom")</f>
        <v>dom</v>
      </c>
      <c r="C4549" t="str">
        <f>IFERROR(__xludf.DUMMYFUNCTION("""COMPUTED_VALUE"""),"Dominican Republic")</f>
        <v>Dominican Republic</v>
      </c>
      <c r="D4549">
        <f>IFERROR(__xludf.DUMMYFUNCTION("""COMPUTED_VALUE"""),2036.0)</f>
        <v>2036</v>
      </c>
      <c r="E4549">
        <f>IFERROR(__xludf.DUMMYFUNCTION("""COMPUTED_VALUE"""),1.256911E7)</f>
        <v>12569110</v>
      </c>
    </row>
    <row r="4550">
      <c r="A4550" t="str">
        <f t="shared" si="1"/>
        <v>dom#2037</v>
      </c>
      <c r="B4550" t="str">
        <f>IFERROR(__xludf.DUMMYFUNCTION("""COMPUTED_VALUE"""),"dom")</f>
        <v>dom</v>
      </c>
      <c r="C4550" t="str">
        <f>IFERROR(__xludf.DUMMYFUNCTION("""COMPUTED_VALUE"""),"Dominican Republic")</f>
        <v>Dominican Republic</v>
      </c>
      <c r="D4550">
        <f>IFERROR(__xludf.DUMMYFUNCTION("""COMPUTED_VALUE"""),2037.0)</f>
        <v>2037</v>
      </c>
      <c r="E4550">
        <f>IFERROR(__xludf.DUMMYFUNCTION("""COMPUTED_VALUE"""),1.2638824E7)</f>
        <v>12638824</v>
      </c>
    </row>
    <row r="4551">
      <c r="A4551" t="str">
        <f t="shared" si="1"/>
        <v>dom#2038</v>
      </c>
      <c r="B4551" t="str">
        <f>IFERROR(__xludf.DUMMYFUNCTION("""COMPUTED_VALUE"""),"dom")</f>
        <v>dom</v>
      </c>
      <c r="C4551" t="str">
        <f>IFERROR(__xludf.DUMMYFUNCTION("""COMPUTED_VALUE"""),"Dominican Republic")</f>
        <v>Dominican Republic</v>
      </c>
      <c r="D4551">
        <f>IFERROR(__xludf.DUMMYFUNCTION("""COMPUTED_VALUE"""),2038.0)</f>
        <v>2038</v>
      </c>
      <c r="E4551">
        <f>IFERROR(__xludf.DUMMYFUNCTION("""COMPUTED_VALUE"""),1.2705838E7)</f>
        <v>12705838</v>
      </c>
    </row>
    <row r="4552">
      <c r="A4552" t="str">
        <f t="shared" si="1"/>
        <v>dom#2039</v>
      </c>
      <c r="B4552" t="str">
        <f>IFERROR(__xludf.DUMMYFUNCTION("""COMPUTED_VALUE"""),"dom")</f>
        <v>dom</v>
      </c>
      <c r="C4552" t="str">
        <f>IFERROR(__xludf.DUMMYFUNCTION("""COMPUTED_VALUE"""),"Dominican Republic")</f>
        <v>Dominican Republic</v>
      </c>
      <c r="D4552">
        <f>IFERROR(__xludf.DUMMYFUNCTION("""COMPUTED_VALUE"""),2039.0)</f>
        <v>2039</v>
      </c>
      <c r="E4552">
        <f>IFERROR(__xludf.DUMMYFUNCTION("""COMPUTED_VALUE"""),1.276988E7)</f>
        <v>12769880</v>
      </c>
    </row>
    <row r="4553">
      <c r="A4553" t="str">
        <f t="shared" si="1"/>
        <v>dom#2040</v>
      </c>
      <c r="B4553" t="str">
        <f>IFERROR(__xludf.DUMMYFUNCTION("""COMPUTED_VALUE"""),"dom")</f>
        <v>dom</v>
      </c>
      <c r="C4553" t="str">
        <f>IFERROR(__xludf.DUMMYFUNCTION("""COMPUTED_VALUE"""),"Dominican Republic")</f>
        <v>Dominican Republic</v>
      </c>
      <c r="D4553">
        <f>IFERROR(__xludf.DUMMYFUNCTION("""COMPUTED_VALUE"""),2040.0)</f>
        <v>2040</v>
      </c>
      <c r="E4553">
        <f>IFERROR(__xludf.DUMMYFUNCTION("""COMPUTED_VALUE"""),1.2830731E7)</f>
        <v>12830731</v>
      </c>
    </row>
    <row r="4554">
      <c r="A4554" t="str">
        <f t="shared" si="1"/>
        <v>ecu#1950</v>
      </c>
      <c r="B4554" t="str">
        <f>IFERROR(__xludf.DUMMYFUNCTION("""COMPUTED_VALUE"""),"ecu")</f>
        <v>ecu</v>
      </c>
      <c r="C4554" t="str">
        <f>IFERROR(__xludf.DUMMYFUNCTION("""COMPUTED_VALUE"""),"Ecuador")</f>
        <v>Ecuador</v>
      </c>
      <c r="D4554">
        <f>IFERROR(__xludf.DUMMYFUNCTION("""COMPUTED_VALUE"""),1950.0)</f>
        <v>1950</v>
      </c>
      <c r="E4554">
        <f>IFERROR(__xludf.DUMMYFUNCTION("""COMPUTED_VALUE"""),3470159.0)</f>
        <v>3470159</v>
      </c>
    </row>
    <row r="4555">
      <c r="A4555" t="str">
        <f t="shared" si="1"/>
        <v>ecu#1951</v>
      </c>
      <c r="B4555" t="str">
        <f>IFERROR(__xludf.DUMMYFUNCTION("""COMPUTED_VALUE"""),"ecu")</f>
        <v>ecu</v>
      </c>
      <c r="C4555" t="str">
        <f>IFERROR(__xludf.DUMMYFUNCTION("""COMPUTED_VALUE"""),"Ecuador")</f>
        <v>Ecuador</v>
      </c>
      <c r="D4555">
        <f>IFERROR(__xludf.DUMMYFUNCTION("""COMPUTED_VALUE"""),1951.0)</f>
        <v>1951</v>
      </c>
      <c r="E4555">
        <f>IFERROR(__xludf.DUMMYFUNCTION("""COMPUTED_VALUE"""),3561154.0)</f>
        <v>3561154</v>
      </c>
    </row>
    <row r="4556">
      <c r="A4556" t="str">
        <f t="shared" si="1"/>
        <v>ecu#1952</v>
      </c>
      <c r="B4556" t="str">
        <f>IFERROR(__xludf.DUMMYFUNCTION("""COMPUTED_VALUE"""),"ecu")</f>
        <v>ecu</v>
      </c>
      <c r="C4556" t="str">
        <f>IFERROR(__xludf.DUMMYFUNCTION("""COMPUTED_VALUE"""),"Ecuador")</f>
        <v>Ecuador</v>
      </c>
      <c r="D4556">
        <f>IFERROR(__xludf.DUMMYFUNCTION("""COMPUTED_VALUE"""),1952.0)</f>
        <v>1952</v>
      </c>
      <c r="E4556">
        <f>IFERROR(__xludf.DUMMYFUNCTION("""COMPUTED_VALUE"""),3655014.0)</f>
        <v>3655014</v>
      </c>
    </row>
    <row r="4557">
      <c r="A4557" t="str">
        <f t="shared" si="1"/>
        <v>ecu#1953</v>
      </c>
      <c r="B4557" t="str">
        <f>IFERROR(__xludf.DUMMYFUNCTION("""COMPUTED_VALUE"""),"ecu")</f>
        <v>ecu</v>
      </c>
      <c r="C4557" t="str">
        <f>IFERROR(__xludf.DUMMYFUNCTION("""COMPUTED_VALUE"""),"Ecuador")</f>
        <v>Ecuador</v>
      </c>
      <c r="D4557">
        <f>IFERROR(__xludf.DUMMYFUNCTION("""COMPUTED_VALUE"""),1953.0)</f>
        <v>1953</v>
      </c>
      <c r="E4557">
        <f>IFERROR(__xludf.DUMMYFUNCTION("""COMPUTED_VALUE"""),3752135.0)</f>
        <v>3752135</v>
      </c>
    </row>
    <row r="4558">
      <c r="A4558" t="str">
        <f t="shared" si="1"/>
        <v>ecu#1954</v>
      </c>
      <c r="B4558" t="str">
        <f>IFERROR(__xludf.DUMMYFUNCTION("""COMPUTED_VALUE"""),"ecu")</f>
        <v>ecu</v>
      </c>
      <c r="C4558" t="str">
        <f>IFERROR(__xludf.DUMMYFUNCTION("""COMPUTED_VALUE"""),"Ecuador")</f>
        <v>Ecuador</v>
      </c>
      <c r="D4558">
        <f>IFERROR(__xludf.DUMMYFUNCTION("""COMPUTED_VALUE"""),1954.0)</f>
        <v>1954</v>
      </c>
      <c r="E4558">
        <f>IFERROR(__xludf.DUMMYFUNCTION("""COMPUTED_VALUE"""),3852859.0)</f>
        <v>3852859</v>
      </c>
    </row>
    <row r="4559">
      <c r="A4559" t="str">
        <f t="shared" si="1"/>
        <v>ecu#1955</v>
      </c>
      <c r="B4559" t="str">
        <f>IFERROR(__xludf.DUMMYFUNCTION("""COMPUTED_VALUE"""),"ecu")</f>
        <v>ecu</v>
      </c>
      <c r="C4559" t="str">
        <f>IFERROR(__xludf.DUMMYFUNCTION("""COMPUTED_VALUE"""),"Ecuador")</f>
        <v>Ecuador</v>
      </c>
      <c r="D4559">
        <f>IFERROR(__xludf.DUMMYFUNCTION("""COMPUTED_VALUE"""),1955.0)</f>
        <v>1955</v>
      </c>
      <c r="E4559">
        <f>IFERROR(__xludf.DUMMYFUNCTION("""COMPUTED_VALUE"""),3957485.0)</f>
        <v>3957485</v>
      </c>
    </row>
    <row r="4560">
      <c r="A4560" t="str">
        <f t="shared" si="1"/>
        <v>ecu#1956</v>
      </c>
      <c r="B4560" t="str">
        <f>IFERROR(__xludf.DUMMYFUNCTION("""COMPUTED_VALUE"""),"ecu")</f>
        <v>ecu</v>
      </c>
      <c r="C4560" t="str">
        <f>IFERROR(__xludf.DUMMYFUNCTION("""COMPUTED_VALUE"""),"Ecuador")</f>
        <v>Ecuador</v>
      </c>
      <c r="D4560">
        <f>IFERROR(__xludf.DUMMYFUNCTION("""COMPUTED_VALUE"""),1956.0)</f>
        <v>1956</v>
      </c>
      <c r="E4560">
        <f>IFERROR(__xludf.DUMMYFUNCTION("""COMPUTED_VALUE"""),4066239.0)</f>
        <v>4066239</v>
      </c>
    </row>
    <row r="4561">
      <c r="A4561" t="str">
        <f t="shared" si="1"/>
        <v>ecu#1957</v>
      </c>
      <c r="B4561" t="str">
        <f>IFERROR(__xludf.DUMMYFUNCTION("""COMPUTED_VALUE"""),"ecu")</f>
        <v>ecu</v>
      </c>
      <c r="C4561" t="str">
        <f>IFERROR(__xludf.DUMMYFUNCTION("""COMPUTED_VALUE"""),"Ecuador")</f>
        <v>Ecuador</v>
      </c>
      <c r="D4561">
        <f>IFERROR(__xludf.DUMMYFUNCTION("""COMPUTED_VALUE"""),1957.0)</f>
        <v>1957</v>
      </c>
      <c r="E4561">
        <f>IFERROR(__xludf.DUMMYFUNCTION("""COMPUTED_VALUE"""),4179319.0)</f>
        <v>4179319</v>
      </c>
    </row>
    <row r="4562">
      <c r="A4562" t="str">
        <f t="shared" si="1"/>
        <v>ecu#1958</v>
      </c>
      <c r="B4562" t="str">
        <f>IFERROR(__xludf.DUMMYFUNCTION("""COMPUTED_VALUE"""),"ecu")</f>
        <v>ecu</v>
      </c>
      <c r="C4562" t="str">
        <f>IFERROR(__xludf.DUMMYFUNCTION("""COMPUTED_VALUE"""),"Ecuador")</f>
        <v>Ecuador</v>
      </c>
      <c r="D4562">
        <f>IFERROR(__xludf.DUMMYFUNCTION("""COMPUTED_VALUE"""),1958.0)</f>
        <v>1958</v>
      </c>
      <c r="E4562">
        <f>IFERROR(__xludf.DUMMYFUNCTION("""COMPUTED_VALUE"""),4296833.0)</f>
        <v>4296833</v>
      </c>
    </row>
    <row r="4563">
      <c r="A4563" t="str">
        <f t="shared" si="1"/>
        <v>ecu#1959</v>
      </c>
      <c r="B4563" t="str">
        <f>IFERROR(__xludf.DUMMYFUNCTION("""COMPUTED_VALUE"""),"ecu")</f>
        <v>ecu</v>
      </c>
      <c r="C4563" t="str">
        <f>IFERROR(__xludf.DUMMYFUNCTION("""COMPUTED_VALUE"""),"Ecuador")</f>
        <v>Ecuador</v>
      </c>
      <c r="D4563">
        <f>IFERROR(__xludf.DUMMYFUNCTION("""COMPUTED_VALUE"""),1959.0)</f>
        <v>1959</v>
      </c>
      <c r="E4563">
        <f>IFERROR(__xludf.DUMMYFUNCTION("""COMPUTED_VALUE"""),4418892.0)</f>
        <v>4418892</v>
      </c>
    </row>
    <row r="4564">
      <c r="A4564" t="str">
        <f t="shared" si="1"/>
        <v>ecu#1960</v>
      </c>
      <c r="B4564" t="str">
        <f>IFERROR(__xludf.DUMMYFUNCTION("""COMPUTED_VALUE"""),"ecu")</f>
        <v>ecu</v>
      </c>
      <c r="C4564" t="str">
        <f>IFERROR(__xludf.DUMMYFUNCTION("""COMPUTED_VALUE"""),"Ecuador")</f>
        <v>Ecuador</v>
      </c>
      <c r="D4564">
        <f>IFERROR(__xludf.DUMMYFUNCTION("""COMPUTED_VALUE"""),1960.0)</f>
        <v>1960</v>
      </c>
      <c r="E4564">
        <f>IFERROR(__xludf.DUMMYFUNCTION("""COMPUTED_VALUE"""),4545550.0)</f>
        <v>4545550</v>
      </c>
    </row>
    <row r="4565">
      <c r="A4565" t="str">
        <f t="shared" si="1"/>
        <v>ecu#1961</v>
      </c>
      <c r="B4565" t="str">
        <f>IFERROR(__xludf.DUMMYFUNCTION("""COMPUTED_VALUE"""),"ecu")</f>
        <v>ecu</v>
      </c>
      <c r="C4565" t="str">
        <f>IFERROR(__xludf.DUMMYFUNCTION("""COMPUTED_VALUE"""),"Ecuador")</f>
        <v>Ecuador</v>
      </c>
      <c r="D4565">
        <f>IFERROR(__xludf.DUMMYFUNCTION("""COMPUTED_VALUE"""),1961.0)</f>
        <v>1961</v>
      </c>
      <c r="E4565">
        <f>IFERROR(__xludf.DUMMYFUNCTION("""COMPUTED_VALUE"""),4676859.0)</f>
        <v>4676859</v>
      </c>
    </row>
    <row r="4566">
      <c r="A4566" t="str">
        <f t="shared" si="1"/>
        <v>ecu#1962</v>
      </c>
      <c r="B4566" t="str">
        <f>IFERROR(__xludf.DUMMYFUNCTION("""COMPUTED_VALUE"""),"ecu")</f>
        <v>ecu</v>
      </c>
      <c r="C4566" t="str">
        <f>IFERROR(__xludf.DUMMYFUNCTION("""COMPUTED_VALUE"""),"Ecuador")</f>
        <v>Ecuador</v>
      </c>
      <c r="D4566">
        <f>IFERROR(__xludf.DUMMYFUNCTION("""COMPUTED_VALUE"""),1962.0)</f>
        <v>1962</v>
      </c>
      <c r="E4566">
        <f>IFERROR(__xludf.DUMMYFUNCTION("""COMPUTED_VALUE"""),4812890.0)</f>
        <v>4812890</v>
      </c>
    </row>
    <row r="4567">
      <c r="A4567" t="str">
        <f t="shared" si="1"/>
        <v>ecu#1963</v>
      </c>
      <c r="B4567" t="str">
        <f>IFERROR(__xludf.DUMMYFUNCTION("""COMPUTED_VALUE"""),"ecu")</f>
        <v>ecu</v>
      </c>
      <c r="C4567" t="str">
        <f>IFERROR(__xludf.DUMMYFUNCTION("""COMPUTED_VALUE"""),"Ecuador")</f>
        <v>Ecuador</v>
      </c>
      <c r="D4567">
        <f>IFERROR(__xludf.DUMMYFUNCTION("""COMPUTED_VALUE"""),1963.0)</f>
        <v>1963</v>
      </c>
      <c r="E4567">
        <f>IFERROR(__xludf.DUMMYFUNCTION("""COMPUTED_VALUE"""),4953733.0)</f>
        <v>4953733</v>
      </c>
    </row>
    <row r="4568">
      <c r="A4568" t="str">
        <f t="shared" si="1"/>
        <v>ecu#1964</v>
      </c>
      <c r="B4568" t="str">
        <f>IFERROR(__xludf.DUMMYFUNCTION("""COMPUTED_VALUE"""),"ecu")</f>
        <v>ecu</v>
      </c>
      <c r="C4568" t="str">
        <f>IFERROR(__xludf.DUMMYFUNCTION("""COMPUTED_VALUE"""),"Ecuador")</f>
        <v>Ecuador</v>
      </c>
      <c r="D4568">
        <f>IFERROR(__xludf.DUMMYFUNCTION("""COMPUTED_VALUE"""),1964.0)</f>
        <v>1964</v>
      </c>
      <c r="E4568">
        <f>IFERROR(__xludf.DUMMYFUNCTION("""COMPUTED_VALUE"""),5099468.0)</f>
        <v>5099468</v>
      </c>
    </row>
    <row r="4569">
      <c r="A4569" t="str">
        <f t="shared" si="1"/>
        <v>ecu#1965</v>
      </c>
      <c r="B4569" t="str">
        <f>IFERROR(__xludf.DUMMYFUNCTION("""COMPUTED_VALUE"""),"ecu")</f>
        <v>ecu</v>
      </c>
      <c r="C4569" t="str">
        <f>IFERROR(__xludf.DUMMYFUNCTION("""COMPUTED_VALUE"""),"Ecuador")</f>
        <v>Ecuador</v>
      </c>
      <c r="D4569">
        <f>IFERROR(__xludf.DUMMYFUNCTION("""COMPUTED_VALUE"""),1965.0)</f>
        <v>1965</v>
      </c>
      <c r="E4569">
        <f>IFERROR(__xludf.DUMMYFUNCTION("""COMPUTED_VALUE"""),5250119.0)</f>
        <v>5250119</v>
      </c>
    </row>
    <row r="4570">
      <c r="A4570" t="str">
        <f t="shared" si="1"/>
        <v>ecu#1966</v>
      </c>
      <c r="B4570" t="str">
        <f>IFERROR(__xludf.DUMMYFUNCTION("""COMPUTED_VALUE"""),"ecu")</f>
        <v>ecu</v>
      </c>
      <c r="C4570" t="str">
        <f>IFERROR(__xludf.DUMMYFUNCTION("""COMPUTED_VALUE"""),"Ecuador")</f>
        <v>Ecuador</v>
      </c>
      <c r="D4570">
        <f>IFERROR(__xludf.DUMMYFUNCTION("""COMPUTED_VALUE"""),1966.0)</f>
        <v>1966</v>
      </c>
      <c r="E4570">
        <f>IFERROR(__xludf.DUMMYFUNCTION("""COMPUTED_VALUE"""),5405685.0)</f>
        <v>5405685</v>
      </c>
    </row>
    <row r="4571">
      <c r="A4571" t="str">
        <f t="shared" si="1"/>
        <v>ecu#1967</v>
      </c>
      <c r="B4571" t="str">
        <f>IFERROR(__xludf.DUMMYFUNCTION("""COMPUTED_VALUE"""),"ecu")</f>
        <v>ecu</v>
      </c>
      <c r="C4571" t="str">
        <f>IFERROR(__xludf.DUMMYFUNCTION("""COMPUTED_VALUE"""),"Ecuador")</f>
        <v>Ecuador</v>
      </c>
      <c r="D4571">
        <f>IFERROR(__xludf.DUMMYFUNCTION("""COMPUTED_VALUE"""),1967.0)</f>
        <v>1967</v>
      </c>
      <c r="E4571">
        <f>IFERROR(__xludf.DUMMYFUNCTION("""COMPUTED_VALUE"""),5566057.0)</f>
        <v>5566057</v>
      </c>
    </row>
    <row r="4572">
      <c r="A4572" t="str">
        <f t="shared" si="1"/>
        <v>ecu#1968</v>
      </c>
      <c r="B4572" t="str">
        <f>IFERROR(__xludf.DUMMYFUNCTION("""COMPUTED_VALUE"""),"ecu")</f>
        <v>ecu</v>
      </c>
      <c r="C4572" t="str">
        <f>IFERROR(__xludf.DUMMYFUNCTION("""COMPUTED_VALUE"""),"Ecuador")</f>
        <v>Ecuador</v>
      </c>
      <c r="D4572">
        <f>IFERROR(__xludf.DUMMYFUNCTION("""COMPUTED_VALUE"""),1968.0)</f>
        <v>1968</v>
      </c>
      <c r="E4572">
        <f>IFERROR(__xludf.DUMMYFUNCTION("""COMPUTED_VALUE"""),5730906.0)</f>
        <v>5730906</v>
      </c>
    </row>
    <row r="4573">
      <c r="A4573" t="str">
        <f t="shared" si="1"/>
        <v>ecu#1969</v>
      </c>
      <c r="B4573" t="str">
        <f>IFERROR(__xludf.DUMMYFUNCTION("""COMPUTED_VALUE"""),"ecu")</f>
        <v>ecu</v>
      </c>
      <c r="C4573" t="str">
        <f>IFERROR(__xludf.DUMMYFUNCTION("""COMPUTED_VALUE"""),"Ecuador")</f>
        <v>Ecuador</v>
      </c>
      <c r="D4573">
        <f>IFERROR(__xludf.DUMMYFUNCTION("""COMPUTED_VALUE"""),1969.0)</f>
        <v>1969</v>
      </c>
      <c r="E4573">
        <f>IFERROR(__xludf.DUMMYFUNCTION("""COMPUTED_VALUE"""),5899845.0)</f>
        <v>5899845</v>
      </c>
    </row>
    <row r="4574">
      <c r="A4574" t="str">
        <f t="shared" si="1"/>
        <v>ecu#1970</v>
      </c>
      <c r="B4574" t="str">
        <f>IFERROR(__xludf.DUMMYFUNCTION("""COMPUTED_VALUE"""),"ecu")</f>
        <v>ecu</v>
      </c>
      <c r="C4574" t="str">
        <f>IFERROR(__xludf.DUMMYFUNCTION("""COMPUTED_VALUE"""),"Ecuador")</f>
        <v>Ecuador</v>
      </c>
      <c r="D4574">
        <f>IFERROR(__xludf.DUMMYFUNCTION("""COMPUTED_VALUE"""),1970.0)</f>
        <v>1970</v>
      </c>
      <c r="E4574">
        <f>IFERROR(__xludf.DUMMYFUNCTION("""COMPUTED_VALUE"""),6072527.0)</f>
        <v>6072527</v>
      </c>
    </row>
    <row r="4575">
      <c r="A4575" t="str">
        <f t="shared" si="1"/>
        <v>ecu#1971</v>
      </c>
      <c r="B4575" t="str">
        <f>IFERROR(__xludf.DUMMYFUNCTION("""COMPUTED_VALUE"""),"ecu")</f>
        <v>ecu</v>
      </c>
      <c r="C4575" t="str">
        <f>IFERROR(__xludf.DUMMYFUNCTION("""COMPUTED_VALUE"""),"Ecuador")</f>
        <v>Ecuador</v>
      </c>
      <c r="D4575">
        <f>IFERROR(__xludf.DUMMYFUNCTION("""COMPUTED_VALUE"""),1971.0)</f>
        <v>1971</v>
      </c>
      <c r="E4575">
        <f>IFERROR(__xludf.DUMMYFUNCTION("""COMPUTED_VALUE"""),6248835.0)</f>
        <v>6248835</v>
      </c>
    </row>
    <row r="4576">
      <c r="A4576" t="str">
        <f t="shared" si="1"/>
        <v>ecu#1972</v>
      </c>
      <c r="B4576" t="str">
        <f>IFERROR(__xludf.DUMMYFUNCTION("""COMPUTED_VALUE"""),"ecu")</f>
        <v>ecu</v>
      </c>
      <c r="C4576" t="str">
        <f>IFERROR(__xludf.DUMMYFUNCTION("""COMPUTED_VALUE"""),"Ecuador")</f>
        <v>Ecuador</v>
      </c>
      <c r="D4576">
        <f>IFERROR(__xludf.DUMMYFUNCTION("""COMPUTED_VALUE"""),1972.0)</f>
        <v>1972</v>
      </c>
      <c r="E4576">
        <f>IFERROR(__xludf.DUMMYFUNCTION("""COMPUTED_VALUE"""),6428711.0)</f>
        <v>6428711</v>
      </c>
    </row>
    <row r="4577">
      <c r="A4577" t="str">
        <f t="shared" si="1"/>
        <v>ecu#1973</v>
      </c>
      <c r="B4577" t="str">
        <f>IFERROR(__xludf.DUMMYFUNCTION("""COMPUTED_VALUE"""),"ecu")</f>
        <v>ecu</v>
      </c>
      <c r="C4577" t="str">
        <f>IFERROR(__xludf.DUMMYFUNCTION("""COMPUTED_VALUE"""),"Ecuador")</f>
        <v>Ecuador</v>
      </c>
      <c r="D4577">
        <f>IFERROR(__xludf.DUMMYFUNCTION("""COMPUTED_VALUE"""),1973.0)</f>
        <v>1973</v>
      </c>
      <c r="E4577">
        <f>IFERROR(__xludf.DUMMYFUNCTION("""COMPUTED_VALUE"""),6611916.0)</f>
        <v>6611916</v>
      </c>
    </row>
    <row r="4578">
      <c r="A4578" t="str">
        <f t="shared" si="1"/>
        <v>ecu#1974</v>
      </c>
      <c r="B4578" t="str">
        <f>IFERROR(__xludf.DUMMYFUNCTION("""COMPUTED_VALUE"""),"ecu")</f>
        <v>ecu</v>
      </c>
      <c r="C4578" t="str">
        <f>IFERROR(__xludf.DUMMYFUNCTION("""COMPUTED_VALUE"""),"Ecuador")</f>
        <v>Ecuador</v>
      </c>
      <c r="D4578">
        <f>IFERROR(__xludf.DUMMYFUNCTION("""COMPUTED_VALUE"""),1974.0)</f>
        <v>1974</v>
      </c>
      <c r="E4578">
        <f>IFERROR(__xludf.DUMMYFUNCTION("""COMPUTED_VALUE"""),6798206.0)</f>
        <v>6798206</v>
      </c>
    </row>
    <row r="4579">
      <c r="A4579" t="str">
        <f t="shared" si="1"/>
        <v>ecu#1975</v>
      </c>
      <c r="B4579" t="str">
        <f>IFERROR(__xludf.DUMMYFUNCTION("""COMPUTED_VALUE"""),"ecu")</f>
        <v>ecu</v>
      </c>
      <c r="C4579" t="str">
        <f>IFERROR(__xludf.DUMMYFUNCTION("""COMPUTED_VALUE"""),"Ecuador")</f>
        <v>Ecuador</v>
      </c>
      <c r="D4579">
        <f>IFERROR(__xludf.DUMMYFUNCTION("""COMPUTED_VALUE"""),1975.0)</f>
        <v>1975</v>
      </c>
      <c r="E4579">
        <f>IFERROR(__xludf.DUMMYFUNCTION("""COMPUTED_VALUE"""),6987391.0)</f>
        <v>6987391</v>
      </c>
    </row>
    <row r="4580">
      <c r="A4580" t="str">
        <f t="shared" si="1"/>
        <v>ecu#1976</v>
      </c>
      <c r="B4580" t="str">
        <f>IFERROR(__xludf.DUMMYFUNCTION("""COMPUTED_VALUE"""),"ecu")</f>
        <v>ecu</v>
      </c>
      <c r="C4580" t="str">
        <f>IFERROR(__xludf.DUMMYFUNCTION("""COMPUTED_VALUE"""),"Ecuador")</f>
        <v>Ecuador</v>
      </c>
      <c r="D4580">
        <f>IFERROR(__xludf.DUMMYFUNCTION("""COMPUTED_VALUE"""),1976.0)</f>
        <v>1976</v>
      </c>
      <c r="E4580">
        <f>IFERROR(__xludf.DUMMYFUNCTION("""COMPUTED_VALUE"""),7179399.0)</f>
        <v>7179399</v>
      </c>
    </row>
    <row r="4581">
      <c r="A4581" t="str">
        <f t="shared" si="1"/>
        <v>ecu#1977</v>
      </c>
      <c r="B4581" t="str">
        <f>IFERROR(__xludf.DUMMYFUNCTION("""COMPUTED_VALUE"""),"ecu")</f>
        <v>ecu</v>
      </c>
      <c r="C4581" t="str">
        <f>IFERROR(__xludf.DUMMYFUNCTION("""COMPUTED_VALUE"""),"Ecuador")</f>
        <v>Ecuador</v>
      </c>
      <c r="D4581">
        <f>IFERROR(__xludf.DUMMYFUNCTION("""COMPUTED_VALUE"""),1977.0)</f>
        <v>1977</v>
      </c>
      <c r="E4581">
        <f>IFERROR(__xludf.DUMMYFUNCTION("""COMPUTED_VALUE"""),7374234.0)</f>
        <v>7374234</v>
      </c>
    </row>
    <row r="4582">
      <c r="A4582" t="str">
        <f t="shared" si="1"/>
        <v>ecu#1978</v>
      </c>
      <c r="B4582" t="str">
        <f>IFERROR(__xludf.DUMMYFUNCTION("""COMPUTED_VALUE"""),"ecu")</f>
        <v>ecu</v>
      </c>
      <c r="C4582" t="str">
        <f>IFERROR(__xludf.DUMMYFUNCTION("""COMPUTED_VALUE"""),"Ecuador")</f>
        <v>Ecuador</v>
      </c>
      <c r="D4582">
        <f>IFERROR(__xludf.DUMMYFUNCTION("""COMPUTED_VALUE"""),1978.0)</f>
        <v>1978</v>
      </c>
      <c r="E4582">
        <f>IFERROR(__xludf.DUMMYFUNCTION("""COMPUTED_VALUE"""),7571959.0)</f>
        <v>7571959</v>
      </c>
    </row>
    <row r="4583">
      <c r="A4583" t="str">
        <f t="shared" si="1"/>
        <v>ecu#1979</v>
      </c>
      <c r="B4583" t="str">
        <f>IFERROR(__xludf.DUMMYFUNCTION("""COMPUTED_VALUE"""),"ecu")</f>
        <v>ecu</v>
      </c>
      <c r="C4583" t="str">
        <f>IFERROR(__xludf.DUMMYFUNCTION("""COMPUTED_VALUE"""),"Ecuador")</f>
        <v>Ecuador</v>
      </c>
      <c r="D4583">
        <f>IFERROR(__xludf.DUMMYFUNCTION("""COMPUTED_VALUE"""),1979.0)</f>
        <v>1979</v>
      </c>
      <c r="E4583">
        <f>IFERROR(__xludf.DUMMYFUNCTION("""COMPUTED_VALUE"""),7772653.0)</f>
        <v>7772653</v>
      </c>
    </row>
    <row r="4584">
      <c r="A4584" t="str">
        <f t="shared" si="1"/>
        <v>ecu#1980</v>
      </c>
      <c r="B4584" t="str">
        <f>IFERROR(__xludf.DUMMYFUNCTION("""COMPUTED_VALUE"""),"ecu")</f>
        <v>ecu</v>
      </c>
      <c r="C4584" t="str">
        <f>IFERROR(__xludf.DUMMYFUNCTION("""COMPUTED_VALUE"""),"Ecuador")</f>
        <v>Ecuador</v>
      </c>
      <c r="D4584">
        <f>IFERROR(__xludf.DUMMYFUNCTION("""COMPUTED_VALUE"""),1980.0)</f>
        <v>1980</v>
      </c>
      <c r="E4584">
        <f>IFERROR(__xludf.DUMMYFUNCTION("""COMPUTED_VALUE"""),7976445.0)</f>
        <v>7976445</v>
      </c>
    </row>
    <row r="4585">
      <c r="A4585" t="str">
        <f t="shared" si="1"/>
        <v>ecu#1981</v>
      </c>
      <c r="B4585" t="str">
        <f>IFERROR(__xludf.DUMMYFUNCTION("""COMPUTED_VALUE"""),"ecu")</f>
        <v>ecu</v>
      </c>
      <c r="C4585" t="str">
        <f>IFERROR(__xludf.DUMMYFUNCTION("""COMPUTED_VALUE"""),"Ecuador")</f>
        <v>Ecuador</v>
      </c>
      <c r="D4585">
        <f>IFERROR(__xludf.DUMMYFUNCTION("""COMPUTED_VALUE"""),1981.0)</f>
        <v>1981</v>
      </c>
      <c r="E4585">
        <f>IFERROR(__xludf.DUMMYFUNCTION("""COMPUTED_VALUE"""),8183194.0)</f>
        <v>8183194</v>
      </c>
    </row>
    <row r="4586">
      <c r="A4586" t="str">
        <f t="shared" si="1"/>
        <v>ecu#1982</v>
      </c>
      <c r="B4586" t="str">
        <f>IFERROR(__xludf.DUMMYFUNCTION("""COMPUTED_VALUE"""),"ecu")</f>
        <v>ecu</v>
      </c>
      <c r="C4586" t="str">
        <f>IFERROR(__xludf.DUMMYFUNCTION("""COMPUTED_VALUE"""),"Ecuador")</f>
        <v>Ecuador</v>
      </c>
      <c r="D4586">
        <f>IFERROR(__xludf.DUMMYFUNCTION("""COMPUTED_VALUE"""),1982.0)</f>
        <v>1982</v>
      </c>
      <c r="E4586">
        <f>IFERROR(__xludf.DUMMYFUNCTION("""COMPUTED_VALUE"""),8392940.0)</f>
        <v>8392940</v>
      </c>
    </row>
    <row r="4587">
      <c r="A4587" t="str">
        <f t="shared" si="1"/>
        <v>ecu#1983</v>
      </c>
      <c r="B4587" t="str">
        <f>IFERROR(__xludf.DUMMYFUNCTION("""COMPUTED_VALUE"""),"ecu")</f>
        <v>ecu</v>
      </c>
      <c r="C4587" t="str">
        <f>IFERROR(__xludf.DUMMYFUNCTION("""COMPUTED_VALUE"""),"Ecuador")</f>
        <v>Ecuador</v>
      </c>
      <c r="D4587">
        <f>IFERROR(__xludf.DUMMYFUNCTION("""COMPUTED_VALUE"""),1983.0)</f>
        <v>1983</v>
      </c>
      <c r="E4587">
        <f>IFERROR(__xludf.DUMMYFUNCTION("""COMPUTED_VALUE"""),8606213.0)</f>
        <v>8606213</v>
      </c>
    </row>
    <row r="4588">
      <c r="A4588" t="str">
        <f t="shared" si="1"/>
        <v>ecu#1984</v>
      </c>
      <c r="B4588" t="str">
        <f>IFERROR(__xludf.DUMMYFUNCTION("""COMPUTED_VALUE"""),"ecu")</f>
        <v>ecu</v>
      </c>
      <c r="C4588" t="str">
        <f>IFERROR(__xludf.DUMMYFUNCTION("""COMPUTED_VALUE"""),"Ecuador")</f>
        <v>Ecuador</v>
      </c>
      <c r="D4588">
        <f>IFERROR(__xludf.DUMMYFUNCTION("""COMPUTED_VALUE"""),1984.0)</f>
        <v>1984</v>
      </c>
      <c r="E4588">
        <f>IFERROR(__xludf.DUMMYFUNCTION("""COMPUTED_VALUE"""),8823751.0)</f>
        <v>8823751</v>
      </c>
    </row>
    <row r="4589">
      <c r="A4589" t="str">
        <f t="shared" si="1"/>
        <v>ecu#1985</v>
      </c>
      <c r="B4589" t="str">
        <f>IFERROR(__xludf.DUMMYFUNCTION("""COMPUTED_VALUE"""),"ecu")</f>
        <v>ecu</v>
      </c>
      <c r="C4589" t="str">
        <f>IFERROR(__xludf.DUMMYFUNCTION("""COMPUTED_VALUE"""),"Ecuador")</f>
        <v>Ecuador</v>
      </c>
      <c r="D4589">
        <f>IFERROR(__xludf.DUMMYFUNCTION("""COMPUTED_VALUE"""),1985.0)</f>
        <v>1985</v>
      </c>
      <c r="E4589">
        <f>IFERROR(__xludf.DUMMYFUNCTION("""COMPUTED_VALUE"""),9045979.0)</f>
        <v>9045979</v>
      </c>
    </row>
    <row r="4590">
      <c r="A4590" t="str">
        <f t="shared" si="1"/>
        <v>ecu#1986</v>
      </c>
      <c r="B4590" t="str">
        <f>IFERROR(__xludf.DUMMYFUNCTION("""COMPUTED_VALUE"""),"ecu")</f>
        <v>ecu</v>
      </c>
      <c r="C4590" t="str">
        <f>IFERROR(__xludf.DUMMYFUNCTION("""COMPUTED_VALUE"""),"Ecuador")</f>
        <v>Ecuador</v>
      </c>
      <c r="D4590">
        <f>IFERROR(__xludf.DUMMYFUNCTION("""COMPUTED_VALUE"""),1986.0)</f>
        <v>1986</v>
      </c>
      <c r="E4590">
        <f>IFERROR(__xludf.DUMMYFUNCTION("""COMPUTED_VALUE"""),9272906.0)</f>
        <v>9272906</v>
      </c>
    </row>
    <row r="4591">
      <c r="A4591" t="str">
        <f t="shared" si="1"/>
        <v>ecu#1987</v>
      </c>
      <c r="B4591" t="str">
        <f>IFERROR(__xludf.DUMMYFUNCTION("""COMPUTED_VALUE"""),"ecu")</f>
        <v>ecu</v>
      </c>
      <c r="C4591" t="str">
        <f>IFERROR(__xludf.DUMMYFUNCTION("""COMPUTED_VALUE"""),"Ecuador")</f>
        <v>Ecuador</v>
      </c>
      <c r="D4591">
        <f>IFERROR(__xludf.DUMMYFUNCTION("""COMPUTED_VALUE"""),1987.0)</f>
        <v>1987</v>
      </c>
      <c r="E4591">
        <f>IFERROR(__xludf.DUMMYFUNCTION("""COMPUTED_VALUE"""),9504129.0)</f>
        <v>9504129</v>
      </c>
    </row>
    <row r="4592">
      <c r="A4592" t="str">
        <f t="shared" si="1"/>
        <v>ecu#1988</v>
      </c>
      <c r="B4592" t="str">
        <f>IFERROR(__xludf.DUMMYFUNCTION("""COMPUTED_VALUE"""),"ecu")</f>
        <v>ecu</v>
      </c>
      <c r="C4592" t="str">
        <f>IFERROR(__xludf.DUMMYFUNCTION("""COMPUTED_VALUE"""),"Ecuador")</f>
        <v>Ecuador</v>
      </c>
      <c r="D4592">
        <f>IFERROR(__xludf.DUMMYFUNCTION("""COMPUTED_VALUE"""),1988.0)</f>
        <v>1988</v>
      </c>
      <c r="E4592">
        <f>IFERROR(__xludf.DUMMYFUNCTION("""COMPUTED_VALUE"""),9739176.0)</f>
        <v>9739176</v>
      </c>
    </row>
    <row r="4593">
      <c r="A4593" t="str">
        <f t="shared" si="1"/>
        <v>ecu#1989</v>
      </c>
      <c r="B4593" t="str">
        <f>IFERROR(__xludf.DUMMYFUNCTION("""COMPUTED_VALUE"""),"ecu")</f>
        <v>ecu</v>
      </c>
      <c r="C4593" t="str">
        <f>IFERROR(__xludf.DUMMYFUNCTION("""COMPUTED_VALUE"""),"Ecuador")</f>
        <v>Ecuador</v>
      </c>
      <c r="D4593">
        <f>IFERROR(__xludf.DUMMYFUNCTION("""COMPUTED_VALUE"""),1989.0)</f>
        <v>1989</v>
      </c>
      <c r="E4593">
        <f>IFERROR(__xludf.DUMMYFUNCTION("""COMPUTED_VALUE"""),9977377.0)</f>
        <v>9977377</v>
      </c>
    </row>
    <row r="4594">
      <c r="A4594" t="str">
        <f t="shared" si="1"/>
        <v>ecu#1990</v>
      </c>
      <c r="B4594" t="str">
        <f>IFERROR(__xludf.DUMMYFUNCTION("""COMPUTED_VALUE"""),"ecu")</f>
        <v>ecu</v>
      </c>
      <c r="C4594" t="str">
        <f>IFERROR(__xludf.DUMMYFUNCTION("""COMPUTED_VALUE"""),"Ecuador")</f>
        <v>Ecuador</v>
      </c>
      <c r="D4594">
        <f>IFERROR(__xludf.DUMMYFUNCTION("""COMPUTED_VALUE"""),1990.0)</f>
        <v>1990</v>
      </c>
      <c r="E4594">
        <f>IFERROR(__xludf.DUMMYFUNCTION("""COMPUTED_VALUE"""),1.0218091E7)</f>
        <v>10218091</v>
      </c>
    </row>
    <row r="4595">
      <c r="A4595" t="str">
        <f t="shared" si="1"/>
        <v>ecu#1991</v>
      </c>
      <c r="B4595" t="str">
        <f>IFERROR(__xludf.DUMMYFUNCTION("""COMPUTED_VALUE"""),"ecu")</f>
        <v>ecu</v>
      </c>
      <c r="C4595" t="str">
        <f>IFERROR(__xludf.DUMMYFUNCTION("""COMPUTED_VALUE"""),"Ecuador")</f>
        <v>Ecuador</v>
      </c>
      <c r="D4595">
        <f>IFERROR(__xludf.DUMMYFUNCTION("""COMPUTED_VALUE"""),1991.0)</f>
        <v>1991</v>
      </c>
      <c r="E4595">
        <f>IFERROR(__xludf.DUMMYFUNCTION("""COMPUTED_VALUE"""),1.046099E7)</f>
        <v>10460990</v>
      </c>
    </row>
    <row r="4596">
      <c r="A4596" t="str">
        <f t="shared" si="1"/>
        <v>ecu#1992</v>
      </c>
      <c r="B4596" t="str">
        <f>IFERROR(__xludf.DUMMYFUNCTION("""COMPUTED_VALUE"""),"ecu")</f>
        <v>ecu</v>
      </c>
      <c r="C4596" t="str">
        <f>IFERROR(__xludf.DUMMYFUNCTION("""COMPUTED_VALUE"""),"Ecuador")</f>
        <v>Ecuador</v>
      </c>
      <c r="D4596">
        <f>IFERROR(__xludf.DUMMYFUNCTION("""COMPUTED_VALUE"""),1992.0)</f>
        <v>1992</v>
      </c>
      <c r="E4596">
        <f>IFERROR(__xludf.DUMMYFUNCTION("""COMPUTED_VALUE"""),1.0705667E7)</f>
        <v>10705667</v>
      </c>
    </row>
    <row r="4597">
      <c r="A4597" t="str">
        <f t="shared" si="1"/>
        <v>ecu#1993</v>
      </c>
      <c r="B4597" t="str">
        <f>IFERROR(__xludf.DUMMYFUNCTION("""COMPUTED_VALUE"""),"ecu")</f>
        <v>ecu</v>
      </c>
      <c r="C4597" t="str">
        <f>IFERROR(__xludf.DUMMYFUNCTION("""COMPUTED_VALUE"""),"Ecuador")</f>
        <v>Ecuador</v>
      </c>
      <c r="D4597">
        <f>IFERROR(__xludf.DUMMYFUNCTION("""COMPUTED_VALUE"""),1993.0)</f>
        <v>1993</v>
      </c>
      <c r="E4597">
        <f>IFERROR(__xludf.DUMMYFUNCTION("""COMPUTED_VALUE"""),1.0951202E7)</f>
        <v>10951202</v>
      </c>
    </row>
    <row r="4598">
      <c r="A4598" t="str">
        <f t="shared" si="1"/>
        <v>ecu#1994</v>
      </c>
      <c r="B4598" t="str">
        <f>IFERROR(__xludf.DUMMYFUNCTION("""COMPUTED_VALUE"""),"ecu")</f>
        <v>ecu</v>
      </c>
      <c r="C4598" t="str">
        <f>IFERROR(__xludf.DUMMYFUNCTION("""COMPUTED_VALUE"""),"Ecuador")</f>
        <v>Ecuador</v>
      </c>
      <c r="D4598">
        <f>IFERROR(__xludf.DUMMYFUNCTION("""COMPUTED_VALUE"""),1994.0)</f>
        <v>1994</v>
      </c>
      <c r="E4598">
        <f>IFERROR(__xludf.DUMMYFUNCTION("""COMPUTED_VALUE"""),1.1196479E7)</f>
        <v>11196479</v>
      </c>
    </row>
    <row r="4599">
      <c r="A4599" t="str">
        <f t="shared" si="1"/>
        <v>ecu#1995</v>
      </c>
      <c r="B4599" t="str">
        <f>IFERROR(__xludf.DUMMYFUNCTION("""COMPUTED_VALUE"""),"ecu")</f>
        <v>ecu</v>
      </c>
      <c r="C4599" t="str">
        <f>IFERROR(__xludf.DUMMYFUNCTION("""COMPUTED_VALUE"""),"Ecuador")</f>
        <v>Ecuador</v>
      </c>
      <c r="D4599">
        <f>IFERROR(__xludf.DUMMYFUNCTION("""COMPUTED_VALUE"""),1995.0)</f>
        <v>1995</v>
      </c>
      <c r="E4599">
        <f>IFERROR(__xludf.DUMMYFUNCTION("""COMPUTED_VALUE"""),1.1440583E7)</f>
        <v>11440583</v>
      </c>
    </row>
    <row r="4600">
      <c r="A4600" t="str">
        <f t="shared" si="1"/>
        <v>ecu#1996</v>
      </c>
      <c r="B4600" t="str">
        <f>IFERROR(__xludf.DUMMYFUNCTION("""COMPUTED_VALUE"""),"ecu")</f>
        <v>ecu</v>
      </c>
      <c r="C4600" t="str">
        <f>IFERROR(__xludf.DUMMYFUNCTION("""COMPUTED_VALUE"""),"Ecuador")</f>
        <v>Ecuador</v>
      </c>
      <c r="D4600">
        <f>IFERROR(__xludf.DUMMYFUNCTION("""COMPUTED_VALUE"""),1996.0)</f>
        <v>1996</v>
      </c>
      <c r="E4600">
        <f>IFERROR(__xludf.DUMMYFUNCTION("""COMPUTED_VALUE"""),1.1683479E7)</f>
        <v>11683479</v>
      </c>
    </row>
    <row r="4601">
      <c r="A4601" t="str">
        <f t="shared" si="1"/>
        <v>ecu#1997</v>
      </c>
      <c r="B4601" t="str">
        <f>IFERROR(__xludf.DUMMYFUNCTION("""COMPUTED_VALUE"""),"ecu")</f>
        <v>ecu</v>
      </c>
      <c r="C4601" t="str">
        <f>IFERROR(__xludf.DUMMYFUNCTION("""COMPUTED_VALUE"""),"Ecuador")</f>
        <v>Ecuador</v>
      </c>
      <c r="D4601">
        <f>IFERROR(__xludf.DUMMYFUNCTION("""COMPUTED_VALUE"""),1997.0)</f>
        <v>1997</v>
      </c>
      <c r="E4601">
        <f>IFERROR(__xludf.DUMMYFUNCTION("""COMPUTED_VALUE"""),1.1924993E7)</f>
        <v>11924993</v>
      </c>
    </row>
    <row r="4602">
      <c r="A4602" t="str">
        <f t="shared" si="1"/>
        <v>ecu#1998</v>
      </c>
      <c r="B4602" t="str">
        <f>IFERROR(__xludf.DUMMYFUNCTION("""COMPUTED_VALUE"""),"ecu")</f>
        <v>ecu</v>
      </c>
      <c r="C4602" t="str">
        <f>IFERROR(__xludf.DUMMYFUNCTION("""COMPUTED_VALUE"""),"Ecuador")</f>
        <v>Ecuador</v>
      </c>
      <c r="D4602">
        <f>IFERROR(__xludf.DUMMYFUNCTION("""COMPUTED_VALUE"""),1998.0)</f>
        <v>1998</v>
      </c>
      <c r="E4602">
        <f>IFERROR(__xludf.DUMMYFUNCTION("""COMPUTED_VALUE"""),1.2163885E7)</f>
        <v>12163885</v>
      </c>
    </row>
    <row r="4603">
      <c r="A4603" t="str">
        <f t="shared" si="1"/>
        <v>ecu#1999</v>
      </c>
      <c r="B4603" t="str">
        <f>IFERROR(__xludf.DUMMYFUNCTION("""COMPUTED_VALUE"""),"ecu")</f>
        <v>ecu</v>
      </c>
      <c r="C4603" t="str">
        <f>IFERROR(__xludf.DUMMYFUNCTION("""COMPUTED_VALUE"""),"Ecuador")</f>
        <v>Ecuador</v>
      </c>
      <c r="D4603">
        <f>IFERROR(__xludf.DUMMYFUNCTION("""COMPUTED_VALUE"""),1999.0)</f>
        <v>1999</v>
      </c>
      <c r="E4603">
        <f>IFERROR(__xludf.DUMMYFUNCTION("""COMPUTED_VALUE"""),1.2398691E7)</f>
        <v>12398691</v>
      </c>
    </row>
    <row r="4604">
      <c r="A4604" t="str">
        <f t="shared" si="1"/>
        <v>ecu#2000</v>
      </c>
      <c r="B4604" t="str">
        <f>IFERROR(__xludf.DUMMYFUNCTION("""COMPUTED_VALUE"""),"ecu")</f>
        <v>ecu</v>
      </c>
      <c r="C4604" t="str">
        <f>IFERROR(__xludf.DUMMYFUNCTION("""COMPUTED_VALUE"""),"Ecuador")</f>
        <v>Ecuador</v>
      </c>
      <c r="D4604">
        <f>IFERROR(__xludf.DUMMYFUNCTION("""COMPUTED_VALUE"""),2000.0)</f>
        <v>2000</v>
      </c>
      <c r="E4604">
        <f>IFERROR(__xludf.DUMMYFUNCTION("""COMPUTED_VALUE"""),1.2628596E7)</f>
        <v>12628596</v>
      </c>
    </row>
    <row r="4605">
      <c r="A4605" t="str">
        <f t="shared" si="1"/>
        <v>ecu#2001</v>
      </c>
      <c r="B4605" t="str">
        <f>IFERROR(__xludf.DUMMYFUNCTION("""COMPUTED_VALUE"""),"ecu")</f>
        <v>ecu</v>
      </c>
      <c r="C4605" t="str">
        <f>IFERROR(__xludf.DUMMYFUNCTION("""COMPUTED_VALUE"""),"Ecuador")</f>
        <v>Ecuador</v>
      </c>
      <c r="D4605">
        <f>IFERROR(__xludf.DUMMYFUNCTION("""COMPUTED_VALUE"""),2001.0)</f>
        <v>2001</v>
      </c>
      <c r="E4605">
        <f>IFERROR(__xludf.DUMMYFUNCTION("""COMPUTED_VALUE"""),1.2852755E7)</f>
        <v>12852755</v>
      </c>
    </row>
    <row r="4606">
      <c r="A4606" t="str">
        <f t="shared" si="1"/>
        <v>ecu#2002</v>
      </c>
      <c r="B4606" t="str">
        <f>IFERROR(__xludf.DUMMYFUNCTION("""COMPUTED_VALUE"""),"ecu")</f>
        <v>ecu</v>
      </c>
      <c r="C4606" t="str">
        <f>IFERROR(__xludf.DUMMYFUNCTION("""COMPUTED_VALUE"""),"Ecuador")</f>
        <v>Ecuador</v>
      </c>
      <c r="D4606">
        <f>IFERROR(__xludf.DUMMYFUNCTION("""COMPUTED_VALUE"""),2002.0)</f>
        <v>2002</v>
      </c>
      <c r="E4606">
        <f>IFERROR(__xludf.DUMMYFUNCTION("""COMPUTED_VALUE"""),1.307206E7)</f>
        <v>13072060</v>
      </c>
    </row>
    <row r="4607">
      <c r="A4607" t="str">
        <f t="shared" si="1"/>
        <v>ecu#2003</v>
      </c>
      <c r="B4607" t="str">
        <f>IFERROR(__xludf.DUMMYFUNCTION("""COMPUTED_VALUE"""),"ecu")</f>
        <v>ecu</v>
      </c>
      <c r="C4607" t="str">
        <f>IFERROR(__xludf.DUMMYFUNCTION("""COMPUTED_VALUE"""),"Ecuador")</f>
        <v>Ecuador</v>
      </c>
      <c r="D4607">
        <f>IFERROR(__xludf.DUMMYFUNCTION("""COMPUTED_VALUE"""),2003.0)</f>
        <v>2003</v>
      </c>
      <c r="E4607">
        <f>IFERROR(__xludf.DUMMYFUNCTION("""COMPUTED_VALUE"""),1.3289601E7)</f>
        <v>13289601</v>
      </c>
    </row>
    <row r="4608">
      <c r="A4608" t="str">
        <f t="shared" si="1"/>
        <v>ecu#2004</v>
      </c>
      <c r="B4608" t="str">
        <f>IFERROR(__xludf.DUMMYFUNCTION("""COMPUTED_VALUE"""),"ecu")</f>
        <v>ecu</v>
      </c>
      <c r="C4608" t="str">
        <f>IFERROR(__xludf.DUMMYFUNCTION("""COMPUTED_VALUE"""),"Ecuador")</f>
        <v>Ecuador</v>
      </c>
      <c r="D4608">
        <f>IFERROR(__xludf.DUMMYFUNCTION("""COMPUTED_VALUE"""),2004.0)</f>
        <v>2004</v>
      </c>
      <c r="E4608">
        <f>IFERROR(__xludf.DUMMYFUNCTION("""COMPUTED_VALUE"""),1.3509647E7)</f>
        <v>13509647</v>
      </c>
    </row>
    <row r="4609">
      <c r="A4609" t="str">
        <f t="shared" si="1"/>
        <v>ecu#2005</v>
      </c>
      <c r="B4609" t="str">
        <f>IFERROR(__xludf.DUMMYFUNCTION("""COMPUTED_VALUE"""),"ecu")</f>
        <v>ecu</v>
      </c>
      <c r="C4609" t="str">
        <f>IFERROR(__xludf.DUMMYFUNCTION("""COMPUTED_VALUE"""),"Ecuador")</f>
        <v>Ecuador</v>
      </c>
      <c r="D4609">
        <f>IFERROR(__xludf.DUMMYFUNCTION("""COMPUTED_VALUE"""),2005.0)</f>
        <v>2005</v>
      </c>
      <c r="E4609">
        <f>IFERROR(__xludf.DUMMYFUNCTION("""COMPUTED_VALUE"""),1.3735233E7)</f>
        <v>13735233</v>
      </c>
    </row>
    <row r="4610">
      <c r="A4610" t="str">
        <f t="shared" si="1"/>
        <v>ecu#2006</v>
      </c>
      <c r="B4610" t="str">
        <f>IFERROR(__xludf.DUMMYFUNCTION("""COMPUTED_VALUE"""),"ecu")</f>
        <v>ecu</v>
      </c>
      <c r="C4610" t="str">
        <f>IFERROR(__xludf.DUMMYFUNCTION("""COMPUTED_VALUE"""),"Ecuador")</f>
        <v>Ecuador</v>
      </c>
      <c r="D4610">
        <f>IFERROR(__xludf.DUMMYFUNCTION("""COMPUTED_VALUE"""),2006.0)</f>
        <v>2006</v>
      </c>
      <c r="E4610">
        <f>IFERROR(__xludf.DUMMYFUNCTION("""COMPUTED_VALUE"""),1.396748E7)</f>
        <v>13967480</v>
      </c>
    </row>
    <row r="4611">
      <c r="A4611" t="str">
        <f t="shared" si="1"/>
        <v>ecu#2007</v>
      </c>
      <c r="B4611" t="str">
        <f>IFERROR(__xludf.DUMMYFUNCTION("""COMPUTED_VALUE"""),"ecu")</f>
        <v>ecu</v>
      </c>
      <c r="C4611" t="str">
        <f>IFERROR(__xludf.DUMMYFUNCTION("""COMPUTED_VALUE"""),"Ecuador")</f>
        <v>Ecuador</v>
      </c>
      <c r="D4611">
        <f>IFERROR(__xludf.DUMMYFUNCTION("""COMPUTED_VALUE"""),2007.0)</f>
        <v>2007</v>
      </c>
      <c r="E4611">
        <f>IFERROR(__xludf.DUMMYFUNCTION("""COMPUTED_VALUE"""),1.4205453E7)</f>
        <v>14205453</v>
      </c>
    </row>
    <row r="4612">
      <c r="A4612" t="str">
        <f t="shared" si="1"/>
        <v>ecu#2008</v>
      </c>
      <c r="B4612" t="str">
        <f>IFERROR(__xludf.DUMMYFUNCTION("""COMPUTED_VALUE"""),"ecu")</f>
        <v>ecu</v>
      </c>
      <c r="C4612" t="str">
        <f>IFERROR(__xludf.DUMMYFUNCTION("""COMPUTED_VALUE"""),"Ecuador")</f>
        <v>Ecuador</v>
      </c>
      <c r="D4612">
        <f>IFERROR(__xludf.DUMMYFUNCTION("""COMPUTED_VALUE"""),2008.0)</f>
        <v>2008</v>
      </c>
      <c r="E4612">
        <f>IFERROR(__xludf.DUMMYFUNCTION("""COMPUTED_VALUE"""),1.4447562E7)</f>
        <v>14447562</v>
      </c>
    </row>
    <row r="4613">
      <c r="A4613" t="str">
        <f t="shared" si="1"/>
        <v>ecu#2009</v>
      </c>
      <c r="B4613" t="str">
        <f>IFERROR(__xludf.DUMMYFUNCTION("""COMPUTED_VALUE"""),"ecu")</f>
        <v>ecu</v>
      </c>
      <c r="C4613" t="str">
        <f>IFERROR(__xludf.DUMMYFUNCTION("""COMPUTED_VALUE"""),"Ecuador")</f>
        <v>Ecuador</v>
      </c>
      <c r="D4613">
        <f>IFERROR(__xludf.DUMMYFUNCTION("""COMPUTED_VALUE"""),2009.0)</f>
        <v>2009</v>
      </c>
      <c r="E4613">
        <f>IFERROR(__xludf.DUMMYFUNCTION("""COMPUTED_VALUE"""),1.4691275E7)</f>
        <v>14691275</v>
      </c>
    </row>
    <row r="4614">
      <c r="A4614" t="str">
        <f t="shared" si="1"/>
        <v>ecu#2010</v>
      </c>
      <c r="B4614" t="str">
        <f>IFERROR(__xludf.DUMMYFUNCTION("""COMPUTED_VALUE"""),"ecu")</f>
        <v>ecu</v>
      </c>
      <c r="C4614" t="str">
        <f>IFERROR(__xludf.DUMMYFUNCTION("""COMPUTED_VALUE"""),"Ecuador")</f>
        <v>Ecuador</v>
      </c>
      <c r="D4614">
        <f>IFERROR(__xludf.DUMMYFUNCTION("""COMPUTED_VALUE"""),2010.0)</f>
        <v>2010</v>
      </c>
      <c r="E4614">
        <f>IFERROR(__xludf.DUMMYFUNCTION("""COMPUTED_VALUE"""),1.493469E7)</f>
        <v>14934690</v>
      </c>
    </row>
    <row r="4615">
      <c r="A4615" t="str">
        <f t="shared" si="1"/>
        <v>ecu#2011</v>
      </c>
      <c r="B4615" t="str">
        <f>IFERROR(__xludf.DUMMYFUNCTION("""COMPUTED_VALUE"""),"ecu")</f>
        <v>ecu</v>
      </c>
      <c r="C4615" t="str">
        <f>IFERROR(__xludf.DUMMYFUNCTION("""COMPUTED_VALUE"""),"Ecuador")</f>
        <v>Ecuador</v>
      </c>
      <c r="D4615">
        <f>IFERROR(__xludf.DUMMYFUNCTION("""COMPUTED_VALUE"""),2011.0)</f>
        <v>2011</v>
      </c>
      <c r="E4615">
        <f>IFERROR(__xludf.DUMMYFUNCTION("""COMPUTED_VALUE"""),1.5177355E7)</f>
        <v>15177355</v>
      </c>
    </row>
    <row r="4616">
      <c r="A4616" t="str">
        <f t="shared" si="1"/>
        <v>ecu#2012</v>
      </c>
      <c r="B4616" t="str">
        <f>IFERROR(__xludf.DUMMYFUNCTION("""COMPUTED_VALUE"""),"ecu")</f>
        <v>ecu</v>
      </c>
      <c r="C4616" t="str">
        <f>IFERROR(__xludf.DUMMYFUNCTION("""COMPUTED_VALUE"""),"Ecuador")</f>
        <v>Ecuador</v>
      </c>
      <c r="D4616">
        <f>IFERROR(__xludf.DUMMYFUNCTION("""COMPUTED_VALUE"""),2012.0)</f>
        <v>2012</v>
      </c>
      <c r="E4616">
        <f>IFERROR(__xludf.DUMMYFUNCTION("""COMPUTED_VALUE"""),1.5419666E7)</f>
        <v>15419666</v>
      </c>
    </row>
    <row r="4617">
      <c r="A4617" t="str">
        <f t="shared" si="1"/>
        <v>ecu#2013</v>
      </c>
      <c r="B4617" t="str">
        <f>IFERROR(__xludf.DUMMYFUNCTION("""COMPUTED_VALUE"""),"ecu")</f>
        <v>ecu</v>
      </c>
      <c r="C4617" t="str">
        <f>IFERROR(__xludf.DUMMYFUNCTION("""COMPUTED_VALUE"""),"Ecuador")</f>
        <v>Ecuador</v>
      </c>
      <c r="D4617">
        <f>IFERROR(__xludf.DUMMYFUNCTION("""COMPUTED_VALUE"""),2013.0)</f>
        <v>2013</v>
      </c>
      <c r="E4617">
        <f>IFERROR(__xludf.DUMMYFUNCTION("""COMPUTED_VALUE"""),1.5661547E7)</f>
        <v>15661547</v>
      </c>
    </row>
    <row r="4618">
      <c r="A4618" t="str">
        <f t="shared" si="1"/>
        <v>ecu#2014</v>
      </c>
      <c r="B4618" t="str">
        <f>IFERROR(__xludf.DUMMYFUNCTION("""COMPUTED_VALUE"""),"ecu")</f>
        <v>ecu</v>
      </c>
      <c r="C4618" t="str">
        <f>IFERROR(__xludf.DUMMYFUNCTION("""COMPUTED_VALUE"""),"Ecuador")</f>
        <v>Ecuador</v>
      </c>
      <c r="D4618">
        <f>IFERROR(__xludf.DUMMYFUNCTION("""COMPUTED_VALUE"""),2014.0)</f>
        <v>2014</v>
      </c>
      <c r="E4618">
        <f>IFERROR(__xludf.DUMMYFUNCTION("""COMPUTED_VALUE"""),1.5903112E7)</f>
        <v>15903112</v>
      </c>
    </row>
    <row r="4619">
      <c r="A4619" t="str">
        <f t="shared" si="1"/>
        <v>ecu#2015</v>
      </c>
      <c r="B4619" t="str">
        <f>IFERROR(__xludf.DUMMYFUNCTION("""COMPUTED_VALUE"""),"ecu")</f>
        <v>ecu</v>
      </c>
      <c r="C4619" t="str">
        <f>IFERROR(__xludf.DUMMYFUNCTION("""COMPUTED_VALUE"""),"Ecuador")</f>
        <v>Ecuador</v>
      </c>
      <c r="D4619">
        <f>IFERROR(__xludf.DUMMYFUNCTION("""COMPUTED_VALUE"""),2015.0)</f>
        <v>2015</v>
      </c>
      <c r="E4619">
        <f>IFERROR(__xludf.DUMMYFUNCTION("""COMPUTED_VALUE"""),1.6144368E7)</f>
        <v>16144368</v>
      </c>
    </row>
    <row r="4620">
      <c r="A4620" t="str">
        <f t="shared" si="1"/>
        <v>ecu#2016</v>
      </c>
      <c r="B4620" t="str">
        <f>IFERROR(__xludf.DUMMYFUNCTION("""COMPUTED_VALUE"""),"ecu")</f>
        <v>ecu</v>
      </c>
      <c r="C4620" t="str">
        <f>IFERROR(__xludf.DUMMYFUNCTION("""COMPUTED_VALUE"""),"Ecuador")</f>
        <v>Ecuador</v>
      </c>
      <c r="D4620">
        <f>IFERROR(__xludf.DUMMYFUNCTION("""COMPUTED_VALUE"""),2016.0)</f>
        <v>2016</v>
      </c>
      <c r="E4620">
        <f>IFERROR(__xludf.DUMMYFUNCTION("""COMPUTED_VALUE"""),1.6385068E7)</f>
        <v>16385068</v>
      </c>
    </row>
    <row r="4621">
      <c r="A4621" t="str">
        <f t="shared" si="1"/>
        <v>ecu#2017</v>
      </c>
      <c r="B4621" t="str">
        <f>IFERROR(__xludf.DUMMYFUNCTION("""COMPUTED_VALUE"""),"ecu")</f>
        <v>ecu</v>
      </c>
      <c r="C4621" t="str">
        <f>IFERROR(__xludf.DUMMYFUNCTION("""COMPUTED_VALUE"""),"Ecuador")</f>
        <v>Ecuador</v>
      </c>
      <c r="D4621">
        <f>IFERROR(__xludf.DUMMYFUNCTION("""COMPUTED_VALUE"""),2017.0)</f>
        <v>2017</v>
      </c>
      <c r="E4621">
        <f>IFERROR(__xludf.DUMMYFUNCTION("""COMPUTED_VALUE"""),1.6624858E7)</f>
        <v>16624858</v>
      </c>
    </row>
    <row r="4622">
      <c r="A4622" t="str">
        <f t="shared" si="1"/>
        <v>ecu#2018</v>
      </c>
      <c r="B4622" t="str">
        <f>IFERROR(__xludf.DUMMYFUNCTION("""COMPUTED_VALUE"""),"ecu")</f>
        <v>ecu</v>
      </c>
      <c r="C4622" t="str">
        <f>IFERROR(__xludf.DUMMYFUNCTION("""COMPUTED_VALUE"""),"Ecuador")</f>
        <v>Ecuador</v>
      </c>
      <c r="D4622">
        <f>IFERROR(__xludf.DUMMYFUNCTION("""COMPUTED_VALUE"""),2018.0)</f>
        <v>2018</v>
      </c>
      <c r="E4622">
        <f>IFERROR(__xludf.DUMMYFUNCTION("""COMPUTED_VALUE"""),1.6863425E7)</f>
        <v>16863425</v>
      </c>
    </row>
    <row r="4623">
      <c r="A4623" t="str">
        <f t="shared" si="1"/>
        <v>ecu#2019</v>
      </c>
      <c r="B4623" t="str">
        <f>IFERROR(__xludf.DUMMYFUNCTION("""COMPUTED_VALUE"""),"ecu")</f>
        <v>ecu</v>
      </c>
      <c r="C4623" t="str">
        <f>IFERROR(__xludf.DUMMYFUNCTION("""COMPUTED_VALUE"""),"Ecuador")</f>
        <v>Ecuador</v>
      </c>
      <c r="D4623">
        <f>IFERROR(__xludf.DUMMYFUNCTION("""COMPUTED_VALUE"""),2019.0)</f>
        <v>2019</v>
      </c>
      <c r="E4623">
        <f>IFERROR(__xludf.DUMMYFUNCTION("""COMPUTED_VALUE"""),1.7100444E7)</f>
        <v>17100444</v>
      </c>
    </row>
    <row r="4624">
      <c r="A4624" t="str">
        <f t="shared" si="1"/>
        <v>ecu#2020</v>
      </c>
      <c r="B4624" t="str">
        <f>IFERROR(__xludf.DUMMYFUNCTION("""COMPUTED_VALUE"""),"ecu")</f>
        <v>ecu</v>
      </c>
      <c r="C4624" t="str">
        <f>IFERROR(__xludf.DUMMYFUNCTION("""COMPUTED_VALUE"""),"Ecuador")</f>
        <v>Ecuador</v>
      </c>
      <c r="D4624">
        <f>IFERROR(__xludf.DUMMYFUNCTION("""COMPUTED_VALUE"""),2020.0)</f>
        <v>2020</v>
      </c>
      <c r="E4624">
        <f>IFERROR(__xludf.DUMMYFUNCTION("""COMPUTED_VALUE"""),1.7335642E7)</f>
        <v>17335642</v>
      </c>
    </row>
    <row r="4625">
      <c r="A4625" t="str">
        <f t="shared" si="1"/>
        <v>ecu#2021</v>
      </c>
      <c r="B4625" t="str">
        <f>IFERROR(__xludf.DUMMYFUNCTION("""COMPUTED_VALUE"""),"ecu")</f>
        <v>ecu</v>
      </c>
      <c r="C4625" t="str">
        <f>IFERROR(__xludf.DUMMYFUNCTION("""COMPUTED_VALUE"""),"Ecuador")</f>
        <v>Ecuador</v>
      </c>
      <c r="D4625">
        <f>IFERROR(__xludf.DUMMYFUNCTION("""COMPUTED_VALUE"""),2021.0)</f>
        <v>2021</v>
      </c>
      <c r="E4625">
        <f>IFERROR(__xludf.DUMMYFUNCTION("""COMPUTED_VALUE"""),1.7568798E7)</f>
        <v>17568798</v>
      </c>
    </row>
    <row r="4626">
      <c r="A4626" t="str">
        <f t="shared" si="1"/>
        <v>ecu#2022</v>
      </c>
      <c r="B4626" t="str">
        <f>IFERROR(__xludf.DUMMYFUNCTION("""COMPUTED_VALUE"""),"ecu")</f>
        <v>ecu</v>
      </c>
      <c r="C4626" t="str">
        <f>IFERROR(__xludf.DUMMYFUNCTION("""COMPUTED_VALUE"""),"Ecuador")</f>
        <v>Ecuador</v>
      </c>
      <c r="D4626">
        <f>IFERROR(__xludf.DUMMYFUNCTION("""COMPUTED_VALUE"""),2022.0)</f>
        <v>2022</v>
      </c>
      <c r="E4626">
        <f>IFERROR(__xludf.DUMMYFUNCTION("""COMPUTED_VALUE"""),1.779978E7)</f>
        <v>17799780</v>
      </c>
    </row>
    <row r="4627">
      <c r="A4627" t="str">
        <f t="shared" si="1"/>
        <v>ecu#2023</v>
      </c>
      <c r="B4627" t="str">
        <f>IFERROR(__xludf.DUMMYFUNCTION("""COMPUTED_VALUE"""),"ecu")</f>
        <v>ecu</v>
      </c>
      <c r="C4627" t="str">
        <f>IFERROR(__xludf.DUMMYFUNCTION("""COMPUTED_VALUE"""),"Ecuador")</f>
        <v>Ecuador</v>
      </c>
      <c r="D4627">
        <f>IFERROR(__xludf.DUMMYFUNCTION("""COMPUTED_VALUE"""),2023.0)</f>
        <v>2023</v>
      </c>
      <c r="E4627">
        <f>IFERROR(__xludf.DUMMYFUNCTION("""COMPUTED_VALUE"""),1.8028434E7)</f>
        <v>18028434</v>
      </c>
    </row>
    <row r="4628">
      <c r="A4628" t="str">
        <f t="shared" si="1"/>
        <v>ecu#2024</v>
      </c>
      <c r="B4628" t="str">
        <f>IFERROR(__xludf.DUMMYFUNCTION("""COMPUTED_VALUE"""),"ecu")</f>
        <v>ecu</v>
      </c>
      <c r="C4628" t="str">
        <f>IFERROR(__xludf.DUMMYFUNCTION("""COMPUTED_VALUE"""),"Ecuador")</f>
        <v>Ecuador</v>
      </c>
      <c r="D4628">
        <f>IFERROR(__xludf.DUMMYFUNCTION("""COMPUTED_VALUE"""),2024.0)</f>
        <v>2024</v>
      </c>
      <c r="E4628">
        <f>IFERROR(__xludf.DUMMYFUNCTION("""COMPUTED_VALUE"""),1.8254667E7)</f>
        <v>18254667</v>
      </c>
    </row>
    <row r="4629">
      <c r="A4629" t="str">
        <f t="shared" si="1"/>
        <v>ecu#2025</v>
      </c>
      <c r="B4629" t="str">
        <f>IFERROR(__xludf.DUMMYFUNCTION("""COMPUTED_VALUE"""),"ecu")</f>
        <v>ecu</v>
      </c>
      <c r="C4629" t="str">
        <f>IFERROR(__xludf.DUMMYFUNCTION("""COMPUTED_VALUE"""),"Ecuador")</f>
        <v>Ecuador</v>
      </c>
      <c r="D4629">
        <f>IFERROR(__xludf.DUMMYFUNCTION("""COMPUTED_VALUE"""),2025.0)</f>
        <v>2025</v>
      </c>
      <c r="E4629">
        <f>IFERROR(__xludf.DUMMYFUNCTION("""COMPUTED_VALUE"""),1.8478364E7)</f>
        <v>18478364</v>
      </c>
    </row>
    <row r="4630">
      <c r="A4630" t="str">
        <f t="shared" si="1"/>
        <v>ecu#2026</v>
      </c>
      <c r="B4630" t="str">
        <f>IFERROR(__xludf.DUMMYFUNCTION("""COMPUTED_VALUE"""),"ecu")</f>
        <v>ecu</v>
      </c>
      <c r="C4630" t="str">
        <f>IFERROR(__xludf.DUMMYFUNCTION("""COMPUTED_VALUE"""),"Ecuador")</f>
        <v>Ecuador</v>
      </c>
      <c r="D4630">
        <f>IFERROR(__xludf.DUMMYFUNCTION("""COMPUTED_VALUE"""),2026.0)</f>
        <v>2026</v>
      </c>
      <c r="E4630">
        <f>IFERROR(__xludf.DUMMYFUNCTION("""COMPUTED_VALUE"""),1.869938E7)</f>
        <v>18699380</v>
      </c>
    </row>
    <row r="4631">
      <c r="A4631" t="str">
        <f t="shared" si="1"/>
        <v>ecu#2027</v>
      </c>
      <c r="B4631" t="str">
        <f>IFERROR(__xludf.DUMMYFUNCTION("""COMPUTED_VALUE"""),"ecu")</f>
        <v>ecu</v>
      </c>
      <c r="C4631" t="str">
        <f>IFERROR(__xludf.DUMMYFUNCTION("""COMPUTED_VALUE"""),"Ecuador")</f>
        <v>Ecuador</v>
      </c>
      <c r="D4631">
        <f>IFERROR(__xludf.DUMMYFUNCTION("""COMPUTED_VALUE"""),2027.0)</f>
        <v>2027</v>
      </c>
      <c r="E4631">
        <f>IFERROR(__xludf.DUMMYFUNCTION("""COMPUTED_VALUE"""),1.8917584E7)</f>
        <v>18917584</v>
      </c>
    </row>
    <row r="4632">
      <c r="A4632" t="str">
        <f t="shared" si="1"/>
        <v>ecu#2028</v>
      </c>
      <c r="B4632" t="str">
        <f>IFERROR(__xludf.DUMMYFUNCTION("""COMPUTED_VALUE"""),"ecu")</f>
        <v>ecu</v>
      </c>
      <c r="C4632" t="str">
        <f>IFERROR(__xludf.DUMMYFUNCTION("""COMPUTED_VALUE"""),"Ecuador")</f>
        <v>Ecuador</v>
      </c>
      <c r="D4632">
        <f>IFERROR(__xludf.DUMMYFUNCTION("""COMPUTED_VALUE"""),2028.0)</f>
        <v>2028</v>
      </c>
      <c r="E4632">
        <f>IFERROR(__xludf.DUMMYFUNCTION("""COMPUTED_VALUE"""),1.9132925E7)</f>
        <v>19132925</v>
      </c>
    </row>
    <row r="4633">
      <c r="A4633" t="str">
        <f t="shared" si="1"/>
        <v>ecu#2029</v>
      </c>
      <c r="B4633" t="str">
        <f>IFERROR(__xludf.DUMMYFUNCTION("""COMPUTED_VALUE"""),"ecu")</f>
        <v>ecu</v>
      </c>
      <c r="C4633" t="str">
        <f>IFERROR(__xludf.DUMMYFUNCTION("""COMPUTED_VALUE"""),"Ecuador")</f>
        <v>Ecuador</v>
      </c>
      <c r="D4633">
        <f>IFERROR(__xludf.DUMMYFUNCTION("""COMPUTED_VALUE"""),2029.0)</f>
        <v>2029</v>
      </c>
      <c r="E4633">
        <f>IFERROR(__xludf.DUMMYFUNCTION("""COMPUTED_VALUE"""),1.9345363E7)</f>
        <v>19345363</v>
      </c>
    </row>
    <row r="4634">
      <c r="A4634" t="str">
        <f t="shared" si="1"/>
        <v>ecu#2030</v>
      </c>
      <c r="B4634" t="str">
        <f>IFERROR(__xludf.DUMMYFUNCTION("""COMPUTED_VALUE"""),"ecu")</f>
        <v>ecu</v>
      </c>
      <c r="C4634" t="str">
        <f>IFERROR(__xludf.DUMMYFUNCTION("""COMPUTED_VALUE"""),"Ecuador")</f>
        <v>Ecuador</v>
      </c>
      <c r="D4634">
        <f>IFERROR(__xludf.DUMMYFUNCTION("""COMPUTED_VALUE"""),2030.0)</f>
        <v>2030</v>
      </c>
      <c r="E4634">
        <f>IFERROR(__xludf.DUMMYFUNCTION("""COMPUTED_VALUE"""),1.9554856E7)</f>
        <v>19554856</v>
      </c>
    </row>
    <row r="4635">
      <c r="A4635" t="str">
        <f t="shared" si="1"/>
        <v>ecu#2031</v>
      </c>
      <c r="B4635" t="str">
        <f>IFERROR(__xludf.DUMMYFUNCTION("""COMPUTED_VALUE"""),"ecu")</f>
        <v>ecu</v>
      </c>
      <c r="C4635" t="str">
        <f>IFERROR(__xludf.DUMMYFUNCTION("""COMPUTED_VALUE"""),"Ecuador")</f>
        <v>Ecuador</v>
      </c>
      <c r="D4635">
        <f>IFERROR(__xludf.DUMMYFUNCTION("""COMPUTED_VALUE"""),2031.0)</f>
        <v>2031</v>
      </c>
      <c r="E4635">
        <f>IFERROR(__xludf.DUMMYFUNCTION("""COMPUTED_VALUE"""),1.9761328E7)</f>
        <v>19761328</v>
      </c>
    </row>
    <row r="4636">
      <c r="A4636" t="str">
        <f t="shared" si="1"/>
        <v>ecu#2032</v>
      </c>
      <c r="B4636" t="str">
        <f>IFERROR(__xludf.DUMMYFUNCTION("""COMPUTED_VALUE"""),"ecu")</f>
        <v>ecu</v>
      </c>
      <c r="C4636" t="str">
        <f>IFERROR(__xludf.DUMMYFUNCTION("""COMPUTED_VALUE"""),"Ecuador")</f>
        <v>Ecuador</v>
      </c>
      <c r="D4636">
        <f>IFERROR(__xludf.DUMMYFUNCTION("""COMPUTED_VALUE"""),2032.0)</f>
        <v>2032</v>
      </c>
      <c r="E4636">
        <f>IFERROR(__xludf.DUMMYFUNCTION("""COMPUTED_VALUE"""),1.9964652E7)</f>
        <v>19964652</v>
      </c>
    </row>
    <row r="4637">
      <c r="A4637" t="str">
        <f t="shared" si="1"/>
        <v>ecu#2033</v>
      </c>
      <c r="B4637" t="str">
        <f>IFERROR(__xludf.DUMMYFUNCTION("""COMPUTED_VALUE"""),"ecu")</f>
        <v>ecu</v>
      </c>
      <c r="C4637" t="str">
        <f>IFERROR(__xludf.DUMMYFUNCTION("""COMPUTED_VALUE"""),"Ecuador")</f>
        <v>Ecuador</v>
      </c>
      <c r="D4637">
        <f>IFERROR(__xludf.DUMMYFUNCTION("""COMPUTED_VALUE"""),2033.0)</f>
        <v>2033</v>
      </c>
      <c r="E4637">
        <f>IFERROR(__xludf.DUMMYFUNCTION("""COMPUTED_VALUE"""),2.0164669E7)</f>
        <v>20164669</v>
      </c>
    </row>
    <row r="4638">
      <c r="A4638" t="str">
        <f t="shared" si="1"/>
        <v>ecu#2034</v>
      </c>
      <c r="B4638" t="str">
        <f>IFERROR(__xludf.DUMMYFUNCTION("""COMPUTED_VALUE"""),"ecu")</f>
        <v>ecu</v>
      </c>
      <c r="C4638" t="str">
        <f>IFERROR(__xludf.DUMMYFUNCTION("""COMPUTED_VALUE"""),"Ecuador")</f>
        <v>Ecuador</v>
      </c>
      <c r="D4638">
        <f>IFERROR(__xludf.DUMMYFUNCTION("""COMPUTED_VALUE"""),2034.0)</f>
        <v>2034</v>
      </c>
      <c r="E4638">
        <f>IFERROR(__xludf.DUMMYFUNCTION("""COMPUTED_VALUE"""),2.036122E7)</f>
        <v>20361220</v>
      </c>
    </row>
    <row r="4639">
      <c r="A4639" t="str">
        <f t="shared" si="1"/>
        <v>ecu#2035</v>
      </c>
      <c r="B4639" t="str">
        <f>IFERROR(__xludf.DUMMYFUNCTION("""COMPUTED_VALUE"""),"ecu")</f>
        <v>ecu</v>
      </c>
      <c r="C4639" t="str">
        <f>IFERROR(__xludf.DUMMYFUNCTION("""COMPUTED_VALUE"""),"Ecuador")</f>
        <v>Ecuador</v>
      </c>
      <c r="D4639">
        <f>IFERROR(__xludf.DUMMYFUNCTION("""COMPUTED_VALUE"""),2035.0)</f>
        <v>2035</v>
      </c>
      <c r="E4639">
        <f>IFERROR(__xludf.DUMMYFUNCTION("""COMPUTED_VALUE"""),2.0554156E7)</f>
        <v>20554156</v>
      </c>
    </row>
    <row r="4640">
      <c r="A4640" t="str">
        <f t="shared" si="1"/>
        <v>ecu#2036</v>
      </c>
      <c r="B4640" t="str">
        <f>IFERROR(__xludf.DUMMYFUNCTION("""COMPUTED_VALUE"""),"ecu")</f>
        <v>ecu</v>
      </c>
      <c r="C4640" t="str">
        <f>IFERROR(__xludf.DUMMYFUNCTION("""COMPUTED_VALUE"""),"Ecuador")</f>
        <v>Ecuador</v>
      </c>
      <c r="D4640">
        <f>IFERROR(__xludf.DUMMYFUNCTION("""COMPUTED_VALUE"""),2036.0)</f>
        <v>2036</v>
      </c>
      <c r="E4640">
        <f>IFERROR(__xludf.DUMMYFUNCTION("""COMPUTED_VALUE"""),2.0743359E7)</f>
        <v>20743359</v>
      </c>
    </row>
    <row r="4641">
      <c r="A4641" t="str">
        <f t="shared" si="1"/>
        <v>ecu#2037</v>
      </c>
      <c r="B4641" t="str">
        <f>IFERROR(__xludf.DUMMYFUNCTION("""COMPUTED_VALUE"""),"ecu")</f>
        <v>ecu</v>
      </c>
      <c r="C4641" t="str">
        <f>IFERROR(__xludf.DUMMYFUNCTION("""COMPUTED_VALUE"""),"Ecuador")</f>
        <v>Ecuador</v>
      </c>
      <c r="D4641">
        <f>IFERROR(__xludf.DUMMYFUNCTION("""COMPUTED_VALUE"""),2037.0)</f>
        <v>2037</v>
      </c>
      <c r="E4641">
        <f>IFERROR(__xludf.DUMMYFUNCTION("""COMPUTED_VALUE"""),2.0928791E7)</f>
        <v>20928791</v>
      </c>
    </row>
    <row r="4642">
      <c r="A4642" t="str">
        <f t="shared" si="1"/>
        <v>ecu#2038</v>
      </c>
      <c r="B4642" t="str">
        <f>IFERROR(__xludf.DUMMYFUNCTION("""COMPUTED_VALUE"""),"ecu")</f>
        <v>ecu</v>
      </c>
      <c r="C4642" t="str">
        <f>IFERROR(__xludf.DUMMYFUNCTION("""COMPUTED_VALUE"""),"Ecuador")</f>
        <v>Ecuador</v>
      </c>
      <c r="D4642">
        <f>IFERROR(__xludf.DUMMYFUNCTION("""COMPUTED_VALUE"""),2038.0)</f>
        <v>2038</v>
      </c>
      <c r="E4642">
        <f>IFERROR(__xludf.DUMMYFUNCTION("""COMPUTED_VALUE"""),2.1110367E7)</f>
        <v>21110367</v>
      </c>
    </row>
    <row r="4643">
      <c r="A4643" t="str">
        <f t="shared" si="1"/>
        <v>ecu#2039</v>
      </c>
      <c r="B4643" t="str">
        <f>IFERROR(__xludf.DUMMYFUNCTION("""COMPUTED_VALUE"""),"ecu")</f>
        <v>ecu</v>
      </c>
      <c r="C4643" t="str">
        <f>IFERROR(__xludf.DUMMYFUNCTION("""COMPUTED_VALUE"""),"Ecuador")</f>
        <v>Ecuador</v>
      </c>
      <c r="D4643">
        <f>IFERROR(__xludf.DUMMYFUNCTION("""COMPUTED_VALUE"""),2039.0)</f>
        <v>2039</v>
      </c>
      <c r="E4643">
        <f>IFERROR(__xludf.DUMMYFUNCTION("""COMPUTED_VALUE"""),2.1288034E7)</f>
        <v>21288034</v>
      </c>
    </row>
    <row r="4644">
      <c r="A4644" t="str">
        <f t="shared" si="1"/>
        <v>ecu#2040</v>
      </c>
      <c r="B4644" t="str">
        <f>IFERROR(__xludf.DUMMYFUNCTION("""COMPUTED_VALUE"""),"ecu")</f>
        <v>ecu</v>
      </c>
      <c r="C4644" t="str">
        <f>IFERROR(__xludf.DUMMYFUNCTION("""COMPUTED_VALUE"""),"Ecuador")</f>
        <v>Ecuador</v>
      </c>
      <c r="D4644">
        <f>IFERROR(__xludf.DUMMYFUNCTION("""COMPUTED_VALUE"""),2040.0)</f>
        <v>2040</v>
      </c>
      <c r="E4644">
        <f>IFERROR(__xludf.DUMMYFUNCTION("""COMPUTED_VALUE"""),2.146174E7)</f>
        <v>21461740</v>
      </c>
    </row>
    <row r="4645">
      <c r="A4645" t="str">
        <f t="shared" si="1"/>
        <v>egy#1950</v>
      </c>
      <c r="B4645" t="str">
        <f>IFERROR(__xludf.DUMMYFUNCTION("""COMPUTED_VALUE"""),"egy")</f>
        <v>egy</v>
      </c>
      <c r="C4645" t="str">
        <f>IFERROR(__xludf.DUMMYFUNCTION("""COMPUTED_VALUE"""),"Egypt")</f>
        <v>Egypt</v>
      </c>
      <c r="D4645">
        <f>IFERROR(__xludf.DUMMYFUNCTION("""COMPUTED_VALUE"""),1950.0)</f>
        <v>1950</v>
      </c>
      <c r="E4645">
        <f>IFERROR(__xludf.DUMMYFUNCTION("""COMPUTED_VALUE"""),2.0713331E7)</f>
        <v>20713331</v>
      </c>
    </row>
    <row r="4646">
      <c r="A4646" t="str">
        <f t="shared" si="1"/>
        <v>egy#1951</v>
      </c>
      <c r="B4646" t="str">
        <f>IFERROR(__xludf.DUMMYFUNCTION("""COMPUTED_VALUE"""),"egy")</f>
        <v>egy</v>
      </c>
      <c r="C4646" t="str">
        <f>IFERROR(__xludf.DUMMYFUNCTION("""COMPUTED_VALUE"""),"Egypt")</f>
        <v>Egypt</v>
      </c>
      <c r="D4646">
        <f>IFERROR(__xludf.DUMMYFUNCTION("""COMPUTED_VALUE"""),1951.0)</f>
        <v>1951</v>
      </c>
      <c r="E4646">
        <f>IFERROR(__xludf.DUMMYFUNCTION("""COMPUTED_VALUE"""),2.1215014E7)</f>
        <v>21215014</v>
      </c>
    </row>
    <row r="4647">
      <c r="A4647" t="str">
        <f t="shared" si="1"/>
        <v>egy#1952</v>
      </c>
      <c r="B4647" t="str">
        <f>IFERROR(__xludf.DUMMYFUNCTION("""COMPUTED_VALUE"""),"egy")</f>
        <v>egy</v>
      </c>
      <c r="C4647" t="str">
        <f>IFERROR(__xludf.DUMMYFUNCTION("""COMPUTED_VALUE"""),"Egypt")</f>
        <v>Egypt</v>
      </c>
      <c r="D4647">
        <f>IFERROR(__xludf.DUMMYFUNCTION("""COMPUTED_VALUE"""),1952.0)</f>
        <v>1952</v>
      </c>
      <c r="E4647">
        <f>IFERROR(__xludf.DUMMYFUNCTION("""COMPUTED_VALUE"""),2.1746808E7)</f>
        <v>21746808</v>
      </c>
    </row>
    <row r="4648">
      <c r="A4648" t="str">
        <f t="shared" si="1"/>
        <v>egy#1953</v>
      </c>
      <c r="B4648" t="str">
        <f>IFERROR(__xludf.DUMMYFUNCTION("""COMPUTED_VALUE"""),"egy")</f>
        <v>egy</v>
      </c>
      <c r="C4648" t="str">
        <f>IFERROR(__xludf.DUMMYFUNCTION("""COMPUTED_VALUE"""),"Egypt")</f>
        <v>Egypt</v>
      </c>
      <c r="D4648">
        <f>IFERROR(__xludf.DUMMYFUNCTION("""COMPUTED_VALUE"""),1953.0)</f>
        <v>1953</v>
      </c>
      <c r="E4648">
        <f>IFERROR(__xludf.DUMMYFUNCTION("""COMPUTED_VALUE"""),2.2309098E7)</f>
        <v>22309098</v>
      </c>
    </row>
    <row r="4649">
      <c r="A4649" t="str">
        <f t="shared" si="1"/>
        <v>egy#1954</v>
      </c>
      <c r="B4649" t="str">
        <f>IFERROR(__xludf.DUMMYFUNCTION("""COMPUTED_VALUE"""),"egy")</f>
        <v>egy</v>
      </c>
      <c r="C4649" t="str">
        <f>IFERROR(__xludf.DUMMYFUNCTION("""COMPUTED_VALUE"""),"Egypt")</f>
        <v>Egypt</v>
      </c>
      <c r="D4649">
        <f>IFERROR(__xludf.DUMMYFUNCTION("""COMPUTED_VALUE"""),1954.0)</f>
        <v>1954</v>
      </c>
      <c r="E4649">
        <f>IFERROR(__xludf.DUMMYFUNCTION("""COMPUTED_VALUE"""),2.2901598E7)</f>
        <v>22901598</v>
      </c>
    </row>
    <row r="4650">
      <c r="A4650" t="str">
        <f t="shared" si="1"/>
        <v>egy#1955</v>
      </c>
      <c r="B4650" t="str">
        <f>IFERROR(__xludf.DUMMYFUNCTION("""COMPUTED_VALUE"""),"egy")</f>
        <v>egy</v>
      </c>
      <c r="C4650" t="str">
        <f>IFERROR(__xludf.DUMMYFUNCTION("""COMPUTED_VALUE"""),"Egypt")</f>
        <v>Egypt</v>
      </c>
      <c r="D4650">
        <f>IFERROR(__xludf.DUMMYFUNCTION("""COMPUTED_VALUE"""),1955.0)</f>
        <v>1955</v>
      </c>
      <c r="E4650">
        <f>IFERROR(__xludf.DUMMYFUNCTION("""COMPUTED_VALUE"""),2.3523384E7)</f>
        <v>23523384</v>
      </c>
    </row>
    <row r="4651">
      <c r="A4651" t="str">
        <f t="shared" si="1"/>
        <v>egy#1956</v>
      </c>
      <c r="B4651" t="str">
        <f>IFERROR(__xludf.DUMMYFUNCTION("""COMPUTED_VALUE"""),"egy")</f>
        <v>egy</v>
      </c>
      <c r="C4651" t="str">
        <f>IFERROR(__xludf.DUMMYFUNCTION("""COMPUTED_VALUE"""),"Egypt")</f>
        <v>Egypt</v>
      </c>
      <c r="D4651">
        <f>IFERROR(__xludf.DUMMYFUNCTION("""COMPUTED_VALUE"""),1956.0)</f>
        <v>1956</v>
      </c>
      <c r="E4651">
        <f>IFERROR(__xludf.DUMMYFUNCTION("""COMPUTED_VALUE"""),2.4172872E7)</f>
        <v>24172872</v>
      </c>
    </row>
    <row r="4652">
      <c r="A4652" t="str">
        <f t="shared" si="1"/>
        <v>egy#1957</v>
      </c>
      <c r="B4652" t="str">
        <f>IFERROR(__xludf.DUMMYFUNCTION("""COMPUTED_VALUE"""),"egy")</f>
        <v>egy</v>
      </c>
      <c r="C4652" t="str">
        <f>IFERROR(__xludf.DUMMYFUNCTION("""COMPUTED_VALUE"""),"Egypt")</f>
        <v>Egypt</v>
      </c>
      <c r="D4652">
        <f>IFERROR(__xludf.DUMMYFUNCTION("""COMPUTED_VALUE"""),1957.0)</f>
        <v>1957</v>
      </c>
      <c r="E4652">
        <f>IFERROR(__xludf.DUMMYFUNCTION("""COMPUTED_VALUE"""),2.4847822E7)</f>
        <v>24847822</v>
      </c>
    </row>
    <row r="4653">
      <c r="A4653" t="str">
        <f t="shared" si="1"/>
        <v>egy#1958</v>
      </c>
      <c r="B4653" t="str">
        <f>IFERROR(__xludf.DUMMYFUNCTION("""COMPUTED_VALUE"""),"egy")</f>
        <v>egy</v>
      </c>
      <c r="C4653" t="str">
        <f>IFERROR(__xludf.DUMMYFUNCTION("""COMPUTED_VALUE"""),"Egypt")</f>
        <v>Egypt</v>
      </c>
      <c r="D4653">
        <f>IFERROR(__xludf.DUMMYFUNCTION("""COMPUTED_VALUE"""),1958.0)</f>
        <v>1958</v>
      </c>
      <c r="E4653">
        <f>IFERROR(__xludf.DUMMYFUNCTION("""COMPUTED_VALUE"""),2.5545476E7)</f>
        <v>25545476</v>
      </c>
    </row>
    <row r="4654">
      <c r="A4654" t="str">
        <f t="shared" si="1"/>
        <v>egy#1959</v>
      </c>
      <c r="B4654" t="str">
        <f>IFERROR(__xludf.DUMMYFUNCTION("""COMPUTED_VALUE"""),"egy")</f>
        <v>egy</v>
      </c>
      <c r="C4654" t="str">
        <f>IFERROR(__xludf.DUMMYFUNCTION("""COMPUTED_VALUE"""),"Egypt")</f>
        <v>Egypt</v>
      </c>
      <c r="D4654">
        <f>IFERROR(__xludf.DUMMYFUNCTION("""COMPUTED_VALUE"""),1959.0)</f>
        <v>1959</v>
      </c>
      <c r="E4654">
        <f>IFERROR(__xludf.DUMMYFUNCTION("""COMPUTED_VALUE"""),2.6262697E7)</f>
        <v>26262697</v>
      </c>
    </row>
    <row r="4655">
      <c r="A4655" t="str">
        <f t="shared" si="1"/>
        <v>egy#1960</v>
      </c>
      <c r="B4655" t="str">
        <f>IFERROR(__xludf.DUMMYFUNCTION("""COMPUTED_VALUE"""),"egy")</f>
        <v>egy</v>
      </c>
      <c r="C4655" t="str">
        <f>IFERROR(__xludf.DUMMYFUNCTION("""COMPUTED_VALUE"""),"Egypt")</f>
        <v>Egypt</v>
      </c>
      <c r="D4655">
        <f>IFERROR(__xludf.DUMMYFUNCTION("""COMPUTED_VALUE"""),1960.0)</f>
        <v>1960</v>
      </c>
      <c r="E4655">
        <f>IFERROR(__xludf.DUMMYFUNCTION("""COMPUTED_VALUE"""),2.6996533E7)</f>
        <v>26996533</v>
      </c>
    </row>
    <row r="4656">
      <c r="A4656" t="str">
        <f t="shared" si="1"/>
        <v>egy#1961</v>
      </c>
      <c r="B4656" t="str">
        <f>IFERROR(__xludf.DUMMYFUNCTION("""COMPUTED_VALUE"""),"egy")</f>
        <v>egy</v>
      </c>
      <c r="C4656" t="str">
        <f>IFERROR(__xludf.DUMMYFUNCTION("""COMPUTED_VALUE"""),"Egypt")</f>
        <v>Egypt</v>
      </c>
      <c r="D4656">
        <f>IFERROR(__xludf.DUMMYFUNCTION("""COMPUTED_VALUE"""),1961.0)</f>
        <v>1961</v>
      </c>
      <c r="E4656">
        <f>IFERROR(__xludf.DUMMYFUNCTION("""COMPUTED_VALUE"""),2.7744712E7)</f>
        <v>27744712</v>
      </c>
    </row>
    <row r="4657">
      <c r="A4657" t="str">
        <f t="shared" si="1"/>
        <v>egy#1962</v>
      </c>
      <c r="B4657" t="str">
        <f>IFERROR(__xludf.DUMMYFUNCTION("""COMPUTED_VALUE"""),"egy")</f>
        <v>egy</v>
      </c>
      <c r="C4657" t="str">
        <f>IFERROR(__xludf.DUMMYFUNCTION("""COMPUTED_VALUE"""),"Egypt")</f>
        <v>Egypt</v>
      </c>
      <c r="D4657">
        <f>IFERROR(__xludf.DUMMYFUNCTION("""COMPUTED_VALUE"""),1962.0)</f>
        <v>1962</v>
      </c>
      <c r="E4657">
        <f>IFERROR(__xludf.DUMMYFUNCTION("""COMPUTED_VALUE"""),2.8506176E7)</f>
        <v>28506176</v>
      </c>
    </row>
    <row r="4658">
      <c r="A4658" t="str">
        <f t="shared" si="1"/>
        <v>egy#1963</v>
      </c>
      <c r="B4658" t="str">
        <f>IFERROR(__xludf.DUMMYFUNCTION("""COMPUTED_VALUE"""),"egy")</f>
        <v>egy</v>
      </c>
      <c r="C4658" t="str">
        <f>IFERROR(__xludf.DUMMYFUNCTION("""COMPUTED_VALUE"""),"Egypt")</f>
        <v>Egypt</v>
      </c>
      <c r="D4658">
        <f>IFERROR(__xludf.DUMMYFUNCTION("""COMPUTED_VALUE"""),1963.0)</f>
        <v>1963</v>
      </c>
      <c r="E4658">
        <f>IFERROR(__xludf.DUMMYFUNCTION("""COMPUTED_VALUE"""),2.928125E7)</f>
        <v>29281250</v>
      </c>
    </row>
    <row r="4659">
      <c r="A4659" t="str">
        <f t="shared" si="1"/>
        <v>egy#1964</v>
      </c>
      <c r="B4659" t="str">
        <f>IFERROR(__xludf.DUMMYFUNCTION("""COMPUTED_VALUE"""),"egy")</f>
        <v>egy</v>
      </c>
      <c r="C4659" t="str">
        <f>IFERROR(__xludf.DUMMYFUNCTION("""COMPUTED_VALUE"""),"Egypt")</f>
        <v>Egypt</v>
      </c>
      <c r="D4659">
        <f>IFERROR(__xludf.DUMMYFUNCTION("""COMPUTED_VALUE"""),1964.0)</f>
        <v>1964</v>
      </c>
      <c r="E4659">
        <f>IFERROR(__xludf.DUMMYFUNCTION("""COMPUTED_VALUE"""),3.0071102E7)</f>
        <v>30071102</v>
      </c>
    </row>
    <row r="4660">
      <c r="A4660" t="str">
        <f t="shared" si="1"/>
        <v>egy#1965</v>
      </c>
      <c r="B4660" t="str">
        <f>IFERROR(__xludf.DUMMYFUNCTION("""COMPUTED_VALUE"""),"egy")</f>
        <v>egy</v>
      </c>
      <c r="C4660" t="str">
        <f>IFERROR(__xludf.DUMMYFUNCTION("""COMPUTED_VALUE"""),"Egypt")</f>
        <v>Egypt</v>
      </c>
      <c r="D4660">
        <f>IFERROR(__xludf.DUMMYFUNCTION("""COMPUTED_VALUE"""),1965.0)</f>
        <v>1965</v>
      </c>
      <c r="E4660">
        <f>IFERROR(__xludf.DUMMYFUNCTION("""COMPUTED_VALUE"""),3.0875964E7)</f>
        <v>30875964</v>
      </c>
    </row>
    <row r="4661">
      <c r="A4661" t="str">
        <f t="shared" si="1"/>
        <v>egy#1966</v>
      </c>
      <c r="B4661" t="str">
        <f>IFERROR(__xludf.DUMMYFUNCTION("""COMPUTED_VALUE"""),"egy")</f>
        <v>egy</v>
      </c>
      <c r="C4661" t="str">
        <f>IFERROR(__xludf.DUMMYFUNCTION("""COMPUTED_VALUE"""),"Egypt")</f>
        <v>Egypt</v>
      </c>
      <c r="D4661">
        <f>IFERROR(__xludf.DUMMYFUNCTION("""COMPUTED_VALUE"""),1966.0)</f>
        <v>1966</v>
      </c>
      <c r="E4661">
        <f>IFERROR(__xludf.DUMMYFUNCTION("""COMPUTED_VALUE"""),3.1697616E7)</f>
        <v>31697616</v>
      </c>
    </row>
    <row r="4662">
      <c r="A4662" t="str">
        <f t="shared" si="1"/>
        <v>egy#1967</v>
      </c>
      <c r="B4662" t="str">
        <f>IFERROR(__xludf.DUMMYFUNCTION("""COMPUTED_VALUE"""),"egy")</f>
        <v>egy</v>
      </c>
      <c r="C4662" t="str">
        <f>IFERROR(__xludf.DUMMYFUNCTION("""COMPUTED_VALUE"""),"Egypt")</f>
        <v>Egypt</v>
      </c>
      <c r="D4662">
        <f>IFERROR(__xludf.DUMMYFUNCTION("""COMPUTED_VALUE"""),1967.0)</f>
        <v>1967</v>
      </c>
      <c r="E4662">
        <f>IFERROR(__xludf.DUMMYFUNCTION("""COMPUTED_VALUE"""),3.2534021E7)</f>
        <v>32534021</v>
      </c>
    </row>
    <row r="4663">
      <c r="A4663" t="str">
        <f t="shared" si="1"/>
        <v>egy#1968</v>
      </c>
      <c r="B4663" t="str">
        <f>IFERROR(__xludf.DUMMYFUNCTION("""COMPUTED_VALUE"""),"egy")</f>
        <v>egy</v>
      </c>
      <c r="C4663" t="str">
        <f>IFERROR(__xludf.DUMMYFUNCTION("""COMPUTED_VALUE"""),"Egypt")</f>
        <v>Egypt</v>
      </c>
      <c r="D4663">
        <f>IFERROR(__xludf.DUMMYFUNCTION("""COMPUTED_VALUE"""),1968.0)</f>
        <v>1968</v>
      </c>
      <c r="E4663">
        <f>IFERROR(__xludf.DUMMYFUNCTION("""COMPUTED_VALUE"""),3.3377259E7)</f>
        <v>33377259</v>
      </c>
    </row>
    <row r="4664">
      <c r="A4664" t="str">
        <f t="shared" si="1"/>
        <v>egy#1969</v>
      </c>
      <c r="B4664" t="str">
        <f>IFERROR(__xludf.DUMMYFUNCTION("""COMPUTED_VALUE"""),"egy")</f>
        <v>egy</v>
      </c>
      <c r="C4664" t="str">
        <f>IFERROR(__xludf.DUMMYFUNCTION("""COMPUTED_VALUE"""),"Egypt")</f>
        <v>Egypt</v>
      </c>
      <c r="D4664">
        <f>IFERROR(__xludf.DUMMYFUNCTION("""COMPUTED_VALUE"""),1969.0)</f>
        <v>1969</v>
      </c>
      <c r="E4664">
        <f>IFERROR(__xludf.DUMMYFUNCTION("""COMPUTED_VALUE"""),3.4216826E7)</f>
        <v>34216826</v>
      </c>
    </row>
    <row r="4665">
      <c r="A4665" t="str">
        <f t="shared" si="1"/>
        <v>egy#1970</v>
      </c>
      <c r="B4665" t="str">
        <f>IFERROR(__xludf.DUMMYFUNCTION("""COMPUTED_VALUE"""),"egy")</f>
        <v>egy</v>
      </c>
      <c r="C4665" t="str">
        <f>IFERROR(__xludf.DUMMYFUNCTION("""COMPUTED_VALUE"""),"Egypt")</f>
        <v>Egypt</v>
      </c>
      <c r="D4665">
        <f>IFERROR(__xludf.DUMMYFUNCTION("""COMPUTED_VALUE"""),1970.0)</f>
        <v>1970</v>
      </c>
      <c r="E4665">
        <f>IFERROR(__xludf.DUMMYFUNCTION("""COMPUTED_VALUE"""),3.5046273E7)</f>
        <v>35046273</v>
      </c>
    </row>
    <row r="4666">
      <c r="A4666" t="str">
        <f t="shared" si="1"/>
        <v>egy#1971</v>
      </c>
      <c r="B4666" t="str">
        <f>IFERROR(__xludf.DUMMYFUNCTION("""COMPUTED_VALUE"""),"egy")</f>
        <v>egy</v>
      </c>
      <c r="C4666" t="str">
        <f>IFERROR(__xludf.DUMMYFUNCTION("""COMPUTED_VALUE"""),"Egypt")</f>
        <v>Egypt</v>
      </c>
      <c r="D4666">
        <f>IFERROR(__xludf.DUMMYFUNCTION("""COMPUTED_VALUE"""),1971.0)</f>
        <v>1971</v>
      </c>
      <c r="E4666">
        <f>IFERROR(__xludf.DUMMYFUNCTION("""COMPUTED_VALUE"""),3.5863382E7)</f>
        <v>35863382</v>
      </c>
    </row>
    <row r="4667">
      <c r="A4667" t="str">
        <f t="shared" si="1"/>
        <v>egy#1972</v>
      </c>
      <c r="B4667" t="str">
        <f>IFERROR(__xludf.DUMMYFUNCTION("""COMPUTED_VALUE"""),"egy")</f>
        <v>egy</v>
      </c>
      <c r="C4667" t="str">
        <f>IFERROR(__xludf.DUMMYFUNCTION("""COMPUTED_VALUE"""),"Egypt")</f>
        <v>Egypt</v>
      </c>
      <c r="D4667">
        <f>IFERROR(__xludf.DUMMYFUNCTION("""COMPUTED_VALUE"""),1972.0)</f>
        <v>1972</v>
      </c>
      <c r="E4667">
        <f>IFERROR(__xludf.DUMMYFUNCTION("""COMPUTED_VALUE"""),3.6673642E7)</f>
        <v>36673642</v>
      </c>
    </row>
    <row r="4668">
      <c r="A4668" t="str">
        <f t="shared" si="1"/>
        <v>egy#1973</v>
      </c>
      <c r="B4668" t="str">
        <f>IFERROR(__xludf.DUMMYFUNCTION("""COMPUTED_VALUE"""),"egy")</f>
        <v>egy</v>
      </c>
      <c r="C4668" t="str">
        <f>IFERROR(__xludf.DUMMYFUNCTION("""COMPUTED_VALUE"""),"Egypt")</f>
        <v>Egypt</v>
      </c>
      <c r="D4668">
        <f>IFERROR(__xludf.DUMMYFUNCTION("""COMPUTED_VALUE"""),1973.0)</f>
        <v>1973</v>
      </c>
      <c r="E4668">
        <f>IFERROR(__xludf.DUMMYFUNCTION("""COMPUTED_VALUE"""),3.7488067E7)</f>
        <v>37488067</v>
      </c>
    </row>
    <row r="4669">
      <c r="A4669" t="str">
        <f t="shared" si="1"/>
        <v>egy#1974</v>
      </c>
      <c r="B4669" t="str">
        <f>IFERROR(__xludf.DUMMYFUNCTION("""COMPUTED_VALUE"""),"egy")</f>
        <v>egy</v>
      </c>
      <c r="C4669" t="str">
        <f>IFERROR(__xludf.DUMMYFUNCTION("""COMPUTED_VALUE"""),"Egypt")</f>
        <v>Egypt</v>
      </c>
      <c r="D4669">
        <f>IFERROR(__xludf.DUMMYFUNCTION("""COMPUTED_VALUE"""),1974.0)</f>
        <v>1974</v>
      </c>
      <c r="E4669">
        <f>IFERROR(__xludf.DUMMYFUNCTION("""COMPUTED_VALUE"""),3.8322022E7)</f>
        <v>38322022</v>
      </c>
    </row>
    <row r="4670">
      <c r="A4670" t="str">
        <f t="shared" si="1"/>
        <v>egy#1975</v>
      </c>
      <c r="B4670" t="str">
        <f>IFERROR(__xludf.DUMMYFUNCTION("""COMPUTED_VALUE"""),"egy")</f>
        <v>egy</v>
      </c>
      <c r="C4670" t="str">
        <f>IFERROR(__xludf.DUMMYFUNCTION("""COMPUTED_VALUE"""),"Egypt")</f>
        <v>Egypt</v>
      </c>
      <c r="D4670">
        <f>IFERROR(__xludf.DUMMYFUNCTION("""COMPUTED_VALUE"""),1975.0)</f>
        <v>1975</v>
      </c>
      <c r="E4670">
        <f>IFERROR(__xludf.DUMMYFUNCTION("""COMPUTED_VALUE"""),3.9187702E7)</f>
        <v>39187702</v>
      </c>
    </row>
    <row r="4671">
      <c r="A4671" t="str">
        <f t="shared" si="1"/>
        <v>egy#1976</v>
      </c>
      <c r="B4671" t="str">
        <f>IFERROR(__xludf.DUMMYFUNCTION("""COMPUTED_VALUE"""),"egy")</f>
        <v>egy</v>
      </c>
      <c r="C4671" t="str">
        <f>IFERROR(__xludf.DUMMYFUNCTION("""COMPUTED_VALUE"""),"Egypt")</f>
        <v>Egypt</v>
      </c>
      <c r="D4671">
        <f>IFERROR(__xludf.DUMMYFUNCTION("""COMPUTED_VALUE"""),1976.0)</f>
        <v>1976</v>
      </c>
      <c r="E4671">
        <f>IFERROR(__xludf.DUMMYFUNCTION("""COMPUTED_VALUE"""),4.0089032E7)</f>
        <v>40089032</v>
      </c>
    </row>
    <row r="4672">
      <c r="A4672" t="str">
        <f t="shared" si="1"/>
        <v>egy#1977</v>
      </c>
      <c r="B4672" t="str">
        <f>IFERROR(__xludf.DUMMYFUNCTION("""COMPUTED_VALUE"""),"egy")</f>
        <v>egy</v>
      </c>
      <c r="C4672" t="str">
        <f>IFERROR(__xludf.DUMMYFUNCTION("""COMPUTED_VALUE"""),"Egypt")</f>
        <v>Egypt</v>
      </c>
      <c r="D4672">
        <f>IFERROR(__xludf.DUMMYFUNCTION("""COMPUTED_VALUE"""),1977.0)</f>
        <v>1977</v>
      </c>
      <c r="E4672">
        <f>IFERROR(__xludf.DUMMYFUNCTION("""COMPUTED_VALUE"""),4.1026477E7)</f>
        <v>41026477</v>
      </c>
    </row>
    <row r="4673">
      <c r="A4673" t="str">
        <f t="shared" si="1"/>
        <v>egy#1978</v>
      </c>
      <c r="B4673" t="str">
        <f>IFERROR(__xludf.DUMMYFUNCTION("""COMPUTED_VALUE"""),"egy")</f>
        <v>egy</v>
      </c>
      <c r="C4673" t="str">
        <f>IFERROR(__xludf.DUMMYFUNCTION("""COMPUTED_VALUE"""),"Egypt")</f>
        <v>Egypt</v>
      </c>
      <c r="D4673">
        <f>IFERROR(__xludf.DUMMYFUNCTION("""COMPUTED_VALUE"""),1978.0)</f>
        <v>1978</v>
      </c>
      <c r="E4673">
        <f>IFERROR(__xludf.DUMMYFUNCTION("""COMPUTED_VALUE"""),4.2004655E7)</f>
        <v>42004655</v>
      </c>
    </row>
    <row r="4674">
      <c r="A4674" t="str">
        <f t="shared" si="1"/>
        <v>egy#1979</v>
      </c>
      <c r="B4674" t="str">
        <f>IFERROR(__xludf.DUMMYFUNCTION("""COMPUTED_VALUE"""),"egy")</f>
        <v>egy</v>
      </c>
      <c r="C4674" t="str">
        <f>IFERROR(__xludf.DUMMYFUNCTION("""COMPUTED_VALUE"""),"Egypt")</f>
        <v>Egypt</v>
      </c>
      <c r="D4674">
        <f>IFERROR(__xludf.DUMMYFUNCTION("""COMPUTED_VALUE"""),1979.0)</f>
        <v>1979</v>
      </c>
      <c r="E4674">
        <f>IFERROR(__xludf.DUMMYFUNCTION("""COMPUTED_VALUE"""),4.3027816E7)</f>
        <v>43027816</v>
      </c>
    </row>
    <row r="4675">
      <c r="A4675" t="str">
        <f t="shared" si="1"/>
        <v>egy#1980</v>
      </c>
      <c r="B4675" t="str">
        <f>IFERROR(__xludf.DUMMYFUNCTION("""COMPUTED_VALUE"""),"egy")</f>
        <v>egy</v>
      </c>
      <c r="C4675" t="str">
        <f>IFERROR(__xludf.DUMMYFUNCTION("""COMPUTED_VALUE"""),"Egypt")</f>
        <v>Egypt</v>
      </c>
      <c r="D4675">
        <f>IFERROR(__xludf.DUMMYFUNCTION("""COMPUTED_VALUE"""),1980.0)</f>
        <v>1980</v>
      </c>
      <c r="E4675">
        <f>IFERROR(__xludf.DUMMYFUNCTION("""COMPUTED_VALUE"""),4.4099142E7)</f>
        <v>44099142</v>
      </c>
    </row>
    <row r="4676">
      <c r="A4676" t="str">
        <f t="shared" si="1"/>
        <v>egy#1981</v>
      </c>
      <c r="B4676" t="str">
        <f>IFERROR(__xludf.DUMMYFUNCTION("""COMPUTED_VALUE"""),"egy")</f>
        <v>egy</v>
      </c>
      <c r="C4676" t="str">
        <f>IFERROR(__xludf.DUMMYFUNCTION("""COMPUTED_VALUE"""),"Egypt")</f>
        <v>Egypt</v>
      </c>
      <c r="D4676">
        <f>IFERROR(__xludf.DUMMYFUNCTION("""COMPUTED_VALUE"""),1981.0)</f>
        <v>1981</v>
      </c>
      <c r="E4676">
        <f>IFERROR(__xludf.DUMMYFUNCTION("""COMPUTED_VALUE"""),4.5216506E7)</f>
        <v>45216506</v>
      </c>
    </row>
    <row r="4677">
      <c r="A4677" t="str">
        <f t="shared" si="1"/>
        <v>egy#1982</v>
      </c>
      <c r="B4677" t="str">
        <f>IFERROR(__xludf.DUMMYFUNCTION("""COMPUTED_VALUE"""),"egy")</f>
        <v>egy</v>
      </c>
      <c r="C4677" t="str">
        <f>IFERROR(__xludf.DUMMYFUNCTION("""COMPUTED_VALUE"""),"Egypt")</f>
        <v>Egypt</v>
      </c>
      <c r="D4677">
        <f>IFERROR(__xludf.DUMMYFUNCTION("""COMPUTED_VALUE"""),1982.0)</f>
        <v>1982</v>
      </c>
      <c r="E4677">
        <f>IFERROR(__xludf.DUMMYFUNCTION("""COMPUTED_VALUE"""),4.637962E7)</f>
        <v>46379620</v>
      </c>
    </row>
    <row r="4678">
      <c r="A4678" t="str">
        <f t="shared" si="1"/>
        <v>egy#1983</v>
      </c>
      <c r="B4678" t="str">
        <f>IFERROR(__xludf.DUMMYFUNCTION("""COMPUTED_VALUE"""),"egy")</f>
        <v>egy</v>
      </c>
      <c r="C4678" t="str">
        <f>IFERROR(__xludf.DUMMYFUNCTION("""COMPUTED_VALUE"""),"Egypt")</f>
        <v>Egypt</v>
      </c>
      <c r="D4678">
        <f>IFERROR(__xludf.DUMMYFUNCTION("""COMPUTED_VALUE"""),1983.0)</f>
        <v>1983</v>
      </c>
      <c r="E4678">
        <f>IFERROR(__xludf.DUMMYFUNCTION("""COMPUTED_VALUE"""),4.7594556E7)</f>
        <v>47594556</v>
      </c>
    </row>
    <row r="4679">
      <c r="A4679" t="str">
        <f t="shared" si="1"/>
        <v>egy#1984</v>
      </c>
      <c r="B4679" t="str">
        <f>IFERROR(__xludf.DUMMYFUNCTION("""COMPUTED_VALUE"""),"egy")</f>
        <v>egy</v>
      </c>
      <c r="C4679" t="str">
        <f>IFERROR(__xludf.DUMMYFUNCTION("""COMPUTED_VALUE"""),"Egypt")</f>
        <v>Egypt</v>
      </c>
      <c r="D4679">
        <f>IFERROR(__xludf.DUMMYFUNCTION("""COMPUTED_VALUE"""),1984.0)</f>
        <v>1984</v>
      </c>
      <c r="E4679">
        <f>IFERROR(__xludf.DUMMYFUNCTION("""COMPUTED_VALUE"""),4.8868951E7)</f>
        <v>48868951</v>
      </c>
    </row>
    <row r="4680">
      <c r="A4680" t="str">
        <f t="shared" si="1"/>
        <v>egy#1985</v>
      </c>
      <c r="B4680" t="str">
        <f>IFERROR(__xludf.DUMMYFUNCTION("""COMPUTED_VALUE"""),"egy")</f>
        <v>egy</v>
      </c>
      <c r="C4680" t="str">
        <f>IFERROR(__xludf.DUMMYFUNCTION("""COMPUTED_VALUE"""),"Egypt")</f>
        <v>Egypt</v>
      </c>
      <c r="D4680">
        <f>IFERROR(__xludf.DUMMYFUNCTION("""COMPUTED_VALUE"""),1985.0)</f>
        <v>1985</v>
      </c>
      <c r="E4680">
        <f>IFERROR(__xludf.DUMMYFUNCTION("""COMPUTED_VALUE"""),5.0204985E7)</f>
        <v>50204985</v>
      </c>
    </row>
    <row r="4681">
      <c r="A4681" t="str">
        <f t="shared" si="1"/>
        <v>egy#1986</v>
      </c>
      <c r="B4681" t="str">
        <f>IFERROR(__xludf.DUMMYFUNCTION("""COMPUTED_VALUE"""),"egy")</f>
        <v>egy</v>
      </c>
      <c r="C4681" t="str">
        <f>IFERROR(__xludf.DUMMYFUNCTION("""COMPUTED_VALUE"""),"Egypt")</f>
        <v>Egypt</v>
      </c>
      <c r="D4681">
        <f>IFERROR(__xludf.DUMMYFUNCTION("""COMPUTED_VALUE"""),1986.0)</f>
        <v>1986</v>
      </c>
      <c r="E4681">
        <f>IFERROR(__xludf.DUMMYFUNCTION("""COMPUTED_VALUE"""),5.1607703E7)</f>
        <v>51607703</v>
      </c>
    </row>
    <row r="4682">
      <c r="A4682" t="str">
        <f t="shared" si="1"/>
        <v>egy#1987</v>
      </c>
      <c r="B4682" t="str">
        <f>IFERROR(__xludf.DUMMYFUNCTION("""COMPUTED_VALUE"""),"egy")</f>
        <v>egy</v>
      </c>
      <c r="C4682" t="str">
        <f>IFERROR(__xludf.DUMMYFUNCTION("""COMPUTED_VALUE"""),"Egypt")</f>
        <v>Egypt</v>
      </c>
      <c r="D4682">
        <f>IFERROR(__xludf.DUMMYFUNCTION("""COMPUTED_VALUE"""),1987.0)</f>
        <v>1987</v>
      </c>
      <c r="E4682">
        <f>IFERROR(__xludf.DUMMYFUNCTION("""COMPUTED_VALUE"""),5.3066229E7)</f>
        <v>53066229</v>
      </c>
    </row>
    <row r="4683">
      <c r="A4683" t="str">
        <f t="shared" si="1"/>
        <v>egy#1988</v>
      </c>
      <c r="B4683" t="str">
        <f>IFERROR(__xludf.DUMMYFUNCTION("""COMPUTED_VALUE"""),"egy")</f>
        <v>egy</v>
      </c>
      <c r="C4683" t="str">
        <f>IFERROR(__xludf.DUMMYFUNCTION("""COMPUTED_VALUE"""),"Egypt")</f>
        <v>Egypt</v>
      </c>
      <c r="D4683">
        <f>IFERROR(__xludf.DUMMYFUNCTION("""COMPUTED_VALUE"""),1988.0)</f>
        <v>1988</v>
      </c>
      <c r="E4683">
        <f>IFERROR(__xludf.DUMMYFUNCTION("""COMPUTED_VALUE"""),5.4547296E7)</f>
        <v>54547296</v>
      </c>
    </row>
    <row r="4684">
      <c r="A4684" t="str">
        <f t="shared" si="1"/>
        <v>egy#1989</v>
      </c>
      <c r="B4684" t="str">
        <f>IFERROR(__xludf.DUMMYFUNCTION("""COMPUTED_VALUE"""),"egy")</f>
        <v>egy</v>
      </c>
      <c r="C4684" t="str">
        <f>IFERROR(__xludf.DUMMYFUNCTION("""COMPUTED_VALUE"""),"Egypt")</f>
        <v>Egypt</v>
      </c>
      <c r="D4684">
        <f>IFERROR(__xludf.DUMMYFUNCTION("""COMPUTED_VALUE"""),1989.0)</f>
        <v>1989</v>
      </c>
      <c r="E4684">
        <f>IFERROR(__xludf.DUMMYFUNCTION("""COMPUTED_VALUE"""),5.6006573E7)</f>
        <v>56006573</v>
      </c>
    </row>
    <row r="4685">
      <c r="A4685" t="str">
        <f t="shared" si="1"/>
        <v>egy#1990</v>
      </c>
      <c r="B4685" t="str">
        <f>IFERROR(__xludf.DUMMYFUNCTION("""COMPUTED_VALUE"""),"egy")</f>
        <v>egy</v>
      </c>
      <c r="C4685" t="str">
        <f>IFERROR(__xludf.DUMMYFUNCTION("""COMPUTED_VALUE"""),"Egypt")</f>
        <v>Egypt</v>
      </c>
      <c r="D4685">
        <f>IFERROR(__xludf.DUMMYFUNCTION("""COMPUTED_VALUE"""),1990.0)</f>
        <v>1990</v>
      </c>
      <c r="E4685">
        <f>IFERROR(__xludf.DUMMYFUNCTION("""COMPUTED_VALUE"""),5.7412215E7)</f>
        <v>57412215</v>
      </c>
    </row>
    <row r="4686">
      <c r="A4686" t="str">
        <f t="shared" si="1"/>
        <v>egy#1991</v>
      </c>
      <c r="B4686" t="str">
        <f>IFERROR(__xludf.DUMMYFUNCTION("""COMPUTED_VALUE"""),"egy")</f>
        <v>egy</v>
      </c>
      <c r="C4686" t="str">
        <f>IFERROR(__xludf.DUMMYFUNCTION("""COMPUTED_VALUE"""),"Egypt")</f>
        <v>Egypt</v>
      </c>
      <c r="D4686">
        <f>IFERROR(__xludf.DUMMYFUNCTION("""COMPUTED_VALUE"""),1991.0)</f>
        <v>1991</v>
      </c>
      <c r="E4686">
        <f>IFERROR(__xludf.DUMMYFUNCTION("""COMPUTED_VALUE"""),5.875239E7)</f>
        <v>58752390</v>
      </c>
    </row>
    <row r="4687">
      <c r="A4687" t="str">
        <f t="shared" si="1"/>
        <v>egy#1992</v>
      </c>
      <c r="B4687" t="str">
        <f>IFERROR(__xludf.DUMMYFUNCTION("""COMPUTED_VALUE"""),"egy")</f>
        <v>egy</v>
      </c>
      <c r="C4687" t="str">
        <f>IFERROR(__xludf.DUMMYFUNCTION("""COMPUTED_VALUE"""),"Egypt")</f>
        <v>Egypt</v>
      </c>
      <c r="D4687">
        <f>IFERROR(__xludf.DUMMYFUNCTION("""COMPUTED_VALUE"""),1992.0)</f>
        <v>1992</v>
      </c>
      <c r="E4687">
        <f>IFERROR(__xludf.DUMMYFUNCTION("""COMPUTED_VALUE"""),6.0035536E7)</f>
        <v>60035536</v>
      </c>
    </row>
    <row r="4688">
      <c r="A4688" t="str">
        <f t="shared" si="1"/>
        <v>egy#1993</v>
      </c>
      <c r="B4688" t="str">
        <f>IFERROR(__xludf.DUMMYFUNCTION("""COMPUTED_VALUE"""),"egy")</f>
        <v>egy</v>
      </c>
      <c r="C4688" t="str">
        <f>IFERROR(__xludf.DUMMYFUNCTION("""COMPUTED_VALUE"""),"Egypt")</f>
        <v>Egypt</v>
      </c>
      <c r="D4688">
        <f>IFERROR(__xludf.DUMMYFUNCTION("""COMPUTED_VALUE"""),1993.0)</f>
        <v>1993</v>
      </c>
      <c r="E4688">
        <f>IFERROR(__xludf.DUMMYFUNCTION("""COMPUTED_VALUE"""),6.1275601E7)</f>
        <v>61275601</v>
      </c>
    </row>
    <row r="4689">
      <c r="A4689" t="str">
        <f t="shared" si="1"/>
        <v>egy#1994</v>
      </c>
      <c r="B4689" t="str">
        <f>IFERROR(__xludf.DUMMYFUNCTION("""COMPUTED_VALUE"""),"egy")</f>
        <v>egy</v>
      </c>
      <c r="C4689" t="str">
        <f>IFERROR(__xludf.DUMMYFUNCTION("""COMPUTED_VALUE"""),"Egypt")</f>
        <v>Egypt</v>
      </c>
      <c r="D4689">
        <f>IFERROR(__xludf.DUMMYFUNCTION("""COMPUTED_VALUE"""),1994.0)</f>
        <v>1994</v>
      </c>
      <c r="E4689">
        <f>IFERROR(__xludf.DUMMYFUNCTION("""COMPUTED_VALUE"""),6.2495745E7)</f>
        <v>62495745</v>
      </c>
    </row>
    <row r="4690">
      <c r="A4690" t="str">
        <f t="shared" si="1"/>
        <v>egy#1995</v>
      </c>
      <c r="B4690" t="str">
        <f>IFERROR(__xludf.DUMMYFUNCTION("""COMPUTED_VALUE"""),"egy")</f>
        <v>egy</v>
      </c>
      <c r="C4690" t="str">
        <f>IFERROR(__xludf.DUMMYFUNCTION("""COMPUTED_VALUE"""),"Egypt")</f>
        <v>Egypt</v>
      </c>
      <c r="D4690">
        <f>IFERROR(__xludf.DUMMYFUNCTION("""COMPUTED_VALUE"""),1995.0)</f>
        <v>1995</v>
      </c>
      <c r="E4690">
        <f>IFERROR(__xludf.DUMMYFUNCTION("""COMPUTED_VALUE"""),6.3714386E7)</f>
        <v>63714386</v>
      </c>
    </row>
    <row r="4691">
      <c r="A4691" t="str">
        <f t="shared" si="1"/>
        <v>egy#1996</v>
      </c>
      <c r="B4691" t="str">
        <f>IFERROR(__xludf.DUMMYFUNCTION("""COMPUTED_VALUE"""),"egy")</f>
        <v>egy</v>
      </c>
      <c r="C4691" t="str">
        <f>IFERROR(__xludf.DUMMYFUNCTION("""COMPUTED_VALUE"""),"Egypt")</f>
        <v>Egypt</v>
      </c>
      <c r="D4691">
        <f>IFERROR(__xludf.DUMMYFUNCTION("""COMPUTED_VALUE"""),1996.0)</f>
        <v>1996</v>
      </c>
      <c r="E4691">
        <f>IFERROR(__xludf.DUMMYFUNCTION("""COMPUTED_VALUE"""),6.4933456E7)</f>
        <v>64933456</v>
      </c>
    </row>
    <row r="4692">
      <c r="A4692" t="str">
        <f t="shared" si="1"/>
        <v>egy#1997</v>
      </c>
      <c r="B4692" t="str">
        <f>IFERROR(__xludf.DUMMYFUNCTION("""COMPUTED_VALUE"""),"egy")</f>
        <v>egy</v>
      </c>
      <c r="C4692" t="str">
        <f>IFERROR(__xludf.DUMMYFUNCTION("""COMPUTED_VALUE"""),"Egypt")</f>
        <v>Egypt</v>
      </c>
      <c r="D4692">
        <f>IFERROR(__xludf.DUMMYFUNCTION("""COMPUTED_VALUE"""),1997.0)</f>
        <v>1997</v>
      </c>
      <c r="E4692">
        <f>IFERROR(__xludf.DUMMYFUNCTION("""COMPUTED_VALUE"""),6.6151117E7)</f>
        <v>66151117</v>
      </c>
    </row>
    <row r="4693">
      <c r="A4693" t="str">
        <f t="shared" si="1"/>
        <v>egy#1998</v>
      </c>
      <c r="B4693" t="str">
        <f>IFERROR(__xludf.DUMMYFUNCTION("""COMPUTED_VALUE"""),"egy")</f>
        <v>egy</v>
      </c>
      <c r="C4693" t="str">
        <f>IFERROR(__xludf.DUMMYFUNCTION("""COMPUTED_VALUE"""),"Egypt")</f>
        <v>Egypt</v>
      </c>
      <c r="D4693">
        <f>IFERROR(__xludf.DUMMYFUNCTION("""COMPUTED_VALUE"""),1998.0)</f>
        <v>1998</v>
      </c>
      <c r="E4693">
        <f>IFERROR(__xludf.DUMMYFUNCTION("""COMPUTED_VALUE"""),6.7378056E7)</f>
        <v>67378056</v>
      </c>
    </row>
    <row r="4694">
      <c r="A4694" t="str">
        <f t="shared" si="1"/>
        <v>egy#1999</v>
      </c>
      <c r="B4694" t="str">
        <f>IFERROR(__xludf.DUMMYFUNCTION("""COMPUTED_VALUE"""),"egy")</f>
        <v>egy</v>
      </c>
      <c r="C4694" t="str">
        <f>IFERROR(__xludf.DUMMYFUNCTION("""COMPUTED_VALUE"""),"Egypt")</f>
        <v>Egypt</v>
      </c>
      <c r="D4694">
        <f>IFERROR(__xludf.DUMMYFUNCTION("""COMPUTED_VALUE"""),1999.0)</f>
        <v>1999</v>
      </c>
      <c r="E4694">
        <f>IFERROR(__xludf.DUMMYFUNCTION("""COMPUTED_VALUE"""),6.8626664E7)</f>
        <v>68626664</v>
      </c>
    </row>
    <row r="4695">
      <c r="A4695" t="str">
        <f t="shared" si="1"/>
        <v>egy#2000</v>
      </c>
      <c r="B4695" t="str">
        <f>IFERROR(__xludf.DUMMYFUNCTION("""COMPUTED_VALUE"""),"egy")</f>
        <v>egy</v>
      </c>
      <c r="C4695" t="str">
        <f>IFERROR(__xludf.DUMMYFUNCTION("""COMPUTED_VALUE"""),"Egypt")</f>
        <v>Egypt</v>
      </c>
      <c r="D4695">
        <f>IFERROR(__xludf.DUMMYFUNCTION("""COMPUTED_VALUE"""),2000.0)</f>
        <v>2000</v>
      </c>
      <c r="E4695">
        <f>IFERROR(__xludf.DUMMYFUNCTION("""COMPUTED_VALUE"""),6.9905988E7)</f>
        <v>69905988</v>
      </c>
    </row>
    <row r="4696">
      <c r="A4696" t="str">
        <f t="shared" si="1"/>
        <v>egy#2001</v>
      </c>
      <c r="B4696" t="str">
        <f>IFERROR(__xludf.DUMMYFUNCTION("""COMPUTED_VALUE"""),"egy")</f>
        <v>egy</v>
      </c>
      <c r="C4696" t="str">
        <f>IFERROR(__xludf.DUMMYFUNCTION("""COMPUTED_VALUE"""),"Egypt")</f>
        <v>Egypt</v>
      </c>
      <c r="D4696">
        <f>IFERROR(__xludf.DUMMYFUNCTION("""COMPUTED_VALUE"""),2001.0)</f>
        <v>2001</v>
      </c>
      <c r="E4696">
        <f>IFERROR(__xludf.DUMMYFUNCTION("""COMPUTED_VALUE"""),7.122694E7)</f>
        <v>71226940</v>
      </c>
    </row>
    <row r="4697">
      <c r="A4697" t="str">
        <f t="shared" si="1"/>
        <v>egy#2002</v>
      </c>
      <c r="B4697" t="str">
        <f>IFERROR(__xludf.DUMMYFUNCTION("""COMPUTED_VALUE"""),"egy")</f>
        <v>egy</v>
      </c>
      <c r="C4697" t="str">
        <f>IFERROR(__xludf.DUMMYFUNCTION("""COMPUTED_VALUE"""),"Egypt")</f>
        <v>Egypt</v>
      </c>
      <c r="D4697">
        <f>IFERROR(__xludf.DUMMYFUNCTION("""COMPUTED_VALUE"""),2002.0)</f>
        <v>2002</v>
      </c>
      <c r="E4697">
        <f>IFERROR(__xludf.DUMMYFUNCTION("""COMPUTED_VALUE"""),7.2590118E7)</f>
        <v>72590118</v>
      </c>
    </row>
    <row r="4698">
      <c r="A4698" t="str">
        <f t="shared" si="1"/>
        <v>egy#2003</v>
      </c>
      <c r="B4698" t="str">
        <f>IFERROR(__xludf.DUMMYFUNCTION("""COMPUTED_VALUE"""),"egy")</f>
        <v>egy</v>
      </c>
      <c r="C4698" t="str">
        <f>IFERROR(__xludf.DUMMYFUNCTION("""COMPUTED_VALUE"""),"Egypt")</f>
        <v>Egypt</v>
      </c>
      <c r="D4698">
        <f>IFERROR(__xludf.DUMMYFUNCTION("""COMPUTED_VALUE"""),2003.0)</f>
        <v>2003</v>
      </c>
      <c r="E4698">
        <f>IFERROR(__xludf.DUMMYFUNCTION("""COMPUTED_VALUE"""),7.3981942E7)</f>
        <v>73981942</v>
      </c>
    </row>
    <row r="4699">
      <c r="A4699" t="str">
        <f t="shared" si="1"/>
        <v>egy#2004</v>
      </c>
      <c r="B4699" t="str">
        <f>IFERROR(__xludf.DUMMYFUNCTION("""COMPUTED_VALUE"""),"egy")</f>
        <v>egy</v>
      </c>
      <c r="C4699" t="str">
        <f>IFERROR(__xludf.DUMMYFUNCTION("""COMPUTED_VALUE"""),"Egypt")</f>
        <v>Egypt</v>
      </c>
      <c r="D4699">
        <f>IFERROR(__xludf.DUMMYFUNCTION("""COMPUTED_VALUE"""),2004.0)</f>
        <v>2004</v>
      </c>
      <c r="E4699">
        <f>IFERROR(__xludf.DUMMYFUNCTION("""COMPUTED_VALUE"""),7.5381899E7)</f>
        <v>75381899</v>
      </c>
    </row>
    <row r="4700">
      <c r="A4700" t="str">
        <f t="shared" si="1"/>
        <v>egy#2005</v>
      </c>
      <c r="B4700" t="str">
        <f>IFERROR(__xludf.DUMMYFUNCTION("""COMPUTED_VALUE"""),"egy")</f>
        <v>egy</v>
      </c>
      <c r="C4700" t="str">
        <f>IFERROR(__xludf.DUMMYFUNCTION("""COMPUTED_VALUE"""),"Egypt")</f>
        <v>Egypt</v>
      </c>
      <c r="D4700">
        <f>IFERROR(__xludf.DUMMYFUNCTION("""COMPUTED_VALUE"""),2005.0)</f>
        <v>2005</v>
      </c>
      <c r="E4700">
        <f>IFERROR(__xludf.DUMMYFUNCTION("""COMPUTED_VALUE"""),7.6778149E7)</f>
        <v>76778149</v>
      </c>
    </row>
    <row r="4701">
      <c r="A4701" t="str">
        <f t="shared" si="1"/>
        <v>egy#2006</v>
      </c>
      <c r="B4701" t="str">
        <f>IFERROR(__xludf.DUMMYFUNCTION("""COMPUTED_VALUE"""),"egy")</f>
        <v>egy</v>
      </c>
      <c r="C4701" t="str">
        <f>IFERROR(__xludf.DUMMYFUNCTION("""COMPUTED_VALUE"""),"Egypt")</f>
        <v>Egypt</v>
      </c>
      <c r="D4701">
        <f>IFERROR(__xludf.DUMMYFUNCTION("""COMPUTED_VALUE"""),2006.0)</f>
        <v>2006</v>
      </c>
      <c r="E4701">
        <f>IFERROR(__xludf.DUMMYFUNCTION("""COMPUTED_VALUE"""),7.8159048E7)</f>
        <v>78159048</v>
      </c>
    </row>
    <row r="4702">
      <c r="A4702" t="str">
        <f t="shared" si="1"/>
        <v>egy#2007</v>
      </c>
      <c r="B4702" t="str">
        <f>IFERROR(__xludf.DUMMYFUNCTION("""COMPUTED_VALUE"""),"egy")</f>
        <v>egy</v>
      </c>
      <c r="C4702" t="str">
        <f>IFERROR(__xludf.DUMMYFUNCTION("""COMPUTED_VALUE"""),"Egypt")</f>
        <v>Egypt</v>
      </c>
      <c r="D4702">
        <f>IFERROR(__xludf.DUMMYFUNCTION("""COMPUTED_VALUE"""),2007.0)</f>
        <v>2007</v>
      </c>
      <c r="E4702">
        <f>IFERROR(__xludf.DUMMYFUNCTION("""COMPUTED_VALUE"""),7.9537253E7)</f>
        <v>79537253</v>
      </c>
    </row>
    <row r="4703">
      <c r="A4703" t="str">
        <f t="shared" si="1"/>
        <v>egy#2008</v>
      </c>
      <c r="B4703" t="str">
        <f>IFERROR(__xludf.DUMMYFUNCTION("""COMPUTED_VALUE"""),"egy")</f>
        <v>egy</v>
      </c>
      <c r="C4703" t="str">
        <f>IFERROR(__xludf.DUMMYFUNCTION("""COMPUTED_VALUE"""),"Egypt")</f>
        <v>Egypt</v>
      </c>
      <c r="D4703">
        <f>IFERROR(__xludf.DUMMYFUNCTION("""COMPUTED_VALUE"""),2008.0)</f>
        <v>2008</v>
      </c>
      <c r="E4703">
        <f>IFERROR(__xludf.DUMMYFUNCTION("""COMPUTED_VALUE"""),8.0953881E7)</f>
        <v>80953881</v>
      </c>
    </row>
    <row r="4704">
      <c r="A4704" t="str">
        <f t="shared" si="1"/>
        <v>egy#2009</v>
      </c>
      <c r="B4704" t="str">
        <f>IFERROR(__xludf.DUMMYFUNCTION("""COMPUTED_VALUE"""),"egy")</f>
        <v>egy</v>
      </c>
      <c r="C4704" t="str">
        <f>IFERROR(__xludf.DUMMYFUNCTION("""COMPUTED_VALUE"""),"Egypt")</f>
        <v>Egypt</v>
      </c>
      <c r="D4704">
        <f>IFERROR(__xludf.DUMMYFUNCTION("""COMPUTED_VALUE"""),2009.0)</f>
        <v>2009</v>
      </c>
      <c r="E4704">
        <f>IFERROR(__xludf.DUMMYFUNCTION("""COMPUTED_VALUE"""),8.2465022E7)</f>
        <v>82465022</v>
      </c>
    </row>
    <row r="4705">
      <c r="A4705" t="str">
        <f t="shared" si="1"/>
        <v>egy#2010</v>
      </c>
      <c r="B4705" t="str">
        <f>IFERROR(__xludf.DUMMYFUNCTION("""COMPUTED_VALUE"""),"egy")</f>
        <v>egy</v>
      </c>
      <c r="C4705" t="str">
        <f>IFERROR(__xludf.DUMMYFUNCTION("""COMPUTED_VALUE"""),"Egypt")</f>
        <v>Egypt</v>
      </c>
      <c r="D4705">
        <f>IFERROR(__xludf.DUMMYFUNCTION("""COMPUTED_VALUE"""),2010.0)</f>
        <v>2010</v>
      </c>
      <c r="E4705">
        <f>IFERROR(__xludf.DUMMYFUNCTION("""COMPUTED_VALUE"""),8.4107606E7)</f>
        <v>84107606</v>
      </c>
    </row>
    <row r="4706">
      <c r="A4706" t="str">
        <f t="shared" si="1"/>
        <v>egy#2011</v>
      </c>
      <c r="B4706" t="str">
        <f>IFERROR(__xludf.DUMMYFUNCTION("""COMPUTED_VALUE"""),"egy")</f>
        <v>egy</v>
      </c>
      <c r="C4706" t="str">
        <f>IFERROR(__xludf.DUMMYFUNCTION("""COMPUTED_VALUE"""),"Egypt")</f>
        <v>Egypt</v>
      </c>
      <c r="D4706">
        <f>IFERROR(__xludf.DUMMYFUNCTION("""COMPUTED_VALUE"""),2011.0)</f>
        <v>2011</v>
      </c>
      <c r="E4706">
        <f>IFERROR(__xludf.DUMMYFUNCTION("""COMPUTED_VALUE"""),8.5897561E7)</f>
        <v>85897561</v>
      </c>
    </row>
    <row r="4707">
      <c r="A4707" t="str">
        <f t="shared" si="1"/>
        <v>egy#2012</v>
      </c>
      <c r="B4707" t="str">
        <f>IFERROR(__xludf.DUMMYFUNCTION("""COMPUTED_VALUE"""),"egy")</f>
        <v>egy</v>
      </c>
      <c r="C4707" t="str">
        <f>IFERROR(__xludf.DUMMYFUNCTION("""COMPUTED_VALUE"""),"Egypt")</f>
        <v>Egypt</v>
      </c>
      <c r="D4707">
        <f>IFERROR(__xludf.DUMMYFUNCTION("""COMPUTED_VALUE"""),2012.0)</f>
        <v>2012</v>
      </c>
      <c r="E4707">
        <f>IFERROR(__xludf.DUMMYFUNCTION("""COMPUTED_VALUE"""),8.7813257E7)</f>
        <v>87813257</v>
      </c>
    </row>
    <row r="4708">
      <c r="A4708" t="str">
        <f t="shared" si="1"/>
        <v>egy#2013</v>
      </c>
      <c r="B4708" t="str">
        <f>IFERROR(__xludf.DUMMYFUNCTION("""COMPUTED_VALUE"""),"egy")</f>
        <v>egy</v>
      </c>
      <c r="C4708" t="str">
        <f>IFERROR(__xludf.DUMMYFUNCTION("""COMPUTED_VALUE"""),"Egypt")</f>
        <v>Egypt</v>
      </c>
      <c r="D4708">
        <f>IFERROR(__xludf.DUMMYFUNCTION("""COMPUTED_VALUE"""),2013.0)</f>
        <v>2013</v>
      </c>
      <c r="E4708">
        <f>IFERROR(__xludf.DUMMYFUNCTION("""COMPUTED_VALUE"""),8.9807433E7)</f>
        <v>89807433</v>
      </c>
    </row>
    <row r="4709">
      <c r="A4709" t="str">
        <f t="shared" si="1"/>
        <v>egy#2014</v>
      </c>
      <c r="B4709" t="str">
        <f>IFERROR(__xludf.DUMMYFUNCTION("""COMPUTED_VALUE"""),"egy")</f>
        <v>egy</v>
      </c>
      <c r="C4709" t="str">
        <f>IFERROR(__xludf.DUMMYFUNCTION("""COMPUTED_VALUE"""),"Egypt")</f>
        <v>Egypt</v>
      </c>
      <c r="D4709">
        <f>IFERROR(__xludf.DUMMYFUNCTION("""COMPUTED_VALUE"""),2014.0)</f>
        <v>2014</v>
      </c>
      <c r="E4709">
        <f>IFERROR(__xludf.DUMMYFUNCTION("""COMPUTED_VALUE"""),9.1812566E7)</f>
        <v>91812566</v>
      </c>
    </row>
    <row r="4710">
      <c r="A4710" t="str">
        <f t="shared" si="1"/>
        <v>egy#2015</v>
      </c>
      <c r="B4710" t="str">
        <f>IFERROR(__xludf.DUMMYFUNCTION("""COMPUTED_VALUE"""),"egy")</f>
        <v>egy</v>
      </c>
      <c r="C4710" t="str">
        <f>IFERROR(__xludf.DUMMYFUNCTION("""COMPUTED_VALUE"""),"Egypt")</f>
        <v>Egypt</v>
      </c>
      <c r="D4710">
        <f>IFERROR(__xludf.DUMMYFUNCTION("""COMPUTED_VALUE"""),2015.0)</f>
        <v>2015</v>
      </c>
      <c r="E4710">
        <f>IFERROR(__xludf.DUMMYFUNCTION("""COMPUTED_VALUE"""),9.3778172E7)</f>
        <v>93778172</v>
      </c>
    </row>
    <row r="4711">
      <c r="A4711" t="str">
        <f t="shared" si="1"/>
        <v>egy#2016</v>
      </c>
      <c r="B4711" t="str">
        <f>IFERROR(__xludf.DUMMYFUNCTION("""COMPUTED_VALUE"""),"egy")</f>
        <v>egy</v>
      </c>
      <c r="C4711" t="str">
        <f>IFERROR(__xludf.DUMMYFUNCTION("""COMPUTED_VALUE"""),"Egypt")</f>
        <v>Egypt</v>
      </c>
      <c r="D4711">
        <f>IFERROR(__xludf.DUMMYFUNCTION("""COMPUTED_VALUE"""),2016.0)</f>
        <v>2016</v>
      </c>
      <c r="E4711">
        <f>IFERROR(__xludf.DUMMYFUNCTION("""COMPUTED_VALUE"""),9.5688681E7)</f>
        <v>95688681</v>
      </c>
    </row>
    <row r="4712">
      <c r="A4712" t="str">
        <f t="shared" si="1"/>
        <v>egy#2017</v>
      </c>
      <c r="B4712" t="str">
        <f>IFERROR(__xludf.DUMMYFUNCTION("""COMPUTED_VALUE"""),"egy")</f>
        <v>egy</v>
      </c>
      <c r="C4712" t="str">
        <f>IFERROR(__xludf.DUMMYFUNCTION("""COMPUTED_VALUE"""),"Egypt")</f>
        <v>Egypt</v>
      </c>
      <c r="D4712">
        <f>IFERROR(__xludf.DUMMYFUNCTION("""COMPUTED_VALUE"""),2017.0)</f>
        <v>2017</v>
      </c>
      <c r="E4712">
        <f>IFERROR(__xludf.DUMMYFUNCTION("""COMPUTED_VALUE"""),9.7553151E7)</f>
        <v>97553151</v>
      </c>
    </row>
    <row r="4713">
      <c r="A4713" t="str">
        <f t="shared" si="1"/>
        <v>egy#2018</v>
      </c>
      <c r="B4713" t="str">
        <f>IFERROR(__xludf.DUMMYFUNCTION("""COMPUTED_VALUE"""),"egy")</f>
        <v>egy</v>
      </c>
      <c r="C4713" t="str">
        <f>IFERROR(__xludf.DUMMYFUNCTION("""COMPUTED_VALUE"""),"Egypt")</f>
        <v>Egypt</v>
      </c>
      <c r="D4713">
        <f>IFERROR(__xludf.DUMMYFUNCTION("""COMPUTED_VALUE"""),2018.0)</f>
        <v>2018</v>
      </c>
      <c r="E4713">
        <f>IFERROR(__xludf.DUMMYFUNCTION("""COMPUTED_VALUE"""),9.9375741E7)</f>
        <v>99375741</v>
      </c>
    </row>
    <row r="4714">
      <c r="A4714" t="str">
        <f t="shared" si="1"/>
        <v>egy#2019</v>
      </c>
      <c r="B4714" t="str">
        <f>IFERROR(__xludf.DUMMYFUNCTION("""COMPUTED_VALUE"""),"egy")</f>
        <v>egy</v>
      </c>
      <c r="C4714" t="str">
        <f>IFERROR(__xludf.DUMMYFUNCTION("""COMPUTED_VALUE"""),"Egypt")</f>
        <v>Egypt</v>
      </c>
      <c r="D4714">
        <f>IFERROR(__xludf.DUMMYFUNCTION("""COMPUTED_VALUE"""),2019.0)</f>
        <v>2019</v>
      </c>
      <c r="E4714">
        <f>IFERROR(__xludf.DUMMYFUNCTION("""COMPUTED_VALUE"""),1.01168745E8)</f>
        <v>101168745</v>
      </c>
    </row>
    <row r="4715">
      <c r="A4715" t="str">
        <f t="shared" si="1"/>
        <v>egy#2020</v>
      </c>
      <c r="B4715" t="str">
        <f>IFERROR(__xludf.DUMMYFUNCTION("""COMPUTED_VALUE"""),"egy")</f>
        <v>egy</v>
      </c>
      <c r="C4715" t="str">
        <f>IFERROR(__xludf.DUMMYFUNCTION("""COMPUTED_VALUE"""),"Egypt")</f>
        <v>Egypt</v>
      </c>
      <c r="D4715">
        <f>IFERROR(__xludf.DUMMYFUNCTION("""COMPUTED_VALUE"""),2020.0)</f>
        <v>2020</v>
      </c>
      <c r="E4715">
        <f>IFERROR(__xludf.DUMMYFUNCTION("""COMPUTED_VALUE"""),1.02941484E8)</f>
        <v>102941484</v>
      </c>
    </row>
    <row r="4716">
      <c r="A4716" t="str">
        <f t="shared" si="1"/>
        <v>egy#2021</v>
      </c>
      <c r="B4716" t="str">
        <f>IFERROR(__xludf.DUMMYFUNCTION("""COMPUTED_VALUE"""),"egy")</f>
        <v>egy</v>
      </c>
      <c r="C4716" t="str">
        <f>IFERROR(__xludf.DUMMYFUNCTION("""COMPUTED_VALUE"""),"Egypt")</f>
        <v>Egypt</v>
      </c>
      <c r="D4716">
        <f>IFERROR(__xludf.DUMMYFUNCTION("""COMPUTED_VALUE"""),2021.0)</f>
        <v>2021</v>
      </c>
      <c r="E4716">
        <f>IFERROR(__xludf.DUMMYFUNCTION("""COMPUTED_VALUE"""),1.04692187E8)</f>
        <v>104692187</v>
      </c>
    </row>
    <row r="4717">
      <c r="A4717" t="str">
        <f t="shared" si="1"/>
        <v>egy#2022</v>
      </c>
      <c r="B4717" t="str">
        <f>IFERROR(__xludf.DUMMYFUNCTION("""COMPUTED_VALUE"""),"egy")</f>
        <v>egy</v>
      </c>
      <c r="C4717" t="str">
        <f>IFERROR(__xludf.DUMMYFUNCTION("""COMPUTED_VALUE"""),"Egypt")</f>
        <v>Egypt</v>
      </c>
      <c r="D4717">
        <f>IFERROR(__xludf.DUMMYFUNCTION("""COMPUTED_VALUE"""),2022.0)</f>
        <v>2022</v>
      </c>
      <c r="E4717">
        <f>IFERROR(__xludf.DUMMYFUNCTION("""COMPUTED_VALUE"""),1.06416061E8)</f>
        <v>106416061</v>
      </c>
    </row>
    <row r="4718">
      <c r="A4718" t="str">
        <f t="shared" si="1"/>
        <v>egy#2023</v>
      </c>
      <c r="B4718" t="str">
        <f>IFERROR(__xludf.DUMMYFUNCTION("""COMPUTED_VALUE"""),"egy")</f>
        <v>egy</v>
      </c>
      <c r="C4718" t="str">
        <f>IFERROR(__xludf.DUMMYFUNCTION("""COMPUTED_VALUE"""),"Egypt")</f>
        <v>Egypt</v>
      </c>
      <c r="D4718">
        <f>IFERROR(__xludf.DUMMYFUNCTION("""COMPUTED_VALUE"""),2023.0)</f>
        <v>2023</v>
      </c>
      <c r="E4718">
        <f>IFERROR(__xludf.DUMMYFUNCTION("""COMPUTED_VALUE"""),1.08116982E8)</f>
        <v>108116982</v>
      </c>
    </row>
    <row r="4719">
      <c r="A4719" t="str">
        <f t="shared" si="1"/>
        <v>egy#2024</v>
      </c>
      <c r="B4719" t="str">
        <f>IFERROR(__xludf.DUMMYFUNCTION("""COMPUTED_VALUE"""),"egy")</f>
        <v>egy</v>
      </c>
      <c r="C4719" t="str">
        <f>IFERROR(__xludf.DUMMYFUNCTION("""COMPUTED_VALUE"""),"Egypt")</f>
        <v>Egypt</v>
      </c>
      <c r="D4719">
        <f>IFERROR(__xludf.DUMMYFUNCTION("""COMPUTED_VALUE"""),2024.0)</f>
        <v>2024</v>
      </c>
      <c r="E4719">
        <f>IFERROR(__xludf.DUMMYFUNCTION("""COMPUTED_VALUE"""),1.09800309E8)</f>
        <v>109800309</v>
      </c>
    </row>
    <row r="4720">
      <c r="A4720" t="str">
        <f t="shared" si="1"/>
        <v>egy#2025</v>
      </c>
      <c r="B4720" t="str">
        <f>IFERROR(__xludf.DUMMYFUNCTION("""COMPUTED_VALUE"""),"egy")</f>
        <v>egy</v>
      </c>
      <c r="C4720" t="str">
        <f>IFERROR(__xludf.DUMMYFUNCTION("""COMPUTED_VALUE"""),"Egypt")</f>
        <v>Egypt</v>
      </c>
      <c r="D4720">
        <f>IFERROR(__xludf.DUMMYFUNCTION("""COMPUTED_VALUE"""),2025.0)</f>
        <v>2025</v>
      </c>
      <c r="E4720">
        <f>IFERROR(__xludf.DUMMYFUNCTION("""COMPUTED_VALUE"""),1.1147093E8)</f>
        <v>111470930</v>
      </c>
    </row>
    <row r="4721">
      <c r="A4721" t="str">
        <f t="shared" si="1"/>
        <v>egy#2026</v>
      </c>
      <c r="B4721" t="str">
        <f>IFERROR(__xludf.DUMMYFUNCTION("""COMPUTED_VALUE"""),"egy")</f>
        <v>egy</v>
      </c>
      <c r="C4721" t="str">
        <f>IFERROR(__xludf.DUMMYFUNCTION("""COMPUTED_VALUE"""),"Egypt")</f>
        <v>Egypt</v>
      </c>
      <c r="D4721">
        <f>IFERROR(__xludf.DUMMYFUNCTION("""COMPUTED_VALUE"""),2026.0)</f>
        <v>2026</v>
      </c>
      <c r="E4721">
        <f>IFERROR(__xludf.DUMMYFUNCTION("""COMPUTED_VALUE"""),1.13130458E8)</f>
        <v>113130458</v>
      </c>
    </row>
    <row r="4722">
      <c r="A4722" t="str">
        <f t="shared" si="1"/>
        <v>egy#2027</v>
      </c>
      <c r="B4722" t="str">
        <f>IFERROR(__xludf.DUMMYFUNCTION("""COMPUTED_VALUE"""),"egy")</f>
        <v>egy</v>
      </c>
      <c r="C4722" t="str">
        <f>IFERROR(__xludf.DUMMYFUNCTION("""COMPUTED_VALUE"""),"Egypt")</f>
        <v>Egypt</v>
      </c>
      <c r="D4722">
        <f>IFERROR(__xludf.DUMMYFUNCTION("""COMPUTED_VALUE"""),2027.0)</f>
        <v>2027</v>
      </c>
      <c r="E4722">
        <f>IFERROR(__xludf.DUMMYFUNCTION("""COMPUTED_VALUE"""),1.14781107E8)</f>
        <v>114781107</v>
      </c>
    </row>
    <row r="4723">
      <c r="A4723" t="str">
        <f t="shared" si="1"/>
        <v>egy#2028</v>
      </c>
      <c r="B4723" t="str">
        <f>IFERROR(__xludf.DUMMYFUNCTION("""COMPUTED_VALUE"""),"egy")</f>
        <v>egy</v>
      </c>
      <c r="C4723" t="str">
        <f>IFERROR(__xludf.DUMMYFUNCTION("""COMPUTED_VALUE"""),"Egypt")</f>
        <v>Egypt</v>
      </c>
      <c r="D4723">
        <f>IFERROR(__xludf.DUMMYFUNCTION("""COMPUTED_VALUE"""),2028.0)</f>
        <v>2028</v>
      </c>
      <c r="E4723">
        <f>IFERROR(__xludf.DUMMYFUNCTION("""COMPUTED_VALUE"""),1.16429178E8)</f>
        <v>116429178</v>
      </c>
    </row>
    <row r="4724">
      <c r="A4724" t="str">
        <f t="shared" si="1"/>
        <v>egy#2029</v>
      </c>
      <c r="B4724" t="str">
        <f>IFERROR(__xludf.DUMMYFUNCTION("""COMPUTED_VALUE"""),"egy")</f>
        <v>egy</v>
      </c>
      <c r="C4724" t="str">
        <f>IFERROR(__xludf.DUMMYFUNCTION("""COMPUTED_VALUE"""),"Egypt")</f>
        <v>Egypt</v>
      </c>
      <c r="D4724">
        <f>IFERROR(__xludf.DUMMYFUNCTION("""COMPUTED_VALUE"""),2029.0)</f>
        <v>2029</v>
      </c>
      <c r="E4724">
        <f>IFERROR(__xludf.DUMMYFUNCTION("""COMPUTED_VALUE"""),1.18082119E8)</f>
        <v>118082119</v>
      </c>
    </row>
    <row r="4725">
      <c r="A4725" t="str">
        <f t="shared" si="1"/>
        <v>egy#2030</v>
      </c>
      <c r="B4725" t="str">
        <f>IFERROR(__xludf.DUMMYFUNCTION("""COMPUTED_VALUE"""),"egy")</f>
        <v>egy</v>
      </c>
      <c r="C4725" t="str">
        <f>IFERROR(__xludf.DUMMYFUNCTION("""COMPUTED_VALUE"""),"Egypt")</f>
        <v>Egypt</v>
      </c>
      <c r="D4725">
        <f>IFERROR(__xludf.DUMMYFUNCTION("""COMPUTED_VALUE"""),2030.0)</f>
        <v>2030</v>
      </c>
      <c r="E4725">
        <f>IFERROR(__xludf.DUMMYFUNCTION("""COMPUTED_VALUE"""),1.19745677E8)</f>
        <v>119745677</v>
      </c>
    </row>
    <row r="4726">
      <c r="A4726" t="str">
        <f t="shared" si="1"/>
        <v>egy#2031</v>
      </c>
      <c r="B4726" t="str">
        <f>IFERROR(__xludf.DUMMYFUNCTION("""COMPUTED_VALUE"""),"egy")</f>
        <v>egy</v>
      </c>
      <c r="C4726" t="str">
        <f>IFERROR(__xludf.DUMMYFUNCTION("""COMPUTED_VALUE"""),"Egypt")</f>
        <v>Egypt</v>
      </c>
      <c r="D4726">
        <f>IFERROR(__xludf.DUMMYFUNCTION("""COMPUTED_VALUE"""),2031.0)</f>
        <v>2031</v>
      </c>
      <c r="E4726">
        <f>IFERROR(__xludf.DUMMYFUNCTION("""COMPUTED_VALUE"""),1.21421618E8)</f>
        <v>121421618</v>
      </c>
    </row>
    <row r="4727">
      <c r="A4727" t="str">
        <f t="shared" si="1"/>
        <v>egy#2032</v>
      </c>
      <c r="B4727" t="str">
        <f>IFERROR(__xludf.DUMMYFUNCTION("""COMPUTED_VALUE"""),"egy")</f>
        <v>egy</v>
      </c>
      <c r="C4727" t="str">
        <f>IFERROR(__xludf.DUMMYFUNCTION("""COMPUTED_VALUE"""),"Egypt")</f>
        <v>Egypt</v>
      </c>
      <c r="D4727">
        <f>IFERROR(__xludf.DUMMYFUNCTION("""COMPUTED_VALUE"""),2032.0)</f>
        <v>2032</v>
      </c>
      <c r="E4727">
        <f>IFERROR(__xludf.DUMMYFUNCTION("""COMPUTED_VALUE"""),1.23110062E8)</f>
        <v>123110062</v>
      </c>
    </row>
    <row r="4728">
      <c r="A4728" t="str">
        <f t="shared" si="1"/>
        <v>egy#2033</v>
      </c>
      <c r="B4728" t="str">
        <f>IFERROR(__xludf.DUMMYFUNCTION("""COMPUTED_VALUE"""),"egy")</f>
        <v>egy</v>
      </c>
      <c r="C4728" t="str">
        <f>IFERROR(__xludf.DUMMYFUNCTION("""COMPUTED_VALUE"""),"Egypt")</f>
        <v>Egypt</v>
      </c>
      <c r="D4728">
        <f>IFERROR(__xludf.DUMMYFUNCTION("""COMPUTED_VALUE"""),2033.0)</f>
        <v>2033</v>
      </c>
      <c r="E4728">
        <f>IFERROR(__xludf.DUMMYFUNCTION("""COMPUTED_VALUE"""),1.24812705E8)</f>
        <v>124812705</v>
      </c>
    </row>
    <row r="4729">
      <c r="A4729" t="str">
        <f t="shared" si="1"/>
        <v>egy#2034</v>
      </c>
      <c r="B4729" t="str">
        <f>IFERROR(__xludf.DUMMYFUNCTION("""COMPUTED_VALUE"""),"egy")</f>
        <v>egy</v>
      </c>
      <c r="C4729" t="str">
        <f>IFERROR(__xludf.DUMMYFUNCTION("""COMPUTED_VALUE"""),"Egypt")</f>
        <v>Egypt</v>
      </c>
      <c r="D4729">
        <f>IFERROR(__xludf.DUMMYFUNCTION("""COMPUTED_VALUE"""),2034.0)</f>
        <v>2034</v>
      </c>
      <c r="E4729">
        <f>IFERROR(__xludf.DUMMYFUNCTION("""COMPUTED_VALUE"""),1.26530788E8)</f>
        <v>126530788</v>
      </c>
    </row>
    <row r="4730">
      <c r="A4730" t="str">
        <f t="shared" si="1"/>
        <v>egy#2035</v>
      </c>
      <c r="B4730" t="str">
        <f>IFERROR(__xludf.DUMMYFUNCTION("""COMPUTED_VALUE"""),"egy")</f>
        <v>egy</v>
      </c>
      <c r="C4730" t="str">
        <f>IFERROR(__xludf.DUMMYFUNCTION("""COMPUTED_VALUE"""),"Egypt")</f>
        <v>Egypt</v>
      </c>
      <c r="D4730">
        <f>IFERROR(__xludf.DUMMYFUNCTION("""COMPUTED_VALUE"""),2035.0)</f>
        <v>2035</v>
      </c>
      <c r="E4730">
        <f>IFERROR(__xludf.DUMMYFUNCTION("""COMPUTED_VALUE"""),1.28264287E8)</f>
        <v>128264287</v>
      </c>
    </row>
    <row r="4731">
      <c r="A4731" t="str">
        <f t="shared" si="1"/>
        <v>egy#2036</v>
      </c>
      <c r="B4731" t="str">
        <f>IFERROR(__xludf.DUMMYFUNCTION("""COMPUTED_VALUE"""),"egy")</f>
        <v>egy</v>
      </c>
      <c r="C4731" t="str">
        <f>IFERROR(__xludf.DUMMYFUNCTION("""COMPUTED_VALUE"""),"Egypt")</f>
        <v>Egypt</v>
      </c>
      <c r="D4731">
        <f>IFERROR(__xludf.DUMMYFUNCTION("""COMPUTED_VALUE"""),2036.0)</f>
        <v>2036</v>
      </c>
      <c r="E4731">
        <f>IFERROR(__xludf.DUMMYFUNCTION("""COMPUTED_VALUE"""),1.30013689E8)</f>
        <v>130013689</v>
      </c>
    </row>
    <row r="4732">
      <c r="A4732" t="str">
        <f t="shared" si="1"/>
        <v>egy#2037</v>
      </c>
      <c r="B4732" t="str">
        <f>IFERROR(__xludf.DUMMYFUNCTION("""COMPUTED_VALUE"""),"egy")</f>
        <v>egy</v>
      </c>
      <c r="C4732" t="str">
        <f>IFERROR(__xludf.DUMMYFUNCTION("""COMPUTED_VALUE"""),"Egypt")</f>
        <v>Egypt</v>
      </c>
      <c r="D4732">
        <f>IFERROR(__xludf.DUMMYFUNCTION("""COMPUTED_VALUE"""),2037.0)</f>
        <v>2037</v>
      </c>
      <c r="E4732">
        <f>IFERROR(__xludf.DUMMYFUNCTION("""COMPUTED_VALUE"""),1.31776462E8)</f>
        <v>131776462</v>
      </c>
    </row>
    <row r="4733">
      <c r="A4733" t="str">
        <f t="shared" si="1"/>
        <v>egy#2038</v>
      </c>
      <c r="B4733" t="str">
        <f>IFERROR(__xludf.DUMMYFUNCTION("""COMPUTED_VALUE"""),"egy")</f>
        <v>egy</v>
      </c>
      <c r="C4733" t="str">
        <f>IFERROR(__xludf.DUMMYFUNCTION("""COMPUTED_VALUE"""),"Egypt")</f>
        <v>Egypt</v>
      </c>
      <c r="D4733">
        <f>IFERROR(__xludf.DUMMYFUNCTION("""COMPUTED_VALUE"""),2038.0)</f>
        <v>2038</v>
      </c>
      <c r="E4733">
        <f>IFERROR(__xludf.DUMMYFUNCTION("""COMPUTED_VALUE"""),1.33545421E8)</f>
        <v>133545421</v>
      </c>
    </row>
    <row r="4734">
      <c r="A4734" t="str">
        <f t="shared" si="1"/>
        <v>egy#2039</v>
      </c>
      <c r="B4734" t="str">
        <f>IFERROR(__xludf.DUMMYFUNCTION("""COMPUTED_VALUE"""),"egy")</f>
        <v>egy</v>
      </c>
      <c r="C4734" t="str">
        <f>IFERROR(__xludf.DUMMYFUNCTION("""COMPUTED_VALUE"""),"Egypt")</f>
        <v>Egypt</v>
      </c>
      <c r="D4734">
        <f>IFERROR(__xludf.DUMMYFUNCTION("""COMPUTED_VALUE"""),2039.0)</f>
        <v>2039</v>
      </c>
      <c r="E4734">
        <f>IFERROR(__xludf.DUMMYFUNCTION("""COMPUTED_VALUE"""),1.35311042E8)</f>
        <v>135311042</v>
      </c>
    </row>
    <row r="4735">
      <c r="A4735" t="str">
        <f t="shared" si="1"/>
        <v>egy#2040</v>
      </c>
      <c r="B4735" t="str">
        <f>IFERROR(__xludf.DUMMYFUNCTION("""COMPUTED_VALUE"""),"egy")</f>
        <v>egy</v>
      </c>
      <c r="C4735" t="str">
        <f>IFERROR(__xludf.DUMMYFUNCTION("""COMPUTED_VALUE"""),"Egypt")</f>
        <v>Egypt</v>
      </c>
      <c r="D4735">
        <f>IFERROR(__xludf.DUMMYFUNCTION("""COMPUTED_VALUE"""),2040.0)</f>
        <v>2040</v>
      </c>
      <c r="E4735">
        <f>IFERROR(__xludf.DUMMYFUNCTION("""COMPUTED_VALUE"""),1.37065513E8)</f>
        <v>137065513</v>
      </c>
    </row>
    <row r="4736">
      <c r="A4736" t="str">
        <f t="shared" si="1"/>
        <v>slv#1950</v>
      </c>
      <c r="B4736" t="str">
        <f>IFERROR(__xludf.DUMMYFUNCTION("""COMPUTED_VALUE"""),"slv")</f>
        <v>slv</v>
      </c>
      <c r="C4736" t="str">
        <f>IFERROR(__xludf.DUMMYFUNCTION("""COMPUTED_VALUE"""),"El Salvador")</f>
        <v>El Salvador</v>
      </c>
      <c r="D4736">
        <f>IFERROR(__xludf.DUMMYFUNCTION("""COMPUTED_VALUE"""),1950.0)</f>
        <v>1950</v>
      </c>
      <c r="E4736">
        <f>IFERROR(__xludf.DUMMYFUNCTION("""COMPUTED_VALUE"""),2199898.0)</f>
        <v>2199898</v>
      </c>
    </row>
    <row r="4737">
      <c r="A4737" t="str">
        <f t="shared" si="1"/>
        <v>slv#1951</v>
      </c>
      <c r="B4737" t="str">
        <f>IFERROR(__xludf.DUMMYFUNCTION("""COMPUTED_VALUE"""),"slv")</f>
        <v>slv</v>
      </c>
      <c r="C4737" t="str">
        <f>IFERROR(__xludf.DUMMYFUNCTION("""COMPUTED_VALUE"""),"El Salvador")</f>
        <v>El Salvador</v>
      </c>
      <c r="D4737">
        <f>IFERROR(__xludf.DUMMYFUNCTION("""COMPUTED_VALUE"""),1951.0)</f>
        <v>1951</v>
      </c>
      <c r="E4737">
        <f>IFERROR(__xludf.DUMMYFUNCTION("""COMPUTED_VALUE"""),2236576.0)</f>
        <v>2236576</v>
      </c>
    </row>
    <row r="4738">
      <c r="A4738" t="str">
        <f t="shared" si="1"/>
        <v>slv#1952</v>
      </c>
      <c r="B4738" t="str">
        <f>IFERROR(__xludf.DUMMYFUNCTION("""COMPUTED_VALUE"""),"slv")</f>
        <v>slv</v>
      </c>
      <c r="C4738" t="str">
        <f>IFERROR(__xludf.DUMMYFUNCTION("""COMPUTED_VALUE"""),"El Salvador")</f>
        <v>El Salvador</v>
      </c>
      <c r="D4738">
        <f>IFERROR(__xludf.DUMMYFUNCTION("""COMPUTED_VALUE"""),1952.0)</f>
        <v>1952</v>
      </c>
      <c r="E4738">
        <f>IFERROR(__xludf.DUMMYFUNCTION("""COMPUTED_VALUE"""),2278307.0)</f>
        <v>2278307</v>
      </c>
    </row>
    <row r="4739">
      <c r="A4739" t="str">
        <f t="shared" si="1"/>
        <v>slv#1953</v>
      </c>
      <c r="B4739" t="str">
        <f>IFERROR(__xludf.DUMMYFUNCTION("""COMPUTED_VALUE"""),"slv")</f>
        <v>slv</v>
      </c>
      <c r="C4739" t="str">
        <f>IFERROR(__xludf.DUMMYFUNCTION("""COMPUTED_VALUE"""),"El Salvador")</f>
        <v>El Salvador</v>
      </c>
      <c r="D4739">
        <f>IFERROR(__xludf.DUMMYFUNCTION("""COMPUTED_VALUE"""),1953.0)</f>
        <v>1953</v>
      </c>
      <c r="E4739">
        <f>IFERROR(__xludf.DUMMYFUNCTION("""COMPUTED_VALUE"""),2324559.0)</f>
        <v>2324559</v>
      </c>
    </row>
    <row r="4740">
      <c r="A4740" t="str">
        <f t="shared" si="1"/>
        <v>slv#1954</v>
      </c>
      <c r="B4740" t="str">
        <f>IFERROR(__xludf.DUMMYFUNCTION("""COMPUTED_VALUE"""),"slv")</f>
        <v>slv</v>
      </c>
      <c r="C4740" t="str">
        <f>IFERROR(__xludf.DUMMYFUNCTION("""COMPUTED_VALUE"""),"El Salvador")</f>
        <v>El Salvador</v>
      </c>
      <c r="D4740">
        <f>IFERROR(__xludf.DUMMYFUNCTION("""COMPUTED_VALUE"""),1954.0)</f>
        <v>1954</v>
      </c>
      <c r="E4740">
        <f>IFERROR(__xludf.DUMMYFUNCTION("""COMPUTED_VALUE"""),2374972.0)</f>
        <v>2374972</v>
      </c>
    </row>
    <row r="4741">
      <c r="A4741" t="str">
        <f t="shared" si="1"/>
        <v>slv#1955</v>
      </c>
      <c r="B4741" t="str">
        <f>IFERROR(__xludf.DUMMYFUNCTION("""COMPUTED_VALUE"""),"slv")</f>
        <v>slv</v>
      </c>
      <c r="C4741" t="str">
        <f>IFERROR(__xludf.DUMMYFUNCTION("""COMPUTED_VALUE"""),"El Salvador")</f>
        <v>El Salvador</v>
      </c>
      <c r="D4741">
        <f>IFERROR(__xludf.DUMMYFUNCTION("""COMPUTED_VALUE"""),1955.0)</f>
        <v>1955</v>
      </c>
      <c r="E4741">
        <f>IFERROR(__xludf.DUMMYFUNCTION("""COMPUTED_VALUE"""),2429333.0)</f>
        <v>2429333</v>
      </c>
    </row>
    <row r="4742">
      <c r="A4742" t="str">
        <f t="shared" si="1"/>
        <v>slv#1956</v>
      </c>
      <c r="B4742" t="str">
        <f>IFERROR(__xludf.DUMMYFUNCTION("""COMPUTED_VALUE"""),"slv")</f>
        <v>slv</v>
      </c>
      <c r="C4742" t="str">
        <f>IFERROR(__xludf.DUMMYFUNCTION("""COMPUTED_VALUE"""),"El Salvador")</f>
        <v>El Salvador</v>
      </c>
      <c r="D4742">
        <f>IFERROR(__xludf.DUMMYFUNCTION("""COMPUTED_VALUE"""),1956.0)</f>
        <v>1956</v>
      </c>
      <c r="E4742">
        <f>IFERROR(__xludf.DUMMYFUNCTION("""COMPUTED_VALUE"""),2487586.0)</f>
        <v>2487586</v>
      </c>
    </row>
    <row r="4743">
      <c r="A4743" t="str">
        <f t="shared" si="1"/>
        <v>slv#1957</v>
      </c>
      <c r="B4743" t="str">
        <f>IFERROR(__xludf.DUMMYFUNCTION("""COMPUTED_VALUE"""),"slv")</f>
        <v>slv</v>
      </c>
      <c r="C4743" t="str">
        <f>IFERROR(__xludf.DUMMYFUNCTION("""COMPUTED_VALUE"""),"El Salvador")</f>
        <v>El Salvador</v>
      </c>
      <c r="D4743">
        <f>IFERROR(__xludf.DUMMYFUNCTION("""COMPUTED_VALUE"""),1957.0)</f>
        <v>1957</v>
      </c>
      <c r="E4743">
        <f>IFERROR(__xludf.DUMMYFUNCTION("""COMPUTED_VALUE"""),2549826.0)</f>
        <v>2549826</v>
      </c>
    </row>
    <row r="4744">
      <c r="A4744" t="str">
        <f t="shared" si="1"/>
        <v>slv#1958</v>
      </c>
      <c r="B4744" t="str">
        <f>IFERROR(__xludf.DUMMYFUNCTION("""COMPUTED_VALUE"""),"slv")</f>
        <v>slv</v>
      </c>
      <c r="C4744" t="str">
        <f>IFERROR(__xludf.DUMMYFUNCTION("""COMPUTED_VALUE"""),"El Salvador")</f>
        <v>El Salvador</v>
      </c>
      <c r="D4744">
        <f>IFERROR(__xludf.DUMMYFUNCTION("""COMPUTED_VALUE"""),1958.0)</f>
        <v>1958</v>
      </c>
      <c r="E4744">
        <f>IFERROR(__xludf.DUMMYFUNCTION("""COMPUTED_VALUE"""),2616277.0)</f>
        <v>2616277</v>
      </c>
    </row>
    <row r="4745">
      <c r="A4745" t="str">
        <f t="shared" si="1"/>
        <v>slv#1959</v>
      </c>
      <c r="B4745" t="str">
        <f>IFERROR(__xludf.DUMMYFUNCTION("""COMPUTED_VALUE"""),"slv")</f>
        <v>slv</v>
      </c>
      <c r="C4745" t="str">
        <f>IFERROR(__xludf.DUMMYFUNCTION("""COMPUTED_VALUE"""),"El Salvador")</f>
        <v>El Salvador</v>
      </c>
      <c r="D4745">
        <f>IFERROR(__xludf.DUMMYFUNCTION("""COMPUTED_VALUE"""),1959.0)</f>
        <v>1959</v>
      </c>
      <c r="E4745">
        <f>IFERROR(__xludf.DUMMYFUNCTION("""COMPUTED_VALUE"""),2687233.0)</f>
        <v>2687233</v>
      </c>
    </row>
    <row r="4746">
      <c r="A4746" t="str">
        <f t="shared" si="1"/>
        <v>slv#1960</v>
      </c>
      <c r="B4746" t="str">
        <f>IFERROR(__xludf.DUMMYFUNCTION("""COMPUTED_VALUE"""),"slv")</f>
        <v>slv</v>
      </c>
      <c r="C4746" t="str">
        <f>IFERROR(__xludf.DUMMYFUNCTION("""COMPUTED_VALUE"""),"El Salvador")</f>
        <v>El Salvador</v>
      </c>
      <c r="D4746">
        <f>IFERROR(__xludf.DUMMYFUNCTION("""COMPUTED_VALUE"""),1960.0)</f>
        <v>1960</v>
      </c>
      <c r="E4746">
        <f>IFERROR(__xludf.DUMMYFUNCTION("""COMPUTED_VALUE"""),2762899.0)</f>
        <v>2762899</v>
      </c>
    </row>
    <row r="4747">
      <c r="A4747" t="str">
        <f t="shared" si="1"/>
        <v>slv#1961</v>
      </c>
      <c r="B4747" t="str">
        <f>IFERROR(__xludf.DUMMYFUNCTION("""COMPUTED_VALUE"""),"slv")</f>
        <v>slv</v>
      </c>
      <c r="C4747" t="str">
        <f>IFERROR(__xludf.DUMMYFUNCTION("""COMPUTED_VALUE"""),"El Salvador")</f>
        <v>El Salvador</v>
      </c>
      <c r="D4747">
        <f>IFERROR(__xludf.DUMMYFUNCTION("""COMPUTED_VALUE"""),1961.0)</f>
        <v>1961</v>
      </c>
      <c r="E4747">
        <f>IFERROR(__xludf.DUMMYFUNCTION("""COMPUTED_VALUE"""),2843240.0)</f>
        <v>2843240</v>
      </c>
    </row>
    <row r="4748">
      <c r="A4748" t="str">
        <f t="shared" si="1"/>
        <v>slv#1962</v>
      </c>
      <c r="B4748" t="str">
        <f>IFERROR(__xludf.DUMMYFUNCTION("""COMPUTED_VALUE"""),"slv")</f>
        <v>slv</v>
      </c>
      <c r="C4748" t="str">
        <f>IFERROR(__xludf.DUMMYFUNCTION("""COMPUTED_VALUE"""),"El Salvador")</f>
        <v>El Salvador</v>
      </c>
      <c r="D4748">
        <f>IFERROR(__xludf.DUMMYFUNCTION("""COMPUTED_VALUE"""),1962.0)</f>
        <v>1962</v>
      </c>
      <c r="E4748">
        <f>IFERROR(__xludf.DUMMYFUNCTION("""COMPUTED_VALUE"""),2927857.0)</f>
        <v>2927857</v>
      </c>
    </row>
    <row r="4749">
      <c r="A4749" t="str">
        <f t="shared" si="1"/>
        <v>slv#1963</v>
      </c>
      <c r="B4749" t="str">
        <f>IFERROR(__xludf.DUMMYFUNCTION("""COMPUTED_VALUE"""),"slv")</f>
        <v>slv</v>
      </c>
      <c r="C4749" t="str">
        <f>IFERROR(__xludf.DUMMYFUNCTION("""COMPUTED_VALUE"""),"El Salvador")</f>
        <v>El Salvador</v>
      </c>
      <c r="D4749">
        <f>IFERROR(__xludf.DUMMYFUNCTION("""COMPUTED_VALUE"""),1963.0)</f>
        <v>1963</v>
      </c>
      <c r="E4749">
        <f>IFERROR(__xludf.DUMMYFUNCTION("""COMPUTED_VALUE"""),3015887.0)</f>
        <v>3015887</v>
      </c>
    </row>
    <row r="4750">
      <c r="A4750" t="str">
        <f t="shared" si="1"/>
        <v>slv#1964</v>
      </c>
      <c r="B4750" t="str">
        <f>IFERROR(__xludf.DUMMYFUNCTION("""COMPUTED_VALUE"""),"slv")</f>
        <v>slv</v>
      </c>
      <c r="C4750" t="str">
        <f>IFERROR(__xludf.DUMMYFUNCTION("""COMPUTED_VALUE"""),"El Salvador")</f>
        <v>El Salvador</v>
      </c>
      <c r="D4750">
        <f>IFERROR(__xludf.DUMMYFUNCTION("""COMPUTED_VALUE"""),1964.0)</f>
        <v>1964</v>
      </c>
      <c r="E4750">
        <f>IFERROR(__xludf.DUMMYFUNCTION("""COMPUTED_VALUE"""),3106186.0)</f>
        <v>3106186</v>
      </c>
    </row>
    <row r="4751">
      <c r="A4751" t="str">
        <f t="shared" si="1"/>
        <v>slv#1965</v>
      </c>
      <c r="B4751" t="str">
        <f>IFERROR(__xludf.DUMMYFUNCTION("""COMPUTED_VALUE"""),"slv")</f>
        <v>slv</v>
      </c>
      <c r="C4751" t="str">
        <f>IFERROR(__xludf.DUMMYFUNCTION("""COMPUTED_VALUE"""),"El Salvador")</f>
        <v>El Salvador</v>
      </c>
      <c r="D4751">
        <f>IFERROR(__xludf.DUMMYFUNCTION("""COMPUTED_VALUE"""),1965.0)</f>
        <v>1965</v>
      </c>
      <c r="E4751">
        <f>IFERROR(__xludf.DUMMYFUNCTION("""COMPUTED_VALUE"""),3197863.0)</f>
        <v>3197863</v>
      </c>
    </row>
    <row r="4752">
      <c r="A4752" t="str">
        <f t="shared" si="1"/>
        <v>slv#1966</v>
      </c>
      <c r="B4752" t="str">
        <f>IFERROR(__xludf.DUMMYFUNCTION("""COMPUTED_VALUE"""),"slv")</f>
        <v>slv</v>
      </c>
      <c r="C4752" t="str">
        <f>IFERROR(__xludf.DUMMYFUNCTION("""COMPUTED_VALUE"""),"El Salvador")</f>
        <v>El Salvador</v>
      </c>
      <c r="D4752">
        <f>IFERROR(__xludf.DUMMYFUNCTION("""COMPUTED_VALUE"""),1966.0)</f>
        <v>1966</v>
      </c>
      <c r="E4752">
        <f>IFERROR(__xludf.DUMMYFUNCTION("""COMPUTED_VALUE"""),3290411.0)</f>
        <v>3290411</v>
      </c>
    </row>
    <row r="4753">
      <c r="A4753" t="str">
        <f t="shared" si="1"/>
        <v>slv#1967</v>
      </c>
      <c r="B4753" t="str">
        <f>IFERROR(__xludf.DUMMYFUNCTION("""COMPUTED_VALUE"""),"slv")</f>
        <v>slv</v>
      </c>
      <c r="C4753" t="str">
        <f>IFERROR(__xludf.DUMMYFUNCTION("""COMPUTED_VALUE"""),"El Salvador")</f>
        <v>El Salvador</v>
      </c>
      <c r="D4753">
        <f>IFERROR(__xludf.DUMMYFUNCTION("""COMPUTED_VALUE"""),1967.0)</f>
        <v>1967</v>
      </c>
      <c r="E4753">
        <f>IFERROR(__xludf.DUMMYFUNCTION("""COMPUTED_VALUE"""),3383701.0)</f>
        <v>3383701</v>
      </c>
    </row>
    <row r="4754">
      <c r="A4754" t="str">
        <f t="shared" si="1"/>
        <v>slv#1968</v>
      </c>
      <c r="B4754" t="str">
        <f>IFERROR(__xludf.DUMMYFUNCTION("""COMPUTED_VALUE"""),"slv")</f>
        <v>slv</v>
      </c>
      <c r="C4754" t="str">
        <f>IFERROR(__xludf.DUMMYFUNCTION("""COMPUTED_VALUE"""),"El Salvador")</f>
        <v>El Salvador</v>
      </c>
      <c r="D4754">
        <f>IFERROR(__xludf.DUMMYFUNCTION("""COMPUTED_VALUE"""),1968.0)</f>
        <v>1968</v>
      </c>
      <c r="E4754">
        <f>IFERROR(__xludf.DUMMYFUNCTION("""COMPUTED_VALUE"""),3477742.0)</f>
        <v>3477742</v>
      </c>
    </row>
    <row r="4755">
      <c r="A4755" t="str">
        <f t="shared" si="1"/>
        <v>slv#1969</v>
      </c>
      <c r="B4755" t="str">
        <f>IFERROR(__xludf.DUMMYFUNCTION("""COMPUTED_VALUE"""),"slv")</f>
        <v>slv</v>
      </c>
      <c r="C4755" t="str">
        <f>IFERROR(__xludf.DUMMYFUNCTION("""COMPUTED_VALUE"""),"El Salvador")</f>
        <v>El Salvador</v>
      </c>
      <c r="D4755">
        <f>IFERROR(__xludf.DUMMYFUNCTION("""COMPUTED_VALUE"""),1969.0)</f>
        <v>1969</v>
      </c>
      <c r="E4755">
        <f>IFERROR(__xludf.DUMMYFUNCTION("""COMPUTED_VALUE"""),3572707.0)</f>
        <v>3572707</v>
      </c>
    </row>
    <row r="4756">
      <c r="A4756" t="str">
        <f t="shared" si="1"/>
        <v>slv#1970</v>
      </c>
      <c r="B4756" t="str">
        <f>IFERROR(__xludf.DUMMYFUNCTION("""COMPUTED_VALUE"""),"slv")</f>
        <v>slv</v>
      </c>
      <c r="C4756" t="str">
        <f>IFERROR(__xludf.DUMMYFUNCTION("""COMPUTED_VALUE"""),"El Salvador")</f>
        <v>El Salvador</v>
      </c>
      <c r="D4756">
        <f>IFERROR(__xludf.DUMMYFUNCTION("""COMPUTED_VALUE"""),1970.0)</f>
        <v>1970</v>
      </c>
      <c r="E4756">
        <f>IFERROR(__xludf.DUMMYFUNCTION("""COMPUTED_VALUE"""),3668595.0)</f>
        <v>3668595</v>
      </c>
    </row>
    <row r="4757">
      <c r="A4757" t="str">
        <f t="shared" si="1"/>
        <v>slv#1971</v>
      </c>
      <c r="B4757" t="str">
        <f>IFERROR(__xludf.DUMMYFUNCTION("""COMPUTED_VALUE"""),"slv")</f>
        <v>slv</v>
      </c>
      <c r="C4757" t="str">
        <f>IFERROR(__xludf.DUMMYFUNCTION("""COMPUTED_VALUE"""),"El Salvador")</f>
        <v>El Salvador</v>
      </c>
      <c r="D4757">
        <f>IFERROR(__xludf.DUMMYFUNCTION("""COMPUTED_VALUE"""),1971.0)</f>
        <v>1971</v>
      </c>
      <c r="E4757">
        <f>IFERROR(__xludf.DUMMYFUNCTION("""COMPUTED_VALUE"""),3765166.0)</f>
        <v>3765166</v>
      </c>
    </row>
    <row r="4758">
      <c r="A4758" t="str">
        <f t="shared" si="1"/>
        <v>slv#1972</v>
      </c>
      <c r="B4758" t="str">
        <f>IFERROR(__xludf.DUMMYFUNCTION("""COMPUTED_VALUE"""),"slv")</f>
        <v>slv</v>
      </c>
      <c r="C4758" t="str">
        <f>IFERROR(__xludf.DUMMYFUNCTION("""COMPUTED_VALUE"""),"El Salvador")</f>
        <v>El Salvador</v>
      </c>
      <c r="D4758">
        <f>IFERROR(__xludf.DUMMYFUNCTION("""COMPUTED_VALUE"""),1972.0)</f>
        <v>1972</v>
      </c>
      <c r="E4758">
        <f>IFERROR(__xludf.DUMMYFUNCTION("""COMPUTED_VALUE"""),3861931.0)</f>
        <v>3861931</v>
      </c>
    </row>
    <row r="4759">
      <c r="A4759" t="str">
        <f t="shared" si="1"/>
        <v>slv#1973</v>
      </c>
      <c r="B4759" t="str">
        <f>IFERROR(__xludf.DUMMYFUNCTION("""COMPUTED_VALUE"""),"slv")</f>
        <v>slv</v>
      </c>
      <c r="C4759" t="str">
        <f>IFERROR(__xludf.DUMMYFUNCTION("""COMPUTED_VALUE"""),"El Salvador")</f>
        <v>El Salvador</v>
      </c>
      <c r="D4759">
        <f>IFERROR(__xludf.DUMMYFUNCTION("""COMPUTED_VALUE"""),1973.0)</f>
        <v>1973</v>
      </c>
      <c r="E4759">
        <f>IFERROR(__xludf.DUMMYFUNCTION("""COMPUTED_VALUE"""),3958323.0)</f>
        <v>3958323</v>
      </c>
    </row>
    <row r="4760">
      <c r="A4760" t="str">
        <f t="shared" si="1"/>
        <v>slv#1974</v>
      </c>
      <c r="B4760" t="str">
        <f>IFERROR(__xludf.DUMMYFUNCTION("""COMPUTED_VALUE"""),"slv")</f>
        <v>slv</v>
      </c>
      <c r="C4760" t="str">
        <f>IFERROR(__xludf.DUMMYFUNCTION("""COMPUTED_VALUE"""),"El Salvador")</f>
        <v>El Salvador</v>
      </c>
      <c r="D4760">
        <f>IFERROR(__xludf.DUMMYFUNCTION("""COMPUTED_VALUE"""),1974.0)</f>
        <v>1974</v>
      </c>
      <c r="E4760">
        <f>IFERROR(__xludf.DUMMYFUNCTION("""COMPUTED_VALUE"""),4053713.0)</f>
        <v>4053713</v>
      </c>
    </row>
    <row r="4761">
      <c r="A4761" t="str">
        <f t="shared" si="1"/>
        <v>slv#1975</v>
      </c>
      <c r="B4761" t="str">
        <f>IFERROR(__xludf.DUMMYFUNCTION("""COMPUTED_VALUE"""),"slv")</f>
        <v>slv</v>
      </c>
      <c r="C4761" t="str">
        <f>IFERROR(__xludf.DUMMYFUNCTION("""COMPUTED_VALUE"""),"El Salvador")</f>
        <v>El Salvador</v>
      </c>
      <c r="D4761">
        <f>IFERROR(__xludf.DUMMYFUNCTION("""COMPUTED_VALUE"""),1975.0)</f>
        <v>1975</v>
      </c>
      <c r="E4761">
        <f>IFERROR(__xludf.DUMMYFUNCTION("""COMPUTED_VALUE"""),4147525.0)</f>
        <v>4147525</v>
      </c>
    </row>
    <row r="4762">
      <c r="A4762" t="str">
        <f t="shared" si="1"/>
        <v>slv#1976</v>
      </c>
      <c r="B4762" t="str">
        <f>IFERROR(__xludf.DUMMYFUNCTION("""COMPUTED_VALUE"""),"slv")</f>
        <v>slv</v>
      </c>
      <c r="C4762" t="str">
        <f>IFERROR(__xludf.DUMMYFUNCTION("""COMPUTED_VALUE"""),"El Salvador")</f>
        <v>El Salvador</v>
      </c>
      <c r="D4762">
        <f>IFERROR(__xludf.DUMMYFUNCTION("""COMPUTED_VALUE"""),1976.0)</f>
        <v>1976</v>
      </c>
      <c r="E4762">
        <f>IFERROR(__xludf.DUMMYFUNCTION("""COMPUTED_VALUE"""),4239675.0)</f>
        <v>4239675</v>
      </c>
    </row>
    <row r="4763">
      <c r="A4763" t="str">
        <f t="shared" si="1"/>
        <v>slv#1977</v>
      </c>
      <c r="B4763" t="str">
        <f>IFERROR(__xludf.DUMMYFUNCTION("""COMPUTED_VALUE"""),"slv")</f>
        <v>slv</v>
      </c>
      <c r="C4763" t="str">
        <f>IFERROR(__xludf.DUMMYFUNCTION("""COMPUTED_VALUE"""),"El Salvador")</f>
        <v>El Salvador</v>
      </c>
      <c r="D4763">
        <f>IFERROR(__xludf.DUMMYFUNCTION("""COMPUTED_VALUE"""),1977.0)</f>
        <v>1977</v>
      </c>
      <c r="E4763">
        <f>IFERROR(__xludf.DUMMYFUNCTION("""COMPUTED_VALUE"""),4329964.0)</f>
        <v>4329964</v>
      </c>
    </row>
    <row r="4764">
      <c r="A4764" t="str">
        <f t="shared" si="1"/>
        <v>slv#1978</v>
      </c>
      <c r="B4764" t="str">
        <f>IFERROR(__xludf.DUMMYFUNCTION("""COMPUTED_VALUE"""),"slv")</f>
        <v>slv</v>
      </c>
      <c r="C4764" t="str">
        <f>IFERROR(__xludf.DUMMYFUNCTION("""COMPUTED_VALUE"""),"El Salvador")</f>
        <v>El Salvador</v>
      </c>
      <c r="D4764">
        <f>IFERROR(__xludf.DUMMYFUNCTION("""COMPUTED_VALUE"""),1978.0)</f>
        <v>1978</v>
      </c>
      <c r="E4764">
        <f>IFERROR(__xludf.DUMMYFUNCTION("""COMPUTED_VALUE"""),4417516.0)</f>
        <v>4417516</v>
      </c>
    </row>
    <row r="4765">
      <c r="A4765" t="str">
        <f t="shared" si="1"/>
        <v>slv#1979</v>
      </c>
      <c r="B4765" t="str">
        <f>IFERROR(__xludf.DUMMYFUNCTION("""COMPUTED_VALUE"""),"slv")</f>
        <v>slv</v>
      </c>
      <c r="C4765" t="str">
        <f>IFERROR(__xludf.DUMMYFUNCTION("""COMPUTED_VALUE"""),"El Salvador")</f>
        <v>El Salvador</v>
      </c>
      <c r="D4765">
        <f>IFERROR(__xludf.DUMMYFUNCTION("""COMPUTED_VALUE"""),1979.0)</f>
        <v>1979</v>
      </c>
      <c r="E4765">
        <f>IFERROR(__xludf.DUMMYFUNCTION("""COMPUTED_VALUE"""),4501316.0)</f>
        <v>4501316</v>
      </c>
    </row>
    <row r="4766">
      <c r="A4766" t="str">
        <f t="shared" si="1"/>
        <v>slv#1980</v>
      </c>
      <c r="B4766" t="str">
        <f>IFERROR(__xludf.DUMMYFUNCTION("""COMPUTED_VALUE"""),"slv")</f>
        <v>slv</v>
      </c>
      <c r="C4766" t="str">
        <f>IFERROR(__xludf.DUMMYFUNCTION("""COMPUTED_VALUE"""),"El Salvador")</f>
        <v>El Salvador</v>
      </c>
      <c r="D4766">
        <f>IFERROR(__xludf.DUMMYFUNCTION("""COMPUTED_VALUE"""),1980.0)</f>
        <v>1980</v>
      </c>
      <c r="E4766">
        <f>IFERROR(__xludf.DUMMYFUNCTION("""COMPUTED_VALUE"""),4580704.0)</f>
        <v>4580704</v>
      </c>
    </row>
    <row r="4767">
      <c r="A4767" t="str">
        <f t="shared" si="1"/>
        <v>slv#1981</v>
      </c>
      <c r="B4767" t="str">
        <f>IFERROR(__xludf.DUMMYFUNCTION("""COMPUTED_VALUE"""),"slv")</f>
        <v>slv</v>
      </c>
      <c r="C4767" t="str">
        <f>IFERROR(__xludf.DUMMYFUNCTION("""COMPUTED_VALUE"""),"El Salvador")</f>
        <v>El Salvador</v>
      </c>
      <c r="D4767">
        <f>IFERROR(__xludf.DUMMYFUNCTION("""COMPUTED_VALUE"""),1981.0)</f>
        <v>1981</v>
      </c>
      <c r="E4767">
        <f>IFERROR(__xludf.DUMMYFUNCTION("""COMPUTED_VALUE"""),4655364.0)</f>
        <v>4655364</v>
      </c>
    </row>
    <row r="4768">
      <c r="A4768" t="str">
        <f t="shared" si="1"/>
        <v>slv#1982</v>
      </c>
      <c r="B4768" t="str">
        <f>IFERROR(__xludf.DUMMYFUNCTION("""COMPUTED_VALUE"""),"slv")</f>
        <v>slv</v>
      </c>
      <c r="C4768" t="str">
        <f>IFERROR(__xludf.DUMMYFUNCTION("""COMPUTED_VALUE"""),"El Salvador")</f>
        <v>El Salvador</v>
      </c>
      <c r="D4768">
        <f>IFERROR(__xludf.DUMMYFUNCTION("""COMPUTED_VALUE"""),1982.0)</f>
        <v>1982</v>
      </c>
      <c r="E4768">
        <f>IFERROR(__xludf.DUMMYFUNCTION("""COMPUTED_VALUE"""),4725720.0)</f>
        <v>4725720</v>
      </c>
    </row>
    <row r="4769">
      <c r="A4769" t="str">
        <f t="shared" si="1"/>
        <v>slv#1983</v>
      </c>
      <c r="B4769" t="str">
        <f>IFERROR(__xludf.DUMMYFUNCTION("""COMPUTED_VALUE"""),"slv")</f>
        <v>slv</v>
      </c>
      <c r="C4769" t="str">
        <f>IFERROR(__xludf.DUMMYFUNCTION("""COMPUTED_VALUE"""),"El Salvador")</f>
        <v>El Salvador</v>
      </c>
      <c r="D4769">
        <f>IFERROR(__xludf.DUMMYFUNCTION("""COMPUTED_VALUE"""),1983.0)</f>
        <v>1983</v>
      </c>
      <c r="E4769">
        <f>IFERROR(__xludf.DUMMYFUNCTION("""COMPUTED_VALUE"""),4792903.0)</f>
        <v>4792903</v>
      </c>
    </row>
    <row r="4770">
      <c r="A4770" t="str">
        <f t="shared" si="1"/>
        <v>slv#1984</v>
      </c>
      <c r="B4770" t="str">
        <f>IFERROR(__xludf.DUMMYFUNCTION("""COMPUTED_VALUE"""),"slv")</f>
        <v>slv</v>
      </c>
      <c r="C4770" t="str">
        <f>IFERROR(__xludf.DUMMYFUNCTION("""COMPUTED_VALUE"""),"El Salvador")</f>
        <v>El Salvador</v>
      </c>
      <c r="D4770">
        <f>IFERROR(__xludf.DUMMYFUNCTION("""COMPUTED_VALUE"""),1984.0)</f>
        <v>1984</v>
      </c>
      <c r="E4770">
        <f>IFERROR(__xludf.DUMMYFUNCTION("""COMPUTED_VALUE"""),4858532.0)</f>
        <v>4858532</v>
      </c>
    </row>
    <row r="4771">
      <c r="A4771" t="str">
        <f t="shared" si="1"/>
        <v>slv#1985</v>
      </c>
      <c r="B4771" t="str">
        <f>IFERROR(__xludf.DUMMYFUNCTION("""COMPUTED_VALUE"""),"slv")</f>
        <v>slv</v>
      </c>
      <c r="C4771" t="str">
        <f>IFERROR(__xludf.DUMMYFUNCTION("""COMPUTED_VALUE"""),"El Salvador")</f>
        <v>El Salvador</v>
      </c>
      <c r="D4771">
        <f>IFERROR(__xludf.DUMMYFUNCTION("""COMPUTED_VALUE"""),1985.0)</f>
        <v>1985</v>
      </c>
      <c r="E4771">
        <f>IFERROR(__xludf.DUMMYFUNCTION("""COMPUTED_VALUE"""),4923860.0)</f>
        <v>4923860</v>
      </c>
    </row>
    <row r="4772">
      <c r="A4772" t="str">
        <f t="shared" si="1"/>
        <v>slv#1986</v>
      </c>
      <c r="B4772" t="str">
        <f>IFERROR(__xludf.DUMMYFUNCTION("""COMPUTED_VALUE"""),"slv")</f>
        <v>slv</v>
      </c>
      <c r="C4772" t="str">
        <f>IFERROR(__xludf.DUMMYFUNCTION("""COMPUTED_VALUE"""),"El Salvador")</f>
        <v>El Salvador</v>
      </c>
      <c r="D4772">
        <f>IFERROR(__xludf.DUMMYFUNCTION("""COMPUTED_VALUE"""),1986.0)</f>
        <v>1986</v>
      </c>
      <c r="E4772">
        <f>IFERROR(__xludf.DUMMYFUNCTION("""COMPUTED_VALUE"""),4988943.0)</f>
        <v>4988943</v>
      </c>
    </row>
    <row r="4773">
      <c r="A4773" t="str">
        <f t="shared" si="1"/>
        <v>slv#1987</v>
      </c>
      <c r="B4773" t="str">
        <f>IFERROR(__xludf.DUMMYFUNCTION("""COMPUTED_VALUE"""),"slv")</f>
        <v>slv</v>
      </c>
      <c r="C4773" t="str">
        <f>IFERROR(__xludf.DUMMYFUNCTION("""COMPUTED_VALUE"""),"El Salvador")</f>
        <v>El Salvador</v>
      </c>
      <c r="D4773">
        <f>IFERROR(__xludf.DUMMYFUNCTION("""COMPUTED_VALUE"""),1987.0)</f>
        <v>1987</v>
      </c>
      <c r="E4773">
        <f>IFERROR(__xludf.DUMMYFUNCTION("""COMPUTED_VALUE"""),5053714.0)</f>
        <v>5053714</v>
      </c>
    </row>
    <row r="4774">
      <c r="A4774" t="str">
        <f t="shared" si="1"/>
        <v>slv#1988</v>
      </c>
      <c r="B4774" t="str">
        <f>IFERROR(__xludf.DUMMYFUNCTION("""COMPUTED_VALUE"""),"slv")</f>
        <v>slv</v>
      </c>
      <c r="C4774" t="str">
        <f>IFERROR(__xludf.DUMMYFUNCTION("""COMPUTED_VALUE"""),"El Salvador")</f>
        <v>El Salvador</v>
      </c>
      <c r="D4774">
        <f>IFERROR(__xludf.DUMMYFUNCTION("""COMPUTED_VALUE"""),1988.0)</f>
        <v>1988</v>
      </c>
      <c r="E4774">
        <f>IFERROR(__xludf.DUMMYFUNCTION("""COMPUTED_VALUE"""),5119035.0)</f>
        <v>5119035</v>
      </c>
    </row>
    <row r="4775">
      <c r="A4775" t="str">
        <f t="shared" si="1"/>
        <v>slv#1989</v>
      </c>
      <c r="B4775" t="str">
        <f>IFERROR(__xludf.DUMMYFUNCTION("""COMPUTED_VALUE"""),"slv")</f>
        <v>slv</v>
      </c>
      <c r="C4775" t="str">
        <f>IFERROR(__xludf.DUMMYFUNCTION("""COMPUTED_VALUE"""),"El Salvador")</f>
        <v>El Salvador</v>
      </c>
      <c r="D4775">
        <f>IFERROR(__xludf.DUMMYFUNCTION("""COMPUTED_VALUE"""),1989.0)</f>
        <v>1989</v>
      </c>
      <c r="E4775">
        <f>IFERROR(__xludf.DUMMYFUNCTION("""COMPUTED_VALUE"""),5185943.0)</f>
        <v>5185943</v>
      </c>
    </row>
    <row r="4776">
      <c r="A4776" t="str">
        <f t="shared" si="1"/>
        <v>slv#1990</v>
      </c>
      <c r="B4776" t="str">
        <f>IFERROR(__xludf.DUMMYFUNCTION("""COMPUTED_VALUE"""),"slv")</f>
        <v>slv</v>
      </c>
      <c r="C4776" t="str">
        <f>IFERROR(__xludf.DUMMYFUNCTION("""COMPUTED_VALUE"""),"El Salvador")</f>
        <v>El Salvador</v>
      </c>
      <c r="D4776">
        <f>IFERROR(__xludf.DUMMYFUNCTION("""COMPUTED_VALUE"""),1990.0)</f>
        <v>1990</v>
      </c>
      <c r="E4776">
        <f>IFERROR(__xludf.DUMMYFUNCTION("""COMPUTED_VALUE"""),5254984.0)</f>
        <v>5254984</v>
      </c>
    </row>
    <row r="4777">
      <c r="A4777" t="str">
        <f t="shared" si="1"/>
        <v>slv#1991</v>
      </c>
      <c r="B4777" t="str">
        <f>IFERROR(__xludf.DUMMYFUNCTION("""COMPUTED_VALUE"""),"slv")</f>
        <v>slv</v>
      </c>
      <c r="C4777" t="str">
        <f>IFERROR(__xludf.DUMMYFUNCTION("""COMPUTED_VALUE"""),"El Salvador")</f>
        <v>El Salvador</v>
      </c>
      <c r="D4777">
        <f>IFERROR(__xludf.DUMMYFUNCTION("""COMPUTED_VALUE"""),1991.0)</f>
        <v>1991</v>
      </c>
      <c r="E4777">
        <f>IFERROR(__xludf.DUMMYFUNCTION("""COMPUTED_VALUE"""),5326657.0)</f>
        <v>5326657</v>
      </c>
    </row>
    <row r="4778">
      <c r="A4778" t="str">
        <f t="shared" si="1"/>
        <v>slv#1992</v>
      </c>
      <c r="B4778" t="str">
        <f>IFERROR(__xludf.DUMMYFUNCTION("""COMPUTED_VALUE"""),"slv")</f>
        <v>slv</v>
      </c>
      <c r="C4778" t="str">
        <f>IFERROR(__xludf.DUMMYFUNCTION("""COMPUTED_VALUE"""),"El Salvador")</f>
        <v>El Salvador</v>
      </c>
      <c r="D4778">
        <f>IFERROR(__xludf.DUMMYFUNCTION("""COMPUTED_VALUE"""),1992.0)</f>
        <v>1992</v>
      </c>
      <c r="E4778">
        <f>IFERROR(__xludf.DUMMYFUNCTION("""COMPUTED_VALUE"""),5400331.0)</f>
        <v>5400331</v>
      </c>
    </row>
    <row r="4779">
      <c r="A4779" t="str">
        <f t="shared" si="1"/>
        <v>slv#1993</v>
      </c>
      <c r="B4779" t="str">
        <f>IFERROR(__xludf.DUMMYFUNCTION("""COMPUTED_VALUE"""),"slv")</f>
        <v>slv</v>
      </c>
      <c r="C4779" t="str">
        <f>IFERROR(__xludf.DUMMYFUNCTION("""COMPUTED_VALUE"""),"El Salvador")</f>
        <v>El Salvador</v>
      </c>
      <c r="D4779">
        <f>IFERROR(__xludf.DUMMYFUNCTION("""COMPUTED_VALUE"""),1993.0)</f>
        <v>1993</v>
      </c>
      <c r="E4779">
        <f>IFERROR(__xludf.DUMMYFUNCTION("""COMPUTED_VALUE"""),5474000.0)</f>
        <v>5474000</v>
      </c>
    </row>
    <row r="4780">
      <c r="A4780" t="str">
        <f t="shared" si="1"/>
        <v>slv#1994</v>
      </c>
      <c r="B4780" t="str">
        <f>IFERROR(__xludf.DUMMYFUNCTION("""COMPUTED_VALUE"""),"slv")</f>
        <v>slv</v>
      </c>
      <c r="C4780" t="str">
        <f>IFERROR(__xludf.DUMMYFUNCTION("""COMPUTED_VALUE"""),"El Salvador")</f>
        <v>El Salvador</v>
      </c>
      <c r="D4780">
        <f>IFERROR(__xludf.DUMMYFUNCTION("""COMPUTED_VALUE"""),1994.0)</f>
        <v>1994</v>
      </c>
      <c r="E4780">
        <f>IFERROR(__xludf.DUMMYFUNCTION("""COMPUTED_VALUE"""),5544945.0)</f>
        <v>5544945</v>
      </c>
    </row>
    <row r="4781">
      <c r="A4781" t="str">
        <f t="shared" si="1"/>
        <v>slv#1995</v>
      </c>
      <c r="B4781" t="str">
        <f>IFERROR(__xludf.DUMMYFUNCTION("""COMPUTED_VALUE"""),"slv")</f>
        <v>slv</v>
      </c>
      <c r="C4781" t="str">
        <f>IFERROR(__xludf.DUMMYFUNCTION("""COMPUTED_VALUE"""),"El Salvador")</f>
        <v>El Salvador</v>
      </c>
      <c r="D4781">
        <f>IFERROR(__xludf.DUMMYFUNCTION("""COMPUTED_VALUE"""),1995.0)</f>
        <v>1995</v>
      </c>
      <c r="E4781">
        <f>IFERROR(__xludf.DUMMYFUNCTION("""COMPUTED_VALUE"""),5611115.0)</f>
        <v>5611115</v>
      </c>
    </row>
    <row r="4782">
      <c r="A4782" t="str">
        <f t="shared" si="1"/>
        <v>slv#1996</v>
      </c>
      <c r="B4782" t="str">
        <f>IFERROR(__xludf.DUMMYFUNCTION("""COMPUTED_VALUE"""),"slv")</f>
        <v>slv</v>
      </c>
      <c r="C4782" t="str">
        <f>IFERROR(__xludf.DUMMYFUNCTION("""COMPUTED_VALUE"""),"El Salvador")</f>
        <v>El Salvador</v>
      </c>
      <c r="D4782">
        <f>IFERROR(__xludf.DUMMYFUNCTION("""COMPUTED_VALUE"""),1996.0)</f>
        <v>1996</v>
      </c>
      <c r="E4782">
        <f>IFERROR(__xludf.DUMMYFUNCTION("""COMPUTED_VALUE"""),5671925.0)</f>
        <v>5671925</v>
      </c>
    </row>
    <row r="4783">
      <c r="A4783" t="str">
        <f t="shared" si="1"/>
        <v>slv#1997</v>
      </c>
      <c r="B4783" t="str">
        <f>IFERROR(__xludf.DUMMYFUNCTION("""COMPUTED_VALUE"""),"slv")</f>
        <v>slv</v>
      </c>
      <c r="C4783" t="str">
        <f>IFERROR(__xludf.DUMMYFUNCTION("""COMPUTED_VALUE"""),"El Salvador")</f>
        <v>El Salvador</v>
      </c>
      <c r="D4783">
        <f>IFERROR(__xludf.DUMMYFUNCTION("""COMPUTED_VALUE"""),1997.0)</f>
        <v>1997</v>
      </c>
      <c r="E4783">
        <f>IFERROR(__xludf.DUMMYFUNCTION("""COMPUTED_VALUE"""),5727755.0)</f>
        <v>5727755</v>
      </c>
    </row>
    <row r="4784">
      <c r="A4784" t="str">
        <f t="shared" si="1"/>
        <v>slv#1998</v>
      </c>
      <c r="B4784" t="str">
        <f>IFERROR(__xludf.DUMMYFUNCTION("""COMPUTED_VALUE"""),"slv")</f>
        <v>slv</v>
      </c>
      <c r="C4784" t="str">
        <f>IFERROR(__xludf.DUMMYFUNCTION("""COMPUTED_VALUE"""),"El Salvador")</f>
        <v>El Salvador</v>
      </c>
      <c r="D4784">
        <f>IFERROR(__xludf.DUMMYFUNCTION("""COMPUTED_VALUE"""),1998.0)</f>
        <v>1998</v>
      </c>
      <c r="E4784">
        <f>IFERROR(__xludf.DUMMYFUNCTION("""COMPUTED_VALUE"""),5778706.0)</f>
        <v>5778706</v>
      </c>
    </row>
    <row r="4785">
      <c r="A4785" t="str">
        <f t="shared" si="1"/>
        <v>slv#1999</v>
      </c>
      <c r="B4785" t="str">
        <f>IFERROR(__xludf.DUMMYFUNCTION("""COMPUTED_VALUE"""),"slv")</f>
        <v>slv</v>
      </c>
      <c r="C4785" t="str">
        <f>IFERROR(__xludf.DUMMYFUNCTION("""COMPUTED_VALUE"""),"El Salvador")</f>
        <v>El Salvador</v>
      </c>
      <c r="D4785">
        <f>IFERROR(__xludf.DUMMYFUNCTION("""COMPUTED_VALUE"""),1999.0)</f>
        <v>1999</v>
      </c>
      <c r="E4785">
        <f>IFERROR(__xludf.DUMMYFUNCTION("""COMPUTED_VALUE"""),5825187.0)</f>
        <v>5825187</v>
      </c>
    </row>
    <row r="4786">
      <c r="A4786" t="str">
        <f t="shared" si="1"/>
        <v>slv#2000</v>
      </c>
      <c r="B4786" t="str">
        <f>IFERROR(__xludf.DUMMYFUNCTION("""COMPUTED_VALUE"""),"slv")</f>
        <v>slv</v>
      </c>
      <c r="C4786" t="str">
        <f>IFERROR(__xludf.DUMMYFUNCTION("""COMPUTED_VALUE"""),"El Salvador")</f>
        <v>El Salvador</v>
      </c>
      <c r="D4786">
        <f>IFERROR(__xludf.DUMMYFUNCTION("""COMPUTED_VALUE"""),2000.0)</f>
        <v>2000</v>
      </c>
      <c r="E4786">
        <f>IFERROR(__xludf.DUMMYFUNCTION("""COMPUTED_VALUE"""),5867626.0)</f>
        <v>5867626</v>
      </c>
    </row>
    <row r="4787">
      <c r="A4787" t="str">
        <f t="shared" si="1"/>
        <v>slv#2001</v>
      </c>
      <c r="B4787" t="str">
        <f>IFERROR(__xludf.DUMMYFUNCTION("""COMPUTED_VALUE"""),"slv")</f>
        <v>slv</v>
      </c>
      <c r="C4787" t="str">
        <f>IFERROR(__xludf.DUMMYFUNCTION("""COMPUTED_VALUE"""),"El Salvador")</f>
        <v>El Salvador</v>
      </c>
      <c r="D4787">
        <f>IFERROR(__xludf.DUMMYFUNCTION("""COMPUTED_VALUE"""),2001.0)</f>
        <v>2001</v>
      </c>
      <c r="E4787">
        <f>IFERROR(__xludf.DUMMYFUNCTION("""COMPUTED_VALUE"""),5905962.0)</f>
        <v>5905962</v>
      </c>
    </row>
    <row r="4788">
      <c r="A4788" t="str">
        <f t="shared" si="1"/>
        <v>slv#2002</v>
      </c>
      <c r="B4788" t="str">
        <f>IFERROR(__xludf.DUMMYFUNCTION("""COMPUTED_VALUE"""),"slv")</f>
        <v>slv</v>
      </c>
      <c r="C4788" t="str">
        <f>IFERROR(__xludf.DUMMYFUNCTION("""COMPUTED_VALUE"""),"El Salvador")</f>
        <v>El Salvador</v>
      </c>
      <c r="D4788">
        <f>IFERROR(__xludf.DUMMYFUNCTION("""COMPUTED_VALUE"""),2002.0)</f>
        <v>2002</v>
      </c>
      <c r="E4788">
        <f>IFERROR(__xludf.DUMMYFUNCTION("""COMPUTED_VALUE"""),5940303.0)</f>
        <v>5940303</v>
      </c>
    </row>
    <row r="4789">
      <c r="A4789" t="str">
        <f t="shared" si="1"/>
        <v>slv#2003</v>
      </c>
      <c r="B4789" t="str">
        <f>IFERROR(__xludf.DUMMYFUNCTION("""COMPUTED_VALUE"""),"slv")</f>
        <v>slv</v>
      </c>
      <c r="C4789" t="str">
        <f>IFERROR(__xludf.DUMMYFUNCTION("""COMPUTED_VALUE"""),"El Salvador")</f>
        <v>El Salvador</v>
      </c>
      <c r="D4789">
        <f>IFERROR(__xludf.DUMMYFUNCTION("""COMPUTED_VALUE"""),2003.0)</f>
        <v>2003</v>
      </c>
      <c r="E4789">
        <f>IFERROR(__xludf.DUMMYFUNCTION("""COMPUTED_VALUE"""),5971535.0)</f>
        <v>5971535</v>
      </c>
    </row>
    <row r="4790">
      <c r="A4790" t="str">
        <f t="shared" si="1"/>
        <v>slv#2004</v>
      </c>
      <c r="B4790" t="str">
        <f>IFERROR(__xludf.DUMMYFUNCTION("""COMPUTED_VALUE"""),"slv")</f>
        <v>slv</v>
      </c>
      <c r="C4790" t="str">
        <f>IFERROR(__xludf.DUMMYFUNCTION("""COMPUTED_VALUE"""),"El Salvador")</f>
        <v>El Salvador</v>
      </c>
      <c r="D4790">
        <f>IFERROR(__xludf.DUMMYFUNCTION("""COMPUTED_VALUE"""),2004.0)</f>
        <v>2004</v>
      </c>
      <c r="E4790">
        <f>IFERROR(__xludf.DUMMYFUNCTION("""COMPUTED_VALUE"""),6000775.0)</f>
        <v>6000775</v>
      </c>
    </row>
    <row r="4791">
      <c r="A4791" t="str">
        <f t="shared" si="1"/>
        <v>slv#2005</v>
      </c>
      <c r="B4791" t="str">
        <f>IFERROR(__xludf.DUMMYFUNCTION("""COMPUTED_VALUE"""),"slv")</f>
        <v>slv</v>
      </c>
      <c r="C4791" t="str">
        <f>IFERROR(__xludf.DUMMYFUNCTION("""COMPUTED_VALUE"""),"El Salvador")</f>
        <v>El Salvador</v>
      </c>
      <c r="D4791">
        <f>IFERROR(__xludf.DUMMYFUNCTION("""COMPUTED_VALUE"""),2005.0)</f>
        <v>2005</v>
      </c>
      <c r="E4791">
        <f>IFERROR(__xludf.DUMMYFUNCTION("""COMPUTED_VALUE"""),6028961.0)</f>
        <v>6028961</v>
      </c>
    </row>
    <row r="4792">
      <c r="A4792" t="str">
        <f t="shared" si="1"/>
        <v>slv#2006</v>
      </c>
      <c r="B4792" t="str">
        <f>IFERROR(__xludf.DUMMYFUNCTION("""COMPUTED_VALUE"""),"slv")</f>
        <v>slv</v>
      </c>
      <c r="C4792" t="str">
        <f>IFERROR(__xludf.DUMMYFUNCTION("""COMPUTED_VALUE"""),"El Salvador")</f>
        <v>El Salvador</v>
      </c>
      <c r="D4792">
        <f>IFERROR(__xludf.DUMMYFUNCTION("""COMPUTED_VALUE"""),2006.0)</f>
        <v>2006</v>
      </c>
      <c r="E4792">
        <f>IFERROR(__xludf.DUMMYFUNCTION("""COMPUTED_VALUE"""),6056478.0)</f>
        <v>6056478</v>
      </c>
    </row>
    <row r="4793">
      <c r="A4793" t="str">
        <f t="shared" si="1"/>
        <v>slv#2007</v>
      </c>
      <c r="B4793" t="str">
        <f>IFERROR(__xludf.DUMMYFUNCTION("""COMPUTED_VALUE"""),"slv")</f>
        <v>slv</v>
      </c>
      <c r="C4793" t="str">
        <f>IFERROR(__xludf.DUMMYFUNCTION("""COMPUTED_VALUE"""),"El Salvador")</f>
        <v>El Salvador</v>
      </c>
      <c r="D4793">
        <f>IFERROR(__xludf.DUMMYFUNCTION("""COMPUTED_VALUE"""),2007.0)</f>
        <v>2007</v>
      </c>
      <c r="E4793">
        <f>IFERROR(__xludf.DUMMYFUNCTION("""COMPUTED_VALUE"""),6083475.0)</f>
        <v>6083475</v>
      </c>
    </row>
    <row r="4794">
      <c r="A4794" t="str">
        <f t="shared" si="1"/>
        <v>slv#2008</v>
      </c>
      <c r="B4794" t="str">
        <f>IFERROR(__xludf.DUMMYFUNCTION("""COMPUTED_VALUE"""),"slv")</f>
        <v>slv</v>
      </c>
      <c r="C4794" t="str">
        <f>IFERROR(__xludf.DUMMYFUNCTION("""COMPUTED_VALUE"""),"El Salvador")</f>
        <v>El Salvador</v>
      </c>
      <c r="D4794">
        <f>IFERROR(__xludf.DUMMYFUNCTION("""COMPUTED_VALUE"""),2008.0)</f>
        <v>2008</v>
      </c>
      <c r="E4794">
        <f>IFERROR(__xludf.DUMMYFUNCTION("""COMPUTED_VALUE"""),6110301.0)</f>
        <v>6110301</v>
      </c>
    </row>
    <row r="4795">
      <c r="A4795" t="str">
        <f t="shared" si="1"/>
        <v>slv#2009</v>
      </c>
      <c r="B4795" t="str">
        <f>IFERROR(__xludf.DUMMYFUNCTION("""COMPUTED_VALUE"""),"slv")</f>
        <v>slv</v>
      </c>
      <c r="C4795" t="str">
        <f>IFERROR(__xludf.DUMMYFUNCTION("""COMPUTED_VALUE"""),"El Salvador")</f>
        <v>El Salvador</v>
      </c>
      <c r="D4795">
        <f>IFERROR(__xludf.DUMMYFUNCTION("""COMPUTED_VALUE"""),2009.0)</f>
        <v>2009</v>
      </c>
      <c r="E4795">
        <f>IFERROR(__xludf.DUMMYFUNCTION("""COMPUTED_VALUE"""),6137276.0)</f>
        <v>6137276</v>
      </c>
    </row>
    <row r="4796">
      <c r="A4796" t="str">
        <f t="shared" si="1"/>
        <v>slv#2010</v>
      </c>
      <c r="B4796" t="str">
        <f>IFERROR(__xludf.DUMMYFUNCTION("""COMPUTED_VALUE"""),"slv")</f>
        <v>slv</v>
      </c>
      <c r="C4796" t="str">
        <f>IFERROR(__xludf.DUMMYFUNCTION("""COMPUTED_VALUE"""),"El Salvador")</f>
        <v>El Salvador</v>
      </c>
      <c r="D4796">
        <f>IFERROR(__xludf.DUMMYFUNCTION("""COMPUTED_VALUE"""),2010.0)</f>
        <v>2010</v>
      </c>
      <c r="E4796">
        <f>IFERROR(__xludf.DUMMYFUNCTION("""COMPUTED_VALUE"""),6164626.0)</f>
        <v>6164626</v>
      </c>
    </row>
    <row r="4797">
      <c r="A4797" t="str">
        <f t="shared" si="1"/>
        <v>slv#2011</v>
      </c>
      <c r="B4797" t="str">
        <f>IFERROR(__xludf.DUMMYFUNCTION("""COMPUTED_VALUE"""),"slv")</f>
        <v>slv</v>
      </c>
      <c r="C4797" t="str">
        <f>IFERROR(__xludf.DUMMYFUNCTION("""COMPUTED_VALUE"""),"El Salvador")</f>
        <v>El Salvador</v>
      </c>
      <c r="D4797">
        <f>IFERROR(__xludf.DUMMYFUNCTION("""COMPUTED_VALUE"""),2011.0)</f>
        <v>2011</v>
      </c>
      <c r="E4797">
        <f>IFERROR(__xludf.DUMMYFUNCTION("""COMPUTED_VALUE"""),6192560.0)</f>
        <v>6192560</v>
      </c>
    </row>
    <row r="4798">
      <c r="A4798" t="str">
        <f t="shared" si="1"/>
        <v>slv#2012</v>
      </c>
      <c r="B4798" t="str">
        <f>IFERROR(__xludf.DUMMYFUNCTION("""COMPUTED_VALUE"""),"slv")</f>
        <v>slv</v>
      </c>
      <c r="C4798" t="str">
        <f>IFERROR(__xludf.DUMMYFUNCTION("""COMPUTED_VALUE"""),"El Salvador")</f>
        <v>El Salvador</v>
      </c>
      <c r="D4798">
        <f>IFERROR(__xludf.DUMMYFUNCTION("""COMPUTED_VALUE"""),2012.0)</f>
        <v>2012</v>
      </c>
      <c r="E4798">
        <f>IFERROR(__xludf.DUMMYFUNCTION("""COMPUTED_VALUE"""),6221246.0)</f>
        <v>6221246</v>
      </c>
    </row>
    <row r="4799">
      <c r="A4799" t="str">
        <f t="shared" si="1"/>
        <v>slv#2013</v>
      </c>
      <c r="B4799" t="str">
        <f>IFERROR(__xludf.DUMMYFUNCTION("""COMPUTED_VALUE"""),"slv")</f>
        <v>slv</v>
      </c>
      <c r="C4799" t="str">
        <f>IFERROR(__xludf.DUMMYFUNCTION("""COMPUTED_VALUE"""),"El Salvador")</f>
        <v>El Salvador</v>
      </c>
      <c r="D4799">
        <f>IFERROR(__xludf.DUMMYFUNCTION("""COMPUTED_VALUE"""),2013.0)</f>
        <v>2013</v>
      </c>
      <c r="E4799">
        <f>IFERROR(__xludf.DUMMYFUNCTION("""COMPUTED_VALUE"""),6250777.0)</f>
        <v>6250777</v>
      </c>
    </row>
    <row r="4800">
      <c r="A4800" t="str">
        <f t="shared" si="1"/>
        <v>slv#2014</v>
      </c>
      <c r="B4800" t="str">
        <f>IFERROR(__xludf.DUMMYFUNCTION("""COMPUTED_VALUE"""),"slv")</f>
        <v>slv</v>
      </c>
      <c r="C4800" t="str">
        <f>IFERROR(__xludf.DUMMYFUNCTION("""COMPUTED_VALUE"""),"El Salvador")</f>
        <v>El Salvador</v>
      </c>
      <c r="D4800">
        <f>IFERROR(__xludf.DUMMYFUNCTION("""COMPUTED_VALUE"""),2014.0)</f>
        <v>2014</v>
      </c>
      <c r="E4800">
        <f>IFERROR(__xludf.DUMMYFUNCTION("""COMPUTED_VALUE"""),6281189.0)</f>
        <v>6281189</v>
      </c>
    </row>
    <row r="4801">
      <c r="A4801" t="str">
        <f t="shared" si="1"/>
        <v>slv#2015</v>
      </c>
      <c r="B4801" t="str">
        <f>IFERROR(__xludf.DUMMYFUNCTION("""COMPUTED_VALUE"""),"slv")</f>
        <v>slv</v>
      </c>
      <c r="C4801" t="str">
        <f>IFERROR(__xludf.DUMMYFUNCTION("""COMPUTED_VALUE"""),"El Salvador")</f>
        <v>El Salvador</v>
      </c>
      <c r="D4801">
        <f>IFERROR(__xludf.DUMMYFUNCTION("""COMPUTED_VALUE"""),2015.0)</f>
        <v>2015</v>
      </c>
      <c r="E4801">
        <f>IFERROR(__xludf.DUMMYFUNCTION("""COMPUTED_VALUE"""),6312478.0)</f>
        <v>6312478</v>
      </c>
    </row>
    <row r="4802">
      <c r="A4802" t="str">
        <f t="shared" si="1"/>
        <v>slv#2016</v>
      </c>
      <c r="B4802" t="str">
        <f>IFERROR(__xludf.DUMMYFUNCTION("""COMPUTED_VALUE"""),"slv")</f>
        <v>slv</v>
      </c>
      <c r="C4802" t="str">
        <f>IFERROR(__xludf.DUMMYFUNCTION("""COMPUTED_VALUE"""),"El Salvador")</f>
        <v>El Salvador</v>
      </c>
      <c r="D4802">
        <f>IFERROR(__xludf.DUMMYFUNCTION("""COMPUTED_VALUE"""),2016.0)</f>
        <v>2016</v>
      </c>
      <c r="E4802">
        <f>IFERROR(__xludf.DUMMYFUNCTION("""COMPUTED_VALUE"""),6344722.0)</f>
        <v>6344722</v>
      </c>
    </row>
    <row r="4803">
      <c r="A4803" t="str">
        <f t="shared" si="1"/>
        <v>slv#2017</v>
      </c>
      <c r="B4803" t="str">
        <f>IFERROR(__xludf.DUMMYFUNCTION("""COMPUTED_VALUE"""),"slv")</f>
        <v>slv</v>
      </c>
      <c r="C4803" t="str">
        <f>IFERROR(__xludf.DUMMYFUNCTION("""COMPUTED_VALUE"""),"El Salvador")</f>
        <v>El Salvador</v>
      </c>
      <c r="D4803">
        <f>IFERROR(__xludf.DUMMYFUNCTION("""COMPUTED_VALUE"""),2017.0)</f>
        <v>2017</v>
      </c>
      <c r="E4803">
        <f>IFERROR(__xludf.DUMMYFUNCTION("""COMPUTED_VALUE"""),6377853.0)</f>
        <v>6377853</v>
      </c>
    </row>
    <row r="4804">
      <c r="A4804" t="str">
        <f t="shared" si="1"/>
        <v>slv#2018</v>
      </c>
      <c r="B4804" t="str">
        <f>IFERROR(__xludf.DUMMYFUNCTION("""COMPUTED_VALUE"""),"slv")</f>
        <v>slv</v>
      </c>
      <c r="C4804" t="str">
        <f>IFERROR(__xludf.DUMMYFUNCTION("""COMPUTED_VALUE"""),"El Salvador")</f>
        <v>El Salvador</v>
      </c>
      <c r="D4804">
        <f>IFERROR(__xludf.DUMMYFUNCTION("""COMPUTED_VALUE"""),2018.0)</f>
        <v>2018</v>
      </c>
      <c r="E4804">
        <f>IFERROR(__xludf.DUMMYFUNCTION("""COMPUTED_VALUE"""),6411558.0)</f>
        <v>6411558</v>
      </c>
    </row>
    <row r="4805">
      <c r="A4805" t="str">
        <f t="shared" si="1"/>
        <v>slv#2019</v>
      </c>
      <c r="B4805" t="str">
        <f>IFERROR(__xludf.DUMMYFUNCTION("""COMPUTED_VALUE"""),"slv")</f>
        <v>slv</v>
      </c>
      <c r="C4805" t="str">
        <f>IFERROR(__xludf.DUMMYFUNCTION("""COMPUTED_VALUE"""),"El Salvador")</f>
        <v>El Salvador</v>
      </c>
      <c r="D4805">
        <f>IFERROR(__xludf.DUMMYFUNCTION("""COMPUTED_VALUE"""),2019.0)</f>
        <v>2019</v>
      </c>
      <c r="E4805">
        <f>IFERROR(__xludf.DUMMYFUNCTION("""COMPUTED_VALUE"""),6445405.0)</f>
        <v>6445405</v>
      </c>
    </row>
    <row r="4806">
      <c r="A4806" t="str">
        <f t="shared" si="1"/>
        <v>slv#2020</v>
      </c>
      <c r="B4806" t="str">
        <f>IFERROR(__xludf.DUMMYFUNCTION("""COMPUTED_VALUE"""),"slv")</f>
        <v>slv</v>
      </c>
      <c r="C4806" t="str">
        <f>IFERROR(__xludf.DUMMYFUNCTION("""COMPUTED_VALUE"""),"El Salvador")</f>
        <v>El Salvador</v>
      </c>
      <c r="D4806">
        <f>IFERROR(__xludf.DUMMYFUNCTION("""COMPUTED_VALUE"""),2020.0)</f>
        <v>2020</v>
      </c>
      <c r="E4806">
        <f>IFERROR(__xludf.DUMMYFUNCTION("""COMPUTED_VALUE"""),6479066.0)</f>
        <v>6479066</v>
      </c>
    </row>
    <row r="4807">
      <c r="A4807" t="str">
        <f t="shared" si="1"/>
        <v>slv#2021</v>
      </c>
      <c r="B4807" t="str">
        <f>IFERROR(__xludf.DUMMYFUNCTION("""COMPUTED_VALUE"""),"slv")</f>
        <v>slv</v>
      </c>
      <c r="C4807" t="str">
        <f>IFERROR(__xludf.DUMMYFUNCTION("""COMPUTED_VALUE"""),"El Salvador")</f>
        <v>El Salvador</v>
      </c>
      <c r="D4807">
        <f>IFERROR(__xludf.DUMMYFUNCTION("""COMPUTED_VALUE"""),2021.0)</f>
        <v>2021</v>
      </c>
      <c r="E4807">
        <f>IFERROR(__xludf.DUMMYFUNCTION("""COMPUTED_VALUE"""),6512324.0)</f>
        <v>6512324</v>
      </c>
    </row>
    <row r="4808">
      <c r="A4808" t="str">
        <f t="shared" si="1"/>
        <v>slv#2022</v>
      </c>
      <c r="B4808" t="str">
        <f>IFERROR(__xludf.DUMMYFUNCTION("""COMPUTED_VALUE"""),"slv")</f>
        <v>slv</v>
      </c>
      <c r="C4808" t="str">
        <f>IFERROR(__xludf.DUMMYFUNCTION("""COMPUTED_VALUE"""),"El Salvador")</f>
        <v>El Salvador</v>
      </c>
      <c r="D4808">
        <f>IFERROR(__xludf.DUMMYFUNCTION("""COMPUTED_VALUE"""),2022.0)</f>
        <v>2022</v>
      </c>
      <c r="E4808">
        <f>IFERROR(__xludf.DUMMYFUNCTION("""COMPUTED_VALUE"""),6545173.0)</f>
        <v>6545173</v>
      </c>
    </row>
    <row r="4809">
      <c r="A4809" t="str">
        <f t="shared" si="1"/>
        <v>slv#2023</v>
      </c>
      <c r="B4809" t="str">
        <f>IFERROR(__xludf.DUMMYFUNCTION("""COMPUTED_VALUE"""),"slv")</f>
        <v>slv</v>
      </c>
      <c r="C4809" t="str">
        <f>IFERROR(__xludf.DUMMYFUNCTION("""COMPUTED_VALUE"""),"El Salvador")</f>
        <v>El Salvador</v>
      </c>
      <c r="D4809">
        <f>IFERROR(__xludf.DUMMYFUNCTION("""COMPUTED_VALUE"""),2023.0)</f>
        <v>2023</v>
      </c>
      <c r="E4809">
        <f>IFERROR(__xludf.DUMMYFUNCTION("""COMPUTED_VALUE"""),6577561.0)</f>
        <v>6577561</v>
      </c>
    </row>
    <row r="4810">
      <c r="A4810" t="str">
        <f t="shared" si="1"/>
        <v>slv#2024</v>
      </c>
      <c r="B4810" t="str">
        <f>IFERROR(__xludf.DUMMYFUNCTION("""COMPUTED_VALUE"""),"slv")</f>
        <v>slv</v>
      </c>
      <c r="C4810" t="str">
        <f>IFERROR(__xludf.DUMMYFUNCTION("""COMPUTED_VALUE"""),"El Salvador")</f>
        <v>El Salvador</v>
      </c>
      <c r="D4810">
        <f>IFERROR(__xludf.DUMMYFUNCTION("""COMPUTED_VALUE"""),2024.0)</f>
        <v>2024</v>
      </c>
      <c r="E4810">
        <f>IFERROR(__xludf.DUMMYFUNCTION("""COMPUTED_VALUE"""),6609535.0)</f>
        <v>6609535</v>
      </c>
    </row>
    <row r="4811">
      <c r="A4811" t="str">
        <f t="shared" si="1"/>
        <v>slv#2025</v>
      </c>
      <c r="B4811" t="str">
        <f>IFERROR(__xludf.DUMMYFUNCTION("""COMPUTED_VALUE"""),"slv")</f>
        <v>slv</v>
      </c>
      <c r="C4811" t="str">
        <f>IFERROR(__xludf.DUMMYFUNCTION("""COMPUTED_VALUE"""),"El Salvador")</f>
        <v>El Salvador</v>
      </c>
      <c r="D4811">
        <f>IFERROR(__xludf.DUMMYFUNCTION("""COMPUTED_VALUE"""),2025.0)</f>
        <v>2025</v>
      </c>
      <c r="E4811">
        <f>IFERROR(__xludf.DUMMYFUNCTION("""COMPUTED_VALUE"""),6641077.0)</f>
        <v>6641077</v>
      </c>
    </row>
    <row r="4812">
      <c r="A4812" t="str">
        <f t="shared" si="1"/>
        <v>slv#2026</v>
      </c>
      <c r="B4812" t="str">
        <f>IFERROR(__xludf.DUMMYFUNCTION("""COMPUTED_VALUE"""),"slv")</f>
        <v>slv</v>
      </c>
      <c r="C4812" t="str">
        <f>IFERROR(__xludf.DUMMYFUNCTION("""COMPUTED_VALUE"""),"El Salvador")</f>
        <v>El Salvador</v>
      </c>
      <c r="D4812">
        <f>IFERROR(__xludf.DUMMYFUNCTION("""COMPUTED_VALUE"""),2026.0)</f>
        <v>2026</v>
      </c>
      <c r="E4812">
        <f>IFERROR(__xludf.DUMMYFUNCTION("""COMPUTED_VALUE"""),6672171.0)</f>
        <v>6672171</v>
      </c>
    </row>
    <row r="4813">
      <c r="A4813" t="str">
        <f t="shared" si="1"/>
        <v>slv#2027</v>
      </c>
      <c r="B4813" t="str">
        <f>IFERROR(__xludf.DUMMYFUNCTION("""COMPUTED_VALUE"""),"slv")</f>
        <v>slv</v>
      </c>
      <c r="C4813" t="str">
        <f>IFERROR(__xludf.DUMMYFUNCTION("""COMPUTED_VALUE"""),"El Salvador")</f>
        <v>El Salvador</v>
      </c>
      <c r="D4813">
        <f>IFERROR(__xludf.DUMMYFUNCTION("""COMPUTED_VALUE"""),2027.0)</f>
        <v>2027</v>
      </c>
      <c r="E4813">
        <f>IFERROR(__xludf.DUMMYFUNCTION("""COMPUTED_VALUE"""),6702612.0)</f>
        <v>6702612</v>
      </c>
    </row>
    <row r="4814">
      <c r="A4814" t="str">
        <f t="shared" si="1"/>
        <v>slv#2028</v>
      </c>
      <c r="B4814" t="str">
        <f>IFERROR(__xludf.DUMMYFUNCTION("""COMPUTED_VALUE"""),"slv")</f>
        <v>slv</v>
      </c>
      <c r="C4814" t="str">
        <f>IFERROR(__xludf.DUMMYFUNCTION("""COMPUTED_VALUE"""),"El Salvador")</f>
        <v>El Salvador</v>
      </c>
      <c r="D4814">
        <f>IFERROR(__xludf.DUMMYFUNCTION("""COMPUTED_VALUE"""),2028.0)</f>
        <v>2028</v>
      </c>
      <c r="E4814">
        <f>IFERROR(__xludf.DUMMYFUNCTION("""COMPUTED_VALUE"""),6731997.0)</f>
        <v>6731997</v>
      </c>
    </row>
    <row r="4815">
      <c r="A4815" t="str">
        <f t="shared" si="1"/>
        <v>slv#2029</v>
      </c>
      <c r="B4815" t="str">
        <f>IFERROR(__xludf.DUMMYFUNCTION("""COMPUTED_VALUE"""),"slv")</f>
        <v>slv</v>
      </c>
      <c r="C4815" t="str">
        <f>IFERROR(__xludf.DUMMYFUNCTION("""COMPUTED_VALUE"""),"El Salvador")</f>
        <v>El Salvador</v>
      </c>
      <c r="D4815">
        <f>IFERROR(__xludf.DUMMYFUNCTION("""COMPUTED_VALUE"""),2029.0)</f>
        <v>2029</v>
      </c>
      <c r="E4815">
        <f>IFERROR(__xludf.DUMMYFUNCTION("""COMPUTED_VALUE"""),6759778.0)</f>
        <v>6759778</v>
      </c>
    </row>
    <row r="4816">
      <c r="A4816" t="str">
        <f t="shared" si="1"/>
        <v>slv#2030</v>
      </c>
      <c r="B4816" t="str">
        <f>IFERROR(__xludf.DUMMYFUNCTION("""COMPUTED_VALUE"""),"slv")</f>
        <v>slv</v>
      </c>
      <c r="C4816" t="str">
        <f>IFERROR(__xludf.DUMMYFUNCTION("""COMPUTED_VALUE"""),"El Salvador")</f>
        <v>El Salvador</v>
      </c>
      <c r="D4816">
        <f>IFERROR(__xludf.DUMMYFUNCTION("""COMPUTED_VALUE"""),2030.0)</f>
        <v>2030</v>
      </c>
      <c r="E4816">
        <f>IFERROR(__xludf.DUMMYFUNCTION("""COMPUTED_VALUE"""),6785583.0)</f>
        <v>6785583</v>
      </c>
    </row>
    <row r="4817">
      <c r="A4817" t="str">
        <f t="shared" si="1"/>
        <v>slv#2031</v>
      </c>
      <c r="B4817" t="str">
        <f>IFERROR(__xludf.DUMMYFUNCTION("""COMPUTED_VALUE"""),"slv")</f>
        <v>slv</v>
      </c>
      <c r="C4817" t="str">
        <f>IFERROR(__xludf.DUMMYFUNCTION("""COMPUTED_VALUE"""),"El Salvador")</f>
        <v>El Salvador</v>
      </c>
      <c r="D4817">
        <f>IFERROR(__xludf.DUMMYFUNCTION("""COMPUTED_VALUE"""),2031.0)</f>
        <v>2031</v>
      </c>
      <c r="E4817">
        <f>IFERROR(__xludf.DUMMYFUNCTION("""COMPUTED_VALUE"""),6809174.0)</f>
        <v>6809174</v>
      </c>
    </row>
    <row r="4818">
      <c r="A4818" t="str">
        <f t="shared" si="1"/>
        <v>slv#2032</v>
      </c>
      <c r="B4818" t="str">
        <f>IFERROR(__xludf.DUMMYFUNCTION("""COMPUTED_VALUE"""),"slv")</f>
        <v>slv</v>
      </c>
      <c r="C4818" t="str">
        <f>IFERROR(__xludf.DUMMYFUNCTION("""COMPUTED_VALUE"""),"El Salvador")</f>
        <v>El Salvador</v>
      </c>
      <c r="D4818">
        <f>IFERROR(__xludf.DUMMYFUNCTION("""COMPUTED_VALUE"""),2032.0)</f>
        <v>2032</v>
      </c>
      <c r="E4818">
        <f>IFERROR(__xludf.DUMMYFUNCTION("""COMPUTED_VALUE"""),6830667.0)</f>
        <v>6830667</v>
      </c>
    </row>
    <row r="4819">
      <c r="A4819" t="str">
        <f t="shared" si="1"/>
        <v>slv#2033</v>
      </c>
      <c r="B4819" t="str">
        <f>IFERROR(__xludf.DUMMYFUNCTION("""COMPUTED_VALUE"""),"slv")</f>
        <v>slv</v>
      </c>
      <c r="C4819" t="str">
        <f>IFERROR(__xludf.DUMMYFUNCTION("""COMPUTED_VALUE"""),"El Salvador")</f>
        <v>El Salvador</v>
      </c>
      <c r="D4819">
        <f>IFERROR(__xludf.DUMMYFUNCTION("""COMPUTED_VALUE"""),2033.0)</f>
        <v>2033</v>
      </c>
      <c r="E4819">
        <f>IFERROR(__xludf.DUMMYFUNCTION("""COMPUTED_VALUE"""),6850432.0)</f>
        <v>6850432</v>
      </c>
    </row>
    <row r="4820">
      <c r="A4820" t="str">
        <f t="shared" si="1"/>
        <v>slv#2034</v>
      </c>
      <c r="B4820" t="str">
        <f>IFERROR(__xludf.DUMMYFUNCTION("""COMPUTED_VALUE"""),"slv")</f>
        <v>slv</v>
      </c>
      <c r="C4820" t="str">
        <f>IFERROR(__xludf.DUMMYFUNCTION("""COMPUTED_VALUE"""),"El Salvador")</f>
        <v>El Salvador</v>
      </c>
      <c r="D4820">
        <f>IFERROR(__xludf.DUMMYFUNCTION("""COMPUTED_VALUE"""),2034.0)</f>
        <v>2034</v>
      </c>
      <c r="E4820">
        <f>IFERROR(__xludf.DUMMYFUNCTION("""COMPUTED_VALUE"""),6869026.0)</f>
        <v>6869026</v>
      </c>
    </row>
    <row r="4821">
      <c r="A4821" t="str">
        <f t="shared" si="1"/>
        <v>slv#2035</v>
      </c>
      <c r="B4821" t="str">
        <f>IFERROR(__xludf.DUMMYFUNCTION("""COMPUTED_VALUE"""),"slv")</f>
        <v>slv</v>
      </c>
      <c r="C4821" t="str">
        <f>IFERROR(__xludf.DUMMYFUNCTION("""COMPUTED_VALUE"""),"El Salvador")</f>
        <v>El Salvador</v>
      </c>
      <c r="D4821">
        <f>IFERROR(__xludf.DUMMYFUNCTION("""COMPUTED_VALUE"""),2035.0)</f>
        <v>2035</v>
      </c>
      <c r="E4821">
        <f>IFERROR(__xludf.DUMMYFUNCTION("""COMPUTED_VALUE"""),6886840.0)</f>
        <v>6886840</v>
      </c>
    </row>
    <row r="4822">
      <c r="A4822" t="str">
        <f t="shared" si="1"/>
        <v>slv#2036</v>
      </c>
      <c r="B4822" t="str">
        <f>IFERROR(__xludf.DUMMYFUNCTION("""COMPUTED_VALUE"""),"slv")</f>
        <v>slv</v>
      </c>
      <c r="C4822" t="str">
        <f>IFERROR(__xludf.DUMMYFUNCTION("""COMPUTED_VALUE"""),"El Salvador")</f>
        <v>El Salvador</v>
      </c>
      <c r="D4822">
        <f>IFERROR(__xludf.DUMMYFUNCTION("""COMPUTED_VALUE"""),2036.0)</f>
        <v>2036</v>
      </c>
      <c r="E4822">
        <f>IFERROR(__xludf.DUMMYFUNCTION("""COMPUTED_VALUE"""),6904012.0)</f>
        <v>6904012</v>
      </c>
    </row>
    <row r="4823">
      <c r="A4823" t="str">
        <f t="shared" si="1"/>
        <v>slv#2037</v>
      </c>
      <c r="B4823" t="str">
        <f>IFERROR(__xludf.DUMMYFUNCTION("""COMPUTED_VALUE"""),"slv")</f>
        <v>slv</v>
      </c>
      <c r="C4823" t="str">
        <f>IFERROR(__xludf.DUMMYFUNCTION("""COMPUTED_VALUE"""),"El Salvador")</f>
        <v>El Salvador</v>
      </c>
      <c r="D4823">
        <f>IFERROR(__xludf.DUMMYFUNCTION("""COMPUTED_VALUE"""),2037.0)</f>
        <v>2037</v>
      </c>
      <c r="E4823">
        <f>IFERROR(__xludf.DUMMYFUNCTION("""COMPUTED_VALUE"""),6920362.0)</f>
        <v>6920362</v>
      </c>
    </row>
    <row r="4824">
      <c r="A4824" t="str">
        <f t="shared" si="1"/>
        <v>slv#2038</v>
      </c>
      <c r="B4824" t="str">
        <f>IFERROR(__xludf.DUMMYFUNCTION("""COMPUTED_VALUE"""),"slv")</f>
        <v>slv</v>
      </c>
      <c r="C4824" t="str">
        <f>IFERROR(__xludf.DUMMYFUNCTION("""COMPUTED_VALUE"""),"El Salvador")</f>
        <v>El Salvador</v>
      </c>
      <c r="D4824">
        <f>IFERROR(__xludf.DUMMYFUNCTION("""COMPUTED_VALUE"""),2038.0)</f>
        <v>2038</v>
      </c>
      <c r="E4824">
        <f>IFERROR(__xludf.DUMMYFUNCTION("""COMPUTED_VALUE"""),6935627.0)</f>
        <v>6935627</v>
      </c>
    </row>
    <row r="4825">
      <c r="A4825" t="str">
        <f t="shared" si="1"/>
        <v>slv#2039</v>
      </c>
      <c r="B4825" t="str">
        <f>IFERROR(__xludf.DUMMYFUNCTION("""COMPUTED_VALUE"""),"slv")</f>
        <v>slv</v>
      </c>
      <c r="C4825" t="str">
        <f>IFERROR(__xludf.DUMMYFUNCTION("""COMPUTED_VALUE"""),"El Salvador")</f>
        <v>El Salvador</v>
      </c>
      <c r="D4825">
        <f>IFERROR(__xludf.DUMMYFUNCTION("""COMPUTED_VALUE"""),2039.0)</f>
        <v>2039</v>
      </c>
      <c r="E4825">
        <f>IFERROR(__xludf.DUMMYFUNCTION("""COMPUTED_VALUE"""),6949436.0)</f>
        <v>6949436</v>
      </c>
    </row>
    <row r="4826">
      <c r="A4826" t="str">
        <f t="shared" si="1"/>
        <v>slv#2040</v>
      </c>
      <c r="B4826" t="str">
        <f>IFERROR(__xludf.DUMMYFUNCTION("""COMPUTED_VALUE"""),"slv")</f>
        <v>slv</v>
      </c>
      <c r="C4826" t="str">
        <f>IFERROR(__xludf.DUMMYFUNCTION("""COMPUTED_VALUE"""),"El Salvador")</f>
        <v>El Salvador</v>
      </c>
      <c r="D4826">
        <f>IFERROR(__xludf.DUMMYFUNCTION("""COMPUTED_VALUE"""),2040.0)</f>
        <v>2040</v>
      </c>
      <c r="E4826">
        <f>IFERROR(__xludf.DUMMYFUNCTION("""COMPUTED_VALUE"""),6961520.0)</f>
        <v>6961520</v>
      </c>
    </row>
    <row r="4827">
      <c r="A4827" t="str">
        <f t="shared" si="1"/>
        <v>gnq#1950</v>
      </c>
      <c r="B4827" t="str">
        <f>IFERROR(__xludf.DUMMYFUNCTION("""COMPUTED_VALUE"""),"gnq")</f>
        <v>gnq</v>
      </c>
      <c r="C4827" t="str">
        <f>IFERROR(__xludf.DUMMYFUNCTION("""COMPUTED_VALUE"""),"Equatorial Guinea")</f>
        <v>Equatorial Guinea</v>
      </c>
      <c r="D4827">
        <f>IFERROR(__xludf.DUMMYFUNCTION("""COMPUTED_VALUE"""),1950.0)</f>
        <v>1950</v>
      </c>
      <c r="E4827">
        <f>IFERROR(__xludf.DUMMYFUNCTION("""COMPUTED_VALUE"""),225537.0)</f>
        <v>225537</v>
      </c>
    </row>
    <row r="4828">
      <c r="A4828" t="str">
        <f t="shared" si="1"/>
        <v>gnq#1951</v>
      </c>
      <c r="B4828" t="str">
        <f>IFERROR(__xludf.DUMMYFUNCTION("""COMPUTED_VALUE"""),"gnq")</f>
        <v>gnq</v>
      </c>
      <c r="C4828" t="str">
        <f>IFERROR(__xludf.DUMMYFUNCTION("""COMPUTED_VALUE"""),"Equatorial Guinea")</f>
        <v>Equatorial Guinea</v>
      </c>
      <c r="D4828">
        <f>IFERROR(__xludf.DUMMYFUNCTION("""COMPUTED_VALUE"""),1951.0)</f>
        <v>1951</v>
      </c>
      <c r="E4828">
        <f>IFERROR(__xludf.DUMMYFUNCTION("""COMPUTED_VALUE"""),230717.0)</f>
        <v>230717</v>
      </c>
    </row>
    <row r="4829">
      <c r="A4829" t="str">
        <f t="shared" si="1"/>
        <v>gnq#1952</v>
      </c>
      <c r="B4829" t="str">
        <f>IFERROR(__xludf.DUMMYFUNCTION("""COMPUTED_VALUE"""),"gnq")</f>
        <v>gnq</v>
      </c>
      <c r="C4829" t="str">
        <f>IFERROR(__xludf.DUMMYFUNCTION("""COMPUTED_VALUE"""),"Equatorial Guinea")</f>
        <v>Equatorial Guinea</v>
      </c>
      <c r="D4829">
        <f>IFERROR(__xludf.DUMMYFUNCTION("""COMPUTED_VALUE"""),1952.0)</f>
        <v>1952</v>
      </c>
      <c r="E4829">
        <f>IFERROR(__xludf.DUMMYFUNCTION("""COMPUTED_VALUE"""),233853.0)</f>
        <v>233853</v>
      </c>
    </row>
    <row r="4830">
      <c r="A4830" t="str">
        <f t="shared" si="1"/>
        <v>gnq#1953</v>
      </c>
      <c r="B4830" t="str">
        <f>IFERROR(__xludf.DUMMYFUNCTION("""COMPUTED_VALUE"""),"gnq")</f>
        <v>gnq</v>
      </c>
      <c r="C4830" t="str">
        <f>IFERROR(__xludf.DUMMYFUNCTION("""COMPUTED_VALUE"""),"Equatorial Guinea")</f>
        <v>Equatorial Guinea</v>
      </c>
      <c r="D4830">
        <f>IFERROR(__xludf.DUMMYFUNCTION("""COMPUTED_VALUE"""),1953.0)</f>
        <v>1953</v>
      </c>
      <c r="E4830">
        <f>IFERROR(__xludf.DUMMYFUNCTION("""COMPUTED_VALUE"""),235883.0)</f>
        <v>235883</v>
      </c>
    </row>
    <row r="4831">
      <c r="A4831" t="str">
        <f t="shared" si="1"/>
        <v>gnq#1954</v>
      </c>
      <c r="B4831" t="str">
        <f>IFERROR(__xludf.DUMMYFUNCTION("""COMPUTED_VALUE"""),"gnq")</f>
        <v>gnq</v>
      </c>
      <c r="C4831" t="str">
        <f>IFERROR(__xludf.DUMMYFUNCTION("""COMPUTED_VALUE"""),"Equatorial Guinea")</f>
        <v>Equatorial Guinea</v>
      </c>
      <c r="D4831">
        <f>IFERROR(__xludf.DUMMYFUNCTION("""COMPUTED_VALUE"""),1954.0)</f>
        <v>1954</v>
      </c>
      <c r="E4831">
        <f>IFERROR(__xludf.DUMMYFUNCTION("""COMPUTED_VALUE"""),237547.0)</f>
        <v>237547</v>
      </c>
    </row>
    <row r="4832">
      <c r="A4832" t="str">
        <f t="shared" si="1"/>
        <v>gnq#1955</v>
      </c>
      <c r="B4832" t="str">
        <f>IFERROR(__xludf.DUMMYFUNCTION("""COMPUTED_VALUE"""),"gnq")</f>
        <v>gnq</v>
      </c>
      <c r="C4832" t="str">
        <f>IFERROR(__xludf.DUMMYFUNCTION("""COMPUTED_VALUE"""),"Equatorial Guinea")</f>
        <v>Equatorial Guinea</v>
      </c>
      <c r="D4832">
        <f>IFERROR(__xludf.DUMMYFUNCTION("""COMPUTED_VALUE"""),1955.0)</f>
        <v>1955</v>
      </c>
      <c r="E4832">
        <f>IFERROR(__xludf.DUMMYFUNCTION("""COMPUTED_VALUE"""),239375.0)</f>
        <v>239375</v>
      </c>
    </row>
    <row r="4833">
      <c r="A4833" t="str">
        <f t="shared" si="1"/>
        <v>gnq#1956</v>
      </c>
      <c r="B4833" t="str">
        <f>IFERROR(__xludf.DUMMYFUNCTION("""COMPUTED_VALUE"""),"gnq")</f>
        <v>gnq</v>
      </c>
      <c r="C4833" t="str">
        <f>IFERROR(__xludf.DUMMYFUNCTION("""COMPUTED_VALUE"""),"Equatorial Guinea")</f>
        <v>Equatorial Guinea</v>
      </c>
      <c r="D4833">
        <f>IFERROR(__xludf.DUMMYFUNCTION("""COMPUTED_VALUE"""),1956.0)</f>
        <v>1956</v>
      </c>
      <c r="E4833">
        <f>IFERROR(__xludf.DUMMYFUNCTION("""COMPUTED_VALUE"""),241670.0)</f>
        <v>241670</v>
      </c>
    </row>
    <row r="4834">
      <c r="A4834" t="str">
        <f t="shared" si="1"/>
        <v>gnq#1957</v>
      </c>
      <c r="B4834" t="str">
        <f>IFERROR(__xludf.DUMMYFUNCTION("""COMPUTED_VALUE"""),"gnq")</f>
        <v>gnq</v>
      </c>
      <c r="C4834" t="str">
        <f>IFERROR(__xludf.DUMMYFUNCTION("""COMPUTED_VALUE"""),"Equatorial Guinea")</f>
        <v>Equatorial Guinea</v>
      </c>
      <c r="D4834">
        <f>IFERROR(__xludf.DUMMYFUNCTION("""COMPUTED_VALUE"""),1957.0)</f>
        <v>1957</v>
      </c>
      <c r="E4834">
        <f>IFERROR(__xludf.DUMMYFUNCTION("""COMPUTED_VALUE"""),244553.0)</f>
        <v>244553</v>
      </c>
    </row>
    <row r="4835">
      <c r="A4835" t="str">
        <f t="shared" si="1"/>
        <v>gnq#1958</v>
      </c>
      <c r="B4835" t="str">
        <f>IFERROR(__xludf.DUMMYFUNCTION("""COMPUTED_VALUE"""),"gnq")</f>
        <v>gnq</v>
      </c>
      <c r="C4835" t="str">
        <f>IFERROR(__xludf.DUMMYFUNCTION("""COMPUTED_VALUE"""),"Equatorial Guinea")</f>
        <v>Equatorial Guinea</v>
      </c>
      <c r="D4835">
        <f>IFERROR(__xludf.DUMMYFUNCTION("""COMPUTED_VALUE"""),1958.0)</f>
        <v>1958</v>
      </c>
      <c r="E4835">
        <f>IFERROR(__xludf.DUMMYFUNCTION("""COMPUTED_VALUE"""),247932.0)</f>
        <v>247932</v>
      </c>
    </row>
    <row r="4836">
      <c r="A4836" t="str">
        <f t="shared" si="1"/>
        <v>gnq#1959</v>
      </c>
      <c r="B4836" t="str">
        <f>IFERROR(__xludf.DUMMYFUNCTION("""COMPUTED_VALUE"""),"gnq")</f>
        <v>gnq</v>
      </c>
      <c r="C4836" t="str">
        <f>IFERROR(__xludf.DUMMYFUNCTION("""COMPUTED_VALUE"""),"Equatorial Guinea")</f>
        <v>Equatorial Guinea</v>
      </c>
      <c r="D4836">
        <f>IFERROR(__xludf.DUMMYFUNCTION("""COMPUTED_VALUE"""),1959.0)</f>
        <v>1959</v>
      </c>
      <c r="E4836">
        <f>IFERROR(__xludf.DUMMYFUNCTION("""COMPUTED_VALUE"""),251601.0)</f>
        <v>251601</v>
      </c>
    </row>
    <row r="4837">
      <c r="A4837" t="str">
        <f t="shared" si="1"/>
        <v>gnq#1960</v>
      </c>
      <c r="B4837" t="str">
        <f>IFERROR(__xludf.DUMMYFUNCTION("""COMPUTED_VALUE"""),"gnq")</f>
        <v>gnq</v>
      </c>
      <c r="C4837" t="str">
        <f>IFERROR(__xludf.DUMMYFUNCTION("""COMPUTED_VALUE"""),"Equatorial Guinea")</f>
        <v>Equatorial Guinea</v>
      </c>
      <c r="D4837">
        <f>IFERROR(__xludf.DUMMYFUNCTION("""COMPUTED_VALUE"""),1960.0)</f>
        <v>1960</v>
      </c>
      <c r="E4837">
        <f>IFERROR(__xludf.DUMMYFUNCTION("""COMPUTED_VALUE"""),255323.0)</f>
        <v>255323</v>
      </c>
    </row>
    <row r="4838">
      <c r="A4838" t="str">
        <f t="shared" si="1"/>
        <v>gnq#1961</v>
      </c>
      <c r="B4838" t="str">
        <f>IFERROR(__xludf.DUMMYFUNCTION("""COMPUTED_VALUE"""),"gnq")</f>
        <v>gnq</v>
      </c>
      <c r="C4838" t="str">
        <f>IFERROR(__xludf.DUMMYFUNCTION("""COMPUTED_VALUE"""),"Equatorial Guinea")</f>
        <v>Equatorial Guinea</v>
      </c>
      <c r="D4838">
        <f>IFERROR(__xludf.DUMMYFUNCTION("""COMPUTED_VALUE"""),1961.0)</f>
        <v>1961</v>
      </c>
      <c r="E4838">
        <f>IFERROR(__xludf.DUMMYFUNCTION("""COMPUTED_VALUE"""),258947.0)</f>
        <v>258947</v>
      </c>
    </row>
    <row r="4839">
      <c r="A4839" t="str">
        <f t="shared" si="1"/>
        <v>gnq#1962</v>
      </c>
      <c r="B4839" t="str">
        <f>IFERROR(__xludf.DUMMYFUNCTION("""COMPUTED_VALUE"""),"gnq")</f>
        <v>gnq</v>
      </c>
      <c r="C4839" t="str">
        <f>IFERROR(__xludf.DUMMYFUNCTION("""COMPUTED_VALUE"""),"Equatorial Guinea")</f>
        <v>Equatorial Guinea</v>
      </c>
      <c r="D4839">
        <f>IFERROR(__xludf.DUMMYFUNCTION("""COMPUTED_VALUE"""),1962.0)</f>
        <v>1962</v>
      </c>
      <c r="E4839">
        <f>IFERROR(__xludf.DUMMYFUNCTION("""COMPUTED_VALUE"""),262590.0)</f>
        <v>262590</v>
      </c>
    </row>
    <row r="4840">
      <c r="A4840" t="str">
        <f t="shared" si="1"/>
        <v>gnq#1963</v>
      </c>
      <c r="B4840" t="str">
        <f>IFERROR(__xludf.DUMMYFUNCTION("""COMPUTED_VALUE"""),"gnq")</f>
        <v>gnq</v>
      </c>
      <c r="C4840" t="str">
        <f>IFERROR(__xludf.DUMMYFUNCTION("""COMPUTED_VALUE"""),"Equatorial Guinea")</f>
        <v>Equatorial Guinea</v>
      </c>
      <c r="D4840">
        <f>IFERROR(__xludf.DUMMYFUNCTION("""COMPUTED_VALUE"""),1963.0)</f>
        <v>1963</v>
      </c>
      <c r="E4840">
        <f>IFERROR(__xludf.DUMMYFUNCTION("""COMPUTED_VALUE"""),266598.0)</f>
        <v>266598</v>
      </c>
    </row>
    <row r="4841">
      <c r="A4841" t="str">
        <f t="shared" si="1"/>
        <v>gnq#1964</v>
      </c>
      <c r="B4841" t="str">
        <f>IFERROR(__xludf.DUMMYFUNCTION("""COMPUTED_VALUE"""),"gnq")</f>
        <v>gnq</v>
      </c>
      <c r="C4841" t="str">
        <f>IFERROR(__xludf.DUMMYFUNCTION("""COMPUTED_VALUE"""),"Equatorial Guinea")</f>
        <v>Equatorial Guinea</v>
      </c>
      <c r="D4841">
        <f>IFERROR(__xludf.DUMMYFUNCTION("""COMPUTED_VALUE"""),1964.0)</f>
        <v>1964</v>
      </c>
      <c r="E4841">
        <f>IFERROR(__xludf.DUMMYFUNCTION("""COMPUTED_VALUE"""),271457.0)</f>
        <v>271457</v>
      </c>
    </row>
    <row r="4842">
      <c r="A4842" t="str">
        <f t="shared" si="1"/>
        <v>gnq#1965</v>
      </c>
      <c r="B4842" t="str">
        <f>IFERROR(__xludf.DUMMYFUNCTION("""COMPUTED_VALUE"""),"gnq")</f>
        <v>gnq</v>
      </c>
      <c r="C4842" t="str">
        <f>IFERROR(__xludf.DUMMYFUNCTION("""COMPUTED_VALUE"""),"Equatorial Guinea")</f>
        <v>Equatorial Guinea</v>
      </c>
      <c r="D4842">
        <f>IFERROR(__xludf.DUMMYFUNCTION("""COMPUTED_VALUE"""),1965.0)</f>
        <v>1965</v>
      </c>
      <c r="E4842">
        <f>IFERROR(__xludf.DUMMYFUNCTION("""COMPUTED_VALUE"""),277396.0)</f>
        <v>277396</v>
      </c>
    </row>
    <row r="4843">
      <c r="A4843" t="str">
        <f t="shared" si="1"/>
        <v>gnq#1966</v>
      </c>
      <c r="B4843" t="str">
        <f>IFERROR(__xludf.DUMMYFUNCTION("""COMPUTED_VALUE"""),"gnq")</f>
        <v>gnq</v>
      </c>
      <c r="C4843" t="str">
        <f>IFERROR(__xludf.DUMMYFUNCTION("""COMPUTED_VALUE"""),"Equatorial Guinea")</f>
        <v>Equatorial Guinea</v>
      </c>
      <c r="D4843">
        <f>IFERROR(__xludf.DUMMYFUNCTION("""COMPUTED_VALUE"""),1966.0)</f>
        <v>1966</v>
      </c>
      <c r="E4843">
        <f>IFERROR(__xludf.DUMMYFUNCTION("""COMPUTED_VALUE"""),284868.0)</f>
        <v>284868</v>
      </c>
    </row>
    <row r="4844">
      <c r="A4844" t="str">
        <f t="shared" si="1"/>
        <v>gnq#1967</v>
      </c>
      <c r="B4844" t="str">
        <f>IFERROR(__xludf.DUMMYFUNCTION("""COMPUTED_VALUE"""),"gnq")</f>
        <v>gnq</v>
      </c>
      <c r="C4844" t="str">
        <f>IFERROR(__xludf.DUMMYFUNCTION("""COMPUTED_VALUE"""),"Equatorial Guinea")</f>
        <v>Equatorial Guinea</v>
      </c>
      <c r="D4844">
        <f>IFERROR(__xludf.DUMMYFUNCTION("""COMPUTED_VALUE"""),1967.0)</f>
        <v>1967</v>
      </c>
      <c r="E4844">
        <f>IFERROR(__xludf.DUMMYFUNCTION("""COMPUTED_VALUE"""),293440.0)</f>
        <v>293440</v>
      </c>
    </row>
    <row r="4845">
      <c r="A4845" t="str">
        <f t="shared" si="1"/>
        <v>gnq#1968</v>
      </c>
      <c r="B4845" t="str">
        <f>IFERROR(__xludf.DUMMYFUNCTION("""COMPUTED_VALUE"""),"gnq")</f>
        <v>gnq</v>
      </c>
      <c r="C4845" t="str">
        <f>IFERROR(__xludf.DUMMYFUNCTION("""COMPUTED_VALUE"""),"Equatorial Guinea")</f>
        <v>Equatorial Guinea</v>
      </c>
      <c r="D4845">
        <f>IFERROR(__xludf.DUMMYFUNCTION("""COMPUTED_VALUE"""),1968.0)</f>
        <v>1968</v>
      </c>
      <c r="E4845">
        <f>IFERROR(__xludf.DUMMYFUNCTION("""COMPUTED_VALUE"""),301353.0)</f>
        <v>301353</v>
      </c>
    </row>
    <row r="4846">
      <c r="A4846" t="str">
        <f t="shared" si="1"/>
        <v>gnq#1969</v>
      </c>
      <c r="B4846" t="str">
        <f>IFERROR(__xludf.DUMMYFUNCTION("""COMPUTED_VALUE"""),"gnq")</f>
        <v>gnq</v>
      </c>
      <c r="C4846" t="str">
        <f>IFERROR(__xludf.DUMMYFUNCTION("""COMPUTED_VALUE"""),"Equatorial Guinea")</f>
        <v>Equatorial Guinea</v>
      </c>
      <c r="D4846">
        <f>IFERROR(__xludf.DUMMYFUNCTION("""COMPUTED_VALUE"""),1969.0)</f>
        <v>1969</v>
      </c>
      <c r="E4846">
        <f>IFERROR(__xludf.DUMMYFUNCTION("""COMPUTED_VALUE"""),306233.0)</f>
        <v>306233</v>
      </c>
    </row>
    <row r="4847">
      <c r="A4847" t="str">
        <f t="shared" si="1"/>
        <v>gnq#1970</v>
      </c>
      <c r="B4847" t="str">
        <f>IFERROR(__xludf.DUMMYFUNCTION("""COMPUTED_VALUE"""),"gnq")</f>
        <v>gnq</v>
      </c>
      <c r="C4847" t="str">
        <f>IFERROR(__xludf.DUMMYFUNCTION("""COMPUTED_VALUE"""),"Equatorial Guinea")</f>
        <v>Equatorial Guinea</v>
      </c>
      <c r="D4847">
        <f>IFERROR(__xludf.DUMMYFUNCTION("""COMPUTED_VALUE"""),1970.0)</f>
        <v>1970</v>
      </c>
      <c r="E4847">
        <f>IFERROR(__xludf.DUMMYFUNCTION("""COMPUTED_VALUE"""),306515.0)</f>
        <v>306515</v>
      </c>
    </row>
    <row r="4848">
      <c r="A4848" t="str">
        <f t="shared" si="1"/>
        <v>gnq#1971</v>
      </c>
      <c r="B4848" t="str">
        <f>IFERROR(__xludf.DUMMYFUNCTION("""COMPUTED_VALUE"""),"gnq")</f>
        <v>gnq</v>
      </c>
      <c r="C4848" t="str">
        <f>IFERROR(__xludf.DUMMYFUNCTION("""COMPUTED_VALUE"""),"Equatorial Guinea")</f>
        <v>Equatorial Guinea</v>
      </c>
      <c r="D4848">
        <f>IFERROR(__xludf.DUMMYFUNCTION("""COMPUTED_VALUE"""),1971.0)</f>
        <v>1971</v>
      </c>
      <c r="E4848">
        <f>IFERROR(__xludf.DUMMYFUNCTION("""COMPUTED_VALUE"""),301666.0)</f>
        <v>301666</v>
      </c>
    </row>
    <row r="4849">
      <c r="A4849" t="str">
        <f t="shared" si="1"/>
        <v>gnq#1972</v>
      </c>
      <c r="B4849" t="str">
        <f>IFERROR(__xludf.DUMMYFUNCTION("""COMPUTED_VALUE"""),"gnq")</f>
        <v>gnq</v>
      </c>
      <c r="C4849" t="str">
        <f>IFERROR(__xludf.DUMMYFUNCTION("""COMPUTED_VALUE"""),"Equatorial Guinea")</f>
        <v>Equatorial Guinea</v>
      </c>
      <c r="D4849">
        <f>IFERROR(__xludf.DUMMYFUNCTION("""COMPUTED_VALUE"""),1972.0)</f>
        <v>1972</v>
      </c>
      <c r="E4849">
        <f>IFERROR(__xludf.DUMMYFUNCTION("""COMPUTED_VALUE"""),292585.0)</f>
        <v>292585</v>
      </c>
    </row>
    <row r="4850">
      <c r="A4850" t="str">
        <f t="shared" si="1"/>
        <v>gnq#1973</v>
      </c>
      <c r="B4850" t="str">
        <f>IFERROR(__xludf.DUMMYFUNCTION("""COMPUTED_VALUE"""),"gnq")</f>
        <v>gnq</v>
      </c>
      <c r="C4850" t="str">
        <f>IFERROR(__xludf.DUMMYFUNCTION("""COMPUTED_VALUE"""),"Equatorial Guinea")</f>
        <v>Equatorial Guinea</v>
      </c>
      <c r="D4850">
        <f>IFERROR(__xludf.DUMMYFUNCTION("""COMPUTED_VALUE"""),1973.0)</f>
        <v>1973</v>
      </c>
      <c r="E4850">
        <f>IFERROR(__xludf.DUMMYFUNCTION("""COMPUTED_VALUE"""),281021.0)</f>
        <v>281021</v>
      </c>
    </row>
    <row r="4851">
      <c r="A4851" t="str">
        <f t="shared" si="1"/>
        <v>gnq#1974</v>
      </c>
      <c r="B4851" t="str">
        <f>IFERROR(__xludf.DUMMYFUNCTION("""COMPUTED_VALUE"""),"gnq")</f>
        <v>gnq</v>
      </c>
      <c r="C4851" t="str">
        <f>IFERROR(__xludf.DUMMYFUNCTION("""COMPUTED_VALUE"""),"Equatorial Guinea")</f>
        <v>Equatorial Guinea</v>
      </c>
      <c r="D4851">
        <f>IFERROR(__xludf.DUMMYFUNCTION("""COMPUTED_VALUE"""),1974.0)</f>
        <v>1974</v>
      </c>
      <c r="E4851">
        <f>IFERROR(__xludf.DUMMYFUNCTION("""COMPUTED_VALUE"""),269426.0)</f>
        <v>269426</v>
      </c>
    </row>
    <row r="4852">
      <c r="A4852" t="str">
        <f t="shared" si="1"/>
        <v>gnq#1975</v>
      </c>
      <c r="B4852" t="str">
        <f>IFERROR(__xludf.DUMMYFUNCTION("""COMPUTED_VALUE"""),"gnq")</f>
        <v>gnq</v>
      </c>
      <c r="C4852" t="str">
        <f>IFERROR(__xludf.DUMMYFUNCTION("""COMPUTED_VALUE"""),"Equatorial Guinea")</f>
        <v>Equatorial Guinea</v>
      </c>
      <c r="D4852">
        <f>IFERROR(__xludf.DUMMYFUNCTION("""COMPUTED_VALUE"""),1975.0)</f>
        <v>1975</v>
      </c>
      <c r="E4852">
        <f>IFERROR(__xludf.DUMMYFUNCTION("""COMPUTED_VALUE"""),259747.0)</f>
        <v>259747</v>
      </c>
    </row>
    <row r="4853">
      <c r="A4853" t="str">
        <f t="shared" si="1"/>
        <v>gnq#1976</v>
      </c>
      <c r="B4853" t="str">
        <f>IFERROR(__xludf.DUMMYFUNCTION("""COMPUTED_VALUE"""),"gnq")</f>
        <v>gnq</v>
      </c>
      <c r="C4853" t="str">
        <f>IFERROR(__xludf.DUMMYFUNCTION("""COMPUTED_VALUE"""),"Equatorial Guinea")</f>
        <v>Equatorial Guinea</v>
      </c>
      <c r="D4853">
        <f>IFERROR(__xludf.DUMMYFUNCTION("""COMPUTED_VALUE"""),1976.0)</f>
        <v>1976</v>
      </c>
      <c r="E4853">
        <f>IFERROR(__xludf.DUMMYFUNCTION("""COMPUTED_VALUE"""),252194.0)</f>
        <v>252194</v>
      </c>
    </row>
    <row r="4854">
      <c r="A4854" t="str">
        <f t="shared" si="1"/>
        <v>gnq#1977</v>
      </c>
      <c r="B4854" t="str">
        <f>IFERROR(__xludf.DUMMYFUNCTION("""COMPUTED_VALUE"""),"gnq")</f>
        <v>gnq</v>
      </c>
      <c r="C4854" t="str">
        <f>IFERROR(__xludf.DUMMYFUNCTION("""COMPUTED_VALUE"""),"Equatorial Guinea")</f>
        <v>Equatorial Guinea</v>
      </c>
      <c r="D4854">
        <f>IFERROR(__xludf.DUMMYFUNCTION("""COMPUTED_VALUE"""),1977.0)</f>
        <v>1977</v>
      </c>
      <c r="E4854">
        <f>IFERROR(__xludf.DUMMYFUNCTION("""COMPUTED_VALUE"""),246677.0)</f>
        <v>246677</v>
      </c>
    </row>
    <row r="4855">
      <c r="A4855" t="str">
        <f t="shared" si="1"/>
        <v>gnq#1978</v>
      </c>
      <c r="B4855" t="str">
        <f>IFERROR(__xludf.DUMMYFUNCTION("""COMPUTED_VALUE"""),"gnq")</f>
        <v>gnq</v>
      </c>
      <c r="C4855" t="str">
        <f>IFERROR(__xludf.DUMMYFUNCTION("""COMPUTED_VALUE"""),"Equatorial Guinea")</f>
        <v>Equatorial Guinea</v>
      </c>
      <c r="D4855">
        <f>IFERROR(__xludf.DUMMYFUNCTION("""COMPUTED_VALUE"""),1978.0)</f>
        <v>1978</v>
      </c>
      <c r="E4855">
        <f>IFERROR(__xludf.DUMMYFUNCTION("""COMPUTED_VALUE"""),244485.0)</f>
        <v>244485</v>
      </c>
    </row>
    <row r="4856">
      <c r="A4856" t="str">
        <f t="shared" si="1"/>
        <v>gnq#1979</v>
      </c>
      <c r="B4856" t="str">
        <f>IFERROR(__xludf.DUMMYFUNCTION("""COMPUTED_VALUE"""),"gnq")</f>
        <v>gnq</v>
      </c>
      <c r="C4856" t="str">
        <f>IFERROR(__xludf.DUMMYFUNCTION("""COMPUTED_VALUE"""),"Equatorial Guinea")</f>
        <v>Equatorial Guinea</v>
      </c>
      <c r="D4856">
        <f>IFERROR(__xludf.DUMMYFUNCTION("""COMPUTED_VALUE"""),1979.0)</f>
        <v>1979</v>
      </c>
      <c r="E4856">
        <f>IFERROR(__xludf.DUMMYFUNCTION("""COMPUTED_VALUE"""),247078.0)</f>
        <v>247078</v>
      </c>
    </row>
    <row r="4857">
      <c r="A4857" t="str">
        <f t="shared" si="1"/>
        <v>gnq#1980</v>
      </c>
      <c r="B4857" t="str">
        <f>IFERROR(__xludf.DUMMYFUNCTION("""COMPUTED_VALUE"""),"gnq")</f>
        <v>gnq</v>
      </c>
      <c r="C4857" t="str">
        <f>IFERROR(__xludf.DUMMYFUNCTION("""COMPUTED_VALUE"""),"Equatorial Guinea")</f>
        <v>Equatorial Guinea</v>
      </c>
      <c r="D4857">
        <f>IFERROR(__xludf.DUMMYFUNCTION("""COMPUTED_VALUE"""),1980.0)</f>
        <v>1980</v>
      </c>
      <c r="E4857">
        <f>IFERROR(__xludf.DUMMYFUNCTION("""COMPUTED_VALUE"""),255325.0)</f>
        <v>255325</v>
      </c>
    </row>
    <row r="4858">
      <c r="A4858" t="str">
        <f t="shared" si="1"/>
        <v>gnq#1981</v>
      </c>
      <c r="B4858" t="str">
        <f>IFERROR(__xludf.DUMMYFUNCTION("""COMPUTED_VALUE"""),"gnq")</f>
        <v>gnq</v>
      </c>
      <c r="C4858" t="str">
        <f>IFERROR(__xludf.DUMMYFUNCTION("""COMPUTED_VALUE"""),"Equatorial Guinea")</f>
        <v>Equatorial Guinea</v>
      </c>
      <c r="D4858">
        <f>IFERROR(__xludf.DUMMYFUNCTION("""COMPUTED_VALUE"""),1981.0)</f>
        <v>1981</v>
      </c>
      <c r="E4858">
        <f>IFERROR(__xludf.DUMMYFUNCTION("""COMPUTED_VALUE"""),270063.0)</f>
        <v>270063</v>
      </c>
    </row>
    <row r="4859">
      <c r="A4859" t="str">
        <f t="shared" si="1"/>
        <v>gnq#1982</v>
      </c>
      <c r="B4859" t="str">
        <f>IFERROR(__xludf.DUMMYFUNCTION("""COMPUTED_VALUE"""),"gnq")</f>
        <v>gnq</v>
      </c>
      <c r="C4859" t="str">
        <f>IFERROR(__xludf.DUMMYFUNCTION("""COMPUTED_VALUE"""),"Equatorial Guinea")</f>
        <v>Equatorial Guinea</v>
      </c>
      <c r="D4859">
        <f>IFERROR(__xludf.DUMMYFUNCTION("""COMPUTED_VALUE"""),1982.0)</f>
        <v>1982</v>
      </c>
      <c r="E4859">
        <f>IFERROR(__xludf.DUMMYFUNCTION("""COMPUTED_VALUE"""),290617.0)</f>
        <v>290617</v>
      </c>
    </row>
    <row r="4860">
      <c r="A4860" t="str">
        <f t="shared" si="1"/>
        <v>gnq#1983</v>
      </c>
      <c r="B4860" t="str">
        <f>IFERROR(__xludf.DUMMYFUNCTION("""COMPUTED_VALUE"""),"gnq")</f>
        <v>gnq</v>
      </c>
      <c r="C4860" t="str">
        <f>IFERROR(__xludf.DUMMYFUNCTION("""COMPUTED_VALUE"""),"Equatorial Guinea")</f>
        <v>Equatorial Guinea</v>
      </c>
      <c r="D4860">
        <f>IFERROR(__xludf.DUMMYFUNCTION("""COMPUTED_VALUE"""),1983.0)</f>
        <v>1983</v>
      </c>
      <c r="E4860">
        <f>IFERROR(__xludf.DUMMYFUNCTION("""COMPUTED_VALUE"""),314475.0)</f>
        <v>314475</v>
      </c>
    </row>
    <row r="4861">
      <c r="A4861" t="str">
        <f t="shared" si="1"/>
        <v>gnq#1984</v>
      </c>
      <c r="B4861" t="str">
        <f>IFERROR(__xludf.DUMMYFUNCTION("""COMPUTED_VALUE"""),"gnq")</f>
        <v>gnq</v>
      </c>
      <c r="C4861" t="str">
        <f>IFERROR(__xludf.DUMMYFUNCTION("""COMPUTED_VALUE"""),"Equatorial Guinea")</f>
        <v>Equatorial Guinea</v>
      </c>
      <c r="D4861">
        <f>IFERROR(__xludf.DUMMYFUNCTION("""COMPUTED_VALUE"""),1984.0)</f>
        <v>1984</v>
      </c>
      <c r="E4861">
        <f>IFERROR(__xludf.DUMMYFUNCTION("""COMPUTED_VALUE"""),338086.0)</f>
        <v>338086</v>
      </c>
    </row>
    <row r="4862">
      <c r="A4862" t="str">
        <f t="shared" si="1"/>
        <v>gnq#1985</v>
      </c>
      <c r="B4862" t="str">
        <f>IFERROR(__xludf.DUMMYFUNCTION("""COMPUTED_VALUE"""),"gnq")</f>
        <v>gnq</v>
      </c>
      <c r="C4862" t="str">
        <f>IFERROR(__xludf.DUMMYFUNCTION("""COMPUTED_VALUE"""),"Equatorial Guinea")</f>
        <v>Equatorial Guinea</v>
      </c>
      <c r="D4862">
        <f>IFERROR(__xludf.DUMMYFUNCTION("""COMPUTED_VALUE"""),1985.0)</f>
        <v>1985</v>
      </c>
      <c r="E4862">
        <f>IFERROR(__xludf.DUMMYFUNCTION("""COMPUTED_VALUE"""),358896.0)</f>
        <v>358896</v>
      </c>
    </row>
    <row r="4863">
      <c r="A4863" t="str">
        <f t="shared" si="1"/>
        <v>gnq#1986</v>
      </c>
      <c r="B4863" t="str">
        <f>IFERROR(__xludf.DUMMYFUNCTION("""COMPUTED_VALUE"""),"gnq")</f>
        <v>gnq</v>
      </c>
      <c r="C4863" t="str">
        <f>IFERROR(__xludf.DUMMYFUNCTION("""COMPUTED_VALUE"""),"Equatorial Guinea")</f>
        <v>Equatorial Guinea</v>
      </c>
      <c r="D4863">
        <f>IFERROR(__xludf.DUMMYFUNCTION("""COMPUTED_VALUE"""),1986.0)</f>
        <v>1986</v>
      </c>
      <c r="E4863">
        <f>IFERROR(__xludf.DUMMYFUNCTION("""COMPUTED_VALUE"""),376024.0)</f>
        <v>376024</v>
      </c>
    </row>
    <row r="4864">
      <c r="A4864" t="str">
        <f t="shared" si="1"/>
        <v>gnq#1987</v>
      </c>
      <c r="B4864" t="str">
        <f>IFERROR(__xludf.DUMMYFUNCTION("""COMPUTED_VALUE"""),"gnq")</f>
        <v>gnq</v>
      </c>
      <c r="C4864" t="str">
        <f>IFERROR(__xludf.DUMMYFUNCTION("""COMPUTED_VALUE"""),"Equatorial Guinea")</f>
        <v>Equatorial Guinea</v>
      </c>
      <c r="D4864">
        <f>IFERROR(__xludf.DUMMYFUNCTION("""COMPUTED_VALUE"""),1987.0)</f>
        <v>1987</v>
      </c>
      <c r="E4864">
        <f>IFERROR(__xludf.DUMMYFUNCTION("""COMPUTED_VALUE"""),390173.0)</f>
        <v>390173</v>
      </c>
    </row>
    <row r="4865">
      <c r="A4865" t="str">
        <f t="shared" si="1"/>
        <v>gnq#1988</v>
      </c>
      <c r="B4865" t="str">
        <f>IFERROR(__xludf.DUMMYFUNCTION("""COMPUTED_VALUE"""),"gnq")</f>
        <v>gnq</v>
      </c>
      <c r="C4865" t="str">
        <f>IFERROR(__xludf.DUMMYFUNCTION("""COMPUTED_VALUE"""),"Equatorial Guinea")</f>
        <v>Equatorial Guinea</v>
      </c>
      <c r="D4865">
        <f>IFERROR(__xludf.DUMMYFUNCTION("""COMPUTED_VALUE"""),1988.0)</f>
        <v>1988</v>
      </c>
      <c r="E4865">
        <f>IFERROR(__xludf.DUMMYFUNCTION("""COMPUTED_VALUE"""),402326.0)</f>
        <v>402326</v>
      </c>
    </row>
    <row r="4866">
      <c r="A4866" t="str">
        <f t="shared" si="1"/>
        <v>gnq#1989</v>
      </c>
      <c r="B4866" t="str">
        <f>IFERROR(__xludf.DUMMYFUNCTION("""COMPUTED_VALUE"""),"gnq")</f>
        <v>gnq</v>
      </c>
      <c r="C4866" t="str">
        <f>IFERROR(__xludf.DUMMYFUNCTION("""COMPUTED_VALUE"""),"Equatorial Guinea")</f>
        <v>Equatorial Guinea</v>
      </c>
      <c r="D4866">
        <f>IFERROR(__xludf.DUMMYFUNCTION("""COMPUTED_VALUE"""),1989.0)</f>
        <v>1989</v>
      </c>
      <c r="E4866">
        <f>IFERROR(__xludf.DUMMYFUNCTION("""COMPUTED_VALUE"""),414138.0)</f>
        <v>414138</v>
      </c>
    </row>
    <row r="4867">
      <c r="A4867" t="str">
        <f t="shared" si="1"/>
        <v>gnq#1990</v>
      </c>
      <c r="B4867" t="str">
        <f>IFERROR(__xludf.DUMMYFUNCTION("""COMPUTED_VALUE"""),"gnq")</f>
        <v>gnq</v>
      </c>
      <c r="C4867" t="str">
        <f>IFERROR(__xludf.DUMMYFUNCTION("""COMPUTED_VALUE"""),"Equatorial Guinea")</f>
        <v>Equatorial Guinea</v>
      </c>
      <c r="D4867">
        <f>IFERROR(__xludf.DUMMYFUNCTION("""COMPUTED_VALUE"""),1990.0)</f>
        <v>1990</v>
      </c>
      <c r="E4867">
        <f>IFERROR(__xludf.DUMMYFUNCTION("""COMPUTED_VALUE"""),426846.0)</f>
        <v>426846</v>
      </c>
    </row>
    <row r="4868">
      <c r="A4868" t="str">
        <f t="shared" si="1"/>
        <v>gnq#1991</v>
      </c>
      <c r="B4868" t="str">
        <f>IFERROR(__xludf.DUMMYFUNCTION("""COMPUTED_VALUE"""),"gnq")</f>
        <v>gnq</v>
      </c>
      <c r="C4868" t="str">
        <f>IFERROR(__xludf.DUMMYFUNCTION("""COMPUTED_VALUE"""),"Equatorial Guinea")</f>
        <v>Equatorial Guinea</v>
      </c>
      <c r="D4868">
        <f>IFERROR(__xludf.DUMMYFUNCTION("""COMPUTED_VALUE"""),1991.0)</f>
        <v>1991</v>
      </c>
      <c r="E4868">
        <f>IFERROR(__xludf.DUMMYFUNCTION("""COMPUTED_VALUE"""),440624.0)</f>
        <v>440624</v>
      </c>
    </row>
    <row r="4869">
      <c r="A4869" t="str">
        <f t="shared" si="1"/>
        <v>gnq#1992</v>
      </c>
      <c r="B4869" t="str">
        <f>IFERROR(__xludf.DUMMYFUNCTION("""COMPUTED_VALUE"""),"gnq")</f>
        <v>gnq</v>
      </c>
      <c r="C4869" t="str">
        <f>IFERROR(__xludf.DUMMYFUNCTION("""COMPUTED_VALUE"""),"Equatorial Guinea")</f>
        <v>Equatorial Guinea</v>
      </c>
      <c r="D4869">
        <f>IFERROR(__xludf.DUMMYFUNCTION("""COMPUTED_VALUE"""),1992.0)</f>
        <v>1992</v>
      </c>
      <c r="E4869">
        <f>IFERROR(__xludf.DUMMYFUNCTION("""COMPUTED_VALUE"""),455148.0)</f>
        <v>455148</v>
      </c>
    </row>
    <row r="4870">
      <c r="A4870" t="str">
        <f t="shared" si="1"/>
        <v>gnq#1993</v>
      </c>
      <c r="B4870" t="str">
        <f>IFERROR(__xludf.DUMMYFUNCTION("""COMPUTED_VALUE"""),"gnq")</f>
        <v>gnq</v>
      </c>
      <c r="C4870" t="str">
        <f>IFERROR(__xludf.DUMMYFUNCTION("""COMPUTED_VALUE"""),"Equatorial Guinea")</f>
        <v>Equatorial Guinea</v>
      </c>
      <c r="D4870">
        <f>IFERROR(__xludf.DUMMYFUNCTION("""COMPUTED_VALUE"""),1993.0)</f>
        <v>1993</v>
      </c>
      <c r="E4870">
        <f>IFERROR(__xludf.DUMMYFUNCTION("""COMPUTED_VALUE"""),470610.0)</f>
        <v>470610</v>
      </c>
    </row>
    <row r="4871">
      <c r="A4871" t="str">
        <f t="shared" si="1"/>
        <v>gnq#1994</v>
      </c>
      <c r="B4871" t="str">
        <f>IFERROR(__xludf.DUMMYFUNCTION("""COMPUTED_VALUE"""),"gnq")</f>
        <v>gnq</v>
      </c>
      <c r="C4871" t="str">
        <f>IFERROR(__xludf.DUMMYFUNCTION("""COMPUTED_VALUE"""),"Equatorial Guinea")</f>
        <v>Equatorial Guinea</v>
      </c>
      <c r="D4871">
        <f>IFERROR(__xludf.DUMMYFUNCTION("""COMPUTED_VALUE"""),1994.0)</f>
        <v>1994</v>
      </c>
      <c r="E4871">
        <f>IFERROR(__xludf.DUMMYFUNCTION("""COMPUTED_VALUE"""),487140.0)</f>
        <v>487140</v>
      </c>
    </row>
    <row r="4872">
      <c r="A4872" t="str">
        <f t="shared" si="1"/>
        <v>gnq#1995</v>
      </c>
      <c r="B4872" t="str">
        <f>IFERROR(__xludf.DUMMYFUNCTION("""COMPUTED_VALUE"""),"gnq")</f>
        <v>gnq</v>
      </c>
      <c r="C4872" t="str">
        <f>IFERROR(__xludf.DUMMYFUNCTION("""COMPUTED_VALUE"""),"Equatorial Guinea")</f>
        <v>Equatorial Guinea</v>
      </c>
      <c r="D4872">
        <f>IFERROR(__xludf.DUMMYFUNCTION("""COMPUTED_VALUE"""),1995.0)</f>
        <v>1995</v>
      </c>
      <c r="E4872">
        <f>IFERROR(__xludf.DUMMYFUNCTION("""COMPUTED_VALUE"""),504871.0)</f>
        <v>504871</v>
      </c>
    </row>
    <row r="4873">
      <c r="A4873" t="str">
        <f t="shared" si="1"/>
        <v>gnq#1996</v>
      </c>
      <c r="B4873" t="str">
        <f>IFERROR(__xludf.DUMMYFUNCTION("""COMPUTED_VALUE"""),"gnq")</f>
        <v>gnq</v>
      </c>
      <c r="C4873" t="str">
        <f>IFERROR(__xludf.DUMMYFUNCTION("""COMPUTED_VALUE"""),"Equatorial Guinea")</f>
        <v>Equatorial Guinea</v>
      </c>
      <c r="D4873">
        <f>IFERROR(__xludf.DUMMYFUNCTION("""COMPUTED_VALUE"""),1996.0)</f>
        <v>1996</v>
      </c>
      <c r="E4873">
        <f>IFERROR(__xludf.DUMMYFUNCTION("""COMPUTED_VALUE"""),523999.0)</f>
        <v>523999</v>
      </c>
    </row>
    <row r="4874">
      <c r="A4874" t="str">
        <f t="shared" si="1"/>
        <v>gnq#1997</v>
      </c>
      <c r="B4874" t="str">
        <f>IFERROR(__xludf.DUMMYFUNCTION("""COMPUTED_VALUE"""),"gnq")</f>
        <v>gnq</v>
      </c>
      <c r="C4874" t="str">
        <f>IFERROR(__xludf.DUMMYFUNCTION("""COMPUTED_VALUE"""),"Equatorial Guinea")</f>
        <v>Equatorial Guinea</v>
      </c>
      <c r="D4874">
        <f>IFERROR(__xludf.DUMMYFUNCTION("""COMPUTED_VALUE"""),1997.0)</f>
        <v>1997</v>
      </c>
      <c r="E4874">
        <f>IFERROR(__xludf.DUMMYFUNCTION("""COMPUTED_VALUE"""),544636.0)</f>
        <v>544636</v>
      </c>
    </row>
    <row r="4875">
      <c r="A4875" t="str">
        <f t="shared" si="1"/>
        <v>gnq#1998</v>
      </c>
      <c r="B4875" t="str">
        <f>IFERROR(__xludf.DUMMYFUNCTION("""COMPUTED_VALUE"""),"gnq")</f>
        <v>gnq</v>
      </c>
      <c r="C4875" t="str">
        <f>IFERROR(__xludf.DUMMYFUNCTION("""COMPUTED_VALUE"""),"Equatorial Guinea")</f>
        <v>Equatorial Guinea</v>
      </c>
      <c r="D4875">
        <f>IFERROR(__xludf.DUMMYFUNCTION("""COMPUTED_VALUE"""),1998.0)</f>
        <v>1998</v>
      </c>
      <c r="E4875">
        <f>IFERROR(__xludf.DUMMYFUNCTION("""COMPUTED_VALUE"""),566673.0)</f>
        <v>566673</v>
      </c>
    </row>
    <row r="4876">
      <c r="A4876" t="str">
        <f t="shared" si="1"/>
        <v>gnq#1999</v>
      </c>
      <c r="B4876" t="str">
        <f>IFERROR(__xludf.DUMMYFUNCTION("""COMPUTED_VALUE"""),"gnq")</f>
        <v>gnq</v>
      </c>
      <c r="C4876" t="str">
        <f>IFERROR(__xludf.DUMMYFUNCTION("""COMPUTED_VALUE"""),"Equatorial Guinea")</f>
        <v>Equatorial Guinea</v>
      </c>
      <c r="D4876">
        <f>IFERROR(__xludf.DUMMYFUNCTION("""COMPUTED_VALUE"""),1999.0)</f>
        <v>1999</v>
      </c>
      <c r="E4876">
        <f>IFERROR(__xludf.DUMMYFUNCTION("""COMPUTED_VALUE"""),589938.0)</f>
        <v>589938</v>
      </c>
    </row>
    <row r="4877">
      <c r="A4877" t="str">
        <f t="shared" si="1"/>
        <v>gnq#2000</v>
      </c>
      <c r="B4877" t="str">
        <f>IFERROR(__xludf.DUMMYFUNCTION("""COMPUTED_VALUE"""),"gnq")</f>
        <v>gnq</v>
      </c>
      <c r="C4877" t="str">
        <f>IFERROR(__xludf.DUMMYFUNCTION("""COMPUTED_VALUE"""),"Equatorial Guinea")</f>
        <v>Equatorial Guinea</v>
      </c>
      <c r="D4877">
        <f>IFERROR(__xludf.DUMMYFUNCTION("""COMPUTED_VALUE"""),2000.0)</f>
        <v>2000</v>
      </c>
      <c r="E4877">
        <f>IFERROR(__xludf.DUMMYFUNCTION("""COMPUTED_VALUE"""),614323.0)</f>
        <v>614323</v>
      </c>
    </row>
    <row r="4878">
      <c r="A4878" t="str">
        <f t="shared" si="1"/>
        <v>gnq#2001</v>
      </c>
      <c r="B4878" t="str">
        <f>IFERROR(__xludf.DUMMYFUNCTION("""COMPUTED_VALUE"""),"gnq")</f>
        <v>gnq</v>
      </c>
      <c r="C4878" t="str">
        <f>IFERROR(__xludf.DUMMYFUNCTION("""COMPUTED_VALUE"""),"Equatorial Guinea")</f>
        <v>Equatorial Guinea</v>
      </c>
      <c r="D4878">
        <f>IFERROR(__xludf.DUMMYFUNCTION("""COMPUTED_VALUE"""),2001.0)</f>
        <v>2001</v>
      </c>
      <c r="E4878">
        <f>IFERROR(__xludf.DUMMYFUNCTION("""COMPUTED_VALUE"""),639762.0)</f>
        <v>639762</v>
      </c>
    </row>
    <row r="4879">
      <c r="A4879" t="str">
        <f t="shared" si="1"/>
        <v>gnq#2002</v>
      </c>
      <c r="B4879" t="str">
        <f>IFERROR(__xludf.DUMMYFUNCTION("""COMPUTED_VALUE"""),"gnq")</f>
        <v>gnq</v>
      </c>
      <c r="C4879" t="str">
        <f>IFERROR(__xludf.DUMMYFUNCTION("""COMPUTED_VALUE"""),"Equatorial Guinea")</f>
        <v>Equatorial Guinea</v>
      </c>
      <c r="D4879">
        <f>IFERROR(__xludf.DUMMYFUNCTION("""COMPUTED_VALUE"""),2002.0)</f>
        <v>2002</v>
      </c>
      <c r="E4879">
        <f>IFERROR(__xludf.DUMMYFUNCTION("""COMPUTED_VALUE"""),666407.0)</f>
        <v>666407</v>
      </c>
    </row>
    <row r="4880">
      <c r="A4880" t="str">
        <f t="shared" si="1"/>
        <v>gnq#2003</v>
      </c>
      <c r="B4880" t="str">
        <f>IFERROR(__xludf.DUMMYFUNCTION("""COMPUTED_VALUE"""),"gnq")</f>
        <v>gnq</v>
      </c>
      <c r="C4880" t="str">
        <f>IFERROR(__xludf.DUMMYFUNCTION("""COMPUTED_VALUE"""),"Equatorial Guinea")</f>
        <v>Equatorial Guinea</v>
      </c>
      <c r="D4880">
        <f>IFERROR(__xludf.DUMMYFUNCTION("""COMPUTED_VALUE"""),2003.0)</f>
        <v>2003</v>
      </c>
      <c r="E4880">
        <f>IFERROR(__xludf.DUMMYFUNCTION("""COMPUTED_VALUE"""),694611.0)</f>
        <v>694611</v>
      </c>
    </row>
    <row r="4881">
      <c r="A4881" t="str">
        <f t="shared" si="1"/>
        <v>gnq#2004</v>
      </c>
      <c r="B4881" t="str">
        <f>IFERROR(__xludf.DUMMYFUNCTION("""COMPUTED_VALUE"""),"gnq")</f>
        <v>gnq</v>
      </c>
      <c r="C4881" t="str">
        <f>IFERROR(__xludf.DUMMYFUNCTION("""COMPUTED_VALUE"""),"Equatorial Guinea")</f>
        <v>Equatorial Guinea</v>
      </c>
      <c r="D4881">
        <f>IFERROR(__xludf.DUMMYFUNCTION("""COMPUTED_VALUE"""),2004.0)</f>
        <v>2004</v>
      </c>
      <c r="E4881">
        <f>IFERROR(__xludf.DUMMYFUNCTION("""COMPUTED_VALUE"""),724817.0)</f>
        <v>724817</v>
      </c>
    </row>
    <row r="4882">
      <c r="A4882" t="str">
        <f t="shared" si="1"/>
        <v>gnq#2005</v>
      </c>
      <c r="B4882" t="str">
        <f>IFERROR(__xludf.DUMMYFUNCTION("""COMPUTED_VALUE"""),"gnq")</f>
        <v>gnq</v>
      </c>
      <c r="C4882" t="str">
        <f>IFERROR(__xludf.DUMMYFUNCTION("""COMPUTED_VALUE"""),"Equatorial Guinea")</f>
        <v>Equatorial Guinea</v>
      </c>
      <c r="D4882">
        <f>IFERROR(__xludf.DUMMYFUNCTION("""COMPUTED_VALUE"""),2005.0)</f>
        <v>2005</v>
      </c>
      <c r="E4882">
        <f>IFERROR(__xludf.DUMMYFUNCTION("""COMPUTED_VALUE"""),757317.0)</f>
        <v>757317</v>
      </c>
    </row>
    <row r="4883">
      <c r="A4883" t="str">
        <f t="shared" si="1"/>
        <v>gnq#2006</v>
      </c>
      <c r="B4883" t="str">
        <f>IFERROR(__xludf.DUMMYFUNCTION("""COMPUTED_VALUE"""),"gnq")</f>
        <v>gnq</v>
      </c>
      <c r="C4883" t="str">
        <f>IFERROR(__xludf.DUMMYFUNCTION("""COMPUTED_VALUE"""),"Equatorial Guinea")</f>
        <v>Equatorial Guinea</v>
      </c>
      <c r="D4883">
        <f>IFERROR(__xludf.DUMMYFUNCTION("""COMPUTED_VALUE"""),2006.0)</f>
        <v>2006</v>
      </c>
      <c r="E4883">
        <f>IFERROR(__xludf.DUMMYFUNCTION("""COMPUTED_VALUE"""),792217.0)</f>
        <v>792217</v>
      </c>
    </row>
    <row r="4884">
      <c r="A4884" t="str">
        <f t="shared" si="1"/>
        <v>gnq#2007</v>
      </c>
      <c r="B4884" t="str">
        <f>IFERROR(__xludf.DUMMYFUNCTION("""COMPUTED_VALUE"""),"gnq")</f>
        <v>gnq</v>
      </c>
      <c r="C4884" t="str">
        <f>IFERROR(__xludf.DUMMYFUNCTION("""COMPUTED_VALUE"""),"Equatorial Guinea")</f>
        <v>Equatorial Guinea</v>
      </c>
      <c r="D4884">
        <f>IFERROR(__xludf.DUMMYFUNCTION("""COMPUTED_VALUE"""),2007.0)</f>
        <v>2007</v>
      </c>
      <c r="E4884">
        <f>IFERROR(__xludf.DUMMYFUNCTION("""COMPUTED_VALUE"""),829327.0)</f>
        <v>829327</v>
      </c>
    </row>
    <row r="4885">
      <c r="A4885" t="str">
        <f t="shared" si="1"/>
        <v>gnq#2008</v>
      </c>
      <c r="B4885" t="str">
        <f>IFERROR(__xludf.DUMMYFUNCTION("""COMPUTED_VALUE"""),"gnq")</f>
        <v>gnq</v>
      </c>
      <c r="C4885" t="str">
        <f>IFERROR(__xludf.DUMMYFUNCTION("""COMPUTED_VALUE"""),"Equatorial Guinea")</f>
        <v>Equatorial Guinea</v>
      </c>
      <c r="D4885">
        <f>IFERROR(__xludf.DUMMYFUNCTION("""COMPUTED_VALUE"""),2008.0)</f>
        <v>2008</v>
      </c>
      <c r="E4885">
        <f>IFERROR(__xludf.DUMMYFUNCTION("""COMPUTED_VALUE"""),868418.0)</f>
        <v>868418</v>
      </c>
    </row>
    <row r="4886">
      <c r="A4886" t="str">
        <f t="shared" si="1"/>
        <v>gnq#2009</v>
      </c>
      <c r="B4886" t="str">
        <f>IFERROR(__xludf.DUMMYFUNCTION("""COMPUTED_VALUE"""),"gnq")</f>
        <v>gnq</v>
      </c>
      <c r="C4886" t="str">
        <f>IFERROR(__xludf.DUMMYFUNCTION("""COMPUTED_VALUE"""),"Equatorial Guinea")</f>
        <v>Equatorial Guinea</v>
      </c>
      <c r="D4886">
        <f>IFERROR(__xludf.DUMMYFUNCTION("""COMPUTED_VALUE"""),2009.0)</f>
        <v>2009</v>
      </c>
      <c r="E4886">
        <f>IFERROR(__xludf.DUMMYFUNCTION("""COMPUTED_VALUE"""),909111.0)</f>
        <v>909111</v>
      </c>
    </row>
    <row r="4887">
      <c r="A4887" t="str">
        <f t="shared" si="1"/>
        <v>gnq#2010</v>
      </c>
      <c r="B4887" t="str">
        <f>IFERROR(__xludf.DUMMYFUNCTION("""COMPUTED_VALUE"""),"gnq")</f>
        <v>gnq</v>
      </c>
      <c r="C4887" t="str">
        <f>IFERROR(__xludf.DUMMYFUNCTION("""COMPUTED_VALUE"""),"Equatorial Guinea")</f>
        <v>Equatorial Guinea</v>
      </c>
      <c r="D4887">
        <f>IFERROR(__xludf.DUMMYFUNCTION("""COMPUTED_VALUE"""),2010.0)</f>
        <v>2010</v>
      </c>
      <c r="E4887">
        <f>IFERROR(__xludf.DUMMYFUNCTION("""COMPUTED_VALUE"""),951104.0)</f>
        <v>951104</v>
      </c>
    </row>
    <row r="4888">
      <c r="A4888" t="str">
        <f t="shared" si="1"/>
        <v>gnq#2011</v>
      </c>
      <c r="B4888" t="str">
        <f>IFERROR(__xludf.DUMMYFUNCTION("""COMPUTED_VALUE"""),"gnq")</f>
        <v>gnq</v>
      </c>
      <c r="C4888" t="str">
        <f>IFERROR(__xludf.DUMMYFUNCTION("""COMPUTED_VALUE"""),"Equatorial Guinea")</f>
        <v>Equatorial Guinea</v>
      </c>
      <c r="D4888">
        <f>IFERROR(__xludf.DUMMYFUNCTION("""COMPUTED_VALUE"""),2011.0)</f>
        <v>2011</v>
      </c>
      <c r="E4888">
        <f>IFERROR(__xludf.DUMMYFUNCTION("""COMPUTED_VALUE"""),994290.0)</f>
        <v>994290</v>
      </c>
    </row>
    <row r="4889">
      <c r="A4889" t="str">
        <f t="shared" si="1"/>
        <v>gnq#2012</v>
      </c>
      <c r="B4889" t="str">
        <f>IFERROR(__xludf.DUMMYFUNCTION("""COMPUTED_VALUE"""),"gnq")</f>
        <v>gnq</v>
      </c>
      <c r="C4889" t="str">
        <f>IFERROR(__xludf.DUMMYFUNCTION("""COMPUTED_VALUE"""),"Equatorial Guinea")</f>
        <v>Equatorial Guinea</v>
      </c>
      <c r="D4889">
        <f>IFERROR(__xludf.DUMMYFUNCTION("""COMPUTED_VALUE"""),2012.0)</f>
        <v>2012</v>
      </c>
      <c r="E4889">
        <f>IFERROR(__xludf.DUMMYFUNCTION("""COMPUTED_VALUE"""),1038593.0)</f>
        <v>1038593</v>
      </c>
    </row>
    <row r="4890">
      <c r="A4890" t="str">
        <f t="shared" si="1"/>
        <v>gnq#2013</v>
      </c>
      <c r="B4890" t="str">
        <f>IFERROR(__xludf.DUMMYFUNCTION("""COMPUTED_VALUE"""),"gnq")</f>
        <v>gnq</v>
      </c>
      <c r="C4890" t="str">
        <f>IFERROR(__xludf.DUMMYFUNCTION("""COMPUTED_VALUE"""),"Equatorial Guinea")</f>
        <v>Equatorial Guinea</v>
      </c>
      <c r="D4890">
        <f>IFERROR(__xludf.DUMMYFUNCTION("""COMPUTED_VALUE"""),2013.0)</f>
        <v>2013</v>
      </c>
      <c r="E4890">
        <f>IFERROR(__xludf.DUMMYFUNCTION("""COMPUTED_VALUE"""),1083746.0)</f>
        <v>1083746</v>
      </c>
    </row>
    <row r="4891">
      <c r="A4891" t="str">
        <f t="shared" si="1"/>
        <v>gnq#2014</v>
      </c>
      <c r="B4891" t="str">
        <f>IFERROR(__xludf.DUMMYFUNCTION("""COMPUTED_VALUE"""),"gnq")</f>
        <v>gnq</v>
      </c>
      <c r="C4891" t="str">
        <f>IFERROR(__xludf.DUMMYFUNCTION("""COMPUTED_VALUE"""),"Equatorial Guinea")</f>
        <v>Equatorial Guinea</v>
      </c>
      <c r="D4891">
        <f>IFERROR(__xludf.DUMMYFUNCTION("""COMPUTED_VALUE"""),2014.0)</f>
        <v>2014</v>
      </c>
      <c r="E4891">
        <f>IFERROR(__xludf.DUMMYFUNCTION("""COMPUTED_VALUE"""),1129424.0)</f>
        <v>1129424</v>
      </c>
    </row>
    <row r="4892">
      <c r="A4892" t="str">
        <f t="shared" si="1"/>
        <v>gnq#2015</v>
      </c>
      <c r="B4892" t="str">
        <f>IFERROR(__xludf.DUMMYFUNCTION("""COMPUTED_VALUE"""),"gnq")</f>
        <v>gnq</v>
      </c>
      <c r="C4892" t="str">
        <f>IFERROR(__xludf.DUMMYFUNCTION("""COMPUTED_VALUE"""),"Equatorial Guinea")</f>
        <v>Equatorial Guinea</v>
      </c>
      <c r="D4892">
        <f>IFERROR(__xludf.DUMMYFUNCTION("""COMPUTED_VALUE"""),2015.0)</f>
        <v>2015</v>
      </c>
      <c r="E4892">
        <f>IFERROR(__xludf.DUMMYFUNCTION("""COMPUTED_VALUE"""),1175389.0)</f>
        <v>1175389</v>
      </c>
    </row>
    <row r="4893">
      <c r="A4893" t="str">
        <f t="shared" si="1"/>
        <v>gnq#2016</v>
      </c>
      <c r="B4893" t="str">
        <f>IFERROR(__xludf.DUMMYFUNCTION("""COMPUTED_VALUE"""),"gnq")</f>
        <v>gnq</v>
      </c>
      <c r="C4893" t="str">
        <f>IFERROR(__xludf.DUMMYFUNCTION("""COMPUTED_VALUE"""),"Equatorial Guinea")</f>
        <v>Equatorial Guinea</v>
      </c>
      <c r="D4893">
        <f>IFERROR(__xludf.DUMMYFUNCTION("""COMPUTED_VALUE"""),2016.0)</f>
        <v>2016</v>
      </c>
      <c r="E4893">
        <f>IFERROR(__xludf.DUMMYFUNCTION("""COMPUTED_VALUE"""),1221490.0)</f>
        <v>1221490</v>
      </c>
    </row>
    <row r="4894">
      <c r="A4894" t="str">
        <f t="shared" si="1"/>
        <v>gnq#2017</v>
      </c>
      <c r="B4894" t="str">
        <f>IFERROR(__xludf.DUMMYFUNCTION("""COMPUTED_VALUE"""),"gnq")</f>
        <v>gnq</v>
      </c>
      <c r="C4894" t="str">
        <f>IFERROR(__xludf.DUMMYFUNCTION("""COMPUTED_VALUE"""),"Equatorial Guinea")</f>
        <v>Equatorial Guinea</v>
      </c>
      <c r="D4894">
        <f>IFERROR(__xludf.DUMMYFUNCTION("""COMPUTED_VALUE"""),2017.0)</f>
        <v>2017</v>
      </c>
      <c r="E4894">
        <f>IFERROR(__xludf.DUMMYFUNCTION("""COMPUTED_VALUE"""),1267689.0)</f>
        <v>1267689</v>
      </c>
    </row>
    <row r="4895">
      <c r="A4895" t="str">
        <f t="shared" si="1"/>
        <v>gnq#2018</v>
      </c>
      <c r="B4895" t="str">
        <f>IFERROR(__xludf.DUMMYFUNCTION("""COMPUTED_VALUE"""),"gnq")</f>
        <v>gnq</v>
      </c>
      <c r="C4895" t="str">
        <f>IFERROR(__xludf.DUMMYFUNCTION("""COMPUTED_VALUE"""),"Equatorial Guinea")</f>
        <v>Equatorial Guinea</v>
      </c>
      <c r="D4895">
        <f>IFERROR(__xludf.DUMMYFUNCTION("""COMPUTED_VALUE"""),2018.0)</f>
        <v>2018</v>
      </c>
      <c r="E4895">
        <f>IFERROR(__xludf.DUMMYFUNCTION("""COMPUTED_VALUE"""),1313894.0)</f>
        <v>1313894</v>
      </c>
    </row>
    <row r="4896">
      <c r="A4896" t="str">
        <f t="shared" si="1"/>
        <v>gnq#2019</v>
      </c>
      <c r="B4896" t="str">
        <f>IFERROR(__xludf.DUMMYFUNCTION("""COMPUTED_VALUE"""),"gnq")</f>
        <v>gnq</v>
      </c>
      <c r="C4896" t="str">
        <f>IFERROR(__xludf.DUMMYFUNCTION("""COMPUTED_VALUE"""),"Equatorial Guinea")</f>
        <v>Equatorial Guinea</v>
      </c>
      <c r="D4896">
        <f>IFERROR(__xludf.DUMMYFUNCTION("""COMPUTED_VALUE"""),2019.0)</f>
        <v>2019</v>
      </c>
      <c r="E4896">
        <f>IFERROR(__xludf.DUMMYFUNCTION("""COMPUTED_VALUE"""),1360104.0)</f>
        <v>1360104</v>
      </c>
    </row>
    <row r="4897">
      <c r="A4897" t="str">
        <f t="shared" si="1"/>
        <v>gnq#2020</v>
      </c>
      <c r="B4897" t="str">
        <f>IFERROR(__xludf.DUMMYFUNCTION("""COMPUTED_VALUE"""),"gnq")</f>
        <v>gnq</v>
      </c>
      <c r="C4897" t="str">
        <f>IFERROR(__xludf.DUMMYFUNCTION("""COMPUTED_VALUE"""),"Equatorial Guinea")</f>
        <v>Equatorial Guinea</v>
      </c>
      <c r="D4897">
        <f>IFERROR(__xludf.DUMMYFUNCTION("""COMPUTED_VALUE"""),2020.0)</f>
        <v>2020</v>
      </c>
      <c r="E4897">
        <f>IFERROR(__xludf.DUMMYFUNCTION("""COMPUTED_VALUE"""),1406280.0)</f>
        <v>1406280</v>
      </c>
    </row>
    <row r="4898">
      <c r="A4898" t="str">
        <f t="shared" si="1"/>
        <v>gnq#2021</v>
      </c>
      <c r="B4898" t="str">
        <f>IFERROR(__xludf.DUMMYFUNCTION("""COMPUTED_VALUE"""),"gnq")</f>
        <v>gnq</v>
      </c>
      <c r="C4898" t="str">
        <f>IFERROR(__xludf.DUMMYFUNCTION("""COMPUTED_VALUE"""),"Equatorial Guinea")</f>
        <v>Equatorial Guinea</v>
      </c>
      <c r="D4898">
        <f>IFERROR(__xludf.DUMMYFUNCTION("""COMPUTED_VALUE"""),2021.0)</f>
        <v>2021</v>
      </c>
      <c r="E4898">
        <f>IFERROR(__xludf.DUMMYFUNCTION("""COMPUTED_VALUE"""),1452350.0)</f>
        <v>1452350</v>
      </c>
    </row>
    <row r="4899">
      <c r="A4899" t="str">
        <f t="shared" si="1"/>
        <v>gnq#2022</v>
      </c>
      <c r="B4899" t="str">
        <f>IFERROR(__xludf.DUMMYFUNCTION("""COMPUTED_VALUE"""),"gnq")</f>
        <v>gnq</v>
      </c>
      <c r="C4899" t="str">
        <f>IFERROR(__xludf.DUMMYFUNCTION("""COMPUTED_VALUE"""),"Equatorial Guinea")</f>
        <v>Equatorial Guinea</v>
      </c>
      <c r="D4899">
        <f>IFERROR(__xludf.DUMMYFUNCTION("""COMPUTED_VALUE"""),2022.0)</f>
        <v>2022</v>
      </c>
      <c r="E4899">
        <f>IFERROR(__xludf.DUMMYFUNCTION("""COMPUTED_VALUE"""),1498287.0)</f>
        <v>1498287</v>
      </c>
    </row>
    <row r="4900">
      <c r="A4900" t="str">
        <f t="shared" si="1"/>
        <v>gnq#2023</v>
      </c>
      <c r="B4900" t="str">
        <f>IFERROR(__xludf.DUMMYFUNCTION("""COMPUTED_VALUE"""),"gnq")</f>
        <v>gnq</v>
      </c>
      <c r="C4900" t="str">
        <f>IFERROR(__xludf.DUMMYFUNCTION("""COMPUTED_VALUE"""),"Equatorial Guinea")</f>
        <v>Equatorial Guinea</v>
      </c>
      <c r="D4900">
        <f>IFERROR(__xludf.DUMMYFUNCTION("""COMPUTED_VALUE"""),2023.0)</f>
        <v>2023</v>
      </c>
      <c r="E4900">
        <f>IFERROR(__xludf.DUMMYFUNCTION("""COMPUTED_VALUE"""),1544203.0)</f>
        <v>1544203</v>
      </c>
    </row>
    <row r="4901">
      <c r="A4901" t="str">
        <f t="shared" si="1"/>
        <v>gnq#2024</v>
      </c>
      <c r="B4901" t="str">
        <f>IFERROR(__xludf.DUMMYFUNCTION("""COMPUTED_VALUE"""),"gnq")</f>
        <v>gnq</v>
      </c>
      <c r="C4901" t="str">
        <f>IFERROR(__xludf.DUMMYFUNCTION("""COMPUTED_VALUE"""),"Equatorial Guinea")</f>
        <v>Equatorial Guinea</v>
      </c>
      <c r="D4901">
        <f>IFERROR(__xludf.DUMMYFUNCTION("""COMPUTED_VALUE"""),2024.0)</f>
        <v>2024</v>
      </c>
      <c r="E4901">
        <f>IFERROR(__xludf.DUMMYFUNCTION("""COMPUTED_VALUE"""),1590279.0)</f>
        <v>1590279</v>
      </c>
    </row>
    <row r="4902">
      <c r="A4902" t="str">
        <f t="shared" si="1"/>
        <v>gnq#2025</v>
      </c>
      <c r="B4902" t="str">
        <f>IFERROR(__xludf.DUMMYFUNCTION("""COMPUTED_VALUE"""),"gnq")</f>
        <v>gnq</v>
      </c>
      <c r="C4902" t="str">
        <f>IFERROR(__xludf.DUMMYFUNCTION("""COMPUTED_VALUE"""),"Equatorial Guinea")</f>
        <v>Equatorial Guinea</v>
      </c>
      <c r="D4902">
        <f>IFERROR(__xludf.DUMMYFUNCTION("""COMPUTED_VALUE"""),2025.0)</f>
        <v>2025</v>
      </c>
      <c r="E4902">
        <f>IFERROR(__xludf.DUMMYFUNCTION("""COMPUTED_VALUE"""),1636622.0)</f>
        <v>1636622</v>
      </c>
    </row>
    <row r="4903">
      <c r="A4903" t="str">
        <f t="shared" si="1"/>
        <v>gnq#2026</v>
      </c>
      <c r="B4903" t="str">
        <f>IFERROR(__xludf.DUMMYFUNCTION("""COMPUTED_VALUE"""),"gnq")</f>
        <v>gnq</v>
      </c>
      <c r="C4903" t="str">
        <f>IFERROR(__xludf.DUMMYFUNCTION("""COMPUTED_VALUE"""),"Equatorial Guinea")</f>
        <v>Equatorial Guinea</v>
      </c>
      <c r="D4903">
        <f>IFERROR(__xludf.DUMMYFUNCTION("""COMPUTED_VALUE"""),2026.0)</f>
        <v>2026</v>
      </c>
      <c r="E4903">
        <f>IFERROR(__xludf.DUMMYFUNCTION("""COMPUTED_VALUE"""),1683298.0)</f>
        <v>1683298</v>
      </c>
    </row>
    <row r="4904">
      <c r="A4904" t="str">
        <f t="shared" si="1"/>
        <v>gnq#2027</v>
      </c>
      <c r="B4904" t="str">
        <f>IFERROR(__xludf.DUMMYFUNCTION("""COMPUTED_VALUE"""),"gnq")</f>
        <v>gnq</v>
      </c>
      <c r="C4904" t="str">
        <f>IFERROR(__xludf.DUMMYFUNCTION("""COMPUTED_VALUE"""),"Equatorial Guinea")</f>
        <v>Equatorial Guinea</v>
      </c>
      <c r="D4904">
        <f>IFERROR(__xludf.DUMMYFUNCTION("""COMPUTED_VALUE"""),2027.0)</f>
        <v>2027</v>
      </c>
      <c r="E4904">
        <f>IFERROR(__xludf.DUMMYFUNCTION("""COMPUTED_VALUE"""),1730260.0)</f>
        <v>1730260</v>
      </c>
    </row>
    <row r="4905">
      <c r="A4905" t="str">
        <f t="shared" si="1"/>
        <v>gnq#2028</v>
      </c>
      <c r="B4905" t="str">
        <f>IFERROR(__xludf.DUMMYFUNCTION("""COMPUTED_VALUE"""),"gnq")</f>
        <v>gnq</v>
      </c>
      <c r="C4905" t="str">
        <f>IFERROR(__xludf.DUMMYFUNCTION("""COMPUTED_VALUE"""),"Equatorial Guinea")</f>
        <v>Equatorial Guinea</v>
      </c>
      <c r="D4905">
        <f>IFERROR(__xludf.DUMMYFUNCTION("""COMPUTED_VALUE"""),2028.0)</f>
        <v>2028</v>
      </c>
      <c r="E4905">
        <f>IFERROR(__xludf.DUMMYFUNCTION("""COMPUTED_VALUE"""),1777358.0)</f>
        <v>1777358</v>
      </c>
    </row>
    <row r="4906">
      <c r="A4906" t="str">
        <f t="shared" si="1"/>
        <v>gnq#2029</v>
      </c>
      <c r="B4906" t="str">
        <f>IFERROR(__xludf.DUMMYFUNCTION("""COMPUTED_VALUE"""),"gnq")</f>
        <v>gnq</v>
      </c>
      <c r="C4906" t="str">
        <f>IFERROR(__xludf.DUMMYFUNCTION("""COMPUTED_VALUE"""),"Equatorial Guinea")</f>
        <v>Equatorial Guinea</v>
      </c>
      <c r="D4906">
        <f>IFERROR(__xludf.DUMMYFUNCTION("""COMPUTED_VALUE"""),2029.0)</f>
        <v>2029</v>
      </c>
      <c r="E4906">
        <f>IFERROR(__xludf.DUMMYFUNCTION("""COMPUTED_VALUE"""),1824393.0)</f>
        <v>1824393</v>
      </c>
    </row>
    <row r="4907">
      <c r="A4907" t="str">
        <f t="shared" si="1"/>
        <v>gnq#2030</v>
      </c>
      <c r="B4907" t="str">
        <f>IFERROR(__xludf.DUMMYFUNCTION("""COMPUTED_VALUE"""),"gnq")</f>
        <v>gnq</v>
      </c>
      <c r="C4907" t="str">
        <f>IFERROR(__xludf.DUMMYFUNCTION("""COMPUTED_VALUE"""),"Equatorial Guinea")</f>
        <v>Equatorial Guinea</v>
      </c>
      <c r="D4907">
        <f>IFERROR(__xludf.DUMMYFUNCTION("""COMPUTED_VALUE"""),2030.0)</f>
        <v>2030</v>
      </c>
      <c r="E4907">
        <f>IFERROR(__xludf.DUMMYFUNCTION("""COMPUTED_VALUE"""),1871220.0)</f>
        <v>1871220</v>
      </c>
    </row>
    <row r="4908">
      <c r="A4908" t="str">
        <f t="shared" si="1"/>
        <v>gnq#2031</v>
      </c>
      <c r="B4908" t="str">
        <f>IFERROR(__xludf.DUMMYFUNCTION("""COMPUTED_VALUE"""),"gnq")</f>
        <v>gnq</v>
      </c>
      <c r="C4908" t="str">
        <f>IFERROR(__xludf.DUMMYFUNCTION("""COMPUTED_VALUE"""),"Equatorial Guinea")</f>
        <v>Equatorial Guinea</v>
      </c>
      <c r="D4908">
        <f>IFERROR(__xludf.DUMMYFUNCTION("""COMPUTED_VALUE"""),2031.0)</f>
        <v>2031</v>
      </c>
      <c r="E4908">
        <f>IFERROR(__xludf.DUMMYFUNCTION("""COMPUTED_VALUE"""),1917787.0)</f>
        <v>1917787</v>
      </c>
    </row>
    <row r="4909">
      <c r="A4909" t="str">
        <f t="shared" si="1"/>
        <v>gnq#2032</v>
      </c>
      <c r="B4909" t="str">
        <f>IFERROR(__xludf.DUMMYFUNCTION("""COMPUTED_VALUE"""),"gnq")</f>
        <v>gnq</v>
      </c>
      <c r="C4909" t="str">
        <f>IFERROR(__xludf.DUMMYFUNCTION("""COMPUTED_VALUE"""),"Equatorial Guinea")</f>
        <v>Equatorial Guinea</v>
      </c>
      <c r="D4909">
        <f>IFERROR(__xludf.DUMMYFUNCTION("""COMPUTED_VALUE"""),2032.0)</f>
        <v>2032</v>
      </c>
      <c r="E4909">
        <f>IFERROR(__xludf.DUMMYFUNCTION("""COMPUTED_VALUE"""),1964178.0)</f>
        <v>1964178</v>
      </c>
    </row>
    <row r="4910">
      <c r="A4910" t="str">
        <f t="shared" si="1"/>
        <v>gnq#2033</v>
      </c>
      <c r="B4910" t="str">
        <f>IFERROR(__xludf.DUMMYFUNCTION("""COMPUTED_VALUE"""),"gnq")</f>
        <v>gnq</v>
      </c>
      <c r="C4910" t="str">
        <f>IFERROR(__xludf.DUMMYFUNCTION("""COMPUTED_VALUE"""),"Equatorial Guinea")</f>
        <v>Equatorial Guinea</v>
      </c>
      <c r="D4910">
        <f>IFERROR(__xludf.DUMMYFUNCTION("""COMPUTED_VALUE"""),2033.0)</f>
        <v>2033</v>
      </c>
      <c r="E4910">
        <f>IFERROR(__xludf.DUMMYFUNCTION("""COMPUTED_VALUE"""),2010610.0)</f>
        <v>2010610</v>
      </c>
    </row>
    <row r="4911">
      <c r="A4911" t="str">
        <f t="shared" si="1"/>
        <v>gnq#2034</v>
      </c>
      <c r="B4911" t="str">
        <f>IFERROR(__xludf.DUMMYFUNCTION("""COMPUTED_VALUE"""),"gnq")</f>
        <v>gnq</v>
      </c>
      <c r="C4911" t="str">
        <f>IFERROR(__xludf.DUMMYFUNCTION("""COMPUTED_VALUE"""),"Equatorial Guinea")</f>
        <v>Equatorial Guinea</v>
      </c>
      <c r="D4911">
        <f>IFERROR(__xludf.DUMMYFUNCTION("""COMPUTED_VALUE"""),2034.0)</f>
        <v>2034</v>
      </c>
      <c r="E4911">
        <f>IFERROR(__xludf.DUMMYFUNCTION("""COMPUTED_VALUE"""),2057392.0)</f>
        <v>2057392</v>
      </c>
    </row>
    <row r="4912">
      <c r="A4912" t="str">
        <f t="shared" si="1"/>
        <v>gnq#2035</v>
      </c>
      <c r="B4912" t="str">
        <f>IFERROR(__xludf.DUMMYFUNCTION("""COMPUTED_VALUE"""),"gnq")</f>
        <v>gnq</v>
      </c>
      <c r="C4912" t="str">
        <f>IFERROR(__xludf.DUMMYFUNCTION("""COMPUTED_VALUE"""),"Equatorial Guinea")</f>
        <v>Equatorial Guinea</v>
      </c>
      <c r="D4912">
        <f>IFERROR(__xludf.DUMMYFUNCTION("""COMPUTED_VALUE"""),2035.0)</f>
        <v>2035</v>
      </c>
      <c r="E4912">
        <f>IFERROR(__xludf.DUMMYFUNCTION("""COMPUTED_VALUE"""),2104728.0)</f>
        <v>2104728</v>
      </c>
    </row>
    <row r="4913">
      <c r="A4913" t="str">
        <f t="shared" si="1"/>
        <v>gnq#2036</v>
      </c>
      <c r="B4913" t="str">
        <f>IFERROR(__xludf.DUMMYFUNCTION("""COMPUTED_VALUE"""),"gnq")</f>
        <v>gnq</v>
      </c>
      <c r="C4913" t="str">
        <f>IFERROR(__xludf.DUMMYFUNCTION("""COMPUTED_VALUE"""),"Equatorial Guinea")</f>
        <v>Equatorial Guinea</v>
      </c>
      <c r="D4913">
        <f>IFERROR(__xludf.DUMMYFUNCTION("""COMPUTED_VALUE"""),2036.0)</f>
        <v>2036</v>
      </c>
      <c r="E4913">
        <f>IFERROR(__xludf.DUMMYFUNCTION("""COMPUTED_VALUE"""),2152689.0)</f>
        <v>2152689</v>
      </c>
    </row>
    <row r="4914">
      <c r="A4914" t="str">
        <f t="shared" si="1"/>
        <v>gnq#2037</v>
      </c>
      <c r="B4914" t="str">
        <f>IFERROR(__xludf.DUMMYFUNCTION("""COMPUTED_VALUE"""),"gnq")</f>
        <v>gnq</v>
      </c>
      <c r="C4914" t="str">
        <f>IFERROR(__xludf.DUMMYFUNCTION("""COMPUTED_VALUE"""),"Equatorial Guinea")</f>
        <v>Equatorial Guinea</v>
      </c>
      <c r="D4914">
        <f>IFERROR(__xludf.DUMMYFUNCTION("""COMPUTED_VALUE"""),2037.0)</f>
        <v>2037</v>
      </c>
      <c r="E4914">
        <f>IFERROR(__xludf.DUMMYFUNCTION("""COMPUTED_VALUE"""),2201208.0)</f>
        <v>2201208</v>
      </c>
    </row>
    <row r="4915">
      <c r="A4915" t="str">
        <f t="shared" si="1"/>
        <v>gnq#2038</v>
      </c>
      <c r="B4915" t="str">
        <f>IFERROR(__xludf.DUMMYFUNCTION("""COMPUTED_VALUE"""),"gnq")</f>
        <v>gnq</v>
      </c>
      <c r="C4915" t="str">
        <f>IFERROR(__xludf.DUMMYFUNCTION("""COMPUTED_VALUE"""),"Equatorial Guinea")</f>
        <v>Equatorial Guinea</v>
      </c>
      <c r="D4915">
        <f>IFERROR(__xludf.DUMMYFUNCTION("""COMPUTED_VALUE"""),2038.0)</f>
        <v>2038</v>
      </c>
      <c r="E4915">
        <f>IFERROR(__xludf.DUMMYFUNCTION("""COMPUTED_VALUE"""),2250162.0)</f>
        <v>2250162</v>
      </c>
    </row>
    <row r="4916">
      <c r="A4916" t="str">
        <f t="shared" si="1"/>
        <v>gnq#2039</v>
      </c>
      <c r="B4916" t="str">
        <f>IFERROR(__xludf.DUMMYFUNCTION("""COMPUTED_VALUE"""),"gnq")</f>
        <v>gnq</v>
      </c>
      <c r="C4916" t="str">
        <f>IFERROR(__xludf.DUMMYFUNCTION("""COMPUTED_VALUE"""),"Equatorial Guinea")</f>
        <v>Equatorial Guinea</v>
      </c>
      <c r="D4916">
        <f>IFERROR(__xludf.DUMMYFUNCTION("""COMPUTED_VALUE"""),2039.0)</f>
        <v>2039</v>
      </c>
      <c r="E4916">
        <f>IFERROR(__xludf.DUMMYFUNCTION("""COMPUTED_VALUE"""),2299375.0)</f>
        <v>2299375</v>
      </c>
    </row>
    <row r="4917">
      <c r="A4917" t="str">
        <f t="shared" si="1"/>
        <v>gnq#2040</v>
      </c>
      <c r="B4917" t="str">
        <f>IFERROR(__xludf.DUMMYFUNCTION("""COMPUTED_VALUE"""),"gnq")</f>
        <v>gnq</v>
      </c>
      <c r="C4917" t="str">
        <f>IFERROR(__xludf.DUMMYFUNCTION("""COMPUTED_VALUE"""),"Equatorial Guinea")</f>
        <v>Equatorial Guinea</v>
      </c>
      <c r="D4917">
        <f>IFERROR(__xludf.DUMMYFUNCTION("""COMPUTED_VALUE"""),2040.0)</f>
        <v>2040</v>
      </c>
      <c r="E4917">
        <f>IFERROR(__xludf.DUMMYFUNCTION("""COMPUTED_VALUE"""),2348714.0)</f>
        <v>2348714</v>
      </c>
    </row>
    <row r="4918">
      <c r="A4918" t="str">
        <f t="shared" si="1"/>
        <v>eri#1950</v>
      </c>
      <c r="B4918" t="str">
        <f>IFERROR(__xludf.DUMMYFUNCTION("""COMPUTED_VALUE"""),"eri")</f>
        <v>eri</v>
      </c>
      <c r="C4918" t="str">
        <f>IFERROR(__xludf.DUMMYFUNCTION("""COMPUTED_VALUE"""),"Eritrea")</f>
        <v>Eritrea</v>
      </c>
      <c r="D4918">
        <f>IFERROR(__xludf.DUMMYFUNCTION("""COMPUTED_VALUE"""),1950.0)</f>
        <v>1950</v>
      </c>
      <c r="E4918">
        <f>IFERROR(__xludf.DUMMYFUNCTION("""COMPUTED_VALUE"""),1142148.0)</f>
        <v>1142148</v>
      </c>
    </row>
    <row r="4919">
      <c r="A4919" t="str">
        <f t="shared" si="1"/>
        <v>eri#1951</v>
      </c>
      <c r="B4919" t="str">
        <f>IFERROR(__xludf.DUMMYFUNCTION("""COMPUTED_VALUE"""),"eri")</f>
        <v>eri</v>
      </c>
      <c r="C4919" t="str">
        <f>IFERROR(__xludf.DUMMYFUNCTION("""COMPUTED_VALUE"""),"Eritrea")</f>
        <v>Eritrea</v>
      </c>
      <c r="D4919">
        <f>IFERROR(__xludf.DUMMYFUNCTION("""COMPUTED_VALUE"""),1951.0)</f>
        <v>1951</v>
      </c>
      <c r="E4919">
        <f>IFERROR(__xludf.DUMMYFUNCTION("""COMPUTED_VALUE"""),1159798.0)</f>
        <v>1159798</v>
      </c>
    </row>
    <row r="4920">
      <c r="A4920" t="str">
        <f t="shared" si="1"/>
        <v>eri#1952</v>
      </c>
      <c r="B4920" t="str">
        <f>IFERROR(__xludf.DUMMYFUNCTION("""COMPUTED_VALUE"""),"eri")</f>
        <v>eri</v>
      </c>
      <c r="C4920" t="str">
        <f>IFERROR(__xludf.DUMMYFUNCTION("""COMPUTED_VALUE"""),"Eritrea")</f>
        <v>Eritrea</v>
      </c>
      <c r="D4920">
        <f>IFERROR(__xludf.DUMMYFUNCTION("""COMPUTED_VALUE"""),1952.0)</f>
        <v>1952</v>
      </c>
      <c r="E4920">
        <f>IFERROR(__xludf.DUMMYFUNCTION("""COMPUTED_VALUE"""),1179537.0)</f>
        <v>1179537</v>
      </c>
    </row>
    <row r="4921">
      <c r="A4921" t="str">
        <f t="shared" si="1"/>
        <v>eri#1953</v>
      </c>
      <c r="B4921" t="str">
        <f>IFERROR(__xludf.DUMMYFUNCTION("""COMPUTED_VALUE"""),"eri")</f>
        <v>eri</v>
      </c>
      <c r="C4921" t="str">
        <f>IFERROR(__xludf.DUMMYFUNCTION("""COMPUTED_VALUE"""),"Eritrea")</f>
        <v>Eritrea</v>
      </c>
      <c r="D4921">
        <f>IFERROR(__xludf.DUMMYFUNCTION("""COMPUTED_VALUE"""),1953.0)</f>
        <v>1953</v>
      </c>
      <c r="E4921">
        <f>IFERROR(__xludf.DUMMYFUNCTION("""COMPUTED_VALUE"""),1201124.0)</f>
        <v>1201124</v>
      </c>
    </row>
    <row r="4922">
      <c r="A4922" t="str">
        <f t="shared" si="1"/>
        <v>eri#1954</v>
      </c>
      <c r="B4922" t="str">
        <f>IFERROR(__xludf.DUMMYFUNCTION("""COMPUTED_VALUE"""),"eri")</f>
        <v>eri</v>
      </c>
      <c r="C4922" t="str">
        <f>IFERROR(__xludf.DUMMYFUNCTION("""COMPUTED_VALUE"""),"Eritrea")</f>
        <v>Eritrea</v>
      </c>
      <c r="D4922">
        <f>IFERROR(__xludf.DUMMYFUNCTION("""COMPUTED_VALUE"""),1954.0)</f>
        <v>1954</v>
      </c>
      <c r="E4922">
        <f>IFERROR(__xludf.DUMMYFUNCTION("""COMPUTED_VALUE"""),1224384.0)</f>
        <v>1224384</v>
      </c>
    </row>
    <row r="4923">
      <c r="A4923" t="str">
        <f t="shared" si="1"/>
        <v>eri#1955</v>
      </c>
      <c r="B4923" t="str">
        <f>IFERROR(__xludf.DUMMYFUNCTION("""COMPUTED_VALUE"""),"eri")</f>
        <v>eri</v>
      </c>
      <c r="C4923" t="str">
        <f>IFERROR(__xludf.DUMMYFUNCTION("""COMPUTED_VALUE"""),"Eritrea")</f>
        <v>Eritrea</v>
      </c>
      <c r="D4923">
        <f>IFERROR(__xludf.DUMMYFUNCTION("""COMPUTED_VALUE"""),1955.0)</f>
        <v>1955</v>
      </c>
      <c r="E4923">
        <f>IFERROR(__xludf.DUMMYFUNCTION("""COMPUTED_VALUE"""),1249193.0)</f>
        <v>1249193</v>
      </c>
    </row>
    <row r="4924">
      <c r="A4924" t="str">
        <f t="shared" si="1"/>
        <v>eri#1956</v>
      </c>
      <c r="B4924" t="str">
        <f>IFERROR(__xludf.DUMMYFUNCTION("""COMPUTED_VALUE"""),"eri")</f>
        <v>eri</v>
      </c>
      <c r="C4924" t="str">
        <f>IFERROR(__xludf.DUMMYFUNCTION("""COMPUTED_VALUE"""),"Eritrea")</f>
        <v>Eritrea</v>
      </c>
      <c r="D4924">
        <f>IFERROR(__xludf.DUMMYFUNCTION("""COMPUTED_VALUE"""),1956.0)</f>
        <v>1956</v>
      </c>
      <c r="E4924">
        <f>IFERROR(__xludf.DUMMYFUNCTION("""COMPUTED_VALUE"""),1275534.0)</f>
        <v>1275534</v>
      </c>
    </row>
    <row r="4925">
      <c r="A4925" t="str">
        <f t="shared" si="1"/>
        <v>eri#1957</v>
      </c>
      <c r="B4925" t="str">
        <f>IFERROR(__xludf.DUMMYFUNCTION("""COMPUTED_VALUE"""),"eri")</f>
        <v>eri</v>
      </c>
      <c r="C4925" t="str">
        <f>IFERROR(__xludf.DUMMYFUNCTION("""COMPUTED_VALUE"""),"Eritrea")</f>
        <v>Eritrea</v>
      </c>
      <c r="D4925">
        <f>IFERROR(__xludf.DUMMYFUNCTION("""COMPUTED_VALUE"""),1957.0)</f>
        <v>1957</v>
      </c>
      <c r="E4925">
        <f>IFERROR(__xludf.DUMMYFUNCTION("""COMPUTED_VALUE"""),1303420.0)</f>
        <v>1303420</v>
      </c>
    </row>
    <row r="4926">
      <c r="A4926" t="str">
        <f t="shared" si="1"/>
        <v>eri#1958</v>
      </c>
      <c r="B4926" t="str">
        <f>IFERROR(__xludf.DUMMYFUNCTION("""COMPUTED_VALUE"""),"eri")</f>
        <v>eri</v>
      </c>
      <c r="C4926" t="str">
        <f>IFERROR(__xludf.DUMMYFUNCTION("""COMPUTED_VALUE"""),"Eritrea")</f>
        <v>Eritrea</v>
      </c>
      <c r="D4926">
        <f>IFERROR(__xludf.DUMMYFUNCTION("""COMPUTED_VALUE"""),1958.0)</f>
        <v>1958</v>
      </c>
      <c r="E4926">
        <f>IFERROR(__xludf.DUMMYFUNCTION("""COMPUTED_VALUE"""),1332953.0)</f>
        <v>1332953</v>
      </c>
    </row>
    <row r="4927">
      <c r="A4927" t="str">
        <f t="shared" si="1"/>
        <v>eri#1959</v>
      </c>
      <c r="B4927" t="str">
        <f>IFERROR(__xludf.DUMMYFUNCTION("""COMPUTED_VALUE"""),"eri")</f>
        <v>eri</v>
      </c>
      <c r="C4927" t="str">
        <f>IFERROR(__xludf.DUMMYFUNCTION("""COMPUTED_VALUE"""),"Eritrea")</f>
        <v>Eritrea</v>
      </c>
      <c r="D4927">
        <f>IFERROR(__xludf.DUMMYFUNCTION("""COMPUTED_VALUE"""),1959.0)</f>
        <v>1959</v>
      </c>
      <c r="E4927">
        <f>IFERROR(__xludf.DUMMYFUNCTION("""COMPUTED_VALUE"""),1364276.0)</f>
        <v>1364276</v>
      </c>
    </row>
    <row r="4928">
      <c r="A4928" t="str">
        <f t="shared" si="1"/>
        <v>eri#1960</v>
      </c>
      <c r="B4928" t="str">
        <f>IFERROR(__xludf.DUMMYFUNCTION("""COMPUTED_VALUE"""),"eri")</f>
        <v>eri</v>
      </c>
      <c r="C4928" t="str">
        <f>IFERROR(__xludf.DUMMYFUNCTION("""COMPUTED_VALUE"""),"Eritrea")</f>
        <v>Eritrea</v>
      </c>
      <c r="D4928">
        <f>IFERROR(__xludf.DUMMYFUNCTION("""COMPUTED_VALUE"""),1960.0)</f>
        <v>1960</v>
      </c>
      <c r="E4928">
        <f>IFERROR(__xludf.DUMMYFUNCTION("""COMPUTED_VALUE"""),1397491.0)</f>
        <v>1397491</v>
      </c>
    </row>
    <row r="4929">
      <c r="A4929" t="str">
        <f t="shared" si="1"/>
        <v>eri#1961</v>
      </c>
      <c r="B4929" t="str">
        <f>IFERROR(__xludf.DUMMYFUNCTION("""COMPUTED_VALUE"""),"eri")</f>
        <v>eri</v>
      </c>
      <c r="C4929" t="str">
        <f>IFERROR(__xludf.DUMMYFUNCTION("""COMPUTED_VALUE"""),"Eritrea")</f>
        <v>Eritrea</v>
      </c>
      <c r="D4929">
        <f>IFERROR(__xludf.DUMMYFUNCTION("""COMPUTED_VALUE"""),1961.0)</f>
        <v>1961</v>
      </c>
      <c r="E4929">
        <f>IFERROR(__xludf.DUMMYFUNCTION("""COMPUTED_VALUE"""),1432640.0)</f>
        <v>1432640</v>
      </c>
    </row>
    <row r="4930">
      <c r="A4930" t="str">
        <f t="shared" si="1"/>
        <v>eri#1962</v>
      </c>
      <c r="B4930" t="str">
        <f>IFERROR(__xludf.DUMMYFUNCTION("""COMPUTED_VALUE"""),"eri")</f>
        <v>eri</v>
      </c>
      <c r="C4930" t="str">
        <f>IFERROR(__xludf.DUMMYFUNCTION("""COMPUTED_VALUE"""),"Eritrea")</f>
        <v>Eritrea</v>
      </c>
      <c r="D4930">
        <f>IFERROR(__xludf.DUMMYFUNCTION("""COMPUTED_VALUE"""),1962.0)</f>
        <v>1962</v>
      </c>
      <c r="E4930">
        <f>IFERROR(__xludf.DUMMYFUNCTION("""COMPUTED_VALUE"""),1469645.0)</f>
        <v>1469645</v>
      </c>
    </row>
    <row r="4931">
      <c r="A4931" t="str">
        <f t="shared" si="1"/>
        <v>eri#1963</v>
      </c>
      <c r="B4931" t="str">
        <f>IFERROR(__xludf.DUMMYFUNCTION("""COMPUTED_VALUE"""),"eri")</f>
        <v>eri</v>
      </c>
      <c r="C4931" t="str">
        <f>IFERROR(__xludf.DUMMYFUNCTION("""COMPUTED_VALUE"""),"Eritrea")</f>
        <v>Eritrea</v>
      </c>
      <c r="D4931">
        <f>IFERROR(__xludf.DUMMYFUNCTION("""COMPUTED_VALUE"""),1963.0)</f>
        <v>1963</v>
      </c>
      <c r="E4931">
        <f>IFERROR(__xludf.DUMMYFUNCTION("""COMPUTED_VALUE"""),1508273.0)</f>
        <v>1508273</v>
      </c>
    </row>
    <row r="4932">
      <c r="A4932" t="str">
        <f t="shared" si="1"/>
        <v>eri#1964</v>
      </c>
      <c r="B4932" t="str">
        <f>IFERROR(__xludf.DUMMYFUNCTION("""COMPUTED_VALUE"""),"eri")</f>
        <v>eri</v>
      </c>
      <c r="C4932" t="str">
        <f>IFERROR(__xludf.DUMMYFUNCTION("""COMPUTED_VALUE"""),"Eritrea")</f>
        <v>Eritrea</v>
      </c>
      <c r="D4932">
        <f>IFERROR(__xludf.DUMMYFUNCTION("""COMPUTED_VALUE"""),1964.0)</f>
        <v>1964</v>
      </c>
      <c r="E4932">
        <f>IFERROR(__xludf.DUMMYFUNCTION("""COMPUTED_VALUE"""),1548187.0)</f>
        <v>1548187</v>
      </c>
    </row>
    <row r="4933">
      <c r="A4933" t="str">
        <f t="shared" si="1"/>
        <v>eri#1965</v>
      </c>
      <c r="B4933" t="str">
        <f>IFERROR(__xludf.DUMMYFUNCTION("""COMPUTED_VALUE"""),"eri")</f>
        <v>eri</v>
      </c>
      <c r="C4933" t="str">
        <f>IFERROR(__xludf.DUMMYFUNCTION("""COMPUTED_VALUE"""),"Eritrea")</f>
        <v>Eritrea</v>
      </c>
      <c r="D4933">
        <f>IFERROR(__xludf.DUMMYFUNCTION("""COMPUTED_VALUE"""),1965.0)</f>
        <v>1965</v>
      </c>
      <c r="E4933">
        <f>IFERROR(__xludf.DUMMYFUNCTION("""COMPUTED_VALUE"""),1589179.0)</f>
        <v>1589179</v>
      </c>
    </row>
    <row r="4934">
      <c r="A4934" t="str">
        <f t="shared" si="1"/>
        <v>eri#1966</v>
      </c>
      <c r="B4934" t="str">
        <f>IFERROR(__xludf.DUMMYFUNCTION("""COMPUTED_VALUE"""),"eri")</f>
        <v>eri</v>
      </c>
      <c r="C4934" t="str">
        <f>IFERROR(__xludf.DUMMYFUNCTION("""COMPUTED_VALUE"""),"Eritrea")</f>
        <v>Eritrea</v>
      </c>
      <c r="D4934">
        <f>IFERROR(__xludf.DUMMYFUNCTION("""COMPUTED_VALUE"""),1966.0)</f>
        <v>1966</v>
      </c>
      <c r="E4934">
        <f>IFERROR(__xludf.DUMMYFUNCTION("""COMPUTED_VALUE"""),1631147.0)</f>
        <v>1631147</v>
      </c>
    </row>
    <row r="4935">
      <c r="A4935" t="str">
        <f t="shared" si="1"/>
        <v>eri#1967</v>
      </c>
      <c r="B4935" t="str">
        <f>IFERROR(__xludf.DUMMYFUNCTION("""COMPUTED_VALUE"""),"eri")</f>
        <v>eri</v>
      </c>
      <c r="C4935" t="str">
        <f>IFERROR(__xludf.DUMMYFUNCTION("""COMPUTED_VALUE"""),"Eritrea")</f>
        <v>Eritrea</v>
      </c>
      <c r="D4935">
        <f>IFERROR(__xludf.DUMMYFUNCTION("""COMPUTED_VALUE"""),1967.0)</f>
        <v>1967</v>
      </c>
      <c r="E4935">
        <f>IFERROR(__xludf.DUMMYFUNCTION("""COMPUTED_VALUE"""),1674204.0)</f>
        <v>1674204</v>
      </c>
    </row>
    <row r="4936">
      <c r="A4936" t="str">
        <f t="shared" si="1"/>
        <v>eri#1968</v>
      </c>
      <c r="B4936" t="str">
        <f>IFERROR(__xludf.DUMMYFUNCTION("""COMPUTED_VALUE"""),"eri")</f>
        <v>eri</v>
      </c>
      <c r="C4936" t="str">
        <f>IFERROR(__xludf.DUMMYFUNCTION("""COMPUTED_VALUE"""),"Eritrea")</f>
        <v>Eritrea</v>
      </c>
      <c r="D4936">
        <f>IFERROR(__xludf.DUMMYFUNCTION("""COMPUTED_VALUE"""),1968.0)</f>
        <v>1968</v>
      </c>
      <c r="E4936">
        <f>IFERROR(__xludf.DUMMYFUNCTION("""COMPUTED_VALUE"""),1718525.0)</f>
        <v>1718525</v>
      </c>
    </row>
    <row r="4937">
      <c r="A4937" t="str">
        <f t="shared" si="1"/>
        <v>eri#1969</v>
      </c>
      <c r="B4937" t="str">
        <f>IFERROR(__xludf.DUMMYFUNCTION("""COMPUTED_VALUE"""),"eri")</f>
        <v>eri</v>
      </c>
      <c r="C4937" t="str">
        <f>IFERROR(__xludf.DUMMYFUNCTION("""COMPUTED_VALUE"""),"Eritrea")</f>
        <v>Eritrea</v>
      </c>
      <c r="D4937">
        <f>IFERROR(__xludf.DUMMYFUNCTION("""COMPUTED_VALUE"""),1969.0)</f>
        <v>1969</v>
      </c>
      <c r="E4937">
        <f>IFERROR(__xludf.DUMMYFUNCTION("""COMPUTED_VALUE"""),1764343.0)</f>
        <v>1764343</v>
      </c>
    </row>
    <row r="4938">
      <c r="A4938" t="str">
        <f t="shared" si="1"/>
        <v>eri#1970</v>
      </c>
      <c r="B4938" t="str">
        <f>IFERROR(__xludf.DUMMYFUNCTION("""COMPUTED_VALUE"""),"eri")</f>
        <v>eri</v>
      </c>
      <c r="C4938" t="str">
        <f>IFERROR(__xludf.DUMMYFUNCTION("""COMPUTED_VALUE"""),"Eritrea")</f>
        <v>Eritrea</v>
      </c>
      <c r="D4938">
        <f>IFERROR(__xludf.DUMMYFUNCTION("""COMPUTED_VALUE"""),1970.0)</f>
        <v>1970</v>
      </c>
      <c r="E4938">
        <f>IFERROR(__xludf.DUMMYFUNCTION("""COMPUTED_VALUE"""),1811878.0)</f>
        <v>1811878</v>
      </c>
    </row>
    <row r="4939">
      <c r="A4939" t="str">
        <f t="shared" si="1"/>
        <v>eri#1971</v>
      </c>
      <c r="B4939" t="str">
        <f>IFERROR(__xludf.DUMMYFUNCTION("""COMPUTED_VALUE"""),"eri")</f>
        <v>eri</v>
      </c>
      <c r="C4939" t="str">
        <f>IFERROR(__xludf.DUMMYFUNCTION("""COMPUTED_VALUE"""),"Eritrea")</f>
        <v>Eritrea</v>
      </c>
      <c r="D4939">
        <f>IFERROR(__xludf.DUMMYFUNCTION("""COMPUTED_VALUE"""),1971.0)</f>
        <v>1971</v>
      </c>
      <c r="E4939">
        <f>IFERROR(__xludf.DUMMYFUNCTION("""COMPUTED_VALUE"""),1861199.0)</f>
        <v>1861199</v>
      </c>
    </row>
    <row r="4940">
      <c r="A4940" t="str">
        <f t="shared" si="1"/>
        <v>eri#1972</v>
      </c>
      <c r="B4940" t="str">
        <f>IFERROR(__xludf.DUMMYFUNCTION("""COMPUTED_VALUE"""),"eri")</f>
        <v>eri</v>
      </c>
      <c r="C4940" t="str">
        <f>IFERROR(__xludf.DUMMYFUNCTION("""COMPUTED_VALUE"""),"Eritrea")</f>
        <v>Eritrea</v>
      </c>
      <c r="D4940">
        <f>IFERROR(__xludf.DUMMYFUNCTION("""COMPUTED_VALUE"""),1972.0)</f>
        <v>1972</v>
      </c>
      <c r="E4940">
        <f>IFERROR(__xludf.DUMMYFUNCTION("""COMPUTED_VALUE"""),1912302.0)</f>
        <v>1912302</v>
      </c>
    </row>
    <row r="4941">
      <c r="A4941" t="str">
        <f t="shared" si="1"/>
        <v>eri#1973</v>
      </c>
      <c r="B4941" t="str">
        <f>IFERROR(__xludf.DUMMYFUNCTION("""COMPUTED_VALUE"""),"eri")</f>
        <v>eri</v>
      </c>
      <c r="C4941" t="str">
        <f>IFERROR(__xludf.DUMMYFUNCTION("""COMPUTED_VALUE"""),"Eritrea")</f>
        <v>Eritrea</v>
      </c>
      <c r="D4941">
        <f>IFERROR(__xludf.DUMMYFUNCTION("""COMPUTED_VALUE"""),1973.0)</f>
        <v>1973</v>
      </c>
      <c r="E4941">
        <f>IFERROR(__xludf.DUMMYFUNCTION("""COMPUTED_VALUE"""),1965160.0)</f>
        <v>1965160</v>
      </c>
    </row>
    <row r="4942">
      <c r="A4942" t="str">
        <f t="shared" si="1"/>
        <v>eri#1974</v>
      </c>
      <c r="B4942" t="str">
        <f>IFERROR(__xludf.DUMMYFUNCTION("""COMPUTED_VALUE"""),"eri")</f>
        <v>eri</v>
      </c>
      <c r="C4942" t="str">
        <f>IFERROR(__xludf.DUMMYFUNCTION("""COMPUTED_VALUE"""),"Eritrea")</f>
        <v>Eritrea</v>
      </c>
      <c r="D4942">
        <f>IFERROR(__xludf.DUMMYFUNCTION("""COMPUTED_VALUE"""),1974.0)</f>
        <v>1974</v>
      </c>
      <c r="E4942">
        <f>IFERROR(__xludf.DUMMYFUNCTION("""COMPUTED_VALUE"""),2019717.0)</f>
        <v>2019717</v>
      </c>
    </row>
    <row r="4943">
      <c r="A4943" t="str">
        <f t="shared" si="1"/>
        <v>eri#1975</v>
      </c>
      <c r="B4943" t="str">
        <f>IFERROR(__xludf.DUMMYFUNCTION("""COMPUTED_VALUE"""),"eri")</f>
        <v>eri</v>
      </c>
      <c r="C4943" t="str">
        <f>IFERROR(__xludf.DUMMYFUNCTION("""COMPUTED_VALUE"""),"Eritrea")</f>
        <v>Eritrea</v>
      </c>
      <c r="D4943">
        <f>IFERROR(__xludf.DUMMYFUNCTION("""COMPUTED_VALUE"""),1975.0)</f>
        <v>1975</v>
      </c>
      <c r="E4943">
        <f>IFERROR(__xludf.DUMMYFUNCTION("""COMPUTED_VALUE"""),2075965.0)</f>
        <v>2075965</v>
      </c>
    </row>
    <row r="4944">
      <c r="A4944" t="str">
        <f t="shared" si="1"/>
        <v>eri#1976</v>
      </c>
      <c r="B4944" t="str">
        <f>IFERROR(__xludf.DUMMYFUNCTION("""COMPUTED_VALUE"""),"eri")</f>
        <v>eri</v>
      </c>
      <c r="C4944" t="str">
        <f>IFERROR(__xludf.DUMMYFUNCTION("""COMPUTED_VALUE"""),"Eritrea")</f>
        <v>Eritrea</v>
      </c>
      <c r="D4944">
        <f>IFERROR(__xludf.DUMMYFUNCTION("""COMPUTED_VALUE"""),1976.0)</f>
        <v>1976</v>
      </c>
      <c r="E4944">
        <f>IFERROR(__xludf.DUMMYFUNCTION("""COMPUTED_VALUE"""),2133723.0)</f>
        <v>2133723</v>
      </c>
    </row>
    <row r="4945">
      <c r="A4945" t="str">
        <f t="shared" si="1"/>
        <v>eri#1977</v>
      </c>
      <c r="B4945" t="str">
        <f>IFERROR(__xludf.DUMMYFUNCTION("""COMPUTED_VALUE"""),"eri")</f>
        <v>eri</v>
      </c>
      <c r="C4945" t="str">
        <f>IFERROR(__xludf.DUMMYFUNCTION("""COMPUTED_VALUE"""),"Eritrea")</f>
        <v>Eritrea</v>
      </c>
      <c r="D4945">
        <f>IFERROR(__xludf.DUMMYFUNCTION("""COMPUTED_VALUE"""),1977.0)</f>
        <v>1977</v>
      </c>
      <c r="E4945">
        <f>IFERROR(__xludf.DUMMYFUNCTION("""COMPUTED_VALUE"""),2193068.0)</f>
        <v>2193068</v>
      </c>
    </row>
    <row r="4946">
      <c r="A4946" t="str">
        <f t="shared" si="1"/>
        <v>eri#1978</v>
      </c>
      <c r="B4946" t="str">
        <f>IFERROR(__xludf.DUMMYFUNCTION("""COMPUTED_VALUE"""),"eri")</f>
        <v>eri</v>
      </c>
      <c r="C4946" t="str">
        <f>IFERROR(__xludf.DUMMYFUNCTION("""COMPUTED_VALUE"""),"Eritrea")</f>
        <v>Eritrea</v>
      </c>
      <c r="D4946">
        <f>IFERROR(__xludf.DUMMYFUNCTION("""COMPUTED_VALUE"""),1978.0)</f>
        <v>1978</v>
      </c>
      <c r="E4946">
        <f>IFERROR(__xludf.DUMMYFUNCTION("""COMPUTED_VALUE"""),2254450.0)</f>
        <v>2254450</v>
      </c>
    </row>
    <row r="4947">
      <c r="A4947" t="str">
        <f t="shared" si="1"/>
        <v>eri#1979</v>
      </c>
      <c r="B4947" t="str">
        <f>IFERROR(__xludf.DUMMYFUNCTION("""COMPUTED_VALUE"""),"eri")</f>
        <v>eri</v>
      </c>
      <c r="C4947" t="str">
        <f>IFERROR(__xludf.DUMMYFUNCTION("""COMPUTED_VALUE"""),"Eritrea")</f>
        <v>Eritrea</v>
      </c>
      <c r="D4947">
        <f>IFERROR(__xludf.DUMMYFUNCTION("""COMPUTED_VALUE"""),1979.0)</f>
        <v>1979</v>
      </c>
      <c r="E4947">
        <f>IFERROR(__xludf.DUMMYFUNCTION("""COMPUTED_VALUE"""),2318495.0)</f>
        <v>2318495</v>
      </c>
    </row>
    <row r="4948">
      <c r="A4948" t="str">
        <f t="shared" si="1"/>
        <v>eri#1980</v>
      </c>
      <c r="B4948" t="str">
        <f>IFERROR(__xludf.DUMMYFUNCTION("""COMPUTED_VALUE"""),"eri")</f>
        <v>eri</v>
      </c>
      <c r="C4948" t="str">
        <f>IFERROR(__xludf.DUMMYFUNCTION("""COMPUTED_VALUE"""),"Eritrea")</f>
        <v>Eritrea</v>
      </c>
      <c r="D4948">
        <f>IFERROR(__xludf.DUMMYFUNCTION("""COMPUTED_VALUE"""),1980.0)</f>
        <v>1980</v>
      </c>
      <c r="E4948">
        <f>IFERROR(__xludf.DUMMYFUNCTION("""COMPUTED_VALUE"""),2385540.0)</f>
        <v>2385540</v>
      </c>
    </row>
    <row r="4949">
      <c r="A4949" t="str">
        <f t="shared" si="1"/>
        <v>eri#1981</v>
      </c>
      <c r="B4949" t="str">
        <f>IFERROR(__xludf.DUMMYFUNCTION("""COMPUTED_VALUE"""),"eri")</f>
        <v>eri</v>
      </c>
      <c r="C4949" t="str">
        <f>IFERROR(__xludf.DUMMYFUNCTION("""COMPUTED_VALUE"""),"Eritrea")</f>
        <v>Eritrea</v>
      </c>
      <c r="D4949">
        <f>IFERROR(__xludf.DUMMYFUNCTION("""COMPUTED_VALUE"""),1981.0)</f>
        <v>1981</v>
      </c>
      <c r="E4949">
        <f>IFERROR(__xludf.DUMMYFUNCTION("""COMPUTED_VALUE"""),2454766.0)</f>
        <v>2454766</v>
      </c>
    </row>
    <row r="4950">
      <c r="A4950" t="str">
        <f t="shared" si="1"/>
        <v>eri#1982</v>
      </c>
      <c r="B4950" t="str">
        <f>IFERROR(__xludf.DUMMYFUNCTION("""COMPUTED_VALUE"""),"eri")</f>
        <v>eri</v>
      </c>
      <c r="C4950" t="str">
        <f>IFERROR(__xludf.DUMMYFUNCTION("""COMPUTED_VALUE"""),"Eritrea")</f>
        <v>Eritrea</v>
      </c>
      <c r="D4950">
        <f>IFERROR(__xludf.DUMMYFUNCTION("""COMPUTED_VALUE"""),1982.0)</f>
        <v>1982</v>
      </c>
      <c r="E4950">
        <f>IFERROR(__xludf.DUMMYFUNCTION("""COMPUTED_VALUE"""),2525521.0)</f>
        <v>2525521</v>
      </c>
    </row>
    <row r="4951">
      <c r="A4951" t="str">
        <f t="shared" si="1"/>
        <v>eri#1983</v>
      </c>
      <c r="B4951" t="str">
        <f>IFERROR(__xludf.DUMMYFUNCTION("""COMPUTED_VALUE"""),"eri")</f>
        <v>eri</v>
      </c>
      <c r="C4951" t="str">
        <f>IFERROR(__xludf.DUMMYFUNCTION("""COMPUTED_VALUE"""),"Eritrea")</f>
        <v>Eritrea</v>
      </c>
      <c r="D4951">
        <f>IFERROR(__xludf.DUMMYFUNCTION("""COMPUTED_VALUE"""),1983.0)</f>
        <v>1983</v>
      </c>
      <c r="E4951">
        <f>IFERROR(__xludf.DUMMYFUNCTION("""COMPUTED_VALUE"""),2598410.0)</f>
        <v>2598410</v>
      </c>
    </row>
    <row r="4952">
      <c r="A4952" t="str">
        <f t="shared" si="1"/>
        <v>eri#1984</v>
      </c>
      <c r="B4952" t="str">
        <f>IFERROR(__xludf.DUMMYFUNCTION("""COMPUTED_VALUE"""),"eri")</f>
        <v>eri</v>
      </c>
      <c r="C4952" t="str">
        <f>IFERROR(__xludf.DUMMYFUNCTION("""COMPUTED_VALUE"""),"Eritrea")</f>
        <v>Eritrea</v>
      </c>
      <c r="D4952">
        <f>IFERROR(__xludf.DUMMYFUNCTION("""COMPUTED_VALUE"""),1984.0)</f>
        <v>1984</v>
      </c>
      <c r="E4952">
        <f>IFERROR(__xludf.DUMMYFUNCTION("""COMPUTED_VALUE"""),2674289.0)</f>
        <v>2674289</v>
      </c>
    </row>
    <row r="4953">
      <c r="A4953" t="str">
        <f t="shared" si="1"/>
        <v>eri#1985</v>
      </c>
      <c r="B4953" t="str">
        <f>IFERROR(__xludf.DUMMYFUNCTION("""COMPUTED_VALUE"""),"eri")</f>
        <v>eri</v>
      </c>
      <c r="C4953" t="str">
        <f>IFERROR(__xludf.DUMMYFUNCTION("""COMPUTED_VALUE"""),"Eritrea")</f>
        <v>Eritrea</v>
      </c>
      <c r="D4953">
        <f>IFERROR(__xludf.DUMMYFUNCTION("""COMPUTED_VALUE"""),1985.0)</f>
        <v>1985</v>
      </c>
      <c r="E4953">
        <f>IFERROR(__xludf.DUMMYFUNCTION("""COMPUTED_VALUE"""),2753151.0)</f>
        <v>2753151</v>
      </c>
    </row>
    <row r="4954">
      <c r="A4954" t="str">
        <f t="shared" si="1"/>
        <v>eri#1986</v>
      </c>
      <c r="B4954" t="str">
        <f>IFERROR(__xludf.DUMMYFUNCTION("""COMPUTED_VALUE"""),"eri")</f>
        <v>eri</v>
      </c>
      <c r="C4954" t="str">
        <f>IFERROR(__xludf.DUMMYFUNCTION("""COMPUTED_VALUE"""),"Eritrea")</f>
        <v>Eritrea</v>
      </c>
      <c r="D4954">
        <f>IFERROR(__xludf.DUMMYFUNCTION("""COMPUTED_VALUE"""),1986.0)</f>
        <v>1986</v>
      </c>
      <c r="E4954">
        <f>IFERROR(__xludf.DUMMYFUNCTION("""COMPUTED_VALUE"""),2837111.0)</f>
        <v>2837111</v>
      </c>
    </row>
    <row r="4955">
      <c r="A4955" t="str">
        <f t="shared" si="1"/>
        <v>eri#1987</v>
      </c>
      <c r="B4955" t="str">
        <f>IFERROR(__xludf.DUMMYFUNCTION("""COMPUTED_VALUE"""),"eri")</f>
        <v>eri</v>
      </c>
      <c r="C4955" t="str">
        <f>IFERROR(__xludf.DUMMYFUNCTION("""COMPUTED_VALUE"""),"Eritrea")</f>
        <v>Eritrea</v>
      </c>
      <c r="D4955">
        <f>IFERROR(__xludf.DUMMYFUNCTION("""COMPUTED_VALUE"""),1987.0)</f>
        <v>1987</v>
      </c>
      <c r="E4955">
        <f>IFERROR(__xludf.DUMMYFUNCTION("""COMPUTED_VALUE"""),2924349.0)</f>
        <v>2924349</v>
      </c>
    </row>
    <row r="4956">
      <c r="A4956" t="str">
        <f t="shared" si="1"/>
        <v>eri#1988</v>
      </c>
      <c r="B4956" t="str">
        <f>IFERROR(__xludf.DUMMYFUNCTION("""COMPUTED_VALUE"""),"eri")</f>
        <v>eri</v>
      </c>
      <c r="C4956" t="str">
        <f>IFERROR(__xludf.DUMMYFUNCTION("""COMPUTED_VALUE"""),"Eritrea")</f>
        <v>Eritrea</v>
      </c>
      <c r="D4956">
        <f>IFERROR(__xludf.DUMMYFUNCTION("""COMPUTED_VALUE"""),1988.0)</f>
        <v>1988</v>
      </c>
      <c r="E4956">
        <f>IFERROR(__xludf.DUMMYFUNCTION("""COMPUTED_VALUE"""),3006361.0)</f>
        <v>3006361</v>
      </c>
    </row>
    <row r="4957">
      <c r="A4957" t="str">
        <f t="shared" si="1"/>
        <v>eri#1989</v>
      </c>
      <c r="B4957" t="str">
        <f>IFERROR(__xludf.DUMMYFUNCTION("""COMPUTED_VALUE"""),"eri")</f>
        <v>eri</v>
      </c>
      <c r="C4957" t="str">
        <f>IFERROR(__xludf.DUMMYFUNCTION("""COMPUTED_VALUE"""),"Eritrea")</f>
        <v>Eritrea</v>
      </c>
      <c r="D4957">
        <f>IFERROR(__xludf.DUMMYFUNCTION("""COMPUTED_VALUE"""),1989.0)</f>
        <v>1989</v>
      </c>
      <c r="E4957">
        <f>IFERROR(__xludf.DUMMYFUNCTION("""COMPUTED_VALUE"""),3071771.0)</f>
        <v>3071771</v>
      </c>
    </row>
    <row r="4958">
      <c r="A4958" t="str">
        <f t="shared" si="1"/>
        <v>eri#1990</v>
      </c>
      <c r="B4958" t="str">
        <f>IFERROR(__xludf.DUMMYFUNCTION("""COMPUTED_VALUE"""),"eri")</f>
        <v>eri</v>
      </c>
      <c r="C4958" t="str">
        <f>IFERROR(__xludf.DUMMYFUNCTION("""COMPUTED_VALUE"""),"Eritrea")</f>
        <v>Eritrea</v>
      </c>
      <c r="D4958">
        <f>IFERROR(__xludf.DUMMYFUNCTION("""COMPUTED_VALUE"""),1990.0)</f>
        <v>1990</v>
      </c>
      <c r="E4958">
        <f>IFERROR(__xludf.DUMMYFUNCTION("""COMPUTED_VALUE"""),3113311.0)</f>
        <v>3113311</v>
      </c>
    </row>
    <row r="4959">
      <c r="A4959" t="str">
        <f t="shared" si="1"/>
        <v>eri#1991</v>
      </c>
      <c r="B4959" t="str">
        <f>IFERROR(__xludf.DUMMYFUNCTION("""COMPUTED_VALUE"""),"eri")</f>
        <v>eri</v>
      </c>
      <c r="C4959" t="str">
        <f>IFERROR(__xludf.DUMMYFUNCTION("""COMPUTED_VALUE"""),"Eritrea")</f>
        <v>Eritrea</v>
      </c>
      <c r="D4959">
        <f>IFERROR(__xludf.DUMMYFUNCTION("""COMPUTED_VALUE"""),1991.0)</f>
        <v>1991</v>
      </c>
      <c r="E4959">
        <f>IFERROR(__xludf.DUMMYFUNCTION("""COMPUTED_VALUE"""),3127297.0)</f>
        <v>3127297</v>
      </c>
    </row>
    <row r="4960">
      <c r="A4960" t="str">
        <f t="shared" si="1"/>
        <v>eri#1992</v>
      </c>
      <c r="B4960" t="str">
        <f>IFERROR(__xludf.DUMMYFUNCTION("""COMPUTED_VALUE"""),"eri")</f>
        <v>eri</v>
      </c>
      <c r="C4960" t="str">
        <f>IFERROR(__xludf.DUMMYFUNCTION("""COMPUTED_VALUE"""),"Eritrea")</f>
        <v>Eritrea</v>
      </c>
      <c r="D4960">
        <f>IFERROR(__xludf.DUMMYFUNCTION("""COMPUTED_VALUE"""),1992.0)</f>
        <v>1992</v>
      </c>
      <c r="E4960">
        <f>IFERROR(__xludf.DUMMYFUNCTION("""COMPUTED_VALUE"""),3118582.0)</f>
        <v>3118582</v>
      </c>
    </row>
    <row r="4961">
      <c r="A4961" t="str">
        <f t="shared" si="1"/>
        <v>eri#1993</v>
      </c>
      <c r="B4961" t="str">
        <f>IFERROR(__xludf.DUMMYFUNCTION("""COMPUTED_VALUE"""),"eri")</f>
        <v>eri</v>
      </c>
      <c r="C4961" t="str">
        <f>IFERROR(__xludf.DUMMYFUNCTION("""COMPUTED_VALUE"""),"Eritrea")</f>
        <v>Eritrea</v>
      </c>
      <c r="D4961">
        <f>IFERROR(__xludf.DUMMYFUNCTION("""COMPUTED_VALUE"""),1993.0)</f>
        <v>1993</v>
      </c>
      <c r="E4961">
        <f>IFERROR(__xludf.DUMMYFUNCTION("""COMPUTED_VALUE"""),3099047.0)</f>
        <v>3099047</v>
      </c>
    </row>
    <row r="4962">
      <c r="A4962" t="str">
        <f t="shared" si="1"/>
        <v>eri#1994</v>
      </c>
      <c r="B4962" t="str">
        <f>IFERROR(__xludf.DUMMYFUNCTION("""COMPUTED_VALUE"""),"eri")</f>
        <v>eri</v>
      </c>
      <c r="C4962" t="str">
        <f>IFERROR(__xludf.DUMMYFUNCTION("""COMPUTED_VALUE"""),"Eritrea")</f>
        <v>Eritrea</v>
      </c>
      <c r="D4962">
        <f>IFERROR(__xludf.DUMMYFUNCTION("""COMPUTED_VALUE"""),1994.0)</f>
        <v>1994</v>
      </c>
      <c r="E4962">
        <f>IFERROR(__xludf.DUMMYFUNCTION("""COMPUTED_VALUE"""),3085443.0)</f>
        <v>3085443</v>
      </c>
    </row>
    <row r="4963">
      <c r="A4963" t="str">
        <f t="shared" si="1"/>
        <v>eri#1995</v>
      </c>
      <c r="B4963" t="str">
        <f>IFERROR(__xludf.DUMMYFUNCTION("""COMPUTED_VALUE"""),"eri")</f>
        <v>eri</v>
      </c>
      <c r="C4963" t="str">
        <f>IFERROR(__xludf.DUMMYFUNCTION("""COMPUTED_VALUE"""),"Eritrea")</f>
        <v>Eritrea</v>
      </c>
      <c r="D4963">
        <f>IFERROR(__xludf.DUMMYFUNCTION("""COMPUTED_VALUE"""),1995.0)</f>
        <v>1995</v>
      </c>
      <c r="E4963">
        <f>IFERROR(__xludf.DUMMYFUNCTION("""COMPUTED_VALUE"""),3090159.0)</f>
        <v>3090159</v>
      </c>
    </row>
    <row r="4964">
      <c r="A4964" t="str">
        <f t="shared" si="1"/>
        <v>eri#1996</v>
      </c>
      <c r="B4964" t="str">
        <f>IFERROR(__xludf.DUMMYFUNCTION("""COMPUTED_VALUE"""),"eri")</f>
        <v>eri</v>
      </c>
      <c r="C4964" t="str">
        <f>IFERROR(__xludf.DUMMYFUNCTION("""COMPUTED_VALUE"""),"Eritrea")</f>
        <v>Eritrea</v>
      </c>
      <c r="D4964">
        <f>IFERROR(__xludf.DUMMYFUNCTION("""COMPUTED_VALUE"""),1996.0)</f>
        <v>1996</v>
      </c>
      <c r="E4964">
        <f>IFERROR(__xludf.DUMMYFUNCTION("""COMPUTED_VALUE"""),3116379.0)</f>
        <v>3116379</v>
      </c>
    </row>
    <row r="4965">
      <c r="A4965" t="str">
        <f t="shared" si="1"/>
        <v>eri#1997</v>
      </c>
      <c r="B4965" t="str">
        <f>IFERROR(__xludf.DUMMYFUNCTION("""COMPUTED_VALUE"""),"eri")</f>
        <v>eri</v>
      </c>
      <c r="C4965" t="str">
        <f>IFERROR(__xludf.DUMMYFUNCTION("""COMPUTED_VALUE"""),"Eritrea")</f>
        <v>Eritrea</v>
      </c>
      <c r="D4965">
        <f>IFERROR(__xludf.DUMMYFUNCTION("""COMPUTED_VALUE"""),1997.0)</f>
        <v>1997</v>
      </c>
      <c r="E4965">
        <f>IFERROR(__xludf.DUMMYFUNCTION("""COMPUTED_VALUE"""),3161350.0)</f>
        <v>3161350</v>
      </c>
    </row>
    <row r="4966">
      <c r="A4966" t="str">
        <f t="shared" si="1"/>
        <v>eri#1998</v>
      </c>
      <c r="B4966" t="str">
        <f>IFERROR(__xludf.DUMMYFUNCTION("""COMPUTED_VALUE"""),"eri")</f>
        <v>eri</v>
      </c>
      <c r="C4966" t="str">
        <f>IFERROR(__xludf.DUMMYFUNCTION("""COMPUTED_VALUE"""),"Eritrea")</f>
        <v>Eritrea</v>
      </c>
      <c r="D4966">
        <f>IFERROR(__xludf.DUMMYFUNCTION("""COMPUTED_VALUE"""),1998.0)</f>
        <v>1998</v>
      </c>
      <c r="E4966">
        <f>IFERROR(__xludf.DUMMYFUNCTION("""COMPUTED_VALUE"""),3224223.0)</f>
        <v>3224223</v>
      </c>
    </row>
    <row r="4967">
      <c r="A4967" t="str">
        <f t="shared" si="1"/>
        <v>eri#1999</v>
      </c>
      <c r="B4967" t="str">
        <f>IFERROR(__xludf.DUMMYFUNCTION("""COMPUTED_VALUE"""),"eri")</f>
        <v>eri</v>
      </c>
      <c r="C4967" t="str">
        <f>IFERROR(__xludf.DUMMYFUNCTION("""COMPUTED_VALUE"""),"Eritrea")</f>
        <v>Eritrea</v>
      </c>
      <c r="D4967">
        <f>IFERROR(__xludf.DUMMYFUNCTION("""COMPUTED_VALUE"""),1999.0)</f>
        <v>1999</v>
      </c>
      <c r="E4967">
        <f>IFERROR(__xludf.DUMMYFUNCTION("""COMPUTED_VALUE"""),3302263.0)</f>
        <v>3302263</v>
      </c>
    </row>
    <row r="4968">
      <c r="A4968" t="str">
        <f t="shared" si="1"/>
        <v>eri#2000</v>
      </c>
      <c r="B4968" t="str">
        <f>IFERROR(__xludf.DUMMYFUNCTION("""COMPUTED_VALUE"""),"eri")</f>
        <v>eri</v>
      </c>
      <c r="C4968" t="str">
        <f>IFERROR(__xludf.DUMMYFUNCTION("""COMPUTED_VALUE"""),"Eritrea")</f>
        <v>Eritrea</v>
      </c>
      <c r="D4968">
        <f>IFERROR(__xludf.DUMMYFUNCTION("""COMPUTED_VALUE"""),2000.0)</f>
        <v>2000</v>
      </c>
      <c r="E4968">
        <f>IFERROR(__xludf.DUMMYFUNCTION("""COMPUTED_VALUE"""),3392801.0)</f>
        <v>3392801</v>
      </c>
    </row>
    <row r="4969">
      <c r="A4969" t="str">
        <f t="shared" si="1"/>
        <v>eri#2001</v>
      </c>
      <c r="B4969" t="str">
        <f>IFERROR(__xludf.DUMMYFUNCTION("""COMPUTED_VALUE"""),"eri")</f>
        <v>eri</v>
      </c>
      <c r="C4969" t="str">
        <f>IFERROR(__xludf.DUMMYFUNCTION("""COMPUTED_VALUE"""),"Eritrea")</f>
        <v>Eritrea</v>
      </c>
      <c r="D4969">
        <f>IFERROR(__xludf.DUMMYFUNCTION("""COMPUTED_VALUE"""),2001.0)</f>
        <v>2001</v>
      </c>
      <c r="E4969">
        <f>IFERROR(__xludf.DUMMYFUNCTION("""COMPUTED_VALUE"""),3497124.0)</f>
        <v>3497124</v>
      </c>
    </row>
    <row r="4970">
      <c r="A4970" t="str">
        <f t="shared" si="1"/>
        <v>eri#2002</v>
      </c>
      <c r="B4970" t="str">
        <f>IFERROR(__xludf.DUMMYFUNCTION("""COMPUTED_VALUE"""),"eri")</f>
        <v>eri</v>
      </c>
      <c r="C4970" t="str">
        <f>IFERROR(__xludf.DUMMYFUNCTION("""COMPUTED_VALUE"""),"Eritrea")</f>
        <v>Eritrea</v>
      </c>
      <c r="D4970">
        <f>IFERROR(__xludf.DUMMYFUNCTION("""COMPUTED_VALUE"""),2002.0)</f>
        <v>2002</v>
      </c>
      <c r="E4970">
        <f>IFERROR(__xludf.DUMMYFUNCTION("""COMPUTED_VALUE"""),3614639.0)</f>
        <v>3614639</v>
      </c>
    </row>
    <row r="4971">
      <c r="A4971" t="str">
        <f t="shared" si="1"/>
        <v>eri#2003</v>
      </c>
      <c r="B4971" t="str">
        <f>IFERROR(__xludf.DUMMYFUNCTION("""COMPUTED_VALUE"""),"eri")</f>
        <v>eri</v>
      </c>
      <c r="C4971" t="str">
        <f>IFERROR(__xludf.DUMMYFUNCTION("""COMPUTED_VALUE"""),"Eritrea")</f>
        <v>Eritrea</v>
      </c>
      <c r="D4971">
        <f>IFERROR(__xludf.DUMMYFUNCTION("""COMPUTED_VALUE"""),2003.0)</f>
        <v>2003</v>
      </c>
      <c r="E4971">
        <f>IFERROR(__xludf.DUMMYFUNCTION("""COMPUTED_VALUE"""),3738265.0)</f>
        <v>3738265</v>
      </c>
    </row>
    <row r="4972">
      <c r="A4972" t="str">
        <f t="shared" si="1"/>
        <v>eri#2004</v>
      </c>
      <c r="B4972" t="str">
        <f>IFERROR(__xludf.DUMMYFUNCTION("""COMPUTED_VALUE"""),"eri")</f>
        <v>eri</v>
      </c>
      <c r="C4972" t="str">
        <f>IFERROR(__xludf.DUMMYFUNCTION("""COMPUTED_VALUE"""),"Eritrea")</f>
        <v>Eritrea</v>
      </c>
      <c r="D4972">
        <f>IFERROR(__xludf.DUMMYFUNCTION("""COMPUTED_VALUE"""),2004.0)</f>
        <v>2004</v>
      </c>
      <c r="E4972">
        <f>IFERROR(__xludf.DUMMYFUNCTION("""COMPUTED_VALUE"""),3858623.0)</f>
        <v>3858623</v>
      </c>
    </row>
    <row r="4973">
      <c r="A4973" t="str">
        <f t="shared" si="1"/>
        <v>eri#2005</v>
      </c>
      <c r="B4973" t="str">
        <f>IFERROR(__xludf.DUMMYFUNCTION("""COMPUTED_VALUE"""),"eri")</f>
        <v>eri</v>
      </c>
      <c r="C4973" t="str">
        <f>IFERROR(__xludf.DUMMYFUNCTION("""COMPUTED_VALUE"""),"Eritrea")</f>
        <v>Eritrea</v>
      </c>
      <c r="D4973">
        <f>IFERROR(__xludf.DUMMYFUNCTION("""COMPUTED_VALUE"""),2005.0)</f>
        <v>2005</v>
      </c>
      <c r="E4973">
        <f>IFERROR(__xludf.DUMMYFUNCTION("""COMPUTED_VALUE"""),3969007.0)</f>
        <v>3969007</v>
      </c>
    </row>
    <row r="4974">
      <c r="A4974" t="str">
        <f t="shared" si="1"/>
        <v>eri#2006</v>
      </c>
      <c r="B4974" t="str">
        <f>IFERROR(__xludf.DUMMYFUNCTION("""COMPUTED_VALUE"""),"eri")</f>
        <v>eri</v>
      </c>
      <c r="C4974" t="str">
        <f>IFERROR(__xludf.DUMMYFUNCTION("""COMPUTED_VALUE"""),"Eritrea")</f>
        <v>Eritrea</v>
      </c>
      <c r="D4974">
        <f>IFERROR(__xludf.DUMMYFUNCTION("""COMPUTED_VALUE"""),2006.0)</f>
        <v>2006</v>
      </c>
      <c r="E4974">
        <f>IFERROR(__xludf.DUMMYFUNCTION("""COMPUTED_VALUE"""),4066648.0)</f>
        <v>4066648</v>
      </c>
    </row>
    <row r="4975">
      <c r="A4975" t="str">
        <f t="shared" si="1"/>
        <v>eri#2007</v>
      </c>
      <c r="B4975" t="str">
        <f>IFERROR(__xludf.DUMMYFUNCTION("""COMPUTED_VALUE"""),"eri")</f>
        <v>eri</v>
      </c>
      <c r="C4975" t="str">
        <f>IFERROR(__xludf.DUMMYFUNCTION("""COMPUTED_VALUE"""),"Eritrea")</f>
        <v>Eritrea</v>
      </c>
      <c r="D4975">
        <f>IFERROR(__xludf.DUMMYFUNCTION("""COMPUTED_VALUE"""),2007.0)</f>
        <v>2007</v>
      </c>
      <c r="E4975">
        <f>IFERROR(__xludf.DUMMYFUNCTION("""COMPUTED_VALUE"""),4153332.0)</f>
        <v>4153332</v>
      </c>
    </row>
    <row r="4976">
      <c r="A4976" t="str">
        <f t="shared" si="1"/>
        <v>eri#2008</v>
      </c>
      <c r="B4976" t="str">
        <f>IFERROR(__xludf.DUMMYFUNCTION("""COMPUTED_VALUE"""),"eri")</f>
        <v>eri</v>
      </c>
      <c r="C4976" t="str">
        <f>IFERROR(__xludf.DUMMYFUNCTION("""COMPUTED_VALUE"""),"Eritrea")</f>
        <v>Eritrea</v>
      </c>
      <c r="D4976">
        <f>IFERROR(__xludf.DUMMYFUNCTION("""COMPUTED_VALUE"""),2008.0)</f>
        <v>2008</v>
      </c>
      <c r="E4976">
        <f>IFERROR(__xludf.DUMMYFUNCTION("""COMPUTED_VALUE"""),4232636.0)</f>
        <v>4232636</v>
      </c>
    </row>
    <row r="4977">
      <c r="A4977" t="str">
        <f t="shared" si="1"/>
        <v>eri#2009</v>
      </c>
      <c r="B4977" t="str">
        <f>IFERROR(__xludf.DUMMYFUNCTION("""COMPUTED_VALUE"""),"eri")</f>
        <v>eri</v>
      </c>
      <c r="C4977" t="str">
        <f>IFERROR(__xludf.DUMMYFUNCTION("""COMPUTED_VALUE"""),"Eritrea")</f>
        <v>Eritrea</v>
      </c>
      <c r="D4977">
        <f>IFERROR(__xludf.DUMMYFUNCTION("""COMPUTED_VALUE"""),2009.0)</f>
        <v>2009</v>
      </c>
      <c r="E4977">
        <f>IFERROR(__xludf.DUMMYFUNCTION("""COMPUTED_VALUE"""),4310334.0)</f>
        <v>4310334</v>
      </c>
    </row>
    <row r="4978">
      <c r="A4978" t="str">
        <f t="shared" si="1"/>
        <v>eri#2010</v>
      </c>
      <c r="B4978" t="str">
        <f>IFERROR(__xludf.DUMMYFUNCTION("""COMPUTED_VALUE"""),"eri")</f>
        <v>eri</v>
      </c>
      <c r="C4978" t="str">
        <f>IFERROR(__xludf.DUMMYFUNCTION("""COMPUTED_VALUE"""),"Eritrea")</f>
        <v>Eritrea</v>
      </c>
      <c r="D4978">
        <f>IFERROR(__xludf.DUMMYFUNCTION("""COMPUTED_VALUE"""),2010.0)</f>
        <v>2010</v>
      </c>
      <c r="E4978">
        <f>IFERROR(__xludf.DUMMYFUNCTION("""COMPUTED_VALUE"""),4390840.0)</f>
        <v>4390840</v>
      </c>
    </row>
    <row r="4979">
      <c r="A4979" t="str">
        <f t="shared" si="1"/>
        <v>eri#2011</v>
      </c>
      <c r="B4979" t="str">
        <f>IFERROR(__xludf.DUMMYFUNCTION("""COMPUTED_VALUE"""),"eri")</f>
        <v>eri</v>
      </c>
      <c r="C4979" t="str">
        <f>IFERROR(__xludf.DUMMYFUNCTION("""COMPUTED_VALUE"""),"Eritrea")</f>
        <v>Eritrea</v>
      </c>
      <c r="D4979">
        <f>IFERROR(__xludf.DUMMYFUNCTION("""COMPUTED_VALUE"""),2011.0)</f>
        <v>2011</v>
      </c>
      <c r="E4979">
        <f>IFERROR(__xludf.DUMMYFUNCTION("""COMPUTED_VALUE"""),4474690.0)</f>
        <v>4474690</v>
      </c>
    </row>
    <row r="4980">
      <c r="A4980" t="str">
        <f t="shared" si="1"/>
        <v>eri#2012</v>
      </c>
      <c r="B4980" t="str">
        <f>IFERROR(__xludf.DUMMYFUNCTION("""COMPUTED_VALUE"""),"eri")</f>
        <v>eri</v>
      </c>
      <c r="C4980" t="str">
        <f>IFERROR(__xludf.DUMMYFUNCTION("""COMPUTED_VALUE"""),"Eritrea")</f>
        <v>Eritrea</v>
      </c>
      <c r="D4980">
        <f>IFERROR(__xludf.DUMMYFUNCTION("""COMPUTED_VALUE"""),2012.0)</f>
        <v>2012</v>
      </c>
      <c r="E4980">
        <f>IFERROR(__xludf.DUMMYFUNCTION("""COMPUTED_VALUE"""),4560977.0)</f>
        <v>4560977</v>
      </c>
    </row>
    <row r="4981">
      <c r="A4981" t="str">
        <f t="shared" si="1"/>
        <v>eri#2013</v>
      </c>
      <c r="B4981" t="str">
        <f>IFERROR(__xludf.DUMMYFUNCTION("""COMPUTED_VALUE"""),"eri")</f>
        <v>eri</v>
      </c>
      <c r="C4981" t="str">
        <f>IFERROR(__xludf.DUMMYFUNCTION("""COMPUTED_VALUE"""),"Eritrea")</f>
        <v>Eritrea</v>
      </c>
      <c r="D4981">
        <f>IFERROR(__xludf.DUMMYFUNCTION("""COMPUTED_VALUE"""),2013.0)</f>
        <v>2013</v>
      </c>
      <c r="E4981">
        <f>IFERROR(__xludf.DUMMYFUNCTION("""COMPUTED_VALUE"""),4650998.0)</f>
        <v>4650998</v>
      </c>
    </row>
    <row r="4982">
      <c r="A4982" t="str">
        <f t="shared" si="1"/>
        <v>eri#2014</v>
      </c>
      <c r="B4982" t="str">
        <f>IFERROR(__xludf.DUMMYFUNCTION("""COMPUTED_VALUE"""),"eri")</f>
        <v>eri</v>
      </c>
      <c r="C4982" t="str">
        <f>IFERROR(__xludf.DUMMYFUNCTION("""COMPUTED_VALUE"""),"Eritrea")</f>
        <v>Eritrea</v>
      </c>
      <c r="D4982">
        <f>IFERROR(__xludf.DUMMYFUNCTION("""COMPUTED_VALUE"""),2014.0)</f>
        <v>2014</v>
      </c>
      <c r="E4982">
        <f>IFERROR(__xludf.DUMMYFUNCTION("""COMPUTED_VALUE"""),4746045.0)</f>
        <v>4746045</v>
      </c>
    </row>
    <row r="4983">
      <c r="A4983" t="str">
        <f t="shared" si="1"/>
        <v>eri#2015</v>
      </c>
      <c r="B4983" t="str">
        <f>IFERROR(__xludf.DUMMYFUNCTION("""COMPUTED_VALUE"""),"eri")</f>
        <v>eri</v>
      </c>
      <c r="C4983" t="str">
        <f>IFERROR(__xludf.DUMMYFUNCTION("""COMPUTED_VALUE"""),"Eritrea")</f>
        <v>Eritrea</v>
      </c>
      <c r="D4983">
        <f>IFERROR(__xludf.DUMMYFUNCTION("""COMPUTED_VALUE"""),2015.0)</f>
        <v>2015</v>
      </c>
      <c r="E4983">
        <f>IFERROR(__xludf.DUMMYFUNCTION("""COMPUTED_VALUE"""),4846976.0)</f>
        <v>4846976</v>
      </c>
    </row>
    <row r="4984">
      <c r="A4984" t="str">
        <f t="shared" si="1"/>
        <v>eri#2016</v>
      </c>
      <c r="B4984" t="str">
        <f>IFERROR(__xludf.DUMMYFUNCTION("""COMPUTED_VALUE"""),"eri")</f>
        <v>eri</v>
      </c>
      <c r="C4984" t="str">
        <f>IFERROR(__xludf.DUMMYFUNCTION("""COMPUTED_VALUE"""),"Eritrea")</f>
        <v>Eritrea</v>
      </c>
      <c r="D4984">
        <f>IFERROR(__xludf.DUMMYFUNCTION("""COMPUTED_VALUE"""),2016.0)</f>
        <v>2016</v>
      </c>
      <c r="E4984">
        <f>IFERROR(__xludf.DUMMYFUNCTION("""COMPUTED_VALUE"""),4954645.0)</f>
        <v>4954645</v>
      </c>
    </row>
    <row r="4985">
      <c r="A4985" t="str">
        <f t="shared" si="1"/>
        <v>eri#2017</v>
      </c>
      <c r="B4985" t="str">
        <f>IFERROR(__xludf.DUMMYFUNCTION("""COMPUTED_VALUE"""),"eri")</f>
        <v>eri</v>
      </c>
      <c r="C4985" t="str">
        <f>IFERROR(__xludf.DUMMYFUNCTION("""COMPUTED_VALUE"""),"Eritrea")</f>
        <v>Eritrea</v>
      </c>
      <c r="D4985">
        <f>IFERROR(__xludf.DUMMYFUNCTION("""COMPUTED_VALUE"""),2017.0)</f>
        <v>2017</v>
      </c>
      <c r="E4985">
        <f>IFERROR(__xludf.DUMMYFUNCTION("""COMPUTED_VALUE"""),5068831.0)</f>
        <v>5068831</v>
      </c>
    </row>
    <row r="4986">
      <c r="A4986" t="str">
        <f t="shared" si="1"/>
        <v>eri#2018</v>
      </c>
      <c r="B4986" t="str">
        <f>IFERROR(__xludf.DUMMYFUNCTION("""COMPUTED_VALUE"""),"eri")</f>
        <v>eri</v>
      </c>
      <c r="C4986" t="str">
        <f>IFERROR(__xludf.DUMMYFUNCTION("""COMPUTED_VALUE"""),"Eritrea")</f>
        <v>Eritrea</v>
      </c>
      <c r="D4986">
        <f>IFERROR(__xludf.DUMMYFUNCTION("""COMPUTED_VALUE"""),2018.0)</f>
        <v>2018</v>
      </c>
      <c r="E4986">
        <f>IFERROR(__xludf.DUMMYFUNCTION("""COMPUTED_VALUE"""),5187948.0)</f>
        <v>5187948</v>
      </c>
    </row>
    <row r="4987">
      <c r="A4987" t="str">
        <f t="shared" si="1"/>
        <v>eri#2019</v>
      </c>
      <c r="B4987" t="str">
        <f>IFERROR(__xludf.DUMMYFUNCTION("""COMPUTED_VALUE"""),"eri")</f>
        <v>eri</v>
      </c>
      <c r="C4987" t="str">
        <f>IFERROR(__xludf.DUMMYFUNCTION("""COMPUTED_VALUE"""),"Eritrea")</f>
        <v>Eritrea</v>
      </c>
      <c r="D4987">
        <f>IFERROR(__xludf.DUMMYFUNCTION("""COMPUTED_VALUE"""),2019.0)</f>
        <v>2019</v>
      </c>
      <c r="E4987">
        <f>IFERROR(__xludf.DUMMYFUNCTION("""COMPUTED_VALUE"""),5309659.0)</f>
        <v>5309659</v>
      </c>
    </row>
    <row r="4988">
      <c r="A4988" t="str">
        <f t="shared" si="1"/>
        <v>eri#2020</v>
      </c>
      <c r="B4988" t="str">
        <f>IFERROR(__xludf.DUMMYFUNCTION("""COMPUTED_VALUE"""),"eri")</f>
        <v>eri</v>
      </c>
      <c r="C4988" t="str">
        <f>IFERROR(__xludf.DUMMYFUNCTION("""COMPUTED_VALUE"""),"Eritrea")</f>
        <v>Eritrea</v>
      </c>
      <c r="D4988">
        <f>IFERROR(__xludf.DUMMYFUNCTION("""COMPUTED_VALUE"""),2020.0)</f>
        <v>2020</v>
      </c>
      <c r="E4988">
        <f>IFERROR(__xludf.DUMMYFUNCTION("""COMPUTED_VALUE"""),5432216.0)</f>
        <v>5432216</v>
      </c>
    </row>
    <row r="4989">
      <c r="A4989" t="str">
        <f t="shared" si="1"/>
        <v>eri#2021</v>
      </c>
      <c r="B4989" t="str">
        <f>IFERROR(__xludf.DUMMYFUNCTION("""COMPUTED_VALUE"""),"eri")</f>
        <v>eri</v>
      </c>
      <c r="C4989" t="str">
        <f>IFERROR(__xludf.DUMMYFUNCTION("""COMPUTED_VALUE"""),"Eritrea")</f>
        <v>Eritrea</v>
      </c>
      <c r="D4989">
        <f>IFERROR(__xludf.DUMMYFUNCTION("""COMPUTED_VALUE"""),2021.0)</f>
        <v>2021</v>
      </c>
      <c r="E4989">
        <f>IFERROR(__xludf.DUMMYFUNCTION("""COMPUTED_VALUE"""),5555141.0)</f>
        <v>5555141</v>
      </c>
    </row>
    <row r="4990">
      <c r="A4990" t="str">
        <f t="shared" si="1"/>
        <v>eri#2022</v>
      </c>
      <c r="B4990" t="str">
        <f>IFERROR(__xludf.DUMMYFUNCTION("""COMPUTED_VALUE"""),"eri")</f>
        <v>eri</v>
      </c>
      <c r="C4990" t="str">
        <f>IFERROR(__xludf.DUMMYFUNCTION("""COMPUTED_VALUE"""),"Eritrea")</f>
        <v>Eritrea</v>
      </c>
      <c r="D4990">
        <f>IFERROR(__xludf.DUMMYFUNCTION("""COMPUTED_VALUE"""),2022.0)</f>
        <v>2022</v>
      </c>
      <c r="E4990">
        <f>IFERROR(__xludf.DUMMYFUNCTION("""COMPUTED_VALUE"""),5678798.0)</f>
        <v>5678798</v>
      </c>
    </row>
    <row r="4991">
      <c r="A4991" t="str">
        <f t="shared" si="1"/>
        <v>eri#2023</v>
      </c>
      <c r="B4991" t="str">
        <f>IFERROR(__xludf.DUMMYFUNCTION("""COMPUTED_VALUE"""),"eri")</f>
        <v>eri</v>
      </c>
      <c r="C4991" t="str">
        <f>IFERROR(__xludf.DUMMYFUNCTION("""COMPUTED_VALUE"""),"Eritrea")</f>
        <v>Eritrea</v>
      </c>
      <c r="D4991">
        <f>IFERROR(__xludf.DUMMYFUNCTION("""COMPUTED_VALUE"""),2023.0)</f>
        <v>2023</v>
      </c>
      <c r="E4991">
        <f>IFERROR(__xludf.DUMMYFUNCTION("""COMPUTED_VALUE"""),5803376.0)</f>
        <v>5803376</v>
      </c>
    </row>
    <row r="4992">
      <c r="A4992" t="str">
        <f t="shared" si="1"/>
        <v>eri#2024</v>
      </c>
      <c r="B4992" t="str">
        <f>IFERROR(__xludf.DUMMYFUNCTION("""COMPUTED_VALUE"""),"eri")</f>
        <v>eri</v>
      </c>
      <c r="C4992" t="str">
        <f>IFERROR(__xludf.DUMMYFUNCTION("""COMPUTED_VALUE"""),"Eritrea")</f>
        <v>Eritrea</v>
      </c>
      <c r="D4992">
        <f>IFERROR(__xludf.DUMMYFUNCTION("""COMPUTED_VALUE"""),2024.0)</f>
        <v>2024</v>
      </c>
      <c r="E4992">
        <f>IFERROR(__xludf.DUMMYFUNCTION("""COMPUTED_VALUE"""),5929298.0)</f>
        <v>5929298</v>
      </c>
    </row>
    <row r="4993">
      <c r="A4993" t="str">
        <f t="shared" si="1"/>
        <v>eri#2025</v>
      </c>
      <c r="B4993" t="str">
        <f>IFERROR(__xludf.DUMMYFUNCTION("""COMPUTED_VALUE"""),"eri")</f>
        <v>eri</v>
      </c>
      <c r="C4993" t="str">
        <f>IFERROR(__xludf.DUMMYFUNCTION("""COMPUTED_VALUE"""),"Eritrea")</f>
        <v>Eritrea</v>
      </c>
      <c r="D4993">
        <f>IFERROR(__xludf.DUMMYFUNCTION("""COMPUTED_VALUE"""),2025.0)</f>
        <v>2025</v>
      </c>
      <c r="E4993">
        <f>IFERROR(__xludf.DUMMYFUNCTION("""COMPUTED_VALUE"""),6056880.0)</f>
        <v>6056880</v>
      </c>
    </row>
    <row r="4994">
      <c r="A4994" t="str">
        <f t="shared" si="1"/>
        <v>eri#2026</v>
      </c>
      <c r="B4994" t="str">
        <f>IFERROR(__xludf.DUMMYFUNCTION("""COMPUTED_VALUE"""),"eri")</f>
        <v>eri</v>
      </c>
      <c r="C4994" t="str">
        <f>IFERROR(__xludf.DUMMYFUNCTION("""COMPUTED_VALUE"""),"Eritrea")</f>
        <v>Eritrea</v>
      </c>
      <c r="D4994">
        <f>IFERROR(__xludf.DUMMYFUNCTION("""COMPUTED_VALUE"""),2026.0)</f>
        <v>2026</v>
      </c>
      <c r="E4994">
        <f>IFERROR(__xludf.DUMMYFUNCTION("""COMPUTED_VALUE"""),6186016.0)</f>
        <v>6186016</v>
      </c>
    </row>
    <row r="4995">
      <c r="A4995" t="str">
        <f t="shared" si="1"/>
        <v>eri#2027</v>
      </c>
      <c r="B4995" t="str">
        <f>IFERROR(__xludf.DUMMYFUNCTION("""COMPUTED_VALUE"""),"eri")</f>
        <v>eri</v>
      </c>
      <c r="C4995" t="str">
        <f>IFERROR(__xludf.DUMMYFUNCTION("""COMPUTED_VALUE"""),"Eritrea")</f>
        <v>Eritrea</v>
      </c>
      <c r="D4995">
        <f>IFERROR(__xludf.DUMMYFUNCTION("""COMPUTED_VALUE"""),2027.0)</f>
        <v>2027</v>
      </c>
      <c r="E4995">
        <f>IFERROR(__xludf.DUMMYFUNCTION("""COMPUTED_VALUE"""),6316482.0)</f>
        <v>6316482</v>
      </c>
    </row>
    <row r="4996">
      <c r="A4996" t="str">
        <f t="shared" si="1"/>
        <v>eri#2028</v>
      </c>
      <c r="B4996" t="str">
        <f>IFERROR(__xludf.DUMMYFUNCTION("""COMPUTED_VALUE"""),"eri")</f>
        <v>eri</v>
      </c>
      <c r="C4996" t="str">
        <f>IFERROR(__xludf.DUMMYFUNCTION("""COMPUTED_VALUE"""),"Eritrea")</f>
        <v>Eritrea</v>
      </c>
      <c r="D4996">
        <f>IFERROR(__xludf.DUMMYFUNCTION("""COMPUTED_VALUE"""),2028.0)</f>
        <v>2028</v>
      </c>
      <c r="E4996">
        <f>IFERROR(__xludf.DUMMYFUNCTION("""COMPUTED_VALUE"""),6448451.0)</f>
        <v>6448451</v>
      </c>
    </row>
    <row r="4997">
      <c r="A4997" t="str">
        <f t="shared" si="1"/>
        <v>eri#2029</v>
      </c>
      <c r="B4997" t="str">
        <f>IFERROR(__xludf.DUMMYFUNCTION("""COMPUTED_VALUE"""),"eri")</f>
        <v>eri</v>
      </c>
      <c r="C4997" t="str">
        <f>IFERROR(__xludf.DUMMYFUNCTION("""COMPUTED_VALUE"""),"Eritrea")</f>
        <v>Eritrea</v>
      </c>
      <c r="D4997">
        <f>IFERROR(__xludf.DUMMYFUNCTION("""COMPUTED_VALUE"""),2029.0)</f>
        <v>2029</v>
      </c>
      <c r="E4997">
        <f>IFERROR(__xludf.DUMMYFUNCTION("""COMPUTED_VALUE"""),6582129.0)</f>
        <v>6582129</v>
      </c>
    </row>
    <row r="4998">
      <c r="A4998" t="str">
        <f t="shared" si="1"/>
        <v>eri#2030</v>
      </c>
      <c r="B4998" t="str">
        <f>IFERROR(__xludf.DUMMYFUNCTION("""COMPUTED_VALUE"""),"eri")</f>
        <v>eri</v>
      </c>
      <c r="C4998" t="str">
        <f>IFERROR(__xludf.DUMMYFUNCTION("""COMPUTED_VALUE"""),"Eritrea")</f>
        <v>Eritrea</v>
      </c>
      <c r="D4998">
        <f>IFERROR(__xludf.DUMMYFUNCTION("""COMPUTED_VALUE"""),2030.0)</f>
        <v>2030</v>
      </c>
      <c r="E4998">
        <f>IFERROR(__xludf.DUMMYFUNCTION("""COMPUTED_VALUE"""),6717687.0)</f>
        <v>6717687</v>
      </c>
    </row>
    <row r="4999">
      <c r="A4999" t="str">
        <f t="shared" si="1"/>
        <v>eri#2031</v>
      </c>
      <c r="B4999" t="str">
        <f>IFERROR(__xludf.DUMMYFUNCTION("""COMPUTED_VALUE"""),"eri")</f>
        <v>eri</v>
      </c>
      <c r="C4999" t="str">
        <f>IFERROR(__xludf.DUMMYFUNCTION("""COMPUTED_VALUE"""),"Eritrea")</f>
        <v>Eritrea</v>
      </c>
      <c r="D4999">
        <f>IFERROR(__xludf.DUMMYFUNCTION("""COMPUTED_VALUE"""),2031.0)</f>
        <v>2031</v>
      </c>
      <c r="E4999">
        <f>IFERROR(__xludf.DUMMYFUNCTION("""COMPUTED_VALUE"""),6855107.0)</f>
        <v>6855107</v>
      </c>
    </row>
    <row r="5000">
      <c r="A5000" t="str">
        <f t="shared" si="1"/>
        <v>eri#2032</v>
      </c>
      <c r="B5000" t="str">
        <f>IFERROR(__xludf.DUMMYFUNCTION("""COMPUTED_VALUE"""),"eri")</f>
        <v>eri</v>
      </c>
      <c r="C5000" t="str">
        <f>IFERROR(__xludf.DUMMYFUNCTION("""COMPUTED_VALUE"""),"Eritrea")</f>
        <v>Eritrea</v>
      </c>
      <c r="D5000">
        <f>IFERROR(__xludf.DUMMYFUNCTION("""COMPUTED_VALUE"""),2032.0)</f>
        <v>2032</v>
      </c>
      <c r="E5000">
        <f>IFERROR(__xludf.DUMMYFUNCTION("""COMPUTED_VALUE"""),6994250.0)</f>
        <v>6994250</v>
      </c>
    </row>
    <row r="5001">
      <c r="A5001" t="str">
        <f t="shared" si="1"/>
        <v>eri#2033</v>
      </c>
      <c r="B5001" t="str">
        <f>IFERROR(__xludf.DUMMYFUNCTION("""COMPUTED_VALUE"""),"eri")</f>
        <v>eri</v>
      </c>
      <c r="C5001" t="str">
        <f>IFERROR(__xludf.DUMMYFUNCTION("""COMPUTED_VALUE"""),"Eritrea")</f>
        <v>Eritrea</v>
      </c>
      <c r="D5001">
        <f>IFERROR(__xludf.DUMMYFUNCTION("""COMPUTED_VALUE"""),2033.0)</f>
        <v>2033</v>
      </c>
      <c r="E5001">
        <f>IFERROR(__xludf.DUMMYFUNCTION("""COMPUTED_VALUE"""),7135034.0)</f>
        <v>7135034</v>
      </c>
    </row>
    <row r="5002">
      <c r="A5002" t="str">
        <f t="shared" si="1"/>
        <v>eri#2034</v>
      </c>
      <c r="B5002" t="str">
        <f>IFERROR(__xludf.DUMMYFUNCTION("""COMPUTED_VALUE"""),"eri")</f>
        <v>eri</v>
      </c>
      <c r="C5002" t="str">
        <f>IFERROR(__xludf.DUMMYFUNCTION("""COMPUTED_VALUE"""),"Eritrea")</f>
        <v>Eritrea</v>
      </c>
      <c r="D5002">
        <f>IFERROR(__xludf.DUMMYFUNCTION("""COMPUTED_VALUE"""),2034.0)</f>
        <v>2034</v>
      </c>
      <c r="E5002">
        <f>IFERROR(__xludf.DUMMYFUNCTION("""COMPUTED_VALUE"""),7277273.0)</f>
        <v>7277273</v>
      </c>
    </row>
    <row r="5003">
      <c r="A5003" t="str">
        <f t="shared" si="1"/>
        <v>eri#2035</v>
      </c>
      <c r="B5003" t="str">
        <f>IFERROR(__xludf.DUMMYFUNCTION("""COMPUTED_VALUE"""),"eri")</f>
        <v>eri</v>
      </c>
      <c r="C5003" t="str">
        <f>IFERROR(__xludf.DUMMYFUNCTION("""COMPUTED_VALUE"""),"Eritrea")</f>
        <v>Eritrea</v>
      </c>
      <c r="D5003">
        <f>IFERROR(__xludf.DUMMYFUNCTION("""COMPUTED_VALUE"""),2035.0)</f>
        <v>2035</v>
      </c>
      <c r="E5003">
        <f>IFERROR(__xludf.DUMMYFUNCTION("""COMPUTED_VALUE"""),7420805.0)</f>
        <v>7420805</v>
      </c>
    </row>
    <row r="5004">
      <c r="A5004" t="str">
        <f t="shared" si="1"/>
        <v>eri#2036</v>
      </c>
      <c r="B5004" t="str">
        <f>IFERROR(__xludf.DUMMYFUNCTION("""COMPUTED_VALUE"""),"eri")</f>
        <v>eri</v>
      </c>
      <c r="C5004" t="str">
        <f>IFERROR(__xludf.DUMMYFUNCTION("""COMPUTED_VALUE"""),"Eritrea")</f>
        <v>Eritrea</v>
      </c>
      <c r="D5004">
        <f>IFERROR(__xludf.DUMMYFUNCTION("""COMPUTED_VALUE"""),2036.0)</f>
        <v>2036</v>
      </c>
      <c r="E5004">
        <f>IFERROR(__xludf.DUMMYFUNCTION("""COMPUTED_VALUE"""),7565543.0)</f>
        <v>7565543</v>
      </c>
    </row>
    <row r="5005">
      <c r="A5005" t="str">
        <f t="shared" si="1"/>
        <v>eri#2037</v>
      </c>
      <c r="B5005" t="str">
        <f>IFERROR(__xludf.DUMMYFUNCTION("""COMPUTED_VALUE"""),"eri")</f>
        <v>eri</v>
      </c>
      <c r="C5005" t="str">
        <f>IFERROR(__xludf.DUMMYFUNCTION("""COMPUTED_VALUE"""),"Eritrea")</f>
        <v>Eritrea</v>
      </c>
      <c r="D5005">
        <f>IFERROR(__xludf.DUMMYFUNCTION("""COMPUTED_VALUE"""),2037.0)</f>
        <v>2037</v>
      </c>
      <c r="E5005">
        <f>IFERROR(__xludf.DUMMYFUNCTION("""COMPUTED_VALUE"""),7711344.0)</f>
        <v>7711344</v>
      </c>
    </row>
    <row r="5006">
      <c r="A5006" t="str">
        <f t="shared" si="1"/>
        <v>eri#2038</v>
      </c>
      <c r="B5006" t="str">
        <f>IFERROR(__xludf.DUMMYFUNCTION("""COMPUTED_VALUE"""),"eri")</f>
        <v>eri</v>
      </c>
      <c r="C5006" t="str">
        <f>IFERROR(__xludf.DUMMYFUNCTION("""COMPUTED_VALUE"""),"Eritrea")</f>
        <v>Eritrea</v>
      </c>
      <c r="D5006">
        <f>IFERROR(__xludf.DUMMYFUNCTION("""COMPUTED_VALUE"""),2038.0)</f>
        <v>2038</v>
      </c>
      <c r="E5006">
        <f>IFERROR(__xludf.DUMMYFUNCTION("""COMPUTED_VALUE"""),7857969.0)</f>
        <v>7857969</v>
      </c>
    </row>
    <row r="5007">
      <c r="A5007" t="str">
        <f t="shared" si="1"/>
        <v>eri#2039</v>
      </c>
      <c r="B5007" t="str">
        <f>IFERROR(__xludf.DUMMYFUNCTION("""COMPUTED_VALUE"""),"eri")</f>
        <v>eri</v>
      </c>
      <c r="C5007" t="str">
        <f>IFERROR(__xludf.DUMMYFUNCTION("""COMPUTED_VALUE"""),"Eritrea")</f>
        <v>Eritrea</v>
      </c>
      <c r="D5007">
        <f>IFERROR(__xludf.DUMMYFUNCTION("""COMPUTED_VALUE"""),2039.0)</f>
        <v>2039</v>
      </c>
      <c r="E5007">
        <f>IFERROR(__xludf.DUMMYFUNCTION("""COMPUTED_VALUE"""),8005125.0)</f>
        <v>8005125</v>
      </c>
    </row>
    <row r="5008">
      <c r="A5008" t="str">
        <f t="shared" si="1"/>
        <v>eri#2040</v>
      </c>
      <c r="B5008" t="str">
        <f>IFERROR(__xludf.DUMMYFUNCTION("""COMPUTED_VALUE"""),"eri")</f>
        <v>eri</v>
      </c>
      <c r="C5008" t="str">
        <f>IFERROR(__xludf.DUMMYFUNCTION("""COMPUTED_VALUE"""),"Eritrea")</f>
        <v>Eritrea</v>
      </c>
      <c r="D5008">
        <f>IFERROR(__xludf.DUMMYFUNCTION("""COMPUTED_VALUE"""),2040.0)</f>
        <v>2040</v>
      </c>
      <c r="E5008">
        <f>IFERROR(__xludf.DUMMYFUNCTION("""COMPUTED_VALUE"""),8152540.0)</f>
        <v>8152540</v>
      </c>
    </row>
    <row r="5009">
      <c r="A5009" t="str">
        <f t="shared" si="1"/>
        <v>est#1950</v>
      </c>
      <c r="B5009" t="str">
        <f>IFERROR(__xludf.DUMMYFUNCTION("""COMPUTED_VALUE"""),"est")</f>
        <v>est</v>
      </c>
      <c r="C5009" t="str">
        <f>IFERROR(__xludf.DUMMYFUNCTION("""COMPUTED_VALUE"""),"Estonia")</f>
        <v>Estonia</v>
      </c>
      <c r="D5009">
        <f>IFERROR(__xludf.DUMMYFUNCTION("""COMPUTED_VALUE"""),1950.0)</f>
        <v>1950</v>
      </c>
      <c r="E5009">
        <f>IFERROR(__xludf.DUMMYFUNCTION("""COMPUTED_VALUE"""),1100995.0)</f>
        <v>1100995</v>
      </c>
    </row>
    <row r="5010">
      <c r="A5010" t="str">
        <f t="shared" si="1"/>
        <v>est#1951</v>
      </c>
      <c r="B5010" t="str">
        <f>IFERROR(__xludf.DUMMYFUNCTION("""COMPUTED_VALUE"""),"est")</f>
        <v>est</v>
      </c>
      <c r="C5010" t="str">
        <f>IFERROR(__xludf.DUMMYFUNCTION("""COMPUTED_VALUE"""),"Estonia")</f>
        <v>Estonia</v>
      </c>
      <c r="D5010">
        <f>IFERROR(__xludf.DUMMYFUNCTION("""COMPUTED_VALUE"""),1951.0)</f>
        <v>1951</v>
      </c>
      <c r="E5010">
        <f>IFERROR(__xludf.DUMMYFUNCTION("""COMPUTED_VALUE"""),1113247.0)</f>
        <v>1113247</v>
      </c>
    </row>
    <row r="5011">
      <c r="A5011" t="str">
        <f t="shared" si="1"/>
        <v>est#1952</v>
      </c>
      <c r="B5011" t="str">
        <f>IFERROR(__xludf.DUMMYFUNCTION("""COMPUTED_VALUE"""),"est")</f>
        <v>est</v>
      </c>
      <c r="C5011" t="str">
        <f>IFERROR(__xludf.DUMMYFUNCTION("""COMPUTED_VALUE"""),"Estonia")</f>
        <v>Estonia</v>
      </c>
      <c r="D5011">
        <f>IFERROR(__xludf.DUMMYFUNCTION("""COMPUTED_VALUE"""),1952.0)</f>
        <v>1952</v>
      </c>
      <c r="E5011">
        <f>IFERROR(__xludf.DUMMYFUNCTION("""COMPUTED_VALUE"""),1125240.0)</f>
        <v>1125240</v>
      </c>
    </row>
    <row r="5012">
      <c r="A5012" t="str">
        <f t="shared" si="1"/>
        <v>est#1953</v>
      </c>
      <c r="B5012" t="str">
        <f>IFERROR(__xludf.DUMMYFUNCTION("""COMPUTED_VALUE"""),"est")</f>
        <v>est</v>
      </c>
      <c r="C5012" t="str">
        <f>IFERROR(__xludf.DUMMYFUNCTION("""COMPUTED_VALUE"""),"Estonia")</f>
        <v>Estonia</v>
      </c>
      <c r="D5012">
        <f>IFERROR(__xludf.DUMMYFUNCTION("""COMPUTED_VALUE"""),1953.0)</f>
        <v>1953</v>
      </c>
      <c r="E5012">
        <f>IFERROR(__xludf.DUMMYFUNCTION("""COMPUTED_VALUE"""),1136904.0)</f>
        <v>1136904</v>
      </c>
    </row>
    <row r="5013">
      <c r="A5013" t="str">
        <f t="shared" si="1"/>
        <v>est#1954</v>
      </c>
      <c r="B5013" t="str">
        <f>IFERROR(__xludf.DUMMYFUNCTION("""COMPUTED_VALUE"""),"est")</f>
        <v>est</v>
      </c>
      <c r="C5013" t="str">
        <f>IFERROR(__xludf.DUMMYFUNCTION("""COMPUTED_VALUE"""),"Estonia")</f>
        <v>Estonia</v>
      </c>
      <c r="D5013">
        <f>IFERROR(__xludf.DUMMYFUNCTION("""COMPUTED_VALUE"""),1954.0)</f>
        <v>1954</v>
      </c>
      <c r="E5013">
        <f>IFERROR(__xludf.DUMMYFUNCTION("""COMPUTED_VALUE"""),1148213.0)</f>
        <v>1148213</v>
      </c>
    </row>
    <row r="5014">
      <c r="A5014" t="str">
        <f t="shared" si="1"/>
        <v>est#1955</v>
      </c>
      <c r="B5014" t="str">
        <f>IFERROR(__xludf.DUMMYFUNCTION("""COMPUTED_VALUE"""),"est")</f>
        <v>est</v>
      </c>
      <c r="C5014" t="str">
        <f>IFERROR(__xludf.DUMMYFUNCTION("""COMPUTED_VALUE"""),"Estonia")</f>
        <v>Estonia</v>
      </c>
      <c r="D5014">
        <f>IFERROR(__xludf.DUMMYFUNCTION("""COMPUTED_VALUE"""),1955.0)</f>
        <v>1955</v>
      </c>
      <c r="E5014">
        <f>IFERROR(__xludf.DUMMYFUNCTION("""COMPUTED_VALUE"""),1159231.0)</f>
        <v>1159231</v>
      </c>
    </row>
    <row r="5015">
      <c r="A5015" t="str">
        <f t="shared" si="1"/>
        <v>est#1956</v>
      </c>
      <c r="B5015" t="str">
        <f>IFERROR(__xludf.DUMMYFUNCTION("""COMPUTED_VALUE"""),"est")</f>
        <v>est</v>
      </c>
      <c r="C5015" t="str">
        <f>IFERROR(__xludf.DUMMYFUNCTION("""COMPUTED_VALUE"""),"Estonia")</f>
        <v>Estonia</v>
      </c>
      <c r="D5015">
        <f>IFERROR(__xludf.DUMMYFUNCTION("""COMPUTED_VALUE"""),1956.0)</f>
        <v>1956</v>
      </c>
      <c r="E5015">
        <f>IFERROR(__xludf.DUMMYFUNCTION("""COMPUTED_VALUE"""),1170101.0)</f>
        <v>1170101</v>
      </c>
    </row>
    <row r="5016">
      <c r="A5016" t="str">
        <f t="shared" si="1"/>
        <v>est#1957</v>
      </c>
      <c r="B5016" t="str">
        <f>IFERROR(__xludf.DUMMYFUNCTION("""COMPUTED_VALUE"""),"est")</f>
        <v>est</v>
      </c>
      <c r="C5016" t="str">
        <f>IFERROR(__xludf.DUMMYFUNCTION("""COMPUTED_VALUE"""),"Estonia")</f>
        <v>Estonia</v>
      </c>
      <c r="D5016">
        <f>IFERROR(__xludf.DUMMYFUNCTION("""COMPUTED_VALUE"""),1957.0)</f>
        <v>1957</v>
      </c>
      <c r="E5016">
        <f>IFERROR(__xludf.DUMMYFUNCTION("""COMPUTED_VALUE"""),1181019.0)</f>
        <v>1181019</v>
      </c>
    </row>
    <row r="5017">
      <c r="A5017" t="str">
        <f t="shared" si="1"/>
        <v>est#1958</v>
      </c>
      <c r="B5017" t="str">
        <f>IFERROR(__xludf.DUMMYFUNCTION("""COMPUTED_VALUE"""),"est")</f>
        <v>est</v>
      </c>
      <c r="C5017" t="str">
        <f>IFERROR(__xludf.DUMMYFUNCTION("""COMPUTED_VALUE"""),"Estonia")</f>
        <v>Estonia</v>
      </c>
      <c r="D5017">
        <f>IFERROR(__xludf.DUMMYFUNCTION("""COMPUTED_VALUE"""),1958.0)</f>
        <v>1958</v>
      </c>
      <c r="E5017">
        <f>IFERROR(__xludf.DUMMYFUNCTION("""COMPUTED_VALUE"""),1192253.0)</f>
        <v>1192253</v>
      </c>
    </row>
    <row r="5018">
      <c r="A5018" t="str">
        <f t="shared" si="1"/>
        <v>est#1959</v>
      </c>
      <c r="B5018" t="str">
        <f>IFERROR(__xludf.DUMMYFUNCTION("""COMPUTED_VALUE"""),"est")</f>
        <v>est</v>
      </c>
      <c r="C5018" t="str">
        <f>IFERROR(__xludf.DUMMYFUNCTION("""COMPUTED_VALUE"""),"Estonia")</f>
        <v>Estonia</v>
      </c>
      <c r="D5018">
        <f>IFERROR(__xludf.DUMMYFUNCTION("""COMPUTED_VALUE"""),1959.0)</f>
        <v>1959</v>
      </c>
      <c r="E5018">
        <f>IFERROR(__xludf.DUMMYFUNCTION("""COMPUTED_VALUE"""),1204108.0)</f>
        <v>1204108</v>
      </c>
    </row>
    <row r="5019">
      <c r="A5019" t="str">
        <f t="shared" si="1"/>
        <v>est#1960</v>
      </c>
      <c r="B5019" t="str">
        <f>IFERROR(__xludf.DUMMYFUNCTION("""COMPUTED_VALUE"""),"est")</f>
        <v>est</v>
      </c>
      <c r="C5019" t="str">
        <f>IFERROR(__xludf.DUMMYFUNCTION("""COMPUTED_VALUE"""),"Estonia")</f>
        <v>Estonia</v>
      </c>
      <c r="D5019">
        <f>IFERROR(__xludf.DUMMYFUNCTION("""COMPUTED_VALUE"""),1960.0)</f>
        <v>1960</v>
      </c>
      <c r="E5019">
        <f>IFERROR(__xludf.DUMMYFUNCTION("""COMPUTED_VALUE"""),1216819.0)</f>
        <v>1216819</v>
      </c>
    </row>
    <row r="5020">
      <c r="A5020" t="str">
        <f t="shared" si="1"/>
        <v>est#1961</v>
      </c>
      <c r="B5020" t="str">
        <f>IFERROR(__xludf.DUMMYFUNCTION("""COMPUTED_VALUE"""),"est")</f>
        <v>est</v>
      </c>
      <c r="C5020" t="str">
        <f>IFERROR(__xludf.DUMMYFUNCTION("""COMPUTED_VALUE"""),"Estonia")</f>
        <v>Estonia</v>
      </c>
      <c r="D5020">
        <f>IFERROR(__xludf.DUMMYFUNCTION("""COMPUTED_VALUE"""),1961.0)</f>
        <v>1961</v>
      </c>
      <c r="E5020">
        <f>IFERROR(__xludf.DUMMYFUNCTION("""COMPUTED_VALUE"""),1230499.0)</f>
        <v>1230499</v>
      </c>
    </row>
    <row r="5021">
      <c r="A5021" t="str">
        <f t="shared" si="1"/>
        <v>est#1962</v>
      </c>
      <c r="B5021" t="str">
        <f>IFERROR(__xludf.DUMMYFUNCTION("""COMPUTED_VALUE"""),"est")</f>
        <v>est</v>
      </c>
      <c r="C5021" t="str">
        <f>IFERROR(__xludf.DUMMYFUNCTION("""COMPUTED_VALUE"""),"Estonia")</f>
        <v>Estonia</v>
      </c>
      <c r="D5021">
        <f>IFERROR(__xludf.DUMMYFUNCTION("""COMPUTED_VALUE"""),1962.0)</f>
        <v>1962</v>
      </c>
      <c r="E5021">
        <f>IFERROR(__xludf.DUMMYFUNCTION("""COMPUTED_VALUE"""),1245076.0)</f>
        <v>1245076</v>
      </c>
    </row>
    <row r="5022">
      <c r="A5022" t="str">
        <f t="shared" si="1"/>
        <v>est#1963</v>
      </c>
      <c r="B5022" t="str">
        <f>IFERROR(__xludf.DUMMYFUNCTION("""COMPUTED_VALUE"""),"est")</f>
        <v>est</v>
      </c>
      <c r="C5022" t="str">
        <f>IFERROR(__xludf.DUMMYFUNCTION("""COMPUTED_VALUE"""),"Estonia")</f>
        <v>Estonia</v>
      </c>
      <c r="D5022">
        <f>IFERROR(__xludf.DUMMYFUNCTION("""COMPUTED_VALUE"""),1963.0)</f>
        <v>1963</v>
      </c>
      <c r="E5022">
        <f>IFERROR(__xludf.DUMMYFUNCTION("""COMPUTED_VALUE"""),1260213.0)</f>
        <v>1260213</v>
      </c>
    </row>
    <row r="5023">
      <c r="A5023" t="str">
        <f t="shared" si="1"/>
        <v>est#1964</v>
      </c>
      <c r="B5023" t="str">
        <f>IFERROR(__xludf.DUMMYFUNCTION("""COMPUTED_VALUE"""),"est")</f>
        <v>est</v>
      </c>
      <c r="C5023" t="str">
        <f>IFERROR(__xludf.DUMMYFUNCTION("""COMPUTED_VALUE"""),"Estonia")</f>
        <v>Estonia</v>
      </c>
      <c r="D5023">
        <f>IFERROR(__xludf.DUMMYFUNCTION("""COMPUTED_VALUE"""),1964.0)</f>
        <v>1964</v>
      </c>
      <c r="E5023">
        <f>IFERROR(__xludf.DUMMYFUNCTION("""COMPUTED_VALUE"""),1275437.0)</f>
        <v>1275437</v>
      </c>
    </row>
    <row r="5024">
      <c r="A5024" t="str">
        <f t="shared" si="1"/>
        <v>est#1965</v>
      </c>
      <c r="B5024" t="str">
        <f>IFERROR(__xludf.DUMMYFUNCTION("""COMPUTED_VALUE"""),"est")</f>
        <v>est</v>
      </c>
      <c r="C5024" t="str">
        <f>IFERROR(__xludf.DUMMYFUNCTION("""COMPUTED_VALUE"""),"Estonia")</f>
        <v>Estonia</v>
      </c>
      <c r="D5024">
        <f>IFERROR(__xludf.DUMMYFUNCTION("""COMPUTED_VALUE"""),1965.0)</f>
        <v>1965</v>
      </c>
      <c r="E5024">
        <f>IFERROR(__xludf.DUMMYFUNCTION("""COMPUTED_VALUE"""),1290396.0)</f>
        <v>1290396</v>
      </c>
    </row>
    <row r="5025">
      <c r="A5025" t="str">
        <f t="shared" si="1"/>
        <v>est#1966</v>
      </c>
      <c r="B5025" t="str">
        <f>IFERROR(__xludf.DUMMYFUNCTION("""COMPUTED_VALUE"""),"est")</f>
        <v>est</v>
      </c>
      <c r="C5025" t="str">
        <f>IFERROR(__xludf.DUMMYFUNCTION("""COMPUTED_VALUE"""),"Estonia")</f>
        <v>Estonia</v>
      </c>
      <c r="D5025">
        <f>IFERROR(__xludf.DUMMYFUNCTION("""COMPUTED_VALUE"""),1966.0)</f>
        <v>1966</v>
      </c>
      <c r="E5025">
        <f>IFERROR(__xludf.DUMMYFUNCTION("""COMPUTED_VALUE"""),1304987.0)</f>
        <v>1304987</v>
      </c>
    </row>
    <row r="5026">
      <c r="A5026" t="str">
        <f t="shared" si="1"/>
        <v>est#1967</v>
      </c>
      <c r="B5026" t="str">
        <f>IFERROR(__xludf.DUMMYFUNCTION("""COMPUTED_VALUE"""),"est")</f>
        <v>est</v>
      </c>
      <c r="C5026" t="str">
        <f>IFERROR(__xludf.DUMMYFUNCTION("""COMPUTED_VALUE"""),"Estonia")</f>
        <v>Estonia</v>
      </c>
      <c r="D5026">
        <f>IFERROR(__xludf.DUMMYFUNCTION("""COMPUTED_VALUE"""),1967.0)</f>
        <v>1967</v>
      </c>
      <c r="E5026">
        <f>IFERROR(__xludf.DUMMYFUNCTION("""COMPUTED_VALUE"""),1319245.0)</f>
        <v>1319245</v>
      </c>
    </row>
    <row r="5027">
      <c r="A5027" t="str">
        <f t="shared" si="1"/>
        <v>est#1968</v>
      </c>
      <c r="B5027" t="str">
        <f>IFERROR(__xludf.DUMMYFUNCTION("""COMPUTED_VALUE"""),"est")</f>
        <v>est</v>
      </c>
      <c r="C5027" t="str">
        <f>IFERROR(__xludf.DUMMYFUNCTION("""COMPUTED_VALUE"""),"Estonia")</f>
        <v>Estonia</v>
      </c>
      <c r="D5027">
        <f>IFERROR(__xludf.DUMMYFUNCTION("""COMPUTED_VALUE"""),1968.0)</f>
        <v>1968</v>
      </c>
      <c r="E5027">
        <f>IFERROR(__xludf.DUMMYFUNCTION("""COMPUTED_VALUE"""),1333176.0)</f>
        <v>1333176</v>
      </c>
    </row>
    <row r="5028">
      <c r="A5028" t="str">
        <f t="shared" si="1"/>
        <v>est#1969</v>
      </c>
      <c r="B5028" t="str">
        <f>IFERROR(__xludf.DUMMYFUNCTION("""COMPUTED_VALUE"""),"est")</f>
        <v>est</v>
      </c>
      <c r="C5028" t="str">
        <f>IFERROR(__xludf.DUMMYFUNCTION("""COMPUTED_VALUE"""),"Estonia")</f>
        <v>Estonia</v>
      </c>
      <c r="D5028">
        <f>IFERROR(__xludf.DUMMYFUNCTION("""COMPUTED_VALUE"""),1969.0)</f>
        <v>1969</v>
      </c>
      <c r="E5028">
        <f>IFERROR(__xludf.DUMMYFUNCTION("""COMPUTED_VALUE"""),1346818.0)</f>
        <v>1346818</v>
      </c>
    </row>
    <row r="5029">
      <c r="A5029" t="str">
        <f t="shared" si="1"/>
        <v>est#1970</v>
      </c>
      <c r="B5029" t="str">
        <f>IFERROR(__xludf.DUMMYFUNCTION("""COMPUTED_VALUE"""),"est")</f>
        <v>est</v>
      </c>
      <c r="C5029" t="str">
        <f>IFERROR(__xludf.DUMMYFUNCTION("""COMPUTED_VALUE"""),"Estonia")</f>
        <v>Estonia</v>
      </c>
      <c r="D5029">
        <f>IFERROR(__xludf.DUMMYFUNCTION("""COMPUTED_VALUE"""),1970.0)</f>
        <v>1970</v>
      </c>
      <c r="E5029">
        <f>IFERROR(__xludf.DUMMYFUNCTION("""COMPUTED_VALUE"""),1360202.0)</f>
        <v>1360202</v>
      </c>
    </row>
    <row r="5030">
      <c r="A5030" t="str">
        <f t="shared" si="1"/>
        <v>est#1971</v>
      </c>
      <c r="B5030" t="str">
        <f>IFERROR(__xludf.DUMMYFUNCTION("""COMPUTED_VALUE"""),"est")</f>
        <v>est</v>
      </c>
      <c r="C5030" t="str">
        <f>IFERROR(__xludf.DUMMYFUNCTION("""COMPUTED_VALUE"""),"Estonia")</f>
        <v>Estonia</v>
      </c>
      <c r="D5030">
        <f>IFERROR(__xludf.DUMMYFUNCTION("""COMPUTED_VALUE"""),1971.0)</f>
        <v>1971</v>
      </c>
      <c r="E5030">
        <f>IFERROR(__xludf.DUMMYFUNCTION("""COMPUTED_VALUE"""),1373306.0)</f>
        <v>1373306</v>
      </c>
    </row>
    <row r="5031">
      <c r="A5031" t="str">
        <f t="shared" si="1"/>
        <v>est#1972</v>
      </c>
      <c r="B5031" t="str">
        <f>IFERROR(__xludf.DUMMYFUNCTION("""COMPUTED_VALUE"""),"est")</f>
        <v>est</v>
      </c>
      <c r="C5031" t="str">
        <f>IFERROR(__xludf.DUMMYFUNCTION("""COMPUTED_VALUE"""),"Estonia")</f>
        <v>Estonia</v>
      </c>
      <c r="D5031">
        <f>IFERROR(__xludf.DUMMYFUNCTION("""COMPUTED_VALUE"""),1972.0)</f>
        <v>1972</v>
      </c>
      <c r="E5031">
        <f>IFERROR(__xludf.DUMMYFUNCTION("""COMPUTED_VALUE"""),1386068.0)</f>
        <v>1386068</v>
      </c>
    </row>
    <row r="5032">
      <c r="A5032" t="str">
        <f t="shared" si="1"/>
        <v>est#1973</v>
      </c>
      <c r="B5032" t="str">
        <f>IFERROR(__xludf.DUMMYFUNCTION("""COMPUTED_VALUE"""),"est")</f>
        <v>est</v>
      </c>
      <c r="C5032" t="str">
        <f>IFERROR(__xludf.DUMMYFUNCTION("""COMPUTED_VALUE"""),"Estonia")</f>
        <v>Estonia</v>
      </c>
      <c r="D5032">
        <f>IFERROR(__xludf.DUMMYFUNCTION("""COMPUTED_VALUE"""),1973.0)</f>
        <v>1973</v>
      </c>
      <c r="E5032">
        <f>IFERROR(__xludf.DUMMYFUNCTION("""COMPUTED_VALUE"""),1398471.0)</f>
        <v>1398471</v>
      </c>
    </row>
    <row r="5033">
      <c r="A5033" t="str">
        <f t="shared" si="1"/>
        <v>est#1974</v>
      </c>
      <c r="B5033" t="str">
        <f>IFERROR(__xludf.DUMMYFUNCTION("""COMPUTED_VALUE"""),"est")</f>
        <v>est</v>
      </c>
      <c r="C5033" t="str">
        <f>IFERROR(__xludf.DUMMYFUNCTION("""COMPUTED_VALUE"""),"Estonia")</f>
        <v>Estonia</v>
      </c>
      <c r="D5033">
        <f>IFERROR(__xludf.DUMMYFUNCTION("""COMPUTED_VALUE"""),1974.0)</f>
        <v>1974</v>
      </c>
      <c r="E5033">
        <f>IFERROR(__xludf.DUMMYFUNCTION("""COMPUTED_VALUE"""),1410467.0)</f>
        <v>1410467</v>
      </c>
    </row>
    <row r="5034">
      <c r="A5034" t="str">
        <f t="shared" si="1"/>
        <v>est#1975</v>
      </c>
      <c r="B5034" t="str">
        <f>IFERROR(__xludf.DUMMYFUNCTION("""COMPUTED_VALUE"""),"est")</f>
        <v>est</v>
      </c>
      <c r="C5034" t="str">
        <f>IFERROR(__xludf.DUMMYFUNCTION("""COMPUTED_VALUE"""),"Estonia")</f>
        <v>Estonia</v>
      </c>
      <c r="D5034">
        <f>IFERROR(__xludf.DUMMYFUNCTION("""COMPUTED_VALUE"""),1975.0)</f>
        <v>1975</v>
      </c>
      <c r="E5034">
        <f>IFERROR(__xludf.DUMMYFUNCTION("""COMPUTED_VALUE"""),1422042.0)</f>
        <v>1422042</v>
      </c>
    </row>
    <row r="5035">
      <c r="A5035" t="str">
        <f t="shared" si="1"/>
        <v>est#1976</v>
      </c>
      <c r="B5035" t="str">
        <f>IFERROR(__xludf.DUMMYFUNCTION("""COMPUTED_VALUE"""),"est")</f>
        <v>est</v>
      </c>
      <c r="C5035" t="str">
        <f>IFERROR(__xludf.DUMMYFUNCTION("""COMPUTED_VALUE"""),"Estonia")</f>
        <v>Estonia</v>
      </c>
      <c r="D5035">
        <f>IFERROR(__xludf.DUMMYFUNCTION("""COMPUTED_VALUE"""),1976.0)</f>
        <v>1976</v>
      </c>
      <c r="E5035">
        <f>IFERROR(__xludf.DUMMYFUNCTION("""COMPUTED_VALUE"""),1433178.0)</f>
        <v>1433178</v>
      </c>
    </row>
    <row r="5036">
      <c r="A5036" t="str">
        <f t="shared" si="1"/>
        <v>est#1977</v>
      </c>
      <c r="B5036" t="str">
        <f>IFERROR(__xludf.DUMMYFUNCTION("""COMPUTED_VALUE"""),"est")</f>
        <v>est</v>
      </c>
      <c r="C5036" t="str">
        <f>IFERROR(__xludf.DUMMYFUNCTION("""COMPUTED_VALUE"""),"Estonia")</f>
        <v>Estonia</v>
      </c>
      <c r="D5036">
        <f>IFERROR(__xludf.DUMMYFUNCTION("""COMPUTED_VALUE"""),1977.0)</f>
        <v>1977</v>
      </c>
      <c r="E5036">
        <f>IFERROR(__xludf.DUMMYFUNCTION("""COMPUTED_VALUE"""),1443889.0)</f>
        <v>1443889</v>
      </c>
    </row>
    <row r="5037">
      <c r="A5037" t="str">
        <f t="shared" si="1"/>
        <v>est#1978</v>
      </c>
      <c r="B5037" t="str">
        <f>IFERROR(__xludf.DUMMYFUNCTION("""COMPUTED_VALUE"""),"est")</f>
        <v>est</v>
      </c>
      <c r="C5037" t="str">
        <f>IFERROR(__xludf.DUMMYFUNCTION("""COMPUTED_VALUE"""),"Estonia")</f>
        <v>Estonia</v>
      </c>
      <c r="D5037">
        <f>IFERROR(__xludf.DUMMYFUNCTION("""COMPUTED_VALUE"""),1978.0)</f>
        <v>1978</v>
      </c>
      <c r="E5037">
        <f>IFERROR(__xludf.DUMMYFUNCTION("""COMPUTED_VALUE"""),1454273.0)</f>
        <v>1454273</v>
      </c>
    </row>
    <row r="5038">
      <c r="A5038" t="str">
        <f t="shared" si="1"/>
        <v>est#1979</v>
      </c>
      <c r="B5038" t="str">
        <f>IFERROR(__xludf.DUMMYFUNCTION("""COMPUTED_VALUE"""),"est")</f>
        <v>est</v>
      </c>
      <c r="C5038" t="str">
        <f>IFERROR(__xludf.DUMMYFUNCTION("""COMPUTED_VALUE"""),"Estonia")</f>
        <v>Estonia</v>
      </c>
      <c r="D5038">
        <f>IFERROR(__xludf.DUMMYFUNCTION("""COMPUTED_VALUE"""),1979.0)</f>
        <v>1979</v>
      </c>
      <c r="E5038">
        <f>IFERROR(__xludf.DUMMYFUNCTION("""COMPUTED_VALUE"""),1464416.0)</f>
        <v>1464416</v>
      </c>
    </row>
    <row r="5039">
      <c r="A5039" t="str">
        <f t="shared" si="1"/>
        <v>est#1980</v>
      </c>
      <c r="B5039" t="str">
        <f>IFERROR(__xludf.DUMMYFUNCTION("""COMPUTED_VALUE"""),"est")</f>
        <v>est</v>
      </c>
      <c r="C5039" t="str">
        <f>IFERROR(__xludf.DUMMYFUNCTION("""COMPUTED_VALUE"""),"Estonia")</f>
        <v>Estonia</v>
      </c>
      <c r="D5039">
        <f>IFERROR(__xludf.DUMMYFUNCTION("""COMPUTED_VALUE"""),1980.0)</f>
        <v>1980</v>
      </c>
      <c r="E5039">
        <f>IFERROR(__xludf.DUMMYFUNCTION("""COMPUTED_VALUE"""),1474436.0)</f>
        <v>1474436</v>
      </c>
    </row>
    <row r="5040">
      <c r="A5040" t="str">
        <f t="shared" si="1"/>
        <v>est#1981</v>
      </c>
      <c r="B5040" t="str">
        <f>IFERROR(__xludf.DUMMYFUNCTION("""COMPUTED_VALUE"""),"est")</f>
        <v>est</v>
      </c>
      <c r="C5040" t="str">
        <f>IFERROR(__xludf.DUMMYFUNCTION("""COMPUTED_VALUE"""),"Estonia")</f>
        <v>Estonia</v>
      </c>
      <c r="D5040">
        <f>IFERROR(__xludf.DUMMYFUNCTION("""COMPUTED_VALUE"""),1981.0)</f>
        <v>1981</v>
      </c>
      <c r="E5040">
        <f>IFERROR(__xludf.DUMMYFUNCTION("""COMPUTED_VALUE"""),1483873.0)</f>
        <v>1483873</v>
      </c>
    </row>
    <row r="5041">
      <c r="A5041" t="str">
        <f t="shared" si="1"/>
        <v>est#1982</v>
      </c>
      <c r="B5041" t="str">
        <f>IFERROR(__xludf.DUMMYFUNCTION("""COMPUTED_VALUE"""),"est")</f>
        <v>est</v>
      </c>
      <c r="C5041" t="str">
        <f>IFERROR(__xludf.DUMMYFUNCTION("""COMPUTED_VALUE"""),"Estonia")</f>
        <v>Estonia</v>
      </c>
      <c r="D5041">
        <f>IFERROR(__xludf.DUMMYFUNCTION("""COMPUTED_VALUE"""),1982.0)</f>
        <v>1982</v>
      </c>
      <c r="E5041">
        <f>IFERROR(__xludf.DUMMYFUNCTION("""COMPUTED_VALUE"""),1492641.0)</f>
        <v>1492641</v>
      </c>
    </row>
    <row r="5042">
      <c r="A5042" t="str">
        <f t="shared" si="1"/>
        <v>est#1983</v>
      </c>
      <c r="B5042" t="str">
        <f>IFERROR(__xludf.DUMMYFUNCTION("""COMPUTED_VALUE"""),"est")</f>
        <v>est</v>
      </c>
      <c r="C5042" t="str">
        <f>IFERROR(__xludf.DUMMYFUNCTION("""COMPUTED_VALUE"""),"Estonia")</f>
        <v>Estonia</v>
      </c>
      <c r="D5042">
        <f>IFERROR(__xludf.DUMMYFUNCTION("""COMPUTED_VALUE"""),1983.0)</f>
        <v>1983</v>
      </c>
      <c r="E5042">
        <f>IFERROR(__xludf.DUMMYFUNCTION("""COMPUTED_VALUE"""),1501420.0)</f>
        <v>1501420</v>
      </c>
    </row>
    <row r="5043">
      <c r="A5043" t="str">
        <f t="shared" si="1"/>
        <v>est#1984</v>
      </c>
      <c r="B5043" t="str">
        <f>IFERROR(__xludf.DUMMYFUNCTION("""COMPUTED_VALUE"""),"est")</f>
        <v>est</v>
      </c>
      <c r="C5043" t="str">
        <f>IFERROR(__xludf.DUMMYFUNCTION("""COMPUTED_VALUE"""),"Estonia")</f>
        <v>Estonia</v>
      </c>
      <c r="D5043">
        <f>IFERROR(__xludf.DUMMYFUNCTION("""COMPUTED_VALUE"""),1984.0)</f>
        <v>1984</v>
      </c>
      <c r="E5043">
        <f>IFERROR(__xludf.DUMMYFUNCTION("""COMPUTED_VALUE"""),1511199.0)</f>
        <v>1511199</v>
      </c>
    </row>
    <row r="5044">
      <c r="A5044" t="str">
        <f t="shared" si="1"/>
        <v>est#1985</v>
      </c>
      <c r="B5044" t="str">
        <f>IFERROR(__xludf.DUMMYFUNCTION("""COMPUTED_VALUE"""),"est")</f>
        <v>est</v>
      </c>
      <c r="C5044" t="str">
        <f>IFERROR(__xludf.DUMMYFUNCTION("""COMPUTED_VALUE"""),"Estonia")</f>
        <v>Estonia</v>
      </c>
      <c r="D5044">
        <f>IFERROR(__xludf.DUMMYFUNCTION("""COMPUTED_VALUE"""),1985.0)</f>
        <v>1985</v>
      </c>
      <c r="E5044">
        <f>IFERROR(__xludf.DUMMYFUNCTION("""COMPUTED_VALUE"""),1522397.0)</f>
        <v>1522397</v>
      </c>
    </row>
    <row r="5045">
      <c r="A5045" t="str">
        <f t="shared" si="1"/>
        <v>est#1986</v>
      </c>
      <c r="B5045" t="str">
        <f>IFERROR(__xludf.DUMMYFUNCTION("""COMPUTED_VALUE"""),"est")</f>
        <v>est</v>
      </c>
      <c r="C5045" t="str">
        <f>IFERROR(__xludf.DUMMYFUNCTION("""COMPUTED_VALUE"""),"Estonia")</f>
        <v>Estonia</v>
      </c>
      <c r="D5045">
        <f>IFERROR(__xludf.DUMMYFUNCTION("""COMPUTED_VALUE"""),1986.0)</f>
        <v>1986</v>
      </c>
      <c r="E5045">
        <f>IFERROR(__xludf.DUMMYFUNCTION("""COMPUTED_VALUE"""),1536033.0)</f>
        <v>1536033</v>
      </c>
    </row>
    <row r="5046">
      <c r="A5046" t="str">
        <f t="shared" si="1"/>
        <v>est#1987</v>
      </c>
      <c r="B5046" t="str">
        <f>IFERROR(__xludf.DUMMYFUNCTION("""COMPUTED_VALUE"""),"est")</f>
        <v>est</v>
      </c>
      <c r="C5046" t="str">
        <f>IFERROR(__xludf.DUMMYFUNCTION("""COMPUTED_VALUE"""),"Estonia")</f>
        <v>Estonia</v>
      </c>
      <c r="D5046">
        <f>IFERROR(__xludf.DUMMYFUNCTION("""COMPUTED_VALUE"""),1987.0)</f>
        <v>1987</v>
      </c>
      <c r="E5046">
        <f>IFERROR(__xludf.DUMMYFUNCTION("""COMPUTED_VALUE"""),1551208.0)</f>
        <v>1551208</v>
      </c>
    </row>
    <row r="5047">
      <c r="A5047" t="str">
        <f t="shared" si="1"/>
        <v>est#1988</v>
      </c>
      <c r="B5047" t="str">
        <f>IFERROR(__xludf.DUMMYFUNCTION("""COMPUTED_VALUE"""),"est")</f>
        <v>est</v>
      </c>
      <c r="C5047" t="str">
        <f>IFERROR(__xludf.DUMMYFUNCTION("""COMPUTED_VALUE"""),"Estonia")</f>
        <v>Estonia</v>
      </c>
      <c r="D5047">
        <f>IFERROR(__xludf.DUMMYFUNCTION("""COMPUTED_VALUE"""),1988.0)</f>
        <v>1988</v>
      </c>
      <c r="E5047">
        <f>IFERROR(__xludf.DUMMYFUNCTION("""COMPUTED_VALUE"""),1564192.0)</f>
        <v>1564192</v>
      </c>
    </row>
    <row r="5048">
      <c r="A5048" t="str">
        <f t="shared" si="1"/>
        <v>est#1989</v>
      </c>
      <c r="B5048" t="str">
        <f>IFERROR(__xludf.DUMMYFUNCTION("""COMPUTED_VALUE"""),"est")</f>
        <v>est</v>
      </c>
      <c r="C5048" t="str">
        <f>IFERROR(__xludf.DUMMYFUNCTION("""COMPUTED_VALUE"""),"Estonia")</f>
        <v>Estonia</v>
      </c>
      <c r="D5048">
        <f>IFERROR(__xludf.DUMMYFUNCTION("""COMPUTED_VALUE"""),1989.0)</f>
        <v>1989</v>
      </c>
      <c r="E5048">
        <f>IFERROR(__xludf.DUMMYFUNCTION("""COMPUTED_VALUE"""),1569971.0)</f>
        <v>1569971</v>
      </c>
    </row>
    <row r="5049">
      <c r="A5049" t="str">
        <f t="shared" si="1"/>
        <v>est#1990</v>
      </c>
      <c r="B5049" t="str">
        <f>IFERROR(__xludf.DUMMYFUNCTION("""COMPUTED_VALUE"""),"est")</f>
        <v>est</v>
      </c>
      <c r="C5049" t="str">
        <f>IFERROR(__xludf.DUMMYFUNCTION("""COMPUTED_VALUE"""),"Estonia")</f>
        <v>Estonia</v>
      </c>
      <c r="D5049">
        <f>IFERROR(__xludf.DUMMYFUNCTION("""COMPUTED_VALUE"""),1990.0)</f>
        <v>1990</v>
      </c>
      <c r="E5049">
        <f>IFERROR(__xludf.DUMMYFUNCTION("""COMPUTED_VALUE"""),1565242.0)</f>
        <v>1565242</v>
      </c>
    </row>
    <row r="5050">
      <c r="A5050" t="str">
        <f t="shared" si="1"/>
        <v>est#1991</v>
      </c>
      <c r="B5050" t="str">
        <f>IFERROR(__xludf.DUMMYFUNCTION("""COMPUTED_VALUE"""),"est")</f>
        <v>est</v>
      </c>
      <c r="C5050" t="str">
        <f>IFERROR(__xludf.DUMMYFUNCTION("""COMPUTED_VALUE"""),"Estonia")</f>
        <v>Estonia</v>
      </c>
      <c r="D5050">
        <f>IFERROR(__xludf.DUMMYFUNCTION("""COMPUTED_VALUE"""),1991.0)</f>
        <v>1991</v>
      </c>
      <c r="E5050">
        <f>IFERROR(__xludf.DUMMYFUNCTION("""COMPUTED_VALUE"""),1548215.0)</f>
        <v>1548215</v>
      </c>
    </row>
    <row r="5051">
      <c r="A5051" t="str">
        <f t="shared" si="1"/>
        <v>est#1992</v>
      </c>
      <c r="B5051" t="str">
        <f>IFERROR(__xludf.DUMMYFUNCTION("""COMPUTED_VALUE"""),"est")</f>
        <v>est</v>
      </c>
      <c r="C5051" t="str">
        <f>IFERROR(__xludf.DUMMYFUNCTION("""COMPUTED_VALUE"""),"Estonia")</f>
        <v>Estonia</v>
      </c>
      <c r="D5051">
        <f>IFERROR(__xludf.DUMMYFUNCTION("""COMPUTED_VALUE"""),1992.0)</f>
        <v>1992</v>
      </c>
      <c r="E5051">
        <f>IFERROR(__xludf.DUMMYFUNCTION("""COMPUTED_VALUE"""),1520810.0)</f>
        <v>1520810</v>
      </c>
    </row>
    <row r="5052">
      <c r="A5052" t="str">
        <f t="shared" si="1"/>
        <v>est#1993</v>
      </c>
      <c r="B5052" t="str">
        <f>IFERROR(__xludf.DUMMYFUNCTION("""COMPUTED_VALUE"""),"est")</f>
        <v>est</v>
      </c>
      <c r="C5052" t="str">
        <f>IFERROR(__xludf.DUMMYFUNCTION("""COMPUTED_VALUE"""),"Estonia")</f>
        <v>Estonia</v>
      </c>
      <c r="D5052">
        <f>IFERROR(__xludf.DUMMYFUNCTION("""COMPUTED_VALUE"""),1993.0)</f>
        <v>1993</v>
      </c>
      <c r="E5052">
        <f>IFERROR(__xludf.DUMMYFUNCTION("""COMPUTED_VALUE"""),1488059.0)</f>
        <v>1488059</v>
      </c>
    </row>
    <row r="5053">
      <c r="A5053" t="str">
        <f t="shared" si="1"/>
        <v>est#1994</v>
      </c>
      <c r="B5053" t="str">
        <f>IFERROR(__xludf.DUMMYFUNCTION("""COMPUTED_VALUE"""),"est")</f>
        <v>est</v>
      </c>
      <c r="C5053" t="str">
        <f>IFERROR(__xludf.DUMMYFUNCTION("""COMPUTED_VALUE"""),"Estonia")</f>
        <v>Estonia</v>
      </c>
      <c r="D5053">
        <f>IFERROR(__xludf.DUMMYFUNCTION("""COMPUTED_VALUE"""),1994.0)</f>
        <v>1994</v>
      </c>
      <c r="E5053">
        <f>IFERROR(__xludf.DUMMYFUNCTION("""COMPUTED_VALUE"""),1457093.0)</f>
        <v>1457093</v>
      </c>
    </row>
    <row r="5054">
      <c r="A5054" t="str">
        <f t="shared" si="1"/>
        <v>est#1995</v>
      </c>
      <c r="B5054" t="str">
        <f>IFERROR(__xludf.DUMMYFUNCTION("""COMPUTED_VALUE"""),"est")</f>
        <v>est</v>
      </c>
      <c r="C5054" t="str">
        <f>IFERROR(__xludf.DUMMYFUNCTION("""COMPUTED_VALUE"""),"Estonia")</f>
        <v>Estonia</v>
      </c>
      <c r="D5054">
        <f>IFERROR(__xludf.DUMMYFUNCTION("""COMPUTED_VALUE"""),1995.0)</f>
        <v>1995</v>
      </c>
      <c r="E5054">
        <f>IFERROR(__xludf.DUMMYFUNCTION("""COMPUTED_VALUE"""),1433024.0)</f>
        <v>1433024</v>
      </c>
    </row>
    <row r="5055">
      <c r="A5055" t="str">
        <f t="shared" si="1"/>
        <v>est#1996</v>
      </c>
      <c r="B5055" t="str">
        <f>IFERROR(__xludf.DUMMYFUNCTION("""COMPUTED_VALUE"""),"est")</f>
        <v>est</v>
      </c>
      <c r="C5055" t="str">
        <f>IFERROR(__xludf.DUMMYFUNCTION("""COMPUTED_VALUE"""),"Estonia")</f>
        <v>Estonia</v>
      </c>
      <c r="D5055">
        <f>IFERROR(__xludf.DUMMYFUNCTION("""COMPUTED_VALUE"""),1996.0)</f>
        <v>1996</v>
      </c>
      <c r="E5055">
        <f>IFERROR(__xludf.DUMMYFUNCTION("""COMPUTED_VALUE"""),1417736.0)</f>
        <v>1417736</v>
      </c>
    </row>
    <row r="5056">
      <c r="A5056" t="str">
        <f t="shared" si="1"/>
        <v>est#1997</v>
      </c>
      <c r="B5056" t="str">
        <f>IFERROR(__xludf.DUMMYFUNCTION("""COMPUTED_VALUE"""),"est")</f>
        <v>est</v>
      </c>
      <c r="C5056" t="str">
        <f>IFERROR(__xludf.DUMMYFUNCTION("""COMPUTED_VALUE"""),"Estonia")</f>
        <v>Estonia</v>
      </c>
      <c r="D5056">
        <f>IFERROR(__xludf.DUMMYFUNCTION("""COMPUTED_VALUE"""),1997.0)</f>
        <v>1997</v>
      </c>
      <c r="E5056">
        <f>IFERROR(__xludf.DUMMYFUNCTION("""COMPUTED_VALUE"""),1409674.0)</f>
        <v>1409674</v>
      </c>
    </row>
    <row r="5057">
      <c r="A5057" t="str">
        <f t="shared" si="1"/>
        <v>est#1998</v>
      </c>
      <c r="B5057" t="str">
        <f>IFERROR(__xludf.DUMMYFUNCTION("""COMPUTED_VALUE"""),"est")</f>
        <v>est</v>
      </c>
      <c r="C5057" t="str">
        <f>IFERROR(__xludf.DUMMYFUNCTION("""COMPUTED_VALUE"""),"Estonia")</f>
        <v>Estonia</v>
      </c>
      <c r="D5057">
        <f>IFERROR(__xludf.DUMMYFUNCTION("""COMPUTED_VALUE"""),1998.0)</f>
        <v>1998</v>
      </c>
      <c r="E5057">
        <f>IFERROR(__xludf.DUMMYFUNCTION("""COMPUTED_VALUE"""),1406350.0)</f>
        <v>1406350</v>
      </c>
    </row>
    <row r="5058">
      <c r="A5058" t="str">
        <f t="shared" si="1"/>
        <v>est#1999</v>
      </c>
      <c r="B5058" t="str">
        <f>IFERROR(__xludf.DUMMYFUNCTION("""COMPUTED_VALUE"""),"est")</f>
        <v>est</v>
      </c>
      <c r="C5058" t="str">
        <f>IFERROR(__xludf.DUMMYFUNCTION("""COMPUTED_VALUE"""),"Estonia")</f>
        <v>Estonia</v>
      </c>
      <c r="D5058">
        <f>IFERROR(__xludf.DUMMYFUNCTION("""COMPUTED_VALUE"""),1999.0)</f>
        <v>1999</v>
      </c>
      <c r="E5058">
        <f>IFERROR(__xludf.DUMMYFUNCTION("""COMPUTED_VALUE"""),1403789.0)</f>
        <v>1403789</v>
      </c>
    </row>
    <row r="5059">
      <c r="A5059" t="str">
        <f t="shared" si="1"/>
        <v>est#2000</v>
      </c>
      <c r="B5059" t="str">
        <f>IFERROR(__xludf.DUMMYFUNCTION("""COMPUTED_VALUE"""),"est")</f>
        <v>est</v>
      </c>
      <c r="C5059" t="str">
        <f>IFERROR(__xludf.DUMMYFUNCTION("""COMPUTED_VALUE"""),"Estonia")</f>
        <v>Estonia</v>
      </c>
      <c r="D5059">
        <f>IFERROR(__xludf.DUMMYFUNCTION("""COMPUTED_VALUE"""),2000.0)</f>
        <v>2000</v>
      </c>
      <c r="E5059">
        <f>IFERROR(__xludf.DUMMYFUNCTION("""COMPUTED_VALUE"""),1399112.0)</f>
        <v>1399112</v>
      </c>
    </row>
    <row r="5060">
      <c r="A5060" t="str">
        <f t="shared" si="1"/>
        <v>est#2001</v>
      </c>
      <c r="B5060" t="str">
        <f>IFERROR(__xludf.DUMMYFUNCTION("""COMPUTED_VALUE"""),"est")</f>
        <v>est</v>
      </c>
      <c r="C5060" t="str">
        <f>IFERROR(__xludf.DUMMYFUNCTION("""COMPUTED_VALUE"""),"Estonia")</f>
        <v>Estonia</v>
      </c>
      <c r="D5060">
        <f>IFERROR(__xludf.DUMMYFUNCTION("""COMPUTED_VALUE"""),2001.0)</f>
        <v>2001</v>
      </c>
      <c r="E5060">
        <f>IFERROR(__xludf.DUMMYFUNCTION("""COMPUTED_VALUE"""),1391729.0)</f>
        <v>1391729</v>
      </c>
    </row>
    <row r="5061">
      <c r="A5061" t="str">
        <f t="shared" si="1"/>
        <v>est#2002</v>
      </c>
      <c r="B5061" t="str">
        <f>IFERROR(__xludf.DUMMYFUNCTION("""COMPUTED_VALUE"""),"est")</f>
        <v>est</v>
      </c>
      <c r="C5061" t="str">
        <f>IFERROR(__xludf.DUMMYFUNCTION("""COMPUTED_VALUE"""),"Estonia")</f>
        <v>Estonia</v>
      </c>
      <c r="D5061">
        <f>IFERROR(__xludf.DUMMYFUNCTION("""COMPUTED_VALUE"""),2002.0)</f>
        <v>2002</v>
      </c>
      <c r="E5061">
        <f>IFERROR(__xludf.DUMMYFUNCTION("""COMPUTED_VALUE"""),1382732.0)</f>
        <v>1382732</v>
      </c>
    </row>
    <row r="5062">
      <c r="A5062" t="str">
        <f t="shared" si="1"/>
        <v>est#2003</v>
      </c>
      <c r="B5062" t="str">
        <f>IFERROR(__xludf.DUMMYFUNCTION("""COMPUTED_VALUE"""),"est")</f>
        <v>est</v>
      </c>
      <c r="C5062" t="str">
        <f>IFERROR(__xludf.DUMMYFUNCTION("""COMPUTED_VALUE"""),"Estonia")</f>
        <v>Estonia</v>
      </c>
      <c r="D5062">
        <f>IFERROR(__xludf.DUMMYFUNCTION("""COMPUTED_VALUE"""),2003.0)</f>
        <v>2003</v>
      </c>
      <c r="E5062">
        <f>IFERROR(__xludf.DUMMYFUNCTION("""COMPUTED_VALUE"""),1372909.0)</f>
        <v>1372909</v>
      </c>
    </row>
    <row r="5063">
      <c r="A5063" t="str">
        <f t="shared" si="1"/>
        <v>est#2004</v>
      </c>
      <c r="B5063" t="str">
        <f>IFERROR(__xludf.DUMMYFUNCTION("""COMPUTED_VALUE"""),"est")</f>
        <v>est</v>
      </c>
      <c r="C5063" t="str">
        <f>IFERROR(__xludf.DUMMYFUNCTION("""COMPUTED_VALUE"""),"Estonia")</f>
        <v>Estonia</v>
      </c>
      <c r="D5063">
        <f>IFERROR(__xludf.DUMMYFUNCTION("""COMPUTED_VALUE"""),2004.0)</f>
        <v>2004</v>
      </c>
      <c r="E5063">
        <f>IFERROR(__xludf.DUMMYFUNCTION("""COMPUTED_VALUE"""),1363565.0)</f>
        <v>1363565</v>
      </c>
    </row>
    <row r="5064">
      <c r="A5064" t="str">
        <f t="shared" si="1"/>
        <v>est#2005</v>
      </c>
      <c r="B5064" t="str">
        <f>IFERROR(__xludf.DUMMYFUNCTION("""COMPUTED_VALUE"""),"est")</f>
        <v>est</v>
      </c>
      <c r="C5064" t="str">
        <f>IFERROR(__xludf.DUMMYFUNCTION("""COMPUTED_VALUE"""),"Estonia")</f>
        <v>Estonia</v>
      </c>
      <c r="D5064">
        <f>IFERROR(__xludf.DUMMYFUNCTION("""COMPUTED_VALUE"""),2005.0)</f>
        <v>2005</v>
      </c>
      <c r="E5064">
        <f>IFERROR(__xludf.DUMMYFUNCTION("""COMPUTED_VALUE"""),1355648.0)</f>
        <v>1355648</v>
      </c>
    </row>
    <row r="5065">
      <c r="A5065" t="str">
        <f t="shared" si="1"/>
        <v>est#2006</v>
      </c>
      <c r="B5065" t="str">
        <f>IFERROR(__xludf.DUMMYFUNCTION("""COMPUTED_VALUE"""),"est")</f>
        <v>est</v>
      </c>
      <c r="C5065" t="str">
        <f>IFERROR(__xludf.DUMMYFUNCTION("""COMPUTED_VALUE"""),"Estonia")</f>
        <v>Estonia</v>
      </c>
      <c r="D5065">
        <f>IFERROR(__xludf.DUMMYFUNCTION("""COMPUTED_VALUE"""),2006.0)</f>
        <v>2006</v>
      </c>
      <c r="E5065">
        <f>IFERROR(__xludf.DUMMYFUNCTION("""COMPUTED_VALUE"""),1349297.0)</f>
        <v>1349297</v>
      </c>
    </row>
    <row r="5066">
      <c r="A5066" t="str">
        <f t="shared" si="1"/>
        <v>est#2007</v>
      </c>
      <c r="B5066" t="str">
        <f>IFERROR(__xludf.DUMMYFUNCTION("""COMPUTED_VALUE"""),"est")</f>
        <v>est</v>
      </c>
      <c r="C5066" t="str">
        <f>IFERROR(__xludf.DUMMYFUNCTION("""COMPUTED_VALUE"""),"Estonia")</f>
        <v>Estonia</v>
      </c>
      <c r="D5066">
        <f>IFERROR(__xludf.DUMMYFUNCTION("""COMPUTED_VALUE"""),2007.0)</f>
        <v>2007</v>
      </c>
      <c r="E5066">
        <f>IFERROR(__xludf.DUMMYFUNCTION("""COMPUTED_VALUE"""),1344072.0)</f>
        <v>1344072</v>
      </c>
    </row>
    <row r="5067">
      <c r="A5067" t="str">
        <f t="shared" si="1"/>
        <v>est#2008</v>
      </c>
      <c r="B5067" t="str">
        <f>IFERROR(__xludf.DUMMYFUNCTION("""COMPUTED_VALUE"""),"est")</f>
        <v>est</v>
      </c>
      <c r="C5067" t="str">
        <f>IFERROR(__xludf.DUMMYFUNCTION("""COMPUTED_VALUE"""),"Estonia")</f>
        <v>Estonia</v>
      </c>
      <c r="D5067">
        <f>IFERROR(__xludf.DUMMYFUNCTION("""COMPUTED_VALUE"""),2008.0)</f>
        <v>2008</v>
      </c>
      <c r="E5067">
        <f>IFERROR(__xludf.DUMMYFUNCTION("""COMPUTED_VALUE"""),1339712.0)</f>
        <v>1339712</v>
      </c>
    </row>
    <row r="5068">
      <c r="A5068" t="str">
        <f t="shared" si="1"/>
        <v>est#2009</v>
      </c>
      <c r="B5068" t="str">
        <f>IFERROR(__xludf.DUMMYFUNCTION("""COMPUTED_VALUE"""),"est")</f>
        <v>est</v>
      </c>
      <c r="C5068" t="str">
        <f>IFERROR(__xludf.DUMMYFUNCTION("""COMPUTED_VALUE"""),"Estonia")</f>
        <v>Estonia</v>
      </c>
      <c r="D5068">
        <f>IFERROR(__xludf.DUMMYFUNCTION("""COMPUTED_VALUE"""),2009.0)</f>
        <v>2009</v>
      </c>
      <c r="E5068">
        <f>IFERROR(__xludf.DUMMYFUNCTION("""COMPUTED_VALUE"""),1335830.0)</f>
        <v>1335830</v>
      </c>
    </row>
    <row r="5069">
      <c r="A5069" t="str">
        <f t="shared" si="1"/>
        <v>est#2010</v>
      </c>
      <c r="B5069" t="str">
        <f>IFERROR(__xludf.DUMMYFUNCTION("""COMPUTED_VALUE"""),"est")</f>
        <v>est</v>
      </c>
      <c r="C5069" t="str">
        <f>IFERROR(__xludf.DUMMYFUNCTION("""COMPUTED_VALUE"""),"Estonia")</f>
        <v>Estonia</v>
      </c>
      <c r="D5069">
        <f>IFERROR(__xludf.DUMMYFUNCTION("""COMPUTED_VALUE"""),2010.0)</f>
        <v>2010</v>
      </c>
      <c r="E5069">
        <f>IFERROR(__xludf.DUMMYFUNCTION("""COMPUTED_VALUE"""),1332102.0)</f>
        <v>1332102</v>
      </c>
    </row>
    <row r="5070">
      <c r="A5070" t="str">
        <f t="shared" si="1"/>
        <v>est#2011</v>
      </c>
      <c r="B5070" t="str">
        <f>IFERROR(__xludf.DUMMYFUNCTION("""COMPUTED_VALUE"""),"est")</f>
        <v>est</v>
      </c>
      <c r="C5070" t="str">
        <f>IFERROR(__xludf.DUMMYFUNCTION("""COMPUTED_VALUE"""),"Estonia")</f>
        <v>Estonia</v>
      </c>
      <c r="D5070">
        <f>IFERROR(__xludf.DUMMYFUNCTION("""COMPUTED_VALUE"""),2011.0)</f>
        <v>2011</v>
      </c>
      <c r="E5070">
        <f>IFERROR(__xludf.DUMMYFUNCTION("""COMPUTED_VALUE"""),1328449.0)</f>
        <v>1328449</v>
      </c>
    </row>
    <row r="5071">
      <c r="A5071" t="str">
        <f t="shared" si="1"/>
        <v>est#2012</v>
      </c>
      <c r="B5071" t="str">
        <f>IFERROR(__xludf.DUMMYFUNCTION("""COMPUTED_VALUE"""),"est")</f>
        <v>est</v>
      </c>
      <c r="C5071" t="str">
        <f>IFERROR(__xludf.DUMMYFUNCTION("""COMPUTED_VALUE"""),"Estonia")</f>
        <v>Estonia</v>
      </c>
      <c r="D5071">
        <f>IFERROR(__xludf.DUMMYFUNCTION("""COMPUTED_VALUE"""),2012.0)</f>
        <v>2012</v>
      </c>
      <c r="E5071">
        <f>IFERROR(__xludf.DUMMYFUNCTION("""COMPUTED_VALUE"""),1324934.0)</f>
        <v>1324934</v>
      </c>
    </row>
    <row r="5072">
      <c r="A5072" t="str">
        <f t="shared" si="1"/>
        <v>est#2013</v>
      </c>
      <c r="B5072" t="str">
        <f>IFERROR(__xludf.DUMMYFUNCTION("""COMPUTED_VALUE"""),"est")</f>
        <v>est</v>
      </c>
      <c r="C5072" t="str">
        <f>IFERROR(__xludf.DUMMYFUNCTION("""COMPUTED_VALUE"""),"Estonia")</f>
        <v>Estonia</v>
      </c>
      <c r="D5072">
        <f>IFERROR(__xludf.DUMMYFUNCTION("""COMPUTED_VALUE"""),2013.0)</f>
        <v>2013</v>
      </c>
      <c r="E5072">
        <f>IFERROR(__xludf.DUMMYFUNCTION("""COMPUTED_VALUE"""),1321560.0)</f>
        <v>1321560</v>
      </c>
    </row>
    <row r="5073">
      <c r="A5073" t="str">
        <f t="shared" si="1"/>
        <v>est#2014</v>
      </c>
      <c r="B5073" t="str">
        <f>IFERROR(__xludf.DUMMYFUNCTION("""COMPUTED_VALUE"""),"est")</f>
        <v>est</v>
      </c>
      <c r="C5073" t="str">
        <f>IFERROR(__xludf.DUMMYFUNCTION("""COMPUTED_VALUE"""),"Estonia")</f>
        <v>Estonia</v>
      </c>
      <c r="D5073">
        <f>IFERROR(__xludf.DUMMYFUNCTION("""COMPUTED_VALUE"""),2014.0)</f>
        <v>2014</v>
      </c>
      <c r="E5073">
        <f>IFERROR(__xludf.DUMMYFUNCTION("""COMPUTED_VALUE"""),1318359.0)</f>
        <v>1318359</v>
      </c>
    </row>
    <row r="5074">
      <c r="A5074" t="str">
        <f t="shared" si="1"/>
        <v>est#2015</v>
      </c>
      <c r="B5074" t="str">
        <f>IFERROR(__xludf.DUMMYFUNCTION("""COMPUTED_VALUE"""),"est")</f>
        <v>est</v>
      </c>
      <c r="C5074" t="str">
        <f>IFERROR(__xludf.DUMMYFUNCTION("""COMPUTED_VALUE"""),"Estonia")</f>
        <v>Estonia</v>
      </c>
      <c r="D5074">
        <f>IFERROR(__xludf.DUMMYFUNCTION("""COMPUTED_VALUE"""),2015.0)</f>
        <v>2015</v>
      </c>
      <c r="E5074">
        <f>IFERROR(__xludf.DUMMYFUNCTION("""COMPUTED_VALUE"""),1315321.0)</f>
        <v>1315321</v>
      </c>
    </row>
    <row r="5075">
      <c r="A5075" t="str">
        <f t="shared" si="1"/>
        <v>est#2016</v>
      </c>
      <c r="B5075" t="str">
        <f>IFERROR(__xludf.DUMMYFUNCTION("""COMPUTED_VALUE"""),"est")</f>
        <v>est</v>
      </c>
      <c r="C5075" t="str">
        <f>IFERROR(__xludf.DUMMYFUNCTION("""COMPUTED_VALUE"""),"Estonia")</f>
        <v>Estonia</v>
      </c>
      <c r="D5075">
        <f>IFERROR(__xludf.DUMMYFUNCTION("""COMPUTED_VALUE"""),2016.0)</f>
        <v>2016</v>
      </c>
      <c r="E5075">
        <f>IFERROR(__xludf.DUMMYFUNCTION("""COMPUTED_VALUE"""),1312442.0)</f>
        <v>1312442</v>
      </c>
    </row>
    <row r="5076">
      <c r="A5076" t="str">
        <f t="shared" si="1"/>
        <v>est#2017</v>
      </c>
      <c r="B5076" t="str">
        <f>IFERROR(__xludf.DUMMYFUNCTION("""COMPUTED_VALUE"""),"est")</f>
        <v>est</v>
      </c>
      <c r="C5076" t="str">
        <f>IFERROR(__xludf.DUMMYFUNCTION("""COMPUTED_VALUE"""),"Estonia")</f>
        <v>Estonia</v>
      </c>
      <c r="D5076">
        <f>IFERROR(__xludf.DUMMYFUNCTION("""COMPUTED_VALUE"""),2017.0)</f>
        <v>2017</v>
      </c>
      <c r="E5076">
        <f>IFERROR(__xludf.DUMMYFUNCTION("""COMPUTED_VALUE"""),1309632.0)</f>
        <v>1309632</v>
      </c>
    </row>
    <row r="5077">
      <c r="A5077" t="str">
        <f t="shared" si="1"/>
        <v>est#2018</v>
      </c>
      <c r="B5077" t="str">
        <f>IFERROR(__xludf.DUMMYFUNCTION("""COMPUTED_VALUE"""),"est")</f>
        <v>est</v>
      </c>
      <c r="C5077" t="str">
        <f>IFERROR(__xludf.DUMMYFUNCTION("""COMPUTED_VALUE"""),"Estonia")</f>
        <v>Estonia</v>
      </c>
      <c r="D5077">
        <f>IFERROR(__xludf.DUMMYFUNCTION("""COMPUTED_VALUE"""),2018.0)</f>
        <v>2018</v>
      </c>
      <c r="E5077">
        <f>IFERROR(__xludf.DUMMYFUNCTION("""COMPUTED_VALUE"""),1306788.0)</f>
        <v>1306788</v>
      </c>
    </row>
    <row r="5078">
      <c r="A5078" t="str">
        <f t="shared" si="1"/>
        <v>est#2019</v>
      </c>
      <c r="B5078" t="str">
        <f>IFERROR(__xludf.DUMMYFUNCTION("""COMPUTED_VALUE"""),"est")</f>
        <v>est</v>
      </c>
      <c r="C5078" t="str">
        <f>IFERROR(__xludf.DUMMYFUNCTION("""COMPUTED_VALUE"""),"Estonia")</f>
        <v>Estonia</v>
      </c>
      <c r="D5078">
        <f>IFERROR(__xludf.DUMMYFUNCTION("""COMPUTED_VALUE"""),2019.0)</f>
        <v>2019</v>
      </c>
      <c r="E5078">
        <f>IFERROR(__xludf.DUMMYFUNCTION("""COMPUTED_VALUE"""),1303798.0)</f>
        <v>1303798</v>
      </c>
    </row>
    <row r="5079">
      <c r="A5079" t="str">
        <f t="shared" si="1"/>
        <v>est#2020</v>
      </c>
      <c r="B5079" t="str">
        <f>IFERROR(__xludf.DUMMYFUNCTION("""COMPUTED_VALUE"""),"est")</f>
        <v>est</v>
      </c>
      <c r="C5079" t="str">
        <f>IFERROR(__xludf.DUMMYFUNCTION("""COMPUTED_VALUE"""),"Estonia")</f>
        <v>Estonia</v>
      </c>
      <c r="D5079">
        <f>IFERROR(__xludf.DUMMYFUNCTION("""COMPUTED_VALUE"""),2020.0)</f>
        <v>2020</v>
      </c>
      <c r="E5079">
        <f>IFERROR(__xludf.DUMMYFUNCTION("""COMPUTED_VALUE"""),1300559.0)</f>
        <v>1300559</v>
      </c>
    </row>
    <row r="5080">
      <c r="A5080" t="str">
        <f t="shared" si="1"/>
        <v>est#2021</v>
      </c>
      <c r="B5080" t="str">
        <f>IFERROR(__xludf.DUMMYFUNCTION("""COMPUTED_VALUE"""),"est")</f>
        <v>est</v>
      </c>
      <c r="C5080" t="str">
        <f>IFERROR(__xludf.DUMMYFUNCTION("""COMPUTED_VALUE"""),"Estonia")</f>
        <v>Estonia</v>
      </c>
      <c r="D5080">
        <f>IFERROR(__xludf.DUMMYFUNCTION("""COMPUTED_VALUE"""),2021.0)</f>
        <v>2021</v>
      </c>
      <c r="E5080">
        <f>IFERROR(__xludf.DUMMYFUNCTION("""COMPUTED_VALUE"""),1297038.0)</f>
        <v>1297038</v>
      </c>
    </row>
    <row r="5081">
      <c r="A5081" t="str">
        <f t="shared" si="1"/>
        <v>est#2022</v>
      </c>
      <c r="B5081" t="str">
        <f>IFERROR(__xludf.DUMMYFUNCTION("""COMPUTED_VALUE"""),"est")</f>
        <v>est</v>
      </c>
      <c r="C5081" t="str">
        <f>IFERROR(__xludf.DUMMYFUNCTION("""COMPUTED_VALUE"""),"Estonia")</f>
        <v>Estonia</v>
      </c>
      <c r="D5081">
        <f>IFERROR(__xludf.DUMMYFUNCTION("""COMPUTED_VALUE"""),2022.0)</f>
        <v>2022</v>
      </c>
      <c r="E5081">
        <f>IFERROR(__xludf.DUMMYFUNCTION("""COMPUTED_VALUE"""),1293233.0)</f>
        <v>1293233</v>
      </c>
    </row>
    <row r="5082">
      <c r="A5082" t="str">
        <f t="shared" si="1"/>
        <v>est#2023</v>
      </c>
      <c r="B5082" t="str">
        <f>IFERROR(__xludf.DUMMYFUNCTION("""COMPUTED_VALUE"""),"est")</f>
        <v>est</v>
      </c>
      <c r="C5082" t="str">
        <f>IFERROR(__xludf.DUMMYFUNCTION("""COMPUTED_VALUE"""),"Estonia")</f>
        <v>Estonia</v>
      </c>
      <c r="D5082">
        <f>IFERROR(__xludf.DUMMYFUNCTION("""COMPUTED_VALUE"""),2023.0)</f>
        <v>2023</v>
      </c>
      <c r="E5082">
        <f>IFERROR(__xludf.DUMMYFUNCTION("""COMPUTED_VALUE"""),1289139.0)</f>
        <v>1289139</v>
      </c>
    </row>
    <row r="5083">
      <c r="A5083" t="str">
        <f t="shared" si="1"/>
        <v>est#2024</v>
      </c>
      <c r="B5083" t="str">
        <f>IFERROR(__xludf.DUMMYFUNCTION("""COMPUTED_VALUE"""),"est")</f>
        <v>est</v>
      </c>
      <c r="C5083" t="str">
        <f>IFERROR(__xludf.DUMMYFUNCTION("""COMPUTED_VALUE"""),"Estonia")</f>
        <v>Estonia</v>
      </c>
      <c r="D5083">
        <f>IFERROR(__xludf.DUMMYFUNCTION("""COMPUTED_VALUE"""),2024.0)</f>
        <v>2024</v>
      </c>
      <c r="E5083">
        <f>IFERROR(__xludf.DUMMYFUNCTION("""COMPUTED_VALUE"""),1284758.0)</f>
        <v>1284758</v>
      </c>
    </row>
    <row r="5084">
      <c r="A5084" t="str">
        <f t="shared" si="1"/>
        <v>est#2025</v>
      </c>
      <c r="B5084" t="str">
        <f>IFERROR(__xludf.DUMMYFUNCTION("""COMPUTED_VALUE"""),"est")</f>
        <v>est</v>
      </c>
      <c r="C5084" t="str">
        <f>IFERROR(__xludf.DUMMYFUNCTION("""COMPUTED_VALUE"""),"Estonia")</f>
        <v>Estonia</v>
      </c>
      <c r="D5084">
        <f>IFERROR(__xludf.DUMMYFUNCTION("""COMPUTED_VALUE"""),2025.0)</f>
        <v>2025</v>
      </c>
      <c r="E5084">
        <f>IFERROR(__xludf.DUMMYFUNCTION("""COMPUTED_VALUE"""),1280134.0)</f>
        <v>1280134</v>
      </c>
    </row>
    <row r="5085">
      <c r="A5085" t="str">
        <f t="shared" si="1"/>
        <v>est#2026</v>
      </c>
      <c r="B5085" t="str">
        <f>IFERROR(__xludf.DUMMYFUNCTION("""COMPUTED_VALUE"""),"est")</f>
        <v>est</v>
      </c>
      <c r="C5085" t="str">
        <f>IFERROR(__xludf.DUMMYFUNCTION("""COMPUTED_VALUE"""),"Estonia")</f>
        <v>Estonia</v>
      </c>
      <c r="D5085">
        <f>IFERROR(__xludf.DUMMYFUNCTION("""COMPUTED_VALUE"""),2026.0)</f>
        <v>2026</v>
      </c>
      <c r="E5085">
        <f>IFERROR(__xludf.DUMMYFUNCTION("""COMPUTED_VALUE"""),1275230.0)</f>
        <v>1275230</v>
      </c>
    </row>
    <row r="5086">
      <c r="A5086" t="str">
        <f t="shared" si="1"/>
        <v>est#2027</v>
      </c>
      <c r="B5086" t="str">
        <f>IFERROR(__xludf.DUMMYFUNCTION("""COMPUTED_VALUE"""),"est")</f>
        <v>est</v>
      </c>
      <c r="C5086" t="str">
        <f>IFERROR(__xludf.DUMMYFUNCTION("""COMPUTED_VALUE"""),"Estonia")</f>
        <v>Estonia</v>
      </c>
      <c r="D5086">
        <f>IFERROR(__xludf.DUMMYFUNCTION("""COMPUTED_VALUE"""),2027.0)</f>
        <v>2027</v>
      </c>
      <c r="E5086">
        <f>IFERROR(__xludf.DUMMYFUNCTION("""COMPUTED_VALUE"""),1270080.0)</f>
        <v>1270080</v>
      </c>
    </row>
    <row r="5087">
      <c r="A5087" t="str">
        <f t="shared" si="1"/>
        <v>est#2028</v>
      </c>
      <c r="B5087" t="str">
        <f>IFERROR(__xludf.DUMMYFUNCTION("""COMPUTED_VALUE"""),"est")</f>
        <v>est</v>
      </c>
      <c r="C5087" t="str">
        <f>IFERROR(__xludf.DUMMYFUNCTION("""COMPUTED_VALUE"""),"Estonia")</f>
        <v>Estonia</v>
      </c>
      <c r="D5087">
        <f>IFERROR(__xludf.DUMMYFUNCTION("""COMPUTED_VALUE"""),2028.0)</f>
        <v>2028</v>
      </c>
      <c r="E5087">
        <f>IFERROR(__xludf.DUMMYFUNCTION("""COMPUTED_VALUE"""),1264718.0)</f>
        <v>1264718</v>
      </c>
    </row>
    <row r="5088">
      <c r="A5088" t="str">
        <f t="shared" si="1"/>
        <v>est#2029</v>
      </c>
      <c r="B5088" t="str">
        <f>IFERROR(__xludf.DUMMYFUNCTION("""COMPUTED_VALUE"""),"est")</f>
        <v>est</v>
      </c>
      <c r="C5088" t="str">
        <f>IFERROR(__xludf.DUMMYFUNCTION("""COMPUTED_VALUE"""),"Estonia")</f>
        <v>Estonia</v>
      </c>
      <c r="D5088">
        <f>IFERROR(__xludf.DUMMYFUNCTION("""COMPUTED_VALUE"""),2029.0)</f>
        <v>2029</v>
      </c>
      <c r="E5088">
        <f>IFERROR(__xludf.DUMMYFUNCTION("""COMPUTED_VALUE"""),1259199.0)</f>
        <v>1259199</v>
      </c>
    </row>
    <row r="5089">
      <c r="A5089" t="str">
        <f t="shared" si="1"/>
        <v>est#2030</v>
      </c>
      <c r="B5089" t="str">
        <f>IFERROR(__xludf.DUMMYFUNCTION("""COMPUTED_VALUE"""),"est")</f>
        <v>est</v>
      </c>
      <c r="C5089" t="str">
        <f>IFERROR(__xludf.DUMMYFUNCTION("""COMPUTED_VALUE"""),"Estonia")</f>
        <v>Estonia</v>
      </c>
      <c r="D5089">
        <f>IFERROR(__xludf.DUMMYFUNCTION("""COMPUTED_VALUE"""),2030.0)</f>
        <v>2030</v>
      </c>
      <c r="E5089">
        <f>IFERROR(__xludf.DUMMYFUNCTION("""COMPUTED_VALUE"""),1253590.0)</f>
        <v>1253590</v>
      </c>
    </row>
    <row r="5090">
      <c r="A5090" t="str">
        <f t="shared" si="1"/>
        <v>est#2031</v>
      </c>
      <c r="B5090" t="str">
        <f>IFERROR(__xludf.DUMMYFUNCTION("""COMPUTED_VALUE"""),"est")</f>
        <v>est</v>
      </c>
      <c r="C5090" t="str">
        <f>IFERROR(__xludf.DUMMYFUNCTION("""COMPUTED_VALUE"""),"Estonia")</f>
        <v>Estonia</v>
      </c>
      <c r="D5090">
        <f>IFERROR(__xludf.DUMMYFUNCTION("""COMPUTED_VALUE"""),2031.0)</f>
        <v>2031</v>
      </c>
      <c r="E5090">
        <f>IFERROR(__xludf.DUMMYFUNCTION("""COMPUTED_VALUE"""),1247907.0)</f>
        <v>1247907</v>
      </c>
    </row>
    <row r="5091">
      <c r="A5091" t="str">
        <f t="shared" si="1"/>
        <v>est#2032</v>
      </c>
      <c r="B5091" t="str">
        <f>IFERROR(__xludf.DUMMYFUNCTION("""COMPUTED_VALUE"""),"est")</f>
        <v>est</v>
      </c>
      <c r="C5091" t="str">
        <f>IFERROR(__xludf.DUMMYFUNCTION("""COMPUTED_VALUE"""),"Estonia")</f>
        <v>Estonia</v>
      </c>
      <c r="D5091">
        <f>IFERROR(__xludf.DUMMYFUNCTION("""COMPUTED_VALUE"""),2032.0)</f>
        <v>2032</v>
      </c>
      <c r="E5091">
        <f>IFERROR(__xludf.DUMMYFUNCTION("""COMPUTED_VALUE"""),1242160.0)</f>
        <v>1242160</v>
      </c>
    </row>
    <row r="5092">
      <c r="A5092" t="str">
        <f t="shared" si="1"/>
        <v>est#2033</v>
      </c>
      <c r="B5092" t="str">
        <f>IFERROR(__xludf.DUMMYFUNCTION("""COMPUTED_VALUE"""),"est")</f>
        <v>est</v>
      </c>
      <c r="C5092" t="str">
        <f>IFERROR(__xludf.DUMMYFUNCTION("""COMPUTED_VALUE"""),"Estonia")</f>
        <v>Estonia</v>
      </c>
      <c r="D5092">
        <f>IFERROR(__xludf.DUMMYFUNCTION("""COMPUTED_VALUE"""),2033.0)</f>
        <v>2033</v>
      </c>
      <c r="E5092">
        <f>IFERROR(__xludf.DUMMYFUNCTION("""COMPUTED_VALUE"""),1236396.0)</f>
        <v>1236396</v>
      </c>
    </row>
    <row r="5093">
      <c r="A5093" t="str">
        <f t="shared" si="1"/>
        <v>est#2034</v>
      </c>
      <c r="B5093" t="str">
        <f>IFERROR(__xludf.DUMMYFUNCTION("""COMPUTED_VALUE"""),"est")</f>
        <v>est</v>
      </c>
      <c r="C5093" t="str">
        <f>IFERROR(__xludf.DUMMYFUNCTION("""COMPUTED_VALUE"""),"Estonia")</f>
        <v>Estonia</v>
      </c>
      <c r="D5093">
        <f>IFERROR(__xludf.DUMMYFUNCTION("""COMPUTED_VALUE"""),2034.0)</f>
        <v>2034</v>
      </c>
      <c r="E5093">
        <f>IFERROR(__xludf.DUMMYFUNCTION("""COMPUTED_VALUE"""),1230662.0)</f>
        <v>1230662</v>
      </c>
    </row>
    <row r="5094">
      <c r="A5094" t="str">
        <f t="shared" si="1"/>
        <v>est#2035</v>
      </c>
      <c r="B5094" t="str">
        <f>IFERROR(__xludf.DUMMYFUNCTION("""COMPUTED_VALUE"""),"est")</f>
        <v>est</v>
      </c>
      <c r="C5094" t="str">
        <f>IFERROR(__xludf.DUMMYFUNCTION("""COMPUTED_VALUE"""),"Estonia")</f>
        <v>Estonia</v>
      </c>
      <c r="D5094">
        <f>IFERROR(__xludf.DUMMYFUNCTION("""COMPUTED_VALUE"""),2035.0)</f>
        <v>2035</v>
      </c>
      <c r="E5094">
        <f>IFERROR(__xludf.DUMMYFUNCTION("""COMPUTED_VALUE"""),1225001.0)</f>
        <v>1225001</v>
      </c>
    </row>
    <row r="5095">
      <c r="A5095" t="str">
        <f t="shared" si="1"/>
        <v>est#2036</v>
      </c>
      <c r="B5095" t="str">
        <f>IFERROR(__xludf.DUMMYFUNCTION("""COMPUTED_VALUE"""),"est")</f>
        <v>est</v>
      </c>
      <c r="C5095" t="str">
        <f>IFERROR(__xludf.DUMMYFUNCTION("""COMPUTED_VALUE"""),"Estonia")</f>
        <v>Estonia</v>
      </c>
      <c r="D5095">
        <f>IFERROR(__xludf.DUMMYFUNCTION("""COMPUTED_VALUE"""),2036.0)</f>
        <v>2036</v>
      </c>
      <c r="E5095">
        <f>IFERROR(__xludf.DUMMYFUNCTION("""COMPUTED_VALUE"""),1219434.0)</f>
        <v>1219434</v>
      </c>
    </row>
    <row r="5096">
      <c r="A5096" t="str">
        <f t="shared" si="1"/>
        <v>est#2037</v>
      </c>
      <c r="B5096" t="str">
        <f>IFERROR(__xludf.DUMMYFUNCTION("""COMPUTED_VALUE"""),"est")</f>
        <v>est</v>
      </c>
      <c r="C5096" t="str">
        <f>IFERROR(__xludf.DUMMYFUNCTION("""COMPUTED_VALUE"""),"Estonia")</f>
        <v>Estonia</v>
      </c>
      <c r="D5096">
        <f>IFERROR(__xludf.DUMMYFUNCTION("""COMPUTED_VALUE"""),2037.0)</f>
        <v>2037</v>
      </c>
      <c r="E5096">
        <f>IFERROR(__xludf.DUMMYFUNCTION("""COMPUTED_VALUE"""),1213952.0)</f>
        <v>1213952</v>
      </c>
    </row>
    <row r="5097">
      <c r="A5097" t="str">
        <f t="shared" si="1"/>
        <v>est#2038</v>
      </c>
      <c r="B5097" t="str">
        <f>IFERROR(__xludf.DUMMYFUNCTION("""COMPUTED_VALUE"""),"est")</f>
        <v>est</v>
      </c>
      <c r="C5097" t="str">
        <f>IFERROR(__xludf.DUMMYFUNCTION("""COMPUTED_VALUE"""),"Estonia")</f>
        <v>Estonia</v>
      </c>
      <c r="D5097">
        <f>IFERROR(__xludf.DUMMYFUNCTION("""COMPUTED_VALUE"""),2038.0)</f>
        <v>2038</v>
      </c>
      <c r="E5097">
        <f>IFERROR(__xludf.DUMMYFUNCTION("""COMPUTED_VALUE"""),1208550.0)</f>
        <v>1208550</v>
      </c>
    </row>
    <row r="5098">
      <c r="A5098" t="str">
        <f t="shared" si="1"/>
        <v>est#2039</v>
      </c>
      <c r="B5098" t="str">
        <f>IFERROR(__xludf.DUMMYFUNCTION("""COMPUTED_VALUE"""),"est")</f>
        <v>est</v>
      </c>
      <c r="C5098" t="str">
        <f>IFERROR(__xludf.DUMMYFUNCTION("""COMPUTED_VALUE"""),"Estonia")</f>
        <v>Estonia</v>
      </c>
      <c r="D5098">
        <f>IFERROR(__xludf.DUMMYFUNCTION("""COMPUTED_VALUE"""),2039.0)</f>
        <v>2039</v>
      </c>
      <c r="E5098">
        <f>IFERROR(__xludf.DUMMYFUNCTION("""COMPUTED_VALUE"""),1203224.0)</f>
        <v>1203224</v>
      </c>
    </row>
    <row r="5099">
      <c r="A5099" t="str">
        <f t="shared" si="1"/>
        <v>est#2040</v>
      </c>
      <c r="B5099" t="str">
        <f>IFERROR(__xludf.DUMMYFUNCTION("""COMPUTED_VALUE"""),"est")</f>
        <v>est</v>
      </c>
      <c r="C5099" t="str">
        <f>IFERROR(__xludf.DUMMYFUNCTION("""COMPUTED_VALUE"""),"Estonia")</f>
        <v>Estonia</v>
      </c>
      <c r="D5099">
        <f>IFERROR(__xludf.DUMMYFUNCTION("""COMPUTED_VALUE"""),2040.0)</f>
        <v>2040</v>
      </c>
      <c r="E5099">
        <f>IFERROR(__xludf.DUMMYFUNCTION("""COMPUTED_VALUE"""),1197944.0)</f>
        <v>1197944</v>
      </c>
    </row>
    <row r="5100">
      <c r="A5100" t="str">
        <f t="shared" si="1"/>
        <v>eth#1950</v>
      </c>
      <c r="B5100" t="str">
        <f>IFERROR(__xludf.DUMMYFUNCTION("""COMPUTED_VALUE"""),"eth")</f>
        <v>eth</v>
      </c>
      <c r="C5100" t="str">
        <f>IFERROR(__xludf.DUMMYFUNCTION("""COMPUTED_VALUE"""),"Ethiopia")</f>
        <v>Ethiopia</v>
      </c>
      <c r="D5100">
        <f>IFERROR(__xludf.DUMMYFUNCTION("""COMPUTED_VALUE"""),1950.0)</f>
        <v>1950</v>
      </c>
      <c r="E5100">
        <f>IFERROR(__xludf.DUMMYFUNCTION("""COMPUTED_VALUE"""),1.8128034E7)</f>
        <v>18128034</v>
      </c>
    </row>
    <row r="5101">
      <c r="A5101" t="str">
        <f t="shared" si="1"/>
        <v>eth#1951</v>
      </c>
      <c r="B5101" t="str">
        <f>IFERROR(__xludf.DUMMYFUNCTION("""COMPUTED_VALUE"""),"eth")</f>
        <v>eth</v>
      </c>
      <c r="C5101" t="str">
        <f>IFERROR(__xludf.DUMMYFUNCTION("""COMPUTED_VALUE"""),"Ethiopia")</f>
        <v>Ethiopia</v>
      </c>
      <c r="D5101">
        <f>IFERROR(__xludf.DUMMYFUNCTION("""COMPUTED_VALUE"""),1951.0)</f>
        <v>1951</v>
      </c>
      <c r="E5101">
        <f>IFERROR(__xludf.DUMMYFUNCTION("""COMPUTED_VALUE"""),1.8466968E7)</f>
        <v>18466968</v>
      </c>
    </row>
    <row r="5102">
      <c r="A5102" t="str">
        <f t="shared" si="1"/>
        <v>eth#1952</v>
      </c>
      <c r="B5102" t="str">
        <f>IFERROR(__xludf.DUMMYFUNCTION("""COMPUTED_VALUE"""),"eth")</f>
        <v>eth</v>
      </c>
      <c r="C5102" t="str">
        <f>IFERROR(__xludf.DUMMYFUNCTION("""COMPUTED_VALUE"""),"Ethiopia")</f>
        <v>Ethiopia</v>
      </c>
      <c r="D5102">
        <f>IFERROR(__xludf.DUMMYFUNCTION("""COMPUTED_VALUE"""),1952.0)</f>
        <v>1952</v>
      </c>
      <c r="E5102">
        <f>IFERROR(__xludf.DUMMYFUNCTION("""COMPUTED_VALUE"""),1.88197E7)</f>
        <v>18819700</v>
      </c>
    </row>
    <row r="5103">
      <c r="A5103" t="str">
        <f t="shared" si="1"/>
        <v>eth#1953</v>
      </c>
      <c r="B5103" t="str">
        <f>IFERROR(__xludf.DUMMYFUNCTION("""COMPUTED_VALUE"""),"eth")</f>
        <v>eth</v>
      </c>
      <c r="C5103" t="str">
        <f>IFERROR(__xludf.DUMMYFUNCTION("""COMPUTED_VALUE"""),"Ethiopia")</f>
        <v>Ethiopia</v>
      </c>
      <c r="D5103">
        <f>IFERROR(__xludf.DUMMYFUNCTION("""COMPUTED_VALUE"""),1953.0)</f>
        <v>1953</v>
      </c>
      <c r="E5103">
        <f>IFERROR(__xludf.DUMMYFUNCTION("""COMPUTED_VALUE"""),1.9184292E7)</f>
        <v>19184292</v>
      </c>
    </row>
    <row r="5104">
      <c r="A5104" t="str">
        <f t="shared" si="1"/>
        <v>eth#1954</v>
      </c>
      <c r="B5104" t="str">
        <f>IFERROR(__xludf.DUMMYFUNCTION("""COMPUTED_VALUE"""),"eth")</f>
        <v>eth</v>
      </c>
      <c r="C5104" t="str">
        <f>IFERROR(__xludf.DUMMYFUNCTION("""COMPUTED_VALUE"""),"Ethiopia")</f>
        <v>Ethiopia</v>
      </c>
      <c r="D5104">
        <f>IFERROR(__xludf.DUMMYFUNCTION("""COMPUTED_VALUE"""),1954.0)</f>
        <v>1954</v>
      </c>
      <c r="E5104">
        <f>IFERROR(__xludf.DUMMYFUNCTION("""COMPUTED_VALUE"""),1.9560016E7)</f>
        <v>19560016</v>
      </c>
    </row>
    <row r="5105">
      <c r="A5105" t="str">
        <f t="shared" si="1"/>
        <v>eth#1955</v>
      </c>
      <c r="B5105" t="str">
        <f>IFERROR(__xludf.DUMMYFUNCTION("""COMPUTED_VALUE"""),"eth")</f>
        <v>eth</v>
      </c>
      <c r="C5105" t="str">
        <f>IFERROR(__xludf.DUMMYFUNCTION("""COMPUTED_VALUE"""),"Ethiopia")</f>
        <v>Ethiopia</v>
      </c>
      <c r="D5105">
        <f>IFERROR(__xludf.DUMMYFUNCTION("""COMPUTED_VALUE"""),1955.0)</f>
        <v>1955</v>
      </c>
      <c r="E5105">
        <f>IFERROR(__xludf.DUMMYFUNCTION("""COMPUTED_VALUE"""),1.9947292E7)</f>
        <v>19947292</v>
      </c>
    </row>
    <row r="5106">
      <c r="A5106" t="str">
        <f t="shared" si="1"/>
        <v>eth#1956</v>
      </c>
      <c r="B5106" t="str">
        <f>IFERROR(__xludf.DUMMYFUNCTION("""COMPUTED_VALUE"""),"eth")</f>
        <v>eth</v>
      </c>
      <c r="C5106" t="str">
        <f>IFERROR(__xludf.DUMMYFUNCTION("""COMPUTED_VALUE"""),"Ethiopia")</f>
        <v>Ethiopia</v>
      </c>
      <c r="D5106">
        <f>IFERROR(__xludf.DUMMYFUNCTION("""COMPUTED_VALUE"""),1956.0)</f>
        <v>1956</v>
      </c>
      <c r="E5106">
        <f>IFERROR(__xludf.DUMMYFUNCTION("""COMPUTED_VALUE"""),2.0347813E7)</f>
        <v>20347813</v>
      </c>
    </row>
    <row r="5107">
      <c r="A5107" t="str">
        <f t="shared" si="1"/>
        <v>eth#1957</v>
      </c>
      <c r="B5107" t="str">
        <f>IFERROR(__xludf.DUMMYFUNCTION("""COMPUTED_VALUE"""),"eth")</f>
        <v>eth</v>
      </c>
      <c r="C5107" t="str">
        <f>IFERROR(__xludf.DUMMYFUNCTION("""COMPUTED_VALUE"""),"Ethiopia")</f>
        <v>Ethiopia</v>
      </c>
      <c r="D5107">
        <f>IFERROR(__xludf.DUMMYFUNCTION("""COMPUTED_VALUE"""),1957.0)</f>
        <v>1957</v>
      </c>
      <c r="E5107">
        <f>IFERROR(__xludf.DUMMYFUNCTION("""COMPUTED_VALUE"""),2.076445E7)</f>
        <v>20764450</v>
      </c>
    </row>
    <row r="5108">
      <c r="A5108" t="str">
        <f t="shared" si="1"/>
        <v>eth#1958</v>
      </c>
      <c r="B5108" t="str">
        <f>IFERROR(__xludf.DUMMYFUNCTION("""COMPUTED_VALUE"""),"eth")</f>
        <v>eth</v>
      </c>
      <c r="C5108" t="str">
        <f>IFERROR(__xludf.DUMMYFUNCTION("""COMPUTED_VALUE"""),"Ethiopia")</f>
        <v>Ethiopia</v>
      </c>
      <c r="D5108">
        <f>IFERROR(__xludf.DUMMYFUNCTION("""COMPUTED_VALUE"""),1958.0)</f>
        <v>1958</v>
      </c>
      <c r="E5108">
        <f>IFERROR(__xludf.DUMMYFUNCTION("""COMPUTED_VALUE"""),2.1201034E7)</f>
        <v>21201034</v>
      </c>
    </row>
    <row r="5109">
      <c r="A5109" t="str">
        <f t="shared" si="1"/>
        <v>eth#1959</v>
      </c>
      <c r="B5109" t="str">
        <f>IFERROR(__xludf.DUMMYFUNCTION("""COMPUTED_VALUE"""),"eth")</f>
        <v>eth</v>
      </c>
      <c r="C5109" t="str">
        <f>IFERROR(__xludf.DUMMYFUNCTION("""COMPUTED_VALUE"""),"Ethiopia")</f>
        <v>Ethiopia</v>
      </c>
      <c r="D5109">
        <f>IFERROR(__xludf.DUMMYFUNCTION("""COMPUTED_VALUE"""),1959.0)</f>
        <v>1959</v>
      </c>
      <c r="E5109">
        <f>IFERROR(__xludf.DUMMYFUNCTION("""COMPUTED_VALUE"""),2.1661996E7)</f>
        <v>21661996</v>
      </c>
    </row>
    <row r="5110">
      <c r="A5110" t="str">
        <f t="shared" si="1"/>
        <v>eth#1960</v>
      </c>
      <c r="B5110" t="str">
        <f>IFERROR(__xludf.DUMMYFUNCTION("""COMPUTED_VALUE"""),"eth")</f>
        <v>eth</v>
      </c>
      <c r="C5110" t="str">
        <f>IFERROR(__xludf.DUMMYFUNCTION("""COMPUTED_VALUE"""),"Ethiopia")</f>
        <v>Ethiopia</v>
      </c>
      <c r="D5110">
        <f>IFERROR(__xludf.DUMMYFUNCTION("""COMPUTED_VALUE"""),1960.0)</f>
        <v>1960</v>
      </c>
      <c r="E5110">
        <f>IFERROR(__xludf.DUMMYFUNCTION("""COMPUTED_VALUE"""),2.2151278E7)</f>
        <v>22151278</v>
      </c>
    </row>
    <row r="5111">
      <c r="A5111" t="str">
        <f t="shared" si="1"/>
        <v>eth#1961</v>
      </c>
      <c r="B5111" t="str">
        <f>IFERROR(__xludf.DUMMYFUNCTION("""COMPUTED_VALUE"""),"eth")</f>
        <v>eth</v>
      </c>
      <c r="C5111" t="str">
        <f>IFERROR(__xludf.DUMMYFUNCTION("""COMPUTED_VALUE"""),"Ethiopia")</f>
        <v>Ethiopia</v>
      </c>
      <c r="D5111">
        <f>IFERROR(__xludf.DUMMYFUNCTION("""COMPUTED_VALUE"""),1961.0)</f>
        <v>1961</v>
      </c>
      <c r="E5111">
        <f>IFERROR(__xludf.DUMMYFUNCTION("""COMPUTED_VALUE"""),2.267119E7)</f>
        <v>22671190</v>
      </c>
    </row>
    <row r="5112">
      <c r="A5112" t="str">
        <f t="shared" si="1"/>
        <v>eth#1962</v>
      </c>
      <c r="B5112" t="str">
        <f>IFERROR(__xludf.DUMMYFUNCTION("""COMPUTED_VALUE"""),"eth")</f>
        <v>eth</v>
      </c>
      <c r="C5112" t="str">
        <f>IFERROR(__xludf.DUMMYFUNCTION("""COMPUTED_VALUE"""),"Ethiopia")</f>
        <v>Ethiopia</v>
      </c>
      <c r="D5112">
        <f>IFERROR(__xludf.DUMMYFUNCTION("""COMPUTED_VALUE"""),1962.0)</f>
        <v>1962</v>
      </c>
      <c r="E5112">
        <f>IFERROR(__xludf.DUMMYFUNCTION("""COMPUTED_VALUE"""),2.3221389E7)</f>
        <v>23221389</v>
      </c>
    </row>
    <row r="5113">
      <c r="A5113" t="str">
        <f t="shared" si="1"/>
        <v>eth#1963</v>
      </c>
      <c r="B5113" t="str">
        <f>IFERROR(__xludf.DUMMYFUNCTION("""COMPUTED_VALUE"""),"eth")</f>
        <v>eth</v>
      </c>
      <c r="C5113" t="str">
        <f>IFERROR(__xludf.DUMMYFUNCTION("""COMPUTED_VALUE"""),"Ethiopia")</f>
        <v>Ethiopia</v>
      </c>
      <c r="D5113">
        <f>IFERROR(__xludf.DUMMYFUNCTION("""COMPUTED_VALUE"""),1963.0)</f>
        <v>1963</v>
      </c>
      <c r="E5113">
        <f>IFERROR(__xludf.DUMMYFUNCTION("""COMPUTED_VALUE"""),2.3798429E7)</f>
        <v>23798429</v>
      </c>
    </row>
    <row r="5114">
      <c r="A5114" t="str">
        <f t="shared" si="1"/>
        <v>eth#1964</v>
      </c>
      <c r="B5114" t="str">
        <f>IFERROR(__xludf.DUMMYFUNCTION("""COMPUTED_VALUE"""),"eth")</f>
        <v>eth</v>
      </c>
      <c r="C5114" t="str">
        <f>IFERROR(__xludf.DUMMYFUNCTION("""COMPUTED_VALUE"""),"Ethiopia")</f>
        <v>Ethiopia</v>
      </c>
      <c r="D5114">
        <f>IFERROR(__xludf.DUMMYFUNCTION("""COMPUTED_VALUE"""),1964.0)</f>
        <v>1964</v>
      </c>
      <c r="E5114">
        <f>IFERROR(__xludf.DUMMYFUNCTION("""COMPUTED_VALUE"""),2.4397024E7)</f>
        <v>24397024</v>
      </c>
    </row>
    <row r="5115">
      <c r="A5115" t="str">
        <f t="shared" si="1"/>
        <v>eth#1965</v>
      </c>
      <c r="B5115" t="str">
        <f>IFERROR(__xludf.DUMMYFUNCTION("""COMPUTED_VALUE"""),"eth")</f>
        <v>eth</v>
      </c>
      <c r="C5115" t="str">
        <f>IFERROR(__xludf.DUMMYFUNCTION("""COMPUTED_VALUE"""),"Ethiopia")</f>
        <v>Ethiopia</v>
      </c>
      <c r="D5115">
        <f>IFERROR(__xludf.DUMMYFUNCTION("""COMPUTED_VALUE"""),1965.0)</f>
        <v>1965</v>
      </c>
      <c r="E5115">
        <f>IFERROR(__xludf.DUMMYFUNCTION("""COMPUTED_VALUE"""),2.5013626E7)</f>
        <v>25013626</v>
      </c>
    </row>
    <row r="5116">
      <c r="A5116" t="str">
        <f t="shared" si="1"/>
        <v>eth#1966</v>
      </c>
      <c r="B5116" t="str">
        <f>IFERROR(__xludf.DUMMYFUNCTION("""COMPUTED_VALUE"""),"eth")</f>
        <v>eth</v>
      </c>
      <c r="C5116" t="str">
        <f>IFERROR(__xludf.DUMMYFUNCTION("""COMPUTED_VALUE"""),"Ethiopia")</f>
        <v>Ethiopia</v>
      </c>
      <c r="D5116">
        <f>IFERROR(__xludf.DUMMYFUNCTION("""COMPUTED_VALUE"""),1966.0)</f>
        <v>1966</v>
      </c>
      <c r="E5116">
        <f>IFERROR(__xludf.DUMMYFUNCTION("""COMPUTED_VALUE"""),2.5641376E7)</f>
        <v>25641376</v>
      </c>
    </row>
    <row r="5117">
      <c r="A5117" t="str">
        <f t="shared" si="1"/>
        <v>eth#1967</v>
      </c>
      <c r="B5117" t="str">
        <f>IFERROR(__xludf.DUMMYFUNCTION("""COMPUTED_VALUE"""),"eth")</f>
        <v>eth</v>
      </c>
      <c r="C5117" t="str">
        <f>IFERROR(__xludf.DUMMYFUNCTION("""COMPUTED_VALUE"""),"Ethiopia")</f>
        <v>Ethiopia</v>
      </c>
      <c r="D5117">
        <f>IFERROR(__xludf.DUMMYFUNCTION("""COMPUTED_VALUE"""),1967.0)</f>
        <v>1967</v>
      </c>
      <c r="E5117">
        <f>IFERROR(__xludf.DUMMYFUNCTION("""COMPUTED_VALUE"""),2.6281208E7)</f>
        <v>26281208</v>
      </c>
    </row>
    <row r="5118">
      <c r="A5118" t="str">
        <f t="shared" si="1"/>
        <v>eth#1968</v>
      </c>
      <c r="B5118" t="str">
        <f>IFERROR(__xludf.DUMMYFUNCTION("""COMPUTED_VALUE"""),"eth")</f>
        <v>eth</v>
      </c>
      <c r="C5118" t="str">
        <f>IFERROR(__xludf.DUMMYFUNCTION("""COMPUTED_VALUE"""),"Ethiopia")</f>
        <v>Ethiopia</v>
      </c>
      <c r="D5118">
        <f>IFERROR(__xludf.DUMMYFUNCTION("""COMPUTED_VALUE"""),1968.0)</f>
        <v>1968</v>
      </c>
      <c r="E5118">
        <f>IFERROR(__xludf.DUMMYFUNCTION("""COMPUTED_VALUE"""),2.6946079E7)</f>
        <v>26946079</v>
      </c>
    </row>
    <row r="5119">
      <c r="A5119" t="str">
        <f t="shared" si="1"/>
        <v>eth#1969</v>
      </c>
      <c r="B5119" t="str">
        <f>IFERROR(__xludf.DUMMYFUNCTION("""COMPUTED_VALUE"""),"eth")</f>
        <v>eth</v>
      </c>
      <c r="C5119" t="str">
        <f>IFERROR(__xludf.DUMMYFUNCTION("""COMPUTED_VALUE"""),"Ethiopia")</f>
        <v>Ethiopia</v>
      </c>
      <c r="D5119">
        <f>IFERROR(__xludf.DUMMYFUNCTION("""COMPUTED_VALUE"""),1969.0)</f>
        <v>1969</v>
      </c>
      <c r="E5119">
        <f>IFERROR(__xludf.DUMMYFUNCTION("""COMPUTED_VALUE"""),2.7654161E7)</f>
        <v>27654161</v>
      </c>
    </row>
    <row r="5120">
      <c r="A5120" t="str">
        <f t="shared" si="1"/>
        <v>eth#1970</v>
      </c>
      <c r="B5120" t="str">
        <f>IFERROR(__xludf.DUMMYFUNCTION("""COMPUTED_VALUE"""),"eth")</f>
        <v>eth</v>
      </c>
      <c r="C5120" t="str">
        <f>IFERROR(__xludf.DUMMYFUNCTION("""COMPUTED_VALUE"""),"Ethiopia")</f>
        <v>Ethiopia</v>
      </c>
      <c r="D5120">
        <f>IFERROR(__xludf.DUMMYFUNCTION("""COMPUTED_VALUE"""),1970.0)</f>
        <v>1970</v>
      </c>
      <c r="E5120">
        <f>IFERROR(__xludf.DUMMYFUNCTION("""COMPUTED_VALUE"""),2.8415077E7)</f>
        <v>28415077</v>
      </c>
    </row>
    <row r="5121">
      <c r="A5121" t="str">
        <f t="shared" si="1"/>
        <v>eth#1971</v>
      </c>
      <c r="B5121" t="str">
        <f>IFERROR(__xludf.DUMMYFUNCTION("""COMPUTED_VALUE"""),"eth")</f>
        <v>eth</v>
      </c>
      <c r="C5121" t="str">
        <f>IFERROR(__xludf.DUMMYFUNCTION("""COMPUTED_VALUE"""),"Ethiopia")</f>
        <v>Ethiopia</v>
      </c>
      <c r="D5121">
        <f>IFERROR(__xludf.DUMMYFUNCTION("""COMPUTED_VALUE"""),1971.0)</f>
        <v>1971</v>
      </c>
      <c r="E5121">
        <f>IFERROR(__xludf.DUMMYFUNCTION("""COMPUTED_VALUE"""),2.9245207E7)</f>
        <v>29245207</v>
      </c>
    </row>
    <row r="5122">
      <c r="A5122" t="str">
        <f t="shared" si="1"/>
        <v>eth#1972</v>
      </c>
      <c r="B5122" t="str">
        <f>IFERROR(__xludf.DUMMYFUNCTION("""COMPUTED_VALUE"""),"eth")</f>
        <v>eth</v>
      </c>
      <c r="C5122" t="str">
        <f>IFERROR(__xludf.DUMMYFUNCTION("""COMPUTED_VALUE"""),"Ethiopia")</f>
        <v>Ethiopia</v>
      </c>
      <c r="D5122">
        <f>IFERROR(__xludf.DUMMYFUNCTION("""COMPUTED_VALUE"""),1972.0)</f>
        <v>1972</v>
      </c>
      <c r="E5122">
        <f>IFERROR(__xludf.DUMMYFUNCTION("""COMPUTED_VALUE"""),3.013258E7)</f>
        <v>30132580</v>
      </c>
    </row>
    <row r="5123">
      <c r="A5123" t="str">
        <f t="shared" si="1"/>
        <v>eth#1973</v>
      </c>
      <c r="B5123" t="str">
        <f>IFERROR(__xludf.DUMMYFUNCTION("""COMPUTED_VALUE"""),"eth")</f>
        <v>eth</v>
      </c>
      <c r="C5123" t="str">
        <f>IFERROR(__xludf.DUMMYFUNCTION("""COMPUTED_VALUE"""),"Ethiopia")</f>
        <v>Ethiopia</v>
      </c>
      <c r="D5123">
        <f>IFERROR(__xludf.DUMMYFUNCTION("""COMPUTED_VALUE"""),1973.0)</f>
        <v>1973</v>
      </c>
      <c r="E5123">
        <f>IFERROR(__xludf.DUMMYFUNCTION("""COMPUTED_VALUE"""),3.1025115E7)</f>
        <v>31025115</v>
      </c>
    </row>
    <row r="5124">
      <c r="A5124" t="str">
        <f t="shared" si="1"/>
        <v>eth#1974</v>
      </c>
      <c r="B5124" t="str">
        <f>IFERROR(__xludf.DUMMYFUNCTION("""COMPUTED_VALUE"""),"eth")</f>
        <v>eth</v>
      </c>
      <c r="C5124" t="str">
        <f>IFERROR(__xludf.DUMMYFUNCTION("""COMPUTED_VALUE"""),"Ethiopia")</f>
        <v>Ethiopia</v>
      </c>
      <c r="D5124">
        <f>IFERROR(__xludf.DUMMYFUNCTION("""COMPUTED_VALUE"""),1974.0)</f>
        <v>1974</v>
      </c>
      <c r="E5124">
        <f>IFERROR(__xludf.DUMMYFUNCTION("""COMPUTED_VALUE"""),3.1851708E7)</f>
        <v>31851708</v>
      </c>
    </row>
    <row r="5125">
      <c r="A5125" t="str">
        <f t="shared" si="1"/>
        <v>eth#1975</v>
      </c>
      <c r="B5125" t="str">
        <f>IFERROR(__xludf.DUMMYFUNCTION("""COMPUTED_VALUE"""),"eth")</f>
        <v>eth</v>
      </c>
      <c r="C5125" t="str">
        <f>IFERROR(__xludf.DUMMYFUNCTION("""COMPUTED_VALUE"""),"Ethiopia")</f>
        <v>Ethiopia</v>
      </c>
      <c r="D5125">
        <f>IFERROR(__xludf.DUMMYFUNCTION("""COMPUTED_VALUE"""),1975.0)</f>
        <v>1975</v>
      </c>
      <c r="E5125">
        <f>IFERROR(__xludf.DUMMYFUNCTION("""COMPUTED_VALUE"""),3.2566821E7)</f>
        <v>32566821</v>
      </c>
    </row>
    <row r="5126">
      <c r="A5126" t="str">
        <f t="shared" si="1"/>
        <v>eth#1976</v>
      </c>
      <c r="B5126" t="str">
        <f>IFERROR(__xludf.DUMMYFUNCTION("""COMPUTED_VALUE"""),"eth")</f>
        <v>eth</v>
      </c>
      <c r="C5126" t="str">
        <f>IFERROR(__xludf.DUMMYFUNCTION("""COMPUTED_VALUE"""),"Ethiopia")</f>
        <v>Ethiopia</v>
      </c>
      <c r="D5126">
        <f>IFERROR(__xludf.DUMMYFUNCTION("""COMPUTED_VALUE"""),1976.0)</f>
        <v>1976</v>
      </c>
      <c r="E5126">
        <f>IFERROR(__xludf.DUMMYFUNCTION("""COMPUTED_VALUE"""),3.3146891E7)</f>
        <v>33146891</v>
      </c>
    </row>
    <row r="5127">
      <c r="A5127" t="str">
        <f t="shared" si="1"/>
        <v>eth#1977</v>
      </c>
      <c r="B5127" t="str">
        <f>IFERROR(__xludf.DUMMYFUNCTION("""COMPUTED_VALUE"""),"eth")</f>
        <v>eth</v>
      </c>
      <c r="C5127" t="str">
        <f>IFERROR(__xludf.DUMMYFUNCTION("""COMPUTED_VALUE"""),"Ethiopia")</f>
        <v>Ethiopia</v>
      </c>
      <c r="D5127">
        <f>IFERROR(__xludf.DUMMYFUNCTION("""COMPUTED_VALUE"""),1977.0)</f>
        <v>1977</v>
      </c>
      <c r="E5127">
        <f>IFERROR(__xludf.DUMMYFUNCTION("""COMPUTED_VALUE"""),3.362239E7)</f>
        <v>33622390</v>
      </c>
    </row>
    <row r="5128">
      <c r="A5128" t="str">
        <f t="shared" si="1"/>
        <v>eth#1978</v>
      </c>
      <c r="B5128" t="str">
        <f>IFERROR(__xludf.DUMMYFUNCTION("""COMPUTED_VALUE"""),"eth")</f>
        <v>eth</v>
      </c>
      <c r="C5128" t="str">
        <f>IFERROR(__xludf.DUMMYFUNCTION("""COMPUTED_VALUE"""),"Ethiopia")</f>
        <v>Ethiopia</v>
      </c>
      <c r="D5128">
        <f>IFERROR(__xludf.DUMMYFUNCTION("""COMPUTED_VALUE"""),1978.0)</f>
        <v>1978</v>
      </c>
      <c r="E5128">
        <f>IFERROR(__xludf.DUMMYFUNCTION("""COMPUTED_VALUE"""),3.4068316E7)</f>
        <v>34068316</v>
      </c>
    </row>
    <row r="5129">
      <c r="A5129" t="str">
        <f t="shared" si="1"/>
        <v>eth#1979</v>
      </c>
      <c r="B5129" t="str">
        <f>IFERROR(__xludf.DUMMYFUNCTION("""COMPUTED_VALUE"""),"eth")</f>
        <v>eth</v>
      </c>
      <c r="C5129" t="str">
        <f>IFERROR(__xludf.DUMMYFUNCTION("""COMPUTED_VALUE"""),"Ethiopia")</f>
        <v>Ethiopia</v>
      </c>
      <c r="D5129">
        <f>IFERROR(__xludf.DUMMYFUNCTION("""COMPUTED_VALUE"""),1979.0)</f>
        <v>1979</v>
      </c>
      <c r="E5129">
        <f>IFERROR(__xludf.DUMMYFUNCTION("""COMPUTED_VALUE"""),3.4590226E7)</f>
        <v>34590226</v>
      </c>
    </row>
    <row r="5130">
      <c r="A5130" t="str">
        <f t="shared" si="1"/>
        <v>eth#1980</v>
      </c>
      <c r="B5130" t="str">
        <f>IFERROR(__xludf.DUMMYFUNCTION("""COMPUTED_VALUE"""),"eth")</f>
        <v>eth</v>
      </c>
      <c r="C5130" t="str">
        <f>IFERROR(__xludf.DUMMYFUNCTION("""COMPUTED_VALUE"""),"Ethiopia")</f>
        <v>Ethiopia</v>
      </c>
      <c r="D5130">
        <f>IFERROR(__xludf.DUMMYFUNCTION("""COMPUTED_VALUE"""),1980.0)</f>
        <v>1980</v>
      </c>
      <c r="E5130">
        <f>IFERROR(__xludf.DUMMYFUNCTION("""COMPUTED_VALUE"""),3.5264898E7)</f>
        <v>35264898</v>
      </c>
    </row>
    <row r="5131">
      <c r="A5131" t="str">
        <f t="shared" si="1"/>
        <v>eth#1981</v>
      </c>
      <c r="B5131" t="str">
        <f>IFERROR(__xludf.DUMMYFUNCTION("""COMPUTED_VALUE"""),"eth")</f>
        <v>eth</v>
      </c>
      <c r="C5131" t="str">
        <f>IFERROR(__xludf.DUMMYFUNCTION("""COMPUTED_VALUE"""),"Ethiopia")</f>
        <v>Ethiopia</v>
      </c>
      <c r="D5131">
        <f>IFERROR(__xludf.DUMMYFUNCTION("""COMPUTED_VALUE"""),1981.0)</f>
        <v>1981</v>
      </c>
      <c r="E5131">
        <f>IFERROR(__xludf.DUMMYFUNCTION("""COMPUTED_VALUE"""),3.6120288E7)</f>
        <v>36120288</v>
      </c>
    </row>
    <row r="5132">
      <c r="A5132" t="str">
        <f t="shared" si="1"/>
        <v>eth#1982</v>
      </c>
      <c r="B5132" t="str">
        <f>IFERROR(__xludf.DUMMYFUNCTION("""COMPUTED_VALUE"""),"eth")</f>
        <v>eth</v>
      </c>
      <c r="C5132" t="str">
        <f>IFERROR(__xludf.DUMMYFUNCTION("""COMPUTED_VALUE"""),"Ethiopia")</f>
        <v>Ethiopia</v>
      </c>
      <c r="D5132">
        <f>IFERROR(__xludf.DUMMYFUNCTION("""COMPUTED_VALUE"""),1982.0)</f>
        <v>1982</v>
      </c>
      <c r="E5132">
        <f>IFERROR(__xludf.DUMMYFUNCTION("""COMPUTED_VALUE"""),3.7136848E7)</f>
        <v>37136848</v>
      </c>
    </row>
    <row r="5133">
      <c r="A5133" t="str">
        <f t="shared" si="1"/>
        <v>eth#1983</v>
      </c>
      <c r="B5133" t="str">
        <f>IFERROR(__xludf.DUMMYFUNCTION("""COMPUTED_VALUE"""),"eth")</f>
        <v>eth</v>
      </c>
      <c r="C5133" t="str">
        <f>IFERROR(__xludf.DUMMYFUNCTION("""COMPUTED_VALUE"""),"Ethiopia")</f>
        <v>Ethiopia</v>
      </c>
      <c r="D5133">
        <f>IFERROR(__xludf.DUMMYFUNCTION("""COMPUTED_VALUE"""),1983.0)</f>
        <v>1983</v>
      </c>
      <c r="E5133">
        <f>IFERROR(__xludf.DUMMYFUNCTION("""COMPUTED_VALUE"""),3.8285883E7)</f>
        <v>38285883</v>
      </c>
    </row>
    <row r="5134">
      <c r="A5134" t="str">
        <f t="shared" si="1"/>
        <v>eth#1984</v>
      </c>
      <c r="B5134" t="str">
        <f>IFERROR(__xludf.DUMMYFUNCTION("""COMPUTED_VALUE"""),"eth")</f>
        <v>eth</v>
      </c>
      <c r="C5134" t="str">
        <f>IFERROR(__xludf.DUMMYFUNCTION("""COMPUTED_VALUE"""),"Ethiopia")</f>
        <v>Ethiopia</v>
      </c>
      <c r="D5134">
        <f>IFERROR(__xludf.DUMMYFUNCTION("""COMPUTED_VALUE"""),1984.0)</f>
        <v>1984</v>
      </c>
      <c r="E5134">
        <f>IFERROR(__xludf.DUMMYFUNCTION("""COMPUTED_VALUE"""),3.9518801E7)</f>
        <v>39518801</v>
      </c>
    </row>
    <row r="5135">
      <c r="A5135" t="str">
        <f t="shared" si="1"/>
        <v>eth#1985</v>
      </c>
      <c r="B5135" t="str">
        <f>IFERROR(__xludf.DUMMYFUNCTION("""COMPUTED_VALUE"""),"eth")</f>
        <v>eth</v>
      </c>
      <c r="C5135" t="str">
        <f>IFERROR(__xludf.DUMMYFUNCTION("""COMPUTED_VALUE"""),"Ethiopia")</f>
        <v>Ethiopia</v>
      </c>
      <c r="D5135">
        <f>IFERROR(__xludf.DUMMYFUNCTION("""COMPUTED_VALUE"""),1985.0)</f>
        <v>1985</v>
      </c>
      <c r="E5135">
        <f>IFERROR(__xludf.DUMMYFUNCTION("""COMPUTED_VALUE"""),4.0800343E7)</f>
        <v>40800343</v>
      </c>
    </row>
    <row r="5136">
      <c r="A5136" t="str">
        <f t="shared" si="1"/>
        <v>eth#1986</v>
      </c>
      <c r="B5136" t="str">
        <f>IFERROR(__xludf.DUMMYFUNCTION("""COMPUTED_VALUE"""),"eth")</f>
        <v>eth</v>
      </c>
      <c r="C5136" t="str">
        <f>IFERROR(__xludf.DUMMYFUNCTION("""COMPUTED_VALUE"""),"Ethiopia")</f>
        <v>Ethiopia</v>
      </c>
      <c r="D5136">
        <f>IFERROR(__xludf.DUMMYFUNCTION("""COMPUTED_VALUE"""),1986.0)</f>
        <v>1986</v>
      </c>
      <c r="E5136">
        <f>IFERROR(__xludf.DUMMYFUNCTION("""COMPUTED_VALUE"""),4.212073E7)</f>
        <v>42120730</v>
      </c>
    </row>
    <row r="5137">
      <c r="A5137" t="str">
        <f t="shared" si="1"/>
        <v>eth#1987</v>
      </c>
      <c r="B5137" t="str">
        <f>IFERROR(__xludf.DUMMYFUNCTION("""COMPUTED_VALUE"""),"eth")</f>
        <v>eth</v>
      </c>
      <c r="C5137" t="str">
        <f>IFERROR(__xludf.DUMMYFUNCTION("""COMPUTED_VALUE"""),"Ethiopia")</f>
        <v>Ethiopia</v>
      </c>
      <c r="D5137">
        <f>IFERROR(__xludf.DUMMYFUNCTION("""COMPUTED_VALUE"""),1987.0)</f>
        <v>1987</v>
      </c>
      <c r="E5137">
        <f>IFERROR(__xludf.DUMMYFUNCTION("""COMPUTED_VALUE"""),4.3493283E7)</f>
        <v>43493283</v>
      </c>
    </row>
    <row r="5138">
      <c r="A5138" t="str">
        <f t="shared" si="1"/>
        <v>eth#1988</v>
      </c>
      <c r="B5138" t="str">
        <f>IFERROR(__xludf.DUMMYFUNCTION("""COMPUTED_VALUE"""),"eth")</f>
        <v>eth</v>
      </c>
      <c r="C5138" t="str">
        <f>IFERROR(__xludf.DUMMYFUNCTION("""COMPUTED_VALUE"""),"Ethiopia")</f>
        <v>Ethiopia</v>
      </c>
      <c r="D5138">
        <f>IFERROR(__xludf.DUMMYFUNCTION("""COMPUTED_VALUE"""),1988.0)</f>
        <v>1988</v>
      </c>
      <c r="E5138">
        <f>IFERROR(__xludf.DUMMYFUNCTION("""COMPUTED_VALUE"""),4.4932064E7)</f>
        <v>44932064</v>
      </c>
    </row>
    <row r="5139">
      <c r="A5139" t="str">
        <f t="shared" si="1"/>
        <v>eth#1989</v>
      </c>
      <c r="B5139" t="str">
        <f>IFERROR(__xludf.DUMMYFUNCTION("""COMPUTED_VALUE"""),"eth")</f>
        <v>eth</v>
      </c>
      <c r="C5139" t="str">
        <f>IFERROR(__xludf.DUMMYFUNCTION("""COMPUTED_VALUE"""),"Ethiopia")</f>
        <v>Ethiopia</v>
      </c>
      <c r="D5139">
        <f>IFERROR(__xludf.DUMMYFUNCTION("""COMPUTED_VALUE"""),1989.0)</f>
        <v>1989</v>
      </c>
      <c r="E5139">
        <f>IFERROR(__xludf.DUMMYFUNCTION("""COMPUTED_VALUE"""),4.6458913E7)</f>
        <v>46458913</v>
      </c>
    </row>
    <row r="5140">
      <c r="A5140" t="str">
        <f t="shared" si="1"/>
        <v>eth#1990</v>
      </c>
      <c r="B5140" t="str">
        <f>IFERROR(__xludf.DUMMYFUNCTION("""COMPUTED_VALUE"""),"eth")</f>
        <v>eth</v>
      </c>
      <c r="C5140" t="str">
        <f>IFERROR(__xludf.DUMMYFUNCTION("""COMPUTED_VALUE"""),"Ethiopia")</f>
        <v>Ethiopia</v>
      </c>
      <c r="D5140">
        <f>IFERROR(__xludf.DUMMYFUNCTION("""COMPUTED_VALUE"""),1990.0)</f>
        <v>1990</v>
      </c>
      <c r="E5140">
        <f>IFERROR(__xludf.DUMMYFUNCTION("""COMPUTED_VALUE"""),4.8086516E7)</f>
        <v>48086516</v>
      </c>
    </row>
    <row r="5141">
      <c r="A5141" t="str">
        <f t="shared" si="1"/>
        <v>eth#1991</v>
      </c>
      <c r="B5141" t="str">
        <f>IFERROR(__xludf.DUMMYFUNCTION("""COMPUTED_VALUE"""),"eth")</f>
        <v>eth</v>
      </c>
      <c r="C5141" t="str">
        <f>IFERROR(__xludf.DUMMYFUNCTION("""COMPUTED_VALUE"""),"Ethiopia")</f>
        <v>Ethiopia</v>
      </c>
      <c r="D5141">
        <f>IFERROR(__xludf.DUMMYFUNCTION("""COMPUTED_VALUE"""),1991.0)</f>
        <v>1991</v>
      </c>
      <c r="E5141">
        <f>IFERROR(__xludf.DUMMYFUNCTION("""COMPUTED_VALUE"""),4.9821083E7)</f>
        <v>49821083</v>
      </c>
    </row>
    <row r="5142">
      <c r="A5142" t="str">
        <f t="shared" si="1"/>
        <v>eth#1992</v>
      </c>
      <c r="B5142" t="str">
        <f>IFERROR(__xludf.DUMMYFUNCTION("""COMPUTED_VALUE"""),"eth")</f>
        <v>eth</v>
      </c>
      <c r="C5142" t="str">
        <f>IFERROR(__xludf.DUMMYFUNCTION("""COMPUTED_VALUE"""),"Ethiopia")</f>
        <v>Ethiopia</v>
      </c>
      <c r="D5142">
        <f>IFERROR(__xludf.DUMMYFUNCTION("""COMPUTED_VALUE"""),1992.0)</f>
        <v>1992</v>
      </c>
      <c r="E5142">
        <f>IFERROR(__xludf.DUMMYFUNCTION("""COMPUTED_VALUE"""),5.1647768E7)</f>
        <v>51647768</v>
      </c>
    </row>
    <row r="5143">
      <c r="A5143" t="str">
        <f t="shared" si="1"/>
        <v>eth#1993</v>
      </c>
      <c r="B5143" t="str">
        <f>IFERROR(__xludf.DUMMYFUNCTION("""COMPUTED_VALUE"""),"eth")</f>
        <v>eth</v>
      </c>
      <c r="C5143" t="str">
        <f>IFERROR(__xludf.DUMMYFUNCTION("""COMPUTED_VALUE"""),"Ethiopia")</f>
        <v>Ethiopia</v>
      </c>
      <c r="D5143">
        <f>IFERROR(__xludf.DUMMYFUNCTION("""COMPUTED_VALUE"""),1993.0)</f>
        <v>1993</v>
      </c>
      <c r="E5143">
        <f>IFERROR(__xludf.DUMMYFUNCTION("""COMPUTED_VALUE"""),5.3532956E7)</f>
        <v>53532956</v>
      </c>
    </row>
    <row r="5144">
      <c r="A5144" t="str">
        <f t="shared" si="1"/>
        <v>eth#1994</v>
      </c>
      <c r="B5144" t="str">
        <f>IFERROR(__xludf.DUMMYFUNCTION("""COMPUTED_VALUE"""),"eth")</f>
        <v>eth</v>
      </c>
      <c r="C5144" t="str">
        <f>IFERROR(__xludf.DUMMYFUNCTION("""COMPUTED_VALUE"""),"Ethiopia")</f>
        <v>Ethiopia</v>
      </c>
      <c r="D5144">
        <f>IFERROR(__xludf.DUMMYFUNCTION("""COMPUTED_VALUE"""),1994.0)</f>
        <v>1994</v>
      </c>
      <c r="E5144">
        <f>IFERROR(__xludf.DUMMYFUNCTION("""COMPUTED_VALUE"""),5.5431123E7)</f>
        <v>55431123</v>
      </c>
    </row>
    <row r="5145">
      <c r="A5145" t="str">
        <f t="shared" si="1"/>
        <v>eth#1995</v>
      </c>
      <c r="B5145" t="str">
        <f>IFERROR(__xludf.DUMMYFUNCTION("""COMPUTED_VALUE"""),"eth")</f>
        <v>eth</v>
      </c>
      <c r="C5145" t="str">
        <f>IFERROR(__xludf.DUMMYFUNCTION("""COMPUTED_VALUE"""),"Ethiopia")</f>
        <v>Ethiopia</v>
      </c>
      <c r="D5145">
        <f>IFERROR(__xludf.DUMMYFUNCTION("""COMPUTED_VALUE"""),1995.0)</f>
        <v>1995</v>
      </c>
      <c r="E5145">
        <f>IFERROR(__xludf.DUMMYFUNCTION("""COMPUTED_VALUE"""),5.730988E7)</f>
        <v>57309880</v>
      </c>
    </row>
    <row r="5146">
      <c r="A5146" t="str">
        <f t="shared" si="1"/>
        <v>eth#1996</v>
      </c>
      <c r="B5146" t="str">
        <f>IFERROR(__xludf.DUMMYFUNCTION("""COMPUTED_VALUE"""),"eth")</f>
        <v>eth</v>
      </c>
      <c r="C5146" t="str">
        <f>IFERROR(__xludf.DUMMYFUNCTION("""COMPUTED_VALUE"""),"Ethiopia")</f>
        <v>Ethiopia</v>
      </c>
      <c r="D5146">
        <f>IFERROR(__xludf.DUMMYFUNCTION("""COMPUTED_VALUE"""),1996.0)</f>
        <v>1996</v>
      </c>
      <c r="E5146">
        <f>IFERROR(__xludf.DUMMYFUNCTION("""COMPUTED_VALUE"""),5.9155148E7)</f>
        <v>59155148</v>
      </c>
    </row>
    <row r="5147">
      <c r="A5147" t="str">
        <f t="shared" si="1"/>
        <v>eth#1997</v>
      </c>
      <c r="B5147" t="str">
        <f>IFERROR(__xludf.DUMMYFUNCTION("""COMPUTED_VALUE"""),"eth")</f>
        <v>eth</v>
      </c>
      <c r="C5147" t="str">
        <f>IFERROR(__xludf.DUMMYFUNCTION("""COMPUTED_VALUE"""),"Ethiopia")</f>
        <v>Ethiopia</v>
      </c>
      <c r="D5147">
        <f>IFERROR(__xludf.DUMMYFUNCTION("""COMPUTED_VALUE"""),1997.0)</f>
        <v>1997</v>
      </c>
      <c r="E5147">
        <f>IFERROR(__xludf.DUMMYFUNCTION("""COMPUTED_VALUE"""),6.097645E7)</f>
        <v>60976450</v>
      </c>
    </row>
    <row r="5148">
      <c r="A5148" t="str">
        <f t="shared" si="1"/>
        <v>eth#1998</v>
      </c>
      <c r="B5148" t="str">
        <f>IFERROR(__xludf.DUMMYFUNCTION("""COMPUTED_VALUE"""),"eth")</f>
        <v>eth</v>
      </c>
      <c r="C5148" t="str">
        <f>IFERROR(__xludf.DUMMYFUNCTION("""COMPUTED_VALUE"""),"Ethiopia")</f>
        <v>Ethiopia</v>
      </c>
      <c r="D5148">
        <f>IFERROR(__xludf.DUMMYFUNCTION("""COMPUTED_VALUE"""),1998.0)</f>
        <v>1998</v>
      </c>
      <c r="E5148">
        <f>IFERROR(__xludf.DUMMYFUNCTION("""COMPUTED_VALUE"""),6.2794151E7)</f>
        <v>62794151</v>
      </c>
    </row>
    <row r="5149">
      <c r="A5149" t="str">
        <f t="shared" si="1"/>
        <v>eth#1999</v>
      </c>
      <c r="B5149" t="str">
        <f>IFERROR(__xludf.DUMMYFUNCTION("""COMPUTED_VALUE"""),"eth")</f>
        <v>eth</v>
      </c>
      <c r="C5149" t="str">
        <f>IFERROR(__xludf.DUMMYFUNCTION("""COMPUTED_VALUE"""),"Ethiopia")</f>
        <v>Ethiopia</v>
      </c>
      <c r="D5149">
        <f>IFERROR(__xludf.DUMMYFUNCTION("""COMPUTED_VALUE"""),1999.0)</f>
        <v>1999</v>
      </c>
      <c r="E5149">
        <f>IFERROR(__xludf.DUMMYFUNCTION("""COMPUTED_VALUE"""),6.4640054E7)</f>
        <v>64640054</v>
      </c>
    </row>
    <row r="5150">
      <c r="A5150" t="str">
        <f t="shared" si="1"/>
        <v>eth#2000</v>
      </c>
      <c r="B5150" t="str">
        <f>IFERROR(__xludf.DUMMYFUNCTION("""COMPUTED_VALUE"""),"eth")</f>
        <v>eth</v>
      </c>
      <c r="C5150" t="str">
        <f>IFERROR(__xludf.DUMMYFUNCTION("""COMPUTED_VALUE"""),"Ethiopia")</f>
        <v>Ethiopia</v>
      </c>
      <c r="D5150">
        <f>IFERROR(__xludf.DUMMYFUNCTION("""COMPUTED_VALUE"""),2000.0)</f>
        <v>2000</v>
      </c>
      <c r="E5150">
        <f>IFERROR(__xludf.DUMMYFUNCTION("""COMPUTED_VALUE"""),6.6537331E7)</f>
        <v>66537331</v>
      </c>
    </row>
    <row r="5151">
      <c r="A5151" t="str">
        <f t="shared" si="1"/>
        <v>eth#2001</v>
      </c>
      <c r="B5151" t="str">
        <f>IFERROR(__xludf.DUMMYFUNCTION("""COMPUTED_VALUE"""),"eth")</f>
        <v>eth</v>
      </c>
      <c r="C5151" t="str">
        <f>IFERROR(__xludf.DUMMYFUNCTION("""COMPUTED_VALUE"""),"Ethiopia")</f>
        <v>Ethiopia</v>
      </c>
      <c r="D5151">
        <f>IFERROR(__xludf.DUMMYFUNCTION("""COMPUTED_VALUE"""),2001.0)</f>
        <v>2001</v>
      </c>
      <c r="E5151">
        <f>IFERROR(__xludf.DUMMYFUNCTION("""COMPUTED_VALUE"""),6.8492257E7)</f>
        <v>68492257</v>
      </c>
    </row>
    <row r="5152">
      <c r="A5152" t="str">
        <f t="shared" si="1"/>
        <v>eth#2002</v>
      </c>
      <c r="B5152" t="str">
        <f>IFERROR(__xludf.DUMMYFUNCTION("""COMPUTED_VALUE"""),"eth")</f>
        <v>eth</v>
      </c>
      <c r="C5152" t="str">
        <f>IFERROR(__xludf.DUMMYFUNCTION("""COMPUTED_VALUE"""),"Ethiopia")</f>
        <v>Ethiopia</v>
      </c>
      <c r="D5152">
        <f>IFERROR(__xludf.DUMMYFUNCTION("""COMPUTED_VALUE"""),2002.0)</f>
        <v>2002</v>
      </c>
      <c r="E5152">
        <f>IFERROR(__xludf.DUMMYFUNCTION("""COMPUTED_VALUE"""),7.0497192E7)</f>
        <v>70497192</v>
      </c>
    </row>
    <row r="5153">
      <c r="A5153" t="str">
        <f t="shared" si="1"/>
        <v>eth#2003</v>
      </c>
      <c r="B5153" t="str">
        <f>IFERROR(__xludf.DUMMYFUNCTION("""COMPUTED_VALUE"""),"eth")</f>
        <v>eth</v>
      </c>
      <c r="C5153" t="str">
        <f>IFERROR(__xludf.DUMMYFUNCTION("""COMPUTED_VALUE"""),"Ethiopia")</f>
        <v>Ethiopia</v>
      </c>
      <c r="D5153">
        <f>IFERROR(__xludf.DUMMYFUNCTION("""COMPUTED_VALUE"""),2003.0)</f>
        <v>2003</v>
      </c>
      <c r="E5153">
        <f>IFERROR(__xludf.DUMMYFUNCTION("""COMPUTED_VALUE"""),7.2545144E7)</f>
        <v>72545144</v>
      </c>
    </row>
    <row r="5154">
      <c r="A5154" t="str">
        <f t="shared" si="1"/>
        <v>eth#2004</v>
      </c>
      <c r="B5154" t="str">
        <f>IFERROR(__xludf.DUMMYFUNCTION("""COMPUTED_VALUE"""),"eth")</f>
        <v>eth</v>
      </c>
      <c r="C5154" t="str">
        <f>IFERROR(__xludf.DUMMYFUNCTION("""COMPUTED_VALUE"""),"Ethiopia")</f>
        <v>Ethiopia</v>
      </c>
      <c r="D5154">
        <f>IFERROR(__xludf.DUMMYFUNCTION("""COMPUTED_VALUE"""),2004.0)</f>
        <v>2004</v>
      </c>
      <c r="E5154">
        <f>IFERROR(__xludf.DUMMYFUNCTION("""COMPUTED_VALUE"""),7.4624405E7)</f>
        <v>74624405</v>
      </c>
    </row>
    <row r="5155">
      <c r="A5155" t="str">
        <f t="shared" si="1"/>
        <v>eth#2005</v>
      </c>
      <c r="B5155" t="str">
        <f>IFERROR(__xludf.DUMMYFUNCTION("""COMPUTED_VALUE"""),"eth")</f>
        <v>eth</v>
      </c>
      <c r="C5155" t="str">
        <f>IFERROR(__xludf.DUMMYFUNCTION("""COMPUTED_VALUE"""),"Ethiopia")</f>
        <v>Ethiopia</v>
      </c>
      <c r="D5155">
        <f>IFERROR(__xludf.DUMMYFUNCTION("""COMPUTED_VALUE"""),2005.0)</f>
        <v>2005</v>
      </c>
      <c r="E5155">
        <f>IFERROR(__xludf.DUMMYFUNCTION("""COMPUTED_VALUE"""),7.6727083E7)</f>
        <v>76727083</v>
      </c>
    </row>
    <row r="5156">
      <c r="A5156" t="str">
        <f t="shared" si="1"/>
        <v>eth#2006</v>
      </c>
      <c r="B5156" t="str">
        <f>IFERROR(__xludf.DUMMYFUNCTION("""COMPUTED_VALUE"""),"eth")</f>
        <v>eth</v>
      </c>
      <c r="C5156" t="str">
        <f>IFERROR(__xludf.DUMMYFUNCTION("""COMPUTED_VALUE"""),"Ethiopia")</f>
        <v>Ethiopia</v>
      </c>
      <c r="D5156">
        <f>IFERROR(__xludf.DUMMYFUNCTION("""COMPUTED_VALUE"""),2006.0)</f>
        <v>2006</v>
      </c>
      <c r="E5156">
        <f>IFERROR(__xludf.DUMMYFUNCTION("""COMPUTED_VALUE"""),7.8850689E7)</f>
        <v>78850689</v>
      </c>
    </row>
    <row r="5157">
      <c r="A5157" t="str">
        <f t="shared" si="1"/>
        <v>eth#2007</v>
      </c>
      <c r="B5157" t="str">
        <f>IFERROR(__xludf.DUMMYFUNCTION("""COMPUTED_VALUE"""),"eth")</f>
        <v>eth</v>
      </c>
      <c r="C5157" t="str">
        <f>IFERROR(__xludf.DUMMYFUNCTION("""COMPUTED_VALUE"""),"Ethiopia")</f>
        <v>Ethiopia</v>
      </c>
      <c r="D5157">
        <f>IFERROR(__xludf.DUMMYFUNCTION("""COMPUTED_VALUE"""),2007.0)</f>
        <v>2007</v>
      </c>
      <c r="E5157">
        <f>IFERROR(__xludf.DUMMYFUNCTION("""COMPUTED_VALUE"""),8.1000409E7)</f>
        <v>81000409</v>
      </c>
    </row>
    <row r="5158">
      <c r="A5158" t="str">
        <f t="shared" si="1"/>
        <v>eth#2008</v>
      </c>
      <c r="B5158" t="str">
        <f>IFERROR(__xludf.DUMMYFUNCTION("""COMPUTED_VALUE"""),"eth")</f>
        <v>eth</v>
      </c>
      <c r="C5158" t="str">
        <f>IFERROR(__xludf.DUMMYFUNCTION("""COMPUTED_VALUE"""),"Ethiopia")</f>
        <v>Ethiopia</v>
      </c>
      <c r="D5158">
        <f>IFERROR(__xludf.DUMMYFUNCTION("""COMPUTED_VALUE"""),2008.0)</f>
        <v>2008</v>
      </c>
      <c r="E5158">
        <f>IFERROR(__xludf.DUMMYFUNCTION("""COMPUTED_VALUE"""),8.3184892E7)</f>
        <v>83184892</v>
      </c>
    </row>
    <row r="5159">
      <c r="A5159" t="str">
        <f t="shared" si="1"/>
        <v>eth#2009</v>
      </c>
      <c r="B5159" t="str">
        <f>IFERROR(__xludf.DUMMYFUNCTION("""COMPUTED_VALUE"""),"eth")</f>
        <v>eth</v>
      </c>
      <c r="C5159" t="str">
        <f>IFERROR(__xludf.DUMMYFUNCTION("""COMPUTED_VALUE"""),"Ethiopia")</f>
        <v>Ethiopia</v>
      </c>
      <c r="D5159">
        <f>IFERROR(__xludf.DUMMYFUNCTION("""COMPUTED_VALUE"""),2009.0)</f>
        <v>2009</v>
      </c>
      <c r="E5159">
        <f>IFERROR(__xludf.DUMMYFUNCTION("""COMPUTED_VALUE"""),8.5416253E7)</f>
        <v>85416253</v>
      </c>
    </row>
    <row r="5160">
      <c r="A5160" t="str">
        <f t="shared" si="1"/>
        <v>eth#2010</v>
      </c>
      <c r="B5160" t="str">
        <f>IFERROR(__xludf.DUMMYFUNCTION("""COMPUTED_VALUE"""),"eth")</f>
        <v>eth</v>
      </c>
      <c r="C5160" t="str">
        <f>IFERROR(__xludf.DUMMYFUNCTION("""COMPUTED_VALUE"""),"Ethiopia")</f>
        <v>Ethiopia</v>
      </c>
      <c r="D5160">
        <f>IFERROR(__xludf.DUMMYFUNCTION("""COMPUTED_VALUE"""),2010.0)</f>
        <v>2010</v>
      </c>
      <c r="E5160">
        <f>IFERROR(__xludf.DUMMYFUNCTION("""COMPUTED_VALUE"""),8.770267E7)</f>
        <v>87702670</v>
      </c>
    </row>
    <row r="5161">
      <c r="A5161" t="str">
        <f t="shared" si="1"/>
        <v>eth#2011</v>
      </c>
      <c r="B5161" t="str">
        <f>IFERROR(__xludf.DUMMYFUNCTION("""COMPUTED_VALUE"""),"eth")</f>
        <v>eth</v>
      </c>
      <c r="C5161" t="str">
        <f>IFERROR(__xludf.DUMMYFUNCTION("""COMPUTED_VALUE"""),"Ethiopia")</f>
        <v>Ethiopia</v>
      </c>
      <c r="D5161">
        <f>IFERROR(__xludf.DUMMYFUNCTION("""COMPUTED_VALUE"""),2011.0)</f>
        <v>2011</v>
      </c>
      <c r="E5161">
        <f>IFERROR(__xludf.DUMMYFUNCTION("""COMPUTED_VALUE"""),9.0046756E7)</f>
        <v>90046756</v>
      </c>
    </row>
    <row r="5162">
      <c r="A5162" t="str">
        <f t="shared" si="1"/>
        <v>eth#2012</v>
      </c>
      <c r="B5162" t="str">
        <f>IFERROR(__xludf.DUMMYFUNCTION("""COMPUTED_VALUE"""),"eth")</f>
        <v>eth</v>
      </c>
      <c r="C5162" t="str">
        <f>IFERROR(__xludf.DUMMYFUNCTION("""COMPUTED_VALUE"""),"Ethiopia")</f>
        <v>Ethiopia</v>
      </c>
      <c r="D5162">
        <f>IFERROR(__xludf.DUMMYFUNCTION("""COMPUTED_VALUE"""),2012.0)</f>
        <v>2012</v>
      </c>
      <c r="E5162">
        <f>IFERROR(__xludf.DUMMYFUNCTION("""COMPUTED_VALUE"""),9.2444183E7)</f>
        <v>92444183</v>
      </c>
    </row>
    <row r="5163">
      <c r="A5163" t="str">
        <f t="shared" si="1"/>
        <v>eth#2013</v>
      </c>
      <c r="B5163" t="str">
        <f>IFERROR(__xludf.DUMMYFUNCTION("""COMPUTED_VALUE"""),"eth")</f>
        <v>eth</v>
      </c>
      <c r="C5163" t="str">
        <f>IFERROR(__xludf.DUMMYFUNCTION("""COMPUTED_VALUE"""),"Ethiopia")</f>
        <v>Ethiopia</v>
      </c>
      <c r="D5163">
        <f>IFERROR(__xludf.DUMMYFUNCTION("""COMPUTED_VALUE"""),2013.0)</f>
        <v>2013</v>
      </c>
      <c r="E5163">
        <f>IFERROR(__xludf.DUMMYFUNCTION("""COMPUTED_VALUE"""),9.4887724E7)</f>
        <v>94887724</v>
      </c>
    </row>
    <row r="5164">
      <c r="A5164" t="str">
        <f t="shared" si="1"/>
        <v>eth#2014</v>
      </c>
      <c r="B5164" t="str">
        <f>IFERROR(__xludf.DUMMYFUNCTION("""COMPUTED_VALUE"""),"eth")</f>
        <v>eth</v>
      </c>
      <c r="C5164" t="str">
        <f>IFERROR(__xludf.DUMMYFUNCTION("""COMPUTED_VALUE"""),"Ethiopia")</f>
        <v>Ethiopia</v>
      </c>
      <c r="D5164">
        <f>IFERROR(__xludf.DUMMYFUNCTION("""COMPUTED_VALUE"""),2014.0)</f>
        <v>2014</v>
      </c>
      <c r="E5164">
        <f>IFERROR(__xludf.DUMMYFUNCTION("""COMPUTED_VALUE"""),9.7366774E7)</f>
        <v>97366774</v>
      </c>
    </row>
    <row r="5165">
      <c r="A5165" t="str">
        <f t="shared" si="1"/>
        <v>eth#2015</v>
      </c>
      <c r="B5165" t="str">
        <f>IFERROR(__xludf.DUMMYFUNCTION("""COMPUTED_VALUE"""),"eth")</f>
        <v>eth</v>
      </c>
      <c r="C5165" t="str">
        <f>IFERROR(__xludf.DUMMYFUNCTION("""COMPUTED_VALUE"""),"Ethiopia")</f>
        <v>Ethiopia</v>
      </c>
      <c r="D5165">
        <f>IFERROR(__xludf.DUMMYFUNCTION("""COMPUTED_VALUE"""),2015.0)</f>
        <v>2015</v>
      </c>
      <c r="E5165">
        <f>IFERROR(__xludf.DUMMYFUNCTION("""COMPUTED_VALUE"""),9.9873033E7)</f>
        <v>99873033</v>
      </c>
    </row>
    <row r="5166">
      <c r="A5166" t="str">
        <f t="shared" si="1"/>
        <v>eth#2016</v>
      </c>
      <c r="B5166" t="str">
        <f>IFERROR(__xludf.DUMMYFUNCTION("""COMPUTED_VALUE"""),"eth")</f>
        <v>eth</v>
      </c>
      <c r="C5166" t="str">
        <f>IFERROR(__xludf.DUMMYFUNCTION("""COMPUTED_VALUE"""),"Ethiopia")</f>
        <v>Ethiopia</v>
      </c>
      <c r="D5166">
        <f>IFERROR(__xludf.DUMMYFUNCTION("""COMPUTED_VALUE"""),2016.0)</f>
        <v>2016</v>
      </c>
      <c r="E5166">
        <f>IFERROR(__xludf.DUMMYFUNCTION("""COMPUTED_VALUE"""),1.02403196E8)</f>
        <v>102403196</v>
      </c>
    </row>
    <row r="5167">
      <c r="A5167" t="str">
        <f t="shared" si="1"/>
        <v>eth#2017</v>
      </c>
      <c r="B5167" t="str">
        <f>IFERROR(__xludf.DUMMYFUNCTION("""COMPUTED_VALUE"""),"eth")</f>
        <v>eth</v>
      </c>
      <c r="C5167" t="str">
        <f>IFERROR(__xludf.DUMMYFUNCTION("""COMPUTED_VALUE"""),"Ethiopia")</f>
        <v>Ethiopia</v>
      </c>
      <c r="D5167">
        <f>IFERROR(__xludf.DUMMYFUNCTION("""COMPUTED_VALUE"""),2017.0)</f>
        <v>2017</v>
      </c>
      <c r="E5167">
        <f>IFERROR(__xludf.DUMMYFUNCTION("""COMPUTED_VALUE"""),1.04957438E8)</f>
        <v>104957438</v>
      </c>
    </row>
    <row r="5168">
      <c r="A5168" t="str">
        <f t="shared" si="1"/>
        <v>eth#2018</v>
      </c>
      <c r="B5168" t="str">
        <f>IFERROR(__xludf.DUMMYFUNCTION("""COMPUTED_VALUE"""),"eth")</f>
        <v>eth</v>
      </c>
      <c r="C5168" t="str">
        <f>IFERROR(__xludf.DUMMYFUNCTION("""COMPUTED_VALUE"""),"Ethiopia")</f>
        <v>Ethiopia</v>
      </c>
      <c r="D5168">
        <f>IFERROR(__xludf.DUMMYFUNCTION("""COMPUTED_VALUE"""),2018.0)</f>
        <v>2018</v>
      </c>
      <c r="E5168">
        <f>IFERROR(__xludf.DUMMYFUNCTION("""COMPUTED_VALUE"""),1.07534882E8)</f>
        <v>107534882</v>
      </c>
    </row>
    <row r="5169">
      <c r="A5169" t="str">
        <f t="shared" si="1"/>
        <v>eth#2019</v>
      </c>
      <c r="B5169" t="str">
        <f>IFERROR(__xludf.DUMMYFUNCTION("""COMPUTED_VALUE"""),"eth")</f>
        <v>eth</v>
      </c>
      <c r="C5169" t="str">
        <f>IFERROR(__xludf.DUMMYFUNCTION("""COMPUTED_VALUE"""),"Ethiopia")</f>
        <v>Ethiopia</v>
      </c>
      <c r="D5169">
        <f>IFERROR(__xludf.DUMMYFUNCTION("""COMPUTED_VALUE"""),2019.0)</f>
        <v>2019</v>
      </c>
      <c r="E5169">
        <f>IFERROR(__xludf.DUMMYFUNCTION("""COMPUTED_VALUE"""),1.10135635E8)</f>
        <v>110135635</v>
      </c>
    </row>
    <row r="5170">
      <c r="A5170" t="str">
        <f t="shared" si="1"/>
        <v>eth#2020</v>
      </c>
      <c r="B5170" t="str">
        <f>IFERROR(__xludf.DUMMYFUNCTION("""COMPUTED_VALUE"""),"eth")</f>
        <v>eth</v>
      </c>
      <c r="C5170" t="str">
        <f>IFERROR(__xludf.DUMMYFUNCTION("""COMPUTED_VALUE"""),"Ethiopia")</f>
        <v>Ethiopia</v>
      </c>
      <c r="D5170">
        <f>IFERROR(__xludf.DUMMYFUNCTION("""COMPUTED_VALUE"""),2020.0)</f>
        <v>2020</v>
      </c>
      <c r="E5170">
        <f>IFERROR(__xludf.DUMMYFUNCTION("""COMPUTED_VALUE"""),1.1275907E8)</f>
        <v>112759070</v>
      </c>
    </row>
    <row r="5171">
      <c r="A5171" t="str">
        <f t="shared" si="1"/>
        <v>eth#2021</v>
      </c>
      <c r="B5171" t="str">
        <f>IFERROR(__xludf.DUMMYFUNCTION("""COMPUTED_VALUE"""),"eth")</f>
        <v>eth</v>
      </c>
      <c r="C5171" t="str">
        <f>IFERROR(__xludf.DUMMYFUNCTION("""COMPUTED_VALUE"""),"Ethiopia")</f>
        <v>Ethiopia</v>
      </c>
      <c r="D5171">
        <f>IFERROR(__xludf.DUMMYFUNCTION("""COMPUTED_VALUE"""),2021.0)</f>
        <v>2021</v>
      </c>
      <c r="E5171">
        <f>IFERROR(__xludf.DUMMYFUNCTION("""COMPUTED_VALUE"""),1.15403326E8)</f>
        <v>115403326</v>
      </c>
    </row>
    <row r="5172">
      <c r="A5172" t="str">
        <f t="shared" si="1"/>
        <v>eth#2022</v>
      </c>
      <c r="B5172" t="str">
        <f>IFERROR(__xludf.DUMMYFUNCTION("""COMPUTED_VALUE"""),"eth")</f>
        <v>eth</v>
      </c>
      <c r="C5172" t="str">
        <f>IFERROR(__xludf.DUMMYFUNCTION("""COMPUTED_VALUE"""),"Ethiopia")</f>
        <v>Ethiopia</v>
      </c>
      <c r="D5172">
        <f>IFERROR(__xludf.DUMMYFUNCTION("""COMPUTED_VALUE"""),2022.0)</f>
        <v>2022</v>
      </c>
      <c r="E5172">
        <f>IFERROR(__xludf.DUMMYFUNCTION("""COMPUTED_VALUE"""),1.18065225E8)</f>
        <v>118065225</v>
      </c>
    </row>
    <row r="5173">
      <c r="A5173" t="str">
        <f t="shared" si="1"/>
        <v>eth#2023</v>
      </c>
      <c r="B5173" t="str">
        <f>IFERROR(__xludf.DUMMYFUNCTION("""COMPUTED_VALUE"""),"eth")</f>
        <v>eth</v>
      </c>
      <c r="C5173" t="str">
        <f>IFERROR(__xludf.DUMMYFUNCTION("""COMPUTED_VALUE"""),"Ethiopia")</f>
        <v>Ethiopia</v>
      </c>
      <c r="D5173">
        <f>IFERROR(__xludf.DUMMYFUNCTION("""COMPUTED_VALUE"""),2023.0)</f>
        <v>2023</v>
      </c>
      <c r="E5173">
        <f>IFERROR(__xludf.DUMMYFUNCTION("""COMPUTED_VALUE"""),1.20741324E8)</f>
        <v>120741324</v>
      </c>
    </row>
    <row r="5174">
      <c r="A5174" t="str">
        <f t="shared" si="1"/>
        <v>eth#2024</v>
      </c>
      <c r="B5174" t="str">
        <f>IFERROR(__xludf.DUMMYFUNCTION("""COMPUTED_VALUE"""),"eth")</f>
        <v>eth</v>
      </c>
      <c r="C5174" t="str">
        <f>IFERROR(__xludf.DUMMYFUNCTION("""COMPUTED_VALUE"""),"Ethiopia")</f>
        <v>Ethiopia</v>
      </c>
      <c r="D5174">
        <f>IFERROR(__xludf.DUMMYFUNCTION("""COMPUTED_VALUE"""),2024.0)</f>
        <v>2024</v>
      </c>
      <c r="E5174">
        <f>IFERROR(__xludf.DUMMYFUNCTION("""COMPUTED_VALUE"""),1.23427617E8)</f>
        <v>123427617</v>
      </c>
    </row>
    <row r="5175">
      <c r="A5175" t="str">
        <f t="shared" si="1"/>
        <v>eth#2025</v>
      </c>
      <c r="B5175" t="str">
        <f>IFERROR(__xludf.DUMMYFUNCTION("""COMPUTED_VALUE"""),"eth")</f>
        <v>eth</v>
      </c>
      <c r="C5175" t="str">
        <f>IFERROR(__xludf.DUMMYFUNCTION("""COMPUTED_VALUE"""),"Ethiopia")</f>
        <v>Ethiopia</v>
      </c>
      <c r="D5175">
        <f>IFERROR(__xludf.DUMMYFUNCTION("""COMPUTED_VALUE"""),2025.0)</f>
        <v>2025</v>
      </c>
      <c r="E5175">
        <f>IFERROR(__xludf.DUMMYFUNCTION("""COMPUTED_VALUE"""),1.26120682E8)</f>
        <v>126120682</v>
      </c>
    </row>
    <row r="5176">
      <c r="A5176" t="str">
        <f t="shared" si="1"/>
        <v>eth#2026</v>
      </c>
      <c r="B5176" t="str">
        <f>IFERROR(__xludf.DUMMYFUNCTION("""COMPUTED_VALUE"""),"eth")</f>
        <v>eth</v>
      </c>
      <c r="C5176" t="str">
        <f>IFERROR(__xludf.DUMMYFUNCTION("""COMPUTED_VALUE"""),"Ethiopia")</f>
        <v>Ethiopia</v>
      </c>
      <c r="D5176">
        <f>IFERROR(__xludf.DUMMYFUNCTION("""COMPUTED_VALUE"""),2026.0)</f>
        <v>2026</v>
      </c>
      <c r="E5176">
        <f>IFERROR(__xludf.DUMMYFUNCTION("""COMPUTED_VALUE"""),1.2881798E8)</f>
        <v>128817980</v>
      </c>
    </row>
    <row r="5177">
      <c r="A5177" t="str">
        <f t="shared" si="1"/>
        <v>eth#2027</v>
      </c>
      <c r="B5177" t="str">
        <f>IFERROR(__xludf.DUMMYFUNCTION("""COMPUTED_VALUE"""),"eth")</f>
        <v>eth</v>
      </c>
      <c r="C5177" t="str">
        <f>IFERROR(__xludf.DUMMYFUNCTION("""COMPUTED_VALUE"""),"Ethiopia")</f>
        <v>Ethiopia</v>
      </c>
      <c r="D5177">
        <f>IFERROR(__xludf.DUMMYFUNCTION("""COMPUTED_VALUE"""),2027.0)</f>
        <v>2027</v>
      </c>
      <c r="E5177">
        <f>IFERROR(__xludf.DUMMYFUNCTION("""COMPUTED_VALUE"""),1.31517867E8)</f>
        <v>131517867</v>
      </c>
    </row>
    <row r="5178">
      <c r="A5178" t="str">
        <f t="shared" si="1"/>
        <v>eth#2028</v>
      </c>
      <c r="B5178" t="str">
        <f>IFERROR(__xludf.DUMMYFUNCTION("""COMPUTED_VALUE"""),"eth")</f>
        <v>eth</v>
      </c>
      <c r="C5178" t="str">
        <f>IFERROR(__xludf.DUMMYFUNCTION("""COMPUTED_VALUE"""),"Ethiopia")</f>
        <v>Ethiopia</v>
      </c>
      <c r="D5178">
        <f>IFERROR(__xludf.DUMMYFUNCTION("""COMPUTED_VALUE"""),2028.0)</f>
        <v>2028</v>
      </c>
      <c r="E5178">
        <f>IFERROR(__xludf.DUMMYFUNCTION("""COMPUTED_VALUE"""),1.3421892E8)</f>
        <v>134218920</v>
      </c>
    </row>
    <row r="5179">
      <c r="A5179" t="str">
        <f t="shared" si="1"/>
        <v>eth#2029</v>
      </c>
      <c r="B5179" t="str">
        <f>IFERROR(__xludf.DUMMYFUNCTION("""COMPUTED_VALUE"""),"eth")</f>
        <v>eth</v>
      </c>
      <c r="C5179" t="str">
        <f>IFERROR(__xludf.DUMMYFUNCTION("""COMPUTED_VALUE"""),"Ethiopia")</f>
        <v>Ethiopia</v>
      </c>
      <c r="D5179">
        <f>IFERROR(__xludf.DUMMYFUNCTION("""COMPUTED_VALUE"""),2029.0)</f>
        <v>2029</v>
      </c>
      <c r="E5179">
        <f>IFERROR(__xludf.DUMMYFUNCTION("""COMPUTED_VALUE"""),1.36920107E8)</f>
        <v>136920107</v>
      </c>
    </row>
    <row r="5180">
      <c r="A5180" t="str">
        <f t="shared" si="1"/>
        <v>eth#2030</v>
      </c>
      <c r="B5180" t="str">
        <f>IFERROR(__xludf.DUMMYFUNCTION("""COMPUTED_VALUE"""),"eth")</f>
        <v>eth</v>
      </c>
      <c r="C5180" t="str">
        <f>IFERROR(__xludf.DUMMYFUNCTION("""COMPUTED_VALUE"""),"Ethiopia")</f>
        <v>Ethiopia</v>
      </c>
      <c r="D5180">
        <f>IFERROR(__xludf.DUMMYFUNCTION("""COMPUTED_VALUE"""),2030.0)</f>
        <v>2030</v>
      </c>
      <c r="E5180">
        <f>IFERROR(__xludf.DUMMYFUNCTION("""COMPUTED_VALUE"""),1.39620178E8)</f>
        <v>139620178</v>
      </c>
    </row>
    <row r="5181">
      <c r="A5181" t="str">
        <f t="shared" si="1"/>
        <v>eth#2031</v>
      </c>
      <c r="B5181" t="str">
        <f>IFERROR(__xludf.DUMMYFUNCTION("""COMPUTED_VALUE"""),"eth")</f>
        <v>eth</v>
      </c>
      <c r="C5181" t="str">
        <f>IFERROR(__xludf.DUMMYFUNCTION("""COMPUTED_VALUE"""),"Ethiopia")</f>
        <v>Ethiopia</v>
      </c>
      <c r="D5181">
        <f>IFERROR(__xludf.DUMMYFUNCTION("""COMPUTED_VALUE"""),2031.0)</f>
        <v>2031</v>
      </c>
      <c r="E5181">
        <f>IFERROR(__xludf.DUMMYFUNCTION("""COMPUTED_VALUE"""),1.42317586E8)</f>
        <v>142317586</v>
      </c>
    </row>
    <row r="5182">
      <c r="A5182" t="str">
        <f t="shared" si="1"/>
        <v>eth#2032</v>
      </c>
      <c r="B5182" t="str">
        <f>IFERROR(__xludf.DUMMYFUNCTION("""COMPUTED_VALUE"""),"eth")</f>
        <v>eth</v>
      </c>
      <c r="C5182" t="str">
        <f>IFERROR(__xludf.DUMMYFUNCTION("""COMPUTED_VALUE"""),"Ethiopia")</f>
        <v>Ethiopia</v>
      </c>
      <c r="D5182">
        <f>IFERROR(__xludf.DUMMYFUNCTION("""COMPUTED_VALUE"""),2032.0)</f>
        <v>2032</v>
      </c>
      <c r="E5182">
        <f>IFERROR(__xludf.DUMMYFUNCTION("""COMPUTED_VALUE"""),1.45010282E8)</f>
        <v>145010282</v>
      </c>
    </row>
    <row r="5183">
      <c r="A5183" t="str">
        <f t="shared" si="1"/>
        <v>eth#2033</v>
      </c>
      <c r="B5183" t="str">
        <f>IFERROR(__xludf.DUMMYFUNCTION("""COMPUTED_VALUE"""),"eth")</f>
        <v>eth</v>
      </c>
      <c r="C5183" t="str">
        <f>IFERROR(__xludf.DUMMYFUNCTION("""COMPUTED_VALUE"""),"Ethiopia")</f>
        <v>Ethiopia</v>
      </c>
      <c r="D5183">
        <f>IFERROR(__xludf.DUMMYFUNCTION("""COMPUTED_VALUE"""),2033.0)</f>
        <v>2033</v>
      </c>
      <c r="E5183">
        <f>IFERROR(__xludf.DUMMYFUNCTION("""COMPUTED_VALUE"""),1.47695897E8)</f>
        <v>147695897</v>
      </c>
    </row>
    <row r="5184">
      <c r="A5184" t="str">
        <f t="shared" si="1"/>
        <v>eth#2034</v>
      </c>
      <c r="B5184" t="str">
        <f>IFERROR(__xludf.DUMMYFUNCTION("""COMPUTED_VALUE"""),"eth")</f>
        <v>eth</v>
      </c>
      <c r="C5184" t="str">
        <f>IFERROR(__xludf.DUMMYFUNCTION("""COMPUTED_VALUE"""),"Ethiopia")</f>
        <v>Ethiopia</v>
      </c>
      <c r="D5184">
        <f>IFERROR(__xludf.DUMMYFUNCTION("""COMPUTED_VALUE"""),2034.0)</f>
        <v>2034</v>
      </c>
      <c r="E5184">
        <f>IFERROR(__xludf.DUMMYFUNCTION("""COMPUTED_VALUE"""),1.50371875E8)</f>
        <v>150371875</v>
      </c>
    </row>
    <row r="5185">
      <c r="A5185" t="str">
        <f t="shared" si="1"/>
        <v>eth#2035</v>
      </c>
      <c r="B5185" t="str">
        <f>IFERROR(__xludf.DUMMYFUNCTION("""COMPUTED_VALUE"""),"eth")</f>
        <v>eth</v>
      </c>
      <c r="C5185" t="str">
        <f>IFERROR(__xludf.DUMMYFUNCTION("""COMPUTED_VALUE"""),"Ethiopia")</f>
        <v>Ethiopia</v>
      </c>
      <c r="D5185">
        <f>IFERROR(__xludf.DUMMYFUNCTION("""COMPUTED_VALUE"""),2035.0)</f>
        <v>2035</v>
      </c>
      <c r="E5185">
        <f>IFERROR(__xludf.DUMMYFUNCTION("""COMPUTED_VALUE"""),1.53036024E8)</f>
        <v>153036024</v>
      </c>
    </row>
    <row r="5186">
      <c r="A5186" t="str">
        <f t="shared" si="1"/>
        <v>eth#2036</v>
      </c>
      <c r="B5186" t="str">
        <f>IFERROR(__xludf.DUMMYFUNCTION("""COMPUTED_VALUE"""),"eth")</f>
        <v>eth</v>
      </c>
      <c r="C5186" t="str">
        <f>IFERROR(__xludf.DUMMYFUNCTION("""COMPUTED_VALUE"""),"Ethiopia")</f>
        <v>Ethiopia</v>
      </c>
      <c r="D5186">
        <f>IFERROR(__xludf.DUMMYFUNCTION("""COMPUTED_VALUE"""),2036.0)</f>
        <v>2036</v>
      </c>
      <c r="E5186">
        <f>IFERROR(__xludf.DUMMYFUNCTION("""COMPUTED_VALUE"""),1.55686416E8)</f>
        <v>155686416</v>
      </c>
    </row>
    <row r="5187">
      <c r="A5187" t="str">
        <f t="shared" si="1"/>
        <v>eth#2037</v>
      </c>
      <c r="B5187" t="str">
        <f>IFERROR(__xludf.DUMMYFUNCTION("""COMPUTED_VALUE"""),"eth")</f>
        <v>eth</v>
      </c>
      <c r="C5187" t="str">
        <f>IFERROR(__xludf.DUMMYFUNCTION("""COMPUTED_VALUE"""),"Ethiopia")</f>
        <v>Ethiopia</v>
      </c>
      <c r="D5187">
        <f>IFERROR(__xludf.DUMMYFUNCTION("""COMPUTED_VALUE"""),2037.0)</f>
        <v>2037</v>
      </c>
      <c r="E5187">
        <f>IFERROR(__xludf.DUMMYFUNCTION("""COMPUTED_VALUE"""),1.58322006E8)</f>
        <v>158322006</v>
      </c>
    </row>
    <row r="5188">
      <c r="A5188" t="str">
        <f t="shared" si="1"/>
        <v>eth#2038</v>
      </c>
      <c r="B5188" t="str">
        <f>IFERROR(__xludf.DUMMYFUNCTION("""COMPUTED_VALUE"""),"eth")</f>
        <v>eth</v>
      </c>
      <c r="C5188" t="str">
        <f>IFERROR(__xludf.DUMMYFUNCTION("""COMPUTED_VALUE"""),"Ethiopia")</f>
        <v>Ethiopia</v>
      </c>
      <c r="D5188">
        <f>IFERROR(__xludf.DUMMYFUNCTION("""COMPUTED_VALUE"""),2038.0)</f>
        <v>2038</v>
      </c>
      <c r="E5188">
        <f>IFERROR(__xludf.DUMMYFUNCTION("""COMPUTED_VALUE"""),1.60942553E8)</f>
        <v>160942553</v>
      </c>
    </row>
    <row r="5189">
      <c r="A5189" t="str">
        <f t="shared" si="1"/>
        <v>eth#2039</v>
      </c>
      <c r="B5189" t="str">
        <f>IFERROR(__xludf.DUMMYFUNCTION("""COMPUTED_VALUE"""),"eth")</f>
        <v>eth</v>
      </c>
      <c r="C5189" t="str">
        <f>IFERROR(__xludf.DUMMYFUNCTION("""COMPUTED_VALUE"""),"Ethiopia")</f>
        <v>Ethiopia</v>
      </c>
      <c r="D5189">
        <f>IFERROR(__xludf.DUMMYFUNCTION("""COMPUTED_VALUE"""),2039.0)</f>
        <v>2039</v>
      </c>
      <c r="E5189">
        <f>IFERROR(__xludf.DUMMYFUNCTION("""COMPUTED_VALUE"""),1.63548404E8)</f>
        <v>163548404</v>
      </c>
    </row>
    <row r="5190">
      <c r="A5190" t="str">
        <f t="shared" si="1"/>
        <v>eth#2040</v>
      </c>
      <c r="B5190" t="str">
        <f>IFERROR(__xludf.DUMMYFUNCTION("""COMPUTED_VALUE"""),"eth")</f>
        <v>eth</v>
      </c>
      <c r="C5190" t="str">
        <f>IFERROR(__xludf.DUMMYFUNCTION("""COMPUTED_VALUE"""),"Ethiopia")</f>
        <v>Ethiopia</v>
      </c>
      <c r="D5190">
        <f>IFERROR(__xludf.DUMMYFUNCTION("""COMPUTED_VALUE"""),2040.0)</f>
        <v>2040</v>
      </c>
      <c r="E5190">
        <f>IFERROR(__xludf.DUMMYFUNCTION("""COMPUTED_VALUE"""),1.66139393E8)</f>
        <v>166139393</v>
      </c>
    </row>
    <row r="5191">
      <c r="A5191" t="str">
        <f t="shared" si="1"/>
        <v>fji#1950</v>
      </c>
      <c r="B5191" t="str">
        <f>IFERROR(__xludf.DUMMYFUNCTION("""COMPUTED_VALUE"""),"fji")</f>
        <v>fji</v>
      </c>
      <c r="C5191" t="str">
        <f>IFERROR(__xludf.DUMMYFUNCTION("""COMPUTED_VALUE"""),"Fiji")</f>
        <v>Fiji</v>
      </c>
      <c r="D5191">
        <f>IFERROR(__xludf.DUMMYFUNCTION("""COMPUTED_VALUE"""),1950.0)</f>
        <v>1950</v>
      </c>
      <c r="E5191">
        <f>IFERROR(__xludf.DUMMYFUNCTION("""COMPUTED_VALUE"""),288988.0)</f>
        <v>288988</v>
      </c>
    </row>
    <row r="5192">
      <c r="A5192" t="str">
        <f t="shared" si="1"/>
        <v>fji#1951</v>
      </c>
      <c r="B5192" t="str">
        <f>IFERROR(__xludf.DUMMYFUNCTION("""COMPUTED_VALUE"""),"fji")</f>
        <v>fji</v>
      </c>
      <c r="C5192" t="str">
        <f>IFERROR(__xludf.DUMMYFUNCTION("""COMPUTED_VALUE"""),"Fiji")</f>
        <v>Fiji</v>
      </c>
      <c r="D5192">
        <f>IFERROR(__xludf.DUMMYFUNCTION("""COMPUTED_VALUE"""),1951.0)</f>
        <v>1951</v>
      </c>
      <c r="E5192">
        <f>IFERROR(__xludf.DUMMYFUNCTION("""COMPUTED_VALUE"""),296209.0)</f>
        <v>296209</v>
      </c>
    </row>
    <row r="5193">
      <c r="A5193" t="str">
        <f t="shared" si="1"/>
        <v>fji#1952</v>
      </c>
      <c r="B5193" t="str">
        <f>IFERROR(__xludf.DUMMYFUNCTION("""COMPUTED_VALUE"""),"fji")</f>
        <v>fji</v>
      </c>
      <c r="C5193" t="str">
        <f>IFERROR(__xludf.DUMMYFUNCTION("""COMPUTED_VALUE"""),"Fiji")</f>
        <v>Fiji</v>
      </c>
      <c r="D5193">
        <f>IFERROR(__xludf.DUMMYFUNCTION("""COMPUTED_VALUE"""),1952.0)</f>
        <v>1952</v>
      </c>
      <c r="E5193">
        <f>IFERROR(__xludf.DUMMYFUNCTION("""COMPUTED_VALUE"""),304814.0)</f>
        <v>304814</v>
      </c>
    </row>
    <row r="5194">
      <c r="A5194" t="str">
        <f t="shared" si="1"/>
        <v>fji#1953</v>
      </c>
      <c r="B5194" t="str">
        <f>IFERROR(__xludf.DUMMYFUNCTION("""COMPUTED_VALUE"""),"fji")</f>
        <v>fji</v>
      </c>
      <c r="C5194" t="str">
        <f>IFERROR(__xludf.DUMMYFUNCTION("""COMPUTED_VALUE"""),"Fiji")</f>
        <v>Fiji</v>
      </c>
      <c r="D5194">
        <f>IFERROR(__xludf.DUMMYFUNCTION("""COMPUTED_VALUE"""),1953.0)</f>
        <v>1953</v>
      </c>
      <c r="E5194">
        <f>IFERROR(__xludf.DUMMYFUNCTION("""COMPUTED_VALUE"""),314351.0)</f>
        <v>314351</v>
      </c>
    </row>
    <row r="5195">
      <c r="A5195" t="str">
        <f t="shared" si="1"/>
        <v>fji#1954</v>
      </c>
      <c r="B5195" t="str">
        <f>IFERROR(__xludf.DUMMYFUNCTION("""COMPUTED_VALUE"""),"fji")</f>
        <v>fji</v>
      </c>
      <c r="C5195" t="str">
        <f>IFERROR(__xludf.DUMMYFUNCTION("""COMPUTED_VALUE"""),"Fiji")</f>
        <v>Fiji</v>
      </c>
      <c r="D5195">
        <f>IFERROR(__xludf.DUMMYFUNCTION("""COMPUTED_VALUE"""),1954.0)</f>
        <v>1954</v>
      </c>
      <c r="E5195">
        <f>IFERROR(__xludf.DUMMYFUNCTION("""COMPUTED_VALUE"""),324482.0)</f>
        <v>324482</v>
      </c>
    </row>
    <row r="5196">
      <c r="A5196" t="str">
        <f t="shared" si="1"/>
        <v>fji#1955</v>
      </c>
      <c r="B5196" t="str">
        <f>IFERROR(__xludf.DUMMYFUNCTION("""COMPUTED_VALUE"""),"fji")</f>
        <v>fji</v>
      </c>
      <c r="C5196" t="str">
        <f>IFERROR(__xludf.DUMMYFUNCTION("""COMPUTED_VALUE"""),"Fiji")</f>
        <v>Fiji</v>
      </c>
      <c r="D5196">
        <f>IFERROR(__xludf.DUMMYFUNCTION("""COMPUTED_VALUE"""),1955.0)</f>
        <v>1955</v>
      </c>
      <c r="E5196">
        <f>IFERROR(__xludf.DUMMYFUNCTION("""COMPUTED_VALUE"""),334976.0)</f>
        <v>334976</v>
      </c>
    </row>
    <row r="5197">
      <c r="A5197" t="str">
        <f t="shared" si="1"/>
        <v>fji#1956</v>
      </c>
      <c r="B5197" t="str">
        <f>IFERROR(__xludf.DUMMYFUNCTION("""COMPUTED_VALUE"""),"fji")</f>
        <v>fji</v>
      </c>
      <c r="C5197" t="str">
        <f>IFERROR(__xludf.DUMMYFUNCTION("""COMPUTED_VALUE"""),"Fiji")</f>
        <v>Fiji</v>
      </c>
      <c r="D5197">
        <f>IFERROR(__xludf.DUMMYFUNCTION("""COMPUTED_VALUE"""),1956.0)</f>
        <v>1956</v>
      </c>
      <c r="E5197">
        <f>IFERROR(__xludf.DUMMYFUNCTION("""COMPUTED_VALUE"""),345744.0)</f>
        <v>345744</v>
      </c>
    </row>
    <row r="5198">
      <c r="A5198" t="str">
        <f t="shared" si="1"/>
        <v>fji#1957</v>
      </c>
      <c r="B5198" t="str">
        <f>IFERROR(__xludf.DUMMYFUNCTION("""COMPUTED_VALUE"""),"fji")</f>
        <v>fji</v>
      </c>
      <c r="C5198" t="str">
        <f>IFERROR(__xludf.DUMMYFUNCTION("""COMPUTED_VALUE"""),"Fiji")</f>
        <v>Fiji</v>
      </c>
      <c r="D5198">
        <f>IFERROR(__xludf.DUMMYFUNCTION("""COMPUTED_VALUE"""),1957.0)</f>
        <v>1957</v>
      </c>
      <c r="E5198">
        <f>IFERROR(__xludf.DUMMYFUNCTION("""COMPUTED_VALUE"""),356820.0)</f>
        <v>356820</v>
      </c>
    </row>
    <row r="5199">
      <c r="A5199" t="str">
        <f t="shared" si="1"/>
        <v>fji#1958</v>
      </c>
      <c r="B5199" t="str">
        <f>IFERROR(__xludf.DUMMYFUNCTION("""COMPUTED_VALUE"""),"fji")</f>
        <v>fji</v>
      </c>
      <c r="C5199" t="str">
        <f>IFERROR(__xludf.DUMMYFUNCTION("""COMPUTED_VALUE"""),"Fiji")</f>
        <v>Fiji</v>
      </c>
      <c r="D5199">
        <f>IFERROR(__xludf.DUMMYFUNCTION("""COMPUTED_VALUE"""),1958.0)</f>
        <v>1958</v>
      </c>
      <c r="E5199">
        <f>IFERROR(__xludf.DUMMYFUNCTION("""COMPUTED_VALUE"""),368319.0)</f>
        <v>368319</v>
      </c>
    </row>
    <row r="5200">
      <c r="A5200" t="str">
        <f t="shared" si="1"/>
        <v>fji#1959</v>
      </c>
      <c r="B5200" t="str">
        <f>IFERROR(__xludf.DUMMYFUNCTION("""COMPUTED_VALUE"""),"fji")</f>
        <v>fji</v>
      </c>
      <c r="C5200" t="str">
        <f>IFERROR(__xludf.DUMMYFUNCTION("""COMPUTED_VALUE"""),"Fiji")</f>
        <v>Fiji</v>
      </c>
      <c r="D5200">
        <f>IFERROR(__xludf.DUMMYFUNCTION("""COMPUTED_VALUE"""),1959.0)</f>
        <v>1959</v>
      </c>
      <c r="E5200">
        <f>IFERROR(__xludf.DUMMYFUNCTION("""COMPUTED_VALUE"""),380451.0)</f>
        <v>380451</v>
      </c>
    </row>
    <row r="5201">
      <c r="A5201" t="str">
        <f t="shared" si="1"/>
        <v>fji#1960</v>
      </c>
      <c r="B5201" t="str">
        <f>IFERROR(__xludf.DUMMYFUNCTION("""COMPUTED_VALUE"""),"fji")</f>
        <v>fji</v>
      </c>
      <c r="C5201" t="str">
        <f>IFERROR(__xludf.DUMMYFUNCTION("""COMPUTED_VALUE"""),"Fiji")</f>
        <v>Fiji</v>
      </c>
      <c r="D5201">
        <f>IFERROR(__xludf.DUMMYFUNCTION("""COMPUTED_VALUE"""),1960.0)</f>
        <v>1960</v>
      </c>
      <c r="E5201">
        <f>IFERROR(__xludf.DUMMYFUNCTION("""COMPUTED_VALUE"""),393386.0)</f>
        <v>393386</v>
      </c>
    </row>
    <row r="5202">
      <c r="A5202" t="str">
        <f t="shared" si="1"/>
        <v>fji#1961</v>
      </c>
      <c r="B5202" t="str">
        <f>IFERROR(__xludf.DUMMYFUNCTION("""COMPUTED_VALUE"""),"fji")</f>
        <v>fji</v>
      </c>
      <c r="C5202" t="str">
        <f>IFERROR(__xludf.DUMMYFUNCTION("""COMPUTED_VALUE"""),"Fiji")</f>
        <v>Fiji</v>
      </c>
      <c r="D5202">
        <f>IFERROR(__xludf.DUMMYFUNCTION("""COMPUTED_VALUE"""),1961.0)</f>
        <v>1961</v>
      </c>
      <c r="E5202">
        <f>IFERROR(__xludf.DUMMYFUNCTION("""COMPUTED_VALUE"""),407156.0)</f>
        <v>407156</v>
      </c>
    </row>
    <row r="5203">
      <c r="A5203" t="str">
        <f t="shared" si="1"/>
        <v>fji#1962</v>
      </c>
      <c r="B5203" t="str">
        <f>IFERROR(__xludf.DUMMYFUNCTION("""COMPUTED_VALUE"""),"fji")</f>
        <v>fji</v>
      </c>
      <c r="C5203" t="str">
        <f>IFERROR(__xludf.DUMMYFUNCTION("""COMPUTED_VALUE"""),"Fiji")</f>
        <v>Fiji</v>
      </c>
      <c r="D5203">
        <f>IFERROR(__xludf.DUMMYFUNCTION("""COMPUTED_VALUE"""),1962.0)</f>
        <v>1962</v>
      </c>
      <c r="E5203">
        <f>IFERROR(__xludf.DUMMYFUNCTION("""COMPUTED_VALUE"""),421577.0)</f>
        <v>421577</v>
      </c>
    </row>
    <row r="5204">
      <c r="A5204" t="str">
        <f t="shared" si="1"/>
        <v>fji#1963</v>
      </c>
      <c r="B5204" t="str">
        <f>IFERROR(__xludf.DUMMYFUNCTION("""COMPUTED_VALUE"""),"fji")</f>
        <v>fji</v>
      </c>
      <c r="C5204" t="str">
        <f>IFERROR(__xludf.DUMMYFUNCTION("""COMPUTED_VALUE"""),"Fiji")</f>
        <v>Fiji</v>
      </c>
      <c r="D5204">
        <f>IFERROR(__xludf.DUMMYFUNCTION("""COMPUTED_VALUE"""),1963.0)</f>
        <v>1963</v>
      </c>
      <c r="E5204">
        <f>IFERROR(__xludf.DUMMYFUNCTION("""COMPUTED_VALUE"""),436208.0)</f>
        <v>436208</v>
      </c>
    </row>
    <row r="5205">
      <c r="A5205" t="str">
        <f t="shared" si="1"/>
        <v>fji#1964</v>
      </c>
      <c r="B5205" t="str">
        <f>IFERROR(__xludf.DUMMYFUNCTION("""COMPUTED_VALUE"""),"fji")</f>
        <v>fji</v>
      </c>
      <c r="C5205" t="str">
        <f>IFERROR(__xludf.DUMMYFUNCTION("""COMPUTED_VALUE"""),"Fiji")</f>
        <v>Fiji</v>
      </c>
      <c r="D5205">
        <f>IFERROR(__xludf.DUMMYFUNCTION("""COMPUTED_VALUE"""),1964.0)</f>
        <v>1964</v>
      </c>
      <c r="E5205">
        <f>IFERROR(__xludf.DUMMYFUNCTION("""COMPUTED_VALUE"""),450450.0)</f>
        <v>450450</v>
      </c>
    </row>
    <row r="5206">
      <c r="A5206" t="str">
        <f t="shared" si="1"/>
        <v>fji#1965</v>
      </c>
      <c r="B5206" t="str">
        <f>IFERROR(__xludf.DUMMYFUNCTION("""COMPUTED_VALUE"""),"fji")</f>
        <v>fji</v>
      </c>
      <c r="C5206" t="str">
        <f>IFERROR(__xludf.DUMMYFUNCTION("""COMPUTED_VALUE"""),"Fiji")</f>
        <v>Fiji</v>
      </c>
      <c r="D5206">
        <f>IFERROR(__xludf.DUMMYFUNCTION("""COMPUTED_VALUE"""),1965.0)</f>
        <v>1965</v>
      </c>
      <c r="E5206">
        <f>IFERROR(__xludf.DUMMYFUNCTION("""COMPUTED_VALUE"""),463883.0)</f>
        <v>463883</v>
      </c>
    </row>
    <row r="5207">
      <c r="A5207" t="str">
        <f t="shared" si="1"/>
        <v>fji#1966</v>
      </c>
      <c r="B5207" t="str">
        <f>IFERROR(__xludf.DUMMYFUNCTION("""COMPUTED_VALUE"""),"fji")</f>
        <v>fji</v>
      </c>
      <c r="C5207" t="str">
        <f>IFERROR(__xludf.DUMMYFUNCTION("""COMPUTED_VALUE"""),"Fiji")</f>
        <v>Fiji</v>
      </c>
      <c r="D5207">
        <f>IFERROR(__xludf.DUMMYFUNCTION("""COMPUTED_VALUE"""),1966.0)</f>
        <v>1966</v>
      </c>
      <c r="E5207">
        <f>IFERROR(__xludf.DUMMYFUNCTION("""COMPUTED_VALUE"""),476324.0)</f>
        <v>476324</v>
      </c>
    </row>
    <row r="5208">
      <c r="A5208" t="str">
        <f t="shared" si="1"/>
        <v>fji#1967</v>
      </c>
      <c r="B5208" t="str">
        <f>IFERROR(__xludf.DUMMYFUNCTION("""COMPUTED_VALUE"""),"fji")</f>
        <v>fji</v>
      </c>
      <c r="C5208" t="str">
        <f>IFERROR(__xludf.DUMMYFUNCTION("""COMPUTED_VALUE"""),"Fiji")</f>
        <v>Fiji</v>
      </c>
      <c r="D5208">
        <f>IFERROR(__xludf.DUMMYFUNCTION("""COMPUTED_VALUE"""),1967.0)</f>
        <v>1967</v>
      </c>
      <c r="E5208">
        <f>IFERROR(__xludf.DUMMYFUNCTION("""COMPUTED_VALUE"""),487913.0)</f>
        <v>487913</v>
      </c>
    </row>
    <row r="5209">
      <c r="A5209" t="str">
        <f t="shared" si="1"/>
        <v>fji#1968</v>
      </c>
      <c r="B5209" t="str">
        <f>IFERROR(__xludf.DUMMYFUNCTION("""COMPUTED_VALUE"""),"fji")</f>
        <v>fji</v>
      </c>
      <c r="C5209" t="str">
        <f>IFERROR(__xludf.DUMMYFUNCTION("""COMPUTED_VALUE"""),"Fiji")</f>
        <v>Fiji</v>
      </c>
      <c r="D5209">
        <f>IFERROR(__xludf.DUMMYFUNCTION("""COMPUTED_VALUE"""),1968.0)</f>
        <v>1968</v>
      </c>
      <c r="E5209">
        <f>IFERROR(__xludf.DUMMYFUNCTION("""COMPUTED_VALUE"""),498892.0)</f>
        <v>498892</v>
      </c>
    </row>
    <row r="5210">
      <c r="A5210" t="str">
        <f t="shared" si="1"/>
        <v>fji#1969</v>
      </c>
      <c r="B5210" t="str">
        <f>IFERROR(__xludf.DUMMYFUNCTION("""COMPUTED_VALUE"""),"fji")</f>
        <v>fji</v>
      </c>
      <c r="C5210" t="str">
        <f>IFERROR(__xludf.DUMMYFUNCTION("""COMPUTED_VALUE"""),"Fiji")</f>
        <v>Fiji</v>
      </c>
      <c r="D5210">
        <f>IFERROR(__xludf.DUMMYFUNCTION("""COMPUTED_VALUE"""),1969.0)</f>
        <v>1969</v>
      </c>
      <c r="E5210">
        <f>IFERROR(__xludf.DUMMYFUNCTION("""COMPUTED_VALUE"""),509658.0)</f>
        <v>509658</v>
      </c>
    </row>
    <row r="5211">
      <c r="A5211" t="str">
        <f t="shared" si="1"/>
        <v>fji#1970</v>
      </c>
      <c r="B5211" t="str">
        <f>IFERROR(__xludf.DUMMYFUNCTION("""COMPUTED_VALUE"""),"fji")</f>
        <v>fji</v>
      </c>
      <c r="C5211" t="str">
        <f>IFERROR(__xludf.DUMMYFUNCTION("""COMPUTED_VALUE"""),"Fiji")</f>
        <v>Fiji</v>
      </c>
      <c r="D5211">
        <f>IFERROR(__xludf.DUMMYFUNCTION("""COMPUTED_VALUE"""),1970.0)</f>
        <v>1970</v>
      </c>
      <c r="E5211">
        <f>IFERROR(__xludf.DUMMYFUNCTION("""COMPUTED_VALUE"""),520529.0)</f>
        <v>520529</v>
      </c>
    </row>
    <row r="5212">
      <c r="A5212" t="str">
        <f t="shared" si="1"/>
        <v>fji#1971</v>
      </c>
      <c r="B5212" t="str">
        <f>IFERROR(__xludf.DUMMYFUNCTION("""COMPUTED_VALUE"""),"fji")</f>
        <v>fji</v>
      </c>
      <c r="C5212" t="str">
        <f>IFERROR(__xludf.DUMMYFUNCTION("""COMPUTED_VALUE"""),"Fiji")</f>
        <v>Fiji</v>
      </c>
      <c r="D5212">
        <f>IFERROR(__xludf.DUMMYFUNCTION("""COMPUTED_VALUE"""),1971.0)</f>
        <v>1971</v>
      </c>
      <c r="E5212">
        <f>IFERROR(__xludf.DUMMYFUNCTION("""COMPUTED_VALUE"""),531601.0)</f>
        <v>531601</v>
      </c>
    </row>
    <row r="5213">
      <c r="A5213" t="str">
        <f t="shared" si="1"/>
        <v>fji#1972</v>
      </c>
      <c r="B5213" t="str">
        <f>IFERROR(__xludf.DUMMYFUNCTION("""COMPUTED_VALUE"""),"fji")</f>
        <v>fji</v>
      </c>
      <c r="C5213" t="str">
        <f>IFERROR(__xludf.DUMMYFUNCTION("""COMPUTED_VALUE"""),"Fiji")</f>
        <v>Fiji</v>
      </c>
      <c r="D5213">
        <f>IFERROR(__xludf.DUMMYFUNCTION("""COMPUTED_VALUE"""),1972.0)</f>
        <v>1972</v>
      </c>
      <c r="E5213">
        <f>IFERROR(__xludf.DUMMYFUNCTION("""COMPUTED_VALUE"""),542814.0)</f>
        <v>542814</v>
      </c>
    </row>
    <row r="5214">
      <c r="A5214" t="str">
        <f t="shared" si="1"/>
        <v>fji#1973</v>
      </c>
      <c r="B5214" t="str">
        <f>IFERROR(__xludf.DUMMYFUNCTION("""COMPUTED_VALUE"""),"fji")</f>
        <v>fji</v>
      </c>
      <c r="C5214" t="str">
        <f>IFERROR(__xludf.DUMMYFUNCTION("""COMPUTED_VALUE"""),"Fiji")</f>
        <v>Fiji</v>
      </c>
      <c r="D5214">
        <f>IFERROR(__xludf.DUMMYFUNCTION("""COMPUTED_VALUE"""),1973.0)</f>
        <v>1973</v>
      </c>
      <c r="E5214">
        <f>IFERROR(__xludf.DUMMYFUNCTION("""COMPUTED_VALUE"""),554107.0)</f>
        <v>554107</v>
      </c>
    </row>
    <row r="5215">
      <c r="A5215" t="str">
        <f t="shared" si="1"/>
        <v>fji#1974</v>
      </c>
      <c r="B5215" t="str">
        <f>IFERROR(__xludf.DUMMYFUNCTION("""COMPUTED_VALUE"""),"fji")</f>
        <v>fji</v>
      </c>
      <c r="C5215" t="str">
        <f>IFERROR(__xludf.DUMMYFUNCTION("""COMPUTED_VALUE"""),"Fiji")</f>
        <v>Fiji</v>
      </c>
      <c r="D5215">
        <f>IFERROR(__xludf.DUMMYFUNCTION("""COMPUTED_VALUE"""),1974.0)</f>
        <v>1974</v>
      </c>
      <c r="E5215">
        <f>IFERROR(__xludf.DUMMYFUNCTION("""COMPUTED_VALUE"""),565388.0)</f>
        <v>565388</v>
      </c>
    </row>
    <row r="5216">
      <c r="A5216" t="str">
        <f t="shared" si="1"/>
        <v>fji#1975</v>
      </c>
      <c r="B5216" t="str">
        <f>IFERROR(__xludf.DUMMYFUNCTION("""COMPUTED_VALUE"""),"fji")</f>
        <v>fji</v>
      </c>
      <c r="C5216" t="str">
        <f>IFERROR(__xludf.DUMMYFUNCTION("""COMPUTED_VALUE"""),"Fiji")</f>
        <v>Fiji</v>
      </c>
      <c r="D5216">
        <f>IFERROR(__xludf.DUMMYFUNCTION("""COMPUTED_VALUE"""),1975.0)</f>
        <v>1975</v>
      </c>
      <c r="E5216">
        <f>IFERROR(__xludf.DUMMYFUNCTION("""COMPUTED_VALUE"""),576595.0)</f>
        <v>576595</v>
      </c>
    </row>
    <row r="5217">
      <c r="A5217" t="str">
        <f t="shared" si="1"/>
        <v>fji#1976</v>
      </c>
      <c r="B5217" t="str">
        <f>IFERROR(__xludf.DUMMYFUNCTION("""COMPUTED_VALUE"""),"fji")</f>
        <v>fji</v>
      </c>
      <c r="C5217" t="str">
        <f>IFERROR(__xludf.DUMMYFUNCTION("""COMPUTED_VALUE"""),"Fiji")</f>
        <v>Fiji</v>
      </c>
      <c r="D5217">
        <f>IFERROR(__xludf.DUMMYFUNCTION("""COMPUTED_VALUE"""),1976.0)</f>
        <v>1976</v>
      </c>
      <c r="E5217">
        <f>IFERROR(__xludf.DUMMYFUNCTION("""COMPUTED_VALUE"""),587520.0)</f>
        <v>587520</v>
      </c>
    </row>
    <row r="5218">
      <c r="A5218" t="str">
        <f t="shared" si="1"/>
        <v>fji#1977</v>
      </c>
      <c r="B5218" t="str">
        <f>IFERROR(__xludf.DUMMYFUNCTION("""COMPUTED_VALUE"""),"fji")</f>
        <v>fji</v>
      </c>
      <c r="C5218" t="str">
        <f>IFERROR(__xludf.DUMMYFUNCTION("""COMPUTED_VALUE"""),"Fiji")</f>
        <v>Fiji</v>
      </c>
      <c r="D5218">
        <f>IFERROR(__xludf.DUMMYFUNCTION("""COMPUTED_VALUE"""),1977.0)</f>
        <v>1977</v>
      </c>
      <c r="E5218">
        <f>IFERROR(__xludf.DUMMYFUNCTION("""COMPUTED_VALUE"""),598259.0)</f>
        <v>598259</v>
      </c>
    </row>
    <row r="5219">
      <c r="A5219" t="str">
        <f t="shared" si="1"/>
        <v>fji#1978</v>
      </c>
      <c r="B5219" t="str">
        <f>IFERROR(__xludf.DUMMYFUNCTION("""COMPUTED_VALUE"""),"fji")</f>
        <v>fji</v>
      </c>
      <c r="C5219" t="str">
        <f>IFERROR(__xludf.DUMMYFUNCTION("""COMPUTED_VALUE"""),"Fiji")</f>
        <v>Fiji</v>
      </c>
      <c r="D5219">
        <f>IFERROR(__xludf.DUMMYFUNCTION("""COMPUTED_VALUE"""),1978.0)</f>
        <v>1978</v>
      </c>
      <c r="E5219">
        <f>IFERROR(__xludf.DUMMYFUNCTION("""COMPUTED_VALUE"""),609345.0)</f>
        <v>609345</v>
      </c>
    </row>
    <row r="5220">
      <c r="A5220" t="str">
        <f t="shared" si="1"/>
        <v>fji#1979</v>
      </c>
      <c r="B5220" t="str">
        <f>IFERROR(__xludf.DUMMYFUNCTION("""COMPUTED_VALUE"""),"fji")</f>
        <v>fji</v>
      </c>
      <c r="C5220" t="str">
        <f>IFERROR(__xludf.DUMMYFUNCTION("""COMPUTED_VALUE"""),"Fiji")</f>
        <v>Fiji</v>
      </c>
      <c r="D5220">
        <f>IFERROR(__xludf.DUMMYFUNCTION("""COMPUTED_VALUE"""),1979.0)</f>
        <v>1979</v>
      </c>
      <c r="E5220">
        <f>IFERROR(__xludf.DUMMYFUNCTION("""COMPUTED_VALUE"""),621538.0)</f>
        <v>621538</v>
      </c>
    </row>
    <row r="5221">
      <c r="A5221" t="str">
        <f t="shared" si="1"/>
        <v>fji#1980</v>
      </c>
      <c r="B5221" t="str">
        <f>IFERROR(__xludf.DUMMYFUNCTION("""COMPUTED_VALUE"""),"fji")</f>
        <v>fji</v>
      </c>
      <c r="C5221" t="str">
        <f>IFERROR(__xludf.DUMMYFUNCTION("""COMPUTED_VALUE"""),"Fiji")</f>
        <v>Fiji</v>
      </c>
      <c r="D5221">
        <f>IFERROR(__xludf.DUMMYFUNCTION("""COMPUTED_VALUE"""),1980.0)</f>
        <v>1980</v>
      </c>
      <c r="E5221">
        <f>IFERROR(__xludf.DUMMYFUNCTION("""COMPUTED_VALUE"""),635255.0)</f>
        <v>635255</v>
      </c>
    </row>
    <row r="5222">
      <c r="A5222" t="str">
        <f t="shared" si="1"/>
        <v>fji#1981</v>
      </c>
      <c r="B5222" t="str">
        <f>IFERROR(__xludf.DUMMYFUNCTION("""COMPUTED_VALUE"""),"fji")</f>
        <v>fji</v>
      </c>
      <c r="C5222" t="str">
        <f>IFERROR(__xludf.DUMMYFUNCTION("""COMPUTED_VALUE"""),"Fiji")</f>
        <v>Fiji</v>
      </c>
      <c r="D5222">
        <f>IFERROR(__xludf.DUMMYFUNCTION("""COMPUTED_VALUE"""),1981.0)</f>
        <v>1981</v>
      </c>
      <c r="E5222">
        <f>IFERROR(__xludf.DUMMYFUNCTION("""COMPUTED_VALUE"""),650955.0)</f>
        <v>650955</v>
      </c>
    </row>
    <row r="5223">
      <c r="A5223" t="str">
        <f t="shared" si="1"/>
        <v>fji#1982</v>
      </c>
      <c r="B5223" t="str">
        <f>IFERROR(__xludf.DUMMYFUNCTION("""COMPUTED_VALUE"""),"fji")</f>
        <v>fji</v>
      </c>
      <c r="C5223" t="str">
        <f>IFERROR(__xludf.DUMMYFUNCTION("""COMPUTED_VALUE"""),"Fiji")</f>
        <v>Fiji</v>
      </c>
      <c r="D5223">
        <f>IFERROR(__xludf.DUMMYFUNCTION("""COMPUTED_VALUE"""),1982.0)</f>
        <v>1982</v>
      </c>
      <c r="E5223">
        <f>IFERROR(__xludf.DUMMYFUNCTION("""COMPUTED_VALUE"""),668198.0)</f>
        <v>668198</v>
      </c>
    </row>
    <row r="5224">
      <c r="A5224" t="str">
        <f t="shared" si="1"/>
        <v>fji#1983</v>
      </c>
      <c r="B5224" t="str">
        <f>IFERROR(__xludf.DUMMYFUNCTION("""COMPUTED_VALUE"""),"fji")</f>
        <v>fji</v>
      </c>
      <c r="C5224" t="str">
        <f>IFERROR(__xludf.DUMMYFUNCTION("""COMPUTED_VALUE"""),"Fiji")</f>
        <v>Fiji</v>
      </c>
      <c r="D5224">
        <f>IFERROR(__xludf.DUMMYFUNCTION("""COMPUTED_VALUE"""),1983.0)</f>
        <v>1983</v>
      </c>
      <c r="E5224">
        <f>IFERROR(__xludf.DUMMYFUNCTION("""COMPUTED_VALUE"""),685391.0)</f>
        <v>685391</v>
      </c>
    </row>
    <row r="5225">
      <c r="A5225" t="str">
        <f t="shared" si="1"/>
        <v>fji#1984</v>
      </c>
      <c r="B5225" t="str">
        <f>IFERROR(__xludf.DUMMYFUNCTION("""COMPUTED_VALUE"""),"fji")</f>
        <v>fji</v>
      </c>
      <c r="C5225" t="str">
        <f>IFERROR(__xludf.DUMMYFUNCTION("""COMPUTED_VALUE"""),"Fiji")</f>
        <v>Fiji</v>
      </c>
      <c r="D5225">
        <f>IFERROR(__xludf.DUMMYFUNCTION("""COMPUTED_VALUE"""),1984.0)</f>
        <v>1984</v>
      </c>
      <c r="E5225">
        <f>IFERROR(__xludf.DUMMYFUNCTION("""COMPUTED_VALUE"""),700366.0)</f>
        <v>700366</v>
      </c>
    </row>
    <row r="5226">
      <c r="A5226" t="str">
        <f t="shared" si="1"/>
        <v>fji#1985</v>
      </c>
      <c r="B5226" t="str">
        <f>IFERROR(__xludf.DUMMYFUNCTION("""COMPUTED_VALUE"""),"fji")</f>
        <v>fji</v>
      </c>
      <c r="C5226" t="str">
        <f>IFERROR(__xludf.DUMMYFUNCTION("""COMPUTED_VALUE"""),"Fiji")</f>
        <v>Fiji</v>
      </c>
      <c r="D5226">
        <f>IFERROR(__xludf.DUMMYFUNCTION("""COMPUTED_VALUE"""),1985.0)</f>
        <v>1985</v>
      </c>
      <c r="E5226">
        <f>IFERROR(__xludf.DUMMYFUNCTION("""COMPUTED_VALUE"""),711661.0)</f>
        <v>711661</v>
      </c>
    </row>
    <row r="5227">
      <c r="A5227" t="str">
        <f t="shared" si="1"/>
        <v>fji#1986</v>
      </c>
      <c r="B5227" t="str">
        <f>IFERROR(__xludf.DUMMYFUNCTION("""COMPUTED_VALUE"""),"fji")</f>
        <v>fji</v>
      </c>
      <c r="C5227" t="str">
        <f>IFERROR(__xludf.DUMMYFUNCTION("""COMPUTED_VALUE"""),"Fiji")</f>
        <v>Fiji</v>
      </c>
      <c r="D5227">
        <f>IFERROR(__xludf.DUMMYFUNCTION("""COMPUTED_VALUE"""),1986.0)</f>
        <v>1986</v>
      </c>
      <c r="E5227">
        <f>IFERROR(__xludf.DUMMYFUNCTION("""COMPUTED_VALUE"""),718548.0)</f>
        <v>718548</v>
      </c>
    </row>
    <row r="5228">
      <c r="A5228" t="str">
        <f t="shared" si="1"/>
        <v>fji#1987</v>
      </c>
      <c r="B5228" t="str">
        <f>IFERROR(__xludf.DUMMYFUNCTION("""COMPUTED_VALUE"""),"fji")</f>
        <v>fji</v>
      </c>
      <c r="C5228" t="str">
        <f>IFERROR(__xludf.DUMMYFUNCTION("""COMPUTED_VALUE"""),"Fiji")</f>
        <v>Fiji</v>
      </c>
      <c r="D5228">
        <f>IFERROR(__xludf.DUMMYFUNCTION("""COMPUTED_VALUE"""),1987.0)</f>
        <v>1987</v>
      </c>
      <c r="E5228">
        <f>IFERROR(__xludf.DUMMYFUNCTION("""COMPUTED_VALUE"""),721725.0)</f>
        <v>721725</v>
      </c>
    </row>
    <row r="5229">
      <c r="A5229" t="str">
        <f t="shared" si="1"/>
        <v>fji#1988</v>
      </c>
      <c r="B5229" t="str">
        <f>IFERROR(__xludf.DUMMYFUNCTION("""COMPUTED_VALUE"""),"fji")</f>
        <v>fji</v>
      </c>
      <c r="C5229" t="str">
        <f>IFERROR(__xludf.DUMMYFUNCTION("""COMPUTED_VALUE"""),"Fiji")</f>
        <v>Fiji</v>
      </c>
      <c r="D5229">
        <f>IFERROR(__xludf.DUMMYFUNCTION("""COMPUTED_VALUE"""),1988.0)</f>
        <v>1988</v>
      </c>
      <c r="E5229">
        <f>IFERROR(__xludf.DUMMYFUNCTION("""COMPUTED_VALUE"""),722917.0)</f>
        <v>722917</v>
      </c>
    </row>
    <row r="5230">
      <c r="A5230" t="str">
        <f t="shared" si="1"/>
        <v>fji#1989</v>
      </c>
      <c r="B5230" t="str">
        <f>IFERROR(__xludf.DUMMYFUNCTION("""COMPUTED_VALUE"""),"fji")</f>
        <v>fji</v>
      </c>
      <c r="C5230" t="str">
        <f>IFERROR(__xludf.DUMMYFUNCTION("""COMPUTED_VALUE"""),"Fiji")</f>
        <v>Fiji</v>
      </c>
      <c r="D5230">
        <f>IFERROR(__xludf.DUMMYFUNCTION("""COMPUTED_VALUE"""),1989.0)</f>
        <v>1989</v>
      </c>
      <c r="E5230">
        <f>IFERROR(__xludf.DUMMYFUNCTION("""COMPUTED_VALUE"""),724624.0)</f>
        <v>724624</v>
      </c>
    </row>
    <row r="5231">
      <c r="A5231" t="str">
        <f t="shared" si="1"/>
        <v>fji#1990</v>
      </c>
      <c r="B5231" t="str">
        <f>IFERROR(__xludf.DUMMYFUNCTION("""COMPUTED_VALUE"""),"fji")</f>
        <v>fji</v>
      </c>
      <c r="C5231" t="str">
        <f>IFERROR(__xludf.DUMMYFUNCTION("""COMPUTED_VALUE"""),"Fiji")</f>
        <v>Fiji</v>
      </c>
      <c r="D5231">
        <f>IFERROR(__xludf.DUMMYFUNCTION("""COMPUTED_VALUE"""),1990.0)</f>
        <v>1990</v>
      </c>
      <c r="E5231">
        <f>IFERROR(__xludf.DUMMYFUNCTION("""COMPUTED_VALUE"""),728628.0)</f>
        <v>728628</v>
      </c>
    </row>
    <row r="5232">
      <c r="A5232" t="str">
        <f t="shared" si="1"/>
        <v>fji#1991</v>
      </c>
      <c r="B5232" t="str">
        <f>IFERROR(__xludf.DUMMYFUNCTION("""COMPUTED_VALUE"""),"fji")</f>
        <v>fji</v>
      </c>
      <c r="C5232" t="str">
        <f>IFERROR(__xludf.DUMMYFUNCTION("""COMPUTED_VALUE"""),"Fiji")</f>
        <v>Fiji</v>
      </c>
      <c r="D5232">
        <f>IFERROR(__xludf.DUMMYFUNCTION("""COMPUTED_VALUE"""),1991.0)</f>
        <v>1991</v>
      </c>
      <c r="E5232">
        <f>IFERROR(__xludf.DUMMYFUNCTION("""COMPUTED_VALUE"""),735473.0)</f>
        <v>735473</v>
      </c>
    </row>
    <row r="5233">
      <c r="A5233" t="str">
        <f t="shared" si="1"/>
        <v>fji#1992</v>
      </c>
      <c r="B5233" t="str">
        <f>IFERROR(__xludf.DUMMYFUNCTION("""COMPUTED_VALUE"""),"fji")</f>
        <v>fji</v>
      </c>
      <c r="C5233" t="str">
        <f>IFERROR(__xludf.DUMMYFUNCTION("""COMPUTED_VALUE"""),"Fiji")</f>
        <v>Fiji</v>
      </c>
      <c r="D5233">
        <f>IFERROR(__xludf.DUMMYFUNCTION("""COMPUTED_VALUE"""),1992.0)</f>
        <v>1992</v>
      </c>
      <c r="E5233">
        <f>IFERROR(__xludf.DUMMYFUNCTION("""COMPUTED_VALUE"""),744531.0)</f>
        <v>744531</v>
      </c>
    </row>
    <row r="5234">
      <c r="A5234" t="str">
        <f t="shared" si="1"/>
        <v>fji#1993</v>
      </c>
      <c r="B5234" t="str">
        <f>IFERROR(__xludf.DUMMYFUNCTION("""COMPUTED_VALUE"""),"fji")</f>
        <v>fji</v>
      </c>
      <c r="C5234" t="str">
        <f>IFERROR(__xludf.DUMMYFUNCTION("""COMPUTED_VALUE"""),"Fiji")</f>
        <v>Fiji</v>
      </c>
      <c r="D5234">
        <f>IFERROR(__xludf.DUMMYFUNCTION("""COMPUTED_VALUE"""),1993.0)</f>
        <v>1993</v>
      </c>
      <c r="E5234">
        <f>IFERROR(__xludf.DUMMYFUNCTION("""COMPUTED_VALUE"""),755026.0)</f>
        <v>755026</v>
      </c>
    </row>
    <row r="5235">
      <c r="A5235" t="str">
        <f t="shared" si="1"/>
        <v>fji#1994</v>
      </c>
      <c r="B5235" t="str">
        <f>IFERROR(__xludf.DUMMYFUNCTION("""COMPUTED_VALUE"""),"fji")</f>
        <v>fji</v>
      </c>
      <c r="C5235" t="str">
        <f>IFERROR(__xludf.DUMMYFUNCTION("""COMPUTED_VALUE"""),"Fiji")</f>
        <v>Fiji</v>
      </c>
      <c r="D5235">
        <f>IFERROR(__xludf.DUMMYFUNCTION("""COMPUTED_VALUE"""),1994.0)</f>
        <v>1994</v>
      </c>
      <c r="E5235">
        <f>IFERROR(__xludf.DUMMYFUNCTION("""COMPUTED_VALUE"""),765667.0)</f>
        <v>765667</v>
      </c>
    </row>
    <row r="5236">
      <c r="A5236" t="str">
        <f t="shared" si="1"/>
        <v>fji#1995</v>
      </c>
      <c r="B5236" t="str">
        <f>IFERROR(__xludf.DUMMYFUNCTION("""COMPUTED_VALUE"""),"fji")</f>
        <v>fji</v>
      </c>
      <c r="C5236" t="str">
        <f>IFERROR(__xludf.DUMMYFUNCTION("""COMPUTED_VALUE"""),"Fiji")</f>
        <v>Fiji</v>
      </c>
      <c r="D5236">
        <f>IFERROR(__xludf.DUMMYFUNCTION("""COMPUTED_VALUE"""),1995.0)</f>
        <v>1995</v>
      </c>
      <c r="E5236">
        <f>IFERROR(__xludf.DUMMYFUNCTION("""COMPUTED_VALUE"""),775498.0)</f>
        <v>775498</v>
      </c>
    </row>
    <row r="5237">
      <c r="A5237" t="str">
        <f t="shared" si="1"/>
        <v>fji#1996</v>
      </c>
      <c r="B5237" t="str">
        <f>IFERROR(__xludf.DUMMYFUNCTION("""COMPUTED_VALUE"""),"fji")</f>
        <v>fji</v>
      </c>
      <c r="C5237" t="str">
        <f>IFERROR(__xludf.DUMMYFUNCTION("""COMPUTED_VALUE"""),"Fiji")</f>
        <v>Fiji</v>
      </c>
      <c r="D5237">
        <f>IFERROR(__xludf.DUMMYFUNCTION("""COMPUTED_VALUE"""),1996.0)</f>
        <v>1996</v>
      </c>
      <c r="E5237">
        <f>IFERROR(__xludf.DUMMYFUNCTION("""COMPUTED_VALUE"""),784476.0)</f>
        <v>784476</v>
      </c>
    </row>
    <row r="5238">
      <c r="A5238" t="str">
        <f t="shared" si="1"/>
        <v>fji#1997</v>
      </c>
      <c r="B5238" t="str">
        <f>IFERROR(__xludf.DUMMYFUNCTION("""COMPUTED_VALUE"""),"fji")</f>
        <v>fji</v>
      </c>
      <c r="C5238" t="str">
        <f>IFERROR(__xludf.DUMMYFUNCTION("""COMPUTED_VALUE"""),"Fiji")</f>
        <v>Fiji</v>
      </c>
      <c r="D5238">
        <f>IFERROR(__xludf.DUMMYFUNCTION("""COMPUTED_VALUE"""),1997.0)</f>
        <v>1997</v>
      </c>
      <c r="E5238">
        <f>IFERROR(__xludf.DUMMYFUNCTION("""COMPUTED_VALUE"""),792860.0)</f>
        <v>792860</v>
      </c>
    </row>
    <row r="5239">
      <c r="A5239" t="str">
        <f t="shared" si="1"/>
        <v>fji#1998</v>
      </c>
      <c r="B5239" t="str">
        <f>IFERROR(__xludf.DUMMYFUNCTION("""COMPUTED_VALUE"""),"fji")</f>
        <v>fji</v>
      </c>
      <c r="C5239" t="str">
        <f>IFERROR(__xludf.DUMMYFUNCTION("""COMPUTED_VALUE"""),"Fiji")</f>
        <v>Fiji</v>
      </c>
      <c r="D5239">
        <f>IFERROR(__xludf.DUMMYFUNCTION("""COMPUTED_VALUE"""),1998.0)</f>
        <v>1998</v>
      </c>
      <c r="E5239">
        <f>IFERROR(__xludf.DUMMYFUNCTION("""COMPUTED_VALUE"""),800315.0)</f>
        <v>800315</v>
      </c>
    </row>
    <row r="5240">
      <c r="A5240" t="str">
        <f t="shared" si="1"/>
        <v>fji#1999</v>
      </c>
      <c r="B5240" t="str">
        <f>IFERROR(__xludf.DUMMYFUNCTION("""COMPUTED_VALUE"""),"fji")</f>
        <v>fji</v>
      </c>
      <c r="C5240" t="str">
        <f>IFERROR(__xludf.DUMMYFUNCTION("""COMPUTED_VALUE"""),"Fiji")</f>
        <v>Fiji</v>
      </c>
      <c r="D5240">
        <f>IFERROR(__xludf.DUMMYFUNCTION("""COMPUTED_VALUE"""),1999.0)</f>
        <v>1999</v>
      </c>
      <c r="E5240">
        <f>IFERROR(__xludf.DUMMYFUNCTION("""COMPUTED_VALUE"""),806494.0)</f>
        <v>806494</v>
      </c>
    </row>
    <row r="5241">
      <c r="A5241" t="str">
        <f t="shared" si="1"/>
        <v>fji#2000</v>
      </c>
      <c r="B5241" t="str">
        <f>IFERROR(__xludf.DUMMYFUNCTION("""COMPUTED_VALUE"""),"fji")</f>
        <v>fji</v>
      </c>
      <c r="C5241" t="str">
        <f>IFERROR(__xludf.DUMMYFUNCTION("""COMPUTED_VALUE"""),"Fiji")</f>
        <v>Fiji</v>
      </c>
      <c r="D5241">
        <f>IFERROR(__xludf.DUMMYFUNCTION("""COMPUTED_VALUE"""),2000.0)</f>
        <v>2000</v>
      </c>
      <c r="E5241">
        <f>IFERROR(__xludf.DUMMYFUNCTION("""COMPUTED_VALUE"""),811223.0)</f>
        <v>811223</v>
      </c>
    </row>
    <row r="5242">
      <c r="A5242" t="str">
        <f t="shared" si="1"/>
        <v>fji#2001</v>
      </c>
      <c r="B5242" t="str">
        <f>IFERROR(__xludf.DUMMYFUNCTION("""COMPUTED_VALUE"""),"fji")</f>
        <v>fji</v>
      </c>
      <c r="C5242" t="str">
        <f>IFERROR(__xludf.DUMMYFUNCTION("""COMPUTED_VALUE"""),"Fiji")</f>
        <v>Fiji</v>
      </c>
      <c r="D5242">
        <f>IFERROR(__xludf.DUMMYFUNCTION("""COMPUTED_VALUE"""),2001.0)</f>
        <v>2001</v>
      </c>
      <c r="E5242">
        <f>IFERROR(__xludf.DUMMYFUNCTION("""COMPUTED_VALUE"""),814218.0)</f>
        <v>814218</v>
      </c>
    </row>
    <row r="5243">
      <c r="A5243" t="str">
        <f t="shared" si="1"/>
        <v>fji#2002</v>
      </c>
      <c r="B5243" t="str">
        <f>IFERROR(__xludf.DUMMYFUNCTION("""COMPUTED_VALUE"""),"fji")</f>
        <v>fji</v>
      </c>
      <c r="C5243" t="str">
        <f>IFERROR(__xludf.DUMMYFUNCTION("""COMPUTED_VALUE"""),"Fiji")</f>
        <v>Fiji</v>
      </c>
      <c r="D5243">
        <f>IFERROR(__xludf.DUMMYFUNCTION("""COMPUTED_VALUE"""),2002.0)</f>
        <v>2002</v>
      </c>
      <c r="E5243">
        <f>IFERROR(__xludf.DUMMYFUNCTION("""COMPUTED_VALUE"""),815691.0)</f>
        <v>815691</v>
      </c>
    </row>
    <row r="5244">
      <c r="A5244" t="str">
        <f t="shared" si="1"/>
        <v>fji#2003</v>
      </c>
      <c r="B5244" t="str">
        <f>IFERROR(__xludf.DUMMYFUNCTION("""COMPUTED_VALUE"""),"fji")</f>
        <v>fji</v>
      </c>
      <c r="C5244" t="str">
        <f>IFERROR(__xludf.DUMMYFUNCTION("""COMPUTED_VALUE"""),"Fiji")</f>
        <v>Fiji</v>
      </c>
      <c r="D5244">
        <f>IFERROR(__xludf.DUMMYFUNCTION("""COMPUTED_VALUE"""),2003.0)</f>
        <v>2003</v>
      </c>
      <c r="E5244">
        <f>IFERROR(__xludf.DUMMYFUNCTION("""COMPUTED_VALUE"""),816628.0)</f>
        <v>816628</v>
      </c>
    </row>
    <row r="5245">
      <c r="A5245" t="str">
        <f t="shared" si="1"/>
        <v>fji#2004</v>
      </c>
      <c r="B5245" t="str">
        <f>IFERROR(__xludf.DUMMYFUNCTION("""COMPUTED_VALUE"""),"fji")</f>
        <v>fji</v>
      </c>
      <c r="C5245" t="str">
        <f>IFERROR(__xludf.DUMMYFUNCTION("""COMPUTED_VALUE"""),"Fiji")</f>
        <v>Fiji</v>
      </c>
      <c r="D5245">
        <f>IFERROR(__xludf.DUMMYFUNCTION("""COMPUTED_VALUE"""),2004.0)</f>
        <v>2004</v>
      </c>
      <c r="E5245">
        <f>IFERROR(__xludf.DUMMYFUNCTION("""COMPUTED_VALUE"""),818354.0)</f>
        <v>818354</v>
      </c>
    </row>
    <row r="5246">
      <c r="A5246" t="str">
        <f t="shared" si="1"/>
        <v>fji#2005</v>
      </c>
      <c r="B5246" t="str">
        <f>IFERROR(__xludf.DUMMYFUNCTION("""COMPUTED_VALUE"""),"fji")</f>
        <v>fji</v>
      </c>
      <c r="C5246" t="str">
        <f>IFERROR(__xludf.DUMMYFUNCTION("""COMPUTED_VALUE"""),"Fiji")</f>
        <v>Fiji</v>
      </c>
      <c r="D5246">
        <f>IFERROR(__xludf.DUMMYFUNCTION("""COMPUTED_VALUE"""),2005.0)</f>
        <v>2005</v>
      </c>
      <c r="E5246">
        <f>IFERROR(__xludf.DUMMYFUNCTION("""COMPUTED_VALUE"""),821817.0)</f>
        <v>821817</v>
      </c>
    </row>
    <row r="5247">
      <c r="A5247" t="str">
        <f t="shared" si="1"/>
        <v>fji#2006</v>
      </c>
      <c r="B5247" t="str">
        <f>IFERROR(__xludf.DUMMYFUNCTION("""COMPUTED_VALUE"""),"fji")</f>
        <v>fji</v>
      </c>
      <c r="C5247" t="str">
        <f>IFERROR(__xludf.DUMMYFUNCTION("""COMPUTED_VALUE"""),"Fiji")</f>
        <v>Fiji</v>
      </c>
      <c r="D5247">
        <f>IFERROR(__xludf.DUMMYFUNCTION("""COMPUTED_VALUE"""),2006.0)</f>
        <v>2006</v>
      </c>
      <c r="E5247">
        <f>IFERROR(__xludf.DUMMYFUNCTION("""COMPUTED_VALUE"""),827411.0)</f>
        <v>827411</v>
      </c>
    </row>
    <row r="5248">
      <c r="A5248" t="str">
        <f t="shared" si="1"/>
        <v>fji#2007</v>
      </c>
      <c r="B5248" t="str">
        <f>IFERROR(__xludf.DUMMYFUNCTION("""COMPUTED_VALUE"""),"fji")</f>
        <v>fji</v>
      </c>
      <c r="C5248" t="str">
        <f>IFERROR(__xludf.DUMMYFUNCTION("""COMPUTED_VALUE"""),"Fiji")</f>
        <v>Fiji</v>
      </c>
      <c r="D5248">
        <f>IFERROR(__xludf.DUMMYFUNCTION("""COMPUTED_VALUE"""),2007.0)</f>
        <v>2007</v>
      </c>
      <c r="E5248">
        <f>IFERROR(__xludf.DUMMYFUNCTION("""COMPUTED_VALUE"""),834812.0)</f>
        <v>834812</v>
      </c>
    </row>
    <row r="5249">
      <c r="A5249" t="str">
        <f t="shared" si="1"/>
        <v>fji#2008</v>
      </c>
      <c r="B5249" t="str">
        <f>IFERROR(__xludf.DUMMYFUNCTION("""COMPUTED_VALUE"""),"fji")</f>
        <v>fji</v>
      </c>
      <c r="C5249" t="str">
        <f>IFERROR(__xludf.DUMMYFUNCTION("""COMPUTED_VALUE"""),"Fiji")</f>
        <v>Fiji</v>
      </c>
      <c r="D5249">
        <f>IFERROR(__xludf.DUMMYFUNCTION("""COMPUTED_VALUE"""),2008.0)</f>
        <v>2008</v>
      </c>
      <c r="E5249">
        <f>IFERROR(__xludf.DUMMYFUNCTION("""COMPUTED_VALUE"""),843340.0)</f>
        <v>843340</v>
      </c>
    </row>
    <row r="5250">
      <c r="A5250" t="str">
        <f t="shared" si="1"/>
        <v>fji#2009</v>
      </c>
      <c r="B5250" t="str">
        <f>IFERROR(__xludf.DUMMYFUNCTION("""COMPUTED_VALUE"""),"fji")</f>
        <v>fji</v>
      </c>
      <c r="C5250" t="str">
        <f>IFERROR(__xludf.DUMMYFUNCTION("""COMPUTED_VALUE"""),"Fiji")</f>
        <v>Fiji</v>
      </c>
      <c r="D5250">
        <f>IFERROR(__xludf.DUMMYFUNCTION("""COMPUTED_VALUE"""),2009.0)</f>
        <v>2009</v>
      </c>
      <c r="E5250">
        <f>IFERROR(__xludf.DUMMYFUNCTION("""COMPUTED_VALUE"""),851967.0)</f>
        <v>851967</v>
      </c>
    </row>
    <row r="5251">
      <c r="A5251" t="str">
        <f t="shared" si="1"/>
        <v>fji#2010</v>
      </c>
      <c r="B5251" t="str">
        <f>IFERROR(__xludf.DUMMYFUNCTION("""COMPUTED_VALUE"""),"fji")</f>
        <v>fji</v>
      </c>
      <c r="C5251" t="str">
        <f>IFERROR(__xludf.DUMMYFUNCTION("""COMPUTED_VALUE"""),"Fiji")</f>
        <v>Fiji</v>
      </c>
      <c r="D5251">
        <f>IFERROR(__xludf.DUMMYFUNCTION("""COMPUTED_VALUE"""),2010.0)</f>
        <v>2010</v>
      </c>
      <c r="E5251">
        <f>IFERROR(__xludf.DUMMYFUNCTION("""COMPUTED_VALUE"""),859950.0)</f>
        <v>859950</v>
      </c>
    </row>
    <row r="5252">
      <c r="A5252" t="str">
        <f t="shared" si="1"/>
        <v>fji#2011</v>
      </c>
      <c r="B5252" t="str">
        <f>IFERROR(__xludf.DUMMYFUNCTION("""COMPUTED_VALUE"""),"fji")</f>
        <v>fji</v>
      </c>
      <c r="C5252" t="str">
        <f>IFERROR(__xludf.DUMMYFUNCTION("""COMPUTED_VALUE"""),"Fiji")</f>
        <v>Fiji</v>
      </c>
      <c r="D5252">
        <f>IFERROR(__xludf.DUMMYFUNCTION("""COMPUTED_VALUE"""),2011.0)</f>
        <v>2011</v>
      </c>
      <c r="E5252">
        <f>IFERROR(__xludf.DUMMYFUNCTION("""COMPUTED_VALUE"""),867086.0)</f>
        <v>867086</v>
      </c>
    </row>
    <row r="5253">
      <c r="A5253" t="str">
        <f t="shared" si="1"/>
        <v>fji#2012</v>
      </c>
      <c r="B5253" t="str">
        <f>IFERROR(__xludf.DUMMYFUNCTION("""COMPUTED_VALUE"""),"fji")</f>
        <v>fji</v>
      </c>
      <c r="C5253" t="str">
        <f>IFERROR(__xludf.DUMMYFUNCTION("""COMPUTED_VALUE"""),"Fiji")</f>
        <v>Fiji</v>
      </c>
      <c r="D5253">
        <f>IFERROR(__xludf.DUMMYFUNCTION("""COMPUTED_VALUE"""),2012.0)</f>
        <v>2012</v>
      </c>
      <c r="E5253">
        <f>IFERROR(__xludf.DUMMYFUNCTION("""COMPUTED_VALUE"""),873596.0)</f>
        <v>873596</v>
      </c>
    </row>
    <row r="5254">
      <c r="A5254" t="str">
        <f t="shared" si="1"/>
        <v>fji#2013</v>
      </c>
      <c r="B5254" t="str">
        <f>IFERROR(__xludf.DUMMYFUNCTION("""COMPUTED_VALUE"""),"fji")</f>
        <v>fji</v>
      </c>
      <c r="C5254" t="str">
        <f>IFERROR(__xludf.DUMMYFUNCTION("""COMPUTED_VALUE"""),"Fiji")</f>
        <v>Fiji</v>
      </c>
      <c r="D5254">
        <f>IFERROR(__xludf.DUMMYFUNCTION("""COMPUTED_VALUE"""),2013.0)</f>
        <v>2013</v>
      </c>
      <c r="E5254">
        <f>IFERROR(__xludf.DUMMYFUNCTION("""COMPUTED_VALUE"""),879715.0)</f>
        <v>879715</v>
      </c>
    </row>
    <row r="5255">
      <c r="A5255" t="str">
        <f t="shared" si="1"/>
        <v>fji#2014</v>
      </c>
      <c r="B5255" t="str">
        <f>IFERROR(__xludf.DUMMYFUNCTION("""COMPUTED_VALUE"""),"fji")</f>
        <v>fji</v>
      </c>
      <c r="C5255" t="str">
        <f>IFERROR(__xludf.DUMMYFUNCTION("""COMPUTED_VALUE"""),"Fiji")</f>
        <v>Fiji</v>
      </c>
      <c r="D5255">
        <f>IFERROR(__xludf.DUMMYFUNCTION("""COMPUTED_VALUE"""),2014.0)</f>
        <v>2014</v>
      </c>
      <c r="E5255">
        <f>IFERROR(__xludf.DUMMYFUNCTION("""COMPUTED_VALUE"""),885806.0)</f>
        <v>885806</v>
      </c>
    </row>
    <row r="5256">
      <c r="A5256" t="str">
        <f t="shared" si="1"/>
        <v>fji#2015</v>
      </c>
      <c r="B5256" t="str">
        <f>IFERROR(__xludf.DUMMYFUNCTION("""COMPUTED_VALUE"""),"fji")</f>
        <v>fji</v>
      </c>
      <c r="C5256" t="str">
        <f>IFERROR(__xludf.DUMMYFUNCTION("""COMPUTED_VALUE"""),"Fiji")</f>
        <v>Fiji</v>
      </c>
      <c r="D5256">
        <f>IFERROR(__xludf.DUMMYFUNCTION("""COMPUTED_VALUE"""),2015.0)</f>
        <v>2015</v>
      </c>
      <c r="E5256">
        <f>IFERROR(__xludf.DUMMYFUNCTION("""COMPUTED_VALUE"""),892149.0)</f>
        <v>892149</v>
      </c>
    </row>
    <row r="5257">
      <c r="A5257" t="str">
        <f t="shared" si="1"/>
        <v>fji#2016</v>
      </c>
      <c r="B5257" t="str">
        <f>IFERROR(__xludf.DUMMYFUNCTION("""COMPUTED_VALUE"""),"fji")</f>
        <v>fji</v>
      </c>
      <c r="C5257" t="str">
        <f>IFERROR(__xludf.DUMMYFUNCTION("""COMPUTED_VALUE"""),"Fiji")</f>
        <v>Fiji</v>
      </c>
      <c r="D5257">
        <f>IFERROR(__xludf.DUMMYFUNCTION("""COMPUTED_VALUE"""),2016.0)</f>
        <v>2016</v>
      </c>
      <c r="E5257">
        <f>IFERROR(__xludf.DUMMYFUNCTION("""COMPUTED_VALUE"""),898760.0)</f>
        <v>898760</v>
      </c>
    </row>
    <row r="5258">
      <c r="A5258" t="str">
        <f t="shared" si="1"/>
        <v>fji#2017</v>
      </c>
      <c r="B5258" t="str">
        <f>IFERROR(__xludf.DUMMYFUNCTION("""COMPUTED_VALUE"""),"fji")</f>
        <v>fji</v>
      </c>
      <c r="C5258" t="str">
        <f>IFERROR(__xludf.DUMMYFUNCTION("""COMPUTED_VALUE"""),"Fiji")</f>
        <v>Fiji</v>
      </c>
      <c r="D5258">
        <f>IFERROR(__xludf.DUMMYFUNCTION("""COMPUTED_VALUE"""),2017.0)</f>
        <v>2017</v>
      </c>
      <c r="E5258">
        <f>IFERROR(__xludf.DUMMYFUNCTION("""COMPUTED_VALUE"""),905502.0)</f>
        <v>905502</v>
      </c>
    </row>
    <row r="5259">
      <c r="A5259" t="str">
        <f t="shared" si="1"/>
        <v>fji#2018</v>
      </c>
      <c r="B5259" t="str">
        <f>IFERROR(__xludf.DUMMYFUNCTION("""COMPUTED_VALUE"""),"fji")</f>
        <v>fji</v>
      </c>
      <c r="C5259" t="str">
        <f>IFERROR(__xludf.DUMMYFUNCTION("""COMPUTED_VALUE"""),"Fiji")</f>
        <v>Fiji</v>
      </c>
      <c r="D5259">
        <f>IFERROR(__xludf.DUMMYFUNCTION("""COMPUTED_VALUE"""),2018.0)</f>
        <v>2018</v>
      </c>
      <c r="E5259">
        <f>IFERROR(__xludf.DUMMYFUNCTION("""COMPUTED_VALUE"""),912241.0)</f>
        <v>912241</v>
      </c>
    </row>
    <row r="5260">
      <c r="A5260" t="str">
        <f t="shared" si="1"/>
        <v>fji#2019</v>
      </c>
      <c r="B5260" t="str">
        <f>IFERROR(__xludf.DUMMYFUNCTION("""COMPUTED_VALUE"""),"fji")</f>
        <v>fji</v>
      </c>
      <c r="C5260" t="str">
        <f>IFERROR(__xludf.DUMMYFUNCTION("""COMPUTED_VALUE"""),"Fiji")</f>
        <v>Fiji</v>
      </c>
      <c r="D5260">
        <f>IFERROR(__xludf.DUMMYFUNCTION("""COMPUTED_VALUE"""),2019.0)</f>
        <v>2019</v>
      </c>
      <c r="E5260">
        <f>IFERROR(__xludf.DUMMYFUNCTION("""COMPUTED_VALUE"""),918757.0)</f>
        <v>918757</v>
      </c>
    </row>
    <row r="5261">
      <c r="A5261" t="str">
        <f t="shared" si="1"/>
        <v>fji#2020</v>
      </c>
      <c r="B5261" t="str">
        <f>IFERROR(__xludf.DUMMYFUNCTION("""COMPUTED_VALUE"""),"fji")</f>
        <v>fji</v>
      </c>
      <c r="C5261" t="str">
        <f>IFERROR(__xludf.DUMMYFUNCTION("""COMPUTED_VALUE"""),"Fiji")</f>
        <v>Fiji</v>
      </c>
      <c r="D5261">
        <f>IFERROR(__xludf.DUMMYFUNCTION("""COMPUTED_VALUE"""),2020.0)</f>
        <v>2020</v>
      </c>
      <c r="E5261">
        <f>IFERROR(__xludf.DUMMYFUNCTION("""COMPUTED_VALUE"""),924915.0)</f>
        <v>924915</v>
      </c>
    </row>
    <row r="5262">
      <c r="A5262" t="str">
        <f t="shared" si="1"/>
        <v>fji#2021</v>
      </c>
      <c r="B5262" t="str">
        <f>IFERROR(__xludf.DUMMYFUNCTION("""COMPUTED_VALUE"""),"fji")</f>
        <v>fji</v>
      </c>
      <c r="C5262" t="str">
        <f>IFERROR(__xludf.DUMMYFUNCTION("""COMPUTED_VALUE"""),"Fiji")</f>
        <v>Fiji</v>
      </c>
      <c r="D5262">
        <f>IFERROR(__xludf.DUMMYFUNCTION("""COMPUTED_VALUE"""),2021.0)</f>
        <v>2021</v>
      </c>
      <c r="E5262">
        <f>IFERROR(__xludf.DUMMYFUNCTION("""COMPUTED_VALUE"""),930655.0)</f>
        <v>930655</v>
      </c>
    </row>
    <row r="5263">
      <c r="A5263" t="str">
        <f t="shared" si="1"/>
        <v>fji#2022</v>
      </c>
      <c r="B5263" t="str">
        <f>IFERROR(__xludf.DUMMYFUNCTION("""COMPUTED_VALUE"""),"fji")</f>
        <v>fji</v>
      </c>
      <c r="C5263" t="str">
        <f>IFERROR(__xludf.DUMMYFUNCTION("""COMPUTED_VALUE"""),"Fiji")</f>
        <v>Fiji</v>
      </c>
      <c r="D5263">
        <f>IFERROR(__xludf.DUMMYFUNCTION("""COMPUTED_VALUE"""),2022.0)</f>
        <v>2022</v>
      </c>
      <c r="E5263">
        <f>IFERROR(__xludf.DUMMYFUNCTION("""COMPUTED_VALUE"""),936021.0)</f>
        <v>936021</v>
      </c>
    </row>
    <row r="5264">
      <c r="A5264" t="str">
        <f t="shared" si="1"/>
        <v>fji#2023</v>
      </c>
      <c r="B5264" t="str">
        <f>IFERROR(__xludf.DUMMYFUNCTION("""COMPUTED_VALUE"""),"fji")</f>
        <v>fji</v>
      </c>
      <c r="C5264" t="str">
        <f>IFERROR(__xludf.DUMMYFUNCTION("""COMPUTED_VALUE"""),"Fiji")</f>
        <v>Fiji</v>
      </c>
      <c r="D5264">
        <f>IFERROR(__xludf.DUMMYFUNCTION("""COMPUTED_VALUE"""),2023.0)</f>
        <v>2023</v>
      </c>
      <c r="E5264">
        <f>IFERROR(__xludf.DUMMYFUNCTION("""COMPUTED_VALUE"""),941061.0)</f>
        <v>941061</v>
      </c>
    </row>
    <row r="5265">
      <c r="A5265" t="str">
        <f t="shared" si="1"/>
        <v>fji#2024</v>
      </c>
      <c r="B5265" t="str">
        <f>IFERROR(__xludf.DUMMYFUNCTION("""COMPUTED_VALUE"""),"fji")</f>
        <v>fji</v>
      </c>
      <c r="C5265" t="str">
        <f>IFERROR(__xludf.DUMMYFUNCTION("""COMPUTED_VALUE"""),"Fiji")</f>
        <v>Fiji</v>
      </c>
      <c r="D5265">
        <f>IFERROR(__xludf.DUMMYFUNCTION("""COMPUTED_VALUE"""),2024.0)</f>
        <v>2024</v>
      </c>
      <c r="E5265">
        <f>IFERROR(__xludf.DUMMYFUNCTION("""COMPUTED_VALUE"""),945843.0)</f>
        <v>945843</v>
      </c>
    </row>
    <row r="5266">
      <c r="A5266" t="str">
        <f t="shared" si="1"/>
        <v>fji#2025</v>
      </c>
      <c r="B5266" t="str">
        <f>IFERROR(__xludf.DUMMYFUNCTION("""COMPUTED_VALUE"""),"fji")</f>
        <v>fji</v>
      </c>
      <c r="C5266" t="str">
        <f>IFERROR(__xludf.DUMMYFUNCTION("""COMPUTED_VALUE"""),"Fiji")</f>
        <v>Fiji</v>
      </c>
      <c r="D5266">
        <f>IFERROR(__xludf.DUMMYFUNCTION("""COMPUTED_VALUE"""),2025.0)</f>
        <v>2025</v>
      </c>
      <c r="E5266">
        <f>IFERROR(__xludf.DUMMYFUNCTION("""COMPUTED_VALUE"""),950430.0)</f>
        <v>950430</v>
      </c>
    </row>
    <row r="5267">
      <c r="A5267" t="str">
        <f t="shared" si="1"/>
        <v>fji#2026</v>
      </c>
      <c r="B5267" t="str">
        <f>IFERROR(__xludf.DUMMYFUNCTION("""COMPUTED_VALUE"""),"fji")</f>
        <v>fji</v>
      </c>
      <c r="C5267" t="str">
        <f>IFERROR(__xludf.DUMMYFUNCTION("""COMPUTED_VALUE"""),"Fiji")</f>
        <v>Fiji</v>
      </c>
      <c r="D5267">
        <f>IFERROR(__xludf.DUMMYFUNCTION("""COMPUTED_VALUE"""),2026.0)</f>
        <v>2026</v>
      </c>
      <c r="E5267">
        <f>IFERROR(__xludf.DUMMYFUNCTION("""COMPUTED_VALUE"""),954819.0)</f>
        <v>954819</v>
      </c>
    </row>
    <row r="5268">
      <c r="A5268" t="str">
        <f t="shared" si="1"/>
        <v>fji#2027</v>
      </c>
      <c r="B5268" t="str">
        <f>IFERROR(__xludf.DUMMYFUNCTION("""COMPUTED_VALUE"""),"fji")</f>
        <v>fji</v>
      </c>
      <c r="C5268" t="str">
        <f>IFERROR(__xludf.DUMMYFUNCTION("""COMPUTED_VALUE"""),"Fiji")</f>
        <v>Fiji</v>
      </c>
      <c r="D5268">
        <f>IFERROR(__xludf.DUMMYFUNCTION("""COMPUTED_VALUE"""),2027.0)</f>
        <v>2027</v>
      </c>
      <c r="E5268">
        <f>IFERROR(__xludf.DUMMYFUNCTION("""COMPUTED_VALUE"""),958985.0)</f>
        <v>958985</v>
      </c>
    </row>
    <row r="5269">
      <c r="A5269" t="str">
        <f t="shared" si="1"/>
        <v>fji#2028</v>
      </c>
      <c r="B5269" t="str">
        <f>IFERROR(__xludf.DUMMYFUNCTION("""COMPUTED_VALUE"""),"fji")</f>
        <v>fji</v>
      </c>
      <c r="C5269" t="str">
        <f>IFERROR(__xludf.DUMMYFUNCTION("""COMPUTED_VALUE"""),"Fiji")</f>
        <v>Fiji</v>
      </c>
      <c r="D5269">
        <f>IFERROR(__xludf.DUMMYFUNCTION("""COMPUTED_VALUE"""),2028.0)</f>
        <v>2028</v>
      </c>
      <c r="E5269">
        <f>IFERROR(__xludf.DUMMYFUNCTION("""COMPUTED_VALUE"""),962953.0)</f>
        <v>962953</v>
      </c>
    </row>
    <row r="5270">
      <c r="A5270" t="str">
        <f t="shared" si="1"/>
        <v>fji#2029</v>
      </c>
      <c r="B5270" t="str">
        <f>IFERROR(__xludf.DUMMYFUNCTION("""COMPUTED_VALUE"""),"fji")</f>
        <v>fji</v>
      </c>
      <c r="C5270" t="str">
        <f>IFERROR(__xludf.DUMMYFUNCTION("""COMPUTED_VALUE"""),"Fiji")</f>
        <v>Fiji</v>
      </c>
      <c r="D5270">
        <f>IFERROR(__xludf.DUMMYFUNCTION("""COMPUTED_VALUE"""),2029.0)</f>
        <v>2029</v>
      </c>
      <c r="E5270">
        <f>IFERROR(__xludf.DUMMYFUNCTION("""COMPUTED_VALUE"""),966711.0)</f>
        <v>966711</v>
      </c>
    </row>
    <row r="5271">
      <c r="A5271" t="str">
        <f t="shared" si="1"/>
        <v>fji#2030</v>
      </c>
      <c r="B5271" t="str">
        <f>IFERROR(__xludf.DUMMYFUNCTION("""COMPUTED_VALUE"""),"fji")</f>
        <v>fji</v>
      </c>
      <c r="C5271" t="str">
        <f>IFERROR(__xludf.DUMMYFUNCTION("""COMPUTED_VALUE"""),"Fiji")</f>
        <v>Fiji</v>
      </c>
      <c r="D5271">
        <f>IFERROR(__xludf.DUMMYFUNCTION("""COMPUTED_VALUE"""),2030.0)</f>
        <v>2030</v>
      </c>
      <c r="E5271">
        <f>IFERROR(__xludf.DUMMYFUNCTION("""COMPUTED_VALUE"""),970270.0)</f>
        <v>970270</v>
      </c>
    </row>
    <row r="5272">
      <c r="A5272" t="str">
        <f t="shared" si="1"/>
        <v>fji#2031</v>
      </c>
      <c r="B5272" t="str">
        <f>IFERROR(__xludf.DUMMYFUNCTION("""COMPUTED_VALUE"""),"fji")</f>
        <v>fji</v>
      </c>
      <c r="C5272" t="str">
        <f>IFERROR(__xludf.DUMMYFUNCTION("""COMPUTED_VALUE"""),"Fiji")</f>
        <v>Fiji</v>
      </c>
      <c r="D5272">
        <f>IFERROR(__xludf.DUMMYFUNCTION("""COMPUTED_VALUE"""),2031.0)</f>
        <v>2031</v>
      </c>
      <c r="E5272">
        <f>IFERROR(__xludf.DUMMYFUNCTION("""COMPUTED_VALUE"""),973640.0)</f>
        <v>973640</v>
      </c>
    </row>
    <row r="5273">
      <c r="A5273" t="str">
        <f t="shared" si="1"/>
        <v>fji#2032</v>
      </c>
      <c r="B5273" t="str">
        <f>IFERROR(__xludf.DUMMYFUNCTION("""COMPUTED_VALUE"""),"fji")</f>
        <v>fji</v>
      </c>
      <c r="C5273" t="str">
        <f>IFERROR(__xludf.DUMMYFUNCTION("""COMPUTED_VALUE"""),"Fiji")</f>
        <v>Fiji</v>
      </c>
      <c r="D5273">
        <f>IFERROR(__xludf.DUMMYFUNCTION("""COMPUTED_VALUE"""),2032.0)</f>
        <v>2032</v>
      </c>
      <c r="E5273">
        <f>IFERROR(__xludf.DUMMYFUNCTION("""COMPUTED_VALUE"""),976826.0)</f>
        <v>976826</v>
      </c>
    </row>
    <row r="5274">
      <c r="A5274" t="str">
        <f t="shared" si="1"/>
        <v>fji#2033</v>
      </c>
      <c r="B5274" t="str">
        <f>IFERROR(__xludf.DUMMYFUNCTION("""COMPUTED_VALUE"""),"fji")</f>
        <v>fji</v>
      </c>
      <c r="C5274" t="str">
        <f>IFERROR(__xludf.DUMMYFUNCTION("""COMPUTED_VALUE"""),"Fiji")</f>
        <v>Fiji</v>
      </c>
      <c r="D5274">
        <f>IFERROR(__xludf.DUMMYFUNCTION("""COMPUTED_VALUE"""),2033.0)</f>
        <v>2033</v>
      </c>
      <c r="E5274">
        <f>IFERROR(__xludf.DUMMYFUNCTION("""COMPUTED_VALUE"""),979803.0)</f>
        <v>979803</v>
      </c>
    </row>
    <row r="5275">
      <c r="A5275" t="str">
        <f t="shared" si="1"/>
        <v>fji#2034</v>
      </c>
      <c r="B5275" t="str">
        <f>IFERROR(__xludf.DUMMYFUNCTION("""COMPUTED_VALUE"""),"fji")</f>
        <v>fji</v>
      </c>
      <c r="C5275" t="str">
        <f>IFERROR(__xludf.DUMMYFUNCTION("""COMPUTED_VALUE"""),"Fiji")</f>
        <v>Fiji</v>
      </c>
      <c r="D5275">
        <f>IFERROR(__xludf.DUMMYFUNCTION("""COMPUTED_VALUE"""),2034.0)</f>
        <v>2034</v>
      </c>
      <c r="E5275">
        <f>IFERROR(__xludf.DUMMYFUNCTION("""COMPUTED_VALUE"""),982586.0)</f>
        <v>982586</v>
      </c>
    </row>
    <row r="5276">
      <c r="A5276" t="str">
        <f t="shared" si="1"/>
        <v>fji#2035</v>
      </c>
      <c r="B5276" t="str">
        <f>IFERROR(__xludf.DUMMYFUNCTION("""COMPUTED_VALUE"""),"fji")</f>
        <v>fji</v>
      </c>
      <c r="C5276" t="str">
        <f>IFERROR(__xludf.DUMMYFUNCTION("""COMPUTED_VALUE"""),"Fiji")</f>
        <v>Fiji</v>
      </c>
      <c r="D5276">
        <f>IFERROR(__xludf.DUMMYFUNCTION("""COMPUTED_VALUE"""),2035.0)</f>
        <v>2035</v>
      </c>
      <c r="E5276">
        <f>IFERROR(__xludf.DUMMYFUNCTION("""COMPUTED_VALUE"""),985150.0)</f>
        <v>985150</v>
      </c>
    </row>
    <row r="5277">
      <c r="A5277" t="str">
        <f t="shared" si="1"/>
        <v>fji#2036</v>
      </c>
      <c r="B5277" t="str">
        <f>IFERROR(__xludf.DUMMYFUNCTION("""COMPUTED_VALUE"""),"fji")</f>
        <v>fji</v>
      </c>
      <c r="C5277" t="str">
        <f>IFERROR(__xludf.DUMMYFUNCTION("""COMPUTED_VALUE"""),"Fiji")</f>
        <v>Fiji</v>
      </c>
      <c r="D5277">
        <f>IFERROR(__xludf.DUMMYFUNCTION("""COMPUTED_VALUE"""),2036.0)</f>
        <v>2036</v>
      </c>
      <c r="E5277">
        <f>IFERROR(__xludf.DUMMYFUNCTION("""COMPUTED_VALUE"""),987513.0)</f>
        <v>987513</v>
      </c>
    </row>
    <row r="5278">
      <c r="A5278" t="str">
        <f t="shared" si="1"/>
        <v>fji#2037</v>
      </c>
      <c r="B5278" t="str">
        <f>IFERROR(__xludf.DUMMYFUNCTION("""COMPUTED_VALUE"""),"fji")</f>
        <v>fji</v>
      </c>
      <c r="C5278" t="str">
        <f>IFERROR(__xludf.DUMMYFUNCTION("""COMPUTED_VALUE"""),"Fiji")</f>
        <v>Fiji</v>
      </c>
      <c r="D5278">
        <f>IFERROR(__xludf.DUMMYFUNCTION("""COMPUTED_VALUE"""),2037.0)</f>
        <v>2037</v>
      </c>
      <c r="E5278">
        <f>IFERROR(__xludf.DUMMYFUNCTION("""COMPUTED_VALUE"""),989652.0)</f>
        <v>989652</v>
      </c>
    </row>
    <row r="5279">
      <c r="A5279" t="str">
        <f t="shared" si="1"/>
        <v>fji#2038</v>
      </c>
      <c r="B5279" t="str">
        <f>IFERROR(__xludf.DUMMYFUNCTION("""COMPUTED_VALUE"""),"fji")</f>
        <v>fji</v>
      </c>
      <c r="C5279" t="str">
        <f>IFERROR(__xludf.DUMMYFUNCTION("""COMPUTED_VALUE"""),"Fiji")</f>
        <v>Fiji</v>
      </c>
      <c r="D5279">
        <f>IFERROR(__xludf.DUMMYFUNCTION("""COMPUTED_VALUE"""),2038.0)</f>
        <v>2038</v>
      </c>
      <c r="E5279">
        <f>IFERROR(__xludf.DUMMYFUNCTION("""COMPUTED_VALUE"""),991583.0)</f>
        <v>991583</v>
      </c>
    </row>
    <row r="5280">
      <c r="A5280" t="str">
        <f t="shared" si="1"/>
        <v>fji#2039</v>
      </c>
      <c r="B5280" t="str">
        <f>IFERROR(__xludf.DUMMYFUNCTION("""COMPUTED_VALUE"""),"fji")</f>
        <v>fji</v>
      </c>
      <c r="C5280" t="str">
        <f>IFERROR(__xludf.DUMMYFUNCTION("""COMPUTED_VALUE"""),"Fiji")</f>
        <v>Fiji</v>
      </c>
      <c r="D5280">
        <f>IFERROR(__xludf.DUMMYFUNCTION("""COMPUTED_VALUE"""),2039.0)</f>
        <v>2039</v>
      </c>
      <c r="E5280">
        <f>IFERROR(__xludf.DUMMYFUNCTION("""COMPUTED_VALUE"""),993298.0)</f>
        <v>993298</v>
      </c>
    </row>
    <row r="5281">
      <c r="A5281" t="str">
        <f t="shared" si="1"/>
        <v>fji#2040</v>
      </c>
      <c r="B5281" t="str">
        <f>IFERROR(__xludf.DUMMYFUNCTION("""COMPUTED_VALUE"""),"fji")</f>
        <v>fji</v>
      </c>
      <c r="C5281" t="str">
        <f>IFERROR(__xludf.DUMMYFUNCTION("""COMPUTED_VALUE"""),"Fiji")</f>
        <v>Fiji</v>
      </c>
      <c r="D5281">
        <f>IFERROR(__xludf.DUMMYFUNCTION("""COMPUTED_VALUE"""),2040.0)</f>
        <v>2040</v>
      </c>
      <c r="E5281">
        <f>IFERROR(__xludf.DUMMYFUNCTION("""COMPUTED_VALUE"""),994801.0)</f>
        <v>994801</v>
      </c>
    </row>
    <row r="5282">
      <c r="A5282" t="str">
        <f t="shared" si="1"/>
        <v>fin#1950</v>
      </c>
      <c r="B5282" t="str">
        <f>IFERROR(__xludf.DUMMYFUNCTION("""COMPUTED_VALUE"""),"fin")</f>
        <v>fin</v>
      </c>
      <c r="C5282" t="str">
        <f>IFERROR(__xludf.DUMMYFUNCTION("""COMPUTED_VALUE"""),"Finland")</f>
        <v>Finland</v>
      </c>
      <c r="D5282">
        <f>IFERROR(__xludf.DUMMYFUNCTION("""COMPUTED_VALUE"""),1950.0)</f>
        <v>1950</v>
      </c>
      <c r="E5282">
        <f>IFERROR(__xludf.DUMMYFUNCTION("""COMPUTED_VALUE"""),4008294.0)</f>
        <v>4008294</v>
      </c>
    </row>
    <row r="5283">
      <c r="A5283" t="str">
        <f t="shared" si="1"/>
        <v>fin#1951</v>
      </c>
      <c r="B5283" t="str">
        <f>IFERROR(__xludf.DUMMYFUNCTION("""COMPUTED_VALUE"""),"fin")</f>
        <v>fin</v>
      </c>
      <c r="C5283" t="str">
        <f>IFERROR(__xludf.DUMMYFUNCTION("""COMPUTED_VALUE"""),"Finland")</f>
        <v>Finland</v>
      </c>
      <c r="D5283">
        <f>IFERROR(__xludf.DUMMYFUNCTION("""COMPUTED_VALUE"""),1951.0)</f>
        <v>1951</v>
      </c>
      <c r="E5283">
        <f>IFERROR(__xludf.DUMMYFUNCTION("""COMPUTED_VALUE"""),4050492.0)</f>
        <v>4050492</v>
      </c>
    </row>
    <row r="5284">
      <c r="A5284" t="str">
        <f t="shared" si="1"/>
        <v>fin#1952</v>
      </c>
      <c r="B5284" t="str">
        <f>IFERROR(__xludf.DUMMYFUNCTION("""COMPUTED_VALUE"""),"fin")</f>
        <v>fin</v>
      </c>
      <c r="C5284" t="str">
        <f>IFERROR(__xludf.DUMMYFUNCTION("""COMPUTED_VALUE"""),"Finland")</f>
        <v>Finland</v>
      </c>
      <c r="D5284">
        <f>IFERROR(__xludf.DUMMYFUNCTION("""COMPUTED_VALUE"""),1952.0)</f>
        <v>1952</v>
      </c>
      <c r="E5284">
        <f>IFERROR(__xludf.DUMMYFUNCTION("""COMPUTED_VALUE"""),4096554.0)</f>
        <v>4096554</v>
      </c>
    </row>
    <row r="5285">
      <c r="A5285" t="str">
        <f t="shared" si="1"/>
        <v>fin#1953</v>
      </c>
      <c r="B5285" t="str">
        <f>IFERROR(__xludf.DUMMYFUNCTION("""COMPUTED_VALUE"""),"fin")</f>
        <v>fin</v>
      </c>
      <c r="C5285" t="str">
        <f>IFERROR(__xludf.DUMMYFUNCTION("""COMPUTED_VALUE"""),"Finland")</f>
        <v>Finland</v>
      </c>
      <c r="D5285">
        <f>IFERROR(__xludf.DUMMYFUNCTION("""COMPUTED_VALUE"""),1953.0)</f>
        <v>1953</v>
      </c>
      <c r="E5285">
        <f>IFERROR(__xludf.DUMMYFUNCTION("""COMPUTED_VALUE"""),4144297.0)</f>
        <v>4144297</v>
      </c>
    </row>
    <row r="5286">
      <c r="A5286" t="str">
        <f t="shared" si="1"/>
        <v>fin#1954</v>
      </c>
      <c r="B5286" t="str">
        <f>IFERROR(__xludf.DUMMYFUNCTION("""COMPUTED_VALUE"""),"fin")</f>
        <v>fin</v>
      </c>
      <c r="C5286" t="str">
        <f>IFERROR(__xludf.DUMMYFUNCTION("""COMPUTED_VALUE"""),"Finland")</f>
        <v>Finland</v>
      </c>
      <c r="D5286">
        <f>IFERROR(__xludf.DUMMYFUNCTION("""COMPUTED_VALUE"""),1954.0)</f>
        <v>1954</v>
      </c>
      <c r="E5286">
        <f>IFERROR(__xludf.DUMMYFUNCTION("""COMPUTED_VALUE"""),4191979.0)</f>
        <v>4191979</v>
      </c>
    </row>
    <row r="5287">
      <c r="A5287" t="str">
        <f t="shared" si="1"/>
        <v>fin#1955</v>
      </c>
      <c r="B5287" t="str">
        <f>IFERROR(__xludf.DUMMYFUNCTION("""COMPUTED_VALUE"""),"fin")</f>
        <v>fin</v>
      </c>
      <c r="C5287" t="str">
        <f>IFERROR(__xludf.DUMMYFUNCTION("""COMPUTED_VALUE"""),"Finland")</f>
        <v>Finland</v>
      </c>
      <c r="D5287">
        <f>IFERROR(__xludf.DUMMYFUNCTION("""COMPUTED_VALUE"""),1955.0)</f>
        <v>1955</v>
      </c>
      <c r="E5287">
        <f>IFERROR(__xludf.DUMMYFUNCTION("""COMPUTED_VALUE"""),4238275.0)</f>
        <v>4238275</v>
      </c>
    </row>
    <row r="5288">
      <c r="A5288" t="str">
        <f t="shared" si="1"/>
        <v>fin#1956</v>
      </c>
      <c r="B5288" t="str">
        <f>IFERROR(__xludf.DUMMYFUNCTION("""COMPUTED_VALUE"""),"fin")</f>
        <v>fin</v>
      </c>
      <c r="C5288" t="str">
        <f>IFERROR(__xludf.DUMMYFUNCTION("""COMPUTED_VALUE"""),"Finland")</f>
        <v>Finland</v>
      </c>
      <c r="D5288">
        <f>IFERROR(__xludf.DUMMYFUNCTION("""COMPUTED_VALUE"""),1956.0)</f>
        <v>1956</v>
      </c>
      <c r="E5288">
        <f>IFERROR(__xludf.DUMMYFUNCTION("""COMPUTED_VALUE"""),4282379.0)</f>
        <v>4282379</v>
      </c>
    </row>
    <row r="5289">
      <c r="A5289" t="str">
        <f t="shared" si="1"/>
        <v>fin#1957</v>
      </c>
      <c r="B5289" t="str">
        <f>IFERROR(__xludf.DUMMYFUNCTION("""COMPUTED_VALUE"""),"fin")</f>
        <v>fin</v>
      </c>
      <c r="C5289" t="str">
        <f>IFERROR(__xludf.DUMMYFUNCTION("""COMPUTED_VALUE"""),"Finland")</f>
        <v>Finland</v>
      </c>
      <c r="D5289">
        <f>IFERROR(__xludf.DUMMYFUNCTION("""COMPUTED_VALUE"""),1957.0)</f>
        <v>1957</v>
      </c>
      <c r="E5289">
        <f>IFERROR(__xludf.DUMMYFUNCTION("""COMPUTED_VALUE"""),4323921.0)</f>
        <v>4323921</v>
      </c>
    </row>
    <row r="5290">
      <c r="A5290" t="str">
        <f t="shared" si="1"/>
        <v>fin#1958</v>
      </c>
      <c r="B5290" t="str">
        <f>IFERROR(__xludf.DUMMYFUNCTION("""COMPUTED_VALUE"""),"fin")</f>
        <v>fin</v>
      </c>
      <c r="C5290" t="str">
        <f>IFERROR(__xludf.DUMMYFUNCTION("""COMPUTED_VALUE"""),"Finland")</f>
        <v>Finland</v>
      </c>
      <c r="D5290">
        <f>IFERROR(__xludf.DUMMYFUNCTION("""COMPUTED_VALUE"""),1958.0)</f>
        <v>1958</v>
      </c>
      <c r="E5290">
        <f>IFERROR(__xludf.DUMMYFUNCTION("""COMPUTED_VALUE"""),4362913.0)</f>
        <v>4362913</v>
      </c>
    </row>
    <row r="5291">
      <c r="A5291" t="str">
        <f t="shared" si="1"/>
        <v>fin#1959</v>
      </c>
      <c r="B5291" t="str">
        <f>IFERROR(__xludf.DUMMYFUNCTION("""COMPUTED_VALUE"""),"fin")</f>
        <v>fin</v>
      </c>
      <c r="C5291" t="str">
        <f>IFERROR(__xludf.DUMMYFUNCTION("""COMPUTED_VALUE"""),"Finland")</f>
        <v>Finland</v>
      </c>
      <c r="D5291">
        <f>IFERROR(__xludf.DUMMYFUNCTION("""COMPUTED_VALUE"""),1959.0)</f>
        <v>1959</v>
      </c>
      <c r="E5291">
        <f>IFERROR(__xludf.DUMMYFUNCTION("""COMPUTED_VALUE"""),4399674.0)</f>
        <v>4399674</v>
      </c>
    </row>
    <row r="5292">
      <c r="A5292" t="str">
        <f t="shared" si="1"/>
        <v>fin#1960</v>
      </c>
      <c r="B5292" t="str">
        <f>IFERROR(__xludf.DUMMYFUNCTION("""COMPUTED_VALUE"""),"fin")</f>
        <v>fin</v>
      </c>
      <c r="C5292" t="str">
        <f>IFERROR(__xludf.DUMMYFUNCTION("""COMPUTED_VALUE"""),"Finland")</f>
        <v>Finland</v>
      </c>
      <c r="D5292">
        <f>IFERROR(__xludf.DUMMYFUNCTION("""COMPUTED_VALUE"""),1960.0)</f>
        <v>1960</v>
      </c>
      <c r="E5292">
        <f>IFERROR(__xludf.DUMMYFUNCTION("""COMPUTED_VALUE"""),4434590.0)</f>
        <v>4434590</v>
      </c>
    </row>
    <row r="5293">
      <c r="A5293" t="str">
        <f t="shared" si="1"/>
        <v>fin#1961</v>
      </c>
      <c r="B5293" t="str">
        <f>IFERROR(__xludf.DUMMYFUNCTION("""COMPUTED_VALUE"""),"fin")</f>
        <v>fin</v>
      </c>
      <c r="C5293" t="str">
        <f>IFERROR(__xludf.DUMMYFUNCTION("""COMPUTED_VALUE"""),"Finland")</f>
        <v>Finland</v>
      </c>
      <c r="D5293">
        <f>IFERROR(__xludf.DUMMYFUNCTION("""COMPUTED_VALUE"""),1961.0)</f>
        <v>1961</v>
      </c>
      <c r="E5293">
        <f>IFERROR(__xludf.DUMMYFUNCTION("""COMPUTED_VALUE"""),4467773.0)</f>
        <v>4467773</v>
      </c>
    </row>
    <row r="5294">
      <c r="A5294" t="str">
        <f t="shared" si="1"/>
        <v>fin#1962</v>
      </c>
      <c r="B5294" t="str">
        <f>IFERROR(__xludf.DUMMYFUNCTION("""COMPUTED_VALUE"""),"fin")</f>
        <v>fin</v>
      </c>
      <c r="C5294" t="str">
        <f>IFERROR(__xludf.DUMMYFUNCTION("""COMPUTED_VALUE"""),"Finland")</f>
        <v>Finland</v>
      </c>
      <c r="D5294">
        <f>IFERROR(__xludf.DUMMYFUNCTION("""COMPUTED_VALUE"""),1962.0)</f>
        <v>1962</v>
      </c>
      <c r="E5294">
        <f>IFERROR(__xludf.DUMMYFUNCTION("""COMPUTED_VALUE"""),4498817.0)</f>
        <v>4498817</v>
      </c>
    </row>
    <row r="5295">
      <c r="A5295" t="str">
        <f t="shared" si="1"/>
        <v>fin#1963</v>
      </c>
      <c r="B5295" t="str">
        <f>IFERROR(__xludf.DUMMYFUNCTION("""COMPUTED_VALUE"""),"fin")</f>
        <v>fin</v>
      </c>
      <c r="C5295" t="str">
        <f>IFERROR(__xludf.DUMMYFUNCTION("""COMPUTED_VALUE"""),"Finland")</f>
        <v>Finland</v>
      </c>
      <c r="D5295">
        <f>IFERROR(__xludf.DUMMYFUNCTION("""COMPUTED_VALUE"""),1963.0)</f>
        <v>1963</v>
      </c>
      <c r="E5295">
        <f>IFERROR(__xludf.DUMMYFUNCTION("""COMPUTED_VALUE"""),4526746.0)</f>
        <v>4526746</v>
      </c>
    </row>
    <row r="5296">
      <c r="A5296" t="str">
        <f t="shared" si="1"/>
        <v>fin#1964</v>
      </c>
      <c r="B5296" t="str">
        <f>IFERROR(__xludf.DUMMYFUNCTION("""COMPUTED_VALUE"""),"fin")</f>
        <v>fin</v>
      </c>
      <c r="C5296" t="str">
        <f>IFERROR(__xludf.DUMMYFUNCTION("""COMPUTED_VALUE"""),"Finland")</f>
        <v>Finland</v>
      </c>
      <c r="D5296">
        <f>IFERROR(__xludf.DUMMYFUNCTION("""COMPUTED_VALUE"""),1964.0)</f>
        <v>1964</v>
      </c>
      <c r="E5296">
        <f>IFERROR(__xludf.DUMMYFUNCTION("""COMPUTED_VALUE"""),4550239.0)</f>
        <v>4550239</v>
      </c>
    </row>
    <row r="5297">
      <c r="A5297" t="str">
        <f t="shared" si="1"/>
        <v>fin#1965</v>
      </c>
      <c r="B5297" t="str">
        <f>IFERROR(__xludf.DUMMYFUNCTION("""COMPUTED_VALUE"""),"fin")</f>
        <v>fin</v>
      </c>
      <c r="C5297" t="str">
        <f>IFERROR(__xludf.DUMMYFUNCTION("""COMPUTED_VALUE"""),"Finland")</f>
        <v>Finland</v>
      </c>
      <c r="D5297">
        <f>IFERROR(__xludf.DUMMYFUNCTION("""COMPUTED_VALUE"""),1965.0)</f>
        <v>1965</v>
      </c>
      <c r="E5297">
        <f>IFERROR(__xludf.DUMMYFUNCTION("""COMPUTED_VALUE"""),4568598.0)</f>
        <v>4568598</v>
      </c>
    </row>
    <row r="5298">
      <c r="A5298" t="str">
        <f t="shared" si="1"/>
        <v>fin#1966</v>
      </c>
      <c r="B5298" t="str">
        <f>IFERROR(__xludf.DUMMYFUNCTION("""COMPUTED_VALUE"""),"fin")</f>
        <v>fin</v>
      </c>
      <c r="C5298" t="str">
        <f>IFERROR(__xludf.DUMMYFUNCTION("""COMPUTED_VALUE"""),"Finland")</f>
        <v>Finland</v>
      </c>
      <c r="D5298">
        <f>IFERROR(__xludf.DUMMYFUNCTION("""COMPUTED_VALUE"""),1966.0)</f>
        <v>1966</v>
      </c>
      <c r="E5298">
        <f>IFERROR(__xludf.DUMMYFUNCTION("""COMPUTED_VALUE"""),4581115.0)</f>
        <v>4581115</v>
      </c>
    </row>
    <row r="5299">
      <c r="A5299" t="str">
        <f t="shared" si="1"/>
        <v>fin#1967</v>
      </c>
      <c r="B5299" t="str">
        <f>IFERROR(__xludf.DUMMYFUNCTION("""COMPUTED_VALUE"""),"fin")</f>
        <v>fin</v>
      </c>
      <c r="C5299" t="str">
        <f>IFERROR(__xludf.DUMMYFUNCTION("""COMPUTED_VALUE"""),"Finland")</f>
        <v>Finland</v>
      </c>
      <c r="D5299">
        <f>IFERROR(__xludf.DUMMYFUNCTION("""COMPUTED_VALUE"""),1967.0)</f>
        <v>1967</v>
      </c>
      <c r="E5299">
        <f>IFERROR(__xludf.DUMMYFUNCTION("""COMPUTED_VALUE"""),4588656.0)</f>
        <v>4588656</v>
      </c>
    </row>
    <row r="5300">
      <c r="A5300" t="str">
        <f t="shared" si="1"/>
        <v>fin#1968</v>
      </c>
      <c r="B5300" t="str">
        <f>IFERROR(__xludf.DUMMYFUNCTION("""COMPUTED_VALUE"""),"fin")</f>
        <v>fin</v>
      </c>
      <c r="C5300" t="str">
        <f>IFERROR(__xludf.DUMMYFUNCTION("""COMPUTED_VALUE"""),"Finland")</f>
        <v>Finland</v>
      </c>
      <c r="D5300">
        <f>IFERROR(__xludf.DUMMYFUNCTION("""COMPUTED_VALUE"""),1968.0)</f>
        <v>1968</v>
      </c>
      <c r="E5300">
        <f>IFERROR(__xludf.DUMMYFUNCTION("""COMPUTED_VALUE"""),4594024.0)</f>
        <v>4594024</v>
      </c>
    </row>
    <row r="5301">
      <c r="A5301" t="str">
        <f t="shared" si="1"/>
        <v>fin#1969</v>
      </c>
      <c r="B5301" t="str">
        <f>IFERROR(__xludf.DUMMYFUNCTION("""COMPUTED_VALUE"""),"fin")</f>
        <v>fin</v>
      </c>
      <c r="C5301" t="str">
        <f>IFERROR(__xludf.DUMMYFUNCTION("""COMPUTED_VALUE"""),"Finland")</f>
        <v>Finland</v>
      </c>
      <c r="D5301">
        <f>IFERROR(__xludf.DUMMYFUNCTION("""COMPUTED_VALUE"""),1969.0)</f>
        <v>1969</v>
      </c>
      <c r="E5301">
        <f>IFERROR(__xludf.DUMMYFUNCTION("""COMPUTED_VALUE"""),4601033.0)</f>
        <v>4601033</v>
      </c>
    </row>
    <row r="5302">
      <c r="A5302" t="str">
        <f t="shared" si="1"/>
        <v>fin#1970</v>
      </c>
      <c r="B5302" t="str">
        <f>IFERROR(__xludf.DUMMYFUNCTION("""COMPUTED_VALUE"""),"fin")</f>
        <v>fin</v>
      </c>
      <c r="C5302" t="str">
        <f>IFERROR(__xludf.DUMMYFUNCTION("""COMPUTED_VALUE"""),"Finland")</f>
        <v>Finland</v>
      </c>
      <c r="D5302">
        <f>IFERROR(__xludf.DUMMYFUNCTION("""COMPUTED_VALUE"""),1970.0)</f>
        <v>1970</v>
      </c>
      <c r="E5302">
        <f>IFERROR(__xludf.DUMMYFUNCTION("""COMPUTED_VALUE"""),4612366.0)</f>
        <v>4612366</v>
      </c>
    </row>
    <row r="5303">
      <c r="A5303" t="str">
        <f t="shared" si="1"/>
        <v>fin#1971</v>
      </c>
      <c r="B5303" t="str">
        <f>IFERROR(__xludf.DUMMYFUNCTION("""COMPUTED_VALUE"""),"fin")</f>
        <v>fin</v>
      </c>
      <c r="C5303" t="str">
        <f>IFERROR(__xludf.DUMMYFUNCTION("""COMPUTED_VALUE"""),"Finland")</f>
        <v>Finland</v>
      </c>
      <c r="D5303">
        <f>IFERROR(__xludf.DUMMYFUNCTION("""COMPUTED_VALUE"""),1971.0)</f>
        <v>1971</v>
      </c>
      <c r="E5303">
        <f>IFERROR(__xludf.DUMMYFUNCTION("""COMPUTED_VALUE"""),4629380.0)</f>
        <v>4629380</v>
      </c>
    </row>
    <row r="5304">
      <c r="A5304" t="str">
        <f t="shared" si="1"/>
        <v>fin#1972</v>
      </c>
      <c r="B5304" t="str">
        <f>IFERROR(__xludf.DUMMYFUNCTION("""COMPUTED_VALUE"""),"fin")</f>
        <v>fin</v>
      </c>
      <c r="C5304" t="str">
        <f>IFERROR(__xludf.DUMMYFUNCTION("""COMPUTED_VALUE"""),"Finland")</f>
        <v>Finland</v>
      </c>
      <c r="D5304">
        <f>IFERROR(__xludf.DUMMYFUNCTION("""COMPUTED_VALUE"""),1972.0)</f>
        <v>1972</v>
      </c>
      <c r="E5304">
        <f>IFERROR(__xludf.DUMMYFUNCTION("""COMPUTED_VALUE"""),4651172.0)</f>
        <v>4651172</v>
      </c>
    </row>
    <row r="5305">
      <c r="A5305" t="str">
        <f t="shared" si="1"/>
        <v>fin#1973</v>
      </c>
      <c r="B5305" t="str">
        <f>IFERROR(__xludf.DUMMYFUNCTION("""COMPUTED_VALUE"""),"fin")</f>
        <v>fin</v>
      </c>
      <c r="C5305" t="str">
        <f>IFERROR(__xludf.DUMMYFUNCTION("""COMPUTED_VALUE"""),"Finland")</f>
        <v>Finland</v>
      </c>
      <c r="D5305">
        <f>IFERROR(__xludf.DUMMYFUNCTION("""COMPUTED_VALUE"""),1973.0)</f>
        <v>1973</v>
      </c>
      <c r="E5305">
        <f>IFERROR(__xludf.DUMMYFUNCTION("""COMPUTED_VALUE"""),4675456.0)</f>
        <v>4675456</v>
      </c>
    </row>
    <row r="5306">
      <c r="A5306" t="str">
        <f t="shared" si="1"/>
        <v>fin#1974</v>
      </c>
      <c r="B5306" t="str">
        <f>IFERROR(__xludf.DUMMYFUNCTION("""COMPUTED_VALUE"""),"fin")</f>
        <v>fin</v>
      </c>
      <c r="C5306" t="str">
        <f>IFERROR(__xludf.DUMMYFUNCTION("""COMPUTED_VALUE"""),"Finland")</f>
        <v>Finland</v>
      </c>
      <c r="D5306">
        <f>IFERROR(__xludf.DUMMYFUNCTION("""COMPUTED_VALUE"""),1974.0)</f>
        <v>1974</v>
      </c>
      <c r="E5306">
        <f>IFERROR(__xludf.DUMMYFUNCTION("""COMPUTED_VALUE"""),4698779.0)</f>
        <v>4698779</v>
      </c>
    </row>
    <row r="5307">
      <c r="A5307" t="str">
        <f t="shared" si="1"/>
        <v>fin#1975</v>
      </c>
      <c r="B5307" t="str">
        <f>IFERROR(__xludf.DUMMYFUNCTION("""COMPUTED_VALUE"""),"fin")</f>
        <v>fin</v>
      </c>
      <c r="C5307" t="str">
        <f>IFERROR(__xludf.DUMMYFUNCTION("""COMPUTED_VALUE"""),"Finland")</f>
        <v>Finland</v>
      </c>
      <c r="D5307">
        <f>IFERROR(__xludf.DUMMYFUNCTION("""COMPUTED_VALUE"""),1975.0)</f>
        <v>1975</v>
      </c>
      <c r="E5307">
        <f>IFERROR(__xludf.DUMMYFUNCTION("""COMPUTED_VALUE"""),4718749.0)</f>
        <v>4718749</v>
      </c>
    </row>
    <row r="5308">
      <c r="A5308" t="str">
        <f t="shared" si="1"/>
        <v>fin#1976</v>
      </c>
      <c r="B5308" t="str">
        <f>IFERROR(__xludf.DUMMYFUNCTION("""COMPUTED_VALUE"""),"fin")</f>
        <v>fin</v>
      </c>
      <c r="C5308" t="str">
        <f>IFERROR(__xludf.DUMMYFUNCTION("""COMPUTED_VALUE"""),"Finland")</f>
        <v>Finland</v>
      </c>
      <c r="D5308">
        <f>IFERROR(__xludf.DUMMYFUNCTION("""COMPUTED_VALUE"""),1976.0)</f>
        <v>1976</v>
      </c>
      <c r="E5308">
        <f>IFERROR(__xludf.DUMMYFUNCTION("""COMPUTED_VALUE"""),4734437.0)</f>
        <v>4734437</v>
      </c>
    </row>
    <row r="5309">
      <c r="A5309" t="str">
        <f t="shared" si="1"/>
        <v>fin#1977</v>
      </c>
      <c r="B5309" t="str">
        <f>IFERROR(__xludf.DUMMYFUNCTION("""COMPUTED_VALUE"""),"fin")</f>
        <v>fin</v>
      </c>
      <c r="C5309" t="str">
        <f>IFERROR(__xludf.DUMMYFUNCTION("""COMPUTED_VALUE"""),"Finland")</f>
        <v>Finland</v>
      </c>
      <c r="D5309">
        <f>IFERROR(__xludf.DUMMYFUNCTION("""COMPUTED_VALUE"""),1977.0)</f>
        <v>1977</v>
      </c>
      <c r="E5309">
        <f>IFERROR(__xludf.DUMMYFUNCTION("""COMPUTED_VALUE"""),4746932.0)</f>
        <v>4746932</v>
      </c>
    </row>
    <row r="5310">
      <c r="A5310" t="str">
        <f t="shared" si="1"/>
        <v>fin#1978</v>
      </c>
      <c r="B5310" t="str">
        <f>IFERROR(__xludf.DUMMYFUNCTION("""COMPUTED_VALUE"""),"fin")</f>
        <v>fin</v>
      </c>
      <c r="C5310" t="str">
        <f>IFERROR(__xludf.DUMMYFUNCTION("""COMPUTED_VALUE"""),"Finland")</f>
        <v>Finland</v>
      </c>
      <c r="D5310">
        <f>IFERROR(__xludf.DUMMYFUNCTION("""COMPUTED_VALUE"""),1978.0)</f>
        <v>1978</v>
      </c>
      <c r="E5310">
        <f>IFERROR(__xludf.DUMMYFUNCTION("""COMPUTED_VALUE"""),4758252.0)</f>
        <v>4758252</v>
      </c>
    </row>
    <row r="5311">
      <c r="A5311" t="str">
        <f t="shared" si="1"/>
        <v>fin#1979</v>
      </c>
      <c r="B5311" t="str">
        <f>IFERROR(__xludf.DUMMYFUNCTION("""COMPUTED_VALUE"""),"fin")</f>
        <v>fin</v>
      </c>
      <c r="C5311" t="str">
        <f>IFERROR(__xludf.DUMMYFUNCTION("""COMPUTED_VALUE"""),"Finland")</f>
        <v>Finland</v>
      </c>
      <c r="D5311">
        <f>IFERROR(__xludf.DUMMYFUNCTION("""COMPUTED_VALUE"""),1979.0)</f>
        <v>1979</v>
      </c>
      <c r="E5311">
        <f>IFERROR(__xludf.DUMMYFUNCTION("""COMPUTED_VALUE"""),4771345.0)</f>
        <v>4771345</v>
      </c>
    </row>
    <row r="5312">
      <c r="A5312" t="str">
        <f t="shared" si="1"/>
        <v>fin#1980</v>
      </c>
      <c r="B5312" t="str">
        <f>IFERROR(__xludf.DUMMYFUNCTION("""COMPUTED_VALUE"""),"fin")</f>
        <v>fin</v>
      </c>
      <c r="C5312" t="str">
        <f>IFERROR(__xludf.DUMMYFUNCTION("""COMPUTED_VALUE"""),"Finland")</f>
        <v>Finland</v>
      </c>
      <c r="D5312">
        <f>IFERROR(__xludf.DUMMYFUNCTION("""COMPUTED_VALUE"""),1980.0)</f>
        <v>1980</v>
      </c>
      <c r="E5312">
        <f>IFERROR(__xludf.DUMMYFUNCTION("""COMPUTED_VALUE"""),4788243.0)</f>
        <v>4788243</v>
      </c>
    </row>
    <row r="5313">
      <c r="A5313" t="str">
        <f t="shared" si="1"/>
        <v>fin#1981</v>
      </c>
      <c r="B5313" t="str">
        <f>IFERROR(__xludf.DUMMYFUNCTION("""COMPUTED_VALUE"""),"fin")</f>
        <v>fin</v>
      </c>
      <c r="C5313" t="str">
        <f>IFERROR(__xludf.DUMMYFUNCTION("""COMPUTED_VALUE"""),"Finland")</f>
        <v>Finland</v>
      </c>
      <c r="D5313">
        <f>IFERROR(__xludf.DUMMYFUNCTION("""COMPUTED_VALUE"""),1981.0)</f>
        <v>1981</v>
      </c>
      <c r="E5313">
        <f>IFERROR(__xludf.DUMMYFUNCTION("""COMPUTED_VALUE"""),4809813.0)</f>
        <v>4809813</v>
      </c>
    </row>
    <row r="5314">
      <c r="A5314" t="str">
        <f t="shared" si="1"/>
        <v>fin#1982</v>
      </c>
      <c r="B5314" t="str">
        <f>IFERROR(__xludf.DUMMYFUNCTION("""COMPUTED_VALUE"""),"fin")</f>
        <v>fin</v>
      </c>
      <c r="C5314" t="str">
        <f>IFERROR(__xludf.DUMMYFUNCTION("""COMPUTED_VALUE"""),"Finland")</f>
        <v>Finland</v>
      </c>
      <c r="D5314">
        <f>IFERROR(__xludf.DUMMYFUNCTION("""COMPUTED_VALUE"""),1982.0)</f>
        <v>1982</v>
      </c>
      <c r="E5314">
        <f>IFERROR(__xludf.DUMMYFUNCTION("""COMPUTED_VALUE"""),4835100.0)</f>
        <v>4835100</v>
      </c>
    </row>
    <row r="5315">
      <c r="A5315" t="str">
        <f t="shared" si="1"/>
        <v>fin#1983</v>
      </c>
      <c r="B5315" t="str">
        <f>IFERROR(__xludf.DUMMYFUNCTION("""COMPUTED_VALUE"""),"fin")</f>
        <v>fin</v>
      </c>
      <c r="C5315" t="str">
        <f>IFERROR(__xludf.DUMMYFUNCTION("""COMPUTED_VALUE"""),"Finland")</f>
        <v>Finland</v>
      </c>
      <c r="D5315">
        <f>IFERROR(__xludf.DUMMYFUNCTION("""COMPUTED_VALUE"""),1983.0)</f>
        <v>1983</v>
      </c>
      <c r="E5315">
        <f>IFERROR(__xludf.DUMMYFUNCTION("""COMPUTED_VALUE"""),4862178.0)</f>
        <v>4862178</v>
      </c>
    </row>
    <row r="5316">
      <c r="A5316" t="str">
        <f t="shared" si="1"/>
        <v>fin#1984</v>
      </c>
      <c r="B5316" t="str">
        <f>IFERROR(__xludf.DUMMYFUNCTION("""COMPUTED_VALUE"""),"fin")</f>
        <v>fin</v>
      </c>
      <c r="C5316" t="str">
        <f>IFERROR(__xludf.DUMMYFUNCTION("""COMPUTED_VALUE"""),"Finland")</f>
        <v>Finland</v>
      </c>
      <c r="D5316">
        <f>IFERROR(__xludf.DUMMYFUNCTION("""COMPUTED_VALUE"""),1984.0)</f>
        <v>1984</v>
      </c>
      <c r="E5316">
        <f>IFERROR(__xludf.DUMMYFUNCTION("""COMPUTED_VALUE"""),4888204.0)</f>
        <v>4888204</v>
      </c>
    </row>
    <row r="5317">
      <c r="A5317" t="str">
        <f t="shared" si="1"/>
        <v>fin#1985</v>
      </c>
      <c r="B5317" t="str">
        <f>IFERROR(__xludf.DUMMYFUNCTION("""COMPUTED_VALUE"""),"fin")</f>
        <v>fin</v>
      </c>
      <c r="C5317" t="str">
        <f>IFERROR(__xludf.DUMMYFUNCTION("""COMPUTED_VALUE"""),"Finland")</f>
        <v>Finland</v>
      </c>
      <c r="D5317">
        <f>IFERROR(__xludf.DUMMYFUNCTION("""COMPUTED_VALUE"""),1985.0)</f>
        <v>1985</v>
      </c>
      <c r="E5317">
        <f>IFERROR(__xludf.DUMMYFUNCTION("""COMPUTED_VALUE"""),4911220.0)</f>
        <v>4911220</v>
      </c>
    </row>
    <row r="5318">
      <c r="A5318" t="str">
        <f t="shared" si="1"/>
        <v>fin#1986</v>
      </c>
      <c r="B5318" t="str">
        <f>IFERROR(__xludf.DUMMYFUNCTION("""COMPUTED_VALUE"""),"fin")</f>
        <v>fin</v>
      </c>
      <c r="C5318" t="str">
        <f>IFERROR(__xludf.DUMMYFUNCTION("""COMPUTED_VALUE"""),"Finland")</f>
        <v>Finland</v>
      </c>
      <c r="D5318">
        <f>IFERROR(__xludf.DUMMYFUNCTION("""COMPUTED_VALUE"""),1986.0)</f>
        <v>1986</v>
      </c>
      <c r="E5318">
        <f>IFERROR(__xludf.DUMMYFUNCTION("""COMPUTED_VALUE"""),4930341.0)</f>
        <v>4930341</v>
      </c>
    </row>
    <row r="5319">
      <c r="A5319" t="str">
        <f t="shared" si="1"/>
        <v>fin#1987</v>
      </c>
      <c r="B5319" t="str">
        <f>IFERROR(__xludf.DUMMYFUNCTION("""COMPUTED_VALUE"""),"fin")</f>
        <v>fin</v>
      </c>
      <c r="C5319" t="str">
        <f>IFERROR(__xludf.DUMMYFUNCTION("""COMPUTED_VALUE"""),"Finland")</f>
        <v>Finland</v>
      </c>
      <c r="D5319">
        <f>IFERROR(__xludf.DUMMYFUNCTION("""COMPUTED_VALUE"""),1987.0)</f>
        <v>1987</v>
      </c>
      <c r="E5319">
        <f>IFERROR(__xludf.DUMMYFUNCTION("""COMPUTED_VALUE"""),4946373.0)</f>
        <v>4946373</v>
      </c>
    </row>
    <row r="5320">
      <c r="A5320" t="str">
        <f t="shared" si="1"/>
        <v>fin#1988</v>
      </c>
      <c r="B5320" t="str">
        <f>IFERROR(__xludf.DUMMYFUNCTION("""COMPUTED_VALUE"""),"fin")</f>
        <v>fin</v>
      </c>
      <c r="C5320" t="str">
        <f>IFERROR(__xludf.DUMMYFUNCTION("""COMPUTED_VALUE"""),"Finland")</f>
        <v>Finland</v>
      </c>
      <c r="D5320">
        <f>IFERROR(__xludf.DUMMYFUNCTION("""COMPUTED_VALUE"""),1988.0)</f>
        <v>1988</v>
      </c>
      <c r="E5320">
        <f>IFERROR(__xludf.DUMMYFUNCTION("""COMPUTED_VALUE"""),4961087.0)</f>
        <v>4961087</v>
      </c>
    </row>
    <row r="5321">
      <c r="A5321" t="str">
        <f t="shared" si="1"/>
        <v>fin#1989</v>
      </c>
      <c r="B5321" t="str">
        <f>IFERROR(__xludf.DUMMYFUNCTION("""COMPUTED_VALUE"""),"fin")</f>
        <v>fin</v>
      </c>
      <c r="C5321" t="str">
        <f>IFERROR(__xludf.DUMMYFUNCTION("""COMPUTED_VALUE"""),"Finland")</f>
        <v>Finland</v>
      </c>
      <c r="D5321">
        <f>IFERROR(__xludf.DUMMYFUNCTION("""COMPUTED_VALUE"""),1989.0)</f>
        <v>1989</v>
      </c>
      <c r="E5321">
        <f>IFERROR(__xludf.DUMMYFUNCTION("""COMPUTED_VALUE"""),4977115.0)</f>
        <v>4977115</v>
      </c>
    </row>
    <row r="5322">
      <c r="A5322" t="str">
        <f t="shared" si="1"/>
        <v>fin#1990</v>
      </c>
      <c r="B5322" t="str">
        <f>IFERROR(__xludf.DUMMYFUNCTION("""COMPUTED_VALUE"""),"fin")</f>
        <v>fin</v>
      </c>
      <c r="C5322" t="str">
        <f>IFERROR(__xludf.DUMMYFUNCTION("""COMPUTED_VALUE"""),"Finland")</f>
        <v>Finland</v>
      </c>
      <c r="D5322">
        <f>IFERROR(__xludf.DUMMYFUNCTION("""COMPUTED_VALUE"""),1990.0)</f>
        <v>1990</v>
      </c>
      <c r="E5322">
        <f>IFERROR(__xludf.DUMMYFUNCTION("""COMPUTED_VALUE"""),4996222.0)</f>
        <v>4996222</v>
      </c>
    </row>
    <row r="5323">
      <c r="A5323" t="str">
        <f t="shared" si="1"/>
        <v>fin#1991</v>
      </c>
      <c r="B5323" t="str">
        <f>IFERROR(__xludf.DUMMYFUNCTION("""COMPUTED_VALUE"""),"fin")</f>
        <v>fin</v>
      </c>
      <c r="C5323" t="str">
        <f>IFERROR(__xludf.DUMMYFUNCTION("""COMPUTED_VALUE"""),"Finland")</f>
        <v>Finland</v>
      </c>
      <c r="D5323">
        <f>IFERROR(__xludf.DUMMYFUNCTION("""COMPUTED_VALUE"""),1991.0)</f>
        <v>1991</v>
      </c>
      <c r="E5323">
        <f>IFERROR(__xludf.DUMMYFUNCTION("""COMPUTED_VALUE"""),5019125.0)</f>
        <v>5019125</v>
      </c>
    </row>
    <row r="5324">
      <c r="A5324" t="str">
        <f t="shared" si="1"/>
        <v>fin#1992</v>
      </c>
      <c r="B5324" t="str">
        <f>IFERROR(__xludf.DUMMYFUNCTION("""COMPUTED_VALUE"""),"fin")</f>
        <v>fin</v>
      </c>
      <c r="C5324" t="str">
        <f>IFERROR(__xludf.DUMMYFUNCTION("""COMPUTED_VALUE"""),"Finland")</f>
        <v>Finland</v>
      </c>
      <c r="D5324">
        <f>IFERROR(__xludf.DUMMYFUNCTION("""COMPUTED_VALUE"""),1992.0)</f>
        <v>1992</v>
      </c>
      <c r="E5324">
        <f>IFERROR(__xludf.DUMMYFUNCTION("""COMPUTED_VALUE"""),5044925.0)</f>
        <v>5044925</v>
      </c>
    </row>
    <row r="5325">
      <c r="A5325" t="str">
        <f t="shared" si="1"/>
        <v>fin#1993</v>
      </c>
      <c r="B5325" t="str">
        <f>IFERROR(__xludf.DUMMYFUNCTION("""COMPUTED_VALUE"""),"fin")</f>
        <v>fin</v>
      </c>
      <c r="C5325" t="str">
        <f>IFERROR(__xludf.DUMMYFUNCTION("""COMPUTED_VALUE"""),"Finland")</f>
        <v>Finland</v>
      </c>
      <c r="D5325">
        <f>IFERROR(__xludf.DUMMYFUNCTION("""COMPUTED_VALUE"""),1993.0)</f>
        <v>1993</v>
      </c>
      <c r="E5325">
        <f>IFERROR(__xludf.DUMMYFUNCTION("""COMPUTED_VALUE"""),5071789.0)</f>
        <v>5071789</v>
      </c>
    </row>
    <row r="5326">
      <c r="A5326" t="str">
        <f t="shared" si="1"/>
        <v>fin#1994</v>
      </c>
      <c r="B5326" t="str">
        <f>IFERROR(__xludf.DUMMYFUNCTION("""COMPUTED_VALUE"""),"fin")</f>
        <v>fin</v>
      </c>
      <c r="C5326" t="str">
        <f>IFERROR(__xludf.DUMMYFUNCTION("""COMPUTED_VALUE"""),"Finland")</f>
        <v>Finland</v>
      </c>
      <c r="D5326">
        <f>IFERROR(__xludf.DUMMYFUNCTION("""COMPUTED_VALUE"""),1994.0)</f>
        <v>1994</v>
      </c>
      <c r="E5326">
        <f>IFERROR(__xludf.DUMMYFUNCTION("""COMPUTED_VALUE"""),5097097.0)</f>
        <v>5097097</v>
      </c>
    </row>
    <row r="5327">
      <c r="A5327" t="str">
        <f t="shared" si="1"/>
        <v>fin#1995</v>
      </c>
      <c r="B5327" t="str">
        <f>IFERROR(__xludf.DUMMYFUNCTION("""COMPUTED_VALUE"""),"fin")</f>
        <v>fin</v>
      </c>
      <c r="C5327" t="str">
        <f>IFERROR(__xludf.DUMMYFUNCTION("""COMPUTED_VALUE"""),"Finland")</f>
        <v>Finland</v>
      </c>
      <c r="D5327">
        <f>IFERROR(__xludf.DUMMYFUNCTION("""COMPUTED_VALUE"""),1995.0)</f>
        <v>1995</v>
      </c>
      <c r="E5327">
        <f>IFERROR(__xludf.DUMMYFUNCTION("""COMPUTED_VALUE"""),5119005.0)</f>
        <v>5119005</v>
      </c>
    </row>
    <row r="5328">
      <c r="A5328" t="str">
        <f t="shared" si="1"/>
        <v>fin#1996</v>
      </c>
      <c r="B5328" t="str">
        <f>IFERROR(__xludf.DUMMYFUNCTION("""COMPUTED_VALUE"""),"fin")</f>
        <v>fin</v>
      </c>
      <c r="C5328" t="str">
        <f>IFERROR(__xludf.DUMMYFUNCTION("""COMPUTED_VALUE"""),"Finland")</f>
        <v>Finland</v>
      </c>
      <c r="D5328">
        <f>IFERROR(__xludf.DUMMYFUNCTION("""COMPUTED_VALUE"""),1996.0)</f>
        <v>1996</v>
      </c>
      <c r="E5328">
        <f>IFERROR(__xludf.DUMMYFUNCTION("""COMPUTED_VALUE"""),5136979.0)</f>
        <v>5136979</v>
      </c>
    </row>
    <row r="5329">
      <c r="A5329" t="str">
        <f t="shared" si="1"/>
        <v>fin#1997</v>
      </c>
      <c r="B5329" t="str">
        <f>IFERROR(__xludf.DUMMYFUNCTION("""COMPUTED_VALUE"""),"fin")</f>
        <v>fin</v>
      </c>
      <c r="C5329" t="str">
        <f>IFERROR(__xludf.DUMMYFUNCTION("""COMPUTED_VALUE"""),"Finland")</f>
        <v>Finland</v>
      </c>
      <c r="D5329">
        <f>IFERROR(__xludf.DUMMYFUNCTION("""COMPUTED_VALUE"""),1997.0)</f>
        <v>1997</v>
      </c>
      <c r="E5329">
        <f>IFERROR(__xludf.DUMMYFUNCTION("""COMPUTED_VALUE"""),5151746.0)</f>
        <v>5151746</v>
      </c>
    </row>
    <row r="5330">
      <c r="A5330" t="str">
        <f t="shared" si="1"/>
        <v>fin#1998</v>
      </c>
      <c r="B5330" t="str">
        <f>IFERROR(__xludf.DUMMYFUNCTION("""COMPUTED_VALUE"""),"fin")</f>
        <v>fin</v>
      </c>
      <c r="C5330" t="str">
        <f>IFERROR(__xludf.DUMMYFUNCTION("""COMPUTED_VALUE"""),"Finland")</f>
        <v>Finland</v>
      </c>
      <c r="D5330">
        <f>IFERROR(__xludf.DUMMYFUNCTION("""COMPUTED_VALUE"""),1998.0)</f>
        <v>1998</v>
      </c>
      <c r="E5330">
        <f>IFERROR(__xludf.DUMMYFUNCTION("""COMPUTED_VALUE"""),5164242.0)</f>
        <v>5164242</v>
      </c>
    </row>
    <row r="5331">
      <c r="A5331" t="str">
        <f t="shared" si="1"/>
        <v>fin#1999</v>
      </c>
      <c r="B5331" t="str">
        <f>IFERROR(__xludf.DUMMYFUNCTION("""COMPUTED_VALUE"""),"fin")</f>
        <v>fin</v>
      </c>
      <c r="C5331" t="str">
        <f>IFERROR(__xludf.DUMMYFUNCTION("""COMPUTED_VALUE"""),"Finland")</f>
        <v>Finland</v>
      </c>
      <c r="D5331">
        <f>IFERROR(__xludf.DUMMYFUNCTION("""COMPUTED_VALUE"""),1999.0)</f>
        <v>1999</v>
      </c>
      <c r="E5331">
        <f>IFERROR(__xludf.DUMMYFUNCTION("""COMPUTED_VALUE"""),5175926.0)</f>
        <v>5175926</v>
      </c>
    </row>
    <row r="5332">
      <c r="A5332" t="str">
        <f t="shared" si="1"/>
        <v>fin#2000</v>
      </c>
      <c r="B5332" t="str">
        <f>IFERROR(__xludf.DUMMYFUNCTION("""COMPUTED_VALUE"""),"fin")</f>
        <v>fin</v>
      </c>
      <c r="C5332" t="str">
        <f>IFERROR(__xludf.DUMMYFUNCTION("""COMPUTED_VALUE"""),"Finland")</f>
        <v>Finland</v>
      </c>
      <c r="D5332">
        <f>IFERROR(__xludf.DUMMYFUNCTION("""COMPUTED_VALUE"""),2000.0)</f>
        <v>2000</v>
      </c>
      <c r="E5332">
        <f>IFERROR(__xludf.DUMMYFUNCTION("""COMPUTED_VALUE"""),5187954.0)</f>
        <v>5187954</v>
      </c>
    </row>
    <row r="5333">
      <c r="A5333" t="str">
        <f t="shared" si="1"/>
        <v>fin#2001</v>
      </c>
      <c r="B5333" t="str">
        <f>IFERROR(__xludf.DUMMYFUNCTION("""COMPUTED_VALUE"""),"fin")</f>
        <v>fin</v>
      </c>
      <c r="C5333" t="str">
        <f>IFERROR(__xludf.DUMMYFUNCTION("""COMPUTED_VALUE"""),"Finland")</f>
        <v>Finland</v>
      </c>
      <c r="D5333">
        <f>IFERROR(__xludf.DUMMYFUNCTION("""COMPUTED_VALUE"""),2001.0)</f>
        <v>2001</v>
      </c>
      <c r="E5333">
        <f>IFERROR(__xludf.DUMMYFUNCTION("""COMPUTED_VALUE"""),5200479.0)</f>
        <v>5200479</v>
      </c>
    </row>
    <row r="5334">
      <c r="A5334" t="str">
        <f t="shared" si="1"/>
        <v>fin#2002</v>
      </c>
      <c r="B5334" t="str">
        <f>IFERROR(__xludf.DUMMYFUNCTION("""COMPUTED_VALUE"""),"fin")</f>
        <v>fin</v>
      </c>
      <c r="C5334" t="str">
        <f>IFERROR(__xludf.DUMMYFUNCTION("""COMPUTED_VALUE"""),"Finland")</f>
        <v>Finland</v>
      </c>
      <c r="D5334">
        <f>IFERROR(__xludf.DUMMYFUNCTION("""COMPUTED_VALUE"""),2002.0)</f>
        <v>2002</v>
      </c>
      <c r="E5334">
        <f>IFERROR(__xludf.DUMMYFUNCTION("""COMPUTED_VALUE"""),5213373.0)</f>
        <v>5213373</v>
      </c>
    </row>
    <row r="5335">
      <c r="A5335" t="str">
        <f t="shared" si="1"/>
        <v>fin#2003</v>
      </c>
      <c r="B5335" t="str">
        <f>IFERROR(__xludf.DUMMYFUNCTION("""COMPUTED_VALUE"""),"fin")</f>
        <v>fin</v>
      </c>
      <c r="C5335" t="str">
        <f>IFERROR(__xludf.DUMMYFUNCTION("""COMPUTED_VALUE"""),"Finland")</f>
        <v>Finland</v>
      </c>
      <c r="D5335">
        <f>IFERROR(__xludf.DUMMYFUNCTION("""COMPUTED_VALUE"""),2003.0)</f>
        <v>2003</v>
      </c>
      <c r="E5335">
        <f>IFERROR(__xludf.DUMMYFUNCTION("""COMPUTED_VALUE"""),5227103.0)</f>
        <v>5227103</v>
      </c>
    </row>
    <row r="5336">
      <c r="A5336" t="str">
        <f t="shared" si="1"/>
        <v>fin#2004</v>
      </c>
      <c r="B5336" t="str">
        <f>IFERROR(__xludf.DUMMYFUNCTION("""COMPUTED_VALUE"""),"fin")</f>
        <v>fin</v>
      </c>
      <c r="C5336" t="str">
        <f>IFERROR(__xludf.DUMMYFUNCTION("""COMPUTED_VALUE"""),"Finland")</f>
        <v>Finland</v>
      </c>
      <c r="D5336">
        <f>IFERROR(__xludf.DUMMYFUNCTION("""COMPUTED_VALUE"""),2004.0)</f>
        <v>2004</v>
      </c>
      <c r="E5336">
        <f>IFERROR(__xludf.DUMMYFUNCTION("""COMPUTED_VALUE"""),5242185.0)</f>
        <v>5242185</v>
      </c>
    </row>
    <row r="5337">
      <c r="A5337" t="str">
        <f t="shared" si="1"/>
        <v>fin#2005</v>
      </c>
      <c r="B5337" t="str">
        <f>IFERROR(__xludf.DUMMYFUNCTION("""COMPUTED_VALUE"""),"fin")</f>
        <v>fin</v>
      </c>
      <c r="C5337" t="str">
        <f>IFERROR(__xludf.DUMMYFUNCTION("""COMPUTED_VALUE"""),"Finland")</f>
        <v>Finland</v>
      </c>
      <c r="D5337">
        <f>IFERROR(__xludf.DUMMYFUNCTION("""COMPUTED_VALUE"""),2005.0)</f>
        <v>2005</v>
      </c>
      <c r="E5337">
        <f>IFERROR(__xludf.DUMMYFUNCTION("""COMPUTED_VALUE"""),5258927.0)</f>
        <v>5258927</v>
      </c>
    </row>
    <row r="5338">
      <c r="A5338" t="str">
        <f t="shared" si="1"/>
        <v>fin#2006</v>
      </c>
      <c r="B5338" t="str">
        <f>IFERROR(__xludf.DUMMYFUNCTION("""COMPUTED_VALUE"""),"fin")</f>
        <v>fin</v>
      </c>
      <c r="C5338" t="str">
        <f>IFERROR(__xludf.DUMMYFUNCTION("""COMPUTED_VALUE"""),"Finland")</f>
        <v>Finland</v>
      </c>
      <c r="D5338">
        <f>IFERROR(__xludf.DUMMYFUNCTION("""COMPUTED_VALUE"""),2006.0)</f>
        <v>2006</v>
      </c>
      <c r="E5338">
        <f>IFERROR(__xludf.DUMMYFUNCTION("""COMPUTED_VALUE"""),5277570.0)</f>
        <v>5277570</v>
      </c>
    </row>
    <row r="5339">
      <c r="A5339" t="str">
        <f t="shared" si="1"/>
        <v>fin#2007</v>
      </c>
      <c r="B5339" t="str">
        <f>IFERROR(__xludf.DUMMYFUNCTION("""COMPUTED_VALUE"""),"fin")</f>
        <v>fin</v>
      </c>
      <c r="C5339" t="str">
        <f>IFERROR(__xludf.DUMMYFUNCTION("""COMPUTED_VALUE"""),"Finland")</f>
        <v>Finland</v>
      </c>
      <c r="D5339">
        <f>IFERROR(__xludf.DUMMYFUNCTION("""COMPUTED_VALUE"""),2007.0)</f>
        <v>2007</v>
      </c>
      <c r="E5339">
        <f>IFERROR(__xludf.DUMMYFUNCTION("""COMPUTED_VALUE"""),5298014.0)</f>
        <v>5298014</v>
      </c>
    </row>
    <row r="5340">
      <c r="A5340" t="str">
        <f t="shared" si="1"/>
        <v>fin#2008</v>
      </c>
      <c r="B5340" t="str">
        <f>IFERROR(__xludf.DUMMYFUNCTION("""COMPUTED_VALUE"""),"fin")</f>
        <v>fin</v>
      </c>
      <c r="C5340" t="str">
        <f>IFERROR(__xludf.DUMMYFUNCTION("""COMPUTED_VALUE"""),"Finland")</f>
        <v>Finland</v>
      </c>
      <c r="D5340">
        <f>IFERROR(__xludf.DUMMYFUNCTION("""COMPUTED_VALUE"""),2008.0)</f>
        <v>2008</v>
      </c>
      <c r="E5340">
        <f>IFERROR(__xludf.DUMMYFUNCTION("""COMPUTED_VALUE"""),5319902.0)</f>
        <v>5319902</v>
      </c>
    </row>
    <row r="5341">
      <c r="A5341" t="str">
        <f t="shared" si="1"/>
        <v>fin#2009</v>
      </c>
      <c r="B5341" t="str">
        <f>IFERROR(__xludf.DUMMYFUNCTION("""COMPUTED_VALUE"""),"fin")</f>
        <v>fin</v>
      </c>
      <c r="C5341" t="str">
        <f>IFERROR(__xludf.DUMMYFUNCTION("""COMPUTED_VALUE"""),"Finland")</f>
        <v>Finland</v>
      </c>
      <c r="D5341">
        <f>IFERROR(__xludf.DUMMYFUNCTION("""COMPUTED_VALUE"""),2009.0)</f>
        <v>2009</v>
      </c>
      <c r="E5341">
        <f>IFERROR(__xludf.DUMMYFUNCTION("""COMPUTED_VALUE"""),5342646.0)</f>
        <v>5342646</v>
      </c>
    </row>
    <row r="5342">
      <c r="A5342" t="str">
        <f t="shared" si="1"/>
        <v>fin#2010</v>
      </c>
      <c r="B5342" t="str">
        <f>IFERROR(__xludf.DUMMYFUNCTION("""COMPUTED_VALUE"""),"fin")</f>
        <v>fin</v>
      </c>
      <c r="C5342" t="str">
        <f>IFERROR(__xludf.DUMMYFUNCTION("""COMPUTED_VALUE"""),"Finland")</f>
        <v>Finland</v>
      </c>
      <c r="D5342">
        <f>IFERROR(__xludf.DUMMYFUNCTION("""COMPUTED_VALUE"""),2010.0)</f>
        <v>2010</v>
      </c>
      <c r="E5342">
        <f>IFERROR(__xludf.DUMMYFUNCTION("""COMPUTED_VALUE"""),5365782.0)</f>
        <v>5365782</v>
      </c>
    </row>
    <row r="5343">
      <c r="A5343" t="str">
        <f t="shared" si="1"/>
        <v>fin#2011</v>
      </c>
      <c r="B5343" t="str">
        <f>IFERROR(__xludf.DUMMYFUNCTION("""COMPUTED_VALUE"""),"fin")</f>
        <v>fin</v>
      </c>
      <c r="C5343" t="str">
        <f>IFERROR(__xludf.DUMMYFUNCTION("""COMPUTED_VALUE"""),"Finland")</f>
        <v>Finland</v>
      </c>
      <c r="D5343">
        <f>IFERROR(__xludf.DUMMYFUNCTION("""COMPUTED_VALUE"""),2011.0)</f>
        <v>2011</v>
      </c>
      <c r="E5343">
        <f>IFERROR(__xludf.DUMMYFUNCTION("""COMPUTED_VALUE"""),5389242.0)</f>
        <v>5389242</v>
      </c>
    </row>
    <row r="5344">
      <c r="A5344" t="str">
        <f t="shared" si="1"/>
        <v>fin#2012</v>
      </c>
      <c r="B5344" t="str">
        <f>IFERROR(__xludf.DUMMYFUNCTION("""COMPUTED_VALUE"""),"fin")</f>
        <v>fin</v>
      </c>
      <c r="C5344" t="str">
        <f>IFERROR(__xludf.DUMMYFUNCTION("""COMPUTED_VALUE"""),"Finland")</f>
        <v>Finland</v>
      </c>
      <c r="D5344">
        <f>IFERROR(__xludf.DUMMYFUNCTION("""COMPUTED_VALUE"""),2012.0)</f>
        <v>2012</v>
      </c>
      <c r="E5344">
        <f>IFERROR(__xludf.DUMMYFUNCTION("""COMPUTED_VALUE"""),5412980.0)</f>
        <v>5412980</v>
      </c>
    </row>
    <row r="5345">
      <c r="A5345" t="str">
        <f t="shared" si="1"/>
        <v>fin#2013</v>
      </c>
      <c r="B5345" t="str">
        <f>IFERROR(__xludf.DUMMYFUNCTION("""COMPUTED_VALUE"""),"fin")</f>
        <v>fin</v>
      </c>
      <c r="C5345" t="str">
        <f>IFERROR(__xludf.DUMMYFUNCTION("""COMPUTED_VALUE"""),"Finland")</f>
        <v>Finland</v>
      </c>
      <c r="D5345">
        <f>IFERROR(__xludf.DUMMYFUNCTION("""COMPUTED_VALUE"""),2013.0)</f>
        <v>2013</v>
      </c>
      <c r="E5345">
        <f>IFERROR(__xludf.DUMMYFUNCTION("""COMPUTED_VALUE"""),5436616.0)</f>
        <v>5436616</v>
      </c>
    </row>
    <row r="5346">
      <c r="A5346" t="str">
        <f t="shared" si="1"/>
        <v>fin#2014</v>
      </c>
      <c r="B5346" t="str">
        <f>IFERROR(__xludf.DUMMYFUNCTION("""COMPUTED_VALUE"""),"fin")</f>
        <v>fin</v>
      </c>
      <c r="C5346" t="str">
        <f>IFERROR(__xludf.DUMMYFUNCTION("""COMPUTED_VALUE"""),"Finland")</f>
        <v>Finland</v>
      </c>
      <c r="D5346">
        <f>IFERROR(__xludf.DUMMYFUNCTION("""COMPUTED_VALUE"""),2014.0)</f>
        <v>2014</v>
      </c>
      <c r="E5346">
        <f>IFERROR(__xludf.DUMMYFUNCTION("""COMPUTED_VALUE"""),5459717.0)</f>
        <v>5459717</v>
      </c>
    </row>
    <row r="5347">
      <c r="A5347" t="str">
        <f t="shared" si="1"/>
        <v>fin#2015</v>
      </c>
      <c r="B5347" t="str">
        <f>IFERROR(__xludf.DUMMYFUNCTION("""COMPUTED_VALUE"""),"fin")</f>
        <v>fin</v>
      </c>
      <c r="C5347" t="str">
        <f>IFERROR(__xludf.DUMMYFUNCTION("""COMPUTED_VALUE"""),"Finland")</f>
        <v>Finland</v>
      </c>
      <c r="D5347">
        <f>IFERROR(__xludf.DUMMYFUNCTION("""COMPUTED_VALUE"""),2015.0)</f>
        <v>2015</v>
      </c>
      <c r="E5347">
        <f>IFERROR(__xludf.DUMMYFUNCTION("""COMPUTED_VALUE"""),5481966.0)</f>
        <v>5481966</v>
      </c>
    </row>
    <row r="5348">
      <c r="A5348" t="str">
        <f t="shared" si="1"/>
        <v>fin#2016</v>
      </c>
      <c r="B5348" t="str">
        <f>IFERROR(__xludf.DUMMYFUNCTION("""COMPUTED_VALUE"""),"fin")</f>
        <v>fin</v>
      </c>
      <c r="C5348" t="str">
        <f>IFERROR(__xludf.DUMMYFUNCTION("""COMPUTED_VALUE"""),"Finland")</f>
        <v>Finland</v>
      </c>
      <c r="D5348">
        <f>IFERROR(__xludf.DUMMYFUNCTION("""COMPUTED_VALUE"""),2016.0)</f>
        <v>2016</v>
      </c>
      <c r="E5348">
        <f>IFERROR(__xludf.DUMMYFUNCTION("""COMPUTED_VALUE"""),5503132.0)</f>
        <v>5503132</v>
      </c>
    </row>
    <row r="5349">
      <c r="A5349" t="str">
        <f t="shared" si="1"/>
        <v>fin#2017</v>
      </c>
      <c r="B5349" t="str">
        <f>IFERROR(__xludf.DUMMYFUNCTION("""COMPUTED_VALUE"""),"fin")</f>
        <v>fin</v>
      </c>
      <c r="C5349" t="str">
        <f>IFERROR(__xludf.DUMMYFUNCTION("""COMPUTED_VALUE"""),"Finland")</f>
        <v>Finland</v>
      </c>
      <c r="D5349">
        <f>IFERROR(__xludf.DUMMYFUNCTION("""COMPUTED_VALUE"""),2017.0)</f>
        <v>2017</v>
      </c>
      <c r="E5349">
        <f>IFERROR(__xludf.DUMMYFUNCTION("""COMPUTED_VALUE"""),5523231.0)</f>
        <v>5523231</v>
      </c>
    </row>
    <row r="5350">
      <c r="A5350" t="str">
        <f t="shared" si="1"/>
        <v>fin#2018</v>
      </c>
      <c r="B5350" t="str">
        <f>IFERROR(__xludf.DUMMYFUNCTION("""COMPUTED_VALUE"""),"fin")</f>
        <v>fin</v>
      </c>
      <c r="C5350" t="str">
        <f>IFERROR(__xludf.DUMMYFUNCTION("""COMPUTED_VALUE"""),"Finland")</f>
        <v>Finland</v>
      </c>
      <c r="D5350">
        <f>IFERROR(__xludf.DUMMYFUNCTION("""COMPUTED_VALUE"""),2018.0)</f>
        <v>2018</v>
      </c>
      <c r="E5350">
        <f>IFERROR(__xludf.DUMMYFUNCTION("""COMPUTED_VALUE"""),5542517.0)</f>
        <v>5542517</v>
      </c>
    </row>
    <row r="5351">
      <c r="A5351" t="str">
        <f t="shared" si="1"/>
        <v>fin#2019</v>
      </c>
      <c r="B5351" t="str">
        <f>IFERROR(__xludf.DUMMYFUNCTION("""COMPUTED_VALUE"""),"fin")</f>
        <v>fin</v>
      </c>
      <c r="C5351" t="str">
        <f>IFERROR(__xludf.DUMMYFUNCTION("""COMPUTED_VALUE"""),"Finland")</f>
        <v>Finland</v>
      </c>
      <c r="D5351">
        <f>IFERROR(__xludf.DUMMYFUNCTION("""COMPUTED_VALUE"""),2019.0)</f>
        <v>2019</v>
      </c>
      <c r="E5351">
        <f>IFERROR(__xludf.DUMMYFUNCTION("""COMPUTED_VALUE"""),5561389.0)</f>
        <v>5561389</v>
      </c>
    </row>
    <row r="5352">
      <c r="A5352" t="str">
        <f t="shared" si="1"/>
        <v>fin#2020</v>
      </c>
      <c r="B5352" t="str">
        <f>IFERROR(__xludf.DUMMYFUNCTION("""COMPUTED_VALUE"""),"fin")</f>
        <v>fin</v>
      </c>
      <c r="C5352" t="str">
        <f>IFERROR(__xludf.DUMMYFUNCTION("""COMPUTED_VALUE"""),"Finland")</f>
        <v>Finland</v>
      </c>
      <c r="D5352">
        <f>IFERROR(__xludf.DUMMYFUNCTION("""COMPUTED_VALUE"""),2020.0)</f>
        <v>2020</v>
      </c>
      <c r="E5352">
        <f>IFERROR(__xludf.DUMMYFUNCTION("""COMPUTED_VALUE"""),5580127.0)</f>
        <v>5580127</v>
      </c>
    </row>
    <row r="5353">
      <c r="A5353" t="str">
        <f t="shared" si="1"/>
        <v>fin#2021</v>
      </c>
      <c r="B5353" t="str">
        <f>IFERROR(__xludf.DUMMYFUNCTION("""COMPUTED_VALUE"""),"fin")</f>
        <v>fin</v>
      </c>
      <c r="C5353" t="str">
        <f>IFERROR(__xludf.DUMMYFUNCTION("""COMPUTED_VALUE"""),"Finland")</f>
        <v>Finland</v>
      </c>
      <c r="D5353">
        <f>IFERROR(__xludf.DUMMYFUNCTION("""COMPUTED_VALUE"""),2021.0)</f>
        <v>2021</v>
      </c>
      <c r="E5353">
        <f>IFERROR(__xludf.DUMMYFUNCTION("""COMPUTED_VALUE"""),5598770.0)</f>
        <v>5598770</v>
      </c>
    </row>
    <row r="5354">
      <c r="A5354" t="str">
        <f t="shared" si="1"/>
        <v>fin#2022</v>
      </c>
      <c r="B5354" t="str">
        <f>IFERROR(__xludf.DUMMYFUNCTION("""COMPUTED_VALUE"""),"fin")</f>
        <v>fin</v>
      </c>
      <c r="C5354" t="str">
        <f>IFERROR(__xludf.DUMMYFUNCTION("""COMPUTED_VALUE"""),"Finland")</f>
        <v>Finland</v>
      </c>
      <c r="D5354">
        <f>IFERROR(__xludf.DUMMYFUNCTION("""COMPUTED_VALUE"""),2022.0)</f>
        <v>2022</v>
      </c>
      <c r="E5354">
        <f>IFERROR(__xludf.DUMMYFUNCTION("""COMPUTED_VALUE"""),5617163.0)</f>
        <v>5617163</v>
      </c>
    </row>
    <row r="5355">
      <c r="A5355" t="str">
        <f t="shared" si="1"/>
        <v>fin#2023</v>
      </c>
      <c r="B5355" t="str">
        <f>IFERROR(__xludf.DUMMYFUNCTION("""COMPUTED_VALUE"""),"fin")</f>
        <v>fin</v>
      </c>
      <c r="C5355" t="str">
        <f>IFERROR(__xludf.DUMMYFUNCTION("""COMPUTED_VALUE"""),"Finland")</f>
        <v>Finland</v>
      </c>
      <c r="D5355">
        <f>IFERROR(__xludf.DUMMYFUNCTION("""COMPUTED_VALUE"""),2023.0)</f>
        <v>2023</v>
      </c>
      <c r="E5355">
        <f>IFERROR(__xludf.DUMMYFUNCTION("""COMPUTED_VALUE"""),5635162.0)</f>
        <v>5635162</v>
      </c>
    </row>
    <row r="5356">
      <c r="A5356" t="str">
        <f t="shared" si="1"/>
        <v>fin#2024</v>
      </c>
      <c r="B5356" t="str">
        <f>IFERROR(__xludf.DUMMYFUNCTION("""COMPUTED_VALUE"""),"fin")</f>
        <v>fin</v>
      </c>
      <c r="C5356" t="str">
        <f>IFERROR(__xludf.DUMMYFUNCTION("""COMPUTED_VALUE"""),"Finland")</f>
        <v>Finland</v>
      </c>
      <c r="D5356">
        <f>IFERROR(__xludf.DUMMYFUNCTION("""COMPUTED_VALUE"""),2024.0)</f>
        <v>2024</v>
      </c>
      <c r="E5356">
        <f>IFERROR(__xludf.DUMMYFUNCTION("""COMPUTED_VALUE"""),5652535.0)</f>
        <v>5652535</v>
      </c>
    </row>
    <row r="5357">
      <c r="A5357" t="str">
        <f t="shared" si="1"/>
        <v>fin#2025</v>
      </c>
      <c r="B5357" t="str">
        <f>IFERROR(__xludf.DUMMYFUNCTION("""COMPUTED_VALUE"""),"fin")</f>
        <v>fin</v>
      </c>
      <c r="C5357" t="str">
        <f>IFERROR(__xludf.DUMMYFUNCTION("""COMPUTED_VALUE"""),"Finland")</f>
        <v>Finland</v>
      </c>
      <c r="D5357">
        <f>IFERROR(__xludf.DUMMYFUNCTION("""COMPUTED_VALUE"""),2025.0)</f>
        <v>2025</v>
      </c>
      <c r="E5357">
        <f>IFERROR(__xludf.DUMMYFUNCTION("""COMPUTED_VALUE"""),5669119.0)</f>
        <v>5669119</v>
      </c>
    </row>
    <row r="5358">
      <c r="A5358" t="str">
        <f t="shared" si="1"/>
        <v>fin#2026</v>
      </c>
      <c r="B5358" t="str">
        <f>IFERROR(__xludf.DUMMYFUNCTION("""COMPUTED_VALUE"""),"fin")</f>
        <v>fin</v>
      </c>
      <c r="C5358" t="str">
        <f>IFERROR(__xludf.DUMMYFUNCTION("""COMPUTED_VALUE"""),"Finland")</f>
        <v>Finland</v>
      </c>
      <c r="D5358">
        <f>IFERROR(__xludf.DUMMYFUNCTION("""COMPUTED_VALUE"""),2026.0)</f>
        <v>2026</v>
      </c>
      <c r="E5358">
        <f>IFERROR(__xludf.DUMMYFUNCTION("""COMPUTED_VALUE"""),5684877.0)</f>
        <v>5684877</v>
      </c>
    </row>
    <row r="5359">
      <c r="A5359" t="str">
        <f t="shared" si="1"/>
        <v>fin#2027</v>
      </c>
      <c r="B5359" t="str">
        <f>IFERROR(__xludf.DUMMYFUNCTION("""COMPUTED_VALUE"""),"fin")</f>
        <v>fin</v>
      </c>
      <c r="C5359" t="str">
        <f>IFERROR(__xludf.DUMMYFUNCTION("""COMPUTED_VALUE"""),"Finland")</f>
        <v>Finland</v>
      </c>
      <c r="D5359">
        <f>IFERROR(__xludf.DUMMYFUNCTION("""COMPUTED_VALUE"""),2027.0)</f>
        <v>2027</v>
      </c>
      <c r="E5359">
        <f>IFERROR(__xludf.DUMMYFUNCTION("""COMPUTED_VALUE"""),5699824.0)</f>
        <v>5699824</v>
      </c>
    </row>
    <row r="5360">
      <c r="A5360" t="str">
        <f t="shared" si="1"/>
        <v>fin#2028</v>
      </c>
      <c r="B5360" t="str">
        <f>IFERROR(__xludf.DUMMYFUNCTION("""COMPUTED_VALUE"""),"fin")</f>
        <v>fin</v>
      </c>
      <c r="C5360" t="str">
        <f>IFERROR(__xludf.DUMMYFUNCTION("""COMPUTED_VALUE"""),"Finland")</f>
        <v>Finland</v>
      </c>
      <c r="D5360">
        <f>IFERROR(__xludf.DUMMYFUNCTION("""COMPUTED_VALUE"""),2028.0)</f>
        <v>2028</v>
      </c>
      <c r="E5360">
        <f>IFERROR(__xludf.DUMMYFUNCTION("""COMPUTED_VALUE"""),5713891.0)</f>
        <v>5713891</v>
      </c>
    </row>
    <row r="5361">
      <c r="A5361" t="str">
        <f t="shared" si="1"/>
        <v>fin#2029</v>
      </c>
      <c r="B5361" t="str">
        <f>IFERROR(__xludf.DUMMYFUNCTION("""COMPUTED_VALUE"""),"fin")</f>
        <v>fin</v>
      </c>
      <c r="C5361" t="str">
        <f>IFERROR(__xludf.DUMMYFUNCTION("""COMPUTED_VALUE"""),"Finland")</f>
        <v>Finland</v>
      </c>
      <c r="D5361">
        <f>IFERROR(__xludf.DUMMYFUNCTION("""COMPUTED_VALUE"""),2029.0)</f>
        <v>2029</v>
      </c>
      <c r="E5361">
        <f>IFERROR(__xludf.DUMMYFUNCTION("""COMPUTED_VALUE"""),5726992.0)</f>
        <v>5726992</v>
      </c>
    </row>
    <row r="5362">
      <c r="A5362" t="str">
        <f t="shared" si="1"/>
        <v>fin#2030</v>
      </c>
      <c r="B5362" t="str">
        <f>IFERROR(__xludf.DUMMYFUNCTION("""COMPUTED_VALUE"""),"fin")</f>
        <v>fin</v>
      </c>
      <c r="C5362" t="str">
        <f>IFERROR(__xludf.DUMMYFUNCTION("""COMPUTED_VALUE"""),"Finland")</f>
        <v>Finland</v>
      </c>
      <c r="D5362">
        <f>IFERROR(__xludf.DUMMYFUNCTION("""COMPUTED_VALUE"""),2030.0)</f>
        <v>2030</v>
      </c>
      <c r="E5362">
        <f>IFERROR(__xludf.DUMMYFUNCTION("""COMPUTED_VALUE"""),5739095.0)</f>
        <v>5739095</v>
      </c>
    </row>
    <row r="5363">
      <c r="A5363" t="str">
        <f t="shared" si="1"/>
        <v>fin#2031</v>
      </c>
      <c r="B5363" t="str">
        <f>IFERROR(__xludf.DUMMYFUNCTION("""COMPUTED_VALUE"""),"fin")</f>
        <v>fin</v>
      </c>
      <c r="C5363" t="str">
        <f>IFERROR(__xludf.DUMMYFUNCTION("""COMPUTED_VALUE"""),"Finland")</f>
        <v>Finland</v>
      </c>
      <c r="D5363">
        <f>IFERROR(__xludf.DUMMYFUNCTION("""COMPUTED_VALUE"""),2031.0)</f>
        <v>2031</v>
      </c>
      <c r="E5363">
        <f>IFERROR(__xludf.DUMMYFUNCTION("""COMPUTED_VALUE"""),5750172.0)</f>
        <v>5750172</v>
      </c>
    </row>
    <row r="5364">
      <c r="A5364" t="str">
        <f t="shared" si="1"/>
        <v>fin#2032</v>
      </c>
      <c r="B5364" t="str">
        <f>IFERROR(__xludf.DUMMYFUNCTION("""COMPUTED_VALUE"""),"fin")</f>
        <v>fin</v>
      </c>
      <c r="C5364" t="str">
        <f>IFERROR(__xludf.DUMMYFUNCTION("""COMPUTED_VALUE"""),"Finland")</f>
        <v>Finland</v>
      </c>
      <c r="D5364">
        <f>IFERROR(__xludf.DUMMYFUNCTION("""COMPUTED_VALUE"""),2032.0)</f>
        <v>2032</v>
      </c>
      <c r="E5364">
        <f>IFERROR(__xludf.DUMMYFUNCTION("""COMPUTED_VALUE"""),5760268.0)</f>
        <v>5760268</v>
      </c>
    </row>
    <row r="5365">
      <c r="A5365" t="str">
        <f t="shared" si="1"/>
        <v>fin#2033</v>
      </c>
      <c r="B5365" t="str">
        <f>IFERROR(__xludf.DUMMYFUNCTION("""COMPUTED_VALUE"""),"fin")</f>
        <v>fin</v>
      </c>
      <c r="C5365" t="str">
        <f>IFERROR(__xludf.DUMMYFUNCTION("""COMPUTED_VALUE"""),"Finland")</f>
        <v>Finland</v>
      </c>
      <c r="D5365">
        <f>IFERROR(__xludf.DUMMYFUNCTION("""COMPUTED_VALUE"""),2033.0)</f>
        <v>2033</v>
      </c>
      <c r="E5365">
        <f>IFERROR(__xludf.DUMMYFUNCTION("""COMPUTED_VALUE"""),5769430.0)</f>
        <v>5769430</v>
      </c>
    </row>
    <row r="5366">
      <c r="A5366" t="str">
        <f t="shared" si="1"/>
        <v>fin#2034</v>
      </c>
      <c r="B5366" t="str">
        <f>IFERROR(__xludf.DUMMYFUNCTION("""COMPUTED_VALUE"""),"fin")</f>
        <v>fin</v>
      </c>
      <c r="C5366" t="str">
        <f>IFERROR(__xludf.DUMMYFUNCTION("""COMPUTED_VALUE"""),"Finland")</f>
        <v>Finland</v>
      </c>
      <c r="D5366">
        <f>IFERROR(__xludf.DUMMYFUNCTION("""COMPUTED_VALUE"""),2034.0)</f>
        <v>2034</v>
      </c>
      <c r="E5366">
        <f>IFERROR(__xludf.DUMMYFUNCTION("""COMPUTED_VALUE"""),5777716.0)</f>
        <v>5777716</v>
      </c>
    </row>
    <row r="5367">
      <c r="A5367" t="str">
        <f t="shared" si="1"/>
        <v>fin#2035</v>
      </c>
      <c r="B5367" t="str">
        <f>IFERROR(__xludf.DUMMYFUNCTION("""COMPUTED_VALUE"""),"fin")</f>
        <v>fin</v>
      </c>
      <c r="C5367" t="str">
        <f>IFERROR(__xludf.DUMMYFUNCTION("""COMPUTED_VALUE"""),"Finland")</f>
        <v>Finland</v>
      </c>
      <c r="D5367">
        <f>IFERROR(__xludf.DUMMYFUNCTION("""COMPUTED_VALUE"""),2035.0)</f>
        <v>2035</v>
      </c>
      <c r="E5367">
        <f>IFERROR(__xludf.DUMMYFUNCTION("""COMPUTED_VALUE"""),5785214.0)</f>
        <v>5785214</v>
      </c>
    </row>
    <row r="5368">
      <c r="A5368" t="str">
        <f t="shared" si="1"/>
        <v>fin#2036</v>
      </c>
      <c r="B5368" t="str">
        <f>IFERROR(__xludf.DUMMYFUNCTION("""COMPUTED_VALUE"""),"fin")</f>
        <v>fin</v>
      </c>
      <c r="C5368" t="str">
        <f>IFERROR(__xludf.DUMMYFUNCTION("""COMPUTED_VALUE"""),"Finland")</f>
        <v>Finland</v>
      </c>
      <c r="D5368">
        <f>IFERROR(__xludf.DUMMYFUNCTION("""COMPUTED_VALUE"""),2036.0)</f>
        <v>2036</v>
      </c>
      <c r="E5368">
        <f>IFERROR(__xludf.DUMMYFUNCTION("""COMPUTED_VALUE"""),5791952.0)</f>
        <v>5791952</v>
      </c>
    </row>
    <row r="5369">
      <c r="A5369" t="str">
        <f t="shared" si="1"/>
        <v>fin#2037</v>
      </c>
      <c r="B5369" t="str">
        <f>IFERROR(__xludf.DUMMYFUNCTION("""COMPUTED_VALUE"""),"fin")</f>
        <v>fin</v>
      </c>
      <c r="C5369" t="str">
        <f>IFERROR(__xludf.DUMMYFUNCTION("""COMPUTED_VALUE"""),"Finland")</f>
        <v>Finland</v>
      </c>
      <c r="D5369">
        <f>IFERROR(__xludf.DUMMYFUNCTION("""COMPUTED_VALUE"""),2037.0)</f>
        <v>2037</v>
      </c>
      <c r="E5369">
        <f>IFERROR(__xludf.DUMMYFUNCTION("""COMPUTED_VALUE"""),5798018.0)</f>
        <v>5798018</v>
      </c>
    </row>
    <row r="5370">
      <c r="A5370" t="str">
        <f t="shared" si="1"/>
        <v>fin#2038</v>
      </c>
      <c r="B5370" t="str">
        <f>IFERROR(__xludf.DUMMYFUNCTION("""COMPUTED_VALUE"""),"fin")</f>
        <v>fin</v>
      </c>
      <c r="C5370" t="str">
        <f>IFERROR(__xludf.DUMMYFUNCTION("""COMPUTED_VALUE"""),"Finland")</f>
        <v>Finland</v>
      </c>
      <c r="D5370">
        <f>IFERROR(__xludf.DUMMYFUNCTION("""COMPUTED_VALUE"""),2038.0)</f>
        <v>2038</v>
      </c>
      <c r="E5370">
        <f>IFERROR(__xludf.DUMMYFUNCTION("""COMPUTED_VALUE"""),5803536.0)</f>
        <v>5803536</v>
      </c>
    </row>
    <row r="5371">
      <c r="A5371" t="str">
        <f t="shared" si="1"/>
        <v>fin#2039</v>
      </c>
      <c r="B5371" t="str">
        <f>IFERROR(__xludf.DUMMYFUNCTION("""COMPUTED_VALUE"""),"fin")</f>
        <v>fin</v>
      </c>
      <c r="C5371" t="str">
        <f>IFERROR(__xludf.DUMMYFUNCTION("""COMPUTED_VALUE"""),"Finland")</f>
        <v>Finland</v>
      </c>
      <c r="D5371">
        <f>IFERROR(__xludf.DUMMYFUNCTION("""COMPUTED_VALUE"""),2039.0)</f>
        <v>2039</v>
      </c>
      <c r="E5371">
        <f>IFERROR(__xludf.DUMMYFUNCTION("""COMPUTED_VALUE"""),5808657.0)</f>
        <v>5808657</v>
      </c>
    </row>
    <row r="5372">
      <c r="A5372" t="str">
        <f t="shared" si="1"/>
        <v>fin#2040</v>
      </c>
      <c r="B5372" t="str">
        <f>IFERROR(__xludf.DUMMYFUNCTION("""COMPUTED_VALUE"""),"fin")</f>
        <v>fin</v>
      </c>
      <c r="C5372" t="str">
        <f>IFERROR(__xludf.DUMMYFUNCTION("""COMPUTED_VALUE"""),"Finland")</f>
        <v>Finland</v>
      </c>
      <c r="D5372">
        <f>IFERROR(__xludf.DUMMYFUNCTION("""COMPUTED_VALUE"""),2040.0)</f>
        <v>2040</v>
      </c>
      <c r="E5372">
        <f>IFERROR(__xludf.DUMMYFUNCTION("""COMPUTED_VALUE"""),5813529.0)</f>
        <v>5813529</v>
      </c>
    </row>
    <row r="5373">
      <c r="A5373" t="str">
        <f t="shared" si="1"/>
        <v>fra#1950</v>
      </c>
      <c r="B5373" t="str">
        <f>IFERROR(__xludf.DUMMYFUNCTION("""COMPUTED_VALUE"""),"fra")</f>
        <v>fra</v>
      </c>
      <c r="C5373" t="str">
        <f>IFERROR(__xludf.DUMMYFUNCTION("""COMPUTED_VALUE"""),"France")</f>
        <v>France</v>
      </c>
      <c r="D5373">
        <f>IFERROR(__xludf.DUMMYFUNCTION("""COMPUTED_VALUE"""),1950.0)</f>
        <v>1950</v>
      </c>
      <c r="E5373">
        <f>IFERROR(__xludf.DUMMYFUNCTION("""COMPUTED_VALUE"""),4.1879605E7)</f>
        <v>41879605</v>
      </c>
    </row>
    <row r="5374">
      <c r="A5374" t="str">
        <f t="shared" si="1"/>
        <v>fra#1951</v>
      </c>
      <c r="B5374" t="str">
        <f>IFERROR(__xludf.DUMMYFUNCTION("""COMPUTED_VALUE"""),"fra")</f>
        <v>fra</v>
      </c>
      <c r="C5374" t="str">
        <f>IFERROR(__xludf.DUMMYFUNCTION("""COMPUTED_VALUE"""),"France")</f>
        <v>France</v>
      </c>
      <c r="D5374">
        <f>IFERROR(__xludf.DUMMYFUNCTION("""COMPUTED_VALUE"""),1951.0)</f>
        <v>1951</v>
      </c>
      <c r="E5374">
        <f>IFERROR(__xludf.DUMMYFUNCTION("""COMPUTED_VALUE"""),4.2070919E7)</f>
        <v>42070919</v>
      </c>
    </row>
    <row r="5375">
      <c r="A5375" t="str">
        <f t="shared" si="1"/>
        <v>fra#1952</v>
      </c>
      <c r="B5375" t="str">
        <f>IFERROR(__xludf.DUMMYFUNCTION("""COMPUTED_VALUE"""),"fra")</f>
        <v>fra</v>
      </c>
      <c r="C5375" t="str">
        <f>IFERROR(__xludf.DUMMYFUNCTION("""COMPUTED_VALUE"""),"France")</f>
        <v>France</v>
      </c>
      <c r="D5375">
        <f>IFERROR(__xludf.DUMMYFUNCTION("""COMPUTED_VALUE"""),1952.0)</f>
        <v>1952</v>
      </c>
      <c r="E5375">
        <f>IFERROR(__xludf.DUMMYFUNCTION("""COMPUTED_VALUE"""),4.2365579E7)</f>
        <v>42365579</v>
      </c>
    </row>
    <row r="5376">
      <c r="A5376" t="str">
        <f t="shared" si="1"/>
        <v>fra#1953</v>
      </c>
      <c r="B5376" t="str">
        <f>IFERROR(__xludf.DUMMYFUNCTION("""COMPUTED_VALUE"""),"fra")</f>
        <v>fra</v>
      </c>
      <c r="C5376" t="str">
        <f>IFERROR(__xludf.DUMMYFUNCTION("""COMPUTED_VALUE"""),"France")</f>
        <v>France</v>
      </c>
      <c r="D5376">
        <f>IFERROR(__xludf.DUMMYFUNCTION("""COMPUTED_VALUE"""),1953.0)</f>
        <v>1953</v>
      </c>
      <c r="E5376">
        <f>IFERROR(__xludf.DUMMYFUNCTION("""COMPUTED_VALUE"""),4.2724223E7)</f>
        <v>42724223</v>
      </c>
    </row>
    <row r="5377">
      <c r="A5377" t="str">
        <f t="shared" si="1"/>
        <v>fra#1954</v>
      </c>
      <c r="B5377" t="str">
        <f>IFERROR(__xludf.DUMMYFUNCTION("""COMPUTED_VALUE"""),"fra")</f>
        <v>fra</v>
      </c>
      <c r="C5377" t="str">
        <f>IFERROR(__xludf.DUMMYFUNCTION("""COMPUTED_VALUE"""),"France")</f>
        <v>France</v>
      </c>
      <c r="D5377">
        <f>IFERROR(__xludf.DUMMYFUNCTION("""COMPUTED_VALUE"""),1954.0)</f>
        <v>1954</v>
      </c>
      <c r="E5377">
        <f>IFERROR(__xludf.DUMMYFUNCTION("""COMPUTED_VALUE"""),4.3117846E7)</f>
        <v>43117846</v>
      </c>
    </row>
    <row r="5378">
      <c r="A5378" t="str">
        <f t="shared" si="1"/>
        <v>fra#1955</v>
      </c>
      <c r="B5378" t="str">
        <f>IFERROR(__xludf.DUMMYFUNCTION("""COMPUTED_VALUE"""),"fra")</f>
        <v>fra</v>
      </c>
      <c r="C5378" t="str">
        <f>IFERROR(__xludf.DUMMYFUNCTION("""COMPUTED_VALUE"""),"France")</f>
        <v>France</v>
      </c>
      <c r="D5378">
        <f>IFERROR(__xludf.DUMMYFUNCTION("""COMPUTED_VALUE"""),1955.0)</f>
        <v>1955</v>
      </c>
      <c r="E5378">
        <f>IFERROR(__xludf.DUMMYFUNCTION("""COMPUTED_VALUE"""),4.3527762E7)</f>
        <v>43527762</v>
      </c>
    </row>
    <row r="5379">
      <c r="A5379" t="str">
        <f t="shared" si="1"/>
        <v>fra#1956</v>
      </c>
      <c r="B5379" t="str">
        <f>IFERROR(__xludf.DUMMYFUNCTION("""COMPUTED_VALUE"""),"fra")</f>
        <v>fra</v>
      </c>
      <c r="C5379" t="str">
        <f>IFERROR(__xludf.DUMMYFUNCTION("""COMPUTED_VALUE"""),"France")</f>
        <v>France</v>
      </c>
      <c r="D5379">
        <f>IFERROR(__xludf.DUMMYFUNCTION("""COMPUTED_VALUE"""),1956.0)</f>
        <v>1956</v>
      </c>
      <c r="E5379">
        <f>IFERROR(__xludf.DUMMYFUNCTION("""COMPUTED_VALUE"""),4.3946212E7)</f>
        <v>43946212</v>
      </c>
    </row>
    <row r="5380">
      <c r="A5380" t="str">
        <f t="shared" si="1"/>
        <v>fra#1957</v>
      </c>
      <c r="B5380" t="str">
        <f>IFERROR(__xludf.DUMMYFUNCTION("""COMPUTED_VALUE"""),"fra")</f>
        <v>fra</v>
      </c>
      <c r="C5380" t="str">
        <f>IFERROR(__xludf.DUMMYFUNCTION("""COMPUTED_VALUE"""),"France")</f>
        <v>France</v>
      </c>
      <c r="D5380">
        <f>IFERROR(__xludf.DUMMYFUNCTION("""COMPUTED_VALUE"""),1957.0)</f>
        <v>1957</v>
      </c>
      <c r="E5380">
        <f>IFERROR(__xludf.DUMMYFUNCTION("""COMPUTED_VALUE"""),4.4375735E7)</f>
        <v>44375735</v>
      </c>
    </row>
    <row r="5381">
      <c r="A5381" t="str">
        <f t="shared" si="1"/>
        <v>fra#1958</v>
      </c>
      <c r="B5381" t="str">
        <f>IFERROR(__xludf.DUMMYFUNCTION("""COMPUTED_VALUE"""),"fra")</f>
        <v>fra</v>
      </c>
      <c r="C5381" t="str">
        <f>IFERROR(__xludf.DUMMYFUNCTION("""COMPUTED_VALUE"""),"France")</f>
        <v>France</v>
      </c>
      <c r="D5381">
        <f>IFERROR(__xludf.DUMMYFUNCTION("""COMPUTED_VALUE"""),1958.0)</f>
        <v>1958</v>
      </c>
      <c r="E5381">
        <f>IFERROR(__xludf.DUMMYFUNCTION("""COMPUTED_VALUE"""),4.482761E7)</f>
        <v>44827610</v>
      </c>
    </row>
    <row r="5382">
      <c r="A5382" t="str">
        <f t="shared" si="1"/>
        <v>fra#1959</v>
      </c>
      <c r="B5382" t="str">
        <f>IFERROR(__xludf.DUMMYFUNCTION("""COMPUTED_VALUE"""),"fra")</f>
        <v>fra</v>
      </c>
      <c r="C5382" t="str">
        <f>IFERROR(__xludf.DUMMYFUNCTION("""COMPUTED_VALUE"""),"France")</f>
        <v>France</v>
      </c>
      <c r="D5382">
        <f>IFERROR(__xludf.DUMMYFUNCTION("""COMPUTED_VALUE"""),1959.0)</f>
        <v>1959</v>
      </c>
      <c r="E5382">
        <f>IFERROR(__xludf.DUMMYFUNCTION("""COMPUTED_VALUE"""),4.531911E7)</f>
        <v>45319110</v>
      </c>
    </row>
    <row r="5383">
      <c r="A5383" t="str">
        <f t="shared" si="1"/>
        <v>fra#1960</v>
      </c>
      <c r="B5383" t="str">
        <f>IFERROR(__xludf.DUMMYFUNCTION("""COMPUTED_VALUE"""),"fra")</f>
        <v>fra</v>
      </c>
      <c r="C5383" t="str">
        <f>IFERROR(__xludf.DUMMYFUNCTION("""COMPUTED_VALUE"""),"France")</f>
        <v>France</v>
      </c>
      <c r="D5383">
        <f>IFERROR(__xludf.DUMMYFUNCTION("""COMPUTED_VALUE"""),1960.0)</f>
        <v>1960</v>
      </c>
      <c r="E5383">
        <f>IFERROR(__xludf.DUMMYFUNCTION("""COMPUTED_VALUE"""),4.5865396E7)</f>
        <v>45865396</v>
      </c>
    </row>
    <row r="5384">
      <c r="A5384" t="str">
        <f t="shared" si="1"/>
        <v>fra#1961</v>
      </c>
      <c r="B5384" t="str">
        <f>IFERROR(__xludf.DUMMYFUNCTION("""COMPUTED_VALUE"""),"fra")</f>
        <v>fra</v>
      </c>
      <c r="C5384" t="str">
        <f>IFERROR(__xludf.DUMMYFUNCTION("""COMPUTED_VALUE"""),"France")</f>
        <v>France</v>
      </c>
      <c r="D5384">
        <f>IFERROR(__xludf.DUMMYFUNCTION("""COMPUTED_VALUE"""),1961.0)</f>
        <v>1961</v>
      </c>
      <c r="E5384">
        <f>IFERROR(__xludf.DUMMYFUNCTION("""COMPUTED_VALUE"""),4.6470824E7)</f>
        <v>46470824</v>
      </c>
    </row>
    <row r="5385">
      <c r="A5385" t="str">
        <f t="shared" si="1"/>
        <v>fra#1962</v>
      </c>
      <c r="B5385" t="str">
        <f>IFERROR(__xludf.DUMMYFUNCTION("""COMPUTED_VALUE"""),"fra")</f>
        <v>fra</v>
      </c>
      <c r="C5385" t="str">
        <f>IFERROR(__xludf.DUMMYFUNCTION("""COMPUTED_VALUE"""),"France")</f>
        <v>France</v>
      </c>
      <c r="D5385">
        <f>IFERROR(__xludf.DUMMYFUNCTION("""COMPUTED_VALUE"""),1962.0)</f>
        <v>1962</v>
      </c>
      <c r="E5385">
        <f>IFERROR(__xludf.DUMMYFUNCTION("""COMPUTED_VALUE"""),4.7121382E7)</f>
        <v>47121382</v>
      </c>
    </row>
    <row r="5386">
      <c r="A5386" t="str">
        <f t="shared" si="1"/>
        <v>fra#1963</v>
      </c>
      <c r="B5386" t="str">
        <f>IFERROR(__xludf.DUMMYFUNCTION("""COMPUTED_VALUE"""),"fra")</f>
        <v>fra</v>
      </c>
      <c r="C5386" t="str">
        <f>IFERROR(__xludf.DUMMYFUNCTION("""COMPUTED_VALUE"""),"France")</f>
        <v>France</v>
      </c>
      <c r="D5386">
        <f>IFERROR(__xludf.DUMMYFUNCTION("""COMPUTED_VALUE"""),1963.0)</f>
        <v>1963</v>
      </c>
      <c r="E5386">
        <f>IFERROR(__xludf.DUMMYFUNCTION("""COMPUTED_VALUE"""),4.7781402E7)</f>
        <v>47781402</v>
      </c>
    </row>
    <row r="5387">
      <c r="A5387" t="str">
        <f t="shared" si="1"/>
        <v>fra#1964</v>
      </c>
      <c r="B5387" t="str">
        <f>IFERROR(__xludf.DUMMYFUNCTION("""COMPUTED_VALUE"""),"fra")</f>
        <v>fra</v>
      </c>
      <c r="C5387" t="str">
        <f>IFERROR(__xludf.DUMMYFUNCTION("""COMPUTED_VALUE"""),"France")</f>
        <v>France</v>
      </c>
      <c r="D5387">
        <f>IFERROR(__xludf.DUMMYFUNCTION("""COMPUTED_VALUE"""),1964.0)</f>
        <v>1964</v>
      </c>
      <c r="E5387">
        <f>IFERROR(__xludf.DUMMYFUNCTION("""COMPUTED_VALUE"""),4.8402837E7)</f>
        <v>48402837</v>
      </c>
    </row>
    <row r="5388">
      <c r="A5388" t="str">
        <f t="shared" si="1"/>
        <v>fra#1965</v>
      </c>
      <c r="B5388" t="str">
        <f>IFERROR(__xludf.DUMMYFUNCTION("""COMPUTED_VALUE"""),"fra")</f>
        <v>fra</v>
      </c>
      <c r="C5388" t="str">
        <f>IFERROR(__xludf.DUMMYFUNCTION("""COMPUTED_VALUE"""),"France")</f>
        <v>France</v>
      </c>
      <c r="D5388">
        <f>IFERROR(__xludf.DUMMYFUNCTION("""COMPUTED_VALUE"""),1965.0)</f>
        <v>1965</v>
      </c>
      <c r="E5388">
        <f>IFERROR(__xludf.DUMMYFUNCTION("""COMPUTED_VALUE"""),4.8952255E7)</f>
        <v>48952255</v>
      </c>
    </row>
    <row r="5389">
      <c r="A5389" t="str">
        <f t="shared" si="1"/>
        <v>fra#1966</v>
      </c>
      <c r="B5389" t="str">
        <f>IFERROR(__xludf.DUMMYFUNCTION("""COMPUTED_VALUE"""),"fra")</f>
        <v>fra</v>
      </c>
      <c r="C5389" t="str">
        <f>IFERROR(__xludf.DUMMYFUNCTION("""COMPUTED_VALUE"""),"France")</f>
        <v>France</v>
      </c>
      <c r="D5389">
        <f>IFERROR(__xludf.DUMMYFUNCTION("""COMPUTED_VALUE"""),1966.0)</f>
        <v>1966</v>
      </c>
      <c r="E5389">
        <f>IFERROR(__xludf.DUMMYFUNCTION("""COMPUTED_VALUE"""),4.9411387E7)</f>
        <v>49411387</v>
      </c>
    </row>
    <row r="5390">
      <c r="A5390" t="str">
        <f t="shared" si="1"/>
        <v>fra#1967</v>
      </c>
      <c r="B5390" t="str">
        <f>IFERROR(__xludf.DUMMYFUNCTION("""COMPUTED_VALUE"""),"fra")</f>
        <v>fra</v>
      </c>
      <c r="C5390" t="str">
        <f>IFERROR(__xludf.DUMMYFUNCTION("""COMPUTED_VALUE"""),"France")</f>
        <v>France</v>
      </c>
      <c r="D5390">
        <f>IFERROR(__xludf.DUMMYFUNCTION("""COMPUTED_VALUE"""),1967.0)</f>
        <v>1967</v>
      </c>
      <c r="E5390">
        <f>IFERROR(__xludf.DUMMYFUNCTION("""COMPUTED_VALUE"""),4.9791935E7)</f>
        <v>49791935</v>
      </c>
    </row>
    <row r="5391">
      <c r="A5391" t="str">
        <f t="shared" si="1"/>
        <v>fra#1968</v>
      </c>
      <c r="B5391" t="str">
        <f>IFERROR(__xludf.DUMMYFUNCTION("""COMPUTED_VALUE"""),"fra")</f>
        <v>fra</v>
      </c>
      <c r="C5391" t="str">
        <f>IFERROR(__xludf.DUMMYFUNCTION("""COMPUTED_VALUE"""),"France")</f>
        <v>France</v>
      </c>
      <c r="D5391">
        <f>IFERROR(__xludf.DUMMYFUNCTION("""COMPUTED_VALUE"""),1968.0)</f>
        <v>1968</v>
      </c>
      <c r="E5391">
        <f>IFERROR(__xludf.DUMMYFUNCTION("""COMPUTED_VALUE"""),5.0127143E7)</f>
        <v>50127143</v>
      </c>
    </row>
    <row r="5392">
      <c r="A5392" t="str">
        <f t="shared" si="1"/>
        <v>fra#1969</v>
      </c>
      <c r="B5392" t="str">
        <f>IFERROR(__xludf.DUMMYFUNCTION("""COMPUTED_VALUE"""),"fra")</f>
        <v>fra</v>
      </c>
      <c r="C5392" t="str">
        <f>IFERROR(__xludf.DUMMYFUNCTION("""COMPUTED_VALUE"""),"France")</f>
        <v>France</v>
      </c>
      <c r="D5392">
        <f>IFERROR(__xludf.DUMMYFUNCTION("""COMPUTED_VALUE"""),1969.0)</f>
        <v>1969</v>
      </c>
      <c r="E5392">
        <f>IFERROR(__xludf.DUMMYFUNCTION("""COMPUTED_VALUE"""),5.0466394E7)</f>
        <v>50466394</v>
      </c>
    </row>
    <row r="5393">
      <c r="A5393" t="str">
        <f t="shared" si="1"/>
        <v>fra#1970</v>
      </c>
      <c r="B5393" t="str">
        <f>IFERROR(__xludf.DUMMYFUNCTION("""COMPUTED_VALUE"""),"fra")</f>
        <v>fra</v>
      </c>
      <c r="C5393" t="str">
        <f>IFERROR(__xludf.DUMMYFUNCTION("""COMPUTED_VALUE"""),"France")</f>
        <v>France</v>
      </c>
      <c r="D5393">
        <f>IFERROR(__xludf.DUMMYFUNCTION("""COMPUTED_VALUE"""),1970.0)</f>
        <v>1970</v>
      </c>
      <c r="E5393">
        <f>IFERROR(__xludf.DUMMYFUNCTION("""COMPUTED_VALUE"""),5.0843829E7)</f>
        <v>50843829</v>
      </c>
    </row>
    <row r="5394">
      <c r="A5394" t="str">
        <f t="shared" si="1"/>
        <v>fra#1971</v>
      </c>
      <c r="B5394" t="str">
        <f>IFERROR(__xludf.DUMMYFUNCTION("""COMPUTED_VALUE"""),"fra")</f>
        <v>fra</v>
      </c>
      <c r="C5394" t="str">
        <f>IFERROR(__xludf.DUMMYFUNCTION("""COMPUTED_VALUE"""),"France")</f>
        <v>France</v>
      </c>
      <c r="D5394">
        <f>IFERROR(__xludf.DUMMYFUNCTION("""COMPUTED_VALUE"""),1971.0)</f>
        <v>1971</v>
      </c>
      <c r="E5394">
        <f>IFERROR(__xludf.DUMMYFUNCTION("""COMPUTED_VALUE"""),5.127347E7)</f>
        <v>51273470</v>
      </c>
    </row>
    <row r="5395">
      <c r="A5395" t="str">
        <f t="shared" si="1"/>
        <v>fra#1972</v>
      </c>
      <c r="B5395" t="str">
        <f>IFERROR(__xludf.DUMMYFUNCTION("""COMPUTED_VALUE"""),"fra")</f>
        <v>fra</v>
      </c>
      <c r="C5395" t="str">
        <f>IFERROR(__xludf.DUMMYFUNCTION("""COMPUTED_VALUE"""),"France")</f>
        <v>France</v>
      </c>
      <c r="D5395">
        <f>IFERROR(__xludf.DUMMYFUNCTION("""COMPUTED_VALUE"""),1972.0)</f>
        <v>1972</v>
      </c>
      <c r="E5395">
        <f>IFERROR(__xludf.DUMMYFUNCTION("""COMPUTED_VALUE"""),5.1739837E7)</f>
        <v>51739837</v>
      </c>
    </row>
    <row r="5396">
      <c r="A5396" t="str">
        <f t="shared" si="1"/>
        <v>fra#1973</v>
      </c>
      <c r="B5396" t="str">
        <f>IFERROR(__xludf.DUMMYFUNCTION("""COMPUTED_VALUE"""),"fra")</f>
        <v>fra</v>
      </c>
      <c r="C5396" t="str">
        <f>IFERROR(__xludf.DUMMYFUNCTION("""COMPUTED_VALUE"""),"France")</f>
        <v>France</v>
      </c>
      <c r="D5396">
        <f>IFERROR(__xludf.DUMMYFUNCTION("""COMPUTED_VALUE"""),1973.0)</f>
        <v>1973</v>
      </c>
      <c r="E5396">
        <f>IFERROR(__xludf.DUMMYFUNCTION("""COMPUTED_VALUE"""),5.2212314E7)</f>
        <v>52212314</v>
      </c>
    </row>
    <row r="5397">
      <c r="A5397" t="str">
        <f t="shared" si="1"/>
        <v>fra#1974</v>
      </c>
      <c r="B5397" t="str">
        <f>IFERROR(__xludf.DUMMYFUNCTION("""COMPUTED_VALUE"""),"fra")</f>
        <v>fra</v>
      </c>
      <c r="C5397" t="str">
        <f>IFERROR(__xludf.DUMMYFUNCTION("""COMPUTED_VALUE"""),"France")</f>
        <v>France</v>
      </c>
      <c r="D5397">
        <f>IFERROR(__xludf.DUMMYFUNCTION("""COMPUTED_VALUE"""),1974.0)</f>
        <v>1974</v>
      </c>
      <c r="E5397">
        <f>IFERROR(__xludf.DUMMYFUNCTION("""COMPUTED_VALUE"""),5.2646198E7)</f>
        <v>52646198</v>
      </c>
    </row>
    <row r="5398">
      <c r="A5398" t="str">
        <f t="shared" si="1"/>
        <v>fra#1975</v>
      </c>
      <c r="B5398" t="str">
        <f>IFERROR(__xludf.DUMMYFUNCTION("""COMPUTED_VALUE"""),"fra")</f>
        <v>fra</v>
      </c>
      <c r="C5398" t="str">
        <f>IFERROR(__xludf.DUMMYFUNCTION("""COMPUTED_VALUE"""),"France")</f>
        <v>France</v>
      </c>
      <c r="D5398">
        <f>IFERROR(__xludf.DUMMYFUNCTION("""COMPUTED_VALUE"""),1975.0)</f>
        <v>1975</v>
      </c>
      <c r="E5398">
        <f>IFERROR(__xludf.DUMMYFUNCTION("""COMPUTED_VALUE"""),5.301073E7)</f>
        <v>53010730</v>
      </c>
    </row>
    <row r="5399">
      <c r="A5399" t="str">
        <f t="shared" si="1"/>
        <v>fra#1976</v>
      </c>
      <c r="B5399" t="str">
        <f>IFERROR(__xludf.DUMMYFUNCTION("""COMPUTED_VALUE"""),"fra")</f>
        <v>fra</v>
      </c>
      <c r="C5399" t="str">
        <f>IFERROR(__xludf.DUMMYFUNCTION("""COMPUTED_VALUE"""),"France")</f>
        <v>France</v>
      </c>
      <c r="D5399">
        <f>IFERROR(__xludf.DUMMYFUNCTION("""COMPUTED_VALUE"""),1976.0)</f>
        <v>1976</v>
      </c>
      <c r="E5399">
        <f>IFERROR(__xludf.DUMMYFUNCTION("""COMPUTED_VALUE"""),5.3295791E7)</f>
        <v>53295791</v>
      </c>
    </row>
    <row r="5400">
      <c r="A5400" t="str">
        <f t="shared" si="1"/>
        <v>fra#1977</v>
      </c>
      <c r="B5400" t="str">
        <f>IFERROR(__xludf.DUMMYFUNCTION("""COMPUTED_VALUE"""),"fra")</f>
        <v>fra</v>
      </c>
      <c r="C5400" t="str">
        <f>IFERROR(__xludf.DUMMYFUNCTION("""COMPUTED_VALUE"""),"France")</f>
        <v>France</v>
      </c>
      <c r="D5400">
        <f>IFERROR(__xludf.DUMMYFUNCTION("""COMPUTED_VALUE"""),1977.0)</f>
        <v>1977</v>
      </c>
      <c r="E5400">
        <f>IFERROR(__xludf.DUMMYFUNCTION("""COMPUTED_VALUE"""),5.3516213E7)</f>
        <v>53516213</v>
      </c>
    </row>
    <row r="5401">
      <c r="A5401" t="str">
        <f t="shared" si="1"/>
        <v>fra#1978</v>
      </c>
      <c r="B5401" t="str">
        <f>IFERROR(__xludf.DUMMYFUNCTION("""COMPUTED_VALUE"""),"fra")</f>
        <v>fra</v>
      </c>
      <c r="C5401" t="str">
        <f>IFERROR(__xludf.DUMMYFUNCTION("""COMPUTED_VALUE"""),"France")</f>
        <v>France</v>
      </c>
      <c r="D5401">
        <f>IFERROR(__xludf.DUMMYFUNCTION("""COMPUTED_VALUE"""),1978.0)</f>
        <v>1978</v>
      </c>
      <c r="E5401">
        <f>IFERROR(__xludf.DUMMYFUNCTION("""COMPUTED_VALUE"""),5.3696453E7)</f>
        <v>53696453</v>
      </c>
    </row>
    <row r="5402">
      <c r="A5402" t="str">
        <f t="shared" si="1"/>
        <v>fra#1979</v>
      </c>
      <c r="B5402" t="str">
        <f>IFERROR(__xludf.DUMMYFUNCTION("""COMPUTED_VALUE"""),"fra")</f>
        <v>fra</v>
      </c>
      <c r="C5402" t="str">
        <f>IFERROR(__xludf.DUMMYFUNCTION("""COMPUTED_VALUE"""),"France")</f>
        <v>France</v>
      </c>
      <c r="D5402">
        <f>IFERROR(__xludf.DUMMYFUNCTION("""COMPUTED_VALUE"""),1979.0)</f>
        <v>1979</v>
      </c>
      <c r="E5402">
        <f>IFERROR(__xludf.DUMMYFUNCTION("""COMPUTED_VALUE"""),5.3872444E7)</f>
        <v>53872444</v>
      </c>
    </row>
    <row r="5403">
      <c r="A5403" t="str">
        <f t="shared" si="1"/>
        <v>fra#1980</v>
      </c>
      <c r="B5403" t="str">
        <f>IFERROR(__xludf.DUMMYFUNCTION("""COMPUTED_VALUE"""),"fra")</f>
        <v>fra</v>
      </c>
      <c r="C5403" t="str">
        <f>IFERROR(__xludf.DUMMYFUNCTION("""COMPUTED_VALUE"""),"France")</f>
        <v>France</v>
      </c>
      <c r="D5403">
        <f>IFERROR(__xludf.DUMMYFUNCTION("""COMPUTED_VALUE"""),1980.0)</f>
        <v>1980</v>
      </c>
      <c r="E5403">
        <f>IFERROR(__xludf.DUMMYFUNCTION("""COMPUTED_VALUE"""),5.4070817E7)</f>
        <v>54070817</v>
      </c>
    </row>
    <row r="5404">
      <c r="A5404" t="str">
        <f t="shared" si="1"/>
        <v>fra#1981</v>
      </c>
      <c r="B5404" t="str">
        <f>IFERROR(__xludf.DUMMYFUNCTION("""COMPUTED_VALUE"""),"fra")</f>
        <v>fra</v>
      </c>
      <c r="C5404" t="str">
        <f>IFERROR(__xludf.DUMMYFUNCTION("""COMPUTED_VALUE"""),"France")</f>
        <v>France</v>
      </c>
      <c r="D5404">
        <f>IFERROR(__xludf.DUMMYFUNCTION("""COMPUTED_VALUE"""),1981.0)</f>
        <v>1981</v>
      </c>
      <c r="E5404">
        <f>IFERROR(__xludf.DUMMYFUNCTION("""COMPUTED_VALUE"""),5.4298045E7)</f>
        <v>54298045</v>
      </c>
    </row>
    <row r="5405">
      <c r="A5405" t="str">
        <f t="shared" si="1"/>
        <v>fra#1982</v>
      </c>
      <c r="B5405" t="str">
        <f>IFERROR(__xludf.DUMMYFUNCTION("""COMPUTED_VALUE"""),"fra")</f>
        <v>fra</v>
      </c>
      <c r="C5405" t="str">
        <f>IFERROR(__xludf.DUMMYFUNCTION("""COMPUTED_VALUE"""),"France")</f>
        <v>France</v>
      </c>
      <c r="D5405">
        <f>IFERROR(__xludf.DUMMYFUNCTION("""COMPUTED_VALUE"""),1982.0)</f>
        <v>1982</v>
      </c>
      <c r="E5405">
        <f>IFERROR(__xludf.DUMMYFUNCTION("""COMPUTED_VALUE"""),5.4547688E7)</f>
        <v>54547688</v>
      </c>
    </row>
    <row r="5406">
      <c r="A5406" t="str">
        <f t="shared" si="1"/>
        <v>fra#1983</v>
      </c>
      <c r="B5406" t="str">
        <f>IFERROR(__xludf.DUMMYFUNCTION("""COMPUTED_VALUE"""),"fra")</f>
        <v>fra</v>
      </c>
      <c r="C5406" t="str">
        <f>IFERROR(__xludf.DUMMYFUNCTION("""COMPUTED_VALUE"""),"France")</f>
        <v>France</v>
      </c>
      <c r="D5406">
        <f>IFERROR(__xludf.DUMMYFUNCTION("""COMPUTED_VALUE"""),1983.0)</f>
        <v>1983</v>
      </c>
      <c r="E5406">
        <f>IFERROR(__xludf.DUMMYFUNCTION("""COMPUTED_VALUE"""),5.4817832E7)</f>
        <v>54817832</v>
      </c>
    </row>
    <row r="5407">
      <c r="A5407" t="str">
        <f t="shared" si="1"/>
        <v>fra#1984</v>
      </c>
      <c r="B5407" t="str">
        <f>IFERROR(__xludf.DUMMYFUNCTION("""COMPUTED_VALUE"""),"fra")</f>
        <v>fra</v>
      </c>
      <c r="C5407" t="str">
        <f>IFERROR(__xludf.DUMMYFUNCTION("""COMPUTED_VALUE"""),"France")</f>
        <v>France</v>
      </c>
      <c r="D5407">
        <f>IFERROR(__xludf.DUMMYFUNCTION("""COMPUTED_VALUE"""),1984.0)</f>
        <v>1984</v>
      </c>
      <c r="E5407">
        <f>IFERROR(__xludf.DUMMYFUNCTION("""COMPUTED_VALUE"""),5.5102743E7)</f>
        <v>55102743</v>
      </c>
    </row>
    <row r="5408">
      <c r="A5408" t="str">
        <f t="shared" si="1"/>
        <v>fra#1985</v>
      </c>
      <c r="B5408" t="str">
        <f>IFERROR(__xludf.DUMMYFUNCTION("""COMPUTED_VALUE"""),"fra")</f>
        <v>fra</v>
      </c>
      <c r="C5408" t="str">
        <f>IFERROR(__xludf.DUMMYFUNCTION("""COMPUTED_VALUE"""),"France")</f>
        <v>France</v>
      </c>
      <c r="D5408">
        <f>IFERROR(__xludf.DUMMYFUNCTION("""COMPUTED_VALUE"""),1985.0)</f>
        <v>1985</v>
      </c>
      <c r="E5408">
        <f>IFERROR(__xludf.DUMMYFUNCTION("""COMPUTED_VALUE"""),5.5397482E7)</f>
        <v>55397482</v>
      </c>
    </row>
    <row r="5409">
      <c r="A5409" t="str">
        <f t="shared" si="1"/>
        <v>fra#1986</v>
      </c>
      <c r="B5409" t="str">
        <f>IFERROR(__xludf.DUMMYFUNCTION("""COMPUTED_VALUE"""),"fra")</f>
        <v>fra</v>
      </c>
      <c r="C5409" t="str">
        <f>IFERROR(__xludf.DUMMYFUNCTION("""COMPUTED_VALUE"""),"France")</f>
        <v>France</v>
      </c>
      <c r="D5409">
        <f>IFERROR(__xludf.DUMMYFUNCTION("""COMPUTED_VALUE"""),1986.0)</f>
        <v>1986</v>
      </c>
      <c r="E5409">
        <f>IFERROR(__xludf.DUMMYFUNCTION("""COMPUTED_VALUE"""),5.5704494E7)</f>
        <v>55704494</v>
      </c>
    </row>
    <row r="5410">
      <c r="A5410" t="str">
        <f t="shared" si="1"/>
        <v>fra#1987</v>
      </c>
      <c r="B5410" t="str">
        <f>IFERROR(__xludf.DUMMYFUNCTION("""COMPUTED_VALUE"""),"fra")</f>
        <v>fra</v>
      </c>
      <c r="C5410" t="str">
        <f>IFERROR(__xludf.DUMMYFUNCTION("""COMPUTED_VALUE"""),"France")</f>
        <v>France</v>
      </c>
      <c r="D5410">
        <f>IFERROR(__xludf.DUMMYFUNCTION("""COMPUTED_VALUE"""),1987.0)</f>
        <v>1987</v>
      </c>
      <c r="E5410">
        <f>IFERROR(__xludf.DUMMYFUNCTION("""COMPUTED_VALUE"""),5.6024508E7)</f>
        <v>56024508</v>
      </c>
    </row>
    <row r="5411">
      <c r="A5411" t="str">
        <f t="shared" si="1"/>
        <v>fra#1988</v>
      </c>
      <c r="B5411" t="str">
        <f>IFERROR(__xludf.DUMMYFUNCTION("""COMPUTED_VALUE"""),"fra")</f>
        <v>fra</v>
      </c>
      <c r="C5411" t="str">
        <f>IFERROR(__xludf.DUMMYFUNCTION("""COMPUTED_VALUE"""),"France")</f>
        <v>France</v>
      </c>
      <c r="D5411">
        <f>IFERROR(__xludf.DUMMYFUNCTION("""COMPUTED_VALUE"""),1988.0)</f>
        <v>1988</v>
      </c>
      <c r="E5411">
        <f>IFERROR(__xludf.DUMMYFUNCTION("""COMPUTED_VALUE"""),5.6348214E7)</f>
        <v>56348214</v>
      </c>
    </row>
    <row r="5412">
      <c r="A5412" t="str">
        <f t="shared" si="1"/>
        <v>fra#1989</v>
      </c>
      <c r="B5412" t="str">
        <f>IFERROR(__xludf.DUMMYFUNCTION("""COMPUTED_VALUE"""),"fra")</f>
        <v>fra</v>
      </c>
      <c r="C5412" t="str">
        <f>IFERROR(__xludf.DUMMYFUNCTION("""COMPUTED_VALUE"""),"France")</f>
        <v>France</v>
      </c>
      <c r="D5412">
        <f>IFERROR(__xludf.DUMMYFUNCTION("""COMPUTED_VALUE"""),1989.0)</f>
        <v>1989</v>
      </c>
      <c r="E5412">
        <f>IFERROR(__xludf.DUMMYFUNCTION("""COMPUTED_VALUE"""),5.6663204E7)</f>
        <v>56663204</v>
      </c>
    </row>
    <row r="5413">
      <c r="A5413" t="str">
        <f t="shared" si="1"/>
        <v>fra#1990</v>
      </c>
      <c r="B5413" t="str">
        <f>IFERROR(__xludf.DUMMYFUNCTION("""COMPUTED_VALUE"""),"fra")</f>
        <v>fra</v>
      </c>
      <c r="C5413" t="str">
        <f>IFERROR(__xludf.DUMMYFUNCTION("""COMPUTED_VALUE"""),"France")</f>
        <v>France</v>
      </c>
      <c r="D5413">
        <f>IFERROR(__xludf.DUMMYFUNCTION("""COMPUTED_VALUE"""),1990.0)</f>
        <v>1990</v>
      </c>
      <c r="E5413">
        <f>IFERROR(__xludf.DUMMYFUNCTION("""COMPUTED_VALUE"""),5.6960835E7)</f>
        <v>56960835</v>
      </c>
    </row>
    <row r="5414">
      <c r="A5414" t="str">
        <f t="shared" si="1"/>
        <v>fra#1991</v>
      </c>
      <c r="B5414" t="str">
        <f>IFERROR(__xludf.DUMMYFUNCTION("""COMPUTED_VALUE"""),"fra")</f>
        <v>fra</v>
      </c>
      <c r="C5414" t="str">
        <f>IFERROR(__xludf.DUMMYFUNCTION("""COMPUTED_VALUE"""),"France")</f>
        <v>France</v>
      </c>
      <c r="D5414">
        <f>IFERROR(__xludf.DUMMYFUNCTION("""COMPUTED_VALUE"""),1991.0)</f>
        <v>1991</v>
      </c>
      <c r="E5414">
        <f>IFERROR(__xludf.DUMMYFUNCTION("""COMPUTED_VALUE"""),5.7237702E7)</f>
        <v>57237702</v>
      </c>
    </row>
    <row r="5415">
      <c r="A5415" t="str">
        <f t="shared" si="1"/>
        <v>fra#1992</v>
      </c>
      <c r="B5415" t="str">
        <f>IFERROR(__xludf.DUMMYFUNCTION("""COMPUTED_VALUE"""),"fra")</f>
        <v>fra</v>
      </c>
      <c r="C5415" t="str">
        <f>IFERROR(__xludf.DUMMYFUNCTION("""COMPUTED_VALUE"""),"France")</f>
        <v>France</v>
      </c>
      <c r="D5415">
        <f>IFERROR(__xludf.DUMMYFUNCTION("""COMPUTED_VALUE"""),1992.0)</f>
        <v>1992</v>
      </c>
      <c r="E5415">
        <f>IFERROR(__xludf.DUMMYFUNCTION("""COMPUTED_VALUE"""),5.7496974E7)</f>
        <v>57496974</v>
      </c>
    </row>
    <row r="5416">
      <c r="A5416" t="str">
        <f t="shared" si="1"/>
        <v>fra#1993</v>
      </c>
      <c r="B5416" t="str">
        <f>IFERROR(__xludf.DUMMYFUNCTION("""COMPUTED_VALUE"""),"fra")</f>
        <v>fra</v>
      </c>
      <c r="C5416" t="str">
        <f>IFERROR(__xludf.DUMMYFUNCTION("""COMPUTED_VALUE"""),"France")</f>
        <v>France</v>
      </c>
      <c r="D5416">
        <f>IFERROR(__xludf.DUMMYFUNCTION("""COMPUTED_VALUE"""),1993.0)</f>
        <v>1993</v>
      </c>
      <c r="E5416">
        <f>IFERROR(__xludf.DUMMYFUNCTION("""COMPUTED_VALUE"""),5.774482E7)</f>
        <v>57744820</v>
      </c>
    </row>
    <row r="5417">
      <c r="A5417" t="str">
        <f t="shared" si="1"/>
        <v>fra#1994</v>
      </c>
      <c r="B5417" t="str">
        <f>IFERROR(__xludf.DUMMYFUNCTION("""COMPUTED_VALUE"""),"fra")</f>
        <v>fra</v>
      </c>
      <c r="C5417" t="str">
        <f>IFERROR(__xludf.DUMMYFUNCTION("""COMPUTED_VALUE"""),"France")</f>
        <v>France</v>
      </c>
      <c r="D5417">
        <f>IFERROR(__xludf.DUMMYFUNCTION("""COMPUTED_VALUE"""),1994.0)</f>
        <v>1994</v>
      </c>
      <c r="E5417">
        <f>IFERROR(__xludf.DUMMYFUNCTION("""COMPUTED_VALUE"""),5.7990661E7)</f>
        <v>57990661</v>
      </c>
    </row>
    <row r="5418">
      <c r="A5418" t="str">
        <f t="shared" si="1"/>
        <v>fra#1995</v>
      </c>
      <c r="B5418" t="str">
        <f>IFERROR(__xludf.DUMMYFUNCTION("""COMPUTED_VALUE"""),"fra")</f>
        <v>fra</v>
      </c>
      <c r="C5418" t="str">
        <f>IFERROR(__xludf.DUMMYFUNCTION("""COMPUTED_VALUE"""),"France")</f>
        <v>France</v>
      </c>
      <c r="D5418">
        <f>IFERROR(__xludf.DUMMYFUNCTION("""COMPUTED_VALUE"""),1995.0)</f>
        <v>1995</v>
      </c>
      <c r="E5418">
        <f>IFERROR(__xludf.DUMMYFUNCTION("""COMPUTED_VALUE"""),5.8241791E7)</f>
        <v>58241791</v>
      </c>
    </row>
    <row r="5419">
      <c r="A5419" t="str">
        <f t="shared" si="1"/>
        <v>fra#1996</v>
      </c>
      <c r="B5419" t="str">
        <f>IFERROR(__xludf.DUMMYFUNCTION("""COMPUTED_VALUE"""),"fra")</f>
        <v>fra</v>
      </c>
      <c r="C5419" t="str">
        <f>IFERROR(__xludf.DUMMYFUNCTION("""COMPUTED_VALUE"""),"France")</f>
        <v>France</v>
      </c>
      <c r="D5419">
        <f>IFERROR(__xludf.DUMMYFUNCTION("""COMPUTED_VALUE"""),1996.0)</f>
        <v>1996</v>
      </c>
      <c r="E5419">
        <f>IFERROR(__xludf.DUMMYFUNCTION("""COMPUTED_VALUE"""),5.8499689E7)</f>
        <v>58499689</v>
      </c>
    </row>
    <row r="5420">
      <c r="A5420" t="str">
        <f t="shared" si="1"/>
        <v>fra#1997</v>
      </c>
      <c r="B5420" t="str">
        <f>IFERROR(__xludf.DUMMYFUNCTION("""COMPUTED_VALUE"""),"fra")</f>
        <v>fra</v>
      </c>
      <c r="C5420" t="str">
        <f>IFERROR(__xludf.DUMMYFUNCTION("""COMPUTED_VALUE"""),"France")</f>
        <v>France</v>
      </c>
      <c r="D5420">
        <f>IFERROR(__xludf.DUMMYFUNCTION("""COMPUTED_VALUE"""),1997.0)</f>
        <v>1997</v>
      </c>
      <c r="E5420">
        <f>IFERROR(__xludf.DUMMYFUNCTION("""COMPUTED_VALUE"""),5.8763395E7)</f>
        <v>58763395</v>
      </c>
    </row>
    <row r="5421">
      <c r="A5421" t="str">
        <f t="shared" si="1"/>
        <v>fra#1998</v>
      </c>
      <c r="B5421" t="str">
        <f>IFERROR(__xludf.DUMMYFUNCTION("""COMPUTED_VALUE"""),"fra")</f>
        <v>fra</v>
      </c>
      <c r="C5421" t="str">
        <f>IFERROR(__xludf.DUMMYFUNCTION("""COMPUTED_VALUE"""),"France")</f>
        <v>France</v>
      </c>
      <c r="D5421">
        <f>IFERROR(__xludf.DUMMYFUNCTION("""COMPUTED_VALUE"""),1998.0)</f>
        <v>1998</v>
      </c>
      <c r="E5421">
        <f>IFERROR(__xludf.DUMMYFUNCTION("""COMPUTED_VALUE"""),5.9034921E7)</f>
        <v>59034921</v>
      </c>
    </row>
    <row r="5422">
      <c r="A5422" t="str">
        <f t="shared" si="1"/>
        <v>fra#1999</v>
      </c>
      <c r="B5422" t="str">
        <f>IFERROR(__xludf.DUMMYFUNCTION("""COMPUTED_VALUE"""),"fra")</f>
        <v>fra</v>
      </c>
      <c r="C5422" t="str">
        <f>IFERROR(__xludf.DUMMYFUNCTION("""COMPUTED_VALUE"""),"France")</f>
        <v>France</v>
      </c>
      <c r="D5422">
        <f>IFERROR(__xludf.DUMMYFUNCTION("""COMPUTED_VALUE"""),1999.0)</f>
        <v>1999</v>
      </c>
      <c r="E5422">
        <f>IFERROR(__xludf.DUMMYFUNCTION("""COMPUTED_VALUE"""),5.9316107E7)</f>
        <v>59316107</v>
      </c>
    </row>
    <row r="5423">
      <c r="A5423" t="str">
        <f t="shared" si="1"/>
        <v>fra#2000</v>
      </c>
      <c r="B5423" t="str">
        <f>IFERROR(__xludf.DUMMYFUNCTION("""COMPUTED_VALUE"""),"fra")</f>
        <v>fra</v>
      </c>
      <c r="C5423" t="str">
        <f>IFERROR(__xludf.DUMMYFUNCTION("""COMPUTED_VALUE"""),"France")</f>
        <v>France</v>
      </c>
      <c r="D5423">
        <f>IFERROR(__xludf.DUMMYFUNCTION("""COMPUTED_VALUE"""),2000.0)</f>
        <v>2000</v>
      </c>
      <c r="E5423">
        <f>IFERROR(__xludf.DUMMYFUNCTION("""COMPUTED_VALUE"""),5.9608201E7)</f>
        <v>59608201</v>
      </c>
    </row>
    <row r="5424">
      <c r="A5424" t="str">
        <f t="shared" si="1"/>
        <v>fra#2001</v>
      </c>
      <c r="B5424" t="str">
        <f>IFERROR(__xludf.DUMMYFUNCTION("""COMPUTED_VALUE"""),"fra")</f>
        <v>fra</v>
      </c>
      <c r="C5424" t="str">
        <f>IFERROR(__xludf.DUMMYFUNCTION("""COMPUTED_VALUE"""),"France")</f>
        <v>France</v>
      </c>
      <c r="D5424">
        <f>IFERROR(__xludf.DUMMYFUNCTION("""COMPUTED_VALUE"""),2001.0)</f>
        <v>2001</v>
      </c>
      <c r="E5424">
        <f>IFERROR(__xludf.DUMMYFUNCTION("""COMPUTED_VALUE"""),5.9911252E7)</f>
        <v>59911252</v>
      </c>
    </row>
    <row r="5425">
      <c r="A5425" t="str">
        <f t="shared" si="1"/>
        <v>fra#2002</v>
      </c>
      <c r="B5425" t="str">
        <f>IFERROR(__xludf.DUMMYFUNCTION("""COMPUTED_VALUE"""),"fra")</f>
        <v>fra</v>
      </c>
      <c r="C5425" t="str">
        <f>IFERROR(__xludf.DUMMYFUNCTION("""COMPUTED_VALUE"""),"France")</f>
        <v>France</v>
      </c>
      <c r="D5425">
        <f>IFERROR(__xludf.DUMMYFUNCTION("""COMPUTED_VALUE"""),2002.0)</f>
        <v>2002</v>
      </c>
      <c r="E5425">
        <f>IFERROR(__xludf.DUMMYFUNCTION("""COMPUTED_VALUE"""),6.0225076E7)</f>
        <v>60225076</v>
      </c>
    </row>
    <row r="5426">
      <c r="A5426" t="str">
        <f t="shared" si="1"/>
        <v>fra#2003</v>
      </c>
      <c r="B5426" t="str">
        <f>IFERROR(__xludf.DUMMYFUNCTION("""COMPUTED_VALUE"""),"fra")</f>
        <v>fra</v>
      </c>
      <c r="C5426" t="str">
        <f>IFERROR(__xludf.DUMMYFUNCTION("""COMPUTED_VALUE"""),"France")</f>
        <v>France</v>
      </c>
      <c r="D5426">
        <f>IFERROR(__xludf.DUMMYFUNCTION("""COMPUTED_VALUE"""),2003.0)</f>
        <v>2003</v>
      </c>
      <c r="E5426">
        <f>IFERROR(__xludf.DUMMYFUNCTION("""COMPUTED_VALUE"""),6.0550097E7)</f>
        <v>60550097</v>
      </c>
    </row>
    <row r="5427">
      <c r="A5427" t="str">
        <f t="shared" si="1"/>
        <v>fra#2004</v>
      </c>
      <c r="B5427" t="str">
        <f>IFERROR(__xludf.DUMMYFUNCTION("""COMPUTED_VALUE"""),"fra")</f>
        <v>fra</v>
      </c>
      <c r="C5427" t="str">
        <f>IFERROR(__xludf.DUMMYFUNCTION("""COMPUTED_VALUE"""),"France")</f>
        <v>France</v>
      </c>
      <c r="D5427">
        <f>IFERROR(__xludf.DUMMYFUNCTION("""COMPUTED_VALUE"""),2004.0)</f>
        <v>2004</v>
      </c>
      <c r="E5427">
        <f>IFERROR(__xludf.DUMMYFUNCTION("""COMPUTED_VALUE"""),6.0886607E7)</f>
        <v>60886607</v>
      </c>
    </row>
    <row r="5428">
      <c r="A5428" t="str">
        <f t="shared" si="1"/>
        <v>fra#2005</v>
      </c>
      <c r="B5428" t="str">
        <f>IFERROR(__xludf.DUMMYFUNCTION("""COMPUTED_VALUE"""),"fra")</f>
        <v>fra</v>
      </c>
      <c r="C5428" t="str">
        <f>IFERROR(__xludf.DUMMYFUNCTION("""COMPUTED_VALUE"""),"France")</f>
        <v>France</v>
      </c>
      <c r="D5428">
        <f>IFERROR(__xludf.DUMMYFUNCTION("""COMPUTED_VALUE"""),2005.0)</f>
        <v>2005</v>
      </c>
      <c r="E5428">
        <f>IFERROR(__xludf.DUMMYFUNCTION("""COMPUTED_VALUE"""),6.12339E7)</f>
        <v>61233900</v>
      </c>
    </row>
    <row r="5429">
      <c r="A5429" t="str">
        <f t="shared" si="1"/>
        <v>fra#2006</v>
      </c>
      <c r="B5429" t="str">
        <f>IFERROR(__xludf.DUMMYFUNCTION("""COMPUTED_VALUE"""),"fra")</f>
        <v>fra</v>
      </c>
      <c r="C5429" t="str">
        <f>IFERROR(__xludf.DUMMYFUNCTION("""COMPUTED_VALUE"""),"France")</f>
        <v>France</v>
      </c>
      <c r="D5429">
        <f>IFERROR(__xludf.DUMMYFUNCTION("""COMPUTED_VALUE"""),2006.0)</f>
        <v>2006</v>
      </c>
      <c r="E5429">
        <f>IFERROR(__xludf.DUMMYFUNCTION("""COMPUTED_VALUE"""),6.1592884E7)</f>
        <v>61592884</v>
      </c>
    </row>
    <row r="5430">
      <c r="A5430" t="str">
        <f t="shared" si="1"/>
        <v>fra#2007</v>
      </c>
      <c r="B5430" t="str">
        <f>IFERROR(__xludf.DUMMYFUNCTION("""COMPUTED_VALUE"""),"fra")</f>
        <v>fra</v>
      </c>
      <c r="C5430" t="str">
        <f>IFERROR(__xludf.DUMMYFUNCTION("""COMPUTED_VALUE"""),"France")</f>
        <v>France</v>
      </c>
      <c r="D5430">
        <f>IFERROR(__xludf.DUMMYFUNCTION("""COMPUTED_VALUE"""),2007.0)</f>
        <v>2007</v>
      </c>
      <c r="E5430">
        <f>IFERROR(__xludf.DUMMYFUNCTION("""COMPUTED_VALUE"""),6.196095E7)</f>
        <v>61960950</v>
      </c>
    </row>
    <row r="5431">
      <c r="A5431" t="str">
        <f t="shared" si="1"/>
        <v>fra#2008</v>
      </c>
      <c r="B5431" t="str">
        <f>IFERROR(__xludf.DUMMYFUNCTION("""COMPUTED_VALUE"""),"fra")</f>
        <v>fra</v>
      </c>
      <c r="C5431" t="str">
        <f>IFERROR(__xludf.DUMMYFUNCTION("""COMPUTED_VALUE"""),"France")</f>
        <v>France</v>
      </c>
      <c r="D5431">
        <f>IFERROR(__xludf.DUMMYFUNCTION("""COMPUTED_VALUE"""),2008.0)</f>
        <v>2008</v>
      </c>
      <c r="E5431">
        <f>IFERROR(__xludf.DUMMYFUNCTION("""COMPUTED_VALUE"""),6.2329567E7)</f>
        <v>62329567</v>
      </c>
    </row>
    <row r="5432">
      <c r="A5432" t="str">
        <f t="shared" si="1"/>
        <v>fra#2009</v>
      </c>
      <c r="B5432" t="str">
        <f>IFERROR(__xludf.DUMMYFUNCTION("""COMPUTED_VALUE"""),"fra")</f>
        <v>fra</v>
      </c>
      <c r="C5432" t="str">
        <f>IFERROR(__xludf.DUMMYFUNCTION("""COMPUTED_VALUE"""),"France")</f>
        <v>France</v>
      </c>
      <c r="D5432">
        <f>IFERROR(__xludf.DUMMYFUNCTION("""COMPUTED_VALUE"""),2009.0)</f>
        <v>2009</v>
      </c>
      <c r="E5432">
        <f>IFERROR(__xludf.DUMMYFUNCTION("""COMPUTED_VALUE"""),6.2687521E7)</f>
        <v>62687521</v>
      </c>
    </row>
    <row r="5433">
      <c r="A5433" t="str">
        <f t="shared" si="1"/>
        <v>fra#2010</v>
      </c>
      <c r="B5433" t="str">
        <f>IFERROR(__xludf.DUMMYFUNCTION("""COMPUTED_VALUE"""),"fra")</f>
        <v>fra</v>
      </c>
      <c r="C5433" t="str">
        <f>IFERROR(__xludf.DUMMYFUNCTION("""COMPUTED_VALUE"""),"France")</f>
        <v>France</v>
      </c>
      <c r="D5433">
        <f>IFERROR(__xludf.DUMMYFUNCTION("""COMPUTED_VALUE"""),2010.0)</f>
        <v>2010</v>
      </c>
      <c r="E5433">
        <f>IFERROR(__xludf.DUMMYFUNCTION("""COMPUTED_VALUE"""),6.302674E7)</f>
        <v>63026740</v>
      </c>
    </row>
    <row r="5434">
      <c r="A5434" t="str">
        <f t="shared" si="1"/>
        <v>fra#2011</v>
      </c>
      <c r="B5434" t="str">
        <f>IFERROR(__xludf.DUMMYFUNCTION("""COMPUTED_VALUE"""),"fra")</f>
        <v>fra</v>
      </c>
      <c r="C5434" t="str">
        <f>IFERROR(__xludf.DUMMYFUNCTION("""COMPUTED_VALUE"""),"France")</f>
        <v>France</v>
      </c>
      <c r="D5434">
        <f>IFERROR(__xludf.DUMMYFUNCTION("""COMPUTED_VALUE"""),2011.0)</f>
        <v>2011</v>
      </c>
      <c r="E5434">
        <f>IFERROR(__xludf.DUMMYFUNCTION("""COMPUTED_VALUE"""),6.3343577E7)</f>
        <v>63343577</v>
      </c>
    </row>
    <row r="5435">
      <c r="A5435" t="str">
        <f t="shared" si="1"/>
        <v>fra#2012</v>
      </c>
      <c r="B5435" t="str">
        <f>IFERROR(__xludf.DUMMYFUNCTION("""COMPUTED_VALUE"""),"fra")</f>
        <v>fra</v>
      </c>
      <c r="C5435" t="str">
        <f>IFERROR(__xludf.DUMMYFUNCTION("""COMPUTED_VALUE"""),"France")</f>
        <v>France</v>
      </c>
      <c r="D5435">
        <f>IFERROR(__xludf.DUMMYFUNCTION("""COMPUTED_VALUE"""),2012.0)</f>
        <v>2012</v>
      </c>
      <c r="E5435">
        <f>IFERROR(__xludf.DUMMYFUNCTION("""COMPUTED_VALUE"""),6.3639873E7)</f>
        <v>63639873</v>
      </c>
    </row>
    <row r="5436">
      <c r="A5436" t="str">
        <f t="shared" si="1"/>
        <v>fra#2013</v>
      </c>
      <c r="B5436" t="str">
        <f>IFERROR(__xludf.DUMMYFUNCTION("""COMPUTED_VALUE"""),"fra")</f>
        <v>fra</v>
      </c>
      <c r="C5436" t="str">
        <f>IFERROR(__xludf.DUMMYFUNCTION("""COMPUTED_VALUE"""),"France")</f>
        <v>France</v>
      </c>
      <c r="D5436">
        <f>IFERROR(__xludf.DUMMYFUNCTION("""COMPUTED_VALUE"""),2013.0)</f>
        <v>2013</v>
      </c>
      <c r="E5436">
        <f>IFERROR(__xludf.DUMMYFUNCTION("""COMPUTED_VALUE"""),6.3919917E7)</f>
        <v>63919917</v>
      </c>
    </row>
    <row r="5437">
      <c r="A5437" t="str">
        <f t="shared" si="1"/>
        <v>fra#2014</v>
      </c>
      <c r="B5437" t="str">
        <f>IFERROR(__xludf.DUMMYFUNCTION("""COMPUTED_VALUE"""),"fra")</f>
        <v>fra</v>
      </c>
      <c r="C5437" t="str">
        <f>IFERROR(__xludf.DUMMYFUNCTION("""COMPUTED_VALUE"""),"France")</f>
        <v>France</v>
      </c>
      <c r="D5437">
        <f>IFERROR(__xludf.DUMMYFUNCTION("""COMPUTED_VALUE"""),2014.0)</f>
        <v>2014</v>
      </c>
      <c r="E5437">
        <f>IFERROR(__xludf.DUMMYFUNCTION("""COMPUTED_VALUE"""),6.4190638E7)</f>
        <v>64190638</v>
      </c>
    </row>
    <row r="5438">
      <c r="A5438" t="str">
        <f t="shared" si="1"/>
        <v>fra#2015</v>
      </c>
      <c r="B5438" t="str">
        <f>IFERROR(__xludf.DUMMYFUNCTION("""COMPUTED_VALUE"""),"fra")</f>
        <v>fra</v>
      </c>
      <c r="C5438" t="str">
        <f>IFERROR(__xludf.DUMMYFUNCTION("""COMPUTED_VALUE"""),"France")</f>
        <v>France</v>
      </c>
      <c r="D5438">
        <f>IFERROR(__xludf.DUMMYFUNCTION("""COMPUTED_VALUE"""),2015.0)</f>
        <v>2015</v>
      </c>
      <c r="E5438">
        <f>IFERROR(__xludf.DUMMYFUNCTION("""COMPUTED_VALUE"""),6.4457201E7)</f>
        <v>64457201</v>
      </c>
    </row>
    <row r="5439">
      <c r="A5439" t="str">
        <f t="shared" si="1"/>
        <v>fra#2016</v>
      </c>
      <c r="B5439" t="str">
        <f>IFERROR(__xludf.DUMMYFUNCTION("""COMPUTED_VALUE"""),"fra")</f>
        <v>fra</v>
      </c>
      <c r="C5439" t="str">
        <f>IFERROR(__xludf.DUMMYFUNCTION("""COMPUTED_VALUE"""),"France")</f>
        <v>France</v>
      </c>
      <c r="D5439">
        <f>IFERROR(__xludf.DUMMYFUNCTION("""COMPUTED_VALUE"""),2016.0)</f>
        <v>2016</v>
      </c>
      <c r="E5439">
        <f>IFERROR(__xludf.DUMMYFUNCTION("""COMPUTED_VALUE"""),6.472069E7)</f>
        <v>64720690</v>
      </c>
    </row>
    <row r="5440">
      <c r="A5440" t="str">
        <f t="shared" si="1"/>
        <v>fra#2017</v>
      </c>
      <c r="B5440" t="str">
        <f>IFERROR(__xludf.DUMMYFUNCTION("""COMPUTED_VALUE"""),"fra")</f>
        <v>fra</v>
      </c>
      <c r="C5440" t="str">
        <f>IFERROR(__xludf.DUMMYFUNCTION("""COMPUTED_VALUE"""),"France")</f>
        <v>France</v>
      </c>
      <c r="D5440">
        <f>IFERROR(__xludf.DUMMYFUNCTION("""COMPUTED_VALUE"""),2017.0)</f>
        <v>2017</v>
      </c>
      <c r="E5440">
        <f>IFERROR(__xludf.DUMMYFUNCTION("""COMPUTED_VALUE"""),6.4979548E7)</f>
        <v>64979548</v>
      </c>
    </row>
    <row r="5441">
      <c r="A5441" t="str">
        <f t="shared" si="1"/>
        <v>fra#2018</v>
      </c>
      <c r="B5441" t="str">
        <f>IFERROR(__xludf.DUMMYFUNCTION("""COMPUTED_VALUE"""),"fra")</f>
        <v>fra</v>
      </c>
      <c r="C5441" t="str">
        <f>IFERROR(__xludf.DUMMYFUNCTION("""COMPUTED_VALUE"""),"France")</f>
        <v>France</v>
      </c>
      <c r="D5441">
        <f>IFERROR(__xludf.DUMMYFUNCTION("""COMPUTED_VALUE"""),2018.0)</f>
        <v>2018</v>
      </c>
      <c r="E5441">
        <f>IFERROR(__xludf.DUMMYFUNCTION("""COMPUTED_VALUE"""),6.5233271E7)</f>
        <v>65233271</v>
      </c>
    </row>
    <row r="5442">
      <c r="A5442" t="str">
        <f t="shared" si="1"/>
        <v>fra#2019</v>
      </c>
      <c r="B5442" t="str">
        <f>IFERROR(__xludf.DUMMYFUNCTION("""COMPUTED_VALUE"""),"fra")</f>
        <v>fra</v>
      </c>
      <c r="C5442" t="str">
        <f>IFERROR(__xludf.DUMMYFUNCTION("""COMPUTED_VALUE"""),"France")</f>
        <v>France</v>
      </c>
      <c r="D5442">
        <f>IFERROR(__xludf.DUMMYFUNCTION("""COMPUTED_VALUE"""),2019.0)</f>
        <v>2019</v>
      </c>
      <c r="E5442">
        <f>IFERROR(__xludf.DUMMYFUNCTION("""COMPUTED_VALUE"""),6.548071E7)</f>
        <v>65480710</v>
      </c>
    </row>
    <row r="5443">
      <c r="A5443" t="str">
        <f t="shared" si="1"/>
        <v>fra#2020</v>
      </c>
      <c r="B5443" t="str">
        <f>IFERROR(__xludf.DUMMYFUNCTION("""COMPUTED_VALUE"""),"fra")</f>
        <v>fra</v>
      </c>
      <c r="C5443" t="str">
        <f>IFERROR(__xludf.DUMMYFUNCTION("""COMPUTED_VALUE"""),"France")</f>
        <v>France</v>
      </c>
      <c r="D5443">
        <f>IFERROR(__xludf.DUMMYFUNCTION("""COMPUTED_VALUE"""),2020.0)</f>
        <v>2020</v>
      </c>
      <c r="E5443">
        <f>IFERROR(__xludf.DUMMYFUNCTION("""COMPUTED_VALUE"""),6.5721165E7)</f>
        <v>65721165</v>
      </c>
    </row>
    <row r="5444">
      <c r="A5444" t="str">
        <f t="shared" si="1"/>
        <v>fra#2021</v>
      </c>
      <c r="B5444" t="str">
        <f>IFERROR(__xludf.DUMMYFUNCTION("""COMPUTED_VALUE"""),"fra")</f>
        <v>fra</v>
      </c>
      <c r="C5444" t="str">
        <f>IFERROR(__xludf.DUMMYFUNCTION("""COMPUTED_VALUE"""),"France")</f>
        <v>France</v>
      </c>
      <c r="D5444">
        <f>IFERROR(__xludf.DUMMYFUNCTION("""COMPUTED_VALUE"""),2021.0)</f>
        <v>2021</v>
      </c>
      <c r="E5444">
        <f>IFERROR(__xludf.DUMMYFUNCTION("""COMPUTED_VALUE"""),6.5954741E7)</f>
        <v>65954741</v>
      </c>
    </row>
    <row r="5445">
      <c r="A5445" t="str">
        <f t="shared" si="1"/>
        <v>fra#2022</v>
      </c>
      <c r="B5445" t="str">
        <f>IFERROR(__xludf.DUMMYFUNCTION("""COMPUTED_VALUE"""),"fra")</f>
        <v>fra</v>
      </c>
      <c r="C5445" t="str">
        <f>IFERROR(__xludf.DUMMYFUNCTION("""COMPUTED_VALUE"""),"France")</f>
        <v>France</v>
      </c>
      <c r="D5445">
        <f>IFERROR(__xludf.DUMMYFUNCTION("""COMPUTED_VALUE"""),2022.0)</f>
        <v>2022</v>
      </c>
      <c r="E5445">
        <f>IFERROR(__xludf.DUMMYFUNCTION("""COMPUTED_VALUE"""),6.6182378E7)</f>
        <v>66182378</v>
      </c>
    </row>
    <row r="5446">
      <c r="A5446" t="str">
        <f t="shared" si="1"/>
        <v>fra#2023</v>
      </c>
      <c r="B5446" t="str">
        <f>IFERROR(__xludf.DUMMYFUNCTION("""COMPUTED_VALUE"""),"fra")</f>
        <v>fra</v>
      </c>
      <c r="C5446" t="str">
        <f>IFERROR(__xludf.DUMMYFUNCTION("""COMPUTED_VALUE"""),"France")</f>
        <v>France</v>
      </c>
      <c r="D5446">
        <f>IFERROR(__xludf.DUMMYFUNCTION("""COMPUTED_VALUE"""),2023.0)</f>
        <v>2023</v>
      </c>
      <c r="E5446">
        <f>IFERROR(__xludf.DUMMYFUNCTION("""COMPUTED_VALUE"""),6.6405223E7)</f>
        <v>66405223</v>
      </c>
    </row>
    <row r="5447">
      <c r="A5447" t="str">
        <f t="shared" si="1"/>
        <v>fra#2024</v>
      </c>
      <c r="B5447" t="str">
        <f>IFERROR(__xludf.DUMMYFUNCTION("""COMPUTED_VALUE"""),"fra")</f>
        <v>fra</v>
      </c>
      <c r="C5447" t="str">
        <f>IFERROR(__xludf.DUMMYFUNCTION("""COMPUTED_VALUE"""),"France")</f>
        <v>France</v>
      </c>
      <c r="D5447">
        <f>IFERROR(__xludf.DUMMYFUNCTION("""COMPUTED_VALUE"""),2024.0)</f>
        <v>2024</v>
      </c>
      <c r="E5447">
        <f>IFERROR(__xludf.DUMMYFUNCTION("""COMPUTED_VALUE"""),6.6624723E7)</f>
        <v>66624723</v>
      </c>
    </row>
    <row r="5448">
      <c r="A5448" t="str">
        <f t="shared" si="1"/>
        <v>fra#2025</v>
      </c>
      <c r="B5448" t="str">
        <f>IFERROR(__xludf.DUMMYFUNCTION("""COMPUTED_VALUE"""),"fra")</f>
        <v>fra</v>
      </c>
      <c r="C5448" t="str">
        <f>IFERROR(__xludf.DUMMYFUNCTION("""COMPUTED_VALUE"""),"France")</f>
        <v>France</v>
      </c>
      <c r="D5448">
        <f>IFERROR(__xludf.DUMMYFUNCTION("""COMPUTED_VALUE"""),2025.0)</f>
        <v>2025</v>
      </c>
      <c r="E5448">
        <f>IFERROR(__xludf.DUMMYFUNCTION("""COMPUTED_VALUE"""),6.6841951E7)</f>
        <v>66841951</v>
      </c>
    </row>
    <row r="5449">
      <c r="A5449" t="str">
        <f t="shared" si="1"/>
        <v>fra#2026</v>
      </c>
      <c r="B5449" t="str">
        <f>IFERROR(__xludf.DUMMYFUNCTION("""COMPUTED_VALUE"""),"fra")</f>
        <v>fra</v>
      </c>
      <c r="C5449" t="str">
        <f>IFERROR(__xludf.DUMMYFUNCTION("""COMPUTED_VALUE"""),"France")</f>
        <v>France</v>
      </c>
      <c r="D5449">
        <f>IFERROR(__xludf.DUMMYFUNCTION("""COMPUTED_VALUE"""),2026.0)</f>
        <v>2026</v>
      </c>
      <c r="E5449">
        <f>IFERROR(__xludf.DUMMYFUNCTION("""COMPUTED_VALUE"""),6.7057171E7)</f>
        <v>67057171</v>
      </c>
    </row>
    <row r="5450">
      <c r="A5450" t="str">
        <f t="shared" si="1"/>
        <v>fra#2027</v>
      </c>
      <c r="B5450" t="str">
        <f>IFERROR(__xludf.DUMMYFUNCTION("""COMPUTED_VALUE"""),"fra")</f>
        <v>fra</v>
      </c>
      <c r="C5450" t="str">
        <f>IFERROR(__xludf.DUMMYFUNCTION("""COMPUTED_VALUE"""),"France")</f>
        <v>France</v>
      </c>
      <c r="D5450">
        <f>IFERROR(__xludf.DUMMYFUNCTION("""COMPUTED_VALUE"""),2027.0)</f>
        <v>2027</v>
      </c>
      <c r="E5450">
        <f>IFERROR(__xludf.DUMMYFUNCTION("""COMPUTED_VALUE"""),6.7270163E7)</f>
        <v>67270163</v>
      </c>
    </row>
    <row r="5451">
      <c r="A5451" t="str">
        <f t="shared" si="1"/>
        <v>fra#2028</v>
      </c>
      <c r="B5451" t="str">
        <f>IFERROR(__xludf.DUMMYFUNCTION("""COMPUTED_VALUE"""),"fra")</f>
        <v>fra</v>
      </c>
      <c r="C5451" t="str">
        <f>IFERROR(__xludf.DUMMYFUNCTION("""COMPUTED_VALUE"""),"France")</f>
        <v>France</v>
      </c>
      <c r="D5451">
        <f>IFERROR(__xludf.DUMMYFUNCTION("""COMPUTED_VALUE"""),2028.0)</f>
        <v>2028</v>
      </c>
      <c r="E5451">
        <f>IFERROR(__xludf.DUMMYFUNCTION("""COMPUTED_VALUE"""),6.748085E7)</f>
        <v>67480850</v>
      </c>
    </row>
    <row r="5452">
      <c r="A5452" t="str">
        <f t="shared" si="1"/>
        <v>fra#2029</v>
      </c>
      <c r="B5452" t="str">
        <f>IFERROR(__xludf.DUMMYFUNCTION("""COMPUTED_VALUE"""),"fra")</f>
        <v>fra</v>
      </c>
      <c r="C5452" t="str">
        <f>IFERROR(__xludf.DUMMYFUNCTION("""COMPUTED_VALUE"""),"France")</f>
        <v>France</v>
      </c>
      <c r="D5452">
        <f>IFERROR(__xludf.DUMMYFUNCTION("""COMPUTED_VALUE"""),2029.0)</f>
        <v>2029</v>
      </c>
      <c r="E5452">
        <f>IFERROR(__xludf.DUMMYFUNCTION("""COMPUTED_VALUE"""),6.7689001E7)</f>
        <v>67689001</v>
      </c>
    </row>
    <row r="5453">
      <c r="A5453" t="str">
        <f t="shared" si="1"/>
        <v>fra#2030</v>
      </c>
      <c r="B5453" t="str">
        <f>IFERROR(__xludf.DUMMYFUNCTION("""COMPUTED_VALUE"""),"fra")</f>
        <v>fra</v>
      </c>
      <c r="C5453" t="str">
        <f>IFERROR(__xludf.DUMMYFUNCTION("""COMPUTED_VALUE"""),"France")</f>
        <v>France</v>
      </c>
      <c r="D5453">
        <f>IFERROR(__xludf.DUMMYFUNCTION("""COMPUTED_VALUE"""),2030.0)</f>
        <v>2030</v>
      </c>
      <c r="E5453">
        <f>IFERROR(__xludf.DUMMYFUNCTION("""COMPUTED_VALUE"""),6.7894271E7)</f>
        <v>67894271</v>
      </c>
    </row>
    <row r="5454">
      <c r="A5454" t="str">
        <f t="shared" si="1"/>
        <v>fra#2031</v>
      </c>
      <c r="B5454" t="str">
        <f>IFERROR(__xludf.DUMMYFUNCTION("""COMPUTED_VALUE"""),"fra")</f>
        <v>fra</v>
      </c>
      <c r="C5454" t="str">
        <f>IFERROR(__xludf.DUMMYFUNCTION("""COMPUTED_VALUE"""),"France")</f>
        <v>France</v>
      </c>
      <c r="D5454">
        <f>IFERROR(__xludf.DUMMYFUNCTION("""COMPUTED_VALUE"""),2031.0)</f>
        <v>2031</v>
      </c>
      <c r="E5454">
        <f>IFERROR(__xludf.DUMMYFUNCTION("""COMPUTED_VALUE"""),6.8096621E7)</f>
        <v>68096621</v>
      </c>
    </row>
    <row r="5455">
      <c r="A5455" t="str">
        <f t="shared" si="1"/>
        <v>fra#2032</v>
      </c>
      <c r="B5455" t="str">
        <f>IFERROR(__xludf.DUMMYFUNCTION("""COMPUTED_VALUE"""),"fra")</f>
        <v>fra</v>
      </c>
      <c r="C5455" t="str">
        <f>IFERROR(__xludf.DUMMYFUNCTION("""COMPUTED_VALUE"""),"France")</f>
        <v>France</v>
      </c>
      <c r="D5455">
        <f>IFERROR(__xludf.DUMMYFUNCTION("""COMPUTED_VALUE"""),2032.0)</f>
        <v>2032</v>
      </c>
      <c r="E5455">
        <f>IFERROR(__xludf.DUMMYFUNCTION("""COMPUTED_VALUE"""),6.8295673E7)</f>
        <v>68295673</v>
      </c>
    </row>
    <row r="5456">
      <c r="A5456" t="str">
        <f t="shared" si="1"/>
        <v>fra#2033</v>
      </c>
      <c r="B5456" t="str">
        <f>IFERROR(__xludf.DUMMYFUNCTION("""COMPUTED_VALUE"""),"fra")</f>
        <v>fra</v>
      </c>
      <c r="C5456" t="str">
        <f>IFERROR(__xludf.DUMMYFUNCTION("""COMPUTED_VALUE"""),"France")</f>
        <v>France</v>
      </c>
      <c r="D5456">
        <f>IFERROR(__xludf.DUMMYFUNCTION("""COMPUTED_VALUE"""),2033.0)</f>
        <v>2033</v>
      </c>
      <c r="E5456">
        <f>IFERROR(__xludf.DUMMYFUNCTION("""COMPUTED_VALUE"""),6.8490279E7)</f>
        <v>68490279</v>
      </c>
    </row>
    <row r="5457">
      <c r="A5457" t="str">
        <f t="shared" si="1"/>
        <v>fra#2034</v>
      </c>
      <c r="B5457" t="str">
        <f>IFERROR(__xludf.DUMMYFUNCTION("""COMPUTED_VALUE"""),"fra")</f>
        <v>fra</v>
      </c>
      <c r="C5457" t="str">
        <f>IFERROR(__xludf.DUMMYFUNCTION("""COMPUTED_VALUE"""),"France")</f>
        <v>France</v>
      </c>
      <c r="D5457">
        <f>IFERROR(__xludf.DUMMYFUNCTION("""COMPUTED_VALUE"""),2034.0)</f>
        <v>2034</v>
      </c>
      <c r="E5457">
        <f>IFERROR(__xludf.DUMMYFUNCTION("""COMPUTED_VALUE"""),6.867897E7)</f>
        <v>68678970</v>
      </c>
    </row>
    <row r="5458">
      <c r="A5458" t="str">
        <f t="shared" si="1"/>
        <v>fra#2035</v>
      </c>
      <c r="B5458" t="str">
        <f>IFERROR(__xludf.DUMMYFUNCTION("""COMPUTED_VALUE"""),"fra")</f>
        <v>fra</v>
      </c>
      <c r="C5458" t="str">
        <f>IFERROR(__xludf.DUMMYFUNCTION("""COMPUTED_VALUE"""),"France")</f>
        <v>France</v>
      </c>
      <c r="D5458">
        <f>IFERROR(__xludf.DUMMYFUNCTION("""COMPUTED_VALUE"""),2035.0)</f>
        <v>2035</v>
      </c>
      <c r="E5458">
        <f>IFERROR(__xludf.DUMMYFUNCTION("""COMPUTED_VALUE"""),6.886056E7)</f>
        <v>68860560</v>
      </c>
    </row>
    <row r="5459">
      <c r="A5459" t="str">
        <f t="shared" si="1"/>
        <v>fra#2036</v>
      </c>
      <c r="B5459" t="str">
        <f>IFERROR(__xludf.DUMMYFUNCTION("""COMPUTED_VALUE"""),"fra")</f>
        <v>fra</v>
      </c>
      <c r="C5459" t="str">
        <f>IFERROR(__xludf.DUMMYFUNCTION("""COMPUTED_VALUE"""),"France")</f>
        <v>France</v>
      </c>
      <c r="D5459">
        <f>IFERROR(__xludf.DUMMYFUNCTION("""COMPUTED_VALUE"""),2036.0)</f>
        <v>2036</v>
      </c>
      <c r="E5459">
        <f>IFERROR(__xludf.DUMMYFUNCTION("""COMPUTED_VALUE"""),6.9034688E7)</f>
        <v>69034688</v>
      </c>
    </row>
    <row r="5460">
      <c r="A5460" t="str">
        <f t="shared" si="1"/>
        <v>fra#2037</v>
      </c>
      <c r="B5460" t="str">
        <f>IFERROR(__xludf.DUMMYFUNCTION("""COMPUTED_VALUE"""),"fra")</f>
        <v>fra</v>
      </c>
      <c r="C5460" t="str">
        <f>IFERROR(__xludf.DUMMYFUNCTION("""COMPUTED_VALUE"""),"France")</f>
        <v>France</v>
      </c>
      <c r="D5460">
        <f>IFERROR(__xludf.DUMMYFUNCTION("""COMPUTED_VALUE"""),2037.0)</f>
        <v>2037</v>
      </c>
      <c r="E5460">
        <f>IFERROR(__xludf.DUMMYFUNCTION("""COMPUTED_VALUE"""),6.9201204E7)</f>
        <v>69201204</v>
      </c>
    </row>
    <row r="5461">
      <c r="A5461" t="str">
        <f t="shared" si="1"/>
        <v>fra#2038</v>
      </c>
      <c r="B5461" t="str">
        <f>IFERROR(__xludf.DUMMYFUNCTION("""COMPUTED_VALUE"""),"fra")</f>
        <v>fra</v>
      </c>
      <c r="C5461" t="str">
        <f>IFERROR(__xludf.DUMMYFUNCTION("""COMPUTED_VALUE"""),"France")</f>
        <v>France</v>
      </c>
      <c r="D5461">
        <f>IFERROR(__xludf.DUMMYFUNCTION("""COMPUTED_VALUE"""),2038.0)</f>
        <v>2038</v>
      </c>
      <c r="E5461">
        <f>IFERROR(__xludf.DUMMYFUNCTION("""COMPUTED_VALUE"""),6.9359408E7)</f>
        <v>69359408</v>
      </c>
    </row>
    <row r="5462">
      <c r="A5462" t="str">
        <f t="shared" si="1"/>
        <v>fra#2039</v>
      </c>
      <c r="B5462" t="str">
        <f>IFERROR(__xludf.DUMMYFUNCTION("""COMPUTED_VALUE"""),"fra")</f>
        <v>fra</v>
      </c>
      <c r="C5462" t="str">
        <f>IFERROR(__xludf.DUMMYFUNCTION("""COMPUTED_VALUE"""),"France")</f>
        <v>France</v>
      </c>
      <c r="D5462">
        <f>IFERROR(__xludf.DUMMYFUNCTION("""COMPUTED_VALUE"""),2039.0)</f>
        <v>2039</v>
      </c>
      <c r="E5462">
        <f>IFERROR(__xludf.DUMMYFUNCTION("""COMPUTED_VALUE"""),6.9508594E7)</f>
        <v>69508594</v>
      </c>
    </row>
    <row r="5463">
      <c r="A5463" t="str">
        <f t="shared" si="1"/>
        <v>fra#2040</v>
      </c>
      <c r="B5463" t="str">
        <f>IFERROR(__xludf.DUMMYFUNCTION("""COMPUTED_VALUE"""),"fra")</f>
        <v>fra</v>
      </c>
      <c r="C5463" t="str">
        <f>IFERROR(__xludf.DUMMYFUNCTION("""COMPUTED_VALUE"""),"France")</f>
        <v>France</v>
      </c>
      <c r="D5463">
        <f>IFERROR(__xludf.DUMMYFUNCTION("""COMPUTED_VALUE"""),2040.0)</f>
        <v>2040</v>
      </c>
      <c r="E5463">
        <f>IFERROR(__xludf.DUMMYFUNCTION("""COMPUTED_VALUE"""),6.9648311E7)</f>
        <v>69648311</v>
      </c>
    </row>
    <row r="5464">
      <c r="A5464" t="str">
        <f t="shared" si="1"/>
        <v>gab#1950</v>
      </c>
      <c r="B5464" t="str">
        <f>IFERROR(__xludf.DUMMYFUNCTION("""COMPUTED_VALUE"""),"gab")</f>
        <v>gab</v>
      </c>
      <c r="C5464" t="str">
        <f>IFERROR(__xludf.DUMMYFUNCTION("""COMPUTED_VALUE"""),"Gabon")</f>
        <v>Gabon</v>
      </c>
      <c r="D5464">
        <f>IFERROR(__xludf.DUMMYFUNCTION("""COMPUTED_VALUE"""),1950.0)</f>
        <v>1950</v>
      </c>
      <c r="E5464">
        <f>IFERROR(__xludf.DUMMYFUNCTION("""COMPUTED_VALUE"""),473298.0)</f>
        <v>473298</v>
      </c>
    </row>
    <row r="5465">
      <c r="A5465" t="str">
        <f t="shared" si="1"/>
        <v>gab#1951</v>
      </c>
      <c r="B5465" t="str">
        <f>IFERROR(__xludf.DUMMYFUNCTION("""COMPUTED_VALUE"""),"gab")</f>
        <v>gab</v>
      </c>
      <c r="C5465" t="str">
        <f>IFERROR(__xludf.DUMMYFUNCTION("""COMPUTED_VALUE"""),"Gabon")</f>
        <v>Gabon</v>
      </c>
      <c r="D5465">
        <f>IFERROR(__xludf.DUMMYFUNCTION("""COMPUTED_VALUE"""),1951.0)</f>
        <v>1951</v>
      </c>
      <c r="E5465">
        <f>IFERROR(__xludf.DUMMYFUNCTION("""COMPUTED_VALUE"""),475865.0)</f>
        <v>475865</v>
      </c>
    </row>
    <row r="5466">
      <c r="A5466" t="str">
        <f t="shared" si="1"/>
        <v>gab#1952</v>
      </c>
      <c r="B5466" t="str">
        <f>IFERROR(__xludf.DUMMYFUNCTION("""COMPUTED_VALUE"""),"gab")</f>
        <v>gab</v>
      </c>
      <c r="C5466" t="str">
        <f>IFERROR(__xludf.DUMMYFUNCTION("""COMPUTED_VALUE"""),"Gabon")</f>
        <v>Gabon</v>
      </c>
      <c r="D5466">
        <f>IFERROR(__xludf.DUMMYFUNCTION("""COMPUTED_VALUE"""),1952.0)</f>
        <v>1952</v>
      </c>
      <c r="E5466">
        <f>IFERROR(__xludf.DUMMYFUNCTION("""COMPUTED_VALUE"""),477711.0)</f>
        <v>477711</v>
      </c>
    </row>
    <row r="5467">
      <c r="A5467" t="str">
        <f t="shared" si="1"/>
        <v>gab#1953</v>
      </c>
      <c r="B5467" t="str">
        <f>IFERROR(__xludf.DUMMYFUNCTION("""COMPUTED_VALUE"""),"gab")</f>
        <v>gab</v>
      </c>
      <c r="C5467" t="str">
        <f>IFERROR(__xludf.DUMMYFUNCTION("""COMPUTED_VALUE"""),"Gabon")</f>
        <v>Gabon</v>
      </c>
      <c r="D5467">
        <f>IFERROR(__xludf.DUMMYFUNCTION("""COMPUTED_VALUE"""),1953.0)</f>
        <v>1953</v>
      </c>
      <c r="E5467">
        <f>IFERROR(__xludf.DUMMYFUNCTION("""COMPUTED_VALUE"""),479237.0)</f>
        <v>479237</v>
      </c>
    </row>
    <row r="5468">
      <c r="A5468" t="str">
        <f t="shared" si="1"/>
        <v>gab#1954</v>
      </c>
      <c r="B5468" t="str">
        <f>IFERROR(__xludf.DUMMYFUNCTION("""COMPUTED_VALUE"""),"gab")</f>
        <v>gab</v>
      </c>
      <c r="C5468" t="str">
        <f>IFERROR(__xludf.DUMMYFUNCTION("""COMPUTED_VALUE"""),"Gabon")</f>
        <v>Gabon</v>
      </c>
      <c r="D5468">
        <f>IFERROR(__xludf.DUMMYFUNCTION("""COMPUTED_VALUE"""),1954.0)</f>
        <v>1954</v>
      </c>
      <c r="E5468">
        <f>IFERROR(__xludf.DUMMYFUNCTION("""COMPUTED_VALUE"""),480767.0)</f>
        <v>480767</v>
      </c>
    </row>
    <row r="5469">
      <c r="A5469" t="str">
        <f t="shared" si="1"/>
        <v>gab#1955</v>
      </c>
      <c r="B5469" t="str">
        <f>IFERROR(__xludf.DUMMYFUNCTION("""COMPUTED_VALUE"""),"gab")</f>
        <v>gab</v>
      </c>
      <c r="C5469" t="str">
        <f>IFERROR(__xludf.DUMMYFUNCTION("""COMPUTED_VALUE"""),"Gabon")</f>
        <v>Gabon</v>
      </c>
      <c r="D5469">
        <f>IFERROR(__xludf.DUMMYFUNCTION("""COMPUTED_VALUE"""),1955.0)</f>
        <v>1955</v>
      </c>
      <c r="E5469">
        <f>IFERROR(__xludf.DUMMYFUNCTION("""COMPUTED_VALUE"""),482560.0)</f>
        <v>482560</v>
      </c>
    </row>
    <row r="5470">
      <c r="A5470" t="str">
        <f t="shared" si="1"/>
        <v>gab#1956</v>
      </c>
      <c r="B5470" t="str">
        <f>IFERROR(__xludf.DUMMYFUNCTION("""COMPUTED_VALUE"""),"gab")</f>
        <v>gab</v>
      </c>
      <c r="C5470" t="str">
        <f>IFERROR(__xludf.DUMMYFUNCTION("""COMPUTED_VALUE"""),"Gabon")</f>
        <v>Gabon</v>
      </c>
      <c r="D5470">
        <f>IFERROR(__xludf.DUMMYFUNCTION("""COMPUTED_VALUE"""),1956.0)</f>
        <v>1956</v>
      </c>
      <c r="E5470">
        <f>IFERROR(__xludf.DUMMYFUNCTION("""COMPUTED_VALUE"""),484782.0)</f>
        <v>484782</v>
      </c>
    </row>
    <row r="5471">
      <c r="A5471" t="str">
        <f t="shared" si="1"/>
        <v>gab#1957</v>
      </c>
      <c r="B5471" t="str">
        <f>IFERROR(__xludf.DUMMYFUNCTION("""COMPUTED_VALUE"""),"gab")</f>
        <v>gab</v>
      </c>
      <c r="C5471" t="str">
        <f>IFERROR(__xludf.DUMMYFUNCTION("""COMPUTED_VALUE"""),"Gabon")</f>
        <v>Gabon</v>
      </c>
      <c r="D5471">
        <f>IFERROR(__xludf.DUMMYFUNCTION("""COMPUTED_VALUE"""),1957.0)</f>
        <v>1957</v>
      </c>
      <c r="E5471">
        <f>IFERROR(__xludf.DUMMYFUNCTION("""COMPUTED_VALUE"""),487536.0)</f>
        <v>487536</v>
      </c>
    </row>
    <row r="5472">
      <c r="A5472" t="str">
        <f t="shared" si="1"/>
        <v>gab#1958</v>
      </c>
      <c r="B5472" t="str">
        <f>IFERROR(__xludf.DUMMYFUNCTION("""COMPUTED_VALUE"""),"gab")</f>
        <v>gab</v>
      </c>
      <c r="C5472" t="str">
        <f>IFERROR(__xludf.DUMMYFUNCTION("""COMPUTED_VALUE"""),"Gabon")</f>
        <v>Gabon</v>
      </c>
      <c r="D5472">
        <f>IFERROR(__xludf.DUMMYFUNCTION("""COMPUTED_VALUE"""),1958.0)</f>
        <v>1958</v>
      </c>
      <c r="E5472">
        <f>IFERROR(__xludf.DUMMYFUNCTION("""COMPUTED_VALUE"""),490870.0)</f>
        <v>490870</v>
      </c>
    </row>
    <row r="5473">
      <c r="A5473" t="str">
        <f t="shared" si="1"/>
        <v>gab#1959</v>
      </c>
      <c r="B5473" t="str">
        <f>IFERROR(__xludf.DUMMYFUNCTION("""COMPUTED_VALUE"""),"gab")</f>
        <v>gab</v>
      </c>
      <c r="C5473" t="str">
        <f>IFERROR(__xludf.DUMMYFUNCTION("""COMPUTED_VALUE"""),"Gabon")</f>
        <v>Gabon</v>
      </c>
      <c r="D5473">
        <f>IFERROR(__xludf.DUMMYFUNCTION("""COMPUTED_VALUE"""),1959.0)</f>
        <v>1959</v>
      </c>
      <c r="E5473">
        <f>IFERROR(__xludf.DUMMYFUNCTION("""COMPUTED_VALUE"""),494751.0)</f>
        <v>494751</v>
      </c>
    </row>
    <row r="5474">
      <c r="A5474" t="str">
        <f t="shared" si="1"/>
        <v>gab#1960</v>
      </c>
      <c r="B5474" t="str">
        <f>IFERROR(__xludf.DUMMYFUNCTION("""COMPUTED_VALUE"""),"gab")</f>
        <v>gab</v>
      </c>
      <c r="C5474" t="str">
        <f>IFERROR(__xludf.DUMMYFUNCTION("""COMPUTED_VALUE"""),"Gabon")</f>
        <v>Gabon</v>
      </c>
      <c r="D5474">
        <f>IFERROR(__xludf.DUMMYFUNCTION("""COMPUTED_VALUE"""),1960.0)</f>
        <v>1960</v>
      </c>
      <c r="E5474">
        <f>IFERROR(__xludf.DUMMYFUNCTION("""COMPUTED_VALUE"""),499184.0)</f>
        <v>499184</v>
      </c>
    </row>
    <row r="5475">
      <c r="A5475" t="str">
        <f t="shared" si="1"/>
        <v>gab#1961</v>
      </c>
      <c r="B5475" t="str">
        <f>IFERROR(__xludf.DUMMYFUNCTION("""COMPUTED_VALUE"""),"gab")</f>
        <v>gab</v>
      </c>
      <c r="C5475" t="str">
        <f>IFERROR(__xludf.DUMMYFUNCTION("""COMPUTED_VALUE"""),"Gabon")</f>
        <v>Gabon</v>
      </c>
      <c r="D5475">
        <f>IFERROR(__xludf.DUMMYFUNCTION("""COMPUTED_VALUE"""),1961.0)</f>
        <v>1961</v>
      </c>
      <c r="E5475">
        <f>IFERROR(__xludf.DUMMYFUNCTION("""COMPUTED_VALUE"""),504167.0)</f>
        <v>504167</v>
      </c>
    </row>
    <row r="5476">
      <c r="A5476" t="str">
        <f t="shared" si="1"/>
        <v>gab#1962</v>
      </c>
      <c r="B5476" t="str">
        <f>IFERROR(__xludf.DUMMYFUNCTION("""COMPUTED_VALUE"""),"gab")</f>
        <v>gab</v>
      </c>
      <c r="C5476" t="str">
        <f>IFERROR(__xludf.DUMMYFUNCTION("""COMPUTED_VALUE"""),"Gabon")</f>
        <v>Gabon</v>
      </c>
      <c r="D5476">
        <f>IFERROR(__xludf.DUMMYFUNCTION("""COMPUTED_VALUE"""),1962.0)</f>
        <v>1962</v>
      </c>
      <c r="E5476">
        <f>IFERROR(__xludf.DUMMYFUNCTION("""COMPUTED_VALUE"""),509806.0)</f>
        <v>509806</v>
      </c>
    </row>
    <row r="5477">
      <c r="A5477" t="str">
        <f t="shared" si="1"/>
        <v>gab#1963</v>
      </c>
      <c r="B5477" t="str">
        <f>IFERROR(__xludf.DUMMYFUNCTION("""COMPUTED_VALUE"""),"gab")</f>
        <v>gab</v>
      </c>
      <c r="C5477" t="str">
        <f>IFERROR(__xludf.DUMMYFUNCTION("""COMPUTED_VALUE"""),"Gabon")</f>
        <v>Gabon</v>
      </c>
      <c r="D5477">
        <f>IFERROR(__xludf.DUMMYFUNCTION("""COMPUTED_VALUE"""),1963.0)</f>
        <v>1963</v>
      </c>
      <c r="E5477">
        <f>IFERROR(__xludf.DUMMYFUNCTION("""COMPUTED_VALUE"""),516265.0)</f>
        <v>516265</v>
      </c>
    </row>
    <row r="5478">
      <c r="A5478" t="str">
        <f t="shared" si="1"/>
        <v>gab#1964</v>
      </c>
      <c r="B5478" t="str">
        <f>IFERROR(__xludf.DUMMYFUNCTION("""COMPUTED_VALUE"""),"gab")</f>
        <v>gab</v>
      </c>
      <c r="C5478" t="str">
        <f>IFERROR(__xludf.DUMMYFUNCTION("""COMPUTED_VALUE"""),"Gabon")</f>
        <v>Gabon</v>
      </c>
      <c r="D5478">
        <f>IFERROR(__xludf.DUMMYFUNCTION("""COMPUTED_VALUE"""),1964.0)</f>
        <v>1964</v>
      </c>
      <c r="E5478">
        <f>IFERROR(__xludf.DUMMYFUNCTION("""COMPUTED_VALUE"""),523789.0)</f>
        <v>523789</v>
      </c>
    </row>
    <row r="5479">
      <c r="A5479" t="str">
        <f t="shared" si="1"/>
        <v>gab#1965</v>
      </c>
      <c r="B5479" t="str">
        <f>IFERROR(__xludf.DUMMYFUNCTION("""COMPUTED_VALUE"""),"gab")</f>
        <v>gab</v>
      </c>
      <c r="C5479" t="str">
        <f>IFERROR(__xludf.DUMMYFUNCTION("""COMPUTED_VALUE"""),"Gabon")</f>
        <v>Gabon</v>
      </c>
      <c r="D5479">
        <f>IFERROR(__xludf.DUMMYFUNCTION("""COMPUTED_VALUE"""),1965.0)</f>
        <v>1965</v>
      </c>
      <c r="E5479">
        <f>IFERROR(__xludf.DUMMYFUNCTION("""COMPUTED_VALUE"""),532511.0)</f>
        <v>532511</v>
      </c>
    </row>
    <row r="5480">
      <c r="A5480" t="str">
        <f t="shared" si="1"/>
        <v>gab#1966</v>
      </c>
      <c r="B5480" t="str">
        <f>IFERROR(__xludf.DUMMYFUNCTION("""COMPUTED_VALUE"""),"gab")</f>
        <v>gab</v>
      </c>
      <c r="C5480" t="str">
        <f>IFERROR(__xludf.DUMMYFUNCTION("""COMPUTED_VALUE"""),"Gabon")</f>
        <v>Gabon</v>
      </c>
      <c r="D5480">
        <f>IFERROR(__xludf.DUMMYFUNCTION("""COMPUTED_VALUE"""),1966.0)</f>
        <v>1966</v>
      </c>
      <c r="E5480">
        <f>IFERROR(__xludf.DUMMYFUNCTION("""COMPUTED_VALUE"""),542557.0)</f>
        <v>542557</v>
      </c>
    </row>
    <row r="5481">
      <c r="A5481" t="str">
        <f t="shared" si="1"/>
        <v>gab#1967</v>
      </c>
      <c r="B5481" t="str">
        <f>IFERROR(__xludf.DUMMYFUNCTION("""COMPUTED_VALUE"""),"gab")</f>
        <v>gab</v>
      </c>
      <c r="C5481" t="str">
        <f>IFERROR(__xludf.DUMMYFUNCTION("""COMPUTED_VALUE"""),"Gabon")</f>
        <v>Gabon</v>
      </c>
      <c r="D5481">
        <f>IFERROR(__xludf.DUMMYFUNCTION("""COMPUTED_VALUE"""),1967.0)</f>
        <v>1967</v>
      </c>
      <c r="E5481">
        <f>IFERROR(__xludf.DUMMYFUNCTION("""COMPUTED_VALUE"""),553823.0)</f>
        <v>553823</v>
      </c>
    </row>
    <row r="5482">
      <c r="A5482" t="str">
        <f t="shared" si="1"/>
        <v>gab#1968</v>
      </c>
      <c r="B5482" t="str">
        <f>IFERROR(__xludf.DUMMYFUNCTION("""COMPUTED_VALUE"""),"gab")</f>
        <v>gab</v>
      </c>
      <c r="C5482" t="str">
        <f>IFERROR(__xludf.DUMMYFUNCTION("""COMPUTED_VALUE"""),"Gabon")</f>
        <v>Gabon</v>
      </c>
      <c r="D5482">
        <f>IFERROR(__xludf.DUMMYFUNCTION("""COMPUTED_VALUE"""),1968.0)</f>
        <v>1968</v>
      </c>
      <c r="E5482">
        <f>IFERROR(__xludf.DUMMYFUNCTION("""COMPUTED_VALUE"""),565873.0)</f>
        <v>565873</v>
      </c>
    </row>
    <row r="5483">
      <c r="A5483" t="str">
        <f t="shared" si="1"/>
        <v>gab#1969</v>
      </c>
      <c r="B5483" t="str">
        <f>IFERROR(__xludf.DUMMYFUNCTION("""COMPUTED_VALUE"""),"gab")</f>
        <v>gab</v>
      </c>
      <c r="C5483" t="str">
        <f>IFERROR(__xludf.DUMMYFUNCTION("""COMPUTED_VALUE"""),"Gabon")</f>
        <v>Gabon</v>
      </c>
      <c r="D5483">
        <f>IFERROR(__xludf.DUMMYFUNCTION("""COMPUTED_VALUE"""),1969.0)</f>
        <v>1969</v>
      </c>
      <c r="E5483">
        <f>IFERROR(__xludf.DUMMYFUNCTION("""COMPUTED_VALUE"""),578108.0)</f>
        <v>578108</v>
      </c>
    </row>
    <row r="5484">
      <c r="A5484" t="str">
        <f t="shared" si="1"/>
        <v>gab#1970</v>
      </c>
      <c r="B5484" t="str">
        <f>IFERROR(__xludf.DUMMYFUNCTION("""COMPUTED_VALUE"""),"gab")</f>
        <v>gab</v>
      </c>
      <c r="C5484" t="str">
        <f>IFERROR(__xludf.DUMMYFUNCTION("""COMPUTED_VALUE"""),"Gabon")</f>
        <v>Gabon</v>
      </c>
      <c r="D5484">
        <f>IFERROR(__xludf.DUMMYFUNCTION("""COMPUTED_VALUE"""),1970.0)</f>
        <v>1970</v>
      </c>
      <c r="E5484">
        <f>IFERROR(__xludf.DUMMYFUNCTION("""COMPUTED_VALUE"""),590118.0)</f>
        <v>590118</v>
      </c>
    </row>
    <row r="5485">
      <c r="A5485" t="str">
        <f t="shared" si="1"/>
        <v>gab#1971</v>
      </c>
      <c r="B5485" t="str">
        <f>IFERROR(__xludf.DUMMYFUNCTION("""COMPUTED_VALUE"""),"gab")</f>
        <v>gab</v>
      </c>
      <c r="C5485" t="str">
        <f>IFERROR(__xludf.DUMMYFUNCTION("""COMPUTED_VALUE"""),"Gabon")</f>
        <v>Gabon</v>
      </c>
      <c r="D5485">
        <f>IFERROR(__xludf.DUMMYFUNCTION("""COMPUTED_VALUE"""),1971.0)</f>
        <v>1971</v>
      </c>
      <c r="E5485">
        <f>IFERROR(__xludf.DUMMYFUNCTION("""COMPUTED_VALUE"""),601731.0)</f>
        <v>601731</v>
      </c>
    </row>
    <row r="5486">
      <c r="A5486" t="str">
        <f t="shared" si="1"/>
        <v>gab#1972</v>
      </c>
      <c r="B5486" t="str">
        <f>IFERROR(__xludf.DUMMYFUNCTION("""COMPUTED_VALUE"""),"gab")</f>
        <v>gab</v>
      </c>
      <c r="C5486" t="str">
        <f>IFERROR(__xludf.DUMMYFUNCTION("""COMPUTED_VALUE"""),"Gabon")</f>
        <v>Gabon</v>
      </c>
      <c r="D5486">
        <f>IFERROR(__xludf.DUMMYFUNCTION("""COMPUTED_VALUE"""),1972.0)</f>
        <v>1972</v>
      </c>
      <c r="E5486">
        <f>IFERROR(__xludf.DUMMYFUNCTION("""COMPUTED_VALUE"""),613123.0)</f>
        <v>613123</v>
      </c>
    </row>
    <row r="5487">
      <c r="A5487" t="str">
        <f t="shared" si="1"/>
        <v>gab#1973</v>
      </c>
      <c r="B5487" t="str">
        <f>IFERROR(__xludf.DUMMYFUNCTION("""COMPUTED_VALUE"""),"gab")</f>
        <v>gab</v>
      </c>
      <c r="C5487" t="str">
        <f>IFERROR(__xludf.DUMMYFUNCTION("""COMPUTED_VALUE"""),"Gabon")</f>
        <v>Gabon</v>
      </c>
      <c r="D5487">
        <f>IFERROR(__xludf.DUMMYFUNCTION("""COMPUTED_VALUE"""),1973.0)</f>
        <v>1973</v>
      </c>
      <c r="E5487">
        <f>IFERROR(__xludf.DUMMYFUNCTION("""COMPUTED_VALUE"""),624621.0)</f>
        <v>624621</v>
      </c>
    </row>
    <row r="5488">
      <c r="A5488" t="str">
        <f t="shared" si="1"/>
        <v>gab#1974</v>
      </c>
      <c r="B5488" t="str">
        <f>IFERROR(__xludf.DUMMYFUNCTION("""COMPUTED_VALUE"""),"gab")</f>
        <v>gab</v>
      </c>
      <c r="C5488" t="str">
        <f>IFERROR(__xludf.DUMMYFUNCTION("""COMPUTED_VALUE"""),"Gabon")</f>
        <v>Gabon</v>
      </c>
      <c r="D5488">
        <f>IFERROR(__xludf.DUMMYFUNCTION("""COMPUTED_VALUE"""),1974.0)</f>
        <v>1974</v>
      </c>
      <c r="E5488">
        <f>IFERROR(__xludf.DUMMYFUNCTION("""COMPUTED_VALUE"""),636696.0)</f>
        <v>636696</v>
      </c>
    </row>
    <row r="5489">
      <c r="A5489" t="str">
        <f t="shared" si="1"/>
        <v>gab#1975</v>
      </c>
      <c r="B5489" t="str">
        <f>IFERROR(__xludf.DUMMYFUNCTION("""COMPUTED_VALUE"""),"gab")</f>
        <v>gab</v>
      </c>
      <c r="C5489" t="str">
        <f>IFERROR(__xludf.DUMMYFUNCTION("""COMPUTED_VALUE"""),"Gabon")</f>
        <v>Gabon</v>
      </c>
      <c r="D5489">
        <f>IFERROR(__xludf.DUMMYFUNCTION("""COMPUTED_VALUE"""),1975.0)</f>
        <v>1975</v>
      </c>
      <c r="E5489">
        <f>IFERROR(__xludf.DUMMYFUNCTION("""COMPUTED_VALUE"""),649716.0)</f>
        <v>649716</v>
      </c>
    </row>
    <row r="5490">
      <c r="A5490" t="str">
        <f t="shared" si="1"/>
        <v>gab#1976</v>
      </c>
      <c r="B5490" t="str">
        <f>IFERROR(__xludf.DUMMYFUNCTION("""COMPUTED_VALUE"""),"gab")</f>
        <v>gab</v>
      </c>
      <c r="C5490" t="str">
        <f>IFERROR(__xludf.DUMMYFUNCTION("""COMPUTED_VALUE"""),"Gabon")</f>
        <v>Gabon</v>
      </c>
      <c r="D5490">
        <f>IFERROR(__xludf.DUMMYFUNCTION("""COMPUTED_VALUE"""),1976.0)</f>
        <v>1976</v>
      </c>
      <c r="E5490">
        <f>IFERROR(__xludf.DUMMYFUNCTION("""COMPUTED_VALUE"""),663770.0)</f>
        <v>663770</v>
      </c>
    </row>
    <row r="5491">
      <c r="A5491" t="str">
        <f t="shared" si="1"/>
        <v>gab#1977</v>
      </c>
      <c r="B5491" t="str">
        <f>IFERROR(__xludf.DUMMYFUNCTION("""COMPUTED_VALUE"""),"gab")</f>
        <v>gab</v>
      </c>
      <c r="C5491" t="str">
        <f>IFERROR(__xludf.DUMMYFUNCTION("""COMPUTED_VALUE"""),"Gabon")</f>
        <v>Gabon</v>
      </c>
      <c r="D5491">
        <f>IFERROR(__xludf.DUMMYFUNCTION("""COMPUTED_VALUE"""),1977.0)</f>
        <v>1977</v>
      </c>
      <c r="E5491">
        <f>IFERROR(__xludf.DUMMYFUNCTION("""COMPUTED_VALUE"""),678774.0)</f>
        <v>678774</v>
      </c>
    </row>
    <row r="5492">
      <c r="A5492" t="str">
        <f t="shared" si="1"/>
        <v>gab#1978</v>
      </c>
      <c r="B5492" t="str">
        <f>IFERROR(__xludf.DUMMYFUNCTION("""COMPUTED_VALUE"""),"gab")</f>
        <v>gab</v>
      </c>
      <c r="C5492" t="str">
        <f>IFERROR(__xludf.DUMMYFUNCTION("""COMPUTED_VALUE"""),"Gabon")</f>
        <v>Gabon</v>
      </c>
      <c r="D5492">
        <f>IFERROR(__xludf.DUMMYFUNCTION("""COMPUTED_VALUE"""),1978.0)</f>
        <v>1978</v>
      </c>
      <c r="E5492">
        <f>IFERROR(__xludf.DUMMYFUNCTION("""COMPUTED_VALUE"""),694732.0)</f>
        <v>694732</v>
      </c>
    </row>
    <row r="5493">
      <c r="A5493" t="str">
        <f t="shared" si="1"/>
        <v>gab#1979</v>
      </c>
      <c r="B5493" t="str">
        <f>IFERROR(__xludf.DUMMYFUNCTION("""COMPUTED_VALUE"""),"gab")</f>
        <v>gab</v>
      </c>
      <c r="C5493" t="str">
        <f>IFERROR(__xludf.DUMMYFUNCTION("""COMPUTED_VALUE"""),"Gabon")</f>
        <v>Gabon</v>
      </c>
      <c r="D5493">
        <f>IFERROR(__xludf.DUMMYFUNCTION("""COMPUTED_VALUE"""),1979.0)</f>
        <v>1979</v>
      </c>
      <c r="E5493">
        <f>IFERROR(__xludf.DUMMYFUNCTION("""COMPUTED_VALUE"""),711533.0)</f>
        <v>711533</v>
      </c>
    </row>
    <row r="5494">
      <c r="A5494" t="str">
        <f t="shared" si="1"/>
        <v>gab#1980</v>
      </c>
      <c r="B5494" t="str">
        <f>IFERROR(__xludf.DUMMYFUNCTION("""COMPUTED_VALUE"""),"gab")</f>
        <v>gab</v>
      </c>
      <c r="C5494" t="str">
        <f>IFERROR(__xludf.DUMMYFUNCTION("""COMPUTED_VALUE"""),"Gabon")</f>
        <v>Gabon</v>
      </c>
      <c r="D5494">
        <f>IFERROR(__xludf.DUMMYFUNCTION("""COMPUTED_VALUE"""),1980.0)</f>
        <v>1980</v>
      </c>
      <c r="E5494">
        <f>IFERROR(__xludf.DUMMYFUNCTION("""COMPUTED_VALUE"""),729159.0)</f>
        <v>729159</v>
      </c>
    </row>
    <row r="5495">
      <c r="A5495" t="str">
        <f t="shared" si="1"/>
        <v>gab#1981</v>
      </c>
      <c r="B5495" t="str">
        <f>IFERROR(__xludf.DUMMYFUNCTION("""COMPUTED_VALUE"""),"gab")</f>
        <v>gab</v>
      </c>
      <c r="C5495" t="str">
        <f>IFERROR(__xludf.DUMMYFUNCTION("""COMPUTED_VALUE"""),"Gabon")</f>
        <v>Gabon</v>
      </c>
      <c r="D5495">
        <f>IFERROR(__xludf.DUMMYFUNCTION("""COMPUTED_VALUE"""),1981.0)</f>
        <v>1981</v>
      </c>
      <c r="E5495">
        <f>IFERROR(__xludf.DUMMYFUNCTION("""COMPUTED_VALUE"""),747587.0)</f>
        <v>747587</v>
      </c>
    </row>
    <row r="5496">
      <c r="A5496" t="str">
        <f t="shared" si="1"/>
        <v>gab#1982</v>
      </c>
      <c r="B5496" t="str">
        <f>IFERROR(__xludf.DUMMYFUNCTION("""COMPUTED_VALUE"""),"gab")</f>
        <v>gab</v>
      </c>
      <c r="C5496" t="str">
        <f>IFERROR(__xludf.DUMMYFUNCTION("""COMPUTED_VALUE"""),"Gabon")</f>
        <v>Gabon</v>
      </c>
      <c r="D5496">
        <f>IFERROR(__xludf.DUMMYFUNCTION("""COMPUTED_VALUE"""),1982.0)</f>
        <v>1982</v>
      </c>
      <c r="E5496">
        <f>IFERROR(__xludf.DUMMYFUNCTION("""COMPUTED_VALUE"""),766855.0)</f>
        <v>766855</v>
      </c>
    </row>
    <row r="5497">
      <c r="A5497" t="str">
        <f t="shared" si="1"/>
        <v>gab#1983</v>
      </c>
      <c r="B5497" t="str">
        <f>IFERROR(__xludf.DUMMYFUNCTION("""COMPUTED_VALUE"""),"gab")</f>
        <v>gab</v>
      </c>
      <c r="C5497" t="str">
        <f>IFERROR(__xludf.DUMMYFUNCTION("""COMPUTED_VALUE"""),"Gabon")</f>
        <v>Gabon</v>
      </c>
      <c r="D5497">
        <f>IFERROR(__xludf.DUMMYFUNCTION("""COMPUTED_VALUE"""),1983.0)</f>
        <v>1983</v>
      </c>
      <c r="E5497">
        <f>IFERROR(__xludf.DUMMYFUNCTION("""COMPUTED_VALUE"""),787013.0)</f>
        <v>787013</v>
      </c>
    </row>
    <row r="5498">
      <c r="A5498" t="str">
        <f t="shared" si="1"/>
        <v>gab#1984</v>
      </c>
      <c r="B5498" t="str">
        <f>IFERROR(__xludf.DUMMYFUNCTION("""COMPUTED_VALUE"""),"gab")</f>
        <v>gab</v>
      </c>
      <c r="C5498" t="str">
        <f>IFERROR(__xludf.DUMMYFUNCTION("""COMPUTED_VALUE"""),"Gabon")</f>
        <v>Gabon</v>
      </c>
      <c r="D5498">
        <f>IFERROR(__xludf.DUMMYFUNCTION("""COMPUTED_VALUE"""),1984.0)</f>
        <v>1984</v>
      </c>
      <c r="E5498">
        <f>IFERROR(__xludf.DUMMYFUNCTION("""COMPUTED_VALUE"""),808083.0)</f>
        <v>808083</v>
      </c>
    </row>
    <row r="5499">
      <c r="A5499" t="str">
        <f t="shared" si="1"/>
        <v>gab#1985</v>
      </c>
      <c r="B5499" t="str">
        <f>IFERROR(__xludf.DUMMYFUNCTION("""COMPUTED_VALUE"""),"gab")</f>
        <v>gab</v>
      </c>
      <c r="C5499" t="str">
        <f>IFERROR(__xludf.DUMMYFUNCTION("""COMPUTED_VALUE"""),"Gabon")</f>
        <v>Gabon</v>
      </c>
      <c r="D5499">
        <f>IFERROR(__xludf.DUMMYFUNCTION("""COMPUTED_VALUE"""),1985.0)</f>
        <v>1985</v>
      </c>
      <c r="E5499">
        <f>IFERROR(__xludf.DUMMYFUNCTION("""COMPUTED_VALUE"""),830085.0)</f>
        <v>830085</v>
      </c>
    </row>
    <row r="5500">
      <c r="A5500" t="str">
        <f t="shared" si="1"/>
        <v>gab#1986</v>
      </c>
      <c r="B5500" t="str">
        <f>IFERROR(__xludf.DUMMYFUNCTION("""COMPUTED_VALUE"""),"gab")</f>
        <v>gab</v>
      </c>
      <c r="C5500" t="str">
        <f>IFERROR(__xludf.DUMMYFUNCTION("""COMPUTED_VALUE"""),"Gabon")</f>
        <v>Gabon</v>
      </c>
      <c r="D5500">
        <f>IFERROR(__xludf.DUMMYFUNCTION("""COMPUTED_VALUE"""),1986.0)</f>
        <v>1986</v>
      </c>
      <c r="E5500">
        <f>IFERROR(__xludf.DUMMYFUNCTION("""COMPUTED_VALUE"""),853027.0)</f>
        <v>853027</v>
      </c>
    </row>
    <row r="5501">
      <c r="A5501" t="str">
        <f t="shared" si="1"/>
        <v>gab#1987</v>
      </c>
      <c r="B5501" t="str">
        <f>IFERROR(__xludf.DUMMYFUNCTION("""COMPUTED_VALUE"""),"gab")</f>
        <v>gab</v>
      </c>
      <c r="C5501" t="str">
        <f>IFERROR(__xludf.DUMMYFUNCTION("""COMPUTED_VALUE"""),"Gabon")</f>
        <v>Gabon</v>
      </c>
      <c r="D5501">
        <f>IFERROR(__xludf.DUMMYFUNCTION("""COMPUTED_VALUE"""),1987.0)</f>
        <v>1987</v>
      </c>
      <c r="E5501">
        <f>IFERROR(__xludf.DUMMYFUNCTION("""COMPUTED_VALUE"""),876863.0)</f>
        <v>876863</v>
      </c>
    </row>
    <row r="5502">
      <c r="A5502" t="str">
        <f t="shared" si="1"/>
        <v>gab#1988</v>
      </c>
      <c r="B5502" t="str">
        <f>IFERROR(__xludf.DUMMYFUNCTION("""COMPUTED_VALUE"""),"gab")</f>
        <v>gab</v>
      </c>
      <c r="C5502" t="str">
        <f>IFERROR(__xludf.DUMMYFUNCTION("""COMPUTED_VALUE"""),"Gabon")</f>
        <v>Gabon</v>
      </c>
      <c r="D5502">
        <f>IFERROR(__xludf.DUMMYFUNCTION("""COMPUTED_VALUE"""),1988.0)</f>
        <v>1988</v>
      </c>
      <c r="E5502">
        <f>IFERROR(__xludf.DUMMYFUNCTION("""COMPUTED_VALUE"""),901458.0)</f>
        <v>901458</v>
      </c>
    </row>
    <row r="5503">
      <c r="A5503" t="str">
        <f t="shared" si="1"/>
        <v>gab#1989</v>
      </c>
      <c r="B5503" t="str">
        <f>IFERROR(__xludf.DUMMYFUNCTION("""COMPUTED_VALUE"""),"gab")</f>
        <v>gab</v>
      </c>
      <c r="C5503" t="str">
        <f>IFERROR(__xludf.DUMMYFUNCTION("""COMPUTED_VALUE"""),"Gabon")</f>
        <v>Gabon</v>
      </c>
      <c r="D5503">
        <f>IFERROR(__xludf.DUMMYFUNCTION("""COMPUTED_VALUE"""),1989.0)</f>
        <v>1989</v>
      </c>
      <c r="E5503">
        <f>IFERROR(__xludf.DUMMYFUNCTION("""COMPUTED_VALUE"""),926622.0)</f>
        <v>926622</v>
      </c>
    </row>
    <row r="5504">
      <c r="A5504" t="str">
        <f t="shared" si="1"/>
        <v>gab#1990</v>
      </c>
      <c r="B5504" t="str">
        <f>IFERROR(__xludf.DUMMYFUNCTION("""COMPUTED_VALUE"""),"gab")</f>
        <v>gab</v>
      </c>
      <c r="C5504" t="str">
        <f>IFERROR(__xludf.DUMMYFUNCTION("""COMPUTED_VALUE"""),"Gabon")</f>
        <v>Gabon</v>
      </c>
      <c r="D5504">
        <f>IFERROR(__xludf.DUMMYFUNCTION("""COMPUTED_VALUE"""),1990.0)</f>
        <v>1990</v>
      </c>
      <c r="E5504">
        <f>IFERROR(__xludf.DUMMYFUNCTION("""COMPUTED_VALUE"""),952212.0)</f>
        <v>952212</v>
      </c>
    </row>
    <row r="5505">
      <c r="A5505" t="str">
        <f t="shared" si="1"/>
        <v>gab#1991</v>
      </c>
      <c r="B5505" t="str">
        <f>IFERROR(__xludf.DUMMYFUNCTION("""COMPUTED_VALUE"""),"gab")</f>
        <v>gab</v>
      </c>
      <c r="C5505" t="str">
        <f>IFERROR(__xludf.DUMMYFUNCTION("""COMPUTED_VALUE"""),"Gabon")</f>
        <v>Gabon</v>
      </c>
      <c r="D5505">
        <f>IFERROR(__xludf.DUMMYFUNCTION("""COMPUTED_VALUE"""),1991.0)</f>
        <v>1991</v>
      </c>
      <c r="E5505">
        <f>IFERROR(__xludf.DUMMYFUNCTION("""COMPUTED_VALUE"""),978223.0)</f>
        <v>978223</v>
      </c>
    </row>
    <row r="5506">
      <c r="A5506" t="str">
        <f t="shared" si="1"/>
        <v>gab#1992</v>
      </c>
      <c r="B5506" t="str">
        <f>IFERROR(__xludf.DUMMYFUNCTION("""COMPUTED_VALUE"""),"gab")</f>
        <v>gab</v>
      </c>
      <c r="C5506" t="str">
        <f>IFERROR(__xludf.DUMMYFUNCTION("""COMPUTED_VALUE"""),"Gabon")</f>
        <v>Gabon</v>
      </c>
      <c r="D5506">
        <f>IFERROR(__xludf.DUMMYFUNCTION("""COMPUTED_VALUE"""),1992.0)</f>
        <v>1992</v>
      </c>
      <c r="E5506">
        <f>IFERROR(__xludf.DUMMYFUNCTION("""COMPUTED_VALUE"""),1004676.0)</f>
        <v>1004676</v>
      </c>
    </row>
    <row r="5507">
      <c r="A5507" t="str">
        <f t="shared" si="1"/>
        <v>gab#1993</v>
      </c>
      <c r="B5507" t="str">
        <f>IFERROR(__xludf.DUMMYFUNCTION("""COMPUTED_VALUE"""),"gab")</f>
        <v>gab</v>
      </c>
      <c r="C5507" t="str">
        <f>IFERROR(__xludf.DUMMYFUNCTION("""COMPUTED_VALUE"""),"Gabon")</f>
        <v>Gabon</v>
      </c>
      <c r="D5507">
        <f>IFERROR(__xludf.DUMMYFUNCTION("""COMPUTED_VALUE"""),1993.0)</f>
        <v>1993</v>
      </c>
      <c r="E5507">
        <f>IFERROR(__xludf.DUMMYFUNCTION("""COMPUTED_VALUE"""),1031504.0)</f>
        <v>1031504</v>
      </c>
    </row>
    <row r="5508">
      <c r="A5508" t="str">
        <f t="shared" si="1"/>
        <v>gab#1994</v>
      </c>
      <c r="B5508" t="str">
        <f>IFERROR(__xludf.DUMMYFUNCTION("""COMPUTED_VALUE"""),"gab")</f>
        <v>gab</v>
      </c>
      <c r="C5508" t="str">
        <f>IFERROR(__xludf.DUMMYFUNCTION("""COMPUTED_VALUE"""),"Gabon")</f>
        <v>Gabon</v>
      </c>
      <c r="D5508">
        <f>IFERROR(__xludf.DUMMYFUNCTION("""COMPUTED_VALUE"""),1994.0)</f>
        <v>1994</v>
      </c>
      <c r="E5508">
        <f>IFERROR(__xludf.DUMMYFUNCTION("""COMPUTED_VALUE"""),1058663.0)</f>
        <v>1058663</v>
      </c>
    </row>
    <row r="5509">
      <c r="A5509" t="str">
        <f t="shared" si="1"/>
        <v>gab#1995</v>
      </c>
      <c r="B5509" t="str">
        <f>IFERROR(__xludf.DUMMYFUNCTION("""COMPUTED_VALUE"""),"gab")</f>
        <v>gab</v>
      </c>
      <c r="C5509" t="str">
        <f>IFERROR(__xludf.DUMMYFUNCTION("""COMPUTED_VALUE"""),"Gabon")</f>
        <v>Gabon</v>
      </c>
      <c r="D5509">
        <f>IFERROR(__xludf.DUMMYFUNCTION("""COMPUTED_VALUE"""),1995.0)</f>
        <v>1995</v>
      </c>
      <c r="E5509">
        <f>IFERROR(__xludf.DUMMYFUNCTION("""COMPUTED_VALUE"""),1086137.0)</f>
        <v>1086137</v>
      </c>
    </row>
    <row r="5510">
      <c r="A5510" t="str">
        <f t="shared" si="1"/>
        <v>gab#1996</v>
      </c>
      <c r="B5510" t="str">
        <f>IFERROR(__xludf.DUMMYFUNCTION("""COMPUTED_VALUE"""),"gab")</f>
        <v>gab</v>
      </c>
      <c r="C5510" t="str">
        <f>IFERROR(__xludf.DUMMYFUNCTION("""COMPUTED_VALUE"""),"Gabon")</f>
        <v>Gabon</v>
      </c>
      <c r="D5510">
        <f>IFERROR(__xludf.DUMMYFUNCTION("""COMPUTED_VALUE"""),1996.0)</f>
        <v>1996</v>
      </c>
      <c r="E5510">
        <f>IFERROR(__xludf.DUMMYFUNCTION("""COMPUTED_VALUE"""),1113994.0)</f>
        <v>1113994</v>
      </c>
    </row>
    <row r="5511">
      <c r="A5511" t="str">
        <f t="shared" si="1"/>
        <v>gab#1997</v>
      </c>
      <c r="B5511" t="str">
        <f>IFERROR(__xludf.DUMMYFUNCTION("""COMPUTED_VALUE"""),"gab")</f>
        <v>gab</v>
      </c>
      <c r="C5511" t="str">
        <f>IFERROR(__xludf.DUMMYFUNCTION("""COMPUTED_VALUE"""),"Gabon")</f>
        <v>Gabon</v>
      </c>
      <c r="D5511">
        <f>IFERROR(__xludf.DUMMYFUNCTION("""COMPUTED_VALUE"""),1997.0)</f>
        <v>1997</v>
      </c>
      <c r="E5511">
        <f>IFERROR(__xludf.DUMMYFUNCTION("""COMPUTED_VALUE"""),1142324.0)</f>
        <v>1142324</v>
      </c>
    </row>
    <row r="5512">
      <c r="A5512" t="str">
        <f t="shared" si="1"/>
        <v>gab#1998</v>
      </c>
      <c r="B5512" t="str">
        <f>IFERROR(__xludf.DUMMYFUNCTION("""COMPUTED_VALUE"""),"gab")</f>
        <v>gab</v>
      </c>
      <c r="C5512" t="str">
        <f>IFERROR(__xludf.DUMMYFUNCTION("""COMPUTED_VALUE"""),"Gabon")</f>
        <v>Gabon</v>
      </c>
      <c r="D5512">
        <f>IFERROR(__xludf.DUMMYFUNCTION("""COMPUTED_VALUE"""),1998.0)</f>
        <v>1998</v>
      </c>
      <c r="E5512">
        <f>IFERROR(__xludf.DUMMYFUNCTION("""COMPUTED_VALUE"""),1171224.0)</f>
        <v>1171224</v>
      </c>
    </row>
    <row r="5513">
      <c r="A5513" t="str">
        <f t="shared" si="1"/>
        <v>gab#1999</v>
      </c>
      <c r="B5513" t="str">
        <f>IFERROR(__xludf.DUMMYFUNCTION("""COMPUTED_VALUE"""),"gab")</f>
        <v>gab</v>
      </c>
      <c r="C5513" t="str">
        <f>IFERROR(__xludf.DUMMYFUNCTION("""COMPUTED_VALUE"""),"Gabon")</f>
        <v>Gabon</v>
      </c>
      <c r="D5513">
        <f>IFERROR(__xludf.DUMMYFUNCTION("""COMPUTED_VALUE"""),1999.0)</f>
        <v>1999</v>
      </c>
      <c r="E5513">
        <f>IFERROR(__xludf.DUMMYFUNCTION("""COMPUTED_VALUE"""),1200773.0)</f>
        <v>1200773</v>
      </c>
    </row>
    <row r="5514">
      <c r="A5514" t="str">
        <f t="shared" si="1"/>
        <v>gab#2000</v>
      </c>
      <c r="B5514" t="str">
        <f>IFERROR(__xludf.DUMMYFUNCTION("""COMPUTED_VALUE"""),"gab")</f>
        <v>gab</v>
      </c>
      <c r="C5514" t="str">
        <f>IFERROR(__xludf.DUMMYFUNCTION("""COMPUTED_VALUE"""),"Gabon")</f>
        <v>Gabon</v>
      </c>
      <c r="D5514">
        <f>IFERROR(__xludf.DUMMYFUNCTION("""COMPUTED_VALUE"""),2000.0)</f>
        <v>2000</v>
      </c>
      <c r="E5514">
        <f>IFERROR(__xludf.DUMMYFUNCTION("""COMPUTED_VALUE"""),1231122.0)</f>
        <v>1231122</v>
      </c>
    </row>
    <row r="5515">
      <c r="A5515" t="str">
        <f t="shared" si="1"/>
        <v>gab#2001</v>
      </c>
      <c r="B5515" t="str">
        <f>IFERROR(__xludf.DUMMYFUNCTION("""COMPUTED_VALUE"""),"gab")</f>
        <v>gab</v>
      </c>
      <c r="C5515" t="str">
        <f>IFERROR(__xludf.DUMMYFUNCTION("""COMPUTED_VALUE"""),"Gabon")</f>
        <v>Gabon</v>
      </c>
      <c r="D5515">
        <f>IFERROR(__xludf.DUMMYFUNCTION("""COMPUTED_VALUE"""),2001.0)</f>
        <v>2001</v>
      </c>
      <c r="E5515">
        <f>IFERROR(__xludf.DUMMYFUNCTION("""COMPUTED_VALUE"""),1262259.0)</f>
        <v>1262259</v>
      </c>
    </row>
    <row r="5516">
      <c r="A5516" t="str">
        <f t="shared" si="1"/>
        <v>gab#2002</v>
      </c>
      <c r="B5516" t="str">
        <f>IFERROR(__xludf.DUMMYFUNCTION("""COMPUTED_VALUE"""),"gab")</f>
        <v>gab</v>
      </c>
      <c r="C5516" t="str">
        <f>IFERROR(__xludf.DUMMYFUNCTION("""COMPUTED_VALUE"""),"Gabon")</f>
        <v>Gabon</v>
      </c>
      <c r="D5516">
        <f>IFERROR(__xludf.DUMMYFUNCTION("""COMPUTED_VALUE"""),2002.0)</f>
        <v>2002</v>
      </c>
      <c r="E5516">
        <f>IFERROR(__xludf.DUMMYFUNCTION("""COMPUTED_VALUE"""),1294409.0)</f>
        <v>1294409</v>
      </c>
    </row>
    <row r="5517">
      <c r="A5517" t="str">
        <f t="shared" si="1"/>
        <v>gab#2003</v>
      </c>
      <c r="B5517" t="str">
        <f>IFERROR(__xludf.DUMMYFUNCTION("""COMPUTED_VALUE"""),"gab")</f>
        <v>gab</v>
      </c>
      <c r="C5517" t="str">
        <f>IFERROR(__xludf.DUMMYFUNCTION("""COMPUTED_VALUE"""),"Gabon")</f>
        <v>Gabon</v>
      </c>
      <c r="D5517">
        <f>IFERROR(__xludf.DUMMYFUNCTION("""COMPUTED_VALUE"""),2003.0)</f>
        <v>2003</v>
      </c>
      <c r="E5517">
        <f>IFERROR(__xludf.DUMMYFUNCTION("""COMPUTED_VALUE"""),1328146.0)</f>
        <v>1328146</v>
      </c>
    </row>
    <row r="5518">
      <c r="A5518" t="str">
        <f t="shared" si="1"/>
        <v>gab#2004</v>
      </c>
      <c r="B5518" t="str">
        <f>IFERROR(__xludf.DUMMYFUNCTION("""COMPUTED_VALUE"""),"gab")</f>
        <v>gab</v>
      </c>
      <c r="C5518" t="str">
        <f>IFERROR(__xludf.DUMMYFUNCTION("""COMPUTED_VALUE"""),"Gabon")</f>
        <v>Gabon</v>
      </c>
      <c r="D5518">
        <f>IFERROR(__xludf.DUMMYFUNCTION("""COMPUTED_VALUE"""),2004.0)</f>
        <v>2004</v>
      </c>
      <c r="E5518">
        <f>IFERROR(__xludf.DUMMYFUNCTION("""COMPUTED_VALUE"""),1364205.0)</f>
        <v>1364205</v>
      </c>
    </row>
    <row r="5519">
      <c r="A5519" t="str">
        <f t="shared" si="1"/>
        <v>gab#2005</v>
      </c>
      <c r="B5519" t="str">
        <f>IFERROR(__xludf.DUMMYFUNCTION("""COMPUTED_VALUE"""),"gab")</f>
        <v>gab</v>
      </c>
      <c r="C5519" t="str">
        <f>IFERROR(__xludf.DUMMYFUNCTION("""COMPUTED_VALUE"""),"Gabon")</f>
        <v>Gabon</v>
      </c>
      <c r="D5519">
        <f>IFERROR(__xludf.DUMMYFUNCTION("""COMPUTED_VALUE"""),2005.0)</f>
        <v>2005</v>
      </c>
      <c r="E5519">
        <f>IFERROR(__xludf.DUMMYFUNCTION("""COMPUTED_VALUE"""),1403126.0)</f>
        <v>1403126</v>
      </c>
    </row>
    <row r="5520">
      <c r="A5520" t="str">
        <f t="shared" si="1"/>
        <v>gab#2006</v>
      </c>
      <c r="B5520" t="str">
        <f>IFERROR(__xludf.DUMMYFUNCTION("""COMPUTED_VALUE"""),"gab")</f>
        <v>gab</v>
      </c>
      <c r="C5520" t="str">
        <f>IFERROR(__xludf.DUMMYFUNCTION("""COMPUTED_VALUE"""),"Gabon")</f>
        <v>Gabon</v>
      </c>
      <c r="D5520">
        <f>IFERROR(__xludf.DUMMYFUNCTION("""COMPUTED_VALUE"""),2006.0)</f>
        <v>2006</v>
      </c>
      <c r="E5520">
        <f>IFERROR(__xludf.DUMMYFUNCTION("""COMPUTED_VALUE"""),1444844.0)</f>
        <v>1444844</v>
      </c>
    </row>
    <row r="5521">
      <c r="A5521" t="str">
        <f t="shared" si="1"/>
        <v>gab#2007</v>
      </c>
      <c r="B5521" t="str">
        <f>IFERROR(__xludf.DUMMYFUNCTION("""COMPUTED_VALUE"""),"gab")</f>
        <v>gab</v>
      </c>
      <c r="C5521" t="str">
        <f>IFERROR(__xludf.DUMMYFUNCTION("""COMPUTED_VALUE"""),"Gabon")</f>
        <v>Gabon</v>
      </c>
      <c r="D5521">
        <f>IFERROR(__xludf.DUMMYFUNCTION("""COMPUTED_VALUE"""),2007.0)</f>
        <v>2007</v>
      </c>
      <c r="E5521">
        <f>IFERROR(__xludf.DUMMYFUNCTION("""COMPUTED_VALUE"""),1489193.0)</f>
        <v>1489193</v>
      </c>
    </row>
    <row r="5522">
      <c r="A5522" t="str">
        <f t="shared" si="1"/>
        <v>gab#2008</v>
      </c>
      <c r="B5522" t="str">
        <f>IFERROR(__xludf.DUMMYFUNCTION("""COMPUTED_VALUE"""),"gab")</f>
        <v>gab</v>
      </c>
      <c r="C5522" t="str">
        <f>IFERROR(__xludf.DUMMYFUNCTION("""COMPUTED_VALUE"""),"Gabon")</f>
        <v>Gabon</v>
      </c>
      <c r="D5522">
        <f>IFERROR(__xludf.DUMMYFUNCTION("""COMPUTED_VALUE"""),2008.0)</f>
        <v>2008</v>
      </c>
      <c r="E5522">
        <f>IFERROR(__xludf.DUMMYFUNCTION("""COMPUTED_VALUE"""),1536411.0)</f>
        <v>1536411</v>
      </c>
    </row>
    <row r="5523">
      <c r="A5523" t="str">
        <f t="shared" si="1"/>
        <v>gab#2009</v>
      </c>
      <c r="B5523" t="str">
        <f>IFERROR(__xludf.DUMMYFUNCTION("""COMPUTED_VALUE"""),"gab")</f>
        <v>gab</v>
      </c>
      <c r="C5523" t="str">
        <f>IFERROR(__xludf.DUMMYFUNCTION("""COMPUTED_VALUE"""),"Gabon")</f>
        <v>Gabon</v>
      </c>
      <c r="D5523">
        <f>IFERROR(__xludf.DUMMYFUNCTION("""COMPUTED_VALUE"""),2009.0)</f>
        <v>2009</v>
      </c>
      <c r="E5523">
        <f>IFERROR(__xludf.DUMMYFUNCTION("""COMPUTED_VALUE"""),1586754.0)</f>
        <v>1586754</v>
      </c>
    </row>
    <row r="5524">
      <c r="A5524" t="str">
        <f t="shared" si="1"/>
        <v>gab#2010</v>
      </c>
      <c r="B5524" t="str">
        <f>IFERROR(__xludf.DUMMYFUNCTION("""COMPUTED_VALUE"""),"gab")</f>
        <v>gab</v>
      </c>
      <c r="C5524" t="str">
        <f>IFERROR(__xludf.DUMMYFUNCTION("""COMPUTED_VALUE"""),"Gabon")</f>
        <v>Gabon</v>
      </c>
      <c r="D5524">
        <f>IFERROR(__xludf.DUMMYFUNCTION("""COMPUTED_VALUE"""),2010.0)</f>
        <v>2010</v>
      </c>
      <c r="E5524">
        <f>IFERROR(__xludf.DUMMYFUNCTION("""COMPUTED_VALUE"""),1640210.0)</f>
        <v>1640210</v>
      </c>
    </row>
    <row r="5525">
      <c r="A5525" t="str">
        <f t="shared" si="1"/>
        <v>gab#2011</v>
      </c>
      <c r="B5525" t="str">
        <f>IFERROR(__xludf.DUMMYFUNCTION("""COMPUTED_VALUE"""),"gab")</f>
        <v>gab</v>
      </c>
      <c r="C5525" t="str">
        <f>IFERROR(__xludf.DUMMYFUNCTION("""COMPUTED_VALUE"""),"Gabon")</f>
        <v>Gabon</v>
      </c>
      <c r="D5525">
        <f>IFERROR(__xludf.DUMMYFUNCTION("""COMPUTED_VALUE"""),2011.0)</f>
        <v>2011</v>
      </c>
      <c r="E5525">
        <f>IFERROR(__xludf.DUMMYFUNCTION("""COMPUTED_VALUE"""),1697101.0)</f>
        <v>1697101</v>
      </c>
    </row>
    <row r="5526">
      <c r="A5526" t="str">
        <f t="shared" si="1"/>
        <v>gab#2012</v>
      </c>
      <c r="B5526" t="str">
        <f>IFERROR(__xludf.DUMMYFUNCTION("""COMPUTED_VALUE"""),"gab")</f>
        <v>gab</v>
      </c>
      <c r="C5526" t="str">
        <f>IFERROR(__xludf.DUMMYFUNCTION("""COMPUTED_VALUE"""),"Gabon")</f>
        <v>Gabon</v>
      </c>
      <c r="D5526">
        <f>IFERROR(__xludf.DUMMYFUNCTION("""COMPUTED_VALUE"""),2012.0)</f>
        <v>2012</v>
      </c>
      <c r="E5526">
        <f>IFERROR(__xludf.DUMMYFUNCTION("""COMPUTED_VALUE"""),1756817.0)</f>
        <v>1756817</v>
      </c>
    </row>
    <row r="5527">
      <c r="A5527" t="str">
        <f t="shared" si="1"/>
        <v>gab#2013</v>
      </c>
      <c r="B5527" t="str">
        <f>IFERROR(__xludf.DUMMYFUNCTION("""COMPUTED_VALUE"""),"gab")</f>
        <v>gab</v>
      </c>
      <c r="C5527" t="str">
        <f>IFERROR(__xludf.DUMMYFUNCTION("""COMPUTED_VALUE"""),"Gabon")</f>
        <v>Gabon</v>
      </c>
      <c r="D5527">
        <f>IFERROR(__xludf.DUMMYFUNCTION("""COMPUTED_VALUE"""),2013.0)</f>
        <v>2013</v>
      </c>
      <c r="E5527">
        <f>IFERROR(__xludf.DUMMYFUNCTION("""COMPUTED_VALUE"""),1817271.0)</f>
        <v>1817271</v>
      </c>
    </row>
    <row r="5528">
      <c r="A5528" t="str">
        <f t="shared" si="1"/>
        <v>gab#2014</v>
      </c>
      <c r="B5528" t="str">
        <f>IFERROR(__xludf.DUMMYFUNCTION("""COMPUTED_VALUE"""),"gab")</f>
        <v>gab</v>
      </c>
      <c r="C5528" t="str">
        <f>IFERROR(__xludf.DUMMYFUNCTION("""COMPUTED_VALUE"""),"Gabon")</f>
        <v>Gabon</v>
      </c>
      <c r="D5528">
        <f>IFERROR(__xludf.DUMMYFUNCTION("""COMPUTED_VALUE"""),2014.0)</f>
        <v>2014</v>
      </c>
      <c r="E5528">
        <f>IFERROR(__xludf.DUMMYFUNCTION("""COMPUTED_VALUE"""),1875713.0)</f>
        <v>1875713</v>
      </c>
    </row>
    <row r="5529">
      <c r="A5529" t="str">
        <f t="shared" si="1"/>
        <v>gab#2015</v>
      </c>
      <c r="B5529" t="str">
        <f>IFERROR(__xludf.DUMMYFUNCTION("""COMPUTED_VALUE"""),"gab")</f>
        <v>gab</v>
      </c>
      <c r="C5529" t="str">
        <f>IFERROR(__xludf.DUMMYFUNCTION("""COMPUTED_VALUE"""),"Gabon")</f>
        <v>Gabon</v>
      </c>
      <c r="D5529">
        <f>IFERROR(__xludf.DUMMYFUNCTION("""COMPUTED_VALUE"""),2015.0)</f>
        <v>2015</v>
      </c>
      <c r="E5529">
        <f>IFERROR(__xludf.DUMMYFUNCTION("""COMPUTED_VALUE"""),1930175.0)</f>
        <v>1930175</v>
      </c>
    </row>
    <row r="5530">
      <c r="A5530" t="str">
        <f t="shared" si="1"/>
        <v>gab#2016</v>
      </c>
      <c r="B5530" t="str">
        <f>IFERROR(__xludf.DUMMYFUNCTION("""COMPUTED_VALUE"""),"gab")</f>
        <v>gab</v>
      </c>
      <c r="C5530" t="str">
        <f>IFERROR(__xludf.DUMMYFUNCTION("""COMPUTED_VALUE"""),"Gabon")</f>
        <v>Gabon</v>
      </c>
      <c r="D5530">
        <f>IFERROR(__xludf.DUMMYFUNCTION("""COMPUTED_VALUE"""),2016.0)</f>
        <v>2016</v>
      </c>
      <c r="E5530">
        <f>IFERROR(__xludf.DUMMYFUNCTION("""COMPUTED_VALUE"""),1979786.0)</f>
        <v>1979786</v>
      </c>
    </row>
    <row r="5531">
      <c r="A5531" t="str">
        <f t="shared" si="1"/>
        <v>gab#2017</v>
      </c>
      <c r="B5531" t="str">
        <f>IFERROR(__xludf.DUMMYFUNCTION("""COMPUTED_VALUE"""),"gab")</f>
        <v>gab</v>
      </c>
      <c r="C5531" t="str">
        <f>IFERROR(__xludf.DUMMYFUNCTION("""COMPUTED_VALUE"""),"Gabon")</f>
        <v>Gabon</v>
      </c>
      <c r="D5531">
        <f>IFERROR(__xludf.DUMMYFUNCTION("""COMPUTED_VALUE"""),2017.0)</f>
        <v>2017</v>
      </c>
      <c r="E5531">
        <f>IFERROR(__xludf.DUMMYFUNCTION("""COMPUTED_VALUE"""),2025137.0)</f>
        <v>2025137</v>
      </c>
    </row>
    <row r="5532">
      <c r="A5532" t="str">
        <f t="shared" si="1"/>
        <v>gab#2018</v>
      </c>
      <c r="B5532" t="str">
        <f>IFERROR(__xludf.DUMMYFUNCTION("""COMPUTED_VALUE"""),"gab")</f>
        <v>gab</v>
      </c>
      <c r="C5532" t="str">
        <f>IFERROR(__xludf.DUMMYFUNCTION("""COMPUTED_VALUE"""),"Gabon")</f>
        <v>Gabon</v>
      </c>
      <c r="D5532">
        <f>IFERROR(__xludf.DUMMYFUNCTION("""COMPUTED_VALUE"""),2018.0)</f>
        <v>2018</v>
      </c>
      <c r="E5532">
        <f>IFERROR(__xludf.DUMMYFUNCTION("""COMPUTED_VALUE"""),2067561.0)</f>
        <v>2067561</v>
      </c>
    </row>
    <row r="5533">
      <c r="A5533" t="str">
        <f t="shared" si="1"/>
        <v>gab#2019</v>
      </c>
      <c r="B5533" t="str">
        <f>IFERROR(__xludf.DUMMYFUNCTION("""COMPUTED_VALUE"""),"gab")</f>
        <v>gab</v>
      </c>
      <c r="C5533" t="str">
        <f>IFERROR(__xludf.DUMMYFUNCTION("""COMPUTED_VALUE"""),"Gabon")</f>
        <v>Gabon</v>
      </c>
      <c r="D5533">
        <f>IFERROR(__xludf.DUMMYFUNCTION("""COMPUTED_VALUE"""),2019.0)</f>
        <v>2019</v>
      </c>
      <c r="E5533">
        <f>IFERROR(__xludf.DUMMYFUNCTION("""COMPUTED_VALUE"""),2109099.0)</f>
        <v>2109099</v>
      </c>
    </row>
    <row r="5534">
      <c r="A5534" t="str">
        <f t="shared" si="1"/>
        <v>gab#2020</v>
      </c>
      <c r="B5534" t="str">
        <f>IFERROR(__xludf.DUMMYFUNCTION("""COMPUTED_VALUE"""),"gab")</f>
        <v>gab</v>
      </c>
      <c r="C5534" t="str">
        <f>IFERROR(__xludf.DUMMYFUNCTION("""COMPUTED_VALUE"""),"Gabon")</f>
        <v>Gabon</v>
      </c>
      <c r="D5534">
        <f>IFERROR(__xludf.DUMMYFUNCTION("""COMPUTED_VALUE"""),2020.0)</f>
        <v>2020</v>
      </c>
      <c r="E5534">
        <f>IFERROR(__xludf.DUMMYFUNCTION("""COMPUTED_VALUE"""),2151289.0)</f>
        <v>2151289</v>
      </c>
    </row>
    <row r="5535">
      <c r="A5535" t="str">
        <f t="shared" si="1"/>
        <v>gab#2021</v>
      </c>
      <c r="B5535" t="str">
        <f>IFERROR(__xludf.DUMMYFUNCTION("""COMPUTED_VALUE"""),"gab")</f>
        <v>gab</v>
      </c>
      <c r="C5535" t="str">
        <f>IFERROR(__xludf.DUMMYFUNCTION("""COMPUTED_VALUE"""),"Gabon")</f>
        <v>Gabon</v>
      </c>
      <c r="D5535">
        <f>IFERROR(__xludf.DUMMYFUNCTION("""COMPUTED_VALUE"""),2021.0)</f>
        <v>2021</v>
      </c>
      <c r="E5535">
        <f>IFERROR(__xludf.DUMMYFUNCTION("""COMPUTED_VALUE"""),2194488.0)</f>
        <v>2194488</v>
      </c>
    </row>
    <row r="5536">
      <c r="A5536" t="str">
        <f t="shared" si="1"/>
        <v>gab#2022</v>
      </c>
      <c r="B5536" t="str">
        <f>IFERROR(__xludf.DUMMYFUNCTION("""COMPUTED_VALUE"""),"gab")</f>
        <v>gab</v>
      </c>
      <c r="C5536" t="str">
        <f>IFERROR(__xludf.DUMMYFUNCTION("""COMPUTED_VALUE"""),"Gabon")</f>
        <v>Gabon</v>
      </c>
      <c r="D5536">
        <f>IFERROR(__xludf.DUMMYFUNCTION("""COMPUTED_VALUE"""),2022.0)</f>
        <v>2022</v>
      </c>
      <c r="E5536">
        <f>IFERROR(__xludf.DUMMYFUNCTION("""COMPUTED_VALUE"""),2238282.0)</f>
        <v>2238282</v>
      </c>
    </row>
    <row r="5537">
      <c r="A5537" t="str">
        <f t="shared" si="1"/>
        <v>gab#2023</v>
      </c>
      <c r="B5537" t="str">
        <f>IFERROR(__xludf.DUMMYFUNCTION("""COMPUTED_VALUE"""),"gab")</f>
        <v>gab</v>
      </c>
      <c r="C5537" t="str">
        <f>IFERROR(__xludf.DUMMYFUNCTION("""COMPUTED_VALUE"""),"Gabon")</f>
        <v>Gabon</v>
      </c>
      <c r="D5537">
        <f>IFERROR(__xludf.DUMMYFUNCTION("""COMPUTED_VALUE"""),2023.0)</f>
        <v>2023</v>
      </c>
      <c r="E5537">
        <f>IFERROR(__xludf.DUMMYFUNCTION("""COMPUTED_VALUE"""),2282534.0)</f>
        <v>2282534</v>
      </c>
    </row>
    <row r="5538">
      <c r="A5538" t="str">
        <f t="shared" si="1"/>
        <v>gab#2024</v>
      </c>
      <c r="B5538" t="str">
        <f>IFERROR(__xludf.DUMMYFUNCTION("""COMPUTED_VALUE"""),"gab")</f>
        <v>gab</v>
      </c>
      <c r="C5538" t="str">
        <f>IFERROR(__xludf.DUMMYFUNCTION("""COMPUTED_VALUE"""),"Gabon")</f>
        <v>Gabon</v>
      </c>
      <c r="D5538">
        <f>IFERROR(__xludf.DUMMYFUNCTION("""COMPUTED_VALUE"""),2024.0)</f>
        <v>2024</v>
      </c>
      <c r="E5538">
        <f>IFERROR(__xludf.DUMMYFUNCTION("""COMPUTED_VALUE"""),2326901.0)</f>
        <v>2326901</v>
      </c>
    </row>
    <row r="5539">
      <c r="A5539" t="str">
        <f t="shared" si="1"/>
        <v>gab#2025</v>
      </c>
      <c r="B5539" t="str">
        <f>IFERROR(__xludf.DUMMYFUNCTION("""COMPUTED_VALUE"""),"gab")</f>
        <v>gab</v>
      </c>
      <c r="C5539" t="str">
        <f>IFERROR(__xludf.DUMMYFUNCTION("""COMPUTED_VALUE"""),"Gabon")</f>
        <v>Gabon</v>
      </c>
      <c r="D5539">
        <f>IFERROR(__xludf.DUMMYFUNCTION("""COMPUTED_VALUE"""),2025.0)</f>
        <v>2025</v>
      </c>
      <c r="E5539">
        <f>IFERROR(__xludf.DUMMYFUNCTION("""COMPUTED_VALUE"""),2371137.0)</f>
        <v>2371137</v>
      </c>
    </row>
    <row r="5540">
      <c r="A5540" t="str">
        <f t="shared" si="1"/>
        <v>gab#2026</v>
      </c>
      <c r="B5540" t="str">
        <f>IFERROR(__xludf.DUMMYFUNCTION("""COMPUTED_VALUE"""),"gab")</f>
        <v>gab</v>
      </c>
      <c r="C5540" t="str">
        <f>IFERROR(__xludf.DUMMYFUNCTION("""COMPUTED_VALUE"""),"Gabon")</f>
        <v>Gabon</v>
      </c>
      <c r="D5540">
        <f>IFERROR(__xludf.DUMMYFUNCTION("""COMPUTED_VALUE"""),2026.0)</f>
        <v>2026</v>
      </c>
      <c r="E5540">
        <f>IFERROR(__xludf.DUMMYFUNCTION("""COMPUTED_VALUE"""),2415315.0)</f>
        <v>2415315</v>
      </c>
    </row>
    <row r="5541">
      <c r="A5541" t="str">
        <f t="shared" si="1"/>
        <v>gab#2027</v>
      </c>
      <c r="B5541" t="str">
        <f>IFERROR(__xludf.DUMMYFUNCTION("""COMPUTED_VALUE"""),"gab")</f>
        <v>gab</v>
      </c>
      <c r="C5541" t="str">
        <f>IFERROR(__xludf.DUMMYFUNCTION("""COMPUTED_VALUE"""),"Gabon")</f>
        <v>Gabon</v>
      </c>
      <c r="D5541">
        <f>IFERROR(__xludf.DUMMYFUNCTION("""COMPUTED_VALUE"""),2027.0)</f>
        <v>2027</v>
      </c>
      <c r="E5541">
        <f>IFERROR(__xludf.DUMMYFUNCTION("""COMPUTED_VALUE"""),2459617.0)</f>
        <v>2459617</v>
      </c>
    </row>
    <row r="5542">
      <c r="A5542" t="str">
        <f t="shared" si="1"/>
        <v>gab#2028</v>
      </c>
      <c r="B5542" t="str">
        <f>IFERROR(__xludf.DUMMYFUNCTION("""COMPUTED_VALUE"""),"gab")</f>
        <v>gab</v>
      </c>
      <c r="C5542" t="str">
        <f>IFERROR(__xludf.DUMMYFUNCTION("""COMPUTED_VALUE"""),"Gabon")</f>
        <v>Gabon</v>
      </c>
      <c r="D5542">
        <f>IFERROR(__xludf.DUMMYFUNCTION("""COMPUTED_VALUE"""),2028.0)</f>
        <v>2028</v>
      </c>
      <c r="E5542">
        <f>IFERROR(__xludf.DUMMYFUNCTION("""COMPUTED_VALUE"""),2504065.0)</f>
        <v>2504065</v>
      </c>
    </row>
    <row r="5543">
      <c r="A5543" t="str">
        <f t="shared" si="1"/>
        <v>gab#2029</v>
      </c>
      <c r="B5543" t="str">
        <f>IFERROR(__xludf.DUMMYFUNCTION("""COMPUTED_VALUE"""),"gab")</f>
        <v>gab</v>
      </c>
      <c r="C5543" t="str">
        <f>IFERROR(__xludf.DUMMYFUNCTION("""COMPUTED_VALUE"""),"Gabon")</f>
        <v>Gabon</v>
      </c>
      <c r="D5543">
        <f>IFERROR(__xludf.DUMMYFUNCTION("""COMPUTED_VALUE"""),2029.0)</f>
        <v>2029</v>
      </c>
      <c r="E5543">
        <f>IFERROR(__xludf.DUMMYFUNCTION("""COMPUTED_VALUE"""),2548693.0)</f>
        <v>2548693</v>
      </c>
    </row>
    <row r="5544">
      <c r="A5544" t="str">
        <f t="shared" si="1"/>
        <v>gab#2030</v>
      </c>
      <c r="B5544" t="str">
        <f>IFERROR(__xludf.DUMMYFUNCTION("""COMPUTED_VALUE"""),"gab")</f>
        <v>gab</v>
      </c>
      <c r="C5544" t="str">
        <f>IFERROR(__xludf.DUMMYFUNCTION("""COMPUTED_VALUE"""),"Gabon")</f>
        <v>Gabon</v>
      </c>
      <c r="D5544">
        <f>IFERROR(__xludf.DUMMYFUNCTION("""COMPUTED_VALUE"""),2030.0)</f>
        <v>2030</v>
      </c>
      <c r="E5544">
        <f>IFERROR(__xludf.DUMMYFUNCTION("""COMPUTED_VALUE"""),2593514.0)</f>
        <v>2593514</v>
      </c>
    </row>
    <row r="5545">
      <c r="A5545" t="str">
        <f t="shared" si="1"/>
        <v>gab#2031</v>
      </c>
      <c r="B5545" t="str">
        <f>IFERROR(__xludf.DUMMYFUNCTION("""COMPUTED_VALUE"""),"gab")</f>
        <v>gab</v>
      </c>
      <c r="C5545" t="str">
        <f>IFERROR(__xludf.DUMMYFUNCTION("""COMPUTED_VALUE"""),"Gabon")</f>
        <v>Gabon</v>
      </c>
      <c r="D5545">
        <f>IFERROR(__xludf.DUMMYFUNCTION("""COMPUTED_VALUE"""),2031.0)</f>
        <v>2031</v>
      </c>
      <c r="E5545">
        <f>IFERROR(__xludf.DUMMYFUNCTION("""COMPUTED_VALUE"""),2638542.0)</f>
        <v>2638542</v>
      </c>
    </row>
    <row r="5546">
      <c r="A5546" t="str">
        <f t="shared" si="1"/>
        <v>gab#2032</v>
      </c>
      <c r="B5546" t="str">
        <f>IFERROR(__xludf.DUMMYFUNCTION("""COMPUTED_VALUE"""),"gab")</f>
        <v>gab</v>
      </c>
      <c r="C5546" t="str">
        <f>IFERROR(__xludf.DUMMYFUNCTION("""COMPUTED_VALUE"""),"Gabon")</f>
        <v>Gabon</v>
      </c>
      <c r="D5546">
        <f>IFERROR(__xludf.DUMMYFUNCTION("""COMPUTED_VALUE"""),2032.0)</f>
        <v>2032</v>
      </c>
      <c r="E5546">
        <f>IFERROR(__xludf.DUMMYFUNCTION("""COMPUTED_VALUE"""),2683764.0)</f>
        <v>2683764</v>
      </c>
    </row>
    <row r="5547">
      <c r="A5547" t="str">
        <f t="shared" si="1"/>
        <v>gab#2033</v>
      </c>
      <c r="B5547" t="str">
        <f>IFERROR(__xludf.DUMMYFUNCTION("""COMPUTED_VALUE"""),"gab")</f>
        <v>gab</v>
      </c>
      <c r="C5547" t="str">
        <f>IFERROR(__xludf.DUMMYFUNCTION("""COMPUTED_VALUE"""),"Gabon")</f>
        <v>Gabon</v>
      </c>
      <c r="D5547">
        <f>IFERROR(__xludf.DUMMYFUNCTION("""COMPUTED_VALUE"""),2033.0)</f>
        <v>2033</v>
      </c>
      <c r="E5547">
        <f>IFERROR(__xludf.DUMMYFUNCTION("""COMPUTED_VALUE"""),2729214.0)</f>
        <v>2729214</v>
      </c>
    </row>
    <row r="5548">
      <c r="A5548" t="str">
        <f t="shared" si="1"/>
        <v>gab#2034</v>
      </c>
      <c r="B5548" t="str">
        <f>IFERROR(__xludf.DUMMYFUNCTION("""COMPUTED_VALUE"""),"gab")</f>
        <v>gab</v>
      </c>
      <c r="C5548" t="str">
        <f>IFERROR(__xludf.DUMMYFUNCTION("""COMPUTED_VALUE"""),"Gabon")</f>
        <v>Gabon</v>
      </c>
      <c r="D5548">
        <f>IFERROR(__xludf.DUMMYFUNCTION("""COMPUTED_VALUE"""),2034.0)</f>
        <v>2034</v>
      </c>
      <c r="E5548">
        <f>IFERROR(__xludf.DUMMYFUNCTION("""COMPUTED_VALUE"""),2774890.0)</f>
        <v>2774890</v>
      </c>
    </row>
    <row r="5549">
      <c r="A5549" t="str">
        <f t="shared" si="1"/>
        <v>gab#2035</v>
      </c>
      <c r="B5549" t="str">
        <f>IFERROR(__xludf.DUMMYFUNCTION("""COMPUTED_VALUE"""),"gab")</f>
        <v>gab</v>
      </c>
      <c r="C5549" t="str">
        <f>IFERROR(__xludf.DUMMYFUNCTION("""COMPUTED_VALUE"""),"Gabon")</f>
        <v>Gabon</v>
      </c>
      <c r="D5549">
        <f>IFERROR(__xludf.DUMMYFUNCTION("""COMPUTED_VALUE"""),2035.0)</f>
        <v>2035</v>
      </c>
      <c r="E5549">
        <f>IFERROR(__xludf.DUMMYFUNCTION("""COMPUTED_VALUE"""),2820808.0)</f>
        <v>2820808</v>
      </c>
    </row>
    <row r="5550">
      <c r="A5550" t="str">
        <f t="shared" si="1"/>
        <v>gab#2036</v>
      </c>
      <c r="B5550" t="str">
        <f>IFERROR(__xludf.DUMMYFUNCTION("""COMPUTED_VALUE"""),"gab")</f>
        <v>gab</v>
      </c>
      <c r="C5550" t="str">
        <f>IFERROR(__xludf.DUMMYFUNCTION("""COMPUTED_VALUE"""),"Gabon")</f>
        <v>Gabon</v>
      </c>
      <c r="D5550">
        <f>IFERROR(__xludf.DUMMYFUNCTION("""COMPUTED_VALUE"""),2036.0)</f>
        <v>2036</v>
      </c>
      <c r="E5550">
        <f>IFERROR(__xludf.DUMMYFUNCTION("""COMPUTED_VALUE"""),2866951.0)</f>
        <v>2866951</v>
      </c>
    </row>
    <row r="5551">
      <c r="A5551" t="str">
        <f t="shared" si="1"/>
        <v>gab#2037</v>
      </c>
      <c r="B5551" t="str">
        <f>IFERROR(__xludf.DUMMYFUNCTION("""COMPUTED_VALUE"""),"gab")</f>
        <v>gab</v>
      </c>
      <c r="C5551" t="str">
        <f>IFERROR(__xludf.DUMMYFUNCTION("""COMPUTED_VALUE"""),"Gabon")</f>
        <v>Gabon</v>
      </c>
      <c r="D5551">
        <f>IFERROR(__xludf.DUMMYFUNCTION("""COMPUTED_VALUE"""),2037.0)</f>
        <v>2037</v>
      </c>
      <c r="E5551">
        <f>IFERROR(__xludf.DUMMYFUNCTION("""COMPUTED_VALUE"""),2913301.0)</f>
        <v>2913301</v>
      </c>
    </row>
    <row r="5552">
      <c r="A5552" t="str">
        <f t="shared" si="1"/>
        <v>gab#2038</v>
      </c>
      <c r="B5552" t="str">
        <f>IFERROR(__xludf.DUMMYFUNCTION("""COMPUTED_VALUE"""),"gab")</f>
        <v>gab</v>
      </c>
      <c r="C5552" t="str">
        <f>IFERROR(__xludf.DUMMYFUNCTION("""COMPUTED_VALUE"""),"Gabon")</f>
        <v>Gabon</v>
      </c>
      <c r="D5552">
        <f>IFERROR(__xludf.DUMMYFUNCTION("""COMPUTED_VALUE"""),2038.0)</f>
        <v>2038</v>
      </c>
      <c r="E5552">
        <f>IFERROR(__xludf.DUMMYFUNCTION("""COMPUTED_VALUE"""),2959830.0)</f>
        <v>2959830</v>
      </c>
    </row>
    <row r="5553">
      <c r="A5553" t="str">
        <f t="shared" si="1"/>
        <v>gab#2039</v>
      </c>
      <c r="B5553" t="str">
        <f>IFERROR(__xludf.DUMMYFUNCTION("""COMPUTED_VALUE"""),"gab")</f>
        <v>gab</v>
      </c>
      <c r="C5553" t="str">
        <f>IFERROR(__xludf.DUMMYFUNCTION("""COMPUTED_VALUE"""),"Gabon")</f>
        <v>Gabon</v>
      </c>
      <c r="D5553">
        <f>IFERROR(__xludf.DUMMYFUNCTION("""COMPUTED_VALUE"""),2039.0)</f>
        <v>2039</v>
      </c>
      <c r="E5553">
        <f>IFERROR(__xludf.DUMMYFUNCTION("""COMPUTED_VALUE"""),3006498.0)</f>
        <v>3006498</v>
      </c>
    </row>
    <row r="5554">
      <c r="A5554" t="str">
        <f t="shared" si="1"/>
        <v>gab#2040</v>
      </c>
      <c r="B5554" t="str">
        <f>IFERROR(__xludf.DUMMYFUNCTION("""COMPUTED_VALUE"""),"gab")</f>
        <v>gab</v>
      </c>
      <c r="C5554" t="str">
        <f>IFERROR(__xludf.DUMMYFUNCTION("""COMPUTED_VALUE"""),"Gabon")</f>
        <v>Gabon</v>
      </c>
      <c r="D5554">
        <f>IFERROR(__xludf.DUMMYFUNCTION("""COMPUTED_VALUE"""),2040.0)</f>
        <v>2040</v>
      </c>
      <c r="E5554">
        <f>IFERROR(__xludf.DUMMYFUNCTION("""COMPUTED_VALUE"""),3053264.0)</f>
        <v>3053264</v>
      </c>
    </row>
    <row r="5555">
      <c r="A5555" t="str">
        <f t="shared" si="1"/>
        <v>gmb#1950</v>
      </c>
      <c r="B5555" t="str">
        <f>IFERROR(__xludf.DUMMYFUNCTION("""COMPUTED_VALUE"""),"gmb")</f>
        <v>gmb</v>
      </c>
      <c r="C5555" t="str">
        <f>IFERROR(__xludf.DUMMYFUNCTION("""COMPUTED_VALUE"""),"Gambia")</f>
        <v>Gambia</v>
      </c>
      <c r="D5555">
        <f>IFERROR(__xludf.DUMMYFUNCTION("""COMPUTED_VALUE"""),1950.0)</f>
        <v>1950</v>
      </c>
      <c r="E5555">
        <f>IFERROR(__xludf.DUMMYFUNCTION("""COMPUTED_VALUE"""),271377.0)</f>
        <v>271377</v>
      </c>
    </row>
    <row r="5556">
      <c r="A5556" t="str">
        <f t="shared" si="1"/>
        <v>gmb#1951</v>
      </c>
      <c r="B5556" t="str">
        <f>IFERROR(__xludf.DUMMYFUNCTION("""COMPUTED_VALUE"""),"gmb")</f>
        <v>gmb</v>
      </c>
      <c r="C5556" t="str">
        <f>IFERROR(__xludf.DUMMYFUNCTION("""COMPUTED_VALUE"""),"Gambia")</f>
        <v>Gambia</v>
      </c>
      <c r="D5556">
        <f>IFERROR(__xludf.DUMMYFUNCTION("""COMPUTED_VALUE"""),1951.0)</f>
        <v>1951</v>
      </c>
      <c r="E5556">
        <f>IFERROR(__xludf.DUMMYFUNCTION("""COMPUTED_VALUE"""),272720.0)</f>
        <v>272720</v>
      </c>
    </row>
    <row r="5557">
      <c r="A5557" t="str">
        <f t="shared" si="1"/>
        <v>gmb#1952</v>
      </c>
      <c r="B5557" t="str">
        <f>IFERROR(__xludf.DUMMYFUNCTION("""COMPUTED_VALUE"""),"gmb")</f>
        <v>gmb</v>
      </c>
      <c r="C5557" t="str">
        <f>IFERROR(__xludf.DUMMYFUNCTION("""COMPUTED_VALUE"""),"Gambia")</f>
        <v>Gambia</v>
      </c>
      <c r="D5557">
        <f>IFERROR(__xludf.DUMMYFUNCTION("""COMPUTED_VALUE"""),1952.0)</f>
        <v>1952</v>
      </c>
      <c r="E5557">
        <f>IFERROR(__xludf.DUMMYFUNCTION("""COMPUTED_VALUE"""),276773.0)</f>
        <v>276773</v>
      </c>
    </row>
    <row r="5558">
      <c r="A5558" t="str">
        <f t="shared" si="1"/>
        <v>gmb#1953</v>
      </c>
      <c r="B5558" t="str">
        <f>IFERROR(__xludf.DUMMYFUNCTION("""COMPUTED_VALUE"""),"gmb")</f>
        <v>gmb</v>
      </c>
      <c r="C5558" t="str">
        <f>IFERROR(__xludf.DUMMYFUNCTION("""COMPUTED_VALUE"""),"Gambia")</f>
        <v>Gambia</v>
      </c>
      <c r="D5558">
        <f>IFERROR(__xludf.DUMMYFUNCTION("""COMPUTED_VALUE"""),1953.0)</f>
        <v>1953</v>
      </c>
      <c r="E5558">
        <f>IFERROR(__xludf.DUMMYFUNCTION("""COMPUTED_VALUE"""),283505.0)</f>
        <v>283505</v>
      </c>
    </row>
    <row r="5559">
      <c r="A5559" t="str">
        <f t="shared" si="1"/>
        <v>gmb#1954</v>
      </c>
      <c r="B5559" t="str">
        <f>IFERROR(__xludf.DUMMYFUNCTION("""COMPUTED_VALUE"""),"gmb")</f>
        <v>gmb</v>
      </c>
      <c r="C5559" t="str">
        <f>IFERROR(__xludf.DUMMYFUNCTION("""COMPUTED_VALUE"""),"Gambia")</f>
        <v>Gambia</v>
      </c>
      <c r="D5559">
        <f>IFERROR(__xludf.DUMMYFUNCTION("""COMPUTED_VALUE"""),1954.0)</f>
        <v>1954</v>
      </c>
      <c r="E5559">
        <f>IFERROR(__xludf.DUMMYFUNCTION("""COMPUTED_VALUE"""),292713.0)</f>
        <v>292713</v>
      </c>
    </row>
    <row r="5560">
      <c r="A5560" t="str">
        <f t="shared" si="1"/>
        <v>gmb#1955</v>
      </c>
      <c r="B5560" t="str">
        <f>IFERROR(__xludf.DUMMYFUNCTION("""COMPUTED_VALUE"""),"gmb")</f>
        <v>gmb</v>
      </c>
      <c r="C5560" t="str">
        <f>IFERROR(__xludf.DUMMYFUNCTION("""COMPUTED_VALUE"""),"Gambia")</f>
        <v>Gambia</v>
      </c>
      <c r="D5560">
        <f>IFERROR(__xludf.DUMMYFUNCTION("""COMPUTED_VALUE"""),1955.0)</f>
        <v>1955</v>
      </c>
      <c r="E5560">
        <f>IFERROR(__xludf.DUMMYFUNCTION("""COMPUTED_VALUE"""),304029.0)</f>
        <v>304029</v>
      </c>
    </row>
    <row r="5561">
      <c r="A5561" t="str">
        <f t="shared" si="1"/>
        <v>gmb#1956</v>
      </c>
      <c r="B5561" t="str">
        <f>IFERROR(__xludf.DUMMYFUNCTION("""COMPUTED_VALUE"""),"gmb")</f>
        <v>gmb</v>
      </c>
      <c r="C5561" t="str">
        <f>IFERROR(__xludf.DUMMYFUNCTION("""COMPUTED_VALUE"""),"Gambia")</f>
        <v>Gambia</v>
      </c>
      <c r="D5561">
        <f>IFERROR(__xludf.DUMMYFUNCTION("""COMPUTED_VALUE"""),1956.0)</f>
        <v>1956</v>
      </c>
      <c r="E5561">
        <f>IFERROR(__xludf.DUMMYFUNCTION("""COMPUTED_VALUE"""),316907.0)</f>
        <v>316907</v>
      </c>
    </row>
    <row r="5562">
      <c r="A5562" t="str">
        <f t="shared" si="1"/>
        <v>gmb#1957</v>
      </c>
      <c r="B5562" t="str">
        <f>IFERROR(__xludf.DUMMYFUNCTION("""COMPUTED_VALUE"""),"gmb")</f>
        <v>gmb</v>
      </c>
      <c r="C5562" t="str">
        <f>IFERROR(__xludf.DUMMYFUNCTION("""COMPUTED_VALUE"""),"Gambia")</f>
        <v>Gambia</v>
      </c>
      <c r="D5562">
        <f>IFERROR(__xludf.DUMMYFUNCTION("""COMPUTED_VALUE"""),1957.0)</f>
        <v>1957</v>
      </c>
      <c r="E5562">
        <f>IFERROR(__xludf.DUMMYFUNCTION("""COMPUTED_VALUE"""),330600.0)</f>
        <v>330600</v>
      </c>
    </row>
    <row r="5563">
      <c r="A5563" t="str">
        <f t="shared" si="1"/>
        <v>gmb#1958</v>
      </c>
      <c r="B5563" t="str">
        <f>IFERROR(__xludf.DUMMYFUNCTION("""COMPUTED_VALUE"""),"gmb")</f>
        <v>gmb</v>
      </c>
      <c r="C5563" t="str">
        <f>IFERROR(__xludf.DUMMYFUNCTION("""COMPUTED_VALUE"""),"Gambia")</f>
        <v>Gambia</v>
      </c>
      <c r="D5563">
        <f>IFERROR(__xludf.DUMMYFUNCTION("""COMPUTED_VALUE"""),1958.0)</f>
        <v>1958</v>
      </c>
      <c r="E5563">
        <f>IFERROR(__xludf.DUMMYFUNCTION("""COMPUTED_VALUE"""),344265.0)</f>
        <v>344265</v>
      </c>
    </row>
    <row r="5564">
      <c r="A5564" t="str">
        <f t="shared" si="1"/>
        <v>gmb#1959</v>
      </c>
      <c r="B5564" t="str">
        <f>IFERROR(__xludf.DUMMYFUNCTION("""COMPUTED_VALUE"""),"gmb")</f>
        <v>gmb</v>
      </c>
      <c r="C5564" t="str">
        <f>IFERROR(__xludf.DUMMYFUNCTION("""COMPUTED_VALUE"""),"Gambia")</f>
        <v>Gambia</v>
      </c>
      <c r="D5564">
        <f>IFERROR(__xludf.DUMMYFUNCTION("""COMPUTED_VALUE"""),1959.0)</f>
        <v>1959</v>
      </c>
      <c r="E5564">
        <f>IFERROR(__xludf.DUMMYFUNCTION("""COMPUTED_VALUE"""),356968.0)</f>
        <v>356968</v>
      </c>
    </row>
    <row r="5565">
      <c r="A5565" t="str">
        <f t="shared" si="1"/>
        <v>gmb#1960</v>
      </c>
      <c r="B5565" t="str">
        <f>IFERROR(__xludf.DUMMYFUNCTION("""COMPUTED_VALUE"""),"gmb")</f>
        <v>gmb</v>
      </c>
      <c r="C5565" t="str">
        <f>IFERROR(__xludf.DUMMYFUNCTION("""COMPUTED_VALUE"""),"Gambia")</f>
        <v>Gambia</v>
      </c>
      <c r="D5565">
        <f>IFERROR(__xludf.DUMMYFUNCTION("""COMPUTED_VALUE"""),1960.0)</f>
        <v>1960</v>
      </c>
      <c r="E5565">
        <f>IFERROR(__xludf.DUMMYFUNCTION("""COMPUTED_VALUE"""),367928.0)</f>
        <v>367928</v>
      </c>
    </row>
    <row r="5566">
      <c r="A5566" t="str">
        <f t="shared" si="1"/>
        <v>gmb#1961</v>
      </c>
      <c r="B5566" t="str">
        <f>IFERROR(__xludf.DUMMYFUNCTION("""COMPUTED_VALUE"""),"gmb")</f>
        <v>gmb</v>
      </c>
      <c r="C5566" t="str">
        <f>IFERROR(__xludf.DUMMYFUNCTION("""COMPUTED_VALUE"""),"Gambia")</f>
        <v>Gambia</v>
      </c>
      <c r="D5566">
        <f>IFERROR(__xludf.DUMMYFUNCTION("""COMPUTED_VALUE"""),1961.0)</f>
        <v>1961</v>
      </c>
      <c r="E5566">
        <f>IFERROR(__xludf.DUMMYFUNCTION("""COMPUTED_VALUE"""),376737.0)</f>
        <v>376737</v>
      </c>
    </row>
    <row r="5567">
      <c r="A5567" t="str">
        <f t="shared" si="1"/>
        <v>gmb#1962</v>
      </c>
      <c r="B5567" t="str">
        <f>IFERROR(__xludf.DUMMYFUNCTION("""COMPUTED_VALUE"""),"gmb")</f>
        <v>gmb</v>
      </c>
      <c r="C5567" t="str">
        <f>IFERROR(__xludf.DUMMYFUNCTION("""COMPUTED_VALUE"""),"Gambia")</f>
        <v>Gambia</v>
      </c>
      <c r="D5567">
        <f>IFERROR(__xludf.DUMMYFUNCTION("""COMPUTED_VALUE"""),1962.0)</f>
        <v>1962</v>
      </c>
      <c r="E5567">
        <f>IFERROR(__xludf.DUMMYFUNCTION("""COMPUTED_VALUE"""),383523.0)</f>
        <v>383523</v>
      </c>
    </row>
    <row r="5568">
      <c r="A5568" t="str">
        <f t="shared" si="1"/>
        <v>gmb#1963</v>
      </c>
      <c r="B5568" t="str">
        <f>IFERROR(__xludf.DUMMYFUNCTION("""COMPUTED_VALUE"""),"gmb")</f>
        <v>gmb</v>
      </c>
      <c r="C5568" t="str">
        <f>IFERROR(__xludf.DUMMYFUNCTION("""COMPUTED_VALUE"""),"Gambia")</f>
        <v>Gambia</v>
      </c>
      <c r="D5568">
        <f>IFERROR(__xludf.DUMMYFUNCTION("""COMPUTED_VALUE"""),1963.0)</f>
        <v>1963</v>
      </c>
      <c r="E5568">
        <f>IFERROR(__xludf.DUMMYFUNCTION("""COMPUTED_VALUE"""),389072.0)</f>
        <v>389072</v>
      </c>
    </row>
    <row r="5569">
      <c r="A5569" t="str">
        <f t="shared" si="1"/>
        <v>gmb#1964</v>
      </c>
      <c r="B5569" t="str">
        <f>IFERROR(__xludf.DUMMYFUNCTION("""COMPUTED_VALUE"""),"gmb")</f>
        <v>gmb</v>
      </c>
      <c r="C5569" t="str">
        <f>IFERROR(__xludf.DUMMYFUNCTION("""COMPUTED_VALUE"""),"Gambia")</f>
        <v>Gambia</v>
      </c>
      <c r="D5569">
        <f>IFERROR(__xludf.DUMMYFUNCTION("""COMPUTED_VALUE"""),1964.0)</f>
        <v>1964</v>
      </c>
      <c r="E5569">
        <f>IFERROR(__xludf.DUMMYFUNCTION("""COMPUTED_VALUE"""),394553.0)</f>
        <v>394553</v>
      </c>
    </row>
    <row r="5570">
      <c r="A5570" t="str">
        <f t="shared" si="1"/>
        <v>gmb#1965</v>
      </c>
      <c r="B5570" t="str">
        <f>IFERROR(__xludf.DUMMYFUNCTION("""COMPUTED_VALUE"""),"gmb")</f>
        <v>gmb</v>
      </c>
      <c r="C5570" t="str">
        <f>IFERROR(__xludf.DUMMYFUNCTION("""COMPUTED_VALUE"""),"Gambia")</f>
        <v>Gambia</v>
      </c>
      <c r="D5570">
        <f>IFERROR(__xludf.DUMMYFUNCTION("""COMPUTED_VALUE"""),1965.0)</f>
        <v>1965</v>
      </c>
      <c r="E5570">
        <f>IFERROR(__xludf.DUMMYFUNCTION("""COMPUTED_VALUE"""),400861.0)</f>
        <v>400861</v>
      </c>
    </row>
    <row r="5571">
      <c r="A5571" t="str">
        <f t="shared" si="1"/>
        <v>gmb#1966</v>
      </c>
      <c r="B5571" t="str">
        <f>IFERROR(__xludf.DUMMYFUNCTION("""COMPUTED_VALUE"""),"gmb")</f>
        <v>gmb</v>
      </c>
      <c r="C5571" t="str">
        <f>IFERROR(__xludf.DUMMYFUNCTION("""COMPUTED_VALUE"""),"Gambia")</f>
        <v>Gambia</v>
      </c>
      <c r="D5571">
        <f>IFERROR(__xludf.DUMMYFUNCTION("""COMPUTED_VALUE"""),1966.0)</f>
        <v>1966</v>
      </c>
      <c r="E5571">
        <f>IFERROR(__xludf.DUMMYFUNCTION("""COMPUTED_VALUE"""),408180.0)</f>
        <v>408180</v>
      </c>
    </row>
    <row r="5572">
      <c r="A5572" t="str">
        <f t="shared" si="1"/>
        <v>gmb#1967</v>
      </c>
      <c r="B5572" t="str">
        <f>IFERROR(__xludf.DUMMYFUNCTION("""COMPUTED_VALUE"""),"gmb")</f>
        <v>gmb</v>
      </c>
      <c r="C5572" t="str">
        <f>IFERROR(__xludf.DUMMYFUNCTION("""COMPUTED_VALUE"""),"Gambia")</f>
        <v>Gambia</v>
      </c>
      <c r="D5572">
        <f>IFERROR(__xludf.DUMMYFUNCTION("""COMPUTED_VALUE"""),1967.0)</f>
        <v>1967</v>
      </c>
      <c r="E5572">
        <f>IFERROR(__xludf.DUMMYFUNCTION("""COMPUTED_VALUE"""),416339.0)</f>
        <v>416339</v>
      </c>
    </row>
    <row r="5573">
      <c r="A5573" t="str">
        <f t="shared" si="1"/>
        <v>gmb#1968</v>
      </c>
      <c r="B5573" t="str">
        <f>IFERROR(__xludf.DUMMYFUNCTION("""COMPUTED_VALUE"""),"gmb")</f>
        <v>gmb</v>
      </c>
      <c r="C5573" t="str">
        <f>IFERROR(__xludf.DUMMYFUNCTION("""COMPUTED_VALUE"""),"Gambia")</f>
        <v>Gambia</v>
      </c>
      <c r="D5573">
        <f>IFERROR(__xludf.DUMMYFUNCTION("""COMPUTED_VALUE"""),1968.0)</f>
        <v>1968</v>
      </c>
      <c r="E5573">
        <f>IFERROR(__xludf.DUMMYFUNCTION("""COMPUTED_VALUE"""),425510.0)</f>
        <v>425510</v>
      </c>
    </row>
    <row r="5574">
      <c r="A5574" t="str">
        <f t="shared" si="1"/>
        <v>gmb#1969</v>
      </c>
      <c r="B5574" t="str">
        <f>IFERROR(__xludf.DUMMYFUNCTION("""COMPUTED_VALUE"""),"gmb")</f>
        <v>gmb</v>
      </c>
      <c r="C5574" t="str">
        <f>IFERROR(__xludf.DUMMYFUNCTION("""COMPUTED_VALUE"""),"Gambia")</f>
        <v>Gambia</v>
      </c>
      <c r="D5574">
        <f>IFERROR(__xludf.DUMMYFUNCTION("""COMPUTED_VALUE"""),1969.0)</f>
        <v>1969</v>
      </c>
      <c r="E5574">
        <f>IFERROR(__xludf.DUMMYFUNCTION("""COMPUTED_VALUE"""),435798.0)</f>
        <v>435798</v>
      </c>
    </row>
    <row r="5575">
      <c r="A5575" t="str">
        <f t="shared" si="1"/>
        <v>gmb#1970</v>
      </c>
      <c r="B5575" t="str">
        <f>IFERROR(__xludf.DUMMYFUNCTION("""COMPUTED_VALUE"""),"gmb")</f>
        <v>gmb</v>
      </c>
      <c r="C5575" t="str">
        <f>IFERROR(__xludf.DUMMYFUNCTION("""COMPUTED_VALUE"""),"Gambia")</f>
        <v>Gambia</v>
      </c>
      <c r="D5575">
        <f>IFERROR(__xludf.DUMMYFUNCTION("""COMPUTED_VALUE"""),1970.0)</f>
        <v>1970</v>
      </c>
      <c r="E5575">
        <f>IFERROR(__xludf.DUMMYFUNCTION("""COMPUTED_VALUE"""),447285.0)</f>
        <v>447285</v>
      </c>
    </row>
    <row r="5576">
      <c r="A5576" t="str">
        <f t="shared" si="1"/>
        <v>gmb#1971</v>
      </c>
      <c r="B5576" t="str">
        <f>IFERROR(__xludf.DUMMYFUNCTION("""COMPUTED_VALUE"""),"gmb")</f>
        <v>gmb</v>
      </c>
      <c r="C5576" t="str">
        <f>IFERROR(__xludf.DUMMYFUNCTION("""COMPUTED_VALUE"""),"Gambia")</f>
        <v>Gambia</v>
      </c>
      <c r="D5576">
        <f>IFERROR(__xludf.DUMMYFUNCTION("""COMPUTED_VALUE"""),1971.0)</f>
        <v>1971</v>
      </c>
      <c r="E5576">
        <f>IFERROR(__xludf.DUMMYFUNCTION("""COMPUTED_VALUE"""),460194.0)</f>
        <v>460194</v>
      </c>
    </row>
    <row r="5577">
      <c r="A5577" t="str">
        <f t="shared" si="1"/>
        <v>gmb#1972</v>
      </c>
      <c r="B5577" t="str">
        <f>IFERROR(__xludf.DUMMYFUNCTION("""COMPUTED_VALUE"""),"gmb")</f>
        <v>gmb</v>
      </c>
      <c r="C5577" t="str">
        <f>IFERROR(__xludf.DUMMYFUNCTION("""COMPUTED_VALUE"""),"Gambia")</f>
        <v>Gambia</v>
      </c>
      <c r="D5577">
        <f>IFERROR(__xludf.DUMMYFUNCTION("""COMPUTED_VALUE"""),1972.0)</f>
        <v>1972</v>
      </c>
      <c r="E5577">
        <f>IFERROR(__xludf.DUMMYFUNCTION("""COMPUTED_VALUE"""),474539.0)</f>
        <v>474539</v>
      </c>
    </row>
    <row r="5578">
      <c r="A5578" t="str">
        <f t="shared" si="1"/>
        <v>gmb#1973</v>
      </c>
      <c r="B5578" t="str">
        <f>IFERROR(__xludf.DUMMYFUNCTION("""COMPUTED_VALUE"""),"gmb")</f>
        <v>gmb</v>
      </c>
      <c r="C5578" t="str">
        <f>IFERROR(__xludf.DUMMYFUNCTION("""COMPUTED_VALUE"""),"Gambia")</f>
        <v>Gambia</v>
      </c>
      <c r="D5578">
        <f>IFERROR(__xludf.DUMMYFUNCTION("""COMPUTED_VALUE"""),1973.0)</f>
        <v>1973</v>
      </c>
      <c r="E5578">
        <f>IFERROR(__xludf.DUMMYFUNCTION("""COMPUTED_VALUE"""),489861.0)</f>
        <v>489861</v>
      </c>
    </row>
    <row r="5579">
      <c r="A5579" t="str">
        <f t="shared" si="1"/>
        <v>gmb#1974</v>
      </c>
      <c r="B5579" t="str">
        <f>IFERROR(__xludf.DUMMYFUNCTION("""COMPUTED_VALUE"""),"gmb")</f>
        <v>gmb</v>
      </c>
      <c r="C5579" t="str">
        <f>IFERROR(__xludf.DUMMYFUNCTION("""COMPUTED_VALUE"""),"Gambia")</f>
        <v>Gambia</v>
      </c>
      <c r="D5579">
        <f>IFERROR(__xludf.DUMMYFUNCTION("""COMPUTED_VALUE"""),1974.0)</f>
        <v>1974</v>
      </c>
      <c r="E5579">
        <f>IFERROR(__xludf.DUMMYFUNCTION("""COMPUTED_VALUE"""),505512.0)</f>
        <v>505512</v>
      </c>
    </row>
    <row r="5580">
      <c r="A5580" t="str">
        <f t="shared" si="1"/>
        <v>gmb#1975</v>
      </c>
      <c r="B5580" t="str">
        <f>IFERROR(__xludf.DUMMYFUNCTION("""COMPUTED_VALUE"""),"gmb")</f>
        <v>gmb</v>
      </c>
      <c r="C5580" t="str">
        <f>IFERROR(__xludf.DUMMYFUNCTION("""COMPUTED_VALUE"""),"Gambia")</f>
        <v>Gambia</v>
      </c>
      <c r="D5580">
        <f>IFERROR(__xludf.DUMMYFUNCTION("""COMPUTED_VALUE"""),1975.0)</f>
        <v>1975</v>
      </c>
      <c r="E5580">
        <f>IFERROR(__xludf.DUMMYFUNCTION("""COMPUTED_VALUE"""),521070.0)</f>
        <v>521070</v>
      </c>
    </row>
    <row r="5581">
      <c r="A5581" t="str">
        <f t="shared" si="1"/>
        <v>gmb#1976</v>
      </c>
      <c r="B5581" t="str">
        <f>IFERROR(__xludf.DUMMYFUNCTION("""COMPUTED_VALUE"""),"gmb")</f>
        <v>gmb</v>
      </c>
      <c r="C5581" t="str">
        <f>IFERROR(__xludf.DUMMYFUNCTION("""COMPUTED_VALUE"""),"Gambia")</f>
        <v>Gambia</v>
      </c>
      <c r="D5581">
        <f>IFERROR(__xludf.DUMMYFUNCTION("""COMPUTED_VALUE"""),1976.0)</f>
        <v>1976</v>
      </c>
      <c r="E5581">
        <f>IFERROR(__xludf.DUMMYFUNCTION("""COMPUTED_VALUE"""),536409.0)</f>
        <v>536409</v>
      </c>
    </row>
    <row r="5582">
      <c r="A5582" t="str">
        <f t="shared" si="1"/>
        <v>gmb#1977</v>
      </c>
      <c r="B5582" t="str">
        <f>IFERROR(__xludf.DUMMYFUNCTION("""COMPUTED_VALUE"""),"gmb")</f>
        <v>gmb</v>
      </c>
      <c r="C5582" t="str">
        <f>IFERROR(__xludf.DUMMYFUNCTION("""COMPUTED_VALUE"""),"Gambia")</f>
        <v>Gambia</v>
      </c>
      <c r="D5582">
        <f>IFERROR(__xludf.DUMMYFUNCTION("""COMPUTED_VALUE"""),1977.0)</f>
        <v>1977</v>
      </c>
      <c r="E5582">
        <f>IFERROR(__xludf.DUMMYFUNCTION("""COMPUTED_VALUE"""),551817.0)</f>
        <v>551817</v>
      </c>
    </row>
    <row r="5583">
      <c r="A5583" t="str">
        <f t="shared" si="1"/>
        <v>gmb#1978</v>
      </c>
      <c r="B5583" t="str">
        <f>IFERROR(__xludf.DUMMYFUNCTION("""COMPUTED_VALUE"""),"gmb")</f>
        <v>gmb</v>
      </c>
      <c r="C5583" t="str">
        <f>IFERROR(__xludf.DUMMYFUNCTION("""COMPUTED_VALUE"""),"Gambia")</f>
        <v>Gambia</v>
      </c>
      <c r="D5583">
        <f>IFERROR(__xludf.DUMMYFUNCTION("""COMPUTED_VALUE"""),1978.0)</f>
        <v>1978</v>
      </c>
      <c r="E5583">
        <f>IFERROR(__xludf.DUMMYFUNCTION("""COMPUTED_VALUE"""),567831.0)</f>
        <v>567831</v>
      </c>
    </row>
    <row r="5584">
      <c r="A5584" t="str">
        <f t="shared" si="1"/>
        <v>gmb#1979</v>
      </c>
      <c r="B5584" t="str">
        <f>IFERROR(__xludf.DUMMYFUNCTION("""COMPUTED_VALUE"""),"gmb")</f>
        <v>gmb</v>
      </c>
      <c r="C5584" t="str">
        <f>IFERROR(__xludf.DUMMYFUNCTION("""COMPUTED_VALUE"""),"Gambia")</f>
        <v>Gambia</v>
      </c>
      <c r="D5584">
        <f>IFERROR(__xludf.DUMMYFUNCTION("""COMPUTED_VALUE"""),1979.0)</f>
        <v>1979</v>
      </c>
      <c r="E5584">
        <f>IFERROR(__xludf.DUMMYFUNCTION("""COMPUTED_VALUE"""),585157.0)</f>
        <v>585157</v>
      </c>
    </row>
    <row r="5585">
      <c r="A5585" t="str">
        <f t="shared" si="1"/>
        <v>gmb#1980</v>
      </c>
      <c r="B5585" t="str">
        <f>IFERROR(__xludf.DUMMYFUNCTION("""COMPUTED_VALUE"""),"gmb")</f>
        <v>gmb</v>
      </c>
      <c r="C5585" t="str">
        <f>IFERROR(__xludf.DUMMYFUNCTION("""COMPUTED_VALUE"""),"Gambia")</f>
        <v>Gambia</v>
      </c>
      <c r="D5585">
        <f>IFERROR(__xludf.DUMMYFUNCTION("""COMPUTED_VALUE"""),1980.0)</f>
        <v>1980</v>
      </c>
      <c r="E5585">
        <f>IFERROR(__xludf.DUMMYFUNCTION("""COMPUTED_VALUE"""),604369.0)</f>
        <v>604369</v>
      </c>
    </row>
    <row r="5586">
      <c r="A5586" t="str">
        <f t="shared" si="1"/>
        <v>gmb#1981</v>
      </c>
      <c r="B5586" t="str">
        <f>IFERROR(__xludf.DUMMYFUNCTION("""COMPUTED_VALUE"""),"gmb")</f>
        <v>gmb</v>
      </c>
      <c r="C5586" t="str">
        <f>IFERROR(__xludf.DUMMYFUNCTION("""COMPUTED_VALUE"""),"Gambia")</f>
        <v>Gambia</v>
      </c>
      <c r="D5586">
        <f>IFERROR(__xludf.DUMMYFUNCTION("""COMPUTED_VALUE"""),1981.0)</f>
        <v>1981</v>
      </c>
      <c r="E5586">
        <f>IFERROR(__xludf.DUMMYFUNCTION("""COMPUTED_VALUE"""),625411.0)</f>
        <v>625411</v>
      </c>
    </row>
    <row r="5587">
      <c r="A5587" t="str">
        <f t="shared" si="1"/>
        <v>gmb#1982</v>
      </c>
      <c r="B5587" t="str">
        <f>IFERROR(__xludf.DUMMYFUNCTION("""COMPUTED_VALUE"""),"gmb")</f>
        <v>gmb</v>
      </c>
      <c r="C5587" t="str">
        <f>IFERROR(__xludf.DUMMYFUNCTION("""COMPUTED_VALUE"""),"Gambia")</f>
        <v>Gambia</v>
      </c>
      <c r="D5587">
        <f>IFERROR(__xludf.DUMMYFUNCTION("""COMPUTED_VALUE"""),1982.0)</f>
        <v>1982</v>
      </c>
      <c r="E5587">
        <f>IFERROR(__xludf.DUMMYFUNCTION("""COMPUTED_VALUE"""),648210.0)</f>
        <v>648210</v>
      </c>
    </row>
    <row r="5588">
      <c r="A5588" t="str">
        <f t="shared" si="1"/>
        <v>gmb#1983</v>
      </c>
      <c r="B5588" t="str">
        <f>IFERROR(__xludf.DUMMYFUNCTION("""COMPUTED_VALUE"""),"gmb")</f>
        <v>gmb</v>
      </c>
      <c r="C5588" t="str">
        <f>IFERROR(__xludf.DUMMYFUNCTION("""COMPUTED_VALUE"""),"Gambia")</f>
        <v>Gambia</v>
      </c>
      <c r="D5588">
        <f>IFERROR(__xludf.DUMMYFUNCTION("""COMPUTED_VALUE"""),1983.0)</f>
        <v>1983</v>
      </c>
      <c r="E5588">
        <f>IFERROR(__xludf.DUMMYFUNCTION("""COMPUTED_VALUE"""),673238.0)</f>
        <v>673238</v>
      </c>
    </row>
    <row r="5589">
      <c r="A5589" t="str">
        <f t="shared" si="1"/>
        <v>gmb#1984</v>
      </c>
      <c r="B5589" t="str">
        <f>IFERROR(__xludf.DUMMYFUNCTION("""COMPUTED_VALUE"""),"gmb")</f>
        <v>gmb</v>
      </c>
      <c r="C5589" t="str">
        <f>IFERROR(__xludf.DUMMYFUNCTION("""COMPUTED_VALUE"""),"Gambia")</f>
        <v>Gambia</v>
      </c>
      <c r="D5589">
        <f>IFERROR(__xludf.DUMMYFUNCTION("""COMPUTED_VALUE"""),1984.0)</f>
        <v>1984</v>
      </c>
      <c r="E5589">
        <f>IFERROR(__xludf.DUMMYFUNCTION("""COMPUTED_VALUE"""),701104.0)</f>
        <v>701104</v>
      </c>
    </row>
    <row r="5590">
      <c r="A5590" t="str">
        <f t="shared" si="1"/>
        <v>gmb#1985</v>
      </c>
      <c r="B5590" t="str">
        <f>IFERROR(__xludf.DUMMYFUNCTION("""COMPUTED_VALUE"""),"gmb")</f>
        <v>gmb</v>
      </c>
      <c r="C5590" t="str">
        <f>IFERROR(__xludf.DUMMYFUNCTION("""COMPUTED_VALUE"""),"Gambia")</f>
        <v>Gambia</v>
      </c>
      <c r="D5590">
        <f>IFERROR(__xludf.DUMMYFUNCTION("""COMPUTED_VALUE"""),1985.0)</f>
        <v>1985</v>
      </c>
      <c r="E5590">
        <f>IFERROR(__xludf.DUMMYFUNCTION("""COMPUTED_VALUE"""),732096.0)</f>
        <v>732096</v>
      </c>
    </row>
    <row r="5591">
      <c r="A5591" t="str">
        <f t="shared" si="1"/>
        <v>gmb#1986</v>
      </c>
      <c r="B5591" t="str">
        <f>IFERROR(__xludf.DUMMYFUNCTION("""COMPUTED_VALUE"""),"gmb")</f>
        <v>gmb</v>
      </c>
      <c r="C5591" t="str">
        <f>IFERROR(__xludf.DUMMYFUNCTION("""COMPUTED_VALUE"""),"Gambia")</f>
        <v>Gambia</v>
      </c>
      <c r="D5591">
        <f>IFERROR(__xludf.DUMMYFUNCTION("""COMPUTED_VALUE"""),1986.0)</f>
        <v>1986</v>
      </c>
      <c r="E5591">
        <f>IFERROR(__xludf.DUMMYFUNCTION("""COMPUTED_VALUE"""),766589.0)</f>
        <v>766589</v>
      </c>
    </row>
    <row r="5592">
      <c r="A5592" t="str">
        <f t="shared" si="1"/>
        <v>gmb#1987</v>
      </c>
      <c r="B5592" t="str">
        <f>IFERROR(__xludf.DUMMYFUNCTION("""COMPUTED_VALUE"""),"gmb")</f>
        <v>gmb</v>
      </c>
      <c r="C5592" t="str">
        <f>IFERROR(__xludf.DUMMYFUNCTION("""COMPUTED_VALUE"""),"Gambia")</f>
        <v>Gambia</v>
      </c>
      <c r="D5592">
        <f>IFERROR(__xludf.DUMMYFUNCTION("""COMPUTED_VALUE"""),1987.0)</f>
        <v>1987</v>
      </c>
      <c r="E5592">
        <f>IFERROR(__xludf.DUMMYFUNCTION("""COMPUTED_VALUE"""),804125.0)</f>
        <v>804125</v>
      </c>
    </row>
    <row r="5593">
      <c r="A5593" t="str">
        <f t="shared" si="1"/>
        <v>gmb#1988</v>
      </c>
      <c r="B5593" t="str">
        <f>IFERROR(__xludf.DUMMYFUNCTION("""COMPUTED_VALUE"""),"gmb")</f>
        <v>gmb</v>
      </c>
      <c r="C5593" t="str">
        <f>IFERROR(__xludf.DUMMYFUNCTION("""COMPUTED_VALUE"""),"Gambia")</f>
        <v>Gambia</v>
      </c>
      <c r="D5593">
        <f>IFERROR(__xludf.DUMMYFUNCTION("""COMPUTED_VALUE"""),1988.0)</f>
        <v>1988</v>
      </c>
      <c r="E5593">
        <f>IFERROR(__xludf.DUMMYFUNCTION("""COMPUTED_VALUE"""),843050.0)</f>
        <v>843050</v>
      </c>
    </row>
    <row r="5594">
      <c r="A5594" t="str">
        <f t="shared" si="1"/>
        <v>gmb#1989</v>
      </c>
      <c r="B5594" t="str">
        <f>IFERROR(__xludf.DUMMYFUNCTION("""COMPUTED_VALUE"""),"gmb")</f>
        <v>gmb</v>
      </c>
      <c r="C5594" t="str">
        <f>IFERROR(__xludf.DUMMYFUNCTION("""COMPUTED_VALUE"""),"Gambia")</f>
        <v>Gambia</v>
      </c>
      <c r="D5594">
        <f>IFERROR(__xludf.DUMMYFUNCTION("""COMPUTED_VALUE"""),1989.0)</f>
        <v>1989</v>
      </c>
      <c r="E5594">
        <f>IFERROR(__xludf.DUMMYFUNCTION("""COMPUTED_VALUE"""),881138.0)</f>
        <v>881138</v>
      </c>
    </row>
    <row r="5595">
      <c r="A5595" t="str">
        <f t="shared" si="1"/>
        <v>gmb#1990</v>
      </c>
      <c r="B5595" t="str">
        <f>IFERROR(__xludf.DUMMYFUNCTION("""COMPUTED_VALUE"""),"gmb")</f>
        <v>gmb</v>
      </c>
      <c r="C5595" t="str">
        <f>IFERROR(__xludf.DUMMYFUNCTION("""COMPUTED_VALUE"""),"Gambia")</f>
        <v>Gambia</v>
      </c>
      <c r="D5595">
        <f>IFERROR(__xludf.DUMMYFUNCTION("""COMPUTED_VALUE"""),1990.0)</f>
        <v>1990</v>
      </c>
      <c r="E5595">
        <f>IFERROR(__xludf.DUMMYFUNCTION("""COMPUTED_VALUE"""),916808.0)</f>
        <v>916808</v>
      </c>
    </row>
    <row r="5596">
      <c r="A5596" t="str">
        <f t="shared" si="1"/>
        <v>gmb#1991</v>
      </c>
      <c r="B5596" t="str">
        <f>IFERROR(__xludf.DUMMYFUNCTION("""COMPUTED_VALUE"""),"gmb")</f>
        <v>gmb</v>
      </c>
      <c r="C5596" t="str">
        <f>IFERROR(__xludf.DUMMYFUNCTION("""COMPUTED_VALUE"""),"Gambia")</f>
        <v>Gambia</v>
      </c>
      <c r="D5596">
        <f>IFERROR(__xludf.DUMMYFUNCTION("""COMPUTED_VALUE"""),1991.0)</f>
        <v>1991</v>
      </c>
      <c r="E5596">
        <f>IFERROR(__xludf.DUMMYFUNCTION("""COMPUTED_VALUE"""),949493.0)</f>
        <v>949493</v>
      </c>
    </row>
    <row r="5597">
      <c r="A5597" t="str">
        <f t="shared" si="1"/>
        <v>gmb#1992</v>
      </c>
      <c r="B5597" t="str">
        <f>IFERROR(__xludf.DUMMYFUNCTION("""COMPUTED_VALUE"""),"gmb")</f>
        <v>gmb</v>
      </c>
      <c r="C5597" t="str">
        <f>IFERROR(__xludf.DUMMYFUNCTION("""COMPUTED_VALUE"""),"Gambia")</f>
        <v>Gambia</v>
      </c>
      <c r="D5597">
        <f>IFERROR(__xludf.DUMMYFUNCTION("""COMPUTED_VALUE"""),1992.0)</f>
        <v>1992</v>
      </c>
      <c r="E5597">
        <f>IFERROR(__xludf.DUMMYFUNCTION("""COMPUTED_VALUE"""),979718.0)</f>
        <v>979718</v>
      </c>
    </row>
    <row r="5598">
      <c r="A5598" t="str">
        <f t="shared" si="1"/>
        <v>gmb#1993</v>
      </c>
      <c r="B5598" t="str">
        <f>IFERROR(__xludf.DUMMYFUNCTION("""COMPUTED_VALUE"""),"gmb")</f>
        <v>gmb</v>
      </c>
      <c r="C5598" t="str">
        <f>IFERROR(__xludf.DUMMYFUNCTION("""COMPUTED_VALUE"""),"Gambia")</f>
        <v>Gambia</v>
      </c>
      <c r="D5598">
        <f>IFERROR(__xludf.DUMMYFUNCTION("""COMPUTED_VALUE"""),1993.0)</f>
        <v>1993</v>
      </c>
      <c r="E5598">
        <f>IFERROR(__xludf.DUMMYFUNCTION("""COMPUTED_VALUE"""),1008358.0)</f>
        <v>1008358</v>
      </c>
    </row>
    <row r="5599">
      <c r="A5599" t="str">
        <f t="shared" si="1"/>
        <v>gmb#1994</v>
      </c>
      <c r="B5599" t="str">
        <f>IFERROR(__xludf.DUMMYFUNCTION("""COMPUTED_VALUE"""),"gmb")</f>
        <v>gmb</v>
      </c>
      <c r="C5599" t="str">
        <f>IFERROR(__xludf.DUMMYFUNCTION("""COMPUTED_VALUE"""),"Gambia")</f>
        <v>Gambia</v>
      </c>
      <c r="D5599">
        <f>IFERROR(__xludf.DUMMYFUNCTION("""COMPUTED_VALUE"""),1994.0)</f>
        <v>1994</v>
      </c>
      <c r="E5599">
        <f>IFERROR(__xludf.DUMMYFUNCTION("""COMPUTED_VALUE"""),1036829.0)</f>
        <v>1036829</v>
      </c>
    </row>
    <row r="5600">
      <c r="A5600" t="str">
        <f t="shared" si="1"/>
        <v>gmb#1995</v>
      </c>
      <c r="B5600" t="str">
        <f>IFERROR(__xludf.DUMMYFUNCTION("""COMPUTED_VALUE"""),"gmb")</f>
        <v>gmb</v>
      </c>
      <c r="C5600" t="str">
        <f>IFERROR(__xludf.DUMMYFUNCTION("""COMPUTED_VALUE"""),"Gambia")</f>
        <v>Gambia</v>
      </c>
      <c r="D5600">
        <f>IFERROR(__xludf.DUMMYFUNCTION("""COMPUTED_VALUE"""),1995.0)</f>
        <v>1995</v>
      </c>
      <c r="E5600">
        <f>IFERROR(__xludf.DUMMYFUNCTION("""COMPUTED_VALUE"""),1066223.0)</f>
        <v>1066223</v>
      </c>
    </row>
    <row r="5601">
      <c r="A5601" t="str">
        <f t="shared" si="1"/>
        <v>gmb#1996</v>
      </c>
      <c r="B5601" t="str">
        <f>IFERROR(__xludf.DUMMYFUNCTION("""COMPUTED_VALUE"""),"gmb")</f>
        <v>gmb</v>
      </c>
      <c r="C5601" t="str">
        <f>IFERROR(__xludf.DUMMYFUNCTION("""COMPUTED_VALUE"""),"Gambia")</f>
        <v>Gambia</v>
      </c>
      <c r="D5601">
        <f>IFERROR(__xludf.DUMMYFUNCTION("""COMPUTED_VALUE"""),1996.0)</f>
        <v>1996</v>
      </c>
      <c r="E5601">
        <f>IFERROR(__xludf.DUMMYFUNCTION("""COMPUTED_VALUE"""),1096708.0)</f>
        <v>1096708</v>
      </c>
    </row>
    <row r="5602">
      <c r="A5602" t="str">
        <f t="shared" si="1"/>
        <v>gmb#1997</v>
      </c>
      <c r="B5602" t="str">
        <f>IFERROR(__xludf.DUMMYFUNCTION("""COMPUTED_VALUE"""),"gmb")</f>
        <v>gmb</v>
      </c>
      <c r="C5602" t="str">
        <f>IFERROR(__xludf.DUMMYFUNCTION("""COMPUTED_VALUE"""),"Gambia")</f>
        <v>Gambia</v>
      </c>
      <c r="D5602">
        <f>IFERROR(__xludf.DUMMYFUNCTION("""COMPUTED_VALUE"""),1997.0)</f>
        <v>1997</v>
      </c>
      <c r="E5602">
        <f>IFERROR(__xludf.DUMMYFUNCTION("""COMPUTED_VALUE"""),1128169.0)</f>
        <v>1128169</v>
      </c>
    </row>
    <row r="5603">
      <c r="A5603" t="str">
        <f t="shared" si="1"/>
        <v>gmb#1998</v>
      </c>
      <c r="B5603" t="str">
        <f>IFERROR(__xludf.DUMMYFUNCTION("""COMPUTED_VALUE"""),"gmb")</f>
        <v>gmb</v>
      </c>
      <c r="C5603" t="str">
        <f>IFERROR(__xludf.DUMMYFUNCTION("""COMPUTED_VALUE"""),"Gambia")</f>
        <v>Gambia</v>
      </c>
      <c r="D5603">
        <f>IFERROR(__xludf.DUMMYFUNCTION("""COMPUTED_VALUE"""),1998.0)</f>
        <v>1998</v>
      </c>
      <c r="E5603">
        <f>IFERROR(__xludf.DUMMYFUNCTION("""COMPUTED_VALUE"""),1160944.0)</f>
        <v>1160944</v>
      </c>
    </row>
    <row r="5604">
      <c r="A5604" t="str">
        <f t="shared" si="1"/>
        <v>gmb#1999</v>
      </c>
      <c r="B5604" t="str">
        <f>IFERROR(__xludf.DUMMYFUNCTION("""COMPUTED_VALUE"""),"gmb")</f>
        <v>gmb</v>
      </c>
      <c r="C5604" t="str">
        <f>IFERROR(__xludf.DUMMYFUNCTION("""COMPUTED_VALUE"""),"Gambia")</f>
        <v>Gambia</v>
      </c>
      <c r="D5604">
        <f>IFERROR(__xludf.DUMMYFUNCTION("""COMPUTED_VALUE"""),1999.0)</f>
        <v>1999</v>
      </c>
      <c r="E5604">
        <f>IFERROR(__xludf.DUMMYFUNCTION("""COMPUTED_VALUE"""),1195420.0)</f>
        <v>1195420</v>
      </c>
    </row>
    <row r="5605">
      <c r="A5605" t="str">
        <f t="shared" si="1"/>
        <v>gmb#2000</v>
      </c>
      <c r="B5605" t="str">
        <f>IFERROR(__xludf.DUMMYFUNCTION("""COMPUTED_VALUE"""),"gmb")</f>
        <v>gmb</v>
      </c>
      <c r="C5605" t="str">
        <f>IFERROR(__xludf.DUMMYFUNCTION("""COMPUTED_VALUE"""),"Gambia")</f>
        <v>Gambia</v>
      </c>
      <c r="D5605">
        <f>IFERROR(__xludf.DUMMYFUNCTION("""COMPUTED_VALUE"""),2000.0)</f>
        <v>2000</v>
      </c>
      <c r="E5605">
        <f>IFERROR(__xludf.DUMMYFUNCTION("""COMPUTED_VALUE"""),1231844.0)</f>
        <v>1231844</v>
      </c>
    </row>
    <row r="5606">
      <c r="A5606" t="str">
        <f t="shared" si="1"/>
        <v>gmb#2001</v>
      </c>
      <c r="B5606" t="str">
        <f>IFERROR(__xludf.DUMMYFUNCTION("""COMPUTED_VALUE"""),"gmb")</f>
        <v>gmb</v>
      </c>
      <c r="C5606" t="str">
        <f>IFERROR(__xludf.DUMMYFUNCTION("""COMPUTED_VALUE"""),"Gambia")</f>
        <v>Gambia</v>
      </c>
      <c r="D5606">
        <f>IFERROR(__xludf.DUMMYFUNCTION("""COMPUTED_VALUE"""),2001.0)</f>
        <v>2001</v>
      </c>
      <c r="E5606">
        <f>IFERROR(__xludf.DUMMYFUNCTION("""COMPUTED_VALUE"""),1270495.0)</f>
        <v>1270495</v>
      </c>
    </row>
    <row r="5607">
      <c r="A5607" t="str">
        <f t="shared" si="1"/>
        <v>gmb#2002</v>
      </c>
      <c r="B5607" t="str">
        <f>IFERROR(__xludf.DUMMYFUNCTION("""COMPUTED_VALUE"""),"gmb")</f>
        <v>gmb</v>
      </c>
      <c r="C5607" t="str">
        <f>IFERROR(__xludf.DUMMYFUNCTION("""COMPUTED_VALUE"""),"Gambia")</f>
        <v>Gambia</v>
      </c>
      <c r="D5607">
        <f>IFERROR(__xludf.DUMMYFUNCTION("""COMPUTED_VALUE"""),2002.0)</f>
        <v>2002</v>
      </c>
      <c r="E5607">
        <f>IFERROR(__xludf.DUMMYFUNCTION("""COMPUTED_VALUE"""),1311349.0)</f>
        <v>1311349</v>
      </c>
    </row>
    <row r="5608">
      <c r="A5608" t="str">
        <f t="shared" si="1"/>
        <v>gmb#2003</v>
      </c>
      <c r="B5608" t="str">
        <f>IFERROR(__xludf.DUMMYFUNCTION("""COMPUTED_VALUE"""),"gmb")</f>
        <v>gmb</v>
      </c>
      <c r="C5608" t="str">
        <f>IFERROR(__xludf.DUMMYFUNCTION("""COMPUTED_VALUE"""),"Gambia")</f>
        <v>Gambia</v>
      </c>
      <c r="D5608">
        <f>IFERROR(__xludf.DUMMYFUNCTION("""COMPUTED_VALUE"""),2003.0)</f>
        <v>2003</v>
      </c>
      <c r="E5608">
        <f>IFERROR(__xludf.DUMMYFUNCTION("""COMPUTED_VALUE"""),1354194.0)</f>
        <v>1354194</v>
      </c>
    </row>
    <row r="5609">
      <c r="A5609" t="str">
        <f t="shared" si="1"/>
        <v>gmb#2004</v>
      </c>
      <c r="B5609" t="str">
        <f>IFERROR(__xludf.DUMMYFUNCTION("""COMPUTED_VALUE"""),"gmb")</f>
        <v>gmb</v>
      </c>
      <c r="C5609" t="str">
        <f>IFERROR(__xludf.DUMMYFUNCTION("""COMPUTED_VALUE"""),"Gambia")</f>
        <v>Gambia</v>
      </c>
      <c r="D5609">
        <f>IFERROR(__xludf.DUMMYFUNCTION("""COMPUTED_VALUE"""),2004.0)</f>
        <v>2004</v>
      </c>
      <c r="E5609">
        <f>IFERROR(__xludf.DUMMYFUNCTION("""COMPUTED_VALUE"""),1398573.0)</f>
        <v>1398573</v>
      </c>
    </row>
    <row r="5610">
      <c r="A5610" t="str">
        <f t="shared" si="1"/>
        <v>gmb#2005</v>
      </c>
      <c r="B5610" t="str">
        <f>IFERROR(__xludf.DUMMYFUNCTION("""COMPUTED_VALUE"""),"gmb")</f>
        <v>gmb</v>
      </c>
      <c r="C5610" t="str">
        <f>IFERROR(__xludf.DUMMYFUNCTION("""COMPUTED_VALUE"""),"Gambia")</f>
        <v>Gambia</v>
      </c>
      <c r="D5610">
        <f>IFERROR(__xludf.DUMMYFUNCTION("""COMPUTED_VALUE"""),2005.0)</f>
        <v>2005</v>
      </c>
      <c r="E5610">
        <f>IFERROR(__xludf.DUMMYFUNCTION("""COMPUTED_VALUE"""),1444204.0)</f>
        <v>1444204</v>
      </c>
    </row>
    <row r="5611">
      <c r="A5611" t="str">
        <f t="shared" si="1"/>
        <v>gmb#2006</v>
      </c>
      <c r="B5611" t="str">
        <f>IFERROR(__xludf.DUMMYFUNCTION("""COMPUTED_VALUE"""),"gmb")</f>
        <v>gmb</v>
      </c>
      <c r="C5611" t="str">
        <f>IFERROR(__xludf.DUMMYFUNCTION("""COMPUTED_VALUE"""),"Gambia")</f>
        <v>Gambia</v>
      </c>
      <c r="D5611">
        <f>IFERROR(__xludf.DUMMYFUNCTION("""COMPUTED_VALUE"""),2006.0)</f>
        <v>2006</v>
      </c>
      <c r="E5611">
        <f>IFERROR(__xludf.DUMMYFUNCTION("""COMPUTED_VALUE"""),1491021.0)</f>
        <v>1491021</v>
      </c>
    </row>
    <row r="5612">
      <c r="A5612" t="str">
        <f t="shared" si="1"/>
        <v>gmb#2007</v>
      </c>
      <c r="B5612" t="str">
        <f>IFERROR(__xludf.DUMMYFUNCTION("""COMPUTED_VALUE"""),"gmb")</f>
        <v>gmb</v>
      </c>
      <c r="C5612" t="str">
        <f>IFERROR(__xludf.DUMMYFUNCTION("""COMPUTED_VALUE"""),"Gambia")</f>
        <v>Gambia</v>
      </c>
      <c r="D5612">
        <f>IFERROR(__xludf.DUMMYFUNCTION("""COMPUTED_VALUE"""),2007.0)</f>
        <v>2007</v>
      </c>
      <c r="E5612">
        <f>IFERROR(__xludf.DUMMYFUNCTION("""COMPUTED_VALUE"""),1539116.0)</f>
        <v>1539116</v>
      </c>
    </row>
    <row r="5613">
      <c r="A5613" t="str">
        <f t="shared" si="1"/>
        <v>gmb#2008</v>
      </c>
      <c r="B5613" t="str">
        <f>IFERROR(__xludf.DUMMYFUNCTION("""COMPUTED_VALUE"""),"gmb")</f>
        <v>gmb</v>
      </c>
      <c r="C5613" t="str">
        <f>IFERROR(__xludf.DUMMYFUNCTION("""COMPUTED_VALUE"""),"Gambia")</f>
        <v>Gambia</v>
      </c>
      <c r="D5613">
        <f>IFERROR(__xludf.DUMMYFUNCTION("""COMPUTED_VALUE"""),2008.0)</f>
        <v>2008</v>
      </c>
      <c r="E5613">
        <f>IFERROR(__xludf.DUMMYFUNCTION("""COMPUTED_VALUE"""),1588572.0)</f>
        <v>1588572</v>
      </c>
    </row>
    <row r="5614">
      <c r="A5614" t="str">
        <f t="shared" si="1"/>
        <v>gmb#2009</v>
      </c>
      <c r="B5614" t="str">
        <f>IFERROR(__xludf.DUMMYFUNCTION("""COMPUTED_VALUE"""),"gmb")</f>
        <v>gmb</v>
      </c>
      <c r="C5614" t="str">
        <f>IFERROR(__xludf.DUMMYFUNCTION("""COMPUTED_VALUE"""),"Gambia")</f>
        <v>Gambia</v>
      </c>
      <c r="D5614">
        <f>IFERROR(__xludf.DUMMYFUNCTION("""COMPUTED_VALUE"""),2009.0)</f>
        <v>2009</v>
      </c>
      <c r="E5614">
        <f>IFERROR(__xludf.DUMMYFUNCTION("""COMPUTED_VALUE"""),1639560.0)</f>
        <v>1639560</v>
      </c>
    </row>
    <row r="5615">
      <c r="A5615" t="str">
        <f t="shared" si="1"/>
        <v>gmb#2010</v>
      </c>
      <c r="B5615" t="str">
        <f>IFERROR(__xludf.DUMMYFUNCTION("""COMPUTED_VALUE"""),"gmb")</f>
        <v>gmb</v>
      </c>
      <c r="C5615" t="str">
        <f>IFERROR(__xludf.DUMMYFUNCTION("""COMPUTED_VALUE"""),"Gambia")</f>
        <v>Gambia</v>
      </c>
      <c r="D5615">
        <f>IFERROR(__xludf.DUMMYFUNCTION("""COMPUTED_VALUE"""),2010.0)</f>
        <v>2010</v>
      </c>
      <c r="E5615">
        <f>IFERROR(__xludf.DUMMYFUNCTION("""COMPUTED_VALUE"""),1692149.0)</f>
        <v>1692149</v>
      </c>
    </row>
    <row r="5616">
      <c r="A5616" t="str">
        <f t="shared" si="1"/>
        <v>gmb#2011</v>
      </c>
      <c r="B5616" t="str">
        <f>IFERROR(__xludf.DUMMYFUNCTION("""COMPUTED_VALUE"""),"gmb")</f>
        <v>gmb</v>
      </c>
      <c r="C5616" t="str">
        <f>IFERROR(__xludf.DUMMYFUNCTION("""COMPUTED_VALUE"""),"Gambia")</f>
        <v>Gambia</v>
      </c>
      <c r="D5616">
        <f>IFERROR(__xludf.DUMMYFUNCTION("""COMPUTED_VALUE"""),2011.0)</f>
        <v>2011</v>
      </c>
      <c r="E5616">
        <f>IFERROR(__xludf.DUMMYFUNCTION("""COMPUTED_VALUE"""),1746363.0)</f>
        <v>1746363</v>
      </c>
    </row>
    <row r="5617">
      <c r="A5617" t="str">
        <f t="shared" si="1"/>
        <v>gmb#2012</v>
      </c>
      <c r="B5617" t="str">
        <f>IFERROR(__xludf.DUMMYFUNCTION("""COMPUTED_VALUE"""),"gmb")</f>
        <v>gmb</v>
      </c>
      <c r="C5617" t="str">
        <f>IFERROR(__xludf.DUMMYFUNCTION("""COMPUTED_VALUE"""),"Gambia")</f>
        <v>Gambia</v>
      </c>
      <c r="D5617">
        <f>IFERROR(__xludf.DUMMYFUNCTION("""COMPUTED_VALUE"""),2012.0)</f>
        <v>2012</v>
      </c>
      <c r="E5617">
        <f>IFERROR(__xludf.DUMMYFUNCTION("""COMPUTED_VALUE"""),1802125.0)</f>
        <v>1802125</v>
      </c>
    </row>
    <row r="5618">
      <c r="A5618" t="str">
        <f t="shared" si="1"/>
        <v>gmb#2013</v>
      </c>
      <c r="B5618" t="str">
        <f>IFERROR(__xludf.DUMMYFUNCTION("""COMPUTED_VALUE"""),"gmb")</f>
        <v>gmb</v>
      </c>
      <c r="C5618" t="str">
        <f>IFERROR(__xludf.DUMMYFUNCTION("""COMPUTED_VALUE"""),"Gambia")</f>
        <v>Gambia</v>
      </c>
      <c r="D5618">
        <f>IFERROR(__xludf.DUMMYFUNCTION("""COMPUTED_VALUE"""),2013.0)</f>
        <v>2013</v>
      </c>
      <c r="E5618">
        <f>IFERROR(__xludf.DUMMYFUNCTION("""COMPUTED_VALUE"""),1859324.0)</f>
        <v>1859324</v>
      </c>
    </row>
    <row r="5619">
      <c r="A5619" t="str">
        <f t="shared" si="1"/>
        <v>gmb#2014</v>
      </c>
      <c r="B5619" t="str">
        <f>IFERROR(__xludf.DUMMYFUNCTION("""COMPUTED_VALUE"""),"gmb")</f>
        <v>gmb</v>
      </c>
      <c r="C5619" t="str">
        <f>IFERROR(__xludf.DUMMYFUNCTION("""COMPUTED_VALUE"""),"Gambia")</f>
        <v>Gambia</v>
      </c>
      <c r="D5619">
        <f>IFERROR(__xludf.DUMMYFUNCTION("""COMPUTED_VALUE"""),2014.0)</f>
        <v>2014</v>
      </c>
      <c r="E5619">
        <f>IFERROR(__xludf.DUMMYFUNCTION("""COMPUTED_VALUE"""),1917852.0)</f>
        <v>1917852</v>
      </c>
    </row>
    <row r="5620">
      <c r="A5620" t="str">
        <f t="shared" si="1"/>
        <v>gmb#2015</v>
      </c>
      <c r="B5620" t="str">
        <f>IFERROR(__xludf.DUMMYFUNCTION("""COMPUTED_VALUE"""),"gmb")</f>
        <v>gmb</v>
      </c>
      <c r="C5620" t="str">
        <f>IFERROR(__xludf.DUMMYFUNCTION("""COMPUTED_VALUE"""),"Gambia")</f>
        <v>Gambia</v>
      </c>
      <c r="D5620">
        <f>IFERROR(__xludf.DUMMYFUNCTION("""COMPUTED_VALUE"""),2015.0)</f>
        <v>2015</v>
      </c>
      <c r="E5620">
        <f>IFERROR(__xludf.DUMMYFUNCTION("""COMPUTED_VALUE"""),1977590.0)</f>
        <v>1977590</v>
      </c>
    </row>
    <row r="5621">
      <c r="A5621" t="str">
        <f t="shared" si="1"/>
        <v>gmb#2016</v>
      </c>
      <c r="B5621" t="str">
        <f>IFERROR(__xludf.DUMMYFUNCTION("""COMPUTED_VALUE"""),"gmb")</f>
        <v>gmb</v>
      </c>
      <c r="C5621" t="str">
        <f>IFERROR(__xludf.DUMMYFUNCTION("""COMPUTED_VALUE"""),"Gambia")</f>
        <v>Gambia</v>
      </c>
      <c r="D5621">
        <f>IFERROR(__xludf.DUMMYFUNCTION("""COMPUTED_VALUE"""),2016.0)</f>
        <v>2016</v>
      </c>
      <c r="E5621">
        <f>IFERROR(__xludf.DUMMYFUNCTION("""COMPUTED_VALUE"""),2038501.0)</f>
        <v>2038501</v>
      </c>
    </row>
    <row r="5622">
      <c r="A5622" t="str">
        <f t="shared" si="1"/>
        <v>gmb#2017</v>
      </c>
      <c r="B5622" t="str">
        <f>IFERROR(__xludf.DUMMYFUNCTION("""COMPUTED_VALUE"""),"gmb")</f>
        <v>gmb</v>
      </c>
      <c r="C5622" t="str">
        <f>IFERROR(__xludf.DUMMYFUNCTION("""COMPUTED_VALUE"""),"Gambia")</f>
        <v>Gambia</v>
      </c>
      <c r="D5622">
        <f>IFERROR(__xludf.DUMMYFUNCTION("""COMPUTED_VALUE"""),2017.0)</f>
        <v>2017</v>
      </c>
      <c r="E5622">
        <f>IFERROR(__xludf.DUMMYFUNCTION("""COMPUTED_VALUE"""),2100568.0)</f>
        <v>2100568</v>
      </c>
    </row>
    <row r="5623">
      <c r="A5623" t="str">
        <f t="shared" si="1"/>
        <v>gmb#2018</v>
      </c>
      <c r="B5623" t="str">
        <f>IFERROR(__xludf.DUMMYFUNCTION("""COMPUTED_VALUE"""),"gmb")</f>
        <v>gmb</v>
      </c>
      <c r="C5623" t="str">
        <f>IFERROR(__xludf.DUMMYFUNCTION("""COMPUTED_VALUE"""),"Gambia")</f>
        <v>Gambia</v>
      </c>
      <c r="D5623">
        <f>IFERROR(__xludf.DUMMYFUNCTION("""COMPUTED_VALUE"""),2018.0)</f>
        <v>2018</v>
      </c>
      <c r="E5623">
        <f>IFERROR(__xludf.DUMMYFUNCTION("""COMPUTED_VALUE"""),2163765.0)</f>
        <v>2163765</v>
      </c>
    </row>
    <row r="5624">
      <c r="A5624" t="str">
        <f t="shared" si="1"/>
        <v>gmb#2019</v>
      </c>
      <c r="B5624" t="str">
        <f>IFERROR(__xludf.DUMMYFUNCTION("""COMPUTED_VALUE"""),"gmb")</f>
        <v>gmb</v>
      </c>
      <c r="C5624" t="str">
        <f>IFERROR(__xludf.DUMMYFUNCTION("""COMPUTED_VALUE"""),"Gambia")</f>
        <v>Gambia</v>
      </c>
      <c r="D5624">
        <f>IFERROR(__xludf.DUMMYFUNCTION("""COMPUTED_VALUE"""),2019.0)</f>
        <v>2019</v>
      </c>
      <c r="E5624">
        <f>IFERROR(__xludf.DUMMYFUNCTION("""COMPUTED_VALUE"""),2228075.0)</f>
        <v>2228075</v>
      </c>
    </row>
    <row r="5625">
      <c r="A5625" t="str">
        <f t="shared" si="1"/>
        <v>gmb#2020</v>
      </c>
      <c r="B5625" t="str">
        <f>IFERROR(__xludf.DUMMYFUNCTION("""COMPUTED_VALUE"""),"gmb")</f>
        <v>gmb</v>
      </c>
      <c r="C5625" t="str">
        <f>IFERROR(__xludf.DUMMYFUNCTION("""COMPUTED_VALUE"""),"Gambia")</f>
        <v>Gambia</v>
      </c>
      <c r="D5625">
        <f>IFERROR(__xludf.DUMMYFUNCTION("""COMPUTED_VALUE"""),2020.0)</f>
        <v>2020</v>
      </c>
      <c r="E5625">
        <f>IFERROR(__xludf.DUMMYFUNCTION("""COMPUTED_VALUE"""),2293493.0)</f>
        <v>2293493</v>
      </c>
    </row>
    <row r="5626">
      <c r="A5626" t="str">
        <f t="shared" si="1"/>
        <v>gmb#2021</v>
      </c>
      <c r="B5626" t="str">
        <f>IFERROR(__xludf.DUMMYFUNCTION("""COMPUTED_VALUE"""),"gmb")</f>
        <v>gmb</v>
      </c>
      <c r="C5626" t="str">
        <f>IFERROR(__xludf.DUMMYFUNCTION("""COMPUTED_VALUE"""),"Gambia")</f>
        <v>Gambia</v>
      </c>
      <c r="D5626">
        <f>IFERROR(__xludf.DUMMYFUNCTION("""COMPUTED_VALUE"""),2021.0)</f>
        <v>2021</v>
      </c>
      <c r="E5626">
        <f>IFERROR(__xludf.DUMMYFUNCTION("""COMPUTED_VALUE"""),2359954.0)</f>
        <v>2359954</v>
      </c>
    </row>
    <row r="5627">
      <c r="A5627" t="str">
        <f t="shared" si="1"/>
        <v>gmb#2022</v>
      </c>
      <c r="B5627" t="str">
        <f>IFERROR(__xludf.DUMMYFUNCTION("""COMPUTED_VALUE"""),"gmb")</f>
        <v>gmb</v>
      </c>
      <c r="C5627" t="str">
        <f>IFERROR(__xludf.DUMMYFUNCTION("""COMPUTED_VALUE"""),"Gambia")</f>
        <v>Gambia</v>
      </c>
      <c r="D5627">
        <f>IFERROR(__xludf.DUMMYFUNCTION("""COMPUTED_VALUE"""),2022.0)</f>
        <v>2022</v>
      </c>
      <c r="E5627">
        <f>IFERROR(__xludf.DUMMYFUNCTION("""COMPUTED_VALUE"""),2427423.0)</f>
        <v>2427423</v>
      </c>
    </row>
    <row r="5628">
      <c r="A5628" t="str">
        <f t="shared" si="1"/>
        <v>gmb#2023</v>
      </c>
      <c r="B5628" t="str">
        <f>IFERROR(__xludf.DUMMYFUNCTION("""COMPUTED_VALUE"""),"gmb")</f>
        <v>gmb</v>
      </c>
      <c r="C5628" t="str">
        <f>IFERROR(__xludf.DUMMYFUNCTION("""COMPUTED_VALUE"""),"Gambia")</f>
        <v>Gambia</v>
      </c>
      <c r="D5628">
        <f>IFERROR(__xludf.DUMMYFUNCTION("""COMPUTED_VALUE"""),2023.0)</f>
        <v>2023</v>
      </c>
      <c r="E5628">
        <f>IFERROR(__xludf.DUMMYFUNCTION("""COMPUTED_VALUE"""),2495903.0)</f>
        <v>2495903</v>
      </c>
    </row>
    <row r="5629">
      <c r="A5629" t="str">
        <f t="shared" si="1"/>
        <v>gmb#2024</v>
      </c>
      <c r="B5629" t="str">
        <f>IFERROR(__xludf.DUMMYFUNCTION("""COMPUTED_VALUE"""),"gmb")</f>
        <v>gmb</v>
      </c>
      <c r="C5629" t="str">
        <f>IFERROR(__xludf.DUMMYFUNCTION("""COMPUTED_VALUE"""),"Gambia")</f>
        <v>Gambia</v>
      </c>
      <c r="D5629">
        <f>IFERROR(__xludf.DUMMYFUNCTION("""COMPUTED_VALUE"""),2024.0)</f>
        <v>2024</v>
      </c>
      <c r="E5629">
        <f>IFERROR(__xludf.DUMMYFUNCTION("""COMPUTED_VALUE"""),2565346.0)</f>
        <v>2565346</v>
      </c>
    </row>
    <row r="5630">
      <c r="A5630" t="str">
        <f t="shared" si="1"/>
        <v>gmb#2025</v>
      </c>
      <c r="B5630" t="str">
        <f>IFERROR(__xludf.DUMMYFUNCTION("""COMPUTED_VALUE"""),"gmb")</f>
        <v>gmb</v>
      </c>
      <c r="C5630" t="str">
        <f>IFERROR(__xludf.DUMMYFUNCTION("""COMPUTED_VALUE"""),"Gambia")</f>
        <v>Gambia</v>
      </c>
      <c r="D5630">
        <f>IFERROR(__xludf.DUMMYFUNCTION("""COMPUTED_VALUE"""),2025.0)</f>
        <v>2025</v>
      </c>
      <c r="E5630">
        <f>IFERROR(__xludf.DUMMYFUNCTION("""COMPUTED_VALUE"""),2635740.0)</f>
        <v>2635740</v>
      </c>
    </row>
    <row r="5631">
      <c r="A5631" t="str">
        <f t="shared" si="1"/>
        <v>gmb#2026</v>
      </c>
      <c r="B5631" t="str">
        <f>IFERROR(__xludf.DUMMYFUNCTION("""COMPUTED_VALUE"""),"gmb")</f>
        <v>gmb</v>
      </c>
      <c r="C5631" t="str">
        <f>IFERROR(__xludf.DUMMYFUNCTION("""COMPUTED_VALUE"""),"Gambia")</f>
        <v>Gambia</v>
      </c>
      <c r="D5631">
        <f>IFERROR(__xludf.DUMMYFUNCTION("""COMPUTED_VALUE"""),2026.0)</f>
        <v>2026</v>
      </c>
      <c r="E5631">
        <f>IFERROR(__xludf.DUMMYFUNCTION("""COMPUTED_VALUE"""),2707043.0)</f>
        <v>2707043</v>
      </c>
    </row>
    <row r="5632">
      <c r="A5632" t="str">
        <f t="shared" si="1"/>
        <v>gmb#2027</v>
      </c>
      <c r="B5632" t="str">
        <f>IFERROR(__xludf.DUMMYFUNCTION("""COMPUTED_VALUE"""),"gmb")</f>
        <v>gmb</v>
      </c>
      <c r="C5632" t="str">
        <f>IFERROR(__xludf.DUMMYFUNCTION("""COMPUTED_VALUE"""),"Gambia")</f>
        <v>Gambia</v>
      </c>
      <c r="D5632">
        <f>IFERROR(__xludf.DUMMYFUNCTION("""COMPUTED_VALUE"""),2027.0)</f>
        <v>2027</v>
      </c>
      <c r="E5632">
        <f>IFERROR(__xludf.DUMMYFUNCTION("""COMPUTED_VALUE"""),2779225.0)</f>
        <v>2779225</v>
      </c>
    </row>
    <row r="5633">
      <c r="A5633" t="str">
        <f t="shared" si="1"/>
        <v>gmb#2028</v>
      </c>
      <c r="B5633" t="str">
        <f>IFERROR(__xludf.DUMMYFUNCTION("""COMPUTED_VALUE"""),"gmb")</f>
        <v>gmb</v>
      </c>
      <c r="C5633" t="str">
        <f>IFERROR(__xludf.DUMMYFUNCTION("""COMPUTED_VALUE"""),"Gambia")</f>
        <v>Gambia</v>
      </c>
      <c r="D5633">
        <f>IFERROR(__xludf.DUMMYFUNCTION("""COMPUTED_VALUE"""),2028.0)</f>
        <v>2028</v>
      </c>
      <c r="E5633">
        <f>IFERROR(__xludf.DUMMYFUNCTION("""COMPUTED_VALUE"""),2852248.0)</f>
        <v>2852248</v>
      </c>
    </row>
    <row r="5634">
      <c r="A5634" t="str">
        <f t="shared" si="1"/>
        <v>gmb#2029</v>
      </c>
      <c r="B5634" t="str">
        <f>IFERROR(__xludf.DUMMYFUNCTION("""COMPUTED_VALUE"""),"gmb")</f>
        <v>gmb</v>
      </c>
      <c r="C5634" t="str">
        <f>IFERROR(__xludf.DUMMYFUNCTION("""COMPUTED_VALUE"""),"Gambia")</f>
        <v>Gambia</v>
      </c>
      <c r="D5634">
        <f>IFERROR(__xludf.DUMMYFUNCTION("""COMPUTED_VALUE"""),2029.0)</f>
        <v>2029</v>
      </c>
      <c r="E5634">
        <f>IFERROR(__xludf.DUMMYFUNCTION("""COMPUTED_VALUE"""),2926075.0)</f>
        <v>2926075</v>
      </c>
    </row>
    <row r="5635">
      <c r="A5635" t="str">
        <f t="shared" si="1"/>
        <v>gmb#2030</v>
      </c>
      <c r="B5635" t="str">
        <f>IFERROR(__xludf.DUMMYFUNCTION("""COMPUTED_VALUE"""),"gmb")</f>
        <v>gmb</v>
      </c>
      <c r="C5635" t="str">
        <f>IFERROR(__xludf.DUMMYFUNCTION("""COMPUTED_VALUE"""),"Gambia")</f>
        <v>Gambia</v>
      </c>
      <c r="D5635">
        <f>IFERROR(__xludf.DUMMYFUNCTION("""COMPUTED_VALUE"""),2030.0)</f>
        <v>2030</v>
      </c>
      <c r="E5635">
        <f>IFERROR(__xludf.DUMMYFUNCTION("""COMPUTED_VALUE"""),3000667.0)</f>
        <v>3000667</v>
      </c>
    </row>
    <row r="5636">
      <c r="A5636" t="str">
        <f t="shared" si="1"/>
        <v>gmb#2031</v>
      </c>
      <c r="B5636" t="str">
        <f>IFERROR(__xludf.DUMMYFUNCTION("""COMPUTED_VALUE"""),"gmb")</f>
        <v>gmb</v>
      </c>
      <c r="C5636" t="str">
        <f>IFERROR(__xludf.DUMMYFUNCTION("""COMPUTED_VALUE"""),"Gambia")</f>
        <v>Gambia</v>
      </c>
      <c r="D5636">
        <f>IFERROR(__xludf.DUMMYFUNCTION("""COMPUTED_VALUE"""),2031.0)</f>
        <v>2031</v>
      </c>
      <c r="E5636">
        <f>IFERROR(__xludf.DUMMYFUNCTION("""COMPUTED_VALUE"""),3075997.0)</f>
        <v>3075997</v>
      </c>
    </row>
    <row r="5637">
      <c r="A5637" t="str">
        <f t="shared" si="1"/>
        <v>gmb#2032</v>
      </c>
      <c r="B5637" t="str">
        <f>IFERROR(__xludf.DUMMYFUNCTION("""COMPUTED_VALUE"""),"gmb")</f>
        <v>gmb</v>
      </c>
      <c r="C5637" t="str">
        <f>IFERROR(__xludf.DUMMYFUNCTION("""COMPUTED_VALUE"""),"Gambia")</f>
        <v>Gambia</v>
      </c>
      <c r="D5637">
        <f>IFERROR(__xludf.DUMMYFUNCTION("""COMPUTED_VALUE"""),2032.0)</f>
        <v>2032</v>
      </c>
      <c r="E5637">
        <f>IFERROR(__xludf.DUMMYFUNCTION("""COMPUTED_VALUE"""),3151996.0)</f>
        <v>3151996</v>
      </c>
    </row>
    <row r="5638">
      <c r="A5638" t="str">
        <f t="shared" si="1"/>
        <v>gmb#2033</v>
      </c>
      <c r="B5638" t="str">
        <f>IFERROR(__xludf.DUMMYFUNCTION("""COMPUTED_VALUE"""),"gmb")</f>
        <v>gmb</v>
      </c>
      <c r="C5638" t="str">
        <f>IFERROR(__xludf.DUMMYFUNCTION("""COMPUTED_VALUE"""),"Gambia")</f>
        <v>Gambia</v>
      </c>
      <c r="D5638">
        <f>IFERROR(__xludf.DUMMYFUNCTION("""COMPUTED_VALUE"""),2033.0)</f>
        <v>2033</v>
      </c>
      <c r="E5638">
        <f>IFERROR(__xludf.DUMMYFUNCTION("""COMPUTED_VALUE"""),3228620.0)</f>
        <v>3228620</v>
      </c>
    </row>
    <row r="5639">
      <c r="A5639" t="str">
        <f t="shared" si="1"/>
        <v>gmb#2034</v>
      </c>
      <c r="B5639" t="str">
        <f>IFERROR(__xludf.DUMMYFUNCTION("""COMPUTED_VALUE"""),"gmb")</f>
        <v>gmb</v>
      </c>
      <c r="C5639" t="str">
        <f>IFERROR(__xludf.DUMMYFUNCTION("""COMPUTED_VALUE"""),"Gambia")</f>
        <v>Gambia</v>
      </c>
      <c r="D5639">
        <f>IFERROR(__xludf.DUMMYFUNCTION("""COMPUTED_VALUE"""),2034.0)</f>
        <v>2034</v>
      </c>
      <c r="E5639">
        <f>IFERROR(__xludf.DUMMYFUNCTION("""COMPUTED_VALUE"""),3305795.0)</f>
        <v>3305795</v>
      </c>
    </row>
    <row r="5640">
      <c r="A5640" t="str">
        <f t="shared" si="1"/>
        <v>gmb#2035</v>
      </c>
      <c r="B5640" t="str">
        <f>IFERROR(__xludf.DUMMYFUNCTION("""COMPUTED_VALUE"""),"gmb")</f>
        <v>gmb</v>
      </c>
      <c r="C5640" t="str">
        <f>IFERROR(__xludf.DUMMYFUNCTION("""COMPUTED_VALUE"""),"Gambia")</f>
        <v>Gambia</v>
      </c>
      <c r="D5640">
        <f>IFERROR(__xludf.DUMMYFUNCTION("""COMPUTED_VALUE"""),2035.0)</f>
        <v>2035</v>
      </c>
      <c r="E5640">
        <f>IFERROR(__xludf.DUMMYFUNCTION("""COMPUTED_VALUE"""),3383475.0)</f>
        <v>3383475</v>
      </c>
    </row>
    <row r="5641">
      <c r="A5641" t="str">
        <f t="shared" si="1"/>
        <v>gmb#2036</v>
      </c>
      <c r="B5641" t="str">
        <f>IFERROR(__xludf.DUMMYFUNCTION("""COMPUTED_VALUE"""),"gmb")</f>
        <v>gmb</v>
      </c>
      <c r="C5641" t="str">
        <f>IFERROR(__xludf.DUMMYFUNCTION("""COMPUTED_VALUE"""),"Gambia")</f>
        <v>Gambia</v>
      </c>
      <c r="D5641">
        <f>IFERROR(__xludf.DUMMYFUNCTION("""COMPUTED_VALUE"""),2036.0)</f>
        <v>2036</v>
      </c>
      <c r="E5641">
        <f>IFERROR(__xludf.DUMMYFUNCTION("""COMPUTED_VALUE"""),3461606.0)</f>
        <v>3461606</v>
      </c>
    </row>
    <row r="5642">
      <c r="A5642" t="str">
        <f t="shared" si="1"/>
        <v>gmb#2037</v>
      </c>
      <c r="B5642" t="str">
        <f>IFERROR(__xludf.DUMMYFUNCTION("""COMPUTED_VALUE"""),"gmb")</f>
        <v>gmb</v>
      </c>
      <c r="C5642" t="str">
        <f>IFERROR(__xludf.DUMMYFUNCTION("""COMPUTED_VALUE"""),"Gambia")</f>
        <v>Gambia</v>
      </c>
      <c r="D5642">
        <f>IFERROR(__xludf.DUMMYFUNCTION("""COMPUTED_VALUE"""),2037.0)</f>
        <v>2037</v>
      </c>
      <c r="E5642">
        <f>IFERROR(__xludf.DUMMYFUNCTION("""COMPUTED_VALUE"""),3540115.0)</f>
        <v>3540115</v>
      </c>
    </row>
    <row r="5643">
      <c r="A5643" t="str">
        <f t="shared" si="1"/>
        <v>gmb#2038</v>
      </c>
      <c r="B5643" t="str">
        <f>IFERROR(__xludf.DUMMYFUNCTION("""COMPUTED_VALUE"""),"gmb")</f>
        <v>gmb</v>
      </c>
      <c r="C5643" t="str">
        <f>IFERROR(__xludf.DUMMYFUNCTION("""COMPUTED_VALUE"""),"Gambia")</f>
        <v>Gambia</v>
      </c>
      <c r="D5643">
        <f>IFERROR(__xludf.DUMMYFUNCTION("""COMPUTED_VALUE"""),2038.0)</f>
        <v>2038</v>
      </c>
      <c r="E5643">
        <f>IFERROR(__xludf.DUMMYFUNCTION("""COMPUTED_VALUE"""),3618924.0)</f>
        <v>3618924</v>
      </c>
    </row>
    <row r="5644">
      <c r="A5644" t="str">
        <f t="shared" si="1"/>
        <v>gmb#2039</v>
      </c>
      <c r="B5644" t="str">
        <f>IFERROR(__xludf.DUMMYFUNCTION("""COMPUTED_VALUE"""),"gmb")</f>
        <v>gmb</v>
      </c>
      <c r="C5644" t="str">
        <f>IFERROR(__xludf.DUMMYFUNCTION("""COMPUTED_VALUE"""),"Gambia")</f>
        <v>Gambia</v>
      </c>
      <c r="D5644">
        <f>IFERROR(__xludf.DUMMYFUNCTION("""COMPUTED_VALUE"""),2039.0)</f>
        <v>2039</v>
      </c>
      <c r="E5644">
        <f>IFERROR(__xludf.DUMMYFUNCTION("""COMPUTED_VALUE"""),3697953.0)</f>
        <v>3697953</v>
      </c>
    </row>
    <row r="5645">
      <c r="A5645" t="str">
        <f t="shared" si="1"/>
        <v>gmb#2040</v>
      </c>
      <c r="B5645" t="str">
        <f>IFERROR(__xludf.DUMMYFUNCTION("""COMPUTED_VALUE"""),"gmb")</f>
        <v>gmb</v>
      </c>
      <c r="C5645" t="str">
        <f>IFERROR(__xludf.DUMMYFUNCTION("""COMPUTED_VALUE"""),"Gambia")</f>
        <v>Gambia</v>
      </c>
      <c r="D5645">
        <f>IFERROR(__xludf.DUMMYFUNCTION("""COMPUTED_VALUE"""),2040.0)</f>
        <v>2040</v>
      </c>
      <c r="E5645">
        <f>IFERROR(__xludf.DUMMYFUNCTION("""COMPUTED_VALUE"""),3777102.0)</f>
        <v>3777102</v>
      </c>
    </row>
    <row r="5646">
      <c r="A5646" t="str">
        <f t="shared" si="1"/>
        <v>geo#1950</v>
      </c>
      <c r="B5646" t="str">
        <f>IFERROR(__xludf.DUMMYFUNCTION("""COMPUTED_VALUE"""),"geo")</f>
        <v>geo</v>
      </c>
      <c r="C5646" t="str">
        <f>IFERROR(__xludf.DUMMYFUNCTION("""COMPUTED_VALUE"""),"Georgia")</f>
        <v>Georgia</v>
      </c>
      <c r="D5646">
        <f>IFERROR(__xludf.DUMMYFUNCTION("""COMPUTED_VALUE"""),1950.0)</f>
        <v>1950</v>
      </c>
      <c r="E5646">
        <f>IFERROR(__xludf.DUMMYFUNCTION("""COMPUTED_VALUE"""),3527008.0)</f>
        <v>3527008</v>
      </c>
    </row>
    <row r="5647">
      <c r="A5647" t="str">
        <f t="shared" si="1"/>
        <v>geo#1951</v>
      </c>
      <c r="B5647" t="str">
        <f>IFERROR(__xludf.DUMMYFUNCTION("""COMPUTED_VALUE"""),"geo")</f>
        <v>geo</v>
      </c>
      <c r="C5647" t="str">
        <f>IFERROR(__xludf.DUMMYFUNCTION("""COMPUTED_VALUE"""),"Georgia")</f>
        <v>Georgia</v>
      </c>
      <c r="D5647">
        <f>IFERROR(__xludf.DUMMYFUNCTION("""COMPUTED_VALUE"""),1951.0)</f>
        <v>1951</v>
      </c>
      <c r="E5647">
        <f>IFERROR(__xludf.DUMMYFUNCTION("""COMPUTED_VALUE"""),3555870.0)</f>
        <v>3555870</v>
      </c>
    </row>
    <row r="5648">
      <c r="A5648" t="str">
        <f t="shared" si="1"/>
        <v>geo#1952</v>
      </c>
      <c r="B5648" t="str">
        <f>IFERROR(__xludf.DUMMYFUNCTION("""COMPUTED_VALUE"""),"geo")</f>
        <v>geo</v>
      </c>
      <c r="C5648" t="str">
        <f>IFERROR(__xludf.DUMMYFUNCTION("""COMPUTED_VALUE"""),"Georgia")</f>
        <v>Georgia</v>
      </c>
      <c r="D5648">
        <f>IFERROR(__xludf.DUMMYFUNCTION("""COMPUTED_VALUE"""),1952.0)</f>
        <v>1952</v>
      </c>
      <c r="E5648">
        <f>IFERROR(__xludf.DUMMYFUNCTION("""COMPUTED_VALUE"""),3588619.0)</f>
        <v>3588619</v>
      </c>
    </row>
    <row r="5649">
      <c r="A5649" t="str">
        <f t="shared" si="1"/>
        <v>geo#1953</v>
      </c>
      <c r="B5649" t="str">
        <f>IFERROR(__xludf.DUMMYFUNCTION("""COMPUTED_VALUE"""),"geo")</f>
        <v>geo</v>
      </c>
      <c r="C5649" t="str">
        <f>IFERROR(__xludf.DUMMYFUNCTION("""COMPUTED_VALUE"""),"Georgia")</f>
        <v>Georgia</v>
      </c>
      <c r="D5649">
        <f>IFERROR(__xludf.DUMMYFUNCTION("""COMPUTED_VALUE"""),1953.0)</f>
        <v>1953</v>
      </c>
      <c r="E5649">
        <f>IFERROR(__xludf.DUMMYFUNCTION("""COMPUTED_VALUE"""),3625601.0)</f>
        <v>3625601</v>
      </c>
    </row>
    <row r="5650">
      <c r="A5650" t="str">
        <f t="shared" si="1"/>
        <v>geo#1954</v>
      </c>
      <c r="B5650" t="str">
        <f>IFERROR(__xludf.DUMMYFUNCTION("""COMPUTED_VALUE"""),"geo")</f>
        <v>geo</v>
      </c>
      <c r="C5650" t="str">
        <f>IFERROR(__xludf.DUMMYFUNCTION("""COMPUTED_VALUE"""),"Georgia")</f>
        <v>Georgia</v>
      </c>
      <c r="D5650">
        <f>IFERROR(__xludf.DUMMYFUNCTION("""COMPUTED_VALUE"""),1954.0)</f>
        <v>1954</v>
      </c>
      <c r="E5650">
        <f>IFERROR(__xludf.DUMMYFUNCTION("""COMPUTED_VALUE"""),3667064.0)</f>
        <v>3667064</v>
      </c>
    </row>
    <row r="5651">
      <c r="A5651" t="str">
        <f t="shared" si="1"/>
        <v>geo#1955</v>
      </c>
      <c r="B5651" t="str">
        <f>IFERROR(__xludf.DUMMYFUNCTION("""COMPUTED_VALUE"""),"geo")</f>
        <v>geo</v>
      </c>
      <c r="C5651" t="str">
        <f>IFERROR(__xludf.DUMMYFUNCTION("""COMPUTED_VALUE"""),"Georgia")</f>
        <v>Georgia</v>
      </c>
      <c r="D5651">
        <f>IFERROR(__xludf.DUMMYFUNCTION("""COMPUTED_VALUE"""),1955.0)</f>
        <v>1955</v>
      </c>
      <c r="E5651">
        <f>IFERROR(__xludf.DUMMYFUNCTION("""COMPUTED_VALUE"""),3713121.0)</f>
        <v>3713121</v>
      </c>
    </row>
    <row r="5652">
      <c r="A5652" t="str">
        <f t="shared" si="1"/>
        <v>geo#1956</v>
      </c>
      <c r="B5652" t="str">
        <f>IFERROR(__xludf.DUMMYFUNCTION("""COMPUTED_VALUE"""),"geo")</f>
        <v>geo</v>
      </c>
      <c r="C5652" t="str">
        <f>IFERROR(__xludf.DUMMYFUNCTION("""COMPUTED_VALUE"""),"Georgia")</f>
        <v>Georgia</v>
      </c>
      <c r="D5652">
        <f>IFERROR(__xludf.DUMMYFUNCTION("""COMPUTED_VALUE"""),1956.0)</f>
        <v>1956</v>
      </c>
      <c r="E5652">
        <f>IFERROR(__xludf.DUMMYFUNCTION("""COMPUTED_VALUE"""),3763763.0)</f>
        <v>3763763</v>
      </c>
    </row>
    <row r="5653">
      <c r="A5653" t="str">
        <f t="shared" si="1"/>
        <v>geo#1957</v>
      </c>
      <c r="B5653" t="str">
        <f>IFERROR(__xludf.DUMMYFUNCTION("""COMPUTED_VALUE"""),"geo")</f>
        <v>geo</v>
      </c>
      <c r="C5653" t="str">
        <f>IFERROR(__xludf.DUMMYFUNCTION("""COMPUTED_VALUE"""),"Georgia")</f>
        <v>Georgia</v>
      </c>
      <c r="D5653">
        <f>IFERROR(__xludf.DUMMYFUNCTION("""COMPUTED_VALUE"""),1957.0)</f>
        <v>1957</v>
      </c>
      <c r="E5653">
        <f>IFERROR(__xludf.DUMMYFUNCTION("""COMPUTED_VALUE"""),3818847.0)</f>
        <v>3818847</v>
      </c>
    </row>
    <row r="5654">
      <c r="A5654" t="str">
        <f t="shared" si="1"/>
        <v>geo#1958</v>
      </c>
      <c r="B5654" t="str">
        <f>IFERROR(__xludf.DUMMYFUNCTION("""COMPUTED_VALUE"""),"geo")</f>
        <v>geo</v>
      </c>
      <c r="C5654" t="str">
        <f>IFERROR(__xludf.DUMMYFUNCTION("""COMPUTED_VALUE"""),"Georgia")</f>
        <v>Georgia</v>
      </c>
      <c r="D5654">
        <f>IFERROR(__xludf.DUMMYFUNCTION("""COMPUTED_VALUE"""),1958.0)</f>
        <v>1958</v>
      </c>
      <c r="E5654">
        <f>IFERROR(__xludf.DUMMYFUNCTION("""COMPUTED_VALUE"""),3878127.0)</f>
        <v>3878127</v>
      </c>
    </row>
    <row r="5655">
      <c r="A5655" t="str">
        <f t="shared" si="1"/>
        <v>geo#1959</v>
      </c>
      <c r="B5655" t="str">
        <f>IFERROR(__xludf.DUMMYFUNCTION("""COMPUTED_VALUE"""),"geo")</f>
        <v>geo</v>
      </c>
      <c r="C5655" t="str">
        <f>IFERROR(__xludf.DUMMYFUNCTION("""COMPUTED_VALUE"""),"Georgia")</f>
        <v>Georgia</v>
      </c>
      <c r="D5655">
        <f>IFERROR(__xludf.DUMMYFUNCTION("""COMPUTED_VALUE"""),1959.0)</f>
        <v>1959</v>
      </c>
      <c r="E5655">
        <f>IFERROR(__xludf.DUMMYFUNCTION("""COMPUTED_VALUE"""),3941233.0)</f>
        <v>3941233</v>
      </c>
    </row>
    <row r="5656">
      <c r="A5656" t="str">
        <f t="shared" si="1"/>
        <v>geo#1960</v>
      </c>
      <c r="B5656" t="str">
        <f>IFERROR(__xludf.DUMMYFUNCTION("""COMPUTED_VALUE"""),"geo")</f>
        <v>geo</v>
      </c>
      <c r="C5656" t="str">
        <f>IFERROR(__xludf.DUMMYFUNCTION("""COMPUTED_VALUE"""),"Georgia")</f>
        <v>Georgia</v>
      </c>
      <c r="D5656">
        <f>IFERROR(__xludf.DUMMYFUNCTION("""COMPUTED_VALUE"""),1960.0)</f>
        <v>1960</v>
      </c>
      <c r="E5656">
        <f>IFERROR(__xludf.DUMMYFUNCTION("""COMPUTED_VALUE"""),4007713.0)</f>
        <v>4007713</v>
      </c>
    </row>
    <row r="5657">
      <c r="A5657" t="str">
        <f t="shared" si="1"/>
        <v>geo#1961</v>
      </c>
      <c r="B5657" t="str">
        <f>IFERROR(__xludf.DUMMYFUNCTION("""COMPUTED_VALUE"""),"geo")</f>
        <v>geo</v>
      </c>
      <c r="C5657" t="str">
        <f>IFERROR(__xludf.DUMMYFUNCTION("""COMPUTED_VALUE"""),"Georgia")</f>
        <v>Georgia</v>
      </c>
      <c r="D5657">
        <f>IFERROR(__xludf.DUMMYFUNCTION("""COMPUTED_VALUE"""),1961.0)</f>
        <v>1961</v>
      </c>
      <c r="E5657">
        <f>IFERROR(__xludf.DUMMYFUNCTION("""COMPUTED_VALUE"""),4077069.0)</f>
        <v>4077069</v>
      </c>
    </row>
    <row r="5658">
      <c r="A5658" t="str">
        <f t="shared" si="1"/>
        <v>geo#1962</v>
      </c>
      <c r="B5658" t="str">
        <f>IFERROR(__xludf.DUMMYFUNCTION("""COMPUTED_VALUE"""),"geo")</f>
        <v>geo</v>
      </c>
      <c r="C5658" t="str">
        <f>IFERROR(__xludf.DUMMYFUNCTION("""COMPUTED_VALUE"""),"Georgia")</f>
        <v>Georgia</v>
      </c>
      <c r="D5658">
        <f>IFERROR(__xludf.DUMMYFUNCTION("""COMPUTED_VALUE"""),1962.0)</f>
        <v>1962</v>
      </c>
      <c r="E5658">
        <f>IFERROR(__xludf.DUMMYFUNCTION("""COMPUTED_VALUE"""),4148730.0)</f>
        <v>4148730</v>
      </c>
    </row>
    <row r="5659">
      <c r="A5659" t="str">
        <f t="shared" si="1"/>
        <v>geo#1963</v>
      </c>
      <c r="B5659" t="str">
        <f>IFERROR(__xludf.DUMMYFUNCTION("""COMPUTED_VALUE"""),"geo")</f>
        <v>geo</v>
      </c>
      <c r="C5659" t="str">
        <f>IFERROR(__xludf.DUMMYFUNCTION("""COMPUTED_VALUE"""),"Georgia")</f>
        <v>Georgia</v>
      </c>
      <c r="D5659">
        <f>IFERROR(__xludf.DUMMYFUNCTION("""COMPUTED_VALUE"""),1963.0)</f>
        <v>1963</v>
      </c>
      <c r="E5659">
        <f>IFERROR(__xludf.DUMMYFUNCTION("""COMPUTED_VALUE"""),4222142.0)</f>
        <v>4222142</v>
      </c>
    </row>
    <row r="5660">
      <c r="A5660" t="str">
        <f t="shared" si="1"/>
        <v>geo#1964</v>
      </c>
      <c r="B5660" t="str">
        <f>IFERROR(__xludf.DUMMYFUNCTION("""COMPUTED_VALUE"""),"geo")</f>
        <v>geo</v>
      </c>
      <c r="C5660" t="str">
        <f>IFERROR(__xludf.DUMMYFUNCTION("""COMPUTED_VALUE"""),"Georgia")</f>
        <v>Georgia</v>
      </c>
      <c r="D5660">
        <f>IFERROR(__xludf.DUMMYFUNCTION("""COMPUTED_VALUE"""),1964.0)</f>
        <v>1964</v>
      </c>
      <c r="E5660">
        <f>IFERROR(__xludf.DUMMYFUNCTION("""COMPUTED_VALUE"""),4296656.0)</f>
        <v>4296656</v>
      </c>
    </row>
    <row r="5661">
      <c r="A5661" t="str">
        <f t="shared" si="1"/>
        <v>geo#1965</v>
      </c>
      <c r="B5661" t="str">
        <f>IFERROR(__xludf.DUMMYFUNCTION("""COMPUTED_VALUE"""),"geo")</f>
        <v>geo</v>
      </c>
      <c r="C5661" t="str">
        <f>IFERROR(__xludf.DUMMYFUNCTION("""COMPUTED_VALUE"""),"Georgia")</f>
        <v>Georgia</v>
      </c>
      <c r="D5661">
        <f>IFERROR(__xludf.DUMMYFUNCTION("""COMPUTED_VALUE"""),1965.0)</f>
        <v>1965</v>
      </c>
      <c r="E5661">
        <f>IFERROR(__xludf.DUMMYFUNCTION("""COMPUTED_VALUE"""),4371521.0)</f>
        <v>4371521</v>
      </c>
    </row>
    <row r="5662">
      <c r="A5662" t="str">
        <f t="shared" si="1"/>
        <v>geo#1966</v>
      </c>
      <c r="B5662" t="str">
        <f>IFERROR(__xludf.DUMMYFUNCTION("""COMPUTED_VALUE"""),"geo")</f>
        <v>geo</v>
      </c>
      <c r="C5662" t="str">
        <f>IFERROR(__xludf.DUMMYFUNCTION("""COMPUTED_VALUE"""),"Georgia")</f>
        <v>Georgia</v>
      </c>
      <c r="D5662">
        <f>IFERROR(__xludf.DUMMYFUNCTION("""COMPUTED_VALUE"""),1966.0)</f>
        <v>1966</v>
      </c>
      <c r="E5662">
        <f>IFERROR(__xludf.DUMMYFUNCTION("""COMPUTED_VALUE"""),4446824.0)</f>
        <v>4446824</v>
      </c>
    </row>
    <row r="5663">
      <c r="A5663" t="str">
        <f t="shared" si="1"/>
        <v>geo#1967</v>
      </c>
      <c r="B5663" t="str">
        <f>IFERROR(__xludf.DUMMYFUNCTION("""COMPUTED_VALUE"""),"geo")</f>
        <v>geo</v>
      </c>
      <c r="C5663" t="str">
        <f>IFERROR(__xludf.DUMMYFUNCTION("""COMPUTED_VALUE"""),"Georgia")</f>
        <v>Georgia</v>
      </c>
      <c r="D5663">
        <f>IFERROR(__xludf.DUMMYFUNCTION("""COMPUTED_VALUE"""),1967.0)</f>
        <v>1967</v>
      </c>
      <c r="E5663">
        <f>IFERROR(__xludf.DUMMYFUNCTION("""COMPUTED_VALUE"""),4521709.0)</f>
        <v>4521709</v>
      </c>
    </row>
    <row r="5664">
      <c r="A5664" t="str">
        <f t="shared" si="1"/>
        <v>geo#1968</v>
      </c>
      <c r="B5664" t="str">
        <f>IFERROR(__xludf.DUMMYFUNCTION("""COMPUTED_VALUE"""),"geo")</f>
        <v>geo</v>
      </c>
      <c r="C5664" t="str">
        <f>IFERROR(__xludf.DUMMYFUNCTION("""COMPUTED_VALUE"""),"Georgia")</f>
        <v>Georgia</v>
      </c>
      <c r="D5664">
        <f>IFERROR(__xludf.DUMMYFUNCTION("""COMPUTED_VALUE"""),1968.0)</f>
        <v>1968</v>
      </c>
      <c r="E5664">
        <f>IFERROR(__xludf.DUMMYFUNCTION("""COMPUTED_VALUE"""),4593305.0)</f>
        <v>4593305</v>
      </c>
    </row>
    <row r="5665">
      <c r="A5665" t="str">
        <f t="shared" si="1"/>
        <v>geo#1969</v>
      </c>
      <c r="B5665" t="str">
        <f>IFERROR(__xludf.DUMMYFUNCTION("""COMPUTED_VALUE"""),"geo")</f>
        <v>geo</v>
      </c>
      <c r="C5665" t="str">
        <f>IFERROR(__xludf.DUMMYFUNCTION("""COMPUTED_VALUE"""),"Georgia")</f>
        <v>Georgia</v>
      </c>
      <c r="D5665">
        <f>IFERROR(__xludf.DUMMYFUNCTION("""COMPUTED_VALUE"""),1969.0)</f>
        <v>1969</v>
      </c>
      <c r="E5665">
        <f>IFERROR(__xludf.DUMMYFUNCTION("""COMPUTED_VALUE"""),4658000.0)</f>
        <v>4658000</v>
      </c>
    </row>
    <row r="5666">
      <c r="A5666" t="str">
        <f t="shared" si="1"/>
        <v>geo#1970</v>
      </c>
      <c r="B5666" t="str">
        <f>IFERROR(__xludf.DUMMYFUNCTION("""COMPUTED_VALUE"""),"geo")</f>
        <v>geo</v>
      </c>
      <c r="C5666" t="str">
        <f>IFERROR(__xludf.DUMMYFUNCTION("""COMPUTED_VALUE"""),"Georgia")</f>
        <v>Georgia</v>
      </c>
      <c r="D5666">
        <f>IFERROR(__xludf.DUMMYFUNCTION("""COMPUTED_VALUE"""),1970.0)</f>
        <v>1970</v>
      </c>
      <c r="E5666">
        <f>IFERROR(__xludf.DUMMYFUNCTION("""COMPUTED_VALUE"""),4713322.0)</f>
        <v>4713322</v>
      </c>
    </row>
    <row r="5667">
      <c r="A5667" t="str">
        <f t="shared" si="1"/>
        <v>geo#1971</v>
      </c>
      <c r="B5667" t="str">
        <f>IFERROR(__xludf.DUMMYFUNCTION("""COMPUTED_VALUE"""),"geo")</f>
        <v>geo</v>
      </c>
      <c r="C5667" t="str">
        <f>IFERROR(__xludf.DUMMYFUNCTION("""COMPUTED_VALUE"""),"Georgia")</f>
        <v>Georgia</v>
      </c>
      <c r="D5667">
        <f>IFERROR(__xludf.DUMMYFUNCTION("""COMPUTED_VALUE"""),1971.0)</f>
        <v>1971</v>
      </c>
      <c r="E5667">
        <f>IFERROR(__xludf.DUMMYFUNCTION("""COMPUTED_VALUE"""),4758145.0)</f>
        <v>4758145</v>
      </c>
    </row>
    <row r="5668">
      <c r="A5668" t="str">
        <f t="shared" si="1"/>
        <v>geo#1972</v>
      </c>
      <c r="B5668" t="str">
        <f>IFERROR(__xludf.DUMMYFUNCTION("""COMPUTED_VALUE"""),"geo")</f>
        <v>geo</v>
      </c>
      <c r="C5668" t="str">
        <f>IFERROR(__xludf.DUMMYFUNCTION("""COMPUTED_VALUE"""),"Georgia")</f>
        <v>Georgia</v>
      </c>
      <c r="D5668">
        <f>IFERROR(__xludf.DUMMYFUNCTION("""COMPUTED_VALUE"""),1972.0)</f>
        <v>1972</v>
      </c>
      <c r="E5668">
        <f>IFERROR(__xludf.DUMMYFUNCTION("""COMPUTED_VALUE"""),4793550.0)</f>
        <v>4793550</v>
      </c>
    </row>
    <row r="5669">
      <c r="A5669" t="str">
        <f t="shared" si="1"/>
        <v>geo#1973</v>
      </c>
      <c r="B5669" t="str">
        <f>IFERROR(__xludf.DUMMYFUNCTION("""COMPUTED_VALUE"""),"geo")</f>
        <v>geo</v>
      </c>
      <c r="C5669" t="str">
        <f>IFERROR(__xludf.DUMMYFUNCTION("""COMPUTED_VALUE"""),"Georgia")</f>
        <v>Georgia</v>
      </c>
      <c r="D5669">
        <f>IFERROR(__xludf.DUMMYFUNCTION("""COMPUTED_VALUE"""),1973.0)</f>
        <v>1973</v>
      </c>
      <c r="E5669">
        <f>IFERROR(__xludf.DUMMYFUNCTION("""COMPUTED_VALUE"""),4822160.0)</f>
        <v>4822160</v>
      </c>
    </row>
    <row r="5670">
      <c r="A5670" t="str">
        <f t="shared" si="1"/>
        <v>geo#1974</v>
      </c>
      <c r="B5670" t="str">
        <f>IFERROR(__xludf.DUMMYFUNCTION("""COMPUTED_VALUE"""),"geo")</f>
        <v>geo</v>
      </c>
      <c r="C5670" t="str">
        <f>IFERROR(__xludf.DUMMYFUNCTION("""COMPUTED_VALUE"""),"Georgia")</f>
        <v>Georgia</v>
      </c>
      <c r="D5670">
        <f>IFERROR(__xludf.DUMMYFUNCTION("""COMPUTED_VALUE"""),1974.0)</f>
        <v>1974</v>
      </c>
      <c r="E5670">
        <f>IFERROR(__xludf.DUMMYFUNCTION("""COMPUTED_VALUE"""),4847853.0)</f>
        <v>4847853</v>
      </c>
    </row>
    <row r="5671">
      <c r="A5671" t="str">
        <f t="shared" si="1"/>
        <v>geo#1975</v>
      </c>
      <c r="B5671" t="str">
        <f>IFERROR(__xludf.DUMMYFUNCTION("""COMPUTED_VALUE"""),"geo")</f>
        <v>geo</v>
      </c>
      <c r="C5671" t="str">
        <f>IFERROR(__xludf.DUMMYFUNCTION("""COMPUTED_VALUE"""),"Georgia")</f>
        <v>Georgia</v>
      </c>
      <c r="D5671">
        <f>IFERROR(__xludf.DUMMYFUNCTION("""COMPUTED_VALUE"""),1975.0)</f>
        <v>1975</v>
      </c>
      <c r="E5671">
        <f>IFERROR(__xludf.DUMMYFUNCTION("""COMPUTED_VALUE"""),4873619.0)</f>
        <v>4873619</v>
      </c>
    </row>
    <row r="5672">
      <c r="A5672" t="str">
        <f t="shared" si="1"/>
        <v>geo#1976</v>
      </c>
      <c r="B5672" t="str">
        <f>IFERROR(__xludf.DUMMYFUNCTION("""COMPUTED_VALUE"""),"geo")</f>
        <v>geo</v>
      </c>
      <c r="C5672" t="str">
        <f>IFERROR(__xludf.DUMMYFUNCTION("""COMPUTED_VALUE"""),"Georgia")</f>
        <v>Georgia</v>
      </c>
      <c r="D5672">
        <f>IFERROR(__xludf.DUMMYFUNCTION("""COMPUTED_VALUE"""),1976.0)</f>
        <v>1976</v>
      </c>
      <c r="E5672">
        <f>IFERROR(__xludf.DUMMYFUNCTION("""COMPUTED_VALUE"""),4900179.0)</f>
        <v>4900179</v>
      </c>
    </row>
    <row r="5673">
      <c r="A5673" t="str">
        <f t="shared" si="1"/>
        <v>geo#1977</v>
      </c>
      <c r="B5673" t="str">
        <f>IFERROR(__xludf.DUMMYFUNCTION("""COMPUTED_VALUE"""),"geo")</f>
        <v>geo</v>
      </c>
      <c r="C5673" t="str">
        <f>IFERROR(__xludf.DUMMYFUNCTION("""COMPUTED_VALUE"""),"Georgia")</f>
        <v>Georgia</v>
      </c>
      <c r="D5673">
        <f>IFERROR(__xludf.DUMMYFUNCTION("""COMPUTED_VALUE"""),1977.0)</f>
        <v>1977</v>
      </c>
      <c r="E5673">
        <f>IFERROR(__xludf.DUMMYFUNCTION("""COMPUTED_VALUE"""),4927244.0)</f>
        <v>4927244</v>
      </c>
    </row>
    <row r="5674">
      <c r="A5674" t="str">
        <f t="shared" si="1"/>
        <v>geo#1978</v>
      </c>
      <c r="B5674" t="str">
        <f>IFERROR(__xludf.DUMMYFUNCTION("""COMPUTED_VALUE"""),"geo")</f>
        <v>geo</v>
      </c>
      <c r="C5674" t="str">
        <f>IFERROR(__xludf.DUMMYFUNCTION("""COMPUTED_VALUE"""),"Georgia")</f>
        <v>Georgia</v>
      </c>
      <c r="D5674">
        <f>IFERROR(__xludf.DUMMYFUNCTION("""COMPUTED_VALUE"""),1978.0)</f>
        <v>1978</v>
      </c>
      <c r="E5674">
        <f>IFERROR(__xludf.DUMMYFUNCTION("""COMPUTED_VALUE"""),4955501.0)</f>
        <v>4955501</v>
      </c>
    </row>
    <row r="5675">
      <c r="A5675" t="str">
        <f t="shared" si="1"/>
        <v>geo#1979</v>
      </c>
      <c r="B5675" t="str">
        <f>IFERROR(__xludf.DUMMYFUNCTION("""COMPUTED_VALUE"""),"geo")</f>
        <v>geo</v>
      </c>
      <c r="C5675" t="str">
        <f>IFERROR(__xludf.DUMMYFUNCTION("""COMPUTED_VALUE"""),"Georgia")</f>
        <v>Georgia</v>
      </c>
      <c r="D5675">
        <f>IFERROR(__xludf.DUMMYFUNCTION("""COMPUTED_VALUE"""),1979.0)</f>
        <v>1979</v>
      </c>
      <c r="E5675">
        <f>IFERROR(__xludf.DUMMYFUNCTION("""COMPUTED_VALUE"""),4985563.0)</f>
        <v>4985563</v>
      </c>
    </row>
    <row r="5676">
      <c r="A5676" t="str">
        <f t="shared" si="1"/>
        <v>geo#1980</v>
      </c>
      <c r="B5676" t="str">
        <f>IFERROR(__xludf.DUMMYFUNCTION("""COMPUTED_VALUE"""),"geo")</f>
        <v>geo</v>
      </c>
      <c r="C5676" t="str">
        <f>IFERROR(__xludf.DUMMYFUNCTION("""COMPUTED_VALUE"""),"Georgia")</f>
        <v>Georgia</v>
      </c>
      <c r="D5676">
        <f>IFERROR(__xludf.DUMMYFUNCTION("""COMPUTED_VALUE"""),1980.0)</f>
        <v>1980</v>
      </c>
      <c r="E5676">
        <f>IFERROR(__xludf.DUMMYFUNCTION("""COMPUTED_VALUE"""),5017818.0)</f>
        <v>5017818</v>
      </c>
    </row>
    <row r="5677">
      <c r="A5677" t="str">
        <f t="shared" si="1"/>
        <v>geo#1981</v>
      </c>
      <c r="B5677" t="str">
        <f>IFERROR(__xludf.DUMMYFUNCTION("""COMPUTED_VALUE"""),"geo")</f>
        <v>geo</v>
      </c>
      <c r="C5677" t="str">
        <f>IFERROR(__xludf.DUMMYFUNCTION("""COMPUTED_VALUE"""),"Georgia")</f>
        <v>Georgia</v>
      </c>
      <c r="D5677">
        <f>IFERROR(__xludf.DUMMYFUNCTION("""COMPUTED_VALUE"""),1981.0)</f>
        <v>1981</v>
      </c>
      <c r="E5677">
        <f>IFERROR(__xludf.DUMMYFUNCTION("""COMPUTED_VALUE"""),5051225.0)</f>
        <v>5051225</v>
      </c>
    </row>
    <row r="5678">
      <c r="A5678" t="str">
        <f t="shared" si="1"/>
        <v>geo#1982</v>
      </c>
      <c r="B5678" t="str">
        <f>IFERROR(__xludf.DUMMYFUNCTION("""COMPUTED_VALUE"""),"geo")</f>
        <v>geo</v>
      </c>
      <c r="C5678" t="str">
        <f>IFERROR(__xludf.DUMMYFUNCTION("""COMPUTED_VALUE"""),"Georgia")</f>
        <v>Georgia</v>
      </c>
      <c r="D5678">
        <f>IFERROR(__xludf.DUMMYFUNCTION("""COMPUTED_VALUE"""),1982.0)</f>
        <v>1982</v>
      </c>
      <c r="E5678">
        <f>IFERROR(__xludf.DUMMYFUNCTION("""COMPUTED_VALUE"""),5085514.0)</f>
        <v>5085514</v>
      </c>
    </row>
    <row r="5679">
      <c r="A5679" t="str">
        <f t="shared" si="1"/>
        <v>geo#1983</v>
      </c>
      <c r="B5679" t="str">
        <f>IFERROR(__xludf.DUMMYFUNCTION("""COMPUTED_VALUE"""),"geo")</f>
        <v>geo</v>
      </c>
      <c r="C5679" t="str">
        <f>IFERROR(__xludf.DUMMYFUNCTION("""COMPUTED_VALUE"""),"Georgia")</f>
        <v>Georgia</v>
      </c>
      <c r="D5679">
        <f>IFERROR(__xludf.DUMMYFUNCTION("""COMPUTED_VALUE"""),1983.0)</f>
        <v>1983</v>
      </c>
      <c r="E5679">
        <f>IFERROR(__xludf.DUMMYFUNCTION("""COMPUTED_VALUE"""),5122384.0)</f>
        <v>5122384</v>
      </c>
    </row>
    <row r="5680">
      <c r="A5680" t="str">
        <f t="shared" si="1"/>
        <v>geo#1984</v>
      </c>
      <c r="B5680" t="str">
        <f>IFERROR(__xludf.DUMMYFUNCTION("""COMPUTED_VALUE"""),"geo")</f>
        <v>geo</v>
      </c>
      <c r="C5680" t="str">
        <f>IFERROR(__xludf.DUMMYFUNCTION("""COMPUTED_VALUE"""),"Georgia")</f>
        <v>Georgia</v>
      </c>
      <c r="D5680">
        <f>IFERROR(__xludf.DUMMYFUNCTION("""COMPUTED_VALUE"""),1984.0)</f>
        <v>1984</v>
      </c>
      <c r="E5680">
        <f>IFERROR(__xludf.DUMMYFUNCTION("""COMPUTED_VALUE"""),5164137.0)</f>
        <v>5164137</v>
      </c>
    </row>
    <row r="5681">
      <c r="A5681" t="str">
        <f t="shared" si="1"/>
        <v>geo#1985</v>
      </c>
      <c r="B5681" t="str">
        <f>IFERROR(__xludf.DUMMYFUNCTION("""COMPUTED_VALUE"""),"geo")</f>
        <v>geo</v>
      </c>
      <c r="C5681" t="str">
        <f>IFERROR(__xludf.DUMMYFUNCTION("""COMPUTED_VALUE"""),"Georgia")</f>
        <v>Georgia</v>
      </c>
      <c r="D5681">
        <f>IFERROR(__xludf.DUMMYFUNCTION("""COMPUTED_VALUE"""),1985.0)</f>
        <v>1985</v>
      </c>
      <c r="E5681">
        <f>IFERROR(__xludf.DUMMYFUNCTION("""COMPUTED_VALUE"""),5211441.0)</f>
        <v>5211441</v>
      </c>
    </row>
    <row r="5682">
      <c r="A5682" t="str">
        <f t="shared" si="1"/>
        <v>geo#1986</v>
      </c>
      <c r="B5682" t="str">
        <f>IFERROR(__xludf.DUMMYFUNCTION("""COMPUTED_VALUE"""),"geo")</f>
        <v>geo</v>
      </c>
      <c r="C5682" t="str">
        <f>IFERROR(__xludf.DUMMYFUNCTION("""COMPUTED_VALUE"""),"Georgia")</f>
        <v>Georgia</v>
      </c>
      <c r="D5682">
        <f>IFERROR(__xludf.DUMMYFUNCTION("""COMPUTED_VALUE"""),1986.0)</f>
        <v>1986</v>
      </c>
      <c r="E5682">
        <f>IFERROR(__xludf.DUMMYFUNCTION("""COMPUTED_VALUE"""),5266826.0)</f>
        <v>5266826</v>
      </c>
    </row>
    <row r="5683">
      <c r="A5683" t="str">
        <f t="shared" si="1"/>
        <v>geo#1987</v>
      </c>
      <c r="B5683" t="str">
        <f>IFERROR(__xludf.DUMMYFUNCTION("""COMPUTED_VALUE"""),"geo")</f>
        <v>geo</v>
      </c>
      <c r="C5683" t="str">
        <f>IFERROR(__xludf.DUMMYFUNCTION("""COMPUTED_VALUE"""),"Georgia")</f>
        <v>Georgia</v>
      </c>
      <c r="D5683">
        <f>IFERROR(__xludf.DUMMYFUNCTION("""COMPUTED_VALUE"""),1987.0)</f>
        <v>1987</v>
      </c>
      <c r="E5683">
        <f>IFERROR(__xludf.DUMMYFUNCTION("""COMPUTED_VALUE"""),5327228.0)</f>
        <v>5327228</v>
      </c>
    </row>
    <row r="5684">
      <c r="A5684" t="str">
        <f t="shared" si="1"/>
        <v>geo#1988</v>
      </c>
      <c r="B5684" t="str">
        <f>IFERROR(__xludf.DUMMYFUNCTION("""COMPUTED_VALUE"""),"geo")</f>
        <v>geo</v>
      </c>
      <c r="C5684" t="str">
        <f>IFERROR(__xludf.DUMMYFUNCTION("""COMPUTED_VALUE"""),"Georgia")</f>
        <v>Georgia</v>
      </c>
      <c r="D5684">
        <f>IFERROR(__xludf.DUMMYFUNCTION("""COMPUTED_VALUE"""),1988.0)</f>
        <v>1988</v>
      </c>
      <c r="E5684">
        <f>IFERROR(__xludf.DUMMYFUNCTION("""COMPUTED_VALUE"""),5380909.0)</f>
        <v>5380909</v>
      </c>
    </row>
    <row r="5685">
      <c r="A5685" t="str">
        <f t="shared" si="1"/>
        <v>geo#1989</v>
      </c>
      <c r="B5685" t="str">
        <f>IFERROR(__xludf.DUMMYFUNCTION("""COMPUTED_VALUE"""),"geo")</f>
        <v>geo</v>
      </c>
      <c r="C5685" t="str">
        <f>IFERROR(__xludf.DUMMYFUNCTION("""COMPUTED_VALUE"""),"Georgia")</f>
        <v>Georgia</v>
      </c>
      <c r="D5685">
        <f>IFERROR(__xludf.DUMMYFUNCTION("""COMPUTED_VALUE"""),1989.0)</f>
        <v>1989</v>
      </c>
      <c r="E5685">
        <f>IFERROR(__xludf.DUMMYFUNCTION("""COMPUTED_VALUE"""),5412147.0)</f>
        <v>5412147</v>
      </c>
    </row>
    <row r="5686">
      <c r="A5686" t="str">
        <f t="shared" si="1"/>
        <v>geo#1990</v>
      </c>
      <c r="B5686" t="str">
        <f>IFERROR(__xludf.DUMMYFUNCTION("""COMPUTED_VALUE"""),"geo")</f>
        <v>geo</v>
      </c>
      <c r="C5686" t="str">
        <f>IFERROR(__xludf.DUMMYFUNCTION("""COMPUTED_VALUE"""),"Georgia")</f>
        <v>Georgia</v>
      </c>
      <c r="D5686">
        <f>IFERROR(__xludf.DUMMYFUNCTION("""COMPUTED_VALUE"""),1990.0)</f>
        <v>1990</v>
      </c>
      <c r="E5686">
        <f>IFERROR(__xludf.DUMMYFUNCTION("""COMPUTED_VALUE"""),5410372.0)</f>
        <v>5410372</v>
      </c>
    </row>
    <row r="5687">
      <c r="A5687" t="str">
        <f t="shared" si="1"/>
        <v>geo#1991</v>
      </c>
      <c r="B5687" t="str">
        <f>IFERROR(__xludf.DUMMYFUNCTION("""COMPUTED_VALUE"""),"geo")</f>
        <v>geo</v>
      </c>
      <c r="C5687" t="str">
        <f>IFERROR(__xludf.DUMMYFUNCTION("""COMPUTED_VALUE"""),"Georgia")</f>
        <v>Georgia</v>
      </c>
      <c r="D5687">
        <f>IFERROR(__xludf.DUMMYFUNCTION("""COMPUTED_VALUE"""),1991.0)</f>
        <v>1991</v>
      </c>
      <c r="E5687">
        <f>IFERROR(__xludf.DUMMYFUNCTION("""COMPUTED_VALUE"""),5370649.0)</f>
        <v>5370649</v>
      </c>
    </row>
    <row r="5688">
      <c r="A5688" t="str">
        <f t="shared" si="1"/>
        <v>geo#1992</v>
      </c>
      <c r="B5688" t="str">
        <f>IFERROR(__xludf.DUMMYFUNCTION("""COMPUTED_VALUE"""),"geo")</f>
        <v>geo</v>
      </c>
      <c r="C5688" t="str">
        <f>IFERROR(__xludf.DUMMYFUNCTION("""COMPUTED_VALUE"""),"Georgia")</f>
        <v>Georgia</v>
      </c>
      <c r="D5688">
        <f>IFERROR(__xludf.DUMMYFUNCTION("""COMPUTED_VALUE"""),1992.0)</f>
        <v>1992</v>
      </c>
      <c r="E5688">
        <f>IFERROR(__xludf.DUMMYFUNCTION("""COMPUTED_VALUE"""),5298086.0)</f>
        <v>5298086</v>
      </c>
    </row>
    <row r="5689">
      <c r="A5689" t="str">
        <f t="shared" si="1"/>
        <v>geo#1993</v>
      </c>
      <c r="B5689" t="str">
        <f>IFERROR(__xludf.DUMMYFUNCTION("""COMPUTED_VALUE"""),"geo")</f>
        <v>geo</v>
      </c>
      <c r="C5689" t="str">
        <f>IFERROR(__xludf.DUMMYFUNCTION("""COMPUTED_VALUE"""),"Georgia")</f>
        <v>Georgia</v>
      </c>
      <c r="D5689">
        <f>IFERROR(__xludf.DUMMYFUNCTION("""COMPUTED_VALUE"""),1993.0)</f>
        <v>1993</v>
      </c>
      <c r="E5689">
        <f>IFERROR(__xludf.DUMMYFUNCTION("""COMPUTED_VALUE"""),5204634.0)</f>
        <v>5204634</v>
      </c>
    </row>
    <row r="5690">
      <c r="A5690" t="str">
        <f t="shared" si="1"/>
        <v>geo#1994</v>
      </c>
      <c r="B5690" t="str">
        <f>IFERROR(__xludf.DUMMYFUNCTION("""COMPUTED_VALUE"""),"geo")</f>
        <v>geo</v>
      </c>
      <c r="C5690" t="str">
        <f>IFERROR(__xludf.DUMMYFUNCTION("""COMPUTED_VALUE"""),"Georgia")</f>
        <v>Georgia</v>
      </c>
      <c r="D5690">
        <f>IFERROR(__xludf.DUMMYFUNCTION("""COMPUTED_VALUE"""),1994.0)</f>
        <v>1994</v>
      </c>
      <c r="E5690">
        <f>IFERROR(__xludf.DUMMYFUNCTION("""COMPUTED_VALUE"""),5107674.0)</f>
        <v>5107674</v>
      </c>
    </row>
    <row r="5691">
      <c r="A5691" t="str">
        <f t="shared" si="1"/>
        <v>geo#1995</v>
      </c>
      <c r="B5691" t="str">
        <f>IFERROR(__xludf.DUMMYFUNCTION("""COMPUTED_VALUE"""),"geo")</f>
        <v>geo</v>
      </c>
      <c r="C5691" t="str">
        <f>IFERROR(__xludf.DUMMYFUNCTION("""COMPUTED_VALUE"""),"Georgia")</f>
        <v>Georgia</v>
      </c>
      <c r="D5691">
        <f>IFERROR(__xludf.DUMMYFUNCTION("""COMPUTED_VALUE"""),1995.0)</f>
        <v>1995</v>
      </c>
      <c r="E5691">
        <f>IFERROR(__xludf.DUMMYFUNCTION("""COMPUTED_VALUE"""),5020061.0)</f>
        <v>5020061</v>
      </c>
    </row>
    <row r="5692">
      <c r="A5692" t="str">
        <f t="shared" si="1"/>
        <v>geo#1996</v>
      </c>
      <c r="B5692" t="str">
        <f>IFERROR(__xludf.DUMMYFUNCTION("""COMPUTED_VALUE"""),"geo")</f>
        <v>geo</v>
      </c>
      <c r="C5692" t="str">
        <f>IFERROR(__xludf.DUMMYFUNCTION("""COMPUTED_VALUE"""),"Georgia")</f>
        <v>Georgia</v>
      </c>
      <c r="D5692">
        <f>IFERROR(__xludf.DUMMYFUNCTION("""COMPUTED_VALUE"""),1996.0)</f>
        <v>1996</v>
      </c>
      <c r="E5692">
        <f>IFERROR(__xludf.DUMMYFUNCTION("""COMPUTED_VALUE"""),4945566.0)</f>
        <v>4945566</v>
      </c>
    </row>
    <row r="5693">
      <c r="A5693" t="str">
        <f t="shared" si="1"/>
        <v>geo#1997</v>
      </c>
      <c r="B5693" t="str">
        <f>IFERROR(__xludf.DUMMYFUNCTION("""COMPUTED_VALUE"""),"geo")</f>
        <v>geo</v>
      </c>
      <c r="C5693" t="str">
        <f>IFERROR(__xludf.DUMMYFUNCTION("""COMPUTED_VALUE"""),"Georgia")</f>
        <v>Georgia</v>
      </c>
      <c r="D5693">
        <f>IFERROR(__xludf.DUMMYFUNCTION("""COMPUTED_VALUE"""),1997.0)</f>
        <v>1997</v>
      </c>
      <c r="E5693">
        <f>IFERROR(__xludf.DUMMYFUNCTION("""COMPUTED_VALUE"""),4881248.0)</f>
        <v>4881248</v>
      </c>
    </row>
    <row r="5694">
      <c r="A5694" t="str">
        <f t="shared" si="1"/>
        <v>geo#1998</v>
      </c>
      <c r="B5694" t="str">
        <f>IFERROR(__xludf.DUMMYFUNCTION("""COMPUTED_VALUE"""),"geo")</f>
        <v>geo</v>
      </c>
      <c r="C5694" t="str">
        <f>IFERROR(__xludf.DUMMYFUNCTION("""COMPUTED_VALUE"""),"Georgia")</f>
        <v>Georgia</v>
      </c>
      <c r="D5694">
        <f>IFERROR(__xludf.DUMMYFUNCTION("""COMPUTED_VALUE"""),1998.0)</f>
        <v>1998</v>
      </c>
      <c r="E5694">
        <f>IFERROR(__xludf.DUMMYFUNCTION("""COMPUTED_VALUE"""),4825186.0)</f>
        <v>4825186</v>
      </c>
    </row>
    <row r="5695">
      <c r="A5695" t="str">
        <f t="shared" si="1"/>
        <v>geo#1999</v>
      </c>
      <c r="B5695" t="str">
        <f>IFERROR(__xludf.DUMMYFUNCTION("""COMPUTED_VALUE"""),"geo")</f>
        <v>geo</v>
      </c>
      <c r="C5695" t="str">
        <f>IFERROR(__xludf.DUMMYFUNCTION("""COMPUTED_VALUE"""),"Georgia")</f>
        <v>Georgia</v>
      </c>
      <c r="D5695">
        <f>IFERROR(__xludf.DUMMYFUNCTION("""COMPUTED_VALUE"""),1999.0)</f>
        <v>1999</v>
      </c>
      <c r="E5695">
        <f>IFERROR(__xludf.DUMMYFUNCTION("""COMPUTED_VALUE"""),4773169.0)</f>
        <v>4773169</v>
      </c>
    </row>
    <row r="5696">
      <c r="A5696" t="str">
        <f t="shared" si="1"/>
        <v>geo#2000</v>
      </c>
      <c r="B5696" t="str">
        <f>IFERROR(__xludf.DUMMYFUNCTION("""COMPUTED_VALUE"""),"geo")</f>
        <v>geo</v>
      </c>
      <c r="C5696" t="str">
        <f>IFERROR(__xludf.DUMMYFUNCTION("""COMPUTED_VALUE"""),"Georgia")</f>
        <v>Georgia</v>
      </c>
      <c r="D5696">
        <f>IFERROR(__xludf.DUMMYFUNCTION("""COMPUTED_VALUE"""),2000.0)</f>
        <v>2000</v>
      </c>
      <c r="E5696">
        <f>IFERROR(__xludf.DUMMYFUNCTION("""COMPUTED_VALUE"""),4722059.0)</f>
        <v>4722059</v>
      </c>
    </row>
    <row r="5697">
      <c r="A5697" t="str">
        <f t="shared" si="1"/>
        <v>geo#2001</v>
      </c>
      <c r="B5697" t="str">
        <f>IFERROR(__xludf.DUMMYFUNCTION("""COMPUTED_VALUE"""),"geo")</f>
        <v>geo</v>
      </c>
      <c r="C5697" t="str">
        <f>IFERROR(__xludf.DUMMYFUNCTION("""COMPUTED_VALUE"""),"Georgia")</f>
        <v>Georgia</v>
      </c>
      <c r="D5697">
        <f>IFERROR(__xludf.DUMMYFUNCTION("""COMPUTED_VALUE"""),2001.0)</f>
        <v>2001</v>
      </c>
      <c r="E5697">
        <f>IFERROR(__xludf.DUMMYFUNCTION("""COMPUTED_VALUE"""),4672162.0)</f>
        <v>4672162</v>
      </c>
    </row>
    <row r="5698">
      <c r="A5698" t="str">
        <f t="shared" si="1"/>
        <v>geo#2002</v>
      </c>
      <c r="B5698" t="str">
        <f>IFERROR(__xludf.DUMMYFUNCTION("""COMPUTED_VALUE"""),"geo")</f>
        <v>geo</v>
      </c>
      <c r="C5698" t="str">
        <f>IFERROR(__xludf.DUMMYFUNCTION("""COMPUTED_VALUE"""),"Georgia")</f>
        <v>Georgia</v>
      </c>
      <c r="D5698">
        <f>IFERROR(__xludf.DUMMYFUNCTION("""COMPUTED_VALUE"""),2002.0)</f>
        <v>2002</v>
      </c>
      <c r="E5698">
        <f>IFERROR(__xludf.DUMMYFUNCTION("""COMPUTED_VALUE"""),4624880.0)</f>
        <v>4624880</v>
      </c>
    </row>
    <row r="5699">
      <c r="A5699" t="str">
        <f t="shared" si="1"/>
        <v>geo#2003</v>
      </c>
      <c r="B5699" t="str">
        <f>IFERROR(__xludf.DUMMYFUNCTION("""COMPUTED_VALUE"""),"geo")</f>
        <v>geo</v>
      </c>
      <c r="C5699" t="str">
        <f>IFERROR(__xludf.DUMMYFUNCTION("""COMPUTED_VALUE"""),"Georgia")</f>
        <v>Georgia</v>
      </c>
      <c r="D5699">
        <f>IFERROR(__xludf.DUMMYFUNCTION("""COMPUTED_VALUE"""),2003.0)</f>
        <v>2003</v>
      </c>
      <c r="E5699">
        <f>IFERROR(__xludf.DUMMYFUNCTION("""COMPUTED_VALUE"""),4579082.0)</f>
        <v>4579082</v>
      </c>
    </row>
    <row r="5700">
      <c r="A5700" t="str">
        <f t="shared" si="1"/>
        <v>geo#2004</v>
      </c>
      <c r="B5700" t="str">
        <f>IFERROR(__xludf.DUMMYFUNCTION("""COMPUTED_VALUE"""),"geo")</f>
        <v>geo</v>
      </c>
      <c r="C5700" t="str">
        <f>IFERROR(__xludf.DUMMYFUNCTION("""COMPUTED_VALUE"""),"Georgia")</f>
        <v>Georgia</v>
      </c>
      <c r="D5700">
        <f>IFERROR(__xludf.DUMMYFUNCTION("""COMPUTED_VALUE"""),2004.0)</f>
        <v>2004</v>
      </c>
      <c r="E5700">
        <f>IFERROR(__xludf.DUMMYFUNCTION("""COMPUTED_VALUE"""),4533329.0)</f>
        <v>4533329</v>
      </c>
    </row>
    <row r="5701">
      <c r="A5701" t="str">
        <f t="shared" si="1"/>
        <v>geo#2005</v>
      </c>
      <c r="B5701" t="str">
        <f>IFERROR(__xludf.DUMMYFUNCTION("""COMPUTED_VALUE"""),"geo")</f>
        <v>geo</v>
      </c>
      <c r="C5701" t="str">
        <f>IFERROR(__xludf.DUMMYFUNCTION("""COMPUTED_VALUE"""),"Georgia")</f>
        <v>Georgia</v>
      </c>
      <c r="D5701">
        <f>IFERROR(__xludf.DUMMYFUNCTION("""COMPUTED_VALUE"""),2005.0)</f>
        <v>2005</v>
      </c>
      <c r="E5701">
        <f>IFERROR(__xludf.DUMMYFUNCTION("""COMPUTED_VALUE"""),4486547.0)</f>
        <v>4486547</v>
      </c>
    </row>
    <row r="5702">
      <c r="A5702" t="str">
        <f t="shared" si="1"/>
        <v>geo#2006</v>
      </c>
      <c r="B5702" t="str">
        <f>IFERROR(__xludf.DUMMYFUNCTION("""COMPUTED_VALUE"""),"geo")</f>
        <v>geo</v>
      </c>
      <c r="C5702" t="str">
        <f>IFERROR(__xludf.DUMMYFUNCTION("""COMPUTED_VALUE"""),"Georgia")</f>
        <v>Georgia</v>
      </c>
      <c r="D5702">
        <f>IFERROR(__xludf.DUMMYFUNCTION("""COMPUTED_VALUE"""),2006.0)</f>
        <v>2006</v>
      </c>
      <c r="E5702">
        <f>IFERROR(__xludf.DUMMYFUNCTION("""COMPUTED_VALUE"""),4438896.0)</f>
        <v>4438896</v>
      </c>
    </row>
    <row r="5703">
      <c r="A5703" t="str">
        <f t="shared" si="1"/>
        <v>geo#2007</v>
      </c>
      <c r="B5703" t="str">
        <f>IFERROR(__xludf.DUMMYFUNCTION("""COMPUTED_VALUE"""),"geo")</f>
        <v>geo</v>
      </c>
      <c r="C5703" t="str">
        <f>IFERROR(__xludf.DUMMYFUNCTION("""COMPUTED_VALUE"""),"Georgia")</f>
        <v>Georgia</v>
      </c>
      <c r="D5703">
        <f>IFERROR(__xludf.DUMMYFUNCTION("""COMPUTED_VALUE"""),2007.0)</f>
        <v>2007</v>
      </c>
      <c r="E5703">
        <f>IFERROR(__xludf.DUMMYFUNCTION("""COMPUTED_VALUE"""),4390535.0)</f>
        <v>4390535</v>
      </c>
    </row>
    <row r="5704">
      <c r="A5704" t="str">
        <f t="shared" si="1"/>
        <v>geo#2008</v>
      </c>
      <c r="B5704" t="str">
        <f>IFERROR(__xludf.DUMMYFUNCTION("""COMPUTED_VALUE"""),"geo")</f>
        <v>geo</v>
      </c>
      <c r="C5704" t="str">
        <f>IFERROR(__xludf.DUMMYFUNCTION("""COMPUTED_VALUE"""),"Georgia")</f>
        <v>Georgia</v>
      </c>
      <c r="D5704">
        <f>IFERROR(__xludf.DUMMYFUNCTION("""COMPUTED_VALUE"""),2008.0)</f>
        <v>2008</v>
      </c>
      <c r="E5704">
        <f>IFERROR(__xludf.DUMMYFUNCTION("""COMPUTED_VALUE"""),4340514.0)</f>
        <v>4340514</v>
      </c>
    </row>
    <row r="5705">
      <c r="A5705" t="str">
        <f t="shared" si="1"/>
        <v>geo#2009</v>
      </c>
      <c r="B5705" t="str">
        <f>IFERROR(__xludf.DUMMYFUNCTION("""COMPUTED_VALUE"""),"geo")</f>
        <v>geo</v>
      </c>
      <c r="C5705" t="str">
        <f>IFERROR(__xludf.DUMMYFUNCTION("""COMPUTED_VALUE"""),"Georgia")</f>
        <v>Georgia</v>
      </c>
      <c r="D5705">
        <f>IFERROR(__xludf.DUMMYFUNCTION("""COMPUTED_VALUE"""),2009.0)</f>
        <v>2009</v>
      </c>
      <c r="E5705">
        <f>IFERROR(__xludf.DUMMYFUNCTION("""COMPUTED_VALUE"""),4287696.0)</f>
        <v>4287696</v>
      </c>
    </row>
    <row r="5706">
      <c r="A5706" t="str">
        <f t="shared" si="1"/>
        <v>geo#2010</v>
      </c>
      <c r="B5706" t="str">
        <f>IFERROR(__xludf.DUMMYFUNCTION("""COMPUTED_VALUE"""),"geo")</f>
        <v>geo</v>
      </c>
      <c r="C5706" t="str">
        <f>IFERROR(__xludf.DUMMYFUNCTION("""COMPUTED_VALUE"""),"Georgia")</f>
        <v>Georgia</v>
      </c>
      <c r="D5706">
        <f>IFERROR(__xludf.DUMMYFUNCTION("""COMPUTED_VALUE"""),2010.0)</f>
        <v>2010</v>
      </c>
      <c r="E5706">
        <f>IFERROR(__xludf.DUMMYFUNCTION("""COMPUTED_VALUE"""),4231661.0)</f>
        <v>4231661</v>
      </c>
    </row>
    <row r="5707">
      <c r="A5707" t="str">
        <f t="shared" si="1"/>
        <v>geo#2011</v>
      </c>
      <c r="B5707" t="str">
        <f>IFERROR(__xludf.DUMMYFUNCTION("""COMPUTED_VALUE"""),"geo")</f>
        <v>geo</v>
      </c>
      <c r="C5707" t="str">
        <f>IFERROR(__xludf.DUMMYFUNCTION("""COMPUTED_VALUE"""),"Georgia")</f>
        <v>Georgia</v>
      </c>
      <c r="D5707">
        <f>IFERROR(__xludf.DUMMYFUNCTION("""COMPUTED_VALUE"""),2011.0)</f>
        <v>2011</v>
      </c>
      <c r="E5707">
        <f>IFERROR(__xludf.DUMMYFUNCTION("""COMPUTED_VALUE"""),4171256.0)</f>
        <v>4171256</v>
      </c>
    </row>
    <row r="5708">
      <c r="A5708" t="str">
        <f t="shared" si="1"/>
        <v>geo#2012</v>
      </c>
      <c r="B5708" t="str">
        <f>IFERROR(__xludf.DUMMYFUNCTION("""COMPUTED_VALUE"""),"geo")</f>
        <v>geo</v>
      </c>
      <c r="C5708" t="str">
        <f>IFERROR(__xludf.DUMMYFUNCTION("""COMPUTED_VALUE"""),"Georgia")</f>
        <v>Georgia</v>
      </c>
      <c r="D5708">
        <f>IFERROR(__xludf.DUMMYFUNCTION("""COMPUTED_VALUE"""),2012.0)</f>
        <v>2012</v>
      </c>
      <c r="E5708">
        <f>IFERROR(__xludf.DUMMYFUNCTION("""COMPUTED_VALUE"""),4107719.0)</f>
        <v>4107719</v>
      </c>
    </row>
    <row r="5709">
      <c r="A5709" t="str">
        <f t="shared" si="1"/>
        <v>geo#2013</v>
      </c>
      <c r="B5709" t="str">
        <f>IFERROR(__xludf.DUMMYFUNCTION("""COMPUTED_VALUE"""),"geo")</f>
        <v>geo</v>
      </c>
      <c r="C5709" t="str">
        <f>IFERROR(__xludf.DUMMYFUNCTION("""COMPUTED_VALUE"""),"Georgia")</f>
        <v>Georgia</v>
      </c>
      <c r="D5709">
        <f>IFERROR(__xludf.DUMMYFUNCTION("""COMPUTED_VALUE"""),2013.0)</f>
        <v>2013</v>
      </c>
      <c r="E5709">
        <f>IFERROR(__xludf.DUMMYFUNCTION("""COMPUTED_VALUE"""),4045910.0)</f>
        <v>4045910</v>
      </c>
    </row>
    <row r="5710">
      <c r="A5710" t="str">
        <f t="shared" si="1"/>
        <v>geo#2014</v>
      </c>
      <c r="B5710" t="str">
        <f>IFERROR(__xludf.DUMMYFUNCTION("""COMPUTED_VALUE"""),"geo")</f>
        <v>geo</v>
      </c>
      <c r="C5710" t="str">
        <f>IFERROR(__xludf.DUMMYFUNCTION("""COMPUTED_VALUE"""),"Georgia")</f>
        <v>Georgia</v>
      </c>
      <c r="D5710">
        <f>IFERROR(__xludf.DUMMYFUNCTION("""COMPUTED_VALUE"""),2014.0)</f>
        <v>2014</v>
      </c>
      <c r="E5710">
        <f>IFERROR(__xludf.DUMMYFUNCTION("""COMPUTED_VALUE"""),3992346.0)</f>
        <v>3992346</v>
      </c>
    </row>
    <row r="5711">
      <c r="A5711" t="str">
        <f t="shared" si="1"/>
        <v>geo#2015</v>
      </c>
      <c r="B5711" t="str">
        <f>IFERROR(__xludf.DUMMYFUNCTION("""COMPUTED_VALUE"""),"geo")</f>
        <v>geo</v>
      </c>
      <c r="C5711" t="str">
        <f>IFERROR(__xludf.DUMMYFUNCTION("""COMPUTED_VALUE"""),"Georgia")</f>
        <v>Georgia</v>
      </c>
      <c r="D5711">
        <f>IFERROR(__xludf.DUMMYFUNCTION("""COMPUTED_VALUE"""),2015.0)</f>
        <v>2015</v>
      </c>
      <c r="E5711">
        <f>IFERROR(__xludf.DUMMYFUNCTION("""COMPUTED_VALUE"""),3951524.0)</f>
        <v>3951524</v>
      </c>
    </row>
    <row r="5712">
      <c r="A5712" t="str">
        <f t="shared" si="1"/>
        <v>geo#2016</v>
      </c>
      <c r="B5712" t="str">
        <f>IFERROR(__xludf.DUMMYFUNCTION("""COMPUTED_VALUE"""),"geo")</f>
        <v>geo</v>
      </c>
      <c r="C5712" t="str">
        <f>IFERROR(__xludf.DUMMYFUNCTION("""COMPUTED_VALUE"""),"Georgia")</f>
        <v>Georgia</v>
      </c>
      <c r="D5712">
        <f>IFERROR(__xludf.DUMMYFUNCTION("""COMPUTED_VALUE"""),2016.0)</f>
        <v>2016</v>
      </c>
      <c r="E5712">
        <f>IFERROR(__xludf.DUMMYFUNCTION("""COMPUTED_VALUE"""),3925405.0)</f>
        <v>3925405</v>
      </c>
    </row>
    <row r="5713">
      <c r="A5713" t="str">
        <f t="shared" si="1"/>
        <v>geo#2017</v>
      </c>
      <c r="B5713" t="str">
        <f>IFERROR(__xludf.DUMMYFUNCTION("""COMPUTED_VALUE"""),"geo")</f>
        <v>geo</v>
      </c>
      <c r="C5713" t="str">
        <f>IFERROR(__xludf.DUMMYFUNCTION("""COMPUTED_VALUE"""),"Georgia")</f>
        <v>Georgia</v>
      </c>
      <c r="D5713">
        <f>IFERROR(__xludf.DUMMYFUNCTION("""COMPUTED_VALUE"""),2017.0)</f>
        <v>2017</v>
      </c>
      <c r="E5713">
        <f>IFERROR(__xludf.DUMMYFUNCTION("""COMPUTED_VALUE"""),3912061.0)</f>
        <v>3912061</v>
      </c>
    </row>
    <row r="5714">
      <c r="A5714" t="str">
        <f t="shared" si="1"/>
        <v>geo#2018</v>
      </c>
      <c r="B5714" t="str">
        <f>IFERROR(__xludf.DUMMYFUNCTION("""COMPUTED_VALUE"""),"geo")</f>
        <v>geo</v>
      </c>
      <c r="C5714" t="str">
        <f>IFERROR(__xludf.DUMMYFUNCTION("""COMPUTED_VALUE"""),"Georgia")</f>
        <v>Georgia</v>
      </c>
      <c r="D5714">
        <f>IFERROR(__xludf.DUMMYFUNCTION("""COMPUTED_VALUE"""),2018.0)</f>
        <v>2018</v>
      </c>
      <c r="E5714">
        <f>IFERROR(__xludf.DUMMYFUNCTION("""COMPUTED_VALUE"""),3907131.0)</f>
        <v>3907131</v>
      </c>
    </row>
    <row r="5715">
      <c r="A5715" t="str">
        <f t="shared" si="1"/>
        <v>geo#2019</v>
      </c>
      <c r="B5715" t="str">
        <f>IFERROR(__xludf.DUMMYFUNCTION("""COMPUTED_VALUE"""),"geo")</f>
        <v>geo</v>
      </c>
      <c r="C5715" t="str">
        <f>IFERROR(__xludf.DUMMYFUNCTION("""COMPUTED_VALUE"""),"Georgia")</f>
        <v>Georgia</v>
      </c>
      <c r="D5715">
        <f>IFERROR(__xludf.DUMMYFUNCTION("""COMPUTED_VALUE"""),2019.0)</f>
        <v>2019</v>
      </c>
      <c r="E5715">
        <f>IFERROR(__xludf.DUMMYFUNCTION("""COMPUTED_VALUE"""),3904204.0)</f>
        <v>3904204</v>
      </c>
    </row>
    <row r="5716">
      <c r="A5716" t="str">
        <f t="shared" si="1"/>
        <v>geo#2020</v>
      </c>
      <c r="B5716" t="str">
        <f>IFERROR(__xludf.DUMMYFUNCTION("""COMPUTED_VALUE"""),"geo")</f>
        <v>geo</v>
      </c>
      <c r="C5716" t="str">
        <f>IFERROR(__xludf.DUMMYFUNCTION("""COMPUTED_VALUE"""),"Georgia")</f>
        <v>Georgia</v>
      </c>
      <c r="D5716">
        <f>IFERROR(__xludf.DUMMYFUNCTION("""COMPUTED_VALUE"""),2020.0)</f>
        <v>2020</v>
      </c>
      <c r="E5716">
        <f>IFERROR(__xludf.DUMMYFUNCTION("""COMPUTED_VALUE"""),3898529.0)</f>
        <v>3898529</v>
      </c>
    </row>
    <row r="5717">
      <c r="A5717" t="str">
        <f t="shared" si="1"/>
        <v>geo#2021</v>
      </c>
      <c r="B5717" t="str">
        <f>IFERROR(__xludf.DUMMYFUNCTION("""COMPUTED_VALUE"""),"geo")</f>
        <v>geo</v>
      </c>
      <c r="C5717" t="str">
        <f>IFERROR(__xludf.DUMMYFUNCTION("""COMPUTED_VALUE"""),"Georgia")</f>
        <v>Georgia</v>
      </c>
      <c r="D5717">
        <f>IFERROR(__xludf.DUMMYFUNCTION("""COMPUTED_VALUE"""),2021.0)</f>
        <v>2021</v>
      </c>
      <c r="E5717">
        <f>IFERROR(__xludf.DUMMYFUNCTION("""COMPUTED_VALUE"""),3888720.0)</f>
        <v>3888720</v>
      </c>
    </row>
    <row r="5718">
      <c r="A5718" t="str">
        <f t="shared" si="1"/>
        <v>geo#2022</v>
      </c>
      <c r="B5718" t="str">
        <f>IFERROR(__xludf.DUMMYFUNCTION("""COMPUTED_VALUE"""),"geo")</f>
        <v>geo</v>
      </c>
      <c r="C5718" t="str">
        <f>IFERROR(__xludf.DUMMYFUNCTION("""COMPUTED_VALUE"""),"Georgia")</f>
        <v>Georgia</v>
      </c>
      <c r="D5718">
        <f>IFERROR(__xludf.DUMMYFUNCTION("""COMPUTED_VALUE"""),2022.0)</f>
        <v>2022</v>
      </c>
      <c r="E5718">
        <f>IFERROR(__xludf.DUMMYFUNCTION("""COMPUTED_VALUE"""),3875910.0)</f>
        <v>3875910</v>
      </c>
    </row>
    <row r="5719">
      <c r="A5719" t="str">
        <f t="shared" si="1"/>
        <v>geo#2023</v>
      </c>
      <c r="B5719" t="str">
        <f>IFERROR(__xludf.DUMMYFUNCTION("""COMPUTED_VALUE"""),"geo")</f>
        <v>geo</v>
      </c>
      <c r="C5719" t="str">
        <f>IFERROR(__xludf.DUMMYFUNCTION("""COMPUTED_VALUE"""),"Georgia")</f>
        <v>Georgia</v>
      </c>
      <c r="D5719">
        <f>IFERROR(__xludf.DUMMYFUNCTION("""COMPUTED_VALUE"""),2023.0)</f>
        <v>2023</v>
      </c>
      <c r="E5719">
        <f>IFERROR(__xludf.DUMMYFUNCTION("""COMPUTED_VALUE"""),3860783.0)</f>
        <v>3860783</v>
      </c>
    </row>
    <row r="5720">
      <c r="A5720" t="str">
        <f t="shared" si="1"/>
        <v>geo#2024</v>
      </c>
      <c r="B5720" t="str">
        <f>IFERROR(__xludf.DUMMYFUNCTION("""COMPUTED_VALUE"""),"geo")</f>
        <v>geo</v>
      </c>
      <c r="C5720" t="str">
        <f>IFERROR(__xludf.DUMMYFUNCTION("""COMPUTED_VALUE"""),"Georgia")</f>
        <v>Georgia</v>
      </c>
      <c r="D5720">
        <f>IFERROR(__xludf.DUMMYFUNCTION("""COMPUTED_VALUE"""),2024.0)</f>
        <v>2024</v>
      </c>
      <c r="E5720">
        <f>IFERROR(__xludf.DUMMYFUNCTION("""COMPUTED_VALUE"""),3844853.0)</f>
        <v>3844853</v>
      </c>
    </row>
    <row r="5721">
      <c r="A5721" t="str">
        <f t="shared" si="1"/>
        <v>geo#2025</v>
      </c>
      <c r="B5721" t="str">
        <f>IFERROR(__xludf.DUMMYFUNCTION("""COMPUTED_VALUE"""),"geo")</f>
        <v>geo</v>
      </c>
      <c r="C5721" t="str">
        <f>IFERROR(__xludf.DUMMYFUNCTION("""COMPUTED_VALUE"""),"Georgia")</f>
        <v>Georgia</v>
      </c>
      <c r="D5721">
        <f>IFERROR(__xludf.DUMMYFUNCTION("""COMPUTED_VALUE"""),2025.0)</f>
        <v>2025</v>
      </c>
      <c r="E5721">
        <f>IFERROR(__xludf.DUMMYFUNCTION("""COMPUTED_VALUE"""),3829218.0)</f>
        <v>3829218</v>
      </c>
    </row>
    <row r="5722">
      <c r="A5722" t="str">
        <f t="shared" si="1"/>
        <v>geo#2026</v>
      </c>
      <c r="B5722" t="str">
        <f>IFERROR(__xludf.DUMMYFUNCTION("""COMPUTED_VALUE"""),"geo")</f>
        <v>geo</v>
      </c>
      <c r="C5722" t="str">
        <f>IFERROR(__xludf.DUMMYFUNCTION("""COMPUTED_VALUE"""),"Georgia")</f>
        <v>Georgia</v>
      </c>
      <c r="D5722">
        <f>IFERROR(__xludf.DUMMYFUNCTION("""COMPUTED_VALUE"""),2026.0)</f>
        <v>2026</v>
      </c>
      <c r="E5722">
        <f>IFERROR(__xludf.DUMMYFUNCTION("""COMPUTED_VALUE"""),3813765.0)</f>
        <v>3813765</v>
      </c>
    </row>
    <row r="5723">
      <c r="A5723" t="str">
        <f t="shared" si="1"/>
        <v>geo#2027</v>
      </c>
      <c r="B5723" t="str">
        <f>IFERROR(__xludf.DUMMYFUNCTION("""COMPUTED_VALUE"""),"geo")</f>
        <v>geo</v>
      </c>
      <c r="C5723" t="str">
        <f>IFERROR(__xludf.DUMMYFUNCTION("""COMPUTED_VALUE"""),"Georgia")</f>
        <v>Georgia</v>
      </c>
      <c r="D5723">
        <f>IFERROR(__xludf.DUMMYFUNCTION("""COMPUTED_VALUE"""),2027.0)</f>
        <v>2027</v>
      </c>
      <c r="E5723">
        <f>IFERROR(__xludf.DUMMYFUNCTION("""COMPUTED_VALUE"""),3797879.0)</f>
        <v>3797879</v>
      </c>
    </row>
    <row r="5724">
      <c r="A5724" t="str">
        <f t="shared" si="1"/>
        <v>geo#2028</v>
      </c>
      <c r="B5724" t="str">
        <f>IFERROR(__xludf.DUMMYFUNCTION("""COMPUTED_VALUE"""),"geo")</f>
        <v>geo</v>
      </c>
      <c r="C5724" t="str">
        <f>IFERROR(__xludf.DUMMYFUNCTION("""COMPUTED_VALUE"""),"Georgia")</f>
        <v>Georgia</v>
      </c>
      <c r="D5724">
        <f>IFERROR(__xludf.DUMMYFUNCTION("""COMPUTED_VALUE"""),2028.0)</f>
        <v>2028</v>
      </c>
      <c r="E5724">
        <f>IFERROR(__xludf.DUMMYFUNCTION("""COMPUTED_VALUE"""),3781626.0)</f>
        <v>3781626</v>
      </c>
    </row>
    <row r="5725">
      <c r="A5725" t="str">
        <f t="shared" si="1"/>
        <v>geo#2029</v>
      </c>
      <c r="B5725" t="str">
        <f>IFERROR(__xludf.DUMMYFUNCTION("""COMPUTED_VALUE"""),"geo")</f>
        <v>geo</v>
      </c>
      <c r="C5725" t="str">
        <f>IFERROR(__xludf.DUMMYFUNCTION("""COMPUTED_VALUE"""),"Georgia")</f>
        <v>Georgia</v>
      </c>
      <c r="D5725">
        <f>IFERROR(__xludf.DUMMYFUNCTION("""COMPUTED_VALUE"""),2029.0)</f>
        <v>2029</v>
      </c>
      <c r="E5725">
        <f>IFERROR(__xludf.DUMMYFUNCTION("""COMPUTED_VALUE"""),3765090.0)</f>
        <v>3765090</v>
      </c>
    </row>
    <row r="5726">
      <c r="A5726" t="str">
        <f t="shared" si="1"/>
        <v>geo#2030</v>
      </c>
      <c r="B5726" t="str">
        <f>IFERROR(__xludf.DUMMYFUNCTION("""COMPUTED_VALUE"""),"geo")</f>
        <v>geo</v>
      </c>
      <c r="C5726" t="str">
        <f>IFERROR(__xludf.DUMMYFUNCTION("""COMPUTED_VALUE"""),"Georgia")</f>
        <v>Georgia</v>
      </c>
      <c r="D5726">
        <f>IFERROR(__xludf.DUMMYFUNCTION("""COMPUTED_VALUE"""),2030.0)</f>
        <v>2030</v>
      </c>
      <c r="E5726">
        <f>IFERROR(__xludf.DUMMYFUNCTION("""COMPUTED_VALUE"""),3748350.0)</f>
        <v>3748350</v>
      </c>
    </row>
    <row r="5727">
      <c r="A5727" t="str">
        <f t="shared" si="1"/>
        <v>geo#2031</v>
      </c>
      <c r="B5727" t="str">
        <f>IFERROR(__xludf.DUMMYFUNCTION("""COMPUTED_VALUE"""),"geo")</f>
        <v>geo</v>
      </c>
      <c r="C5727" t="str">
        <f>IFERROR(__xludf.DUMMYFUNCTION("""COMPUTED_VALUE"""),"Georgia")</f>
        <v>Georgia</v>
      </c>
      <c r="D5727">
        <f>IFERROR(__xludf.DUMMYFUNCTION("""COMPUTED_VALUE"""),2031.0)</f>
        <v>2031</v>
      </c>
      <c r="E5727">
        <f>IFERROR(__xludf.DUMMYFUNCTION("""COMPUTED_VALUE"""),3731428.0)</f>
        <v>3731428</v>
      </c>
    </row>
    <row r="5728">
      <c r="A5728" t="str">
        <f t="shared" si="1"/>
        <v>geo#2032</v>
      </c>
      <c r="B5728" t="str">
        <f>IFERROR(__xludf.DUMMYFUNCTION("""COMPUTED_VALUE"""),"geo")</f>
        <v>geo</v>
      </c>
      <c r="C5728" t="str">
        <f>IFERROR(__xludf.DUMMYFUNCTION("""COMPUTED_VALUE"""),"Georgia")</f>
        <v>Georgia</v>
      </c>
      <c r="D5728">
        <f>IFERROR(__xludf.DUMMYFUNCTION("""COMPUTED_VALUE"""),2032.0)</f>
        <v>2032</v>
      </c>
      <c r="E5728">
        <f>IFERROR(__xludf.DUMMYFUNCTION("""COMPUTED_VALUE"""),3714369.0)</f>
        <v>3714369</v>
      </c>
    </row>
    <row r="5729">
      <c r="A5729" t="str">
        <f t="shared" si="1"/>
        <v>geo#2033</v>
      </c>
      <c r="B5729" t="str">
        <f>IFERROR(__xludf.DUMMYFUNCTION("""COMPUTED_VALUE"""),"geo")</f>
        <v>geo</v>
      </c>
      <c r="C5729" t="str">
        <f>IFERROR(__xludf.DUMMYFUNCTION("""COMPUTED_VALUE"""),"Georgia")</f>
        <v>Georgia</v>
      </c>
      <c r="D5729">
        <f>IFERROR(__xludf.DUMMYFUNCTION("""COMPUTED_VALUE"""),2033.0)</f>
        <v>2033</v>
      </c>
      <c r="E5729">
        <f>IFERROR(__xludf.DUMMYFUNCTION("""COMPUTED_VALUE"""),3697215.0)</f>
        <v>3697215</v>
      </c>
    </row>
    <row r="5730">
      <c r="A5730" t="str">
        <f t="shared" si="1"/>
        <v>geo#2034</v>
      </c>
      <c r="B5730" t="str">
        <f>IFERROR(__xludf.DUMMYFUNCTION("""COMPUTED_VALUE"""),"geo")</f>
        <v>geo</v>
      </c>
      <c r="C5730" t="str">
        <f>IFERROR(__xludf.DUMMYFUNCTION("""COMPUTED_VALUE"""),"Georgia")</f>
        <v>Georgia</v>
      </c>
      <c r="D5730">
        <f>IFERROR(__xludf.DUMMYFUNCTION("""COMPUTED_VALUE"""),2034.0)</f>
        <v>2034</v>
      </c>
      <c r="E5730">
        <f>IFERROR(__xludf.DUMMYFUNCTION("""COMPUTED_VALUE"""),3680013.0)</f>
        <v>3680013</v>
      </c>
    </row>
    <row r="5731">
      <c r="A5731" t="str">
        <f t="shared" si="1"/>
        <v>geo#2035</v>
      </c>
      <c r="B5731" t="str">
        <f>IFERROR(__xludf.DUMMYFUNCTION("""COMPUTED_VALUE"""),"geo")</f>
        <v>geo</v>
      </c>
      <c r="C5731" t="str">
        <f>IFERROR(__xludf.DUMMYFUNCTION("""COMPUTED_VALUE"""),"Georgia")</f>
        <v>Georgia</v>
      </c>
      <c r="D5731">
        <f>IFERROR(__xludf.DUMMYFUNCTION("""COMPUTED_VALUE"""),2035.0)</f>
        <v>2035</v>
      </c>
      <c r="E5731">
        <f>IFERROR(__xludf.DUMMYFUNCTION("""COMPUTED_VALUE"""),3662822.0)</f>
        <v>3662822</v>
      </c>
    </row>
    <row r="5732">
      <c r="A5732" t="str">
        <f t="shared" si="1"/>
        <v>geo#2036</v>
      </c>
      <c r="B5732" t="str">
        <f>IFERROR(__xludf.DUMMYFUNCTION("""COMPUTED_VALUE"""),"geo")</f>
        <v>geo</v>
      </c>
      <c r="C5732" t="str">
        <f>IFERROR(__xludf.DUMMYFUNCTION("""COMPUTED_VALUE"""),"Georgia")</f>
        <v>Georgia</v>
      </c>
      <c r="D5732">
        <f>IFERROR(__xludf.DUMMYFUNCTION("""COMPUTED_VALUE"""),2036.0)</f>
        <v>2036</v>
      </c>
      <c r="E5732">
        <f>IFERROR(__xludf.DUMMYFUNCTION("""COMPUTED_VALUE"""),3645651.0)</f>
        <v>3645651</v>
      </c>
    </row>
    <row r="5733">
      <c r="A5733" t="str">
        <f t="shared" si="1"/>
        <v>geo#2037</v>
      </c>
      <c r="B5733" t="str">
        <f>IFERROR(__xludf.DUMMYFUNCTION("""COMPUTED_VALUE"""),"geo")</f>
        <v>geo</v>
      </c>
      <c r="C5733" t="str">
        <f>IFERROR(__xludf.DUMMYFUNCTION("""COMPUTED_VALUE"""),"Georgia")</f>
        <v>Georgia</v>
      </c>
      <c r="D5733">
        <f>IFERROR(__xludf.DUMMYFUNCTION("""COMPUTED_VALUE"""),2037.0)</f>
        <v>2037</v>
      </c>
      <c r="E5733">
        <f>IFERROR(__xludf.DUMMYFUNCTION("""COMPUTED_VALUE"""),3628501.0)</f>
        <v>3628501</v>
      </c>
    </row>
    <row r="5734">
      <c r="A5734" t="str">
        <f t="shared" si="1"/>
        <v>geo#2038</v>
      </c>
      <c r="B5734" t="str">
        <f>IFERROR(__xludf.DUMMYFUNCTION("""COMPUTED_VALUE"""),"geo")</f>
        <v>geo</v>
      </c>
      <c r="C5734" t="str">
        <f>IFERROR(__xludf.DUMMYFUNCTION("""COMPUTED_VALUE"""),"Georgia")</f>
        <v>Georgia</v>
      </c>
      <c r="D5734">
        <f>IFERROR(__xludf.DUMMYFUNCTION("""COMPUTED_VALUE"""),2038.0)</f>
        <v>2038</v>
      </c>
      <c r="E5734">
        <f>IFERROR(__xludf.DUMMYFUNCTION("""COMPUTED_VALUE"""),3611354.0)</f>
        <v>3611354</v>
      </c>
    </row>
    <row r="5735">
      <c r="A5735" t="str">
        <f t="shared" si="1"/>
        <v>geo#2039</v>
      </c>
      <c r="B5735" t="str">
        <f>IFERROR(__xludf.DUMMYFUNCTION("""COMPUTED_VALUE"""),"geo")</f>
        <v>geo</v>
      </c>
      <c r="C5735" t="str">
        <f>IFERROR(__xludf.DUMMYFUNCTION("""COMPUTED_VALUE"""),"Georgia")</f>
        <v>Georgia</v>
      </c>
      <c r="D5735">
        <f>IFERROR(__xludf.DUMMYFUNCTION("""COMPUTED_VALUE"""),2039.0)</f>
        <v>2039</v>
      </c>
      <c r="E5735">
        <f>IFERROR(__xludf.DUMMYFUNCTION("""COMPUTED_VALUE"""),3594175.0)</f>
        <v>3594175</v>
      </c>
    </row>
    <row r="5736">
      <c r="A5736" t="str">
        <f t="shared" si="1"/>
        <v>geo#2040</v>
      </c>
      <c r="B5736" t="str">
        <f>IFERROR(__xludf.DUMMYFUNCTION("""COMPUTED_VALUE"""),"geo")</f>
        <v>geo</v>
      </c>
      <c r="C5736" t="str">
        <f>IFERROR(__xludf.DUMMYFUNCTION("""COMPUTED_VALUE"""),"Georgia")</f>
        <v>Georgia</v>
      </c>
      <c r="D5736">
        <f>IFERROR(__xludf.DUMMYFUNCTION("""COMPUTED_VALUE"""),2040.0)</f>
        <v>2040</v>
      </c>
      <c r="E5736">
        <f>IFERROR(__xludf.DUMMYFUNCTION("""COMPUTED_VALUE"""),3576930.0)</f>
        <v>3576930</v>
      </c>
    </row>
    <row r="5737">
      <c r="A5737" t="str">
        <f t="shared" si="1"/>
        <v>deu#1950</v>
      </c>
      <c r="B5737" t="str">
        <f>IFERROR(__xludf.DUMMYFUNCTION("""COMPUTED_VALUE"""),"deu")</f>
        <v>deu</v>
      </c>
      <c r="C5737" t="str">
        <f>IFERROR(__xludf.DUMMYFUNCTION("""COMPUTED_VALUE"""),"Germany")</f>
        <v>Germany</v>
      </c>
      <c r="D5737">
        <f>IFERROR(__xludf.DUMMYFUNCTION("""COMPUTED_VALUE"""),1950.0)</f>
        <v>1950</v>
      </c>
      <c r="E5737">
        <f>IFERROR(__xludf.DUMMYFUNCTION("""COMPUTED_VALUE"""),6.9966243E7)</f>
        <v>69966243</v>
      </c>
    </row>
    <row r="5738">
      <c r="A5738" t="str">
        <f t="shared" si="1"/>
        <v>deu#1951</v>
      </c>
      <c r="B5738" t="str">
        <f>IFERROR(__xludf.DUMMYFUNCTION("""COMPUTED_VALUE"""),"deu")</f>
        <v>deu</v>
      </c>
      <c r="C5738" t="str">
        <f>IFERROR(__xludf.DUMMYFUNCTION("""COMPUTED_VALUE"""),"Germany")</f>
        <v>Germany</v>
      </c>
      <c r="D5738">
        <f>IFERROR(__xludf.DUMMYFUNCTION("""COMPUTED_VALUE"""),1951.0)</f>
        <v>1951</v>
      </c>
      <c r="E5738">
        <f>IFERROR(__xludf.DUMMYFUNCTION("""COMPUTED_VALUE"""),7.0299358E7)</f>
        <v>70299358</v>
      </c>
    </row>
    <row r="5739">
      <c r="A5739" t="str">
        <f t="shared" si="1"/>
        <v>deu#1952</v>
      </c>
      <c r="B5739" t="str">
        <f>IFERROR(__xludf.DUMMYFUNCTION("""COMPUTED_VALUE"""),"deu")</f>
        <v>deu</v>
      </c>
      <c r="C5739" t="str">
        <f>IFERROR(__xludf.DUMMYFUNCTION("""COMPUTED_VALUE"""),"Germany")</f>
        <v>Germany</v>
      </c>
      <c r="D5739">
        <f>IFERROR(__xludf.DUMMYFUNCTION("""COMPUTED_VALUE"""),1952.0)</f>
        <v>1952</v>
      </c>
      <c r="E5739">
        <f>IFERROR(__xludf.DUMMYFUNCTION("""COMPUTED_VALUE"""),7.0619499E7)</f>
        <v>70619499</v>
      </c>
    </row>
    <row r="5740">
      <c r="A5740" t="str">
        <f t="shared" si="1"/>
        <v>deu#1953</v>
      </c>
      <c r="B5740" t="str">
        <f>IFERROR(__xludf.DUMMYFUNCTION("""COMPUTED_VALUE"""),"deu")</f>
        <v>deu</v>
      </c>
      <c r="C5740" t="str">
        <f>IFERROR(__xludf.DUMMYFUNCTION("""COMPUTED_VALUE"""),"Germany")</f>
        <v>Germany</v>
      </c>
      <c r="D5740">
        <f>IFERROR(__xludf.DUMMYFUNCTION("""COMPUTED_VALUE"""),1953.0)</f>
        <v>1953</v>
      </c>
      <c r="E5740">
        <f>IFERROR(__xludf.DUMMYFUNCTION("""COMPUTED_VALUE"""),7.0929259E7)</f>
        <v>70929259</v>
      </c>
    </row>
    <row r="5741">
      <c r="A5741" t="str">
        <f t="shared" si="1"/>
        <v>deu#1954</v>
      </c>
      <c r="B5741" t="str">
        <f>IFERROR(__xludf.DUMMYFUNCTION("""COMPUTED_VALUE"""),"deu")</f>
        <v>deu</v>
      </c>
      <c r="C5741" t="str">
        <f>IFERROR(__xludf.DUMMYFUNCTION("""COMPUTED_VALUE"""),"Germany")</f>
        <v>Germany</v>
      </c>
      <c r="D5741">
        <f>IFERROR(__xludf.DUMMYFUNCTION("""COMPUTED_VALUE"""),1954.0)</f>
        <v>1954</v>
      </c>
      <c r="E5741">
        <f>IFERROR(__xludf.DUMMYFUNCTION("""COMPUTED_VALUE"""),7.1233131E7)</f>
        <v>71233131</v>
      </c>
    </row>
    <row r="5742">
      <c r="A5742" t="str">
        <f t="shared" si="1"/>
        <v>deu#1955</v>
      </c>
      <c r="B5742" t="str">
        <f>IFERROR(__xludf.DUMMYFUNCTION("""COMPUTED_VALUE"""),"deu")</f>
        <v>deu</v>
      </c>
      <c r="C5742" t="str">
        <f>IFERROR(__xludf.DUMMYFUNCTION("""COMPUTED_VALUE"""),"Germany")</f>
        <v>Germany</v>
      </c>
      <c r="D5742">
        <f>IFERROR(__xludf.DUMMYFUNCTION("""COMPUTED_VALUE"""),1955.0)</f>
        <v>1955</v>
      </c>
      <c r="E5742">
        <f>IFERROR(__xludf.DUMMYFUNCTION("""COMPUTED_VALUE"""),7.1537537E7)</f>
        <v>71537537</v>
      </c>
    </row>
    <row r="5743">
      <c r="A5743" t="str">
        <f t="shared" si="1"/>
        <v>deu#1956</v>
      </c>
      <c r="B5743" t="str">
        <f>IFERROR(__xludf.DUMMYFUNCTION("""COMPUTED_VALUE"""),"deu")</f>
        <v>deu</v>
      </c>
      <c r="C5743" t="str">
        <f>IFERROR(__xludf.DUMMYFUNCTION("""COMPUTED_VALUE"""),"Germany")</f>
        <v>Germany</v>
      </c>
      <c r="D5743">
        <f>IFERROR(__xludf.DUMMYFUNCTION("""COMPUTED_VALUE"""),1956.0)</f>
        <v>1956</v>
      </c>
      <c r="E5743">
        <f>IFERROR(__xludf.DUMMYFUNCTION("""COMPUTED_VALUE"""),7.185098E7)</f>
        <v>71850980</v>
      </c>
    </row>
    <row r="5744">
      <c r="A5744" t="str">
        <f t="shared" si="1"/>
        <v>deu#1957</v>
      </c>
      <c r="B5744" t="str">
        <f>IFERROR(__xludf.DUMMYFUNCTION("""COMPUTED_VALUE"""),"deu")</f>
        <v>deu</v>
      </c>
      <c r="C5744" t="str">
        <f>IFERROR(__xludf.DUMMYFUNCTION("""COMPUTED_VALUE"""),"Germany")</f>
        <v>Germany</v>
      </c>
      <c r="D5744">
        <f>IFERROR(__xludf.DUMMYFUNCTION("""COMPUTED_VALUE"""),1957.0)</f>
        <v>1957</v>
      </c>
      <c r="E5744">
        <f>IFERROR(__xludf.DUMMYFUNCTION("""COMPUTED_VALUE"""),7.2183916E7)</f>
        <v>72183916</v>
      </c>
    </row>
    <row r="5745">
      <c r="A5745" t="str">
        <f t="shared" si="1"/>
        <v>deu#1958</v>
      </c>
      <c r="B5745" t="str">
        <f>IFERROR(__xludf.DUMMYFUNCTION("""COMPUTED_VALUE"""),"deu")</f>
        <v>deu</v>
      </c>
      <c r="C5745" t="str">
        <f>IFERROR(__xludf.DUMMYFUNCTION("""COMPUTED_VALUE"""),"Germany")</f>
        <v>Germany</v>
      </c>
      <c r="D5745">
        <f>IFERROR(__xludf.DUMMYFUNCTION("""COMPUTED_VALUE"""),1958.0)</f>
        <v>1958</v>
      </c>
      <c r="E5745">
        <f>IFERROR(__xludf.DUMMYFUNCTION("""COMPUTED_VALUE"""),7.2548042E7)</f>
        <v>72548042</v>
      </c>
    </row>
    <row r="5746">
      <c r="A5746" t="str">
        <f t="shared" si="1"/>
        <v>deu#1959</v>
      </c>
      <c r="B5746" t="str">
        <f>IFERROR(__xludf.DUMMYFUNCTION("""COMPUTED_VALUE"""),"deu")</f>
        <v>deu</v>
      </c>
      <c r="C5746" t="str">
        <f>IFERROR(__xludf.DUMMYFUNCTION("""COMPUTED_VALUE"""),"Germany")</f>
        <v>Germany</v>
      </c>
      <c r="D5746">
        <f>IFERROR(__xludf.DUMMYFUNCTION("""COMPUTED_VALUE"""),1959.0)</f>
        <v>1959</v>
      </c>
      <c r="E5746">
        <f>IFERROR(__xludf.DUMMYFUNCTION("""COMPUTED_VALUE"""),7.2955244E7)</f>
        <v>72955244</v>
      </c>
    </row>
    <row r="5747">
      <c r="A5747" t="str">
        <f t="shared" si="1"/>
        <v>deu#1960</v>
      </c>
      <c r="B5747" t="str">
        <f>IFERROR(__xludf.DUMMYFUNCTION("""COMPUTED_VALUE"""),"deu")</f>
        <v>deu</v>
      </c>
      <c r="C5747" t="str">
        <f>IFERROR(__xludf.DUMMYFUNCTION("""COMPUTED_VALUE"""),"Germany")</f>
        <v>Germany</v>
      </c>
      <c r="D5747">
        <f>IFERROR(__xludf.DUMMYFUNCTION("""COMPUTED_VALUE"""),1960.0)</f>
        <v>1960</v>
      </c>
      <c r="E5747">
        <f>IFERROR(__xludf.DUMMYFUNCTION("""COMPUTED_VALUE"""),7.3414427E7)</f>
        <v>73414427</v>
      </c>
    </row>
    <row r="5748">
      <c r="A5748" t="str">
        <f t="shared" si="1"/>
        <v>deu#1961</v>
      </c>
      <c r="B5748" t="str">
        <f>IFERROR(__xludf.DUMMYFUNCTION("""COMPUTED_VALUE"""),"deu")</f>
        <v>deu</v>
      </c>
      <c r="C5748" t="str">
        <f>IFERROR(__xludf.DUMMYFUNCTION("""COMPUTED_VALUE"""),"Germany")</f>
        <v>Germany</v>
      </c>
      <c r="D5748">
        <f>IFERROR(__xludf.DUMMYFUNCTION("""COMPUTED_VALUE"""),1961.0)</f>
        <v>1961</v>
      </c>
      <c r="E5748">
        <f>IFERROR(__xludf.DUMMYFUNCTION("""COMPUTED_VALUE"""),7.3928048E7)</f>
        <v>73928048</v>
      </c>
    </row>
    <row r="5749">
      <c r="A5749" t="str">
        <f t="shared" si="1"/>
        <v>deu#1962</v>
      </c>
      <c r="B5749" t="str">
        <f>IFERROR(__xludf.DUMMYFUNCTION("""COMPUTED_VALUE"""),"deu")</f>
        <v>deu</v>
      </c>
      <c r="C5749" t="str">
        <f>IFERROR(__xludf.DUMMYFUNCTION("""COMPUTED_VALUE"""),"Germany")</f>
        <v>Germany</v>
      </c>
      <c r="D5749">
        <f>IFERROR(__xludf.DUMMYFUNCTION("""COMPUTED_VALUE"""),1962.0)</f>
        <v>1962</v>
      </c>
      <c r="E5749">
        <f>IFERROR(__xludf.DUMMYFUNCTION("""COMPUTED_VALUE"""),7.4489142E7)</f>
        <v>74489142</v>
      </c>
    </row>
    <row r="5750">
      <c r="A5750" t="str">
        <f t="shared" si="1"/>
        <v>deu#1963</v>
      </c>
      <c r="B5750" t="str">
        <f>IFERROR(__xludf.DUMMYFUNCTION("""COMPUTED_VALUE"""),"deu")</f>
        <v>deu</v>
      </c>
      <c r="C5750" t="str">
        <f>IFERROR(__xludf.DUMMYFUNCTION("""COMPUTED_VALUE"""),"Germany")</f>
        <v>Germany</v>
      </c>
      <c r="D5750">
        <f>IFERROR(__xludf.DUMMYFUNCTION("""COMPUTED_VALUE"""),1963.0)</f>
        <v>1963</v>
      </c>
      <c r="E5750">
        <f>IFERROR(__xludf.DUMMYFUNCTION("""COMPUTED_VALUE"""),7.5080047E7)</f>
        <v>75080047</v>
      </c>
    </row>
    <row r="5751">
      <c r="A5751" t="str">
        <f t="shared" si="1"/>
        <v>deu#1964</v>
      </c>
      <c r="B5751" t="str">
        <f>IFERROR(__xludf.DUMMYFUNCTION("""COMPUTED_VALUE"""),"deu")</f>
        <v>deu</v>
      </c>
      <c r="C5751" t="str">
        <f>IFERROR(__xludf.DUMMYFUNCTION("""COMPUTED_VALUE"""),"Germany")</f>
        <v>Germany</v>
      </c>
      <c r="D5751">
        <f>IFERROR(__xludf.DUMMYFUNCTION("""COMPUTED_VALUE"""),1964.0)</f>
        <v>1964</v>
      </c>
      <c r="E5751">
        <f>IFERROR(__xludf.DUMMYFUNCTION("""COMPUTED_VALUE"""),7.5676011E7)</f>
        <v>75676011</v>
      </c>
    </row>
    <row r="5752">
      <c r="A5752" t="str">
        <f t="shared" si="1"/>
        <v>deu#1965</v>
      </c>
      <c r="B5752" t="str">
        <f>IFERROR(__xludf.DUMMYFUNCTION("""COMPUTED_VALUE"""),"deu")</f>
        <v>deu</v>
      </c>
      <c r="C5752" t="str">
        <f>IFERROR(__xludf.DUMMYFUNCTION("""COMPUTED_VALUE"""),"Germany")</f>
        <v>Germany</v>
      </c>
      <c r="D5752">
        <f>IFERROR(__xludf.DUMMYFUNCTION("""COMPUTED_VALUE"""),1965.0)</f>
        <v>1965</v>
      </c>
      <c r="E5752">
        <f>IFERROR(__xludf.DUMMYFUNCTION("""COMPUTED_VALUE"""),7.6255926E7)</f>
        <v>76255926</v>
      </c>
    </row>
    <row r="5753">
      <c r="A5753" t="str">
        <f t="shared" si="1"/>
        <v>deu#1966</v>
      </c>
      <c r="B5753" t="str">
        <f>IFERROR(__xludf.DUMMYFUNCTION("""COMPUTED_VALUE"""),"deu")</f>
        <v>deu</v>
      </c>
      <c r="C5753" t="str">
        <f>IFERROR(__xludf.DUMMYFUNCTION("""COMPUTED_VALUE"""),"Germany")</f>
        <v>Germany</v>
      </c>
      <c r="D5753">
        <f>IFERROR(__xludf.DUMMYFUNCTION("""COMPUTED_VALUE"""),1966.0)</f>
        <v>1966</v>
      </c>
      <c r="E5753">
        <f>IFERROR(__xludf.DUMMYFUNCTION("""COMPUTED_VALUE"""),7.6816337E7)</f>
        <v>76816337</v>
      </c>
    </row>
    <row r="5754">
      <c r="A5754" t="str">
        <f t="shared" si="1"/>
        <v>deu#1967</v>
      </c>
      <c r="B5754" t="str">
        <f>IFERROR(__xludf.DUMMYFUNCTION("""COMPUTED_VALUE"""),"deu")</f>
        <v>deu</v>
      </c>
      <c r="C5754" t="str">
        <f>IFERROR(__xludf.DUMMYFUNCTION("""COMPUTED_VALUE"""),"Germany")</f>
        <v>Germany</v>
      </c>
      <c r="D5754">
        <f>IFERROR(__xludf.DUMMYFUNCTION("""COMPUTED_VALUE"""),1967.0)</f>
        <v>1967</v>
      </c>
      <c r="E5754">
        <f>IFERROR(__xludf.DUMMYFUNCTION("""COMPUTED_VALUE"""),7.7352662E7)</f>
        <v>77352662</v>
      </c>
    </row>
    <row r="5755">
      <c r="A5755" t="str">
        <f t="shared" si="1"/>
        <v>deu#1968</v>
      </c>
      <c r="B5755" t="str">
        <f>IFERROR(__xludf.DUMMYFUNCTION("""COMPUTED_VALUE"""),"deu")</f>
        <v>deu</v>
      </c>
      <c r="C5755" t="str">
        <f>IFERROR(__xludf.DUMMYFUNCTION("""COMPUTED_VALUE"""),"Germany")</f>
        <v>Germany</v>
      </c>
      <c r="D5755">
        <f>IFERROR(__xludf.DUMMYFUNCTION("""COMPUTED_VALUE"""),1968.0)</f>
        <v>1968</v>
      </c>
      <c r="E5755">
        <f>IFERROR(__xludf.DUMMYFUNCTION("""COMPUTED_VALUE"""),7.7841435E7)</f>
        <v>77841435</v>
      </c>
    </row>
    <row r="5756">
      <c r="A5756" t="str">
        <f t="shared" si="1"/>
        <v>deu#1969</v>
      </c>
      <c r="B5756" t="str">
        <f>IFERROR(__xludf.DUMMYFUNCTION("""COMPUTED_VALUE"""),"deu")</f>
        <v>deu</v>
      </c>
      <c r="C5756" t="str">
        <f>IFERROR(__xludf.DUMMYFUNCTION("""COMPUTED_VALUE"""),"Germany")</f>
        <v>Germany</v>
      </c>
      <c r="D5756">
        <f>IFERROR(__xludf.DUMMYFUNCTION("""COMPUTED_VALUE"""),1969.0)</f>
        <v>1969</v>
      </c>
      <c r="E5756">
        <f>IFERROR(__xludf.DUMMYFUNCTION("""COMPUTED_VALUE"""),7.8254626E7)</f>
        <v>78254626</v>
      </c>
    </row>
    <row r="5757">
      <c r="A5757" t="str">
        <f t="shared" si="1"/>
        <v>deu#1970</v>
      </c>
      <c r="B5757" t="str">
        <f>IFERROR(__xludf.DUMMYFUNCTION("""COMPUTED_VALUE"""),"deu")</f>
        <v>deu</v>
      </c>
      <c r="C5757" t="str">
        <f>IFERROR(__xludf.DUMMYFUNCTION("""COMPUTED_VALUE"""),"Germany")</f>
        <v>Germany</v>
      </c>
      <c r="D5757">
        <f>IFERROR(__xludf.DUMMYFUNCTION("""COMPUTED_VALUE"""),1970.0)</f>
        <v>1970</v>
      </c>
      <c r="E5757">
        <f>IFERROR(__xludf.DUMMYFUNCTION("""COMPUTED_VALUE"""),7.8572984E7)</f>
        <v>78572984</v>
      </c>
    </row>
    <row r="5758">
      <c r="A5758" t="str">
        <f t="shared" si="1"/>
        <v>deu#1971</v>
      </c>
      <c r="B5758" t="str">
        <f>IFERROR(__xludf.DUMMYFUNCTION("""COMPUTED_VALUE"""),"deu")</f>
        <v>deu</v>
      </c>
      <c r="C5758" t="str">
        <f>IFERROR(__xludf.DUMMYFUNCTION("""COMPUTED_VALUE"""),"Germany")</f>
        <v>Germany</v>
      </c>
      <c r="D5758">
        <f>IFERROR(__xludf.DUMMYFUNCTION("""COMPUTED_VALUE"""),1971.0)</f>
        <v>1971</v>
      </c>
      <c r="E5758">
        <f>IFERROR(__xludf.DUMMYFUNCTION("""COMPUTED_VALUE"""),7.8786608E7)</f>
        <v>78786608</v>
      </c>
    </row>
    <row r="5759">
      <c r="A5759" t="str">
        <f t="shared" si="1"/>
        <v>deu#1972</v>
      </c>
      <c r="B5759" t="str">
        <f>IFERROR(__xludf.DUMMYFUNCTION("""COMPUTED_VALUE"""),"deu")</f>
        <v>deu</v>
      </c>
      <c r="C5759" t="str">
        <f>IFERROR(__xludf.DUMMYFUNCTION("""COMPUTED_VALUE"""),"Germany")</f>
        <v>Germany</v>
      </c>
      <c r="D5759">
        <f>IFERROR(__xludf.DUMMYFUNCTION("""COMPUTED_VALUE"""),1972.0)</f>
        <v>1972</v>
      </c>
      <c r="E5759">
        <f>IFERROR(__xludf.DUMMYFUNCTION("""COMPUTED_VALUE"""),7.8901707E7)</f>
        <v>78901707</v>
      </c>
    </row>
    <row r="5760">
      <c r="A5760" t="str">
        <f t="shared" si="1"/>
        <v>deu#1973</v>
      </c>
      <c r="B5760" t="str">
        <f>IFERROR(__xludf.DUMMYFUNCTION("""COMPUTED_VALUE"""),"deu")</f>
        <v>deu</v>
      </c>
      <c r="C5760" t="str">
        <f>IFERROR(__xludf.DUMMYFUNCTION("""COMPUTED_VALUE"""),"Germany")</f>
        <v>Germany</v>
      </c>
      <c r="D5760">
        <f>IFERROR(__xludf.DUMMYFUNCTION("""COMPUTED_VALUE"""),1973.0)</f>
        <v>1973</v>
      </c>
      <c r="E5760">
        <f>IFERROR(__xludf.DUMMYFUNCTION("""COMPUTED_VALUE"""),7.8936165E7)</f>
        <v>78936165</v>
      </c>
    </row>
    <row r="5761">
      <c r="A5761" t="str">
        <f t="shared" si="1"/>
        <v>deu#1974</v>
      </c>
      <c r="B5761" t="str">
        <f>IFERROR(__xludf.DUMMYFUNCTION("""COMPUTED_VALUE"""),"deu")</f>
        <v>deu</v>
      </c>
      <c r="C5761" t="str">
        <f>IFERROR(__xludf.DUMMYFUNCTION("""COMPUTED_VALUE"""),"Germany")</f>
        <v>Germany</v>
      </c>
      <c r="D5761">
        <f>IFERROR(__xludf.DUMMYFUNCTION("""COMPUTED_VALUE"""),1974.0)</f>
        <v>1974</v>
      </c>
      <c r="E5761">
        <f>IFERROR(__xludf.DUMMYFUNCTION("""COMPUTED_VALUE"""),7.891722E7)</f>
        <v>78917220</v>
      </c>
    </row>
    <row r="5762">
      <c r="A5762" t="str">
        <f t="shared" si="1"/>
        <v>deu#1975</v>
      </c>
      <c r="B5762" t="str">
        <f>IFERROR(__xludf.DUMMYFUNCTION("""COMPUTED_VALUE"""),"deu")</f>
        <v>deu</v>
      </c>
      <c r="C5762" t="str">
        <f>IFERROR(__xludf.DUMMYFUNCTION("""COMPUTED_VALUE"""),"Germany")</f>
        <v>Germany</v>
      </c>
      <c r="D5762">
        <f>IFERROR(__xludf.DUMMYFUNCTION("""COMPUTED_VALUE"""),1975.0)</f>
        <v>1975</v>
      </c>
      <c r="E5762">
        <f>IFERROR(__xludf.DUMMYFUNCTION("""COMPUTED_VALUE"""),7.8866498E7)</f>
        <v>78866498</v>
      </c>
    </row>
    <row r="5763">
      <c r="A5763" t="str">
        <f t="shared" si="1"/>
        <v>deu#1976</v>
      </c>
      <c r="B5763" t="str">
        <f>IFERROR(__xludf.DUMMYFUNCTION("""COMPUTED_VALUE"""),"deu")</f>
        <v>deu</v>
      </c>
      <c r="C5763" t="str">
        <f>IFERROR(__xludf.DUMMYFUNCTION("""COMPUTED_VALUE"""),"Germany")</f>
        <v>Germany</v>
      </c>
      <c r="D5763">
        <f>IFERROR(__xludf.DUMMYFUNCTION("""COMPUTED_VALUE"""),1976.0)</f>
        <v>1976</v>
      </c>
      <c r="E5763">
        <f>IFERROR(__xludf.DUMMYFUNCTION("""COMPUTED_VALUE"""),7.8794496E7)</f>
        <v>78794496</v>
      </c>
    </row>
    <row r="5764">
      <c r="A5764" t="str">
        <f t="shared" si="1"/>
        <v>deu#1977</v>
      </c>
      <c r="B5764" t="str">
        <f>IFERROR(__xludf.DUMMYFUNCTION("""COMPUTED_VALUE"""),"deu")</f>
        <v>deu</v>
      </c>
      <c r="C5764" t="str">
        <f>IFERROR(__xludf.DUMMYFUNCTION("""COMPUTED_VALUE"""),"Germany")</f>
        <v>Germany</v>
      </c>
      <c r="D5764">
        <f>IFERROR(__xludf.DUMMYFUNCTION("""COMPUTED_VALUE"""),1977.0)</f>
        <v>1977</v>
      </c>
      <c r="E5764">
        <f>IFERROR(__xludf.DUMMYFUNCTION("""COMPUTED_VALUE"""),7.8701801E7)</f>
        <v>78701801</v>
      </c>
    </row>
    <row r="5765">
      <c r="A5765" t="str">
        <f t="shared" si="1"/>
        <v>deu#1978</v>
      </c>
      <c r="B5765" t="str">
        <f>IFERROR(__xludf.DUMMYFUNCTION("""COMPUTED_VALUE"""),"deu")</f>
        <v>deu</v>
      </c>
      <c r="C5765" t="str">
        <f>IFERROR(__xludf.DUMMYFUNCTION("""COMPUTED_VALUE"""),"Germany")</f>
        <v>Germany</v>
      </c>
      <c r="D5765">
        <f>IFERROR(__xludf.DUMMYFUNCTION("""COMPUTED_VALUE"""),1978.0)</f>
        <v>1978</v>
      </c>
      <c r="E5765">
        <f>IFERROR(__xludf.DUMMYFUNCTION("""COMPUTED_VALUE"""),7.8589311E7)</f>
        <v>78589311</v>
      </c>
    </row>
    <row r="5766">
      <c r="A5766" t="str">
        <f t="shared" si="1"/>
        <v>deu#1979</v>
      </c>
      <c r="B5766" t="str">
        <f>IFERROR(__xludf.DUMMYFUNCTION("""COMPUTED_VALUE"""),"deu")</f>
        <v>deu</v>
      </c>
      <c r="C5766" t="str">
        <f>IFERROR(__xludf.DUMMYFUNCTION("""COMPUTED_VALUE"""),"Germany")</f>
        <v>Germany</v>
      </c>
      <c r="D5766">
        <f>IFERROR(__xludf.DUMMYFUNCTION("""COMPUTED_VALUE"""),1979.0)</f>
        <v>1979</v>
      </c>
      <c r="E5766">
        <f>IFERROR(__xludf.DUMMYFUNCTION("""COMPUTED_VALUE"""),7.8454848E7)</f>
        <v>78454848</v>
      </c>
    </row>
    <row r="5767">
      <c r="A5767" t="str">
        <f t="shared" si="1"/>
        <v>deu#1980</v>
      </c>
      <c r="B5767" t="str">
        <f>IFERROR(__xludf.DUMMYFUNCTION("""COMPUTED_VALUE"""),"deu")</f>
        <v>deu</v>
      </c>
      <c r="C5767" t="str">
        <f>IFERROR(__xludf.DUMMYFUNCTION("""COMPUTED_VALUE"""),"Germany")</f>
        <v>Germany</v>
      </c>
      <c r="D5767">
        <f>IFERROR(__xludf.DUMMYFUNCTION("""COMPUTED_VALUE"""),1980.0)</f>
        <v>1980</v>
      </c>
      <c r="E5767">
        <f>IFERROR(__xludf.DUMMYFUNCTION("""COMPUTED_VALUE"""),7.830065E7)</f>
        <v>78300650</v>
      </c>
    </row>
    <row r="5768">
      <c r="A5768" t="str">
        <f t="shared" si="1"/>
        <v>deu#1981</v>
      </c>
      <c r="B5768" t="str">
        <f>IFERROR(__xludf.DUMMYFUNCTION("""COMPUTED_VALUE"""),"deu")</f>
        <v>deu</v>
      </c>
      <c r="C5768" t="str">
        <f>IFERROR(__xludf.DUMMYFUNCTION("""COMPUTED_VALUE"""),"Germany")</f>
        <v>Germany</v>
      </c>
      <c r="D5768">
        <f>IFERROR(__xludf.DUMMYFUNCTION("""COMPUTED_VALUE"""),1981.0)</f>
        <v>1981</v>
      </c>
      <c r="E5768">
        <f>IFERROR(__xludf.DUMMYFUNCTION("""COMPUTED_VALUE"""),7.8126104E7)</f>
        <v>78126104</v>
      </c>
    </row>
    <row r="5769">
      <c r="A5769" t="str">
        <f t="shared" si="1"/>
        <v>deu#1982</v>
      </c>
      <c r="B5769" t="str">
        <f>IFERROR(__xludf.DUMMYFUNCTION("""COMPUTED_VALUE"""),"deu")</f>
        <v>deu</v>
      </c>
      <c r="C5769" t="str">
        <f>IFERROR(__xludf.DUMMYFUNCTION("""COMPUTED_VALUE"""),"Germany")</f>
        <v>Germany</v>
      </c>
      <c r="D5769">
        <f>IFERROR(__xludf.DUMMYFUNCTION("""COMPUTED_VALUE"""),1982.0)</f>
        <v>1982</v>
      </c>
      <c r="E5769">
        <f>IFERROR(__xludf.DUMMYFUNCTION("""COMPUTED_VALUE"""),7.7944848E7)</f>
        <v>77944848</v>
      </c>
    </row>
    <row r="5770">
      <c r="A5770" t="str">
        <f t="shared" si="1"/>
        <v>deu#1983</v>
      </c>
      <c r="B5770" t="str">
        <f>IFERROR(__xludf.DUMMYFUNCTION("""COMPUTED_VALUE"""),"deu")</f>
        <v>deu</v>
      </c>
      <c r="C5770" t="str">
        <f>IFERROR(__xludf.DUMMYFUNCTION("""COMPUTED_VALUE"""),"Germany")</f>
        <v>Germany</v>
      </c>
      <c r="D5770">
        <f>IFERROR(__xludf.DUMMYFUNCTION("""COMPUTED_VALUE"""),1983.0)</f>
        <v>1983</v>
      </c>
      <c r="E5770">
        <f>IFERROR(__xludf.DUMMYFUNCTION("""COMPUTED_VALUE"""),7.779008E7)</f>
        <v>77790080</v>
      </c>
    </row>
    <row r="5771">
      <c r="A5771" t="str">
        <f t="shared" si="1"/>
        <v>deu#1984</v>
      </c>
      <c r="B5771" t="str">
        <f>IFERROR(__xludf.DUMMYFUNCTION("""COMPUTED_VALUE"""),"deu")</f>
        <v>deu</v>
      </c>
      <c r="C5771" t="str">
        <f>IFERROR(__xludf.DUMMYFUNCTION("""COMPUTED_VALUE"""),"Germany")</f>
        <v>Germany</v>
      </c>
      <c r="D5771">
        <f>IFERROR(__xludf.DUMMYFUNCTION("""COMPUTED_VALUE"""),1984.0)</f>
        <v>1984</v>
      </c>
      <c r="E5771">
        <f>IFERROR(__xludf.DUMMYFUNCTION("""COMPUTED_VALUE"""),7.7704336E7)</f>
        <v>77704336</v>
      </c>
    </row>
    <row r="5772">
      <c r="A5772" t="str">
        <f t="shared" si="1"/>
        <v>deu#1985</v>
      </c>
      <c r="B5772" t="str">
        <f>IFERROR(__xludf.DUMMYFUNCTION("""COMPUTED_VALUE"""),"deu")</f>
        <v>deu</v>
      </c>
      <c r="C5772" t="str">
        <f>IFERROR(__xludf.DUMMYFUNCTION("""COMPUTED_VALUE"""),"Germany")</f>
        <v>Germany</v>
      </c>
      <c r="D5772">
        <f>IFERROR(__xludf.DUMMYFUNCTION("""COMPUTED_VALUE"""),1985.0)</f>
        <v>1985</v>
      </c>
      <c r="E5772">
        <f>IFERROR(__xludf.DUMMYFUNCTION("""COMPUTED_VALUE"""),7.7717431E7)</f>
        <v>77717431</v>
      </c>
    </row>
    <row r="5773">
      <c r="A5773" t="str">
        <f t="shared" si="1"/>
        <v>deu#1986</v>
      </c>
      <c r="B5773" t="str">
        <f>IFERROR(__xludf.DUMMYFUNCTION("""COMPUTED_VALUE"""),"deu")</f>
        <v>deu</v>
      </c>
      <c r="C5773" t="str">
        <f>IFERROR(__xludf.DUMMYFUNCTION("""COMPUTED_VALUE"""),"Germany")</f>
        <v>Germany</v>
      </c>
      <c r="D5773">
        <f>IFERROR(__xludf.DUMMYFUNCTION("""COMPUTED_VALUE"""),1986.0)</f>
        <v>1986</v>
      </c>
      <c r="E5773">
        <f>IFERROR(__xludf.DUMMYFUNCTION("""COMPUTED_VALUE"""),7.78375E7)</f>
        <v>77837500</v>
      </c>
    </row>
    <row r="5774">
      <c r="A5774" t="str">
        <f t="shared" si="1"/>
        <v>deu#1987</v>
      </c>
      <c r="B5774" t="str">
        <f>IFERROR(__xludf.DUMMYFUNCTION("""COMPUTED_VALUE"""),"deu")</f>
        <v>deu</v>
      </c>
      <c r="C5774" t="str">
        <f>IFERROR(__xludf.DUMMYFUNCTION("""COMPUTED_VALUE"""),"Germany")</f>
        <v>Germany</v>
      </c>
      <c r="D5774">
        <f>IFERROR(__xludf.DUMMYFUNCTION("""COMPUTED_VALUE"""),1987.0)</f>
        <v>1987</v>
      </c>
      <c r="E5774">
        <f>IFERROR(__xludf.DUMMYFUNCTION("""COMPUTED_VALUE"""),7.8054086E7)</f>
        <v>78054086</v>
      </c>
    </row>
    <row r="5775">
      <c r="A5775" t="str">
        <f t="shared" si="1"/>
        <v>deu#1988</v>
      </c>
      <c r="B5775" t="str">
        <f>IFERROR(__xludf.DUMMYFUNCTION("""COMPUTED_VALUE"""),"deu")</f>
        <v>deu</v>
      </c>
      <c r="C5775" t="str">
        <f>IFERROR(__xludf.DUMMYFUNCTION("""COMPUTED_VALUE"""),"Germany")</f>
        <v>Germany</v>
      </c>
      <c r="D5775">
        <f>IFERROR(__xludf.DUMMYFUNCTION("""COMPUTED_VALUE"""),1988.0)</f>
        <v>1988</v>
      </c>
      <c r="E5775">
        <f>IFERROR(__xludf.DUMMYFUNCTION("""COMPUTED_VALUE"""),7.8354017E7)</f>
        <v>78354017</v>
      </c>
    </row>
    <row r="5776">
      <c r="A5776" t="str">
        <f t="shared" si="1"/>
        <v>deu#1989</v>
      </c>
      <c r="B5776" t="str">
        <f>IFERROR(__xludf.DUMMYFUNCTION("""COMPUTED_VALUE"""),"deu")</f>
        <v>deu</v>
      </c>
      <c r="C5776" t="str">
        <f>IFERROR(__xludf.DUMMYFUNCTION("""COMPUTED_VALUE"""),"Germany")</f>
        <v>Germany</v>
      </c>
      <c r="D5776">
        <f>IFERROR(__xludf.DUMMYFUNCTION("""COMPUTED_VALUE"""),1989.0)</f>
        <v>1989</v>
      </c>
      <c r="E5776">
        <f>IFERROR(__xludf.DUMMYFUNCTION("""COMPUTED_VALUE"""),7.871561E7)</f>
        <v>78715610</v>
      </c>
    </row>
    <row r="5777">
      <c r="A5777" t="str">
        <f t="shared" si="1"/>
        <v>deu#1990</v>
      </c>
      <c r="B5777" t="str">
        <f>IFERROR(__xludf.DUMMYFUNCTION("""COMPUTED_VALUE"""),"deu")</f>
        <v>deu</v>
      </c>
      <c r="C5777" t="str">
        <f>IFERROR(__xludf.DUMMYFUNCTION("""COMPUTED_VALUE"""),"Germany")</f>
        <v>Germany</v>
      </c>
      <c r="D5777">
        <f>IFERROR(__xludf.DUMMYFUNCTION("""COMPUTED_VALUE"""),1990.0)</f>
        <v>1990</v>
      </c>
      <c r="E5777">
        <f>IFERROR(__xludf.DUMMYFUNCTION("""COMPUTED_VALUE"""),7.9118326E7)</f>
        <v>79118326</v>
      </c>
    </row>
    <row r="5778">
      <c r="A5778" t="str">
        <f t="shared" si="1"/>
        <v>deu#1991</v>
      </c>
      <c r="B5778" t="str">
        <f>IFERROR(__xludf.DUMMYFUNCTION("""COMPUTED_VALUE"""),"deu")</f>
        <v>deu</v>
      </c>
      <c r="C5778" t="str">
        <f>IFERROR(__xludf.DUMMYFUNCTION("""COMPUTED_VALUE"""),"Germany")</f>
        <v>Germany</v>
      </c>
      <c r="D5778">
        <f>IFERROR(__xludf.DUMMYFUNCTION("""COMPUTED_VALUE"""),1991.0)</f>
        <v>1991</v>
      </c>
      <c r="E5778">
        <f>IFERROR(__xludf.DUMMYFUNCTION("""COMPUTED_VALUE"""),7.9564454E7)</f>
        <v>79564454</v>
      </c>
    </row>
    <row r="5779">
      <c r="A5779" t="str">
        <f t="shared" si="1"/>
        <v>deu#1992</v>
      </c>
      <c r="B5779" t="str">
        <f>IFERROR(__xludf.DUMMYFUNCTION("""COMPUTED_VALUE"""),"deu")</f>
        <v>deu</v>
      </c>
      <c r="C5779" t="str">
        <f>IFERROR(__xludf.DUMMYFUNCTION("""COMPUTED_VALUE"""),"Germany")</f>
        <v>Germany</v>
      </c>
      <c r="D5779">
        <f>IFERROR(__xludf.DUMMYFUNCTION("""COMPUTED_VALUE"""),1992.0)</f>
        <v>1992</v>
      </c>
      <c r="E5779">
        <f>IFERROR(__xludf.DUMMYFUNCTION("""COMPUTED_VALUE"""),8.0046157E7)</f>
        <v>80046157</v>
      </c>
    </row>
    <row r="5780">
      <c r="A5780" t="str">
        <f t="shared" si="1"/>
        <v>deu#1993</v>
      </c>
      <c r="B5780" t="str">
        <f>IFERROR(__xludf.DUMMYFUNCTION("""COMPUTED_VALUE"""),"deu")</f>
        <v>deu</v>
      </c>
      <c r="C5780" t="str">
        <f>IFERROR(__xludf.DUMMYFUNCTION("""COMPUTED_VALUE"""),"Germany")</f>
        <v>Germany</v>
      </c>
      <c r="D5780">
        <f>IFERROR(__xludf.DUMMYFUNCTION("""COMPUTED_VALUE"""),1993.0)</f>
        <v>1993</v>
      </c>
      <c r="E5780">
        <f>IFERROR(__xludf.DUMMYFUNCTION("""COMPUTED_VALUE"""),8.0520088E7)</f>
        <v>80520088</v>
      </c>
    </row>
    <row r="5781">
      <c r="A5781" t="str">
        <f t="shared" si="1"/>
        <v>deu#1994</v>
      </c>
      <c r="B5781" t="str">
        <f>IFERROR(__xludf.DUMMYFUNCTION("""COMPUTED_VALUE"""),"deu")</f>
        <v>deu</v>
      </c>
      <c r="C5781" t="str">
        <f>IFERROR(__xludf.DUMMYFUNCTION("""COMPUTED_VALUE"""),"Germany")</f>
        <v>Germany</v>
      </c>
      <c r="D5781">
        <f>IFERROR(__xludf.DUMMYFUNCTION("""COMPUTED_VALUE"""),1994.0)</f>
        <v>1994</v>
      </c>
      <c r="E5781">
        <f>IFERROR(__xludf.DUMMYFUNCTION("""COMPUTED_VALUE"""),8.0931041E7)</f>
        <v>80931041</v>
      </c>
    </row>
    <row r="5782">
      <c r="A5782" t="str">
        <f t="shared" si="1"/>
        <v>deu#1995</v>
      </c>
      <c r="B5782" t="str">
        <f>IFERROR(__xludf.DUMMYFUNCTION("""COMPUTED_VALUE"""),"deu")</f>
        <v>deu</v>
      </c>
      <c r="C5782" t="str">
        <f>IFERROR(__xludf.DUMMYFUNCTION("""COMPUTED_VALUE"""),"Germany")</f>
        <v>Germany</v>
      </c>
      <c r="D5782">
        <f>IFERROR(__xludf.DUMMYFUNCTION("""COMPUTED_VALUE"""),1995.0)</f>
        <v>1995</v>
      </c>
      <c r="E5782">
        <f>IFERROR(__xludf.DUMMYFUNCTION("""COMPUTED_VALUE"""),8.1240604E7)</f>
        <v>81240604</v>
      </c>
    </row>
    <row r="5783">
      <c r="A5783" t="str">
        <f t="shared" si="1"/>
        <v>deu#1996</v>
      </c>
      <c r="B5783" t="str">
        <f>IFERROR(__xludf.DUMMYFUNCTION("""COMPUTED_VALUE"""),"deu")</f>
        <v>deu</v>
      </c>
      <c r="C5783" t="str">
        <f>IFERROR(__xludf.DUMMYFUNCTION("""COMPUTED_VALUE"""),"Germany")</f>
        <v>Germany</v>
      </c>
      <c r="D5783">
        <f>IFERROR(__xludf.DUMMYFUNCTION("""COMPUTED_VALUE"""),1996.0)</f>
        <v>1996</v>
      </c>
      <c r="E5783">
        <f>IFERROR(__xludf.DUMMYFUNCTION("""COMPUTED_VALUE"""),8.1426337E7)</f>
        <v>81426337</v>
      </c>
    </row>
    <row r="5784">
      <c r="A5784" t="str">
        <f t="shared" si="1"/>
        <v>deu#1997</v>
      </c>
      <c r="B5784" t="str">
        <f>IFERROR(__xludf.DUMMYFUNCTION("""COMPUTED_VALUE"""),"deu")</f>
        <v>deu</v>
      </c>
      <c r="C5784" t="str">
        <f>IFERROR(__xludf.DUMMYFUNCTION("""COMPUTED_VALUE"""),"Germany")</f>
        <v>Germany</v>
      </c>
      <c r="D5784">
        <f>IFERROR(__xludf.DUMMYFUNCTION("""COMPUTED_VALUE"""),1997.0)</f>
        <v>1997</v>
      </c>
      <c r="E5784">
        <f>IFERROR(__xludf.DUMMYFUNCTION("""COMPUTED_VALUE"""),8.1499866E7)</f>
        <v>81499866</v>
      </c>
    </row>
    <row r="5785">
      <c r="A5785" t="str">
        <f t="shared" si="1"/>
        <v>deu#1998</v>
      </c>
      <c r="B5785" t="str">
        <f>IFERROR(__xludf.DUMMYFUNCTION("""COMPUTED_VALUE"""),"deu")</f>
        <v>deu</v>
      </c>
      <c r="C5785" t="str">
        <f>IFERROR(__xludf.DUMMYFUNCTION("""COMPUTED_VALUE"""),"Germany")</f>
        <v>Germany</v>
      </c>
      <c r="D5785">
        <f>IFERROR(__xludf.DUMMYFUNCTION("""COMPUTED_VALUE"""),1998.0)</f>
        <v>1998</v>
      </c>
      <c r="E5785">
        <f>IFERROR(__xludf.DUMMYFUNCTION("""COMPUTED_VALUE"""),8.1499232E7)</f>
        <v>81499232</v>
      </c>
    </row>
    <row r="5786">
      <c r="A5786" t="str">
        <f t="shared" si="1"/>
        <v>deu#1999</v>
      </c>
      <c r="B5786" t="str">
        <f>IFERROR(__xludf.DUMMYFUNCTION("""COMPUTED_VALUE"""),"deu")</f>
        <v>deu</v>
      </c>
      <c r="C5786" t="str">
        <f>IFERROR(__xludf.DUMMYFUNCTION("""COMPUTED_VALUE"""),"Germany")</f>
        <v>Germany</v>
      </c>
      <c r="D5786">
        <f>IFERROR(__xludf.DUMMYFUNCTION("""COMPUTED_VALUE"""),1999.0)</f>
        <v>1999</v>
      </c>
      <c r="E5786">
        <f>IFERROR(__xludf.DUMMYFUNCTION("""COMPUTED_VALUE"""),8.1481612E7)</f>
        <v>81481612</v>
      </c>
    </row>
    <row r="5787">
      <c r="A5787" t="str">
        <f t="shared" si="1"/>
        <v>deu#2000</v>
      </c>
      <c r="B5787" t="str">
        <f>IFERROR(__xludf.DUMMYFUNCTION("""COMPUTED_VALUE"""),"deu")</f>
        <v>deu</v>
      </c>
      <c r="C5787" t="str">
        <f>IFERROR(__xludf.DUMMYFUNCTION("""COMPUTED_VALUE"""),"Germany")</f>
        <v>Germany</v>
      </c>
      <c r="D5787">
        <f>IFERROR(__xludf.DUMMYFUNCTION("""COMPUTED_VALUE"""),2000.0)</f>
        <v>2000</v>
      </c>
      <c r="E5787">
        <f>IFERROR(__xludf.DUMMYFUNCTION("""COMPUTED_VALUE"""),8.1487757E7)</f>
        <v>81487757</v>
      </c>
    </row>
    <row r="5788">
      <c r="A5788" t="str">
        <f t="shared" si="1"/>
        <v>deu#2001</v>
      </c>
      <c r="B5788" t="str">
        <f>IFERROR(__xludf.DUMMYFUNCTION("""COMPUTED_VALUE"""),"deu")</f>
        <v>deu</v>
      </c>
      <c r="C5788" t="str">
        <f>IFERROR(__xludf.DUMMYFUNCTION("""COMPUTED_VALUE"""),"Germany")</f>
        <v>Germany</v>
      </c>
      <c r="D5788">
        <f>IFERROR(__xludf.DUMMYFUNCTION("""COMPUTED_VALUE"""),2001.0)</f>
        <v>2001</v>
      </c>
      <c r="E5788">
        <f>IFERROR(__xludf.DUMMYFUNCTION("""COMPUTED_VALUE"""),8.1535848E7)</f>
        <v>81535848</v>
      </c>
    </row>
    <row r="5789">
      <c r="A5789" t="str">
        <f t="shared" si="1"/>
        <v>deu#2002</v>
      </c>
      <c r="B5789" t="str">
        <f>IFERROR(__xludf.DUMMYFUNCTION("""COMPUTED_VALUE"""),"deu")</f>
        <v>deu</v>
      </c>
      <c r="C5789" t="str">
        <f>IFERROR(__xludf.DUMMYFUNCTION("""COMPUTED_VALUE"""),"Germany")</f>
        <v>Germany</v>
      </c>
      <c r="D5789">
        <f>IFERROR(__xludf.DUMMYFUNCTION("""COMPUTED_VALUE"""),2002.0)</f>
        <v>2002</v>
      </c>
      <c r="E5789">
        <f>IFERROR(__xludf.DUMMYFUNCTION("""COMPUTED_VALUE"""),8.1611868E7)</f>
        <v>81611868</v>
      </c>
    </row>
    <row r="5790">
      <c r="A5790" t="str">
        <f t="shared" si="1"/>
        <v>deu#2003</v>
      </c>
      <c r="B5790" t="str">
        <f>IFERROR(__xludf.DUMMYFUNCTION("""COMPUTED_VALUE"""),"deu")</f>
        <v>deu</v>
      </c>
      <c r="C5790" t="str">
        <f>IFERROR(__xludf.DUMMYFUNCTION("""COMPUTED_VALUE"""),"Germany")</f>
        <v>Germany</v>
      </c>
      <c r="D5790">
        <f>IFERROR(__xludf.DUMMYFUNCTION("""COMPUTED_VALUE"""),2003.0)</f>
        <v>2003</v>
      </c>
      <c r="E5790">
        <f>IFERROR(__xludf.DUMMYFUNCTION("""COMPUTED_VALUE"""),8.1686495E7)</f>
        <v>81686495</v>
      </c>
    </row>
    <row r="5791">
      <c r="A5791" t="str">
        <f t="shared" si="1"/>
        <v>deu#2004</v>
      </c>
      <c r="B5791" t="str">
        <f>IFERROR(__xludf.DUMMYFUNCTION("""COMPUTED_VALUE"""),"deu")</f>
        <v>deu</v>
      </c>
      <c r="C5791" t="str">
        <f>IFERROR(__xludf.DUMMYFUNCTION("""COMPUTED_VALUE"""),"Germany")</f>
        <v>Germany</v>
      </c>
      <c r="D5791">
        <f>IFERROR(__xludf.DUMMYFUNCTION("""COMPUTED_VALUE"""),2004.0)</f>
        <v>2004</v>
      </c>
      <c r="E5791">
        <f>IFERROR(__xludf.DUMMYFUNCTION("""COMPUTED_VALUE"""),8.1715659E7)</f>
        <v>81715659</v>
      </c>
    </row>
    <row r="5792">
      <c r="A5792" t="str">
        <f t="shared" si="1"/>
        <v>deu#2005</v>
      </c>
      <c r="B5792" t="str">
        <f>IFERROR(__xludf.DUMMYFUNCTION("""COMPUTED_VALUE"""),"deu")</f>
        <v>deu</v>
      </c>
      <c r="C5792" t="str">
        <f>IFERROR(__xludf.DUMMYFUNCTION("""COMPUTED_VALUE"""),"Germany")</f>
        <v>Germany</v>
      </c>
      <c r="D5792">
        <f>IFERROR(__xludf.DUMMYFUNCTION("""COMPUTED_VALUE"""),2005.0)</f>
        <v>2005</v>
      </c>
      <c r="E5792">
        <f>IFERROR(__xludf.DUMMYFUNCTION("""COMPUTED_VALUE"""),8.1671234E7)</f>
        <v>81671234</v>
      </c>
    </row>
    <row r="5793">
      <c r="A5793" t="str">
        <f t="shared" si="1"/>
        <v>deu#2006</v>
      </c>
      <c r="B5793" t="str">
        <f>IFERROR(__xludf.DUMMYFUNCTION("""COMPUTED_VALUE"""),"deu")</f>
        <v>deu</v>
      </c>
      <c r="C5793" t="str">
        <f>IFERROR(__xludf.DUMMYFUNCTION("""COMPUTED_VALUE"""),"Germany")</f>
        <v>Germany</v>
      </c>
      <c r="D5793">
        <f>IFERROR(__xludf.DUMMYFUNCTION("""COMPUTED_VALUE"""),2006.0)</f>
        <v>2006</v>
      </c>
      <c r="E5793">
        <f>IFERROR(__xludf.DUMMYFUNCTION("""COMPUTED_VALUE"""),8.1540353E7)</f>
        <v>81540353</v>
      </c>
    </row>
    <row r="5794">
      <c r="A5794" t="str">
        <f t="shared" si="1"/>
        <v>deu#2007</v>
      </c>
      <c r="B5794" t="str">
        <f>IFERROR(__xludf.DUMMYFUNCTION("""COMPUTED_VALUE"""),"deu")</f>
        <v>deu</v>
      </c>
      <c r="C5794" t="str">
        <f>IFERROR(__xludf.DUMMYFUNCTION("""COMPUTED_VALUE"""),"Germany")</f>
        <v>Germany</v>
      </c>
      <c r="D5794">
        <f>IFERROR(__xludf.DUMMYFUNCTION("""COMPUTED_VALUE"""),2007.0)</f>
        <v>2007</v>
      </c>
      <c r="E5794">
        <f>IFERROR(__xludf.DUMMYFUNCTION("""COMPUTED_VALUE"""),8.1344457E7)</f>
        <v>81344457</v>
      </c>
    </row>
    <row r="5795">
      <c r="A5795" t="str">
        <f t="shared" si="1"/>
        <v>deu#2008</v>
      </c>
      <c r="B5795" t="str">
        <f>IFERROR(__xludf.DUMMYFUNCTION("""COMPUTED_VALUE"""),"deu")</f>
        <v>deu</v>
      </c>
      <c r="C5795" t="str">
        <f>IFERROR(__xludf.DUMMYFUNCTION("""COMPUTED_VALUE"""),"Germany")</f>
        <v>Germany</v>
      </c>
      <c r="D5795">
        <f>IFERROR(__xludf.DUMMYFUNCTION("""COMPUTED_VALUE"""),2008.0)</f>
        <v>2008</v>
      </c>
      <c r="E5795">
        <f>IFERROR(__xludf.DUMMYFUNCTION("""COMPUTED_VALUE"""),8.1130944E7)</f>
        <v>81130944</v>
      </c>
    </row>
    <row r="5796">
      <c r="A5796" t="str">
        <f t="shared" si="1"/>
        <v>deu#2009</v>
      </c>
      <c r="B5796" t="str">
        <f>IFERROR(__xludf.DUMMYFUNCTION("""COMPUTED_VALUE"""),"deu")</f>
        <v>deu</v>
      </c>
      <c r="C5796" t="str">
        <f>IFERROR(__xludf.DUMMYFUNCTION("""COMPUTED_VALUE"""),"Germany")</f>
        <v>Germany</v>
      </c>
      <c r="D5796">
        <f>IFERROR(__xludf.DUMMYFUNCTION("""COMPUTED_VALUE"""),2009.0)</f>
        <v>2009</v>
      </c>
      <c r="E5796">
        <f>IFERROR(__xludf.DUMMYFUNCTION("""COMPUTED_VALUE"""),8.0965612E7)</f>
        <v>80965612</v>
      </c>
    </row>
    <row r="5797">
      <c r="A5797" t="str">
        <f t="shared" si="1"/>
        <v>deu#2010</v>
      </c>
      <c r="B5797" t="str">
        <f>IFERROR(__xludf.DUMMYFUNCTION("""COMPUTED_VALUE"""),"deu")</f>
        <v>deu</v>
      </c>
      <c r="C5797" t="str">
        <f>IFERROR(__xludf.DUMMYFUNCTION("""COMPUTED_VALUE"""),"Germany")</f>
        <v>Germany</v>
      </c>
      <c r="D5797">
        <f>IFERROR(__xludf.DUMMYFUNCTION("""COMPUTED_VALUE"""),2010.0)</f>
        <v>2010</v>
      </c>
      <c r="E5797">
        <f>IFERROR(__xludf.DUMMYFUNCTION("""COMPUTED_VALUE"""),8.0894785E7)</f>
        <v>80894785</v>
      </c>
    </row>
    <row r="5798">
      <c r="A5798" t="str">
        <f t="shared" si="1"/>
        <v>deu#2011</v>
      </c>
      <c r="B5798" t="str">
        <f>IFERROR(__xludf.DUMMYFUNCTION("""COMPUTED_VALUE"""),"deu")</f>
        <v>deu</v>
      </c>
      <c r="C5798" t="str">
        <f>IFERROR(__xludf.DUMMYFUNCTION("""COMPUTED_VALUE"""),"Germany")</f>
        <v>Germany</v>
      </c>
      <c r="D5798">
        <f>IFERROR(__xludf.DUMMYFUNCTION("""COMPUTED_VALUE"""),2011.0)</f>
        <v>2011</v>
      </c>
      <c r="E5798">
        <f>IFERROR(__xludf.DUMMYFUNCTION("""COMPUTED_VALUE"""),8.093398E7)</f>
        <v>80933980</v>
      </c>
    </row>
    <row r="5799">
      <c r="A5799" t="str">
        <f t="shared" si="1"/>
        <v>deu#2012</v>
      </c>
      <c r="B5799" t="str">
        <f>IFERROR(__xludf.DUMMYFUNCTION("""COMPUTED_VALUE"""),"deu")</f>
        <v>deu</v>
      </c>
      <c r="C5799" t="str">
        <f>IFERROR(__xludf.DUMMYFUNCTION("""COMPUTED_VALUE"""),"Germany")</f>
        <v>Germany</v>
      </c>
      <c r="D5799">
        <f>IFERROR(__xludf.DUMMYFUNCTION("""COMPUTED_VALUE"""),2012.0)</f>
        <v>2012</v>
      </c>
      <c r="E5799">
        <f>IFERROR(__xludf.DUMMYFUNCTION("""COMPUTED_VALUE"""),8.1066228E7)</f>
        <v>81066228</v>
      </c>
    </row>
    <row r="5800">
      <c r="A5800" t="str">
        <f t="shared" si="1"/>
        <v>deu#2013</v>
      </c>
      <c r="B5800" t="str">
        <f>IFERROR(__xludf.DUMMYFUNCTION("""COMPUTED_VALUE"""),"deu")</f>
        <v>deu</v>
      </c>
      <c r="C5800" t="str">
        <f>IFERROR(__xludf.DUMMYFUNCTION("""COMPUTED_VALUE"""),"Germany")</f>
        <v>Germany</v>
      </c>
      <c r="D5800">
        <f>IFERROR(__xludf.DUMMYFUNCTION("""COMPUTED_VALUE"""),2013.0)</f>
        <v>2013</v>
      </c>
      <c r="E5800">
        <f>IFERROR(__xludf.DUMMYFUNCTION("""COMPUTED_VALUE"""),8.1265139E7)</f>
        <v>81265139</v>
      </c>
    </row>
    <row r="5801">
      <c r="A5801" t="str">
        <f t="shared" si="1"/>
        <v>deu#2014</v>
      </c>
      <c r="B5801" t="str">
        <f>IFERROR(__xludf.DUMMYFUNCTION("""COMPUTED_VALUE"""),"deu")</f>
        <v>deu</v>
      </c>
      <c r="C5801" t="str">
        <f>IFERROR(__xludf.DUMMYFUNCTION("""COMPUTED_VALUE"""),"Germany")</f>
        <v>Germany</v>
      </c>
      <c r="D5801">
        <f>IFERROR(__xludf.DUMMYFUNCTION("""COMPUTED_VALUE"""),2014.0)</f>
        <v>2014</v>
      </c>
      <c r="E5801">
        <f>IFERROR(__xludf.DUMMYFUNCTION("""COMPUTED_VALUE"""),8.148966E7)</f>
        <v>81489660</v>
      </c>
    </row>
    <row r="5802">
      <c r="A5802" t="str">
        <f t="shared" si="1"/>
        <v>deu#2015</v>
      </c>
      <c r="B5802" t="str">
        <f>IFERROR(__xludf.DUMMYFUNCTION("""COMPUTED_VALUE"""),"deu")</f>
        <v>deu</v>
      </c>
      <c r="C5802" t="str">
        <f>IFERROR(__xludf.DUMMYFUNCTION("""COMPUTED_VALUE"""),"Germany")</f>
        <v>Germany</v>
      </c>
      <c r="D5802">
        <f>IFERROR(__xludf.DUMMYFUNCTION("""COMPUTED_VALUE"""),2015.0)</f>
        <v>2015</v>
      </c>
      <c r="E5802">
        <f>IFERROR(__xludf.DUMMYFUNCTION("""COMPUTED_VALUE"""),8.1707789E7)</f>
        <v>81707789</v>
      </c>
    </row>
    <row r="5803">
      <c r="A5803" t="str">
        <f t="shared" si="1"/>
        <v>deu#2016</v>
      </c>
      <c r="B5803" t="str">
        <f>IFERROR(__xludf.DUMMYFUNCTION("""COMPUTED_VALUE"""),"deu")</f>
        <v>deu</v>
      </c>
      <c r="C5803" t="str">
        <f>IFERROR(__xludf.DUMMYFUNCTION("""COMPUTED_VALUE"""),"Germany")</f>
        <v>Germany</v>
      </c>
      <c r="D5803">
        <f>IFERROR(__xludf.DUMMYFUNCTION("""COMPUTED_VALUE"""),2016.0)</f>
        <v>2016</v>
      </c>
      <c r="E5803">
        <f>IFERROR(__xludf.DUMMYFUNCTION("""COMPUTED_VALUE"""),8.1914672E7)</f>
        <v>81914672</v>
      </c>
    </row>
    <row r="5804">
      <c r="A5804" t="str">
        <f t="shared" si="1"/>
        <v>deu#2017</v>
      </c>
      <c r="B5804" t="str">
        <f>IFERROR(__xludf.DUMMYFUNCTION("""COMPUTED_VALUE"""),"deu")</f>
        <v>deu</v>
      </c>
      <c r="C5804" t="str">
        <f>IFERROR(__xludf.DUMMYFUNCTION("""COMPUTED_VALUE"""),"Germany")</f>
        <v>Germany</v>
      </c>
      <c r="D5804">
        <f>IFERROR(__xludf.DUMMYFUNCTION("""COMPUTED_VALUE"""),2017.0)</f>
        <v>2017</v>
      </c>
      <c r="E5804">
        <f>IFERROR(__xludf.DUMMYFUNCTION("""COMPUTED_VALUE"""),8.2114224E7)</f>
        <v>82114224</v>
      </c>
    </row>
    <row r="5805">
      <c r="A5805" t="str">
        <f t="shared" si="1"/>
        <v>deu#2018</v>
      </c>
      <c r="B5805" t="str">
        <f>IFERROR(__xludf.DUMMYFUNCTION("""COMPUTED_VALUE"""),"deu")</f>
        <v>deu</v>
      </c>
      <c r="C5805" t="str">
        <f>IFERROR(__xludf.DUMMYFUNCTION("""COMPUTED_VALUE"""),"Germany")</f>
        <v>Germany</v>
      </c>
      <c r="D5805">
        <f>IFERROR(__xludf.DUMMYFUNCTION("""COMPUTED_VALUE"""),2018.0)</f>
        <v>2018</v>
      </c>
      <c r="E5805">
        <f>IFERROR(__xludf.DUMMYFUNCTION("""COMPUTED_VALUE"""),8.2293457E7)</f>
        <v>82293457</v>
      </c>
    </row>
    <row r="5806">
      <c r="A5806" t="str">
        <f t="shared" si="1"/>
        <v>deu#2019</v>
      </c>
      <c r="B5806" t="str">
        <f>IFERROR(__xludf.DUMMYFUNCTION("""COMPUTED_VALUE"""),"deu")</f>
        <v>deu</v>
      </c>
      <c r="C5806" t="str">
        <f>IFERROR(__xludf.DUMMYFUNCTION("""COMPUTED_VALUE"""),"Germany")</f>
        <v>Germany</v>
      </c>
      <c r="D5806">
        <f>IFERROR(__xludf.DUMMYFUNCTION("""COMPUTED_VALUE"""),2019.0)</f>
        <v>2019</v>
      </c>
      <c r="E5806">
        <f>IFERROR(__xludf.DUMMYFUNCTION("""COMPUTED_VALUE"""),8.2438639E7)</f>
        <v>82438639</v>
      </c>
    </row>
    <row r="5807">
      <c r="A5807" t="str">
        <f t="shared" si="1"/>
        <v>deu#2020</v>
      </c>
      <c r="B5807" t="str">
        <f>IFERROR(__xludf.DUMMYFUNCTION("""COMPUTED_VALUE"""),"deu")</f>
        <v>deu</v>
      </c>
      <c r="C5807" t="str">
        <f>IFERROR(__xludf.DUMMYFUNCTION("""COMPUTED_VALUE"""),"Germany")</f>
        <v>Germany</v>
      </c>
      <c r="D5807">
        <f>IFERROR(__xludf.DUMMYFUNCTION("""COMPUTED_VALUE"""),2020.0)</f>
        <v>2020</v>
      </c>
      <c r="E5807">
        <f>IFERROR(__xludf.DUMMYFUNCTION("""COMPUTED_VALUE"""),8.254045E7)</f>
        <v>82540450</v>
      </c>
    </row>
    <row r="5808">
      <c r="A5808" t="str">
        <f t="shared" si="1"/>
        <v>deu#2021</v>
      </c>
      <c r="B5808" t="str">
        <f>IFERROR(__xludf.DUMMYFUNCTION("""COMPUTED_VALUE"""),"deu")</f>
        <v>deu</v>
      </c>
      <c r="C5808" t="str">
        <f>IFERROR(__xludf.DUMMYFUNCTION("""COMPUTED_VALUE"""),"Germany")</f>
        <v>Germany</v>
      </c>
      <c r="D5808">
        <f>IFERROR(__xludf.DUMMYFUNCTION("""COMPUTED_VALUE"""),2021.0)</f>
        <v>2021</v>
      </c>
      <c r="E5808">
        <f>IFERROR(__xludf.DUMMYFUNCTION("""COMPUTED_VALUE"""),8.2590869E7)</f>
        <v>82590869</v>
      </c>
    </row>
    <row r="5809">
      <c r="A5809" t="str">
        <f t="shared" si="1"/>
        <v>deu#2022</v>
      </c>
      <c r="B5809" t="str">
        <f>IFERROR(__xludf.DUMMYFUNCTION("""COMPUTED_VALUE"""),"deu")</f>
        <v>deu</v>
      </c>
      <c r="C5809" t="str">
        <f>IFERROR(__xludf.DUMMYFUNCTION("""COMPUTED_VALUE"""),"Germany")</f>
        <v>Germany</v>
      </c>
      <c r="D5809">
        <f>IFERROR(__xludf.DUMMYFUNCTION("""COMPUTED_VALUE"""),2022.0)</f>
        <v>2022</v>
      </c>
      <c r="E5809">
        <f>IFERROR(__xludf.DUMMYFUNCTION("""COMPUTED_VALUE"""),8.2591766E7)</f>
        <v>82591766</v>
      </c>
    </row>
    <row r="5810">
      <c r="A5810" t="str">
        <f t="shared" si="1"/>
        <v>deu#2023</v>
      </c>
      <c r="B5810" t="str">
        <f>IFERROR(__xludf.DUMMYFUNCTION("""COMPUTED_VALUE"""),"deu")</f>
        <v>deu</v>
      </c>
      <c r="C5810" t="str">
        <f>IFERROR(__xludf.DUMMYFUNCTION("""COMPUTED_VALUE"""),"Germany")</f>
        <v>Germany</v>
      </c>
      <c r="D5810">
        <f>IFERROR(__xludf.DUMMYFUNCTION("""COMPUTED_VALUE"""),2023.0)</f>
        <v>2023</v>
      </c>
      <c r="E5810">
        <f>IFERROR(__xludf.DUMMYFUNCTION("""COMPUTED_VALUE"""),8.2556732E7)</f>
        <v>82556732</v>
      </c>
    </row>
    <row r="5811">
      <c r="A5811" t="str">
        <f t="shared" si="1"/>
        <v>deu#2024</v>
      </c>
      <c r="B5811" t="str">
        <f>IFERROR(__xludf.DUMMYFUNCTION("""COMPUTED_VALUE"""),"deu")</f>
        <v>deu</v>
      </c>
      <c r="C5811" t="str">
        <f>IFERROR(__xludf.DUMMYFUNCTION("""COMPUTED_VALUE"""),"Germany")</f>
        <v>Germany</v>
      </c>
      <c r="D5811">
        <f>IFERROR(__xludf.DUMMYFUNCTION("""COMPUTED_VALUE"""),2024.0)</f>
        <v>2024</v>
      </c>
      <c r="E5811">
        <f>IFERROR(__xludf.DUMMYFUNCTION("""COMPUTED_VALUE"""),8.2506139E7)</f>
        <v>82506139</v>
      </c>
    </row>
    <row r="5812">
      <c r="A5812" t="str">
        <f t="shared" si="1"/>
        <v>deu#2025</v>
      </c>
      <c r="B5812" t="str">
        <f>IFERROR(__xludf.DUMMYFUNCTION("""COMPUTED_VALUE"""),"deu")</f>
        <v>deu</v>
      </c>
      <c r="C5812" t="str">
        <f>IFERROR(__xludf.DUMMYFUNCTION("""COMPUTED_VALUE"""),"Germany")</f>
        <v>Germany</v>
      </c>
      <c r="D5812">
        <f>IFERROR(__xludf.DUMMYFUNCTION("""COMPUTED_VALUE"""),2025.0)</f>
        <v>2025</v>
      </c>
      <c r="E5812">
        <f>IFERROR(__xludf.DUMMYFUNCTION("""COMPUTED_VALUE"""),8.2455044E7)</f>
        <v>82455044</v>
      </c>
    </row>
    <row r="5813">
      <c r="A5813" t="str">
        <f t="shared" si="1"/>
        <v>deu#2026</v>
      </c>
      <c r="B5813" t="str">
        <f>IFERROR(__xludf.DUMMYFUNCTION("""COMPUTED_VALUE"""),"deu")</f>
        <v>deu</v>
      </c>
      <c r="C5813" t="str">
        <f>IFERROR(__xludf.DUMMYFUNCTION("""COMPUTED_VALUE"""),"Germany")</f>
        <v>Germany</v>
      </c>
      <c r="D5813">
        <f>IFERROR(__xludf.DUMMYFUNCTION("""COMPUTED_VALUE"""),2026.0)</f>
        <v>2026</v>
      </c>
      <c r="E5813">
        <f>IFERROR(__xludf.DUMMYFUNCTION("""COMPUTED_VALUE"""),8.2407574E7)</f>
        <v>82407574</v>
      </c>
    </row>
    <row r="5814">
      <c r="A5814" t="str">
        <f t="shared" si="1"/>
        <v>deu#2027</v>
      </c>
      <c r="B5814" t="str">
        <f>IFERROR(__xludf.DUMMYFUNCTION("""COMPUTED_VALUE"""),"deu")</f>
        <v>deu</v>
      </c>
      <c r="C5814" t="str">
        <f>IFERROR(__xludf.DUMMYFUNCTION("""COMPUTED_VALUE"""),"Germany")</f>
        <v>Germany</v>
      </c>
      <c r="D5814">
        <f>IFERROR(__xludf.DUMMYFUNCTION("""COMPUTED_VALUE"""),2027.0)</f>
        <v>2027</v>
      </c>
      <c r="E5814">
        <f>IFERROR(__xludf.DUMMYFUNCTION("""COMPUTED_VALUE"""),8.2359998E7)</f>
        <v>82359998</v>
      </c>
    </row>
    <row r="5815">
      <c r="A5815" t="str">
        <f t="shared" si="1"/>
        <v>deu#2028</v>
      </c>
      <c r="B5815" t="str">
        <f>IFERROR(__xludf.DUMMYFUNCTION("""COMPUTED_VALUE"""),"deu")</f>
        <v>deu</v>
      </c>
      <c r="C5815" t="str">
        <f>IFERROR(__xludf.DUMMYFUNCTION("""COMPUTED_VALUE"""),"Germany")</f>
        <v>Germany</v>
      </c>
      <c r="D5815">
        <f>IFERROR(__xludf.DUMMYFUNCTION("""COMPUTED_VALUE"""),2028.0)</f>
        <v>2028</v>
      </c>
      <c r="E5815">
        <f>IFERROR(__xludf.DUMMYFUNCTION("""COMPUTED_VALUE"""),8.2310176E7)</f>
        <v>82310176</v>
      </c>
    </row>
    <row r="5816">
      <c r="A5816" t="str">
        <f t="shared" si="1"/>
        <v>deu#2029</v>
      </c>
      <c r="B5816" t="str">
        <f>IFERROR(__xludf.DUMMYFUNCTION("""COMPUTED_VALUE"""),"deu")</f>
        <v>deu</v>
      </c>
      <c r="C5816" t="str">
        <f>IFERROR(__xludf.DUMMYFUNCTION("""COMPUTED_VALUE"""),"Germany")</f>
        <v>Germany</v>
      </c>
      <c r="D5816">
        <f>IFERROR(__xludf.DUMMYFUNCTION("""COMPUTED_VALUE"""),2029.0)</f>
        <v>2029</v>
      </c>
      <c r="E5816">
        <f>IFERROR(__xludf.DUMMYFUNCTION("""COMPUTED_VALUE"""),8.2253517E7)</f>
        <v>82253517</v>
      </c>
    </row>
    <row r="5817">
      <c r="A5817" t="str">
        <f t="shared" si="1"/>
        <v>deu#2030</v>
      </c>
      <c r="B5817" t="str">
        <f>IFERROR(__xludf.DUMMYFUNCTION("""COMPUTED_VALUE"""),"deu")</f>
        <v>deu</v>
      </c>
      <c r="C5817" t="str">
        <f>IFERROR(__xludf.DUMMYFUNCTION("""COMPUTED_VALUE"""),"Germany")</f>
        <v>Germany</v>
      </c>
      <c r="D5817">
        <f>IFERROR(__xludf.DUMMYFUNCTION("""COMPUTED_VALUE"""),2030.0)</f>
        <v>2030</v>
      </c>
      <c r="E5817">
        <f>IFERROR(__xludf.DUMMYFUNCTION("""COMPUTED_VALUE"""),8.2186736E7)</f>
        <v>82186736</v>
      </c>
    </row>
    <row r="5818">
      <c r="A5818" t="str">
        <f t="shared" si="1"/>
        <v>deu#2031</v>
      </c>
      <c r="B5818" t="str">
        <f>IFERROR(__xludf.DUMMYFUNCTION("""COMPUTED_VALUE"""),"deu")</f>
        <v>deu</v>
      </c>
      <c r="C5818" t="str">
        <f>IFERROR(__xludf.DUMMYFUNCTION("""COMPUTED_VALUE"""),"Germany")</f>
        <v>Germany</v>
      </c>
      <c r="D5818">
        <f>IFERROR(__xludf.DUMMYFUNCTION("""COMPUTED_VALUE"""),2031.0)</f>
        <v>2031</v>
      </c>
      <c r="E5818">
        <f>IFERROR(__xludf.DUMMYFUNCTION("""COMPUTED_VALUE"""),8.2110139E7)</f>
        <v>82110139</v>
      </c>
    </row>
    <row r="5819">
      <c r="A5819" t="str">
        <f t="shared" si="1"/>
        <v>deu#2032</v>
      </c>
      <c r="B5819" t="str">
        <f>IFERROR(__xludf.DUMMYFUNCTION("""COMPUTED_VALUE"""),"deu")</f>
        <v>deu</v>
      </c>
      <c r="C5819" t="str">
        <f>IFERROR(__xludf.DUMMYFUNCTION("""COMPUTED_VALUE"""),"Germany")</f>
        <v>Germany</v>
      </c>
      <c r="D5819">
        <f>IFERROR(__xludf.DUMMYFUNCTION("""COMPUTED_VALUE"""),2032.0)</f>
        <v>2032</v>
      </c>
      <c r="E5819">
        <f>IFERROR(__xludf.DUMMYFUNCTION("""COMPUTED_VALUE"""),8.2025793E7)</f>
        <v>82025793</v>
      </c>
    </row>
    <row r="5820">
      <c r="A5820" t="str">
        <f t="shared" si="1"/>
        <v>deu#2033</v>
      </c>
      <c r="B5820" t="str">
        <f>IFERROR(__xludf.DUMMYFUNCTION("""COMPUTED_VALUE"""),"deu")</f>
        <v>deu</v>
      </c>
      <c r="C5820" t="str">
        <f>IFERROR(__xludf.DUMMYFUNCTION("""COMPUTED_VALUE"""),"Germany")</f>
        <v>Germany</v>
      </c>
      <c r="D5820">
        <f>IFERROR(__xludf.DUMMYFUNCTION("""COMPUTED_VALUE"""),2033.0)</f>
        <v>2033</v>
      </c>
      <c r="E5820">
        <f>IFERROR(__xludf.DUMMYFUNCTION("""COMPUTED_VALUE"""),8.1934057E7)</f>
        <v>81934057</v>
      </c>
    </row>
    <row r="5821">
      <c r="A5821" t="str">
        <f t="shared" si="1"/>
        <v>deu#2034</v>
      </c>
      <c r="B5821" t="str">
        <f>IFERROR(__xludf.DUMMYFUNCTION("""COMPUTED_VALUE"""),"deu")</f>
        <v>deu</v>
      </c>
      <c r="C5821" t="str">
        <f>IFERROR(__xludf.DUMMYFUNCTION("""COMPUTED_VALUE"""),"Germany")</f>
        <v>Germany</v>
      </c>
      <c r="D5821">
        <f>IFERROR(__xludf.DUMMYFUNCTION("""COMPUTED_VALUE"""),2034.0)</f>
        <v>2034</v>
      </c>
      <c r="E5821">
        <f>IFERROR(__xludf.DUMMYFUNCTION("""COMPUTED_VALUE"""),8.1835396E7)</f>
        <v>81835396</v>
      </c>
    </row>
    <row r="5822">
      <c r="A5822" t="str">
        <f t="shared" si="1"/>
        <v>deu#2035</v>
      </c>
      <c r="B5822" t="str">
        <f>IFERROR(__xludf.DUMMYFUNCTION("""COMPUTED_VALUE"""),"deu")</f>
        <v>deu</v>
      </c>
      <c r="C5822" t="str">
        <f>IFERROR(__xludf.DUMMYFUNCTION("""COMPUTED_VALUE"""),"Germany")</f>
        <v>Germany</v>
      </c>
      <c r="D5822">
        <f>IFERROR(__xludf.DUMMYFUNCTION("""COMPUTED_VALUE"""),2035.0)</f>
        <v>2035</v>
      </c>
      <c r="E5822">
        <f>IFERROR(__xludf.DUMMYFUNCTION("""COMPUTED_VALUE"""),8.1730117E7)</f>
        <v>81730117</v>
      </c>
    </row>
    <row r="5823">
      <c r="A5823" t="str">
        <f t="shared" si="1"/>
        <v>deu#2036</v>
      </c>
      <c r="B5823" t="str">
        <f>IFERROR(__xludf.DUMMYFUNCTION("""COMPUTED_VALUE"""),"deu")</f>
        <v>deu</v>
      </c>
      <c r="C5823" t="str">
        <f>IFERROR(__xludf.DUMMYFUNCTION("""COMPUTED_VALUE"""),"Germany")</f>
        <v>Germany</v>
      </c>
      <c r="D5823">
        <f>IFERROR(__xludf.DUMMYFUNCTION("""COMPUTED_VALUE"""),2036.0)</f>
        <v>2036</v>
      </c>
      <c r="E5823">
        <f>IFERROR(__xludf.DUMMYFUNCTION("""COMPUTED_VALUE"""),8.1618342E7)</f>
        <v>81618342</v>
      </c>
    </row>
    <row r="5824">
      <c r="A5824" t="str">
        <f t="shared" si="1"/>
        <v>deu#2037</v>
      </c>
      <c r="B5824" t="str">
        <f>IFERROR(__xludf.DUMMYFUNCTION("""COMPUTED_VALUE"""),"deu")</f>
        <v>deu</v>
      </c>
      <c r="C5824" t="str">
        <f>IFERROR(__xludf.DUMMYFUNCTION("""COMPUTED_VALUE"""),"Germany")</f>
        <v>Germany</v>
      </c>
      <c r="D5824">
        <f>IFERROR(__xludf.DUMMYFUNCTION("""COMPUTED_VALUE"""),2037.0)</f>
        <v>2037</v>
      </c>
      <c r="E5824">
        <f>IFERROR(__xludf.DUMMYFUNCTION("""COMPUTED_VALUE"""),8.1499881E7)</f>
        <v>81499881</v>
      </c>
    </row>
    <row r="5825">
      <c r="A5825" t="str">
        <f t="shared" si="1"/>
        <v>deu#2038</v>
      </c>
      <c r="B5825" t="str">
        <f>IFERROR(__xludf.DUMMYFUNCTION("""COMPUTED_VALUE"""),"deu")</f>
        <v>deu</v>
      </c>
      <c r="C5825" t="str">
        <f>IFERROR(__xludf.DUMMYFUNCTION("""COMPUTED_VALUE"""),"Germany")</f>
        <v>Germany</v>
      </c>
      <c r="D5825">
        <f>IFERROR(__xludf.DUMMYFUNCTION("""COMPUTED_VALUE"""),2038.0)</f>
        <v>2038</v>
      </c>
      <c r="E5825">
        <f>IFERROR(__xludf.DUMMYFUNCTION("""COMPUTED_VALUE"""),8.137431E7)</f>
        <v>81374310</v>
      </c>
    </row>
    <row r="5826">
      <c r="A5826" t="str">
        <f t="shared" si="1"/>
        <v>deu#2039</v>
      </c>
      <c r="B5826" t="str">
        <f>IFERROR(__xludf.DUMMYFUNCTION("""COMPUTED_VALUE"""),"deu")</f>
        <v>deu</v>
      </c>
      <c r="C5826" t="str">
        <f>IFERROR(__xludf.DUMMYFUNCTION("""COMPUTED_VALUE"""),"Germany")</f>
        <v>Germany</v>
      </c>
      <c r="D5826">
        <f>IFERROR(__xludf.DUMMYFUNCTION("""COMPUTED_VALUE"""),2039.0)</f>
        <v>2039</v>
      </c>
      <c r="E5826">
        <f>IFERROR(__xludf.DUMMYFUNCTION("""COMPUTED_VALUE"""),8.1241016E7)</f>
        <v>81241016</v>
      </c>
    </row>
    <row r="5827">
      <c r="A5827" t="str">
        <f t="shared" si="1"/>
        <v>deu#2040</v>
      </c>
      <c r="B5827" t="str">
        <f>IFERROR(__xludf.DUMMYFUNCTION("""COMPUTED_VALUE"""),"deu")</f>
        <v>deu</v>
      </c>
      <c r="C5827" t="str">
        <f>IFERROR(__xludf.DUMMYFUNCTION("""COMPUTED_VALUE"""),"Germany")</f>
        <v>Germany</v>
      </c>
      <c r="D5827">
        <f>IFERROR(__xludf.DUMMYFUNCTION("""COMPUTED_VALUE"""),2040.0)</f>
        <v>2040</v>
      </c>
      <c r="E5827">
        <f>IFERROR(__xludf.DUMMYFUNCTION("""COMPUTED_VALUE"""),8.1099557E7)</f>
        <v>81099557</v>
      </c>
    </row>
    <row r="5828">
      <c r="A5828" t="str">
        <f t="shared" si="1"/>
        <v>gha#1950</v>
      </c>
      <c r="B5828" t="str">
        <f>IFERROR(__xludf.DUMMYFUNCTION("""COMPUTED_VALUE"""),"gha")</f>
        <v>gha</v>
      </c>
      <c r="C5828" t="str">
        <f>IFERROR(__xludf.DUMMYFUNCTION("""COMPUTED_VALUE"""),"Ghana")</f>
        <v>Ghana</v>
      </c>
      <c r="D5828">
        <f>IFERROR(__xludf.DUMMYFUNCTION("""COMPUTED_VALUE"""),1950.0)</f>
        <v>1950</v>
      </c>
      <c r="E5828">
        <f>IFERROR(__xludf.DUMMYFUNCTION("""COMPUTED_VALUE"""),4980875.0)</f>
        <v>4980875</v>
      </c>
    </row>
    <row r="5829">
      <c r="A5829" t="str">
        <f t="shared" si="1"/>
        <v>gha#1951</v>
      </c>
      <c r="B5829" t="str">
        <f>IFERROR(__xludf.DUMMYFUNCTION("""COMPUTED_VALUE"""),"gha")</f>
        <v>gha</v>
      </c>
      <c r="C5829" t="str">
        <f>IFERROR(__xludf.DUMMYFUNCTION("""COMPUTED_VALUE"""),"Ghana")</f>
        <v>Ghana</v>
      </c>
      <c r="D5829">
        <f>IFERROR(__xludf.DUMMYFUNCTION("""COMPUTED_VALUE"""),1951.0)</f>
        <v>1951</v>
      </c>
      <c r="E5829">
        <f>IFERROR(__xludf.DUMMYFUNCTION("""COMPUTED_VALUE"""),5068436.0)</f>
        <v>5068436</v>
      </c>
    </row>
    <row r="5830">
      <c r="A5830" t="str">
        <f t="shared" si="1"/>
        <v>gha#1952</v>
      </c>
      <c r="B5830" t="str">
        <f>IFERROR(__xludf.DUMMYFUNCTION("""COMPUTED_VALUE"""),"gha")</f>
        <v>gha</v>
      </c>
      <c r="C5830" t="str">
        <f>IFERROR(__xludf.DUMMYFUNCTION("""COMPUTED_VALUE"""),"Ghana")</f>
        <v>Ghana</v>
      </c>
      <c r="D5830">
        <f>IFERROR(__xludf.DUMMYFUNCTION("""COMPUTED_VALUE"""),1952.0)</f>
        <v>1952</v>
      </c>
      <c r="E5830">
        <f>IFERROR(__xludf.DUMMYFUNCTION("""COMPUTED_VALUE"""),5191219.0)</f>
        <v>5191219</v>
      </c>
    </row>
    <row r="5831">
      <c r="A5831" t="str">
        <f t="shared" si="1"/>
        <v>gha#1953</v>
      </c>
      <c r="B5831" t="str">
        <f>IFERROR(__xludf.DUMMYFUNCTION("""COMPUTED_VALUE"""),"gha")</f>
        <v>gha</v>
      </c>
      <c r="C5831" t="str">
        <f>IFERROR(__xludf.DUMMYFUNCTION("""COMPUTED_VALUE"""),"Ghana")</f>
        <v>Ghana</v>
      </c>
      <c r="D5831">
        <f>IFERROR(__xludf.DUMMYFUNCTION("""COMPUTED_VALUE"""),1953.0)</f>
        <v>1953</v>
      </c>
      <c r="E5831">
        <f>IFERROR(__xludf.DUMMYFUNCTION("""COMPUTED_VALUE"""),5339182.0)</f>
        <v>5339182</v>
      </c>
    </row>
    <row r="5832">
      <c r="A5832" t="str">
        <f t="shared" si="1"/>
        <v>gha#1954</v>
      </c>
      <c r="B5832" t="str">
        <f>IFERROR(__xludf.DUMMYFUNCTION("""COMPUTED_VALUE"""),"gha")</f>
        <v>gha</v>
      </c>
      <c r="C5832" t="str">
        <f>IFERROR(__xludf.DUMMYFUNCTION("""COMPUTED_VALUE"""),"Ghana")</f>
        <v>Ghana</v>
      </c>
      <c r="D5832">
        <f>IFERROR(__xludf.DUMMYFUNCTION("""COMPUTED_VALUE"""),1954.0)</f>
        <v>1954</v>
      </c>
      <c r="E5832">
        <f>IFERROR(__xludf.DUMMYFUNCTION("""COMPUTED_VALUE"""),5504254.0)</f>
        <v>5504254</v>
      </c>
    </row>
    <row r="5833">
      <c r="A5833" t="str">
        <f t="shared" si="1"/>
        <v>gha#1955</v>
      </c>
      <c r="B5833" t="str">
        <f>IFERROR(__xludf.DUMMYFUNCTION("""COMPUTED_VALUE"""),"gha")</f>
        <v>gha</v>
      </c>
      <c r="C5833" t="str">
        <f>IFERROR(__xludf.DUMMYFUNCTION("""COMPUTED_VALUE"""),"Ghana")</f>
        <v>Ghana</v>
      </c>
      <c r="D5833">
        <f>IFERROR(__xludf.DUMMYFUNCTION("""COMPUTED_VALUE"""),1955.0)</f>
        <v>1955</v>
      </c>
      <c r="E5833">
        <f>IFERROR(__xludf.DUMMYFUNCTION("""COMPUTED_VALUE"""),5680410.0)</f>
        <v>5680410</v>
      </c>
    </row>
    <row r="5834">
      <c r="A5834" t="str">
        <f t="shared" si="1"/>
        <v>gha#1956</v>
      </c>
      <c r="B5834" t="str">
        <f>IFERROR(__xludf.DUMMYFUNCTION("""COMPUTED_VALUE"""),"gha")</f>
        <v>gha</v>
      </c>
      <c r="C5834" t="str">
        <f>IFERROR(__xludf.DUMMYFUNCTION("""COMPUTED_VALUE"""),"Ghana")</f>
        <v>Ghana</v>
      </c>
      <c r="D5834">
        <f>IFERROR(__xludf.DUMMYFUNCTION("""COMPUTED_VALUE"""),1956.0)</f>
        <v>1956</v>
      </c>
      <c r="E5834">
        <f>IFERROR(__xludf.DUMMYFUNCTION("""COMPUTED_VALUE"""),5863686.0)</f>
        <v>5863686</v>
      </c>
    </row>
    <row r="5835">
      <c r="A5835" t="str">
        <f t="shared" si="1"/>
        <v>gha#1957</v>
      </c>
      <c r="B5835" t="str">
        <f>IFERROR(__xludf.DUMMYFUNCTION("""COMPUTED_VALUE"""),"gha")</f>
        <v>gha</v>
      </c>
      <c r="C5835" t="str">
        <f>IFERROR(__xludf.DUMMYFUNCTION("""COMPUTED_VALUE"""),"Ghana")</f>
        <v>Ghana</v>
      </c>
      <c r="D5835">
        <f>IFERROR(__xludf.DUMMYFUNCTION("""COMPUTED_VALUE"""),1957.0)</f>
        <v>1957</v>
      </c>
      <c r="E5835">
        <f>IFERROR(__xludf.DUMMYFUNCTION("""COMPUTED_VALUE"""),6052159.0)</f>
        <v>6052159</v>
      </c>
    </row>
    <row r="5836">
      <c r="A5836" t="str">
        <f t="shared" si="1"/>
        <v>gha#1958</v>
      </c>
      <c r="B5836" t="str">
        <f>IFERROR(__xludf.DUMMYFUNCTION("""COMPUTED_VALUE"""),"gha")</f>
        <v>gha</v>
      </c>
      <c r="C5836" t="str">
        <f>IFERROR(__xludf.DUMMYFUNCTION("""COMPUTED_VALUE"""),"Ghana")</f>
        <v>Ghana</v>
      </c>
      <c r="D5836">
        <f>IFERROR(__xludf.DUMMYFUNCTION("""COMPUTED_VALUE"""),1958.0)</f>
        <v>1958</v>
      </c>
      <c r="E5836">
        <f>IFERROR(__xludf.DUMMYFUNCTION("""COMPUTED_VALUE"""),6245646.0)</f>
        <v>6245646</v>
      </c>
    </row>
    <row r="5837">
      <c r="A5837" t="str">
        <f t="shared" si="1"/>
        <v>gha#1959</v>
      </c>
      <c r="B5837" t="str">
        <f>IFERROR(__xludf.DUMMYFUNCTION("""COMPUTED_VALUE"""),"gha")</f>
        <v>gha</v>
      </c>
      <c r="C5837" t="str">
        <f>IFERROR(__xludf.DUMMYFUNCTION("""COMPUTED_VALUE"""),"Ghana")</f>
        <v>Ghana</v>
      </c>
      <c r="D5837">
        <f>IFERROR(__xludf.DUMMYFUNCTION("""COMPUTED_VALUE"""),1959.0)</f>
        <v>1959</v>
      </c>
      <c r="E5837">
        <f>IFERROR(__xludf.DUMMYFUNCTION("""COMPUTED_VALUE"""),6445283.0)</f>
        <v>6445283</v>
      </c>
    </row>
    <row r="5838">
      <c r="A5838" t="str">
        <f t="shared" si="1"/>
        <v>gha#1960</v>
      </c>
      <c r="B5838" t="str">
        <f>IFERROR(__xludf.DUMMYFUNCTION("""COMPUTED_VALUE"""),"gha")</f>
        <v>gha</v>
      </c>
      <c r="C5838" t="str">
        <f>IFERROR(__xludf.DUMMYFUNCTION("""COMPUTED_VALUE"""),"Ghana")</f>
        <v>Ghana</v>
      </c>
      <c r="D5838">
        <f>IFERROR(__xludf.DUMMYFUNCTION("""COMPUTED_VALUE"""),1960.0)</f>
        <v>1960</v>
      </c>
      <c r="E5838">
        <f>IFERROR(__xludf.DUMMYFUNCTION("""COMPUTED_VALUE"""),6652287.0)</f>
        <v>6652287</v>
      </c>
    </row>
    <row r="5839">
      <c r="A5839" t="str">
        <f t="shared" si="1"/>
        <v>gha#1961</v>
      </c>
      <c r="B5839" t="str">
        <f>IFERROR(__xludf.DUMMYFUNCTION("""COMPUTED_VALUE"""),"gha")</f>
        <v>gha</v>
      </c>
      <c r="C5839" t="str">
        <f>IFERROR(__xludf.DUMMYFUNCTION("""COMPUTED_VALUE"""),"Ghana")</f>
        <v>Ghana</v>
      </c>
      <c r="D5839">
        <f>IFERROR(__xludf.DUMMYFUNCTION("""COMPUTED_VALUE"""),1961.0)</f>
        <v>1961</v>
      </c>
      <c r="E5839">
        <f>IFERROR(__xludf.DUMMYFUNCTION("""COMPUTED_VALUE"""),6866539.0)</f>
        <v>6866539</v>
      </c>
    </row>
    <row r="5840">
      <c r="A5840" t="str">
        <f t="shared" si="1"/>
        <v>gha#1962</v>
      </c>
      <c r="B5840" t="str">
        <f>IFERROR(__xludf.DUMMYFUNCTION("""COMPUTED_VALUE"""),"gha")</f>
        <v>gha</v>
      </c>
      <c r="C5840" t="str">
        <f>IFERROR(__xludf.DUMMYFUNCTION("""COMPUTED_VALUE"""),"Ghana")</f>
        <v>Ghana</v>
      </c>
      <c r="D5840">
        <f>IFERROR(__xludf.DUMMYFUNCTION("""COMPUTED_VALUE"""),1962.0)</f>
        <v>1962</v>
      </c>
      <c r="E5840">
        <f>IFERROR(__xludf.DUMMYFUNCTION("""COMPUTED_VALUE"""),7085464.0)</f>
        <v>7085464</v>
      </c>
    </row>
    <row r="5841">
      <c r="A5841" t="str">
        <f t="shared" si="1"/>
        <v>gha#1963</v>
      </c>
      <c r="B5841" t="str">
        <f>IFERROR(__xludf.DUMMYFUNCTION("""COMPUTED_VALUE"""),"gha")</f>
        <v>gha</v>
      </c>
      <c r="C5841" t="str">
        <f>IFERROR(__xludf.DUMMYFUNCTION("""COMPUTED_VALUE"""),"Ghana")</f>
        <v>Ghana</v>
      </c>
      <c r="D5841">
        <f>IFERROR(__xludf.DUMMYFUNCTION("""COMPUTED_VALUE"""),1963.0)</f>
        <v>1963</v>
      </c>
      <c r="E5841">
        <f>IFERROR(__xludf.DUMMYFUNCTION("""COMPUTED_VALUE"""),7303432.0)</f>
        <v>7303432</v>
      </c>
    </row>
    <row r="5842">
      <c r="A5842" t="str">
        <f t="shared" si="1"/>
        <v>gha#1964</v>
      </c>
      <c r="B5842" t="str">
        <f>IFERROR(__xludf.DUMMYFUNCTION("""COMPUTED_VALUE"""),"gha")</f>
        <v>gha</v>
      </c>
      <c r="C5842" t="str">
        <f>IFERROR(__xludf.DUMMYFUNCTION("""COMPUTED_VALUE"""),"Ghana")</f>
        <v>Ghana</v>
      </c>
      <c r="D5842">
        <f>IFERROR(__xludf.DUMMYFUNCTION("""COMPUTED_VALUE"""),1964.0)</f>
        <v>1964</v>
      </c>
      <c r="E5842">
        <f>IFERROR(__xludf.DUMMYFUNCTION("""COMPUTED_VALUE"""),7513289.0)</f>
        <v>7513289</v>
      </c>
    </row>
    <row r="5843">
      <c r="A5843" t="str">
        <f t="shared" si="1"/>
        <v>gha#1965</v>
      </c>
      <c r="B5843" t="str">
        <f>IFERROR(__xludf.DUMMYFUNCTION("""COMPUTED_VALUE"""),"gha")</f>
        <v>gha</v>
      </c>
      <c r="C5843" t="str">
        <f>IFERROR(__xludf.DUMMYFUNCTION("""COMPUTED_VALUE"""),"Ghana")</f>
        <v>Ghana</v>
      </c>
      <c r="D5843">
        <f>IFERROR(__xludf.DUMMYFUNCTION("""COMPUTED_VALUE"""),1965.0)</f>
        <v>1965</v>
      </c>
      <c r="E5843">
        <f>IFERROR(__xludf.DUMMYFUNCTION("""COMPUTED_VALUE"""),7710549.0)</f>
        <v>7710549</v>
      </c>
    </row>
    <row r="5844">
      <c r="A5844" t="str">
        <f t="shared" si="1"/>
        <v>gha#1966</v>
      </c>
      <c r="B5844" t="str">
        <f>IFERROR(__xludf.DUMMYFUNCTION("""COMPUTED_VALUE"""),"gha")</f>
        <v>gha</v>
      </c>
      <c r="C5844" t="str">
        <f>IFERROR(__xludf.DUMMYFUNCTION("""COMPUTED_VALUE"""),"Ghana")</f>
        <v>Ghana</v>
      </c>
      <c r="D5844">
        <f>IFERROR(__xludf.DUMMYFUNCTION("""COMPUTED_VALUE"""),1966.0)</f>
        <v>1966</v>
      </c>
      <c r="E5844">
        <f>IFERROR(__xludf.DUMMYFUNCTION("""COMPUTED_VALUE"""),7890992.0)</f>
        <v>7890992</v>
      </c>
    </row>
    <row r="5845">
      <c r="A5845" t="str">
        <f t="shared" si="1"/>
        <v>gha#1967</v>
      </c>
      <c r="B5845" t="str">
        <f>IFERROR(__xludf.DUMMYFUNCTION("""COMPUTED_VALUE"""),"gha")</f>
        <v>gha</v>
      </c>
      <c r="C5845" t="str">
        <f>IFERROR(__xludf.DUMMYFUNCTION("""COMPUTED_VALUE"""),"Ghana")</f>
        <v>Ghana</v>
      </c>
      <c r="D5845">
        <f>IFERROR(__xludf.DUMMYFUNCTION("""COMPUTED_VALUE"""),1967.0)</f>
        <v>1967</v>
      </c>
      <c r="E5845">
        <f>IFERROR(__xludf.DUMMYFUNCTION("""COMPUTED_VALUE"""),8057444.0)</f>
        <v>8057444</v>
      </c>
    </row>
    <row r="5846">
      <c r="A5846" t="str">
        <f t="shared" si="1"/>
        <v>gha#1968</v>
      </c>
      <c r="B5846" t="str">
        <f>IFERROR(__xludf.DUMMYFUNCTION("""COMPUTED_VALUE"""),"gha")</f>
        <v>gha</v>
      </c>
      <c r="C5846" t="str">
        <f>IFERROR(__xludf.DUMMYFUNCTION("""COMPUTED_VALUE"""),"Ghana")</f>
        <v>Ghana</v>
      </c>
      <c r="D5846">
        <f>IFERROR(__xludf.DUMMYFUNCTION("""COMPUTED_VALUE"""),1968.0)</f>
        <v>1968</v>
      </c>
      <c r="E5846">
        <f>IFERROR(__xludf.DUMMYFUNCTION("""COMPUTED_VALUE"""),8221020.0)</f>
        <v>8221020</v>
      </c>
    </row>
    <row r="5847">
      <c r="A5847" t="str">
        <f t="shared" si="1"/>
        <v>gha#1969</v>
      </c>
      <c r="B5847" t="str">
        <f>IFERROR(__xludf.DUMMYFUNCTION("""COMPUTED_VALUE"""),"gha")</f>
        <v>gha</v>
      </c>
      <c r="C5847" t="str">
        <f>IFERROR(__xludf.DUMMYFUNCTION("""COMPUTED_VALUE"""),"Ghana")</f>
        <v>Ghana</v>
      </c>
      <c r="D5847">
        <f>IFERROR(__xludf.DUMMYFUNCTION("""COMPUTED_VALUE"""),1969.0)</f>
        <v>1969</v>
      </c>
      <c r="E5847">
        <f>IFERROR(__xludf.DUMMYFUNCTION("""COMPUTED_VALUE"""),8397347.0)</f>
        <v>8397347</v>
      </c>
    </row>
    <row r="5848">
      <c r="A5848" t="str">
        <f t="shared" si="1"/>
        <v>gha#1970</v>
      </c>
      <c r="B5848" t="str">
        <f>IFERROR(__xludf.DUMMYFUNCTION("""COMPUTED_VALUE"""),"gha")</f>
        <v>gha</v>
      </c>
      <c r="C5848" t="str">
        <f>IFERROR(__xludf.DUMMYFUNCTION("""COMPUTED_VALUE"""),"Ghana")</f>
        <v>Ghana</v>
      </c>
      <c r="D5848">
        <f>IFERROR(__xludf.DUMMYFUNCTION("""COMPUTED_VALUE"""),1970.0)</f>
        <v>1970</v>
      </c>
      <c r="E5848">
        <f>IFERROR(__xludf.DUMMYFUNCTION("""COMPUTED_VALUE"""),8596983.0)</f>
        <v>8596983</v>
      </c>
    </row>
    <row r="5849">
      <c r="A5849" t="str">
        <f t="shared" si="1"/>
        <v>gha#1971</v>
      </c>
      <c r="B5849" t="str">
        <f>IFERROR(__xludf.DUMMYFUNCTION("""COMPUTED_VALUE"""),"gha")</f>
        <v>gha</v>
      </c>
      <c r="C5849" t="str">
        <f>IFERROR(__xludf.DUMMYFUNCTION("""COMPUTED_VALUE"""),"Ghana")</f>
        <v>Ghana</v>
      </c>
      <c r="D5849">
        <f>IFERROR(__xludf.DUMMYFUNCTION("""COMPUTED_VALUE"""),1971.0)</f>
        <v>1971</v>
      </c>
      <c r="E5849">
        <f>IFERROR(__xludf.DUMMYFUNCTION("""COMPUTED_VALUE"""),8827273.0)</f>
        <v>8827273</v>
      </c>
    </row>
    <row r="5850">
      <c r="A5850" t="str">
        <f t="shared" si="1"/>
        <v>gha#1972</v>
      </c>
      <c r="B5850" t="str">
        <f>IFERROR(__xludf.DUMMYFUNCTION("""COMPUTED_VALUE"""),"gha")</f>
        <v>gha</v>
      </c>
      <c r="C5850" t="str">
        <f>IFERROR(__xludf.DUMMYFUNCTION("""COMPUTED_VALUE"""),"Ghana")</f>
        <v>Ghana</v>
      </c>
      <c r="D5850">
        <f>IFERROR(__xludf.DUMMYFUNCTION("""COMPUTED_VALUE"""),1972.0)</f>
        <v>1972</v>
      </c>
      <c r="E5850">
        <f>IFERROR(__xludf.DUMMYFUNCTION("""COMPUTED_VALUE"""),9083573.0)</f>
        <v>9083573</v>
      </c>
    </row>
    <row r="5851">
      <c r="A5851" t="str">
        <f t="shared" si="1"/>
        <v>gha#1973</v>
      </c>
      <c r="B5851" t="str">
        <f>IFERROR(__xludf.DUMMYFUNCTION("""COMPUTED_VALUE"""),"gha")</f>
        <v>gha</v>
      </c>
      <c r="C5851" t="str">
        <f>IFERROR(__xludf.DUMMYFUNCTION("""COMPUTED_VALUE"""),"Ghana")</f>
        <v>Ghana</v>
      </c>
      <c r="D5851">
        <f>IFERROR(__xludf.DUMMYFUNCTION("""COMPUTED_VALUE"""),1973.0)</f>
        <v>1973</v>
      </c>
      <c r="E5851">
        <f>IFERROR(__xludf.DUMMYFUNCTION("""COMPUTED_VALUE"""),9350111.0)</f>
        <v>9350111</v>
      </c>
    </row>
    <row r="5852">
      <c r="A5852" t="str">
        <f t="shared" si="1"/>
        <v>gha#1974</v>
      </c>
      <c r="B5852" t="str">
        <f>IFERROR(__xludf.DUMMYFUNCTION("""COMPUTED_VALUE"""),"gha")</f>
        <v>gha</v>
      </c>
      <c r="C5852" t="str">
        <f>IFERROR(__xludf.DUMMYFUNCTION("""COMPUTED_VALUE"""),"Ghana")</f>
        <v>Ghana</v>
      </c>
      <c r="D5852">
        <f>IFERROR(__xludf.DUMMYFUNCTION("""COMPUTED_VALUE"""),1974.0)</f>
        <v>1974</v>
      </c>
      <c r="E5852">
        <f>IFERROR(__xludf.DUMMYFUNCTION("""COMPUTED_VALUE"""),9604276.0)</f>
        <v>9604276</v>
      </c>
    </row>
    <row r="5853">
      <c r="A5853" t="str">
        <f t="shared" si="1"/>
        <v>gha#1975</v>
      </c>
      <c r="B5853" t="str">
        <f>IFERROR(__xludf.DUMMYFUNCTION("""COMPUTED_VALUE"""),"gha")</f>
        <v>gha</v>
      </c>
      <c r="C5853" t="str">
        <f>IFERROR(__xludf.DUMMYFUNCTION("""COMPUTED_VALUE"""),"Ghana")</f>
        <v>Ghana</v>
      </c>
      <c r="D5853">
        <f>IFERROR(__xludf.DUMMYFUNCTION("""COMPUTED_VALUE"""),1975.0)</f>
        <v>1975</v>
      </c>
      <c r="E5853">
        <f>IFERROR(__xludf.DUMMYFUNCTION("""COMPUTED_VALUE"""),9831407.0)</f>
        <v>9831407</v>
      </c>
    </row>
    <row r="5854">
      <c r="A5854" t="str">
        <f t="shared" si="1"/>
        <v>gha#1976</v>
      </c>
      <c r="B5854" t="str">
        <f>IFERROR(__xludf.DUMMYFUNCTION("""COMPUTED_VALUE"""),"gha")</f>
        <v>gha</v>
      </c>
      <c r="C5854" t="str">
        <f>IFERROR(__xludf.DUMMYFUNCTION("""COMPUTED_VALUE"""),"Ghana")</f>
        <v>Ghana</v>
      </c>
      <c r="D5854">
        <f>IFERROR(__xludf.DUMMYFUNCTION("""COMPUTED_VALUE"""),1976.0)</f>
        <v>1976</v>
      </c>
      <c r="E5854">
        <f>IFERROR(__xludf.DUMMYFUNCTION("""COMPUTED_VALUE"""),1.0023472E7)</f>
        <v>10023472</v>
      </c>
    </row>
    <row r="5855">
      <c r="A5855" t="str">
        <f t="shared" si="1"/>
        <v>gha#1977</v>
      </c>
      <c r="B5855" t="str">
        <f>IFERROR(__xludf.DUMMYFUNCTION("""COMPUTED_VALUE"""),"gha")</f>
        <v>gha</v>
      </c>
      <c r="C5855" t="str">
        <f>IFERROR(__xludf.DUMMYFUNCTION("""COMPUTED_VALUE"""),"Ghana")</f>
        <v>Ghana</v>
      </c>
      <c r="D5855">
        <f>IFERROR(__xludf.DUMMYFUNCTION("""COMPUTED_VALUE"""),1977.0)</f>
        <v>1977</v>
      </c>
      <c r="E5855">
        <f>IFERROR(__xludf.DUMMYFUNCTION("""COMPUTED_VALUE"""),1.018989E7)</f>
        <v>10189890</v>
      </c>
    </row>
    <row r="5856">
      <c r="A5856" t="str">
        <f t="shared" si="1"/>
        <v>gha#1978</v>
      </c>
      <c r="B5856" t="str">
        <f>IFERROR(__xludf.DUMMYFUNCTION("""COMPUTED_VALUE"""),"gha")</f>
        <v>gha</v>
      </c>
      <c r="C5856" t="str">
        <f>IFERROR(__xludf.DUMMYFUNCTION("""COMPUTED_VALUE"""),"Ghana")</f>
        <v>Ghana</v>
      </c>
      <c r="D5856">
        <f>IFERROR(__xludf.DUMMYFUNCTION("""COMPUTED_VALUE"""),1978.0)</f>
        <v>1978</v>
      </c>
      <c r="E5856">
        <f>IFERROR(__xludf.DUMMYFUNCTION("""COMPUTED_VALUE"""),1.0354499E7)</f>
        <v>10354499</v>
      </c>
    </row>
    <row r="5857">
      <c r="A5857" t="str">
        <f t="shared" si="1"/>
        <v>gha#1979</v>
      </c>
      <c r="B5857" t="str">
        <f>IFERROR(__xludf.DUMMYFUNCTION("""COMPUTED_VALUE"""),"gha")</f>
        <v>gha</v>
      </c>
      <c r="C5857" t="str">
        <f>IFERROR(__xludf.DUMMYFUNCTION("""COMPUTED_VALUE"""),"Ghana")</f>
        <v>Ghana</v>
      </c>
      <c r="D5857">
        <f>IFERROR(__xludf.DUMMYFUNCTION("""COMPUTED_VALUE"""),1979.0)</f>
        <v>1979</v>
      </c>
      <c r="E5857">
        <f>IFERROR(__xludf.DUMMYFUNCTION("""COMPUTED_VALUE"""),1.0550777E7)</f>
        <v>10550777</v>
      </c>
    </row>
    <row r="5858">
      <c r="A5858" t="str">
        <f t="shared" si="1"/>
        <v>gha#1980</v>
      </c>
      <c r="B5858" t="str">
        <f>IFERROR(__xludf.DUMMYFUNCTION("""COMPUTED_VALUE"""),"gha")</f>
        <v>gha</v>
      </c>
      <c r="C5858" t="str">
        <f>IFERROR(__xludf.DUMMYFUNCTION("""COMPUTED_VALUE"""),"Ghana")</f>
        <v>Ghana</v>
      </c>
      <c r="D5858">
        <f>IFERROR(__xludf.DUMMYFUNCTION("""COMPUTED_VALUE"""),1980.0)</f>
        <v>1980</v>
      </c>
      <c r="E5858">
        <f>IFERROR(__xludf.DUMMYFUNCTION("""COMPUTED_VALUE"""),1.0802028E7)</f>
        <v>10802028</v>
      </c>
    </row>
    <row r="5859">
      <c r="A5859" t="str">
        <f t="shared" si="1"/>
        <v>gha#1981</v>
      </c>
      <c r="B5859" t="str">
        <f>IFERROR(__xludf.DUMMYFUNCTION("""COMPUTED_VALUE"""),"gha")</f>
        <v>gha</v>
      </c>
      <c r="C5859" t="str">
        <f>IFERROR(__xludf.DUMMYFUNCTION("""COMPUTED_VALUE"""),"Ghana")</f>
        <v>Ghana</v>
      </c>
      <c r="D5859">
        <f>IFERROR(__xludf.DUMMYFUNCTION("""COMPUTED_VALUE"""),1981.0)</f>
        <v>1981</v>
      </c>
      <c r="E5859">
        <f>IFERROR(__xludf.DUMMYFUNCTION("""COMPUTED_VALUE"""),1.1117605E7)</f>
        <v>11117605</v>
      </c>
    </row>
    <row r="5860">
      <c r="A5860" t="str">
        <f t="shared" si="1"/>
        <v>gha#1982</v>
      </c>
      <c r="B5860" t="str">
        <f>IFERROR(__xludf.DUMMYFUNCTION("""COMPUTED_VALUE"""),"gha")</f>
        <v>gha</v>
      </c>
      <c r="C5860" t="str">
        <f>IFERROR(__xludf.DUMMYFUNCTION("""COMPUTED_VALUE"""),"Ghana")</f>
        <v>Ghana</v>
      </c>
      <c r="D5860">
        <f>IFERROR(__xludf.DUMMYFUNCTION("""COMPUTED_VALUE"""),1982.0)</f>
        <v>1982</v>
      </c>
      <c r="E5860">
        <f>IFERROR(__xludf.DUMMYFUNCTION("""COMPUTED_VALUE"""),1.1488106E7)</f>
        <v>11488106</v>
      </c>
    </row>
    <row r="5861">
      <c r="A5861" t="str">
        <f t="shared" si="1"/>
        <v>gha#1983</v>
      </c>
      <c r="B5861" t="str">
        <f>IFERROR(__xludf.DUMMYFUNCTION("""COMPUTED_VALUE"""),"gha")</f>
        <v>gha</v>
      </c>
      <c r="C5861" t="str">
        <f>IFERROR(__xludf.DUMMYFUNCTION("""COMPUTED_VALUE"""),"Ghana")</f>
        <v>Ghana</v>
      </c>
      <c r="D5861">
        <f>IFERROR(__xludf.DUMMYFUNCTION("""COMPUTED_VALUE"""),1983.0)</f>
        <v>1983</v>
      </c>
      <c r="E5861">
        <f>IFERROR(__xludf.DUMMYFUNCTION("""COMPUTED_VALUE"""),1.1895125E7)</f>
        <v>11895125</v>
      </c>
    </row>
    <row r="5862">
      <c r="A5862" t="str">
        <f t="shared" si="1"/>
        <v>gha#1984</v>
      </c>
      <c r="B5862" t="str">
        <f>IFERROR(__xludf.DUMMYFUNCTION("""COMPUTED_VALUE"""),"gha")</f>
        <v>gha</v>
      </c>
      <c r="C5862" t="str">
        <f>IFERROR(__xludf.DUMMYFUNCTION("""COMPUTED_VALUE"""),"Ghana")</f>
        <v>Ghana</v>
      </c>
      <c r="D5862">
        <f>IFERROR(__xludf.DUMMYFUNCTION("""COMPUTED_VALUE"""),1984.0)</f>
        <v>1984</v>
      </c>
      <c r="E5862">
        <f>IFERROR(__xludf.DUMMYFUNCTION("""COMPUTED_VALUE"""),1.2311158E7)</f>
        <v>12311158</v>
      </c>
    </row>
    <row r="5863">
      <c r="A5863" t="str">
        <f t="shared" si="1"/>
        <v>gha#1985</v>
      </c>
      <c r="B5863" t="str">
        <f>IFERROR(__xludf.DUMMYFUNCTION("""COMPUTED_VALUE"""),"gha")</f>
        <v>gha</v>
      </c>
      <c r="C5863" t="str">
        <f>IFERROR(__xludf.DUMMYFUNCTION("""COMPUTED_VALUE"""),"Ghana")</f>
        <v>Ghana</v>
      </c>
      <c r="D5863">
        <f>IFERROR(__xludf.DUMMYFUNCTION("""COMPUTED_VALUE"""),1985.0)</f>
        <v>1985</v>
      </c>
      <c r="E5863">
        <f>IFERROR(__xludf.DUMMYFUNCTION("""COMPUTED_VALUE"""),1.2716228E7)</f>
        <v>12716228</v>
      </c>
    </row>
    <row r="5864">
      <c r="A5864" t="str">
        <f t="shared" si="1"/>
        <v>gha#1986</v>
      </c>
      <c r="B5864" t="str">
        <f>IFERROR(__xludf.DUMMYFUNCTION("""COMPUTED_VALUE"""),"gha")</f>
        <v>gha</v>
      </c>
      <c r="C5864" t="str">
        <f>IFERROR(__xludf.DUMMYFUNCTION("""COMPUTED_VALUE"""),"Ghana")</f>
        <v>Ghana</v>
      </c>
      <c r="D5864">
        <f>IFERROR(__xludf.DUMMYFUNCTION("""COMPUTED_VALUE"""),1986.0)</f>
        <v>1986</v>
      </c>
      <c r="E5864">
        <f>IFERROR(__xludf.DUMMYFUNCTION("""COMPUTED_VALUE"""),1.3104296E7)</f>
        <v>13104296</v>
      </c>
    </row>
    <row r="5865">
      <c r="A5865" t="str">
        <f t="shared" si="1"/>
        <v>gha#1987</v>
      </c>
      <c r="B5865" t="str">
        <f>IFERROR(__xludf.DUMMYFUNCTION("""COMPUTED_VALUE"""),"gha")</f>
        <v>gha</v>
      </c>
      <c r="C5865" t="str">
        <f>IFERROR(__xludf.DUMMYFUNCTION("""COMPUTED_VALUE"""),"Ghana")</f>
        <v>Ghana</v>
      </c>
      <c r="D5865">
        <f>IFERROR(__xludf.DUMMYFUNCTION("""COMPUTED_VALUE"""),1987.0)</f>
        <v>1987</v>
      </c>
      <c r="E5865">
        <f>IFERROR(__xludf.DUMMYFUNCTION("""COMPUTED_VALUE"""),1.3481406E7)</f>
        <v>13481406</v>
      </c>
    </row>
    <row r="5866">
      <c r="A5866" t="str">
        <f t="shared" si="1"/>
        <v>gha#1988</v>
      </c>
      <c r="B5866" t="str">
        <f>IFERROR(__xludf.DUMMYFUNCTION("""COMPUTED_VALUE"""),"gha")</f>
        <v>gha</v>
      </c>
      <c r="C5866" t="str">
        <f>IFERROR(__xludf.DUMMYFUNCTION("""COMPUTED_VALUE"""),"Ghana")</f>
        <v>Ghana</v>
      </c>
      <c r="D5866">
        <f>IFERROR(__xludf.DUMMYFUNCTION("""COMPUTED_VALUE"""),1988.0)</f>
        <v>1988</v>
      </c>
      <c r="E5866">
        <f>IFERROR(__xludf.DUMMYFUNCTION("""COMPUTED_VALUE"""),1.3854214E7)</f>
        <v>13854214</v>
      </c>
    </row>
    <row r="5867">
      <c r="A5867" t="str">
        <f t="shared" si="1"/>
        <v>gha#1989</v>
      </c>
      <c r="B5867" t="str">
        <f>IFERROR(__xludf.DUMMYFUNCTION("""COMPUTED_VALUE"""),"gha")</f>
        <v>gha</v>
      </c>
      <c r="C5867" t="str">
        <f>IFERROR(__xludf.DUMMYFUNCTION("""COMPUTED_VALUE"""),"Ghana")</f>
        <v>Ghana</v>
      </c>
      <c r="D5867">
        <f>IFERROR(__xludf.DUMMYFUNCTION("""COMPUTED_VALUE"""),1989.0)</f>
        <v>1989</v>
      </c>
      <c r="E5867">
        <f>IFERROR(__xludf.DUMMYFUNCTION("""COMPUTED_VALUE"""),1.4233874E7)</f>
        <v>14233874</v>
      </c>
    </row>
    <row r="5868">
      <c r="A5868" t="str">
        <f t="shared" si="1"/>
        <v>gha#1990</v>
      </c>
      <c r="B5868" t="str">
        <f>IFERROR(__xludf.DUMMYFUNCTION("""COMPUTED_VALUE"""),"gha")</f>
        <v>gha</v>
      </c>
      <c r="C5868" t="str">
        <f>IFERROR(__xludf.DUMMYFUNCTION("""COMPUTED_VALUE"""),"Ghana")</f>
        <v>Ghana</v>
      </c>
      <c r="D5868">
        <f>IFERROR(__xludf.DUMMYFUNCTION("""COMPUTED_VALUE"""),1990.0)</f>
        <v>1990</v>
      </c>
      <c r="E5868">
        <f>IFERROR(__xludf.DUMMYFUNCTION("""COMPUTED_VALUE"""),1.462826E7)</f>
        <v>14628260</v>
      </c>
    </row>
    <row r="5869">
      <c r="A5869" t="str">
        <f t="shared" si="1"/>
        <v>gha#1991</v>
      </c>
      <c r="B5869" t="str">
        <f>IFERROR(__xludf.DUMMYFUNCTION("""COMPUTED_VALUE"""),"gha")</f>
        <v>gha</v>
      </c>
      <c r="C5869" t="str">
        <f>IFERROR(__xludf.DUMMYFUNCTION("""COMPUTED_VALUE"""),"Ghana")</f>
        <v>Ghana</v>
      </c>
      <c r="D5869">
        <f>IFERROR(__xludf.DUMMYFUNCTION("""COMPUTED_VALUE"""),1991.0)</f>
        <v>1991</v>
      </c>
      <c r="E5869">
        <f>IFERROR(__xludf.DUMMYFUNCTION("""COMPUTED_VALUE"""),1.5039514E7)</f>
        <v>15039514</v>
      </c>
    </row>
    <row r="5870">
      <c r="A5870" t="str">
        <f t="shared" si="1"/>
        <v>gha#1992</v>
      </c>
      <c r="B5870" t="str">
        <f>IFERROR(__xludf.DUMMYFUNCTION("""COMPUTED_VALUE"""),"gha")</f>
        <v>gha</v>
      </c>
      <c r="C5870" t="str">
        <f>IFERROR(__xludf.DUMMYFUNCTION("""COMPUTED_VALUE"""),"Ghana")</f>
        <v>Ghana</v>
      </c>
      <c r="D5870">
        <f>IFERROR(__xludf.DUMMYFUNCTION("""COMPUTED_VALUE"""),1992.0)</f>
        <v>1992</v>
      </c>
      <c r="E5870">
        <f>IFERROR(__xludf.DUMMYFUNCTION("""COMPUTED_VALUE"""),1.5463854E7)</f>
        <v>15463854</v>
      </c>
    </row>
    <row r="5871">
      <c r="A5871" t="str">
        <f t="shared" si="1"/>
        <v>gha#1993</v>
      </c>
      <c r="B5871" t="str">
        <f>IFERROR(__xludf.DUMMYFUNCTION("""COMPUTED_VALUE"""),"gha")</f>
        <v>gha</v>
      </c>
      <c r="C5871" t="str">
        <f>IFERROR(__xludf.DUMMYFUNCTION("""COMPUTED_VALUE"""),"Ghana")</f>
        <v>Ghana</v>
      </c>
      <c r="D5871">
        <f>IFERROR(__xludf.DUMMYFUNCTION("""COMPUTED_VALUE"""),1993.0)</f>
        <v>1993</v>
      </c>
      <c r="E5871">
        <f>IFERROR(__xludf.DUMMYFUNCTION("""COMPUTED_VALUE"""),1.5896432E7)</f>
        <v>15896432</v>
      </c>
    </row>
    <row r="5872">
      <c r="A5872" t="str">
        <f t="shared" si="1"/>
        <v>gha#1994</v>
      </c>
      <c r="B5872" t="str">
        <f>IFERROR(__xludf.DUMMYFUNCTION("""COMPUTED_VALUE"""),"gha")</f>
        <v>gha</v>
      </c>
      <c r="C5872" t="str">
        <f>IFERROR(__xludf.DUMMYFUNCTION("""COMPUTED_VALUE"""),"Ghana")</f>
        <v>Ghana</v>
      </c>
      <c r="D5872">
        <f>IFERROR(__xludf.DUMMYFUNCTION("""COMPUTED_VALUE"""),1994.0)</f>
        <v>1994</v>
      </c>
      <c r="E5872">
        <f>IFERROR(__xludf.DUMMYFUNCTION("""COMPUTED_VALUE"""),1.6330174E7)</f>
        <v>16330174</v>
      </c>
    </row>
    <row r="5873">
      <c r="A5873" t="str">
        <f t="shared" si="1"/>
        <v>gha#1995</v>
      </c>
      <c r="B5873" t="str">
        <f>IFERROR(__xludf.DUMMYFUNCTION("""COMPUTED_VALUE"""),"gha")</f>
        <v>gha</v>
      </c>
      <c r="C5873" t="str">
        <f>IFERROR(__xludf.DUMMYFUNCTION("""COMPUTED_VALUE"""),"Ghana")</f>
        <v>Ghana</v>
      </c>
      <c r="D5873">
        <f>IFERROR(__xludf.DUMMYFUNCTION("""COMPUTED_VALUE"""),1995.0)</f>
        <v>1995</v>
      </c>
      <c r="E5873">
        <f>IFERROR(__xludf.DUMMYFUNCTION("""COMPUTED_VALUE"""),1.6760467E7)</f>
        <v>16760467</v>
      </c>
    </row>
    <row r="5874">
      <c r="A5874" t="str">
        <f t="shared" si="1"/>
        <v>gha#1996</v>
      </c>
      <c r="B5874" t="str">
        <f>IFERROR(__xludf.DUMMYFUNCTION("""COMPUTED_VALUE"""),"gha")</f>
        <v>gha</v>
      </c>
      <c r="C5874" t="str">
        <f>IFERROR(__xludf.DUMMYFUNCTION("""COMPUTED_VALUE"""),"Ghana")</f>
        <v>Ghana</v>
      </c>
      <c r="D5874">
        <f>IFERROR(__xludf.DUMMYFUNCTION("""COMPUTED_VALUE"""),1996.0)</f>
        <v>1996</v>
      </c>
      <c r="E5874">
        <f>IFERROR(__xludf.DUMMYFUNCTION("""COMPUTED_VALUE"""),1.7185608E7)</f>
        <v>17185608</v>
      </c>
    </row>
    <row r="5875">
      <c r="A5875" t="str">
        <f t="shared" si="1"/>
        <v>gha#1997</v>
      </c>
      <c r="B5875" t="str">
        <f>IFERROR(__xludf.DUMMYFUNCTION("""COMPUTED_VALUE"""),"gha")</f>
        <v>gha</v>
      </c>
      <c r="C5875" t="str">
        <f>IFERROR(__xludf.DUMMYFUNCTION("""COMPUTED_VALUE"""),"Ghana")</f>
        <v>Ghana</v>
      </c>
      <c r="D5875">
        <f>IFERROR(__xludf.DUMMYFUNCTION("""COMPUTED_VALUE"""),1997.0)</f>
        <v>1997</v>
      </c>
      <c r="E5875">
        <f>IFERROR(__xludf.DUMMYFUNCTION("""COMPUTED_VALUE"""),1.7608812E7)</f>
        <v>17608812</v>
      </c>
    </row>
    <row r="5876">
      <c r="A5876" t="str">
        <f t="shared" si="1"/>
        <v>gha#1998</v>
      </c>
      <c r="B5876" t="str">
        <f>IFERROR(__xludf.DUMMYFUNCTION("""COMPUTED_VALUE"""),"gha")</f>
        <v>gha</v>
      </c>
      <c r="C5876" t="str">
        <f>IFERROR(__xludf.DUMMYFUNCTION("""COMPUTED_VALUE"""),"Ghana")</f>
        <v>Ghana</v>
      </c>
      <c r="D5876">
        <f>IFERROR(__xludf.DUMMYFUNCTION("""COMPUTED_VALUE"""),1998.0)</f>
        <v>1998</v>
      </c>
      <c r="E5876">
        <f>IFERROR(__xludf.DUMMYFUNCTION("""COMPUTED_VALUE"""),1.8036494E7)</f>
        <v>18036494</v>
      </c>
    </row>
    <row r="5877">
      <c r="A5877" t="str">
        <f t="shared" si="1"/>
        <v>gha#1999</v>
      </c>
      <c r="B5877" t="str">
        <f>IFERROR(__xludf.DUMMYFUNCTION("""COMPUTED_VALUE"""),"gha")</f>
        <v>gha</v>
      </c>
      <c r="C5877" t="str">
        <f>IFERROR(__xludf.DUMMYFUNCTION("""COMPUTED_VALUE"""),"Ghana")</f>
        <v>Ghana</v>
      </c>
      <c r="D5877">
        <f>IFERROR(__xludf.DUMMYFUNCTION("""COMPUTED_VALUE"""),1999.0)</f>
        <v>1999</v>
      </c>
      <c r="E5877">
        <f>IFERROR(__xludf.DUMMYFUNCTION("""COMPUTED_VALUE"""),1.8477612E7)</f>
        <v>18477612</v>
      </c>
    </row>
    <row r="5878">
      <c r="A5878" t="str">
        <f t="shared" si="1"/>
        <v>gha#2000</v>
      </c>
      <c r="B5878" t="str">
        <f>IFERROR(__xludf.DUMMYFUNCTION("""COMPUTED_VALUE"""),"gha")</f>
        <v>gha</v>
      </c>
      <c r="C5878" t="str">
        <f>IFERROR(__xludf.DUMMYFUNCTION("""COMPUTED_VALUE"""),"Ghana")</f>
        <v>Ghana</v>
      </c>
      <c r="D5878">
        <f>IFERROR(__xludf.DUMMYFUNCTION("""COMPUTED_VALUE"""),2000.0)</f>
        <v>2000</v>
      </c>
      <c r="E5878">
        <f>IFERROR(__xludf.DUMMYFUNCTION("""COMPUTED_VALUE"""),1.8938762E7)</f>
        <v>18938762</v>
      </c>
    </row>
    <row r="5879">
      <c r="A5879" t="str">
        <f t="shared" si="1"/>
        <v>gha#2001</v>
      </c>
      <c r="B5879" t="str">
        <f>IFERROR(__xludf.DUMMYFUNCTION("""COMPUTED_VALUE"""),"gha")</f>
        <v>gha</v>
      </c>
      <c r="C5879" t="str">
        <f>IFERROR(__xludf.DUMMYFUNCTION("""COMPUTED_VALUE"""),"Ghana")</f>
        <v>Ghana</v>
      </c>
      <c r="D5879">
        <f>IFERROR(__xludf.DUMMYFUNCTION("""COMPUTED_VALUE"""),2001.0)</f>
        <v>2001</v>
      </c>
      <c r="E5879">
        <f>IFERROR(__xludf.DUMMYFUNCTION("""COMPUTED_VALUE"""),1.9421605E7)</f>
        <v>19421605</v>
      </c>
    </row>
    <row r="5880">
      <c r="A5880" t="str">
        <f t="shared" si="1"/>
        <v>gha#2002</v>
      </c>
      <c r="B5880" t="str">
        <f>IFERROR(__xludf.DUMMYFUNCTION("""COMPUTED_VALUE"""),"gha")</f>
        <v>gha</v>
      </c>
      <c r="C5880" t="str">
        <f>IFERROR(__xludf.DUMMYFUNCTION("""COMPUTED_VALUE"""),"Ghana")</f>
        <v>Ghana</v>
      </c>
      <c r="D5880">
        <f>IFERROR(__xludf.DUMMYFUNCTION("""COMPUTED_VALUE"""),2002.0)</f>
        <v>2002</v>
      </c>
      <c r="E5880">
        <f>IFERROR(__xludf.DUMMYFUNCTION("""COMPUTED_VALUE"""),1.9924522E7)</f>
        <v>19924522</v>
      </c>
    </row>
    <row r="5881">
      <c r="A5881" t="str">
        <f t="shared" si="1"/>
        <v>gha#2003</v>
      </c>
      <c r="B5881" t="str">
        <f>IFERROR(__xludf.DUMMYFUNCTION("""COMPUTED_VALUE"""),"gha")</f>
        <v>gha</v>
      </c>
      <c r="C5881" t="str">
        <f>IFERROR(__xludf.DUMMYFUNCTION("""COMPUTED_VALUE"""),"Ghana")</f>
        <v>Ghana</v>
      </c>
      <c r="D5881">
        <f>IFERROR(__xludf.DUMMYFUNCTION("""COMPUTED_VALUE"""),2003.0)</f>
        <v>2003</v>
      </c>
      <c r="E5881">
        <f>IFERROR(__xludf.DUMMYFUNCTION("""COMPUTED_VALUE"""),2.0446782E7)</f>
        <v>20446782</v>
      </c>
    </row>
    <row r="5882">
      <c r="A5882" t="str">
        <f t="shared" si="1"/>
        <v>gha#2004</v>
      </c>
      <c r="B5882" t="str">
        <f>IFERROR(__xludf.DUMMYFUNCTION("""COMPUTED_VALUE"""),"gha")</f>
        <v>gha</v>
      </c>
      <c r="C5882" t="str">
        <f>IFERROR(__xludf.DUMMYFUNCTION("""COMPUTED_VALUE"""),"Ghana")</f>
        <v>Ghana</v>
      </c>
      <c r="D5882">
        <f>IFERROR(__xludf.DUMMYFUNCTION("""COMPUTED_VALUE"""),2004.0)</f>
        <v>2004</v>
      </c>
      <c r="E5882">
        <f>IFERROR(__xludf.DUMMYFUNCTION("""COMPUTED_VALUE"""),2.0986536E7)</f>
        <v>20986536</v>
      </c>
    </row>
    <row r="5883">
      <c r="A5883" t="str">
        <f t="shared" si="1"/>
        <v>gha#2005</v>
      </c>
      <c r="B5883" t="str">
        <f>IFERROR(__xludf.DUMMYFUNCTION("""COMPUTED_VALUE"""),"gha")</f>
        <v>gha</v>
      </c>
      <c r="C5883" t="str">
        <f>IFERROR(__xludf.DUMMYFUNCTION("""COMPUTED_VALUE"""),"Ghana")</f>
        <v>Ghana</v>
      </c>
      <c r="D5883">
        <f>IFERROR(__xludf.DUMMYFUNCTION("""COMPUTED_VALUE"""),2005.0)</f>
        <v>2005</v>
      </c>
      <c r="E5883">
        <f>IFERROR(__xludf.DUMMYFUNCTION("""COMPUTED_VALUE"""),2.1542009E7)</f>
        <v>21542009</v>
      </c>
    </row>
    <row r="5884">
      <c r="A5884" t="str">
        <f t="shared" si="1"/>
        <v>gha#2006</v>
      </c>
      <c r="B5884" t="str">
        <f>IFERROR(__xludf.DUMMYFUNCTION("""COMPUTED_VALUE"""),"gha")</f>
        <v>gha</v>
      </c>
      <c r="C5884" t="str">
        <f>IFERROR(__xludf.DUMMYFUNCTION("""COMPUTED_VALUE"""),"Ghana")</f>
        <v>Ghana</v>
      </c>
      <c r="D5884">
        <f>IFERROR(__xludf.DUMMYFUNCTION("""COMPUTED_VALUE"""),2006.0)</f>
        <v>2006</v>
      </c>
      <c r="E5884">
        <f>IFERROR(__xludf.DUMMYFUNCTION("""COMPUTED_VALUE"""),2.2113425E7)</f>
        <v>22113425</v>
      </c>
    </row>
    <row r="5885">
      <c r="A5885" t="str">
        <f t="shared" si="1"/>
        <v>gha#2007</v>
      </c>
      <c r="B5885" t="str">
        <f>IFERROR(__xludf.DUMMYFUNCTION("""COMPUTED_VALUE"""),"gha")</f>
        <v>gha</v>
      </c>
      <c r="C5885" t="str">
        <f>IFERROR(__xludf.DUMMYFUNCTION("""COMPUTED_VALUE"""),"Ghana")</f>
        <v>Ghana</v>
      </c>
      <c r="D5885">
        <f>IFERROR(__xludf.DUMMYFUNCTION("""COMPUTED_VALUE"""),2007.0)</f>
        <v>2007</v>
      </c>
      <c r="E5885">
        <f>IFERROR(__xludf.DUMMYFUNCTION("""COMPUTED_VALUE"""),2.2700212E7)</f>
        <v>22700212</v>
      </c>
    </row>
    <row r="5886">
      <c r="A5886" t="str">
        <f t="shared" si="1"/>
        <v>gha#2008</v>
      </c>
      <c r="B5886" t="str">
        <f>IFERROR(__xludf.DUMMYFUNCTION("""COMPUTED_VALUE"""),"gha")</f>
        <v>gha</v>
      </c>
      <c r="C5886" t="str">
        <f>IFERROR(__xludf.DUMMYFUNCTION("""COMPUTED_VALUE"""),"Ghana")</f>
        <v>Ghana</v>
      </c>
      <c r="D5886">
        <f>IFERROR(__xludf.DUMMYFUNCTION("""COMPUTED_VALUE"""),2008.0)</f>
        <v>2008</v>
      </c>
      <c r="E5886">
        <f>IFERROR(__xludf.DUMMYFUNCTION("""COMPUTED_VALUE"""),2.329864E7)</f>
        <v>23298640</v>
      </c>
    </row>
    <row r="5887">
      <c r="A5887" t="str">
        <f t="shared" si="1"/>
        <v>gha#2009</v>
      </c>
      <c r="B5887" t="str">
        <f>IFERROR(__xludf.DUMMYFUNCTION("""COMPUTED_VALUE"""),"gha")</f>
        <v>gha</v>
      </c>
      <c r="C5887" t="str">
        <f>IFERROR(__xludf.DUMMYFUNCTION("""COMPUTED_VALUE"""),"Ghana")</f>
        <v>Ghana</v>
      </c>
      <c r="D5887">
        <f>IFERROR(__xludf.DUMMYFUNCTION("""COMPUTED_VALUE"""),2009.0)</f>
        <v>2009</v>
      </c>
      <c r="E5887">
        <f>IFERROR(__xludf.DUMMYFUNCTION("""COMPUTED_VALUE"""),2.3903831E7)</f>
        <v>23903831</v>
      </c>
    </row>
    <row r="5888">
      <c r="A5888" t="str">
        <f t="shared" si="1"/>
        <v>gha#2010</v>
      </c>
      <c r="B5888" t="str">
        <f>IFERROR(__xludf.DUMMYFUNCTION("""COMPUTED_VALUE"""),"gha")</f>
        <v>gha</v>
      </c>
      <c r="C5888" t="str">
        <f>IFERROR(__xludf.DUMMYFUNCTION("""COMPUTED_VALUE"""),"Ghana")</f>
        <v>Ghana</v>
      </c>
      <c r="D5888">
        <f>IFERROR(__xludf.DUMMYFUNCTION("""COMPUTED_VALUE"""),2010.0)</f>
        <v>2010</v>
      </c>
      <c r="E5888">
        <f>IFERROR(__xludf.DUMMYFUNCTION("""COMPUTED_VALUE"""),2.4512104E7)</f>
        <v>24512104</v>
      </c>
    </row>
    <row r="5889">
      <c r="A5889" t="str">
        <f t="shared" si="1"/>
        <v>gha#2011</v>
      </c>
      <c r="B5889" t="str">
        <f>IFERROR(__xludf.DUMMYFUNCTION("""COMPUTED_VALUE"""),"gha")</f>
        <v>gha</v>
      </c>
      <c r="C5889" t="str">
        <f>IFERROR(__xludf.DUMMYFUNCTION("""COMPUTED_VALUE"""),"Ghana")</f>
        <v>Ghana</v>
      </c>
      <c r="D5889">
        <f>IFERROR(__xludf.DUMMYFUNCTION("""COMPUTED_VALUE"""),2011.0)</f>
        <v>2011</v>
      </c>
      <c r="E5889">
        <f>IFERROR(__xludf.DUMMYFUNCTION("""COMPUTED_VALUE"""),2.5121796E7)</f>
        <v>25121796</v>
      </c>
    </row>
    <row r="5890">
      <c r="A5890" t="str">
        <f t="shared" si="1"/>
        <v>gha#2012</v>
      </c>
      <c r="B5890" t="str">
        <f>IFERROR(__xludf.DUMMYFUNCTION("""COMPUTED_VALUE"""),"gha")</f>
        <v>gha</v>
      </c>
      <c r="C5890" t="str">
        <f>IFERROR(__xludf.DUMMYFUNCTION("""COMPUTED_VALUE"""),"Ghana")</f>
        <v>Ghana</v>
      </c>
      <c r="D5890">
        <f>IFERROR(__xludf.DUMMYFUNCTION("""COMPUTED_VALUE"""),2012.0)</f>
        <v>2012</v>
      </c>
      <c r="E5890">
        <f>IFERROR(__xludf.DUMMYFUNCTION("""COMPUTED_VALUE"""),2.5733049E7)</f>
        <v>25733049</v>
      </c>
    </row>
    <row r="5891">
      <c r="A5891" t="str">
        <f t="shared" si="1"/>
        <v>gha#2013</v>
      </c>
      <c r="B5891" t="str">
        <f>IFERROR(__xludf.DUMMYFUNCTION("""COMPUTED_VALUE"""),"gha")</f>
        <v>gha</v>
      </c>
      <c r="C5891" t="str">
        <f>IFERROR(__xludf.DUMMYFUNCTION("""COMPUTED_VALUE"""),"Ghana")</f>
        <v>Ghana</v>
      </c>
      <c r="D5891">
        <f>IFERROR(__xludf.DUMMYFUNCTION("""COMPUTED_VALUE"""),2013.0)</f>
        <v>2013</v>
      </c>
      <c r="E5891">
        <f>IFERROR(__xludf.DUMMYFUNCTION("""COMPUTED_VALUE"""),2.6346251E7)</f>
        <v>26346251</v>
      </c>
    </row>
    <row r="5892">
      <c r="A5892" t="str">
        <f t="shared" si="1"/>
        <v>gha#2014</v>
      </c>
      <c r="B5892" t="str">
        <f>IFERROR(__xludf.DUMMYFUNCTION("""COMPUTED_VALUE"""),"gha")</f>
        <v>gha</v>
      </c>
      <c r="C5892" t="str">
        <f>IFERROR(__xludf.DUMMYFUNCTION("""COMPUTED_VALUE"""),"Ghana")</f>
        <v>Ghana</v>
      </c>
      <c r="D5892">
        <f>IFERROR(__xludf.DUMMYFUNCTION("""COMPUTED_VALUE"""),2014.0)</f>
        <v>2014</v>
      </c>
      <c r="E5892">
        <f>IFERROR(__xludf.DUMMYFUNCTION("""COMPUTED_VALUE"""),2.6962563E7)</f>
        <v>26962563</v>
      </c>
    </row>
    <row r="5893">
      <c r="A5893" t="str">
        <f t="shared" si="1"/>
        <v>gha#2015</v>
      </c>
      <c r="B5893" t="str">
        <f>IFERROR(__xludf.DUMMYFUNCTION("""COMPUTED_VALUE"""),"gha")</f>
        <v>gha</v>
      </c>
      <c r="C5893" t="str">
        <f>IFERROR(__xludf.DUMMYFUNCTION("""COMPUTED_VALUE"""),"Ghana")</f>
        <v>Ghana</v>
      </c>
      <c r="D5893">
        <f>IFERROR(__xludf.DUMMYFUNCTION("""COMPUTED_VALUE"""),2015.0)</f>
        <v>2015</v>
      </c>
      <c r="E5893">
        <f>IFERROR(__xludf.DUMMYFUNCTION("""COMPUTED_VALUE"""),2.7582821E7)</f>
        <v>27582821</v>
      </c>
    </row>
    <row r="5894">
      <c r="A5894" t="str">
        <f t="shared" si="1"/>
        <v>gha#2016</v>
      </c>
      <c r="B5894" t="str">
        <f>IFERROR(__xludf.DUMMYFUNCTION("""COMPUTED_VALUE"""),"gha")</f>
        <v>gha</v>
      </c>
      <c r="C5894" t="str">
        <f>IFERROR(__xludf.DUMMYFUNCTION("""COMPUTED_VALUE"""),"Ghana")</f>
        <v>Ghana</v>
      </c>
      <c r="D5894">
        <f>IFERROR(__xludf.DUMMYFUNCTION("""COMPUTED_VALUE"""),2016.0)</f>
        <v>2016</v>
      </c>
      <c r="E5894">
        <f>IFERROR(__xludf.DUMMYFUNCTION("""COMPUTED_VALUE"""),2.8206728E7)</f>
        <v>28206728</v>
      </c>
    </row>
    <row r="5895">
      <c r="A5895" t="str">
        <f t="shared" si="1"/>
        <v>gha#2017</v>
      </c>
      <c r="B5895" t="str">
        <f>IFERROR(__xludf.DUMMYFUNCTION("""COMPUTED_VALUE"""),"gha")</f>
        <v>gha</v>
      </c>
      <c r="C5895" t="str">
        <f>IFERROR(__xludf.DUMMYFUNCTION("""COMPUTED_VALUE"""),"Ghana")</f>
        <v>Ghana</v>
      </c>
      <c r="D5895">
        <f>IFERROR(__xludf.DUMMYFUNCTION("""COMPUTED_VALUE"""),2017.0)</f>
        <v>2017</v>
      </c>
      <c r="E5895">
        <f>IFERROR(__xludf.DUMMYFUNCTION("""COMPUTED_VALUE"""),2.8833629E7)</f>
        <v>28833629</v>
      </c>
    </row>
    <row r="5896">
      <c r="A5896" t="str">
        <f t="shared" si="1"/>
        <v>gha#2018</v>
      </c>
      <c r="B5896" t="str">
        <f>IFERROR(__xludf.DUMMYFUNCTION("""COMPUTED_VALUE"""),"gha")</f>
        <v>gha</v>
      </c>
      <c r="C5896" t="str">
        <f>IFERROR(__xludf.DUMMYFUNCTION("""COMPUTED_VALUE"""),"Ghana")</f>
        <v>Ghana</v>
      </c>
      <c r="D5896">
        <f>IFERROR(__xludf.DUMMYFUNCTION("""COMPUTED_VALUE"""),2018.0)</f>
        <v>2018</v>
      </c>
      <c r="E5896">
        <f>IFERROR(__xludf.DUMMYFUNCTION("""COMPUTED_VALUE"""),2.9463643E7)</f>
        <v>29463643</v>
      </c>
    </row>
    <row r="5897">
      <c r="A5897" t="str">
        <f t="shared" si="1"/>
        <v>gha#2019</v>
      </c>
      <c r="B5897" t="str">
        <f>IFERROR(__xludf.DUMMYFUNCTION("""COMPUTED_VALUE"""),"gha")</f>
        <v>gha</v>
      </c>
      <c r="C5897" t="str">
        <f>IFERROR(__xludf.DUMMYFUNCTION("""COMPUTED_VALUE"""),"Ghana")</f>
        <v>Ghana</v>
      </c>
      <c r="D5897">
        <f>IFERROR(__xludf.DUMMYFUNCTION("""COMPUTED_VALUE"""),2019.0)</f>
        <v>2019</v>
      </c>
      <c r="E5897">
        <f>IFERROR(__xludf.DUMMYFUNCTION("""COMPUTED_VALUE"""),3.009697E7)</f>
        <v>30096970</v>
      </c>
    </row>
    <row r="5898">
      <c r="A5898" t="str">
        <f t="shared" si="1"/>
        <v>gha#2020</v>
      </c>
      <c r="B5898" t="str">
        <f>IFERROR(__xludf.DUMMYFUNCTION("""COMPUTED_VALUE"""),"gha")</f>
        <v>gha</v>
      </c>
      <c r="C5898" t="str">
        <f>IFERROR(__xludf.DUMMYFUNCTION("""COMPUTED_VALUE"""),"Ghana")</f>
        <v>Ghana</v>
      </c>
      <c r="D5898">
        <f>IFERROR(__xludf.DUMMYFUNCTION("""COMPUTED_VALUE"""),2020.0)</f>
        <v>2020</v>
      </c>
      <c r="E5898">
        <f>IFERROR(__xludf.DUMMYFUNCTION("""COMPUTED_VALUE"""),3.0733755E7)</f>
        <v>30733755</v>
      </c>
    </row>
    <row r="5899">
      <c r="A5899" t="str">
        <f t="shared" si="1"/>
        <v>gha#2021</v>
      </c>
      <c r="B5899" t="str">
        <f>IFERROR(__xludf.DUMMYFUNCTION("""COMPUTED_VALUE"""),"gha")</f>
        <v>gha</v>
      </c>
      <c r="C5899" t="str">
        <f>IFERROR(__xludf.DUMMYFUNCTION("""COMPUTED_VALUE"""),"Ghana")</f>
        <v>Ghana</v>
      </c>
      <c r="D5899">
        <f>IFERROR(__xludf.DUMMYFUNCTION("""COMPUTED_VALUE"""),2021.0)</f>
        <v>2021</v>
      </c>
      <c r="E5899">
        <f>IFERROR(__xludf.DUMMYFUNCTION("""COMPUTED_VALUE"""),3.1374052E7)</f>
        <v>31374052</v>
      </c>
    </row>
    <row r="5900">
      <c r="A5900" t="str">
        <f t="shared" si="1"/>
        <v>gha#2022</v>
      </c>
      <c r="B5900" t="str">
        <f>IFERROR(__xludf.DUMMYFUNCTION("""COMPUTED_VALUE"""),"gha")</f>
        <v>gha</v>
      </c>
      <c r="C5900" t="str">
        <f>IFERROR(__xludf.DUMMYFUNCTION("""COMPUTED_VALUE"""),"Ghana")</f>
        <v>Ghana</v>
      </c>
      <c r="D5900">
        <f>IFERROR(__xludf.DUMMYFUNCTION("""COMPUTED_VALUE"""),2022.0)</f>
        <v>2022</v>
      </c>
      <c r="E5900">
        <f>IFERROR(__xludf.DUMMYFUNCTION("""COMPUTED_VALUE"""),3.2017825E7)</f>
        <v>32017825</v>
      </c>
    </row>
    <row r="5901">
      <c r="A5901" t="str">
        <f t="shared" si="1"/>
        <v>gha#2023</v>
      </c>
      <c r="B5901" t="str">
        <f>IFERROR(__xludf.DUMMYFUNCTION("""COMPUTED_VALUE"""),"gha")</f>
        <v>gha</v>
      </c>
      <c r="C5901" t="str">
        <f>IFERROR(__xludf.DUMMYFUNCTION("""COMPUTED_VALUE"""),"Ghana")</f>
        <v>Ghana</v>
      </c>
      <c r="D5901">
        <f>IFERROR(__xludf.DUMMYFUNCTION("""COMPUTED_VALUE"""),2023.0)</f>
        <v>2023</v>
      </c>
      <c r="E5901">
        <f>IFERROR(__xludf.DUMMYFUNCTION("""COMPUTED_VALUE"""),3.2665069E7)</f>
        <v>32665069</v>
      </c>
    </row>
    <row r="5902">
      <c r="A5902" t="str">
        <f t="shared" si="1"/>
        <v>gha#2024</v>
      </c>
      <c r="B5902" t="str">
        <f>IFERROR(__xludf.DUMMYFUNCTION("""COMPUTED_VALUE"""),"gha")</f>
        <v>gha</v>
      </c>
      <c r="C5902" t="str">
        <f>IFERROR(__xludf.DUMMYFUNCTION("""COMPUTED_VALUE"""),"Ghana")</f>
        <v>Ghana</v>
      </c>
      <c r="D5902">
        <f>IFERROR(__xludf.DUMMYFUNCTION("""COMPUTED_VALUE"""),2024.0)</f>
        <v>2024</v>
      </c>
      <c r="E5902">
        <f>IFERROR(__xludf.DUMMYFUNCTION("""COMPUTED_VALUE"""),3.3315708E7)</f>
        <v>33315708</v>
      </c>
    </row>
    <row r="5903">
      <c r="A5903" t="str">
        <f t="shared" si="1"/>
        <v>gha#2025</v>
      </c>
      <c r="B5903" t="str">
        <f>IFERROR(__xludf.DUMMYFUNCTION("""COMPUTED_VALUE"""),"gha")</f>
        <v>gha</v>
      </c>
      <c r="C5903" t="str">
        <f>IFERROR(__xludf.DUMMYFUNCTION("""COMPUTED_VALUE"""),"Ghana")</f>
        <v>Ghana</v>
      </c>
      <c r="D5903">
        <f>IFERROR(__xludf.DUMMYFUNCTION("""COMPUTED_VALUE"""),2025.0)</f>
        <v>2025</v>
      </c>
      <c r="E5903">
        <f>IFERROR(__xludf.DUMMYFUNCTION("""COMPUTED_VALUE"""),3.3969758E7)</f>
        <v>33969758</v>
      </c>
    </row>
    <row r="5904">
      <c r="A5904" t="str">
        <f t="shared" si="1"/>
        <v>gha#2026</v>
      </c>
      <c r="B5904" t="str">
        <f>IFERROR(__xludf.DUMMYFUNCTION("""COMPUTED_VALUE"""),"gha")</f>
        <v>gha</v>
      </c>
      <c r="C5904" t="str">
        <f>IFERROR(__xludf.DUMMYFUNCTION("""COMPUTED_VALUE"""),"Ghana")</f>
        <v>Ghana</v>
      </c>
      <c r="D5904">
        <f>IFERROR(__xludf.DUMMYFUNCTION("""COMPUTED_VALUE"""),2026.0)</f>
        <v>2026</v>
      </c>
      <c r="E5904">
        <f>IFERROR(__xludf.DUMMYFUNCTION("""COMPUTED_VALUE"""),3.4627161E7)</f>
        <v>34627161</v>
      </c>
    </row>
    <row r="5905">
      <c r="A5905" t="str">
        <f t="shared" si="1"/>
        <v>gha#2027</v>
      </c>
      <c r="B5905" t="str">
        <f>IFERROR(__xludf.DUMMYFUNCTION("""COMPUTED_VALUE"""),"gha")</f>
        <v>gha</v>
      </c>
      <c r="C5905" t="str">
        <f>IFERROR(__xludf.DUMMYFUNCTION("""COMPUTED_VALUE"""),"Ghana")</f>
        <v>Ghana</v>
      </c>
      <c r="D5905">
        <f>IFERROR(__xludf.DUMMYFUNCTION("""COMPUTED_VALUE"""),2027.0)</f>
        <v>2027</v>
      </c>
      <c r="E5905">
        <f>IFERROR(__xludf.DUMMYFUNCTION("""COMPUTED_VALUE"""),3.5287968E7)</f>
        <v>35287968</v>
      </c>
    </row>
    <row r="5906">
      <c r="A5906" t="str">
        <f t="shared" si="1"/>
        <v>gha#2028</v>
      </c>
      <c r="B5906" t="str">
        <f>IFERROR(__xludf.DUMMYFUNCTION("""COMPUTED_VALUE"""),"gha")</f>
        <v>gha</v>
      </c>
      <c r="C5906" t="str">
        <f>IFERROR(__xludf.DUMMYFUNCTION("""COMPUTED_VALUE"""),"Ghana")</f>
        <v>Ghana</v>
      </c>
      <c r="D5906">
        <f>IFERROR(__xludf.DUMMYFUNCTION("""COMPUTED_VALUE"""),2028.0)</f>
        <v>2028</v>
      </c>
      <c r="E5906">
        <f>IFERROR(__xludf.DUMMYFUNCTION("""COMPUTED_VALUE"""),3.595249E7)</f>
        <v>35952490</v>
      </c>
    </row>
    <row r="5907">
      <c r="A5907" t="str">
        <f t="shared" si="1"/>
        <v>gha#2029</v>
      </c>
      <c r="B5907" t="str">
        <f>IFERROR(__xludf.DUMMYFUNCTION("""COMPUTED_VALUE"""),"gha")</f>
        <v>gha</v>
      </c>
      <c r="C5907" t="str">
        <f>IFERROR(__xludf.DUMMYFUNCTION("""COMPUTED_VALUE"""),"Ghana")</f>
        <v>Ghana</v>
      </c>
      <c r="D5907">
        <f>IFERROR(__xludf.DUMMYFUNCTION("""COMPUTED_VALUE"""),2029.0)</f>
        <v>2029</v>
      </c>
      <c r="E5907">
        <f>IFERROR(__xludf.DUMMYFUNCTION("""COMPUTED_VALUE"""),3.6621087E7)</f>
        <v>36621087</v>
      </c>
    </row>
    <row r="5908">
      <c r="A5908" t="str">
        <f t="shared" si="1"/>
        <v>gha#2030</v>
      </c>
      <c r="B5908" t="str">
        <f>IFERROR(__xludf.DUMMYFUNCTION("""COMPUTED_VALUE"""),"gha")</f>
        <v>gha</v>
      </c>
      <c r="C5908" t="str">
        <f>IFERROR(__xludf.DUMMYFUNCTION("""COMPUTED_VALUE"""),"Ghana")</f>
        <v>Ghana</v>
      </c>
      <c r="D5908">
        <f>IFERROR(__xludf.DUMMYFUNCTION("""COMPUTED_VALUE"""),2030.0)</f>
        <v>2030</v>
      </c>
      <c r="E5908">
        <f>IFERROR(__xludf.DUMMYFUNCTION("""COMPUTED_VALUE"""),3.7294019E7)</f>
        <v>37294019</v>
      </c>
    </row>
    <row r="5909">
      <c r="A5909" t="str">
        <f t="shared" si="1"/>
        <v>gha#2031</v>
      </c>
      <c r="B5909" t="str">
        <f>IFERROR(__xludf.DUMMYFUNCTION("""COMPUTED_VALUE"""),"gha")</f>
        <v>gha</v>
      </c>
      <c r="C5909" t="str">
        <f>IFERROR(__xludf.DUMMYFUNCTION("""COMPUTED_VALUE"""),"Ghana")</f>
        <v>Ghana</v>
      </c>
      <c r="D5909">
        <f>IFERROR(__xludf.DUMMYFUNCTION("""COMPUTED_VALUE"""),2031.0)</f>
        <v>2031</v>
      </c>
      <c r="E5909">
        <f>IFERROR(__xludf.DUMMYFUNCTION("""COMPUTED_VALUE"""),3.7971309E7)</f>
        <v>37971309</v>
      </c>
    </row>
    <row r="5910">
      <c r="A5910" t="str">
        <f t="shared" si="1"/>
        <v>gha#2032</v>
      </c>
      <c r="B5910" t="str">
        <f>IFERROR(__xludf.DUMMYFUNCTION("""COMPUTED_VALUE"""),"gha")</f>
        <v>gha</v>
      </c>
      <c r="C5910" t="str">
        <f>IFERROR(__xludf.DUMMYFUNCTION("""COMPUTED_VALUE"""),"Ghana")</f>
        <v>Ghana</v>
      </c>
      <c r="D5910">
        <f>IFERROR(__xludf.DUMMYFUNCTION("""COMPUTED_VALUE"""),2032.0)</f>
        <v>2032</v>
      </c>
      <c r="E5910">
        <f>IFERROR(__xludf.DUMMYFUNCTION("""COMPUTED_VALUE"""),3.8652767E7)</f>
        <v>38652767</v>
      </c>
    </row>
    <row r="5911">
      <c r="A5911" t="str">
        <f t="shared" si="1"/>
        <v>gha#2033</v>
      </c>
      <c r="B5911" t="str">
        <f>IFERROR(__xludf.DUMMYFUNCTION("""COMPUTED_VALUE"""),"gha")</f>
        <v>gha</v>
      </c>
      <c r="C5911" t="str">
        <f>IFERROR(__xludf.DUMMYFUNCTION("""COMPUTED_VALUE"""),"Ghana")</f>
        <v>Ghana</v>
      </c>
      <c r="D5911">
        <f>IFERROR(__xludf.DUMMYFUNCTION("""COMPUTED_VALUE"""),2033.0)</f>
        <v>2033</v>
      </c>
      <c r="E5911">
        <f>IFERROR(__xludf.DUMMYFUNCTION("""COMPUTED_VALUE"""),3.9338139E7)</f>
        <v>39338139</v>
      </c>
    </row>
    <row r="5912">
      <c r="A5912" t="str">
        <f t="shared" si="1"/>
        <v>gha#2034</v>
      </c>
      <c r="B5912" t="str">
        <f>IFERROR(__xludf.DUMMYFUNCTION("""COMPUTED_VALUE"""),"gha")</f>
        <v>gha</v>
      </c>
      <c r="C5912" t="str">
        <f>IFERROR(__xludf.DUMMYFUNCTION("""COMPUTED_VALUE"""),"Ghana")</f>
        <v>Ghana</v>
      </c>
      <c r="D5912">
        <f>IFERROR(__xludf.DUMMYFUNCTION("""COMPUTED_VALUE"""),2034.0)</f>
        <v>2034</v>
      </c>
      <c r="E5912">
        <f>IFERROR(__xludf.DUMMYFUNCTION("""COMPUTED_VALUE"""),4.0027113E7)</f>
        <v>40027113</v>
      </c>
    </row>
    <row r="5913">
      <c r="A5913" t="str">
        <f t="shared" si="1"/>
        <v>gha#2035</v>
      </c>
      <c r="B5913" t="str">
        <f>IFERROR(__xludf.DUMMYFUNCTION("""COMPUTED_VALUE"""),"gha")</f>
        <v>gha</v>
      </c>
      <c r="C5913" t="str">
        <f>IFERROR(__xludf.DUMMYFUNCTION("""COMPUTED_VALUE"""),"Ghana")</f>
        <v>Ghana</v>
      </c>
      <c r="D5913">
        <f>IFERROR(__xludf.DUMMYFUNCTION("""COMPUTED_VALUE"""),2035.0)</f>
        <v>2035</v>
      </c>
      <c r="E5913">
        <f>IFERROR(__xludf.DUMMYFUNCTION("""COMPUTED_VALUE"""),4.0719336E7)</f>
        <v>40719336</v>
      </c>
    </row>
    <row r="5914">
      <c r="A5914" t="str">
        <f t="shared" si="1"/>
        <v>gha#2036</v>
      </c>
      <c r="B5914" t="str">
        <f>IFERROR(__xludf.DUMMYFUNCTION("""COMPUTED_VALUE"""),"gha")</f>
        <v>gha</v>
      </c>
      <c r="C5914" t="str">
        <f>IFERROR(__xludf.DUMMYFUNCTION("""COMPUTED_VALUE"""),"Ghana")</f>
        <v>Ghana</v>
      </c>
      <c r="D5914">
        <f>IFERROR(__xludf.DUMMYFUNCTION("""COMPUTED_VALUE"""),2036.0)</f>
        <v>2036</v>
      </c>
      <c r="E5914">
        <f>IFERROR(__xludf.DUMMYFUNCTION("""COMPUTED_VALUE"""),4.1414511E7)</f>
        <v>41414511</v>
      </c>
    </row>
    <row r="5915">
      <c r="A5915" t="str">
        <f t="shared" si="1"/>
        <v>gha#2037</v>
      </c>
      <c r="B5915" t="str">
        <f>IFERROR(__xludf.DUMMYFUNCTION("""COMPUTED_VALUE"""),"gha")</f>
        <v>gha</v>
      </c>
      <c r="C5915" t="str">
        <f>IFERROR(__xludf.DUMMYFUNCTION("""COMPUTED_VALUE"""),"Ghana")</f>
        <v>Ghana</v>
      </c>
      <c r="D5915">
        <f>IFERROR(__xludf.DUMMYFUNCTION("""COMPUTED_VALUE"""),2037.0)</f>
        <v>2037</v>
      </c>
      <c r="E5915">
        <f>IFERROR(__xludf.DUMMYFUNCTION("""COMPUTED_VALUE"""),4.2112439E7)</f>
        <v>42112439</v>
      </c>
    </row>
    <row r="5916">
      <c r="A5916" t="str">
        <f t="shared" si="1"/>
        <v>gha#2038</v>
      </c>
      <c r="B5916" t="str">
        <f>IFERROR(__xludf.DUMMYFUNCTION("""COMPUTED_VALUE"""),"gha")</f>
        <v>gha</v>
      </c>
      <c r="C5916" t="str">
        <f>IFERROR(__xludf.DUMMYFUNCTION("""COMPUTED_VALUE"""),"Ghana")</f>
        <v>Ghana</v>
      </c>
      <c r="D5916">
        <f>IFERROR(__xludf.DUMMYFUNCTION("""COMPUTED_VALUE"""),2038.0)</f>
        <v>2038</v>
      </c>
      <c r="E5916">
        <f>IFERROR(__xludf.DUMMYFUNCTION("""COMPUTED_VALUE"""),4.2813023E7)</f>
        <v>42813023</v>
      </c>
    </row>
    <row r="5917">
      <c r="A5917" t="str">
        <f t="shared" si="1"/>
        <v>gha#2039</v>
      </c>
      <c r="B5917" t="str">
        <f>IFERROR(__xludf.DUMMYFUNCTION("""COMPUTED_VALUE"""),"gha")</f>
        <v>gha</v>
      </c>
      <c r="C5917" t="str">
        <f>IFERROR(__xludf.DUMMYFUNCTION("""COMPUTED_VALUE"""),"Ghana")</f>
        <v>Ghana</v>
      </c>
      <c r="D5917">
        <f>IFERROR(__xludf.DUMMYFUNCTION("""COMPUTED_VALUE"""),2039.0)</f>
        <v>2039</v>
      </c>
      <c r="E5917">
        <f>IFERROR(__xludf.DUMMYFUNCTION("""COMPUTED_VALUE"""),4.3516217E7)</f>
        <v>43516217</v>
      </c>
    </row>
    <row r="5918">
      <c r="A5918" t="str">
        <f t="shared" si="1"/>
        <v>gha#2040</v>
      </c>
      <c r="B5918" t="str">
        <f>IFERROR(__xludf.DUMMYFUNCTION("""COMPUTED_VALUE"""),"gha")</f>
        <v>gha</v>
      </c>
      <c r="C5918" t="str">
        <f>IFERROR(__xludf.DUMMYFUNCTION("""COMPUTED_VALUE"""),"Ghana")</f>
        <v>Ghana</v>
      </c>
      <c r="D5918">
        <f>IFERROR(__xludf.DUMMYFUNCTION("""COMPUTED_VALUE"""),2040.0)</f>
        <v>2040</v>
      </c>
      <c r="E5918">
        <f>IFERROR(__xludf.DUMMYFUNCTION("""COMPUTED_VALUE"""),4.4221824E7)</f>
        <v>44221824</v>
      </c>
    </row>
    <row r="5919">
      <c r="A5919" t="str">
        <f t="shared" si="1"/>
        <v>grc#1950</v>
      </c>
      <c r="B5919" t="str">
        <f>IFERROR(__xludf.DUMMYFUNCTION("""COMPUTED_VALUE"""),"grc")</f>
        <v>grc</v>
      </c>
      <c r="C5919" t="str">
        <f>IFERROR(__xludf.DUMMYFUNCTION("""COMPUTED_VALUE"""),"Greece")</f>
        <v>Greece</v>
      </c>
      <c r="D5919">
        <f>IFERROR(__xludf.DUMMYFUNCTION("""COMPUTED_VALUE"""),1950.0)</f>
        <v>1950</v>
      </c>
      <c r="E5919">
        <f>IFERROR(__xludf.DUMMYFUNCTION("""COMPUTED_VALUE"""),7668794.0)</f>
        <v>7668794</v>
      </c>
    </row>
    <row r="5920">
      <c r="A5920" t="str">
        <f t="shared" si="1"/>
        <v>grc#1951</v>
      </c>
      <c r="B5920" t="str">
        <f>IFERROR(__xludf.DUMMYFUNCTION("""COMPUTED_VALUE"""),"grc")</f>
        <v>grc</v>
      </c>
      <c r="C5920" t="str">
        <f>IFERROR(__xludf.DUMMYFUNCTION("""COMPUTED_VALUE"""),"Greece")</f>
        <v>Greece</v>
      </c>
      <c r="D5920">
        <f>IFERROR(__xludf.DUMMYFUNCTION("""COMPUTED_VALUE"""),1951.0)</f>
        <v>1951</v>
      </c>
      <c r="E5920">
        <f>IFERROR(__xludf.DUMMYFUNCTION("""COMPUTED_VALUE"""),7743251.0)</f>
        <v>7743251</v>
      </c>
    </row>
    <row r="5921">
      <c r="A5921" t="str">
        <f t="shared" si="1"/>
        <v>grc#1952</v>
      </c>
      <c r="B5921" t="str">
        <f>IFERROR(__xludf.DUMMYFUNCTION("""COMPUTED_VALUE"""),"grc")</f>
        <v>grc</v>
      </c>
      <c r="C5921" t="str">
        <f>IFERROR(__xludf.DUMMYFUNCTION("""COMPUTED_VALUE"""),"Greece")</f>
        <v>Greece</v>
      </c>
      <c r="D5921">
        <f>IFERROR(__xludf.DUMMYFUNCTION("""COMPUTED_VALUE"""),1952.0)</f>
        <v>1952</v>
      </c>
      <c r="E5921">
        <f>IFERROR(__xludf.DUMMYFUNCTION("""COMPUTED_VALUE"""),7814593.0)</f>
        <v>7814593</v>
      </c>
    </row>
    <row r="5922">
      <c r="A5922" t="str">
        <f t="shared" si="1"/>
        <v>grc#1953</v>
      </c>
      <c r="B5922" t="str">
        <f>IFERROR(__xludf.DUMMYFUNCTION("""COMPUTED_VALUE"""),"grc")</f>
        <v>grc</v>
      </c>
      <c r="C5922" t="str">
        <f>IFERROR(__xludf.DUMMYFUNCTION("""COMPUTED_VALUE"""),"Greece")</f>
        <v>Greece</v>
      </c>
      <c r="D5922">
        <f>IFERROR(__xludf.DUMMYFUNCTION("""COMPUTED_VALUE"""),1953.0)</f>
        <v>1953</v>
      </c>
      <c r="E5922">
        <f>IFERROR(__xludf.DUMMYFUNCTION("""COMPUTED_VALUE"""),7882997.0)</f>
        <v>7882997</v>
      </c>
    </row>
    <row r="5923">
      <c r="A5923" t="str">
        <f t="shared" si="1"/>
        <v>grc#1954</v>
      </c>
      <c r="B5923" t="str">
        <f>IFERROR(__xludf.DUMMYFUNCTION("""COMPUTED_VALUE"""),"grc")</f>
        <v>grc</v>
      </c>
      <c r="C5923" t="str">
        <f>IFERROR(__xludf.DUMMYFUNCTION("""COMPUTED_VALUE"""),"Greece")</f>
        <v>Greece</v>
      </c>
      <c r="D5923">
        <f>IFERROR(__xludf.DUMMYFUNCTION("""COMPUTED_VALUE"""),1954.0)</f>
        <v>1954</v>
      </c>
      <c r="E5923">
        <f>IFERROR(__xludf.DUMMYFUNCTION("""COMPUTED_VALUE"""),7948525.0)</f>
        <v>7948525</v>
      </c>
    </row>
    <row r="5924">
      <c r="A5924" t="str">
        <f t="shared" si="1"/>
        <v>grc#1955</v>
      </c>
      <c r="B5924" t="str">
        <f>IFERROR(__xludf.DUMMYFUNCTION("""COMPUTED_VALUE"""),"grc")</f>
        <v>grc</v>
      </c>
      <c r="C5924" t="str">
        <f>IFERROR(__xludf.DUMMYFUNCTION("""COMPUTED_VALUE"""),"Greece")</f>
        <v>Greece</v>
      </c>
      <c r="D5924">
        <f>IFERROR(__xludf.DUMMYFUNCTION("""COMPUTED_VALUE"""),1955.0)</f>
        <v>1955</v>
      </c>
      <c r="E5924">
        <f>IFERROR(__xludf.DUMMYFUNCTION("""COMPUTED_VALUE"""),8011124.0)</f>
        <v>8011124</v>
      </c>
    </row>
    <row r="5925">
      <c r="A5925" t="str">
        <f t="shared" si="1"/>
        <v>grc#1956</v>
      </c>
      <c r="B5925" t="str">
        <f>IFERROR(__xludf.DUMMYFUNCTION("""COMPUTED_VALUE"""),"grc")</f>
        <v>grc</v>
      </c>
      <c r="C5925" t="str">
        <f>IFERROR(__xludf.DUMMYFUNCTION("""COMPUTED_VALUE"""),"Greece")</f>
        <v>Greece</v>
      </c>
      <c r="D5925">
        <f>IFERROR(__xludf.DUMMYFUNCTION("""COMPUTED_VALUE"""),1956.0)</f>
        <v>1956</v>
      </c>
      <c r="E5925">
        <f>IFERROR(__xludf.DUMMYFUNCTION("""COMPUTED_VALUE"""),8070644.0)</f>
        <v>8070644</v>
      </c>
    </row>
    <row r="5926">
      <c r="A5926" t="str">
        <f t="shared" si="1"/>
        <v>grc#1957</v>
      </c>
      <c r="B5926" t="str">
        <f>IFERROR(__xludf.DUMMYFUNCTION("""COMPUTED_VALUE"""),"grc")</f>
        <v>grc</v>
      </c>
      <c r="C5926" t="str">
        <f>IFERROR(__xludf.DUMMYFUNCTION("""COMPUTED_VALUE"""),"Greece")</f>
        <v>Greece</v>
      </c>
      <c r="D5926">
        <f>IFERROR(__xludf.DUMMYFUNCTION("""COMPUTED_VALUE"""),1957.0)</f>
        <v>1957</v>
      </c>
      <c r="E5926">
        <f>IFERROR(__xludf.DUMMYFUNCTION("""COMPUTED_VALUE"""),8126805.0)</f>
        <v>8126805</v>
      </c>
    </row>
    <row r="5927">
      <c r="A5927" t="str">
        <f t="shared" si="1"/>
        <v>grc#1958</v>
      </c>
      <c r="B5927" t="str">
        <f>IFERROR(__xludf.DUMMYFUNCTION("""COMPUTED_VALUE"""),"grc")</f>
        <v>grc</v>
      </c>
      <c r="C5927" t="str">
        <f>IFERROR(__xludf.DUMMYFUNCTION("""COMPUTED_VALUE"""),"Greece")</f>
        <v>Greece</v>
      </c>
      <c r="D5927">
        <f>IFERROR(__xludf.DUMMYFUNCTION("""COMPUTED_VALUE"""),1958.0)</f>
        <v>1958</v>
      </c>
      <c r="E5927">
        <f>IFERROR(__xludf.DUMMYFUNCTION("""COMPUTED_VALUE"""),8179268.0)</f>
        <v>8179268</v>
      </c>
    </row>
    <row r="5928">
      <c r="A5928" t="str">
        <f t="shared" si="1"/>
        <v>grc#1959</v>
      </c>
      <c r="B5928" t="str">
        <f>IFERROR(__xludf.DUMMYFUNCTION("""COMPUTED_VALUE"""),"grc")</f>
        <v>grc</v>
      </c>
      <c r="C5928" t="str">
        <f>IFERROR(__xludf.DUMMYFUNCTION("""COMPUTED_VALUE"""),"Greece")</f>
        <v>Greece</v>
      </c>
      <c r="D5928">
        <f>IFERROR(__xludf.DUMMYFUNCTION("""COMPUTED_VALUE"""),1959.0)</f>
        <v>1959</v>
      </c>
      <c r="E5928">
        <f>IFERROR(__xludf.DUMMYFUNCTION("""COMPUTED_VALUE"""),8227654.0)</f>
        <v>8227654</v>
      </c>
    </row>
    <row r="5929">
      <c r="A5929" t="str">
        <f t="shared" si="1"/>
        <v>grc#1960</v>
      </c>
      <c r="B5929" t="str">
        <f>IFERROR(__xludf.DUMMYFUNCTION("""COMPUTED_VALUE"""),"grc")</f>
        <v>grc</v>
      </c>
      <c r="C5929" t="str">
        <f>IFERROR(__xludf.DUMMYFUNCTION("""COMPUTED_VALUE"""),"Greece")</f>
        <v>Greece</v>
      </c>
      <c r="D5929">
        <f>IFERROR(__xludf.DUMMYFUNCTION("""COMPUTED_VALUE"""),1960.0)</f>
        <v>1960</v>
      </c>
      <c r="E5929">
        <f>IFERROR(__xludf.DUMMYFUNCTION("""COMPUTED_VALUE"""),8271788.0)</f>
        <v>8271788</v>
      </c>
    </row>
    <row r="5930">
      <c r="A5930" t="str">
        <f t="shared" si="1"/>
        <v>grc#1961</v>
      </c>
      <c r="B5930" t="str">
        <f>IFERROR(__xludf.DUMMYFUNCTION("""COMPUTED_VALUE"""),"grc")</f>
        <v>grc</v>
      </c>
      <c r="C5930" t="str">
        <f>IFERROR(__xludf.DUMMYFUNCTION("""COMPUTED_VALUE"""),"Greece")</f>
        <v>Greece</v>
      </c>
      <c r="D5930">
        <f>IFERROR(__xludf.DUMMYFUNCTION("""COMPUTED_VALUE"""),1961.0)</f>
        <v>1961</v>
      </c>
      <c r="E5930">
        <f>IFERROR(__xludf.DUMMYFUNCTION("""COMPUTED_VALUE"""),8311808.0)</f>
        <v>8311808</v>
      </c>
    </row>
    <row r="5931">
      <c r="A5931" t="str">
        <f t="shared" si="1"/>
        <v>grc#1962</v>
      </c>
      <c r="B5931" t="str">
        <f>IFERROR(__xludf.DUMMYFUNCTION("""COMPUTED_VALUE"""),"grc")</f>
        <v>grc</v>
      </c>
      <c r="C5931" t="str">
        <f>IFERROR(__xludf.DUMMYFUNCTION("""COMPUTED_VALUE"""),"Greece")</f>
        <v>Greece</v>
      </c>
      <c r="D5931">
        <f>IFERROR(__xludf.DUMMYFUNCTION("""COMPUTED_VALUE"""),1962.0)</f>
        <v>1962</v>
      </c>
      <c r="E5931">
        <f>IFERROR(__xludf.DUMMYFUNCTION("""COMPUTED_VALUE"""),8348332.0)</f>
        <v>8348332</v>
      </c>
    </row>
    <row r="5932">
      <c r="A5932" t="str">
        <f t="shared" si="1"/>
        <v>grc#1963</v>
      </c>
      <c r="B5932" t="str">
        <f>IFERROR(__xludf.DUMMYFUNCTION("""COMPUTED_VALUE"""),"grc")</f>
        <v>grc</v>
      </c>
      <c r="C5932" t="str">
        <f>IFERROR(__xludf.DUMMYFUNCTION("""COMPUTED_VALUE"""),"Greece")</f>
        <v>Greece</v>
      </c>
      <c r="D5932">
        <f>IFERROR(__xludf.DUMMYFUNCTION("""COMPUTED_VALUE"""),1963.0)</f>
        <v>1963</v>
      </c>
      <c r="E5932">
        <f>IFERROR(__xludf.DUMMYFUNCTION("""COMPUTED_VALUE"""),8382605.0)</f>
        <v>8382605</v>
      </c>
    </row>
    <row r="5933">
      <c r="A5933" t="str">
        <f t="shared" si="1"/>
        <v>grc#1964</v>
      </c>
      <c r="B5933" t="str">
        <f>IFERROR(__xludf.DUMMYFUNCTION("""COMPUTED_VALUE"""),"grc")</f>
        <v>grc</v>
      </c>
      <c r="C5933" t="str">
        <f>IFERROR(__xludf.DUMMYFUNCTION("""COMPUTED_VALUE"""),"Greece")</f>
        <v>Greece</v>
      </c>
      <c r="D5933">
        <f>IFERROR(__xludf.DUMMYFUNCTION("""COMPUTED_VALUE"""),1964.0)</f>
        <v>1964</v>
      </c>
      <c r="E5933">
        <f>IFERROR(__xludf.DUMMYFUNCTION("""COMPUTED_VALUE"""),8416193.0)</f>
        <v>8416193</v>
      </c>
    </row>
    <row r="5934">
      <c r="A5934" t="str">
        <f t="shared" si="1"/>
        <v>grc#1965</v>
      </c>
      <c r="B5934" t="str">
        <f>IFERROR(__xludf.DUMMYFUNCTION("""COMPUTED_VALUE"""),"grc")</f>
        <v>grc</v>
      </c>
      <c r="C5934" t="str">
        <f>IFERROR(__xludf.DUMMYFUNCTION("""COMPUTED_VALUE"""),"Greece")</f>
        <v>Greece</v>
      </c>
      <c r="D5934">
        <f>IFERROR(__xludf.DUMMYFUNCTION("""COMPUTED_VALUE"""),1965.0)</f>
        <v>1965</v>
      </c>
      <c r="E5934">
        <f>IFERROR(__xludf.DUMMYFUNCTION("""COMPUTED_VALUE"""),8450504.0)</f>
        <v>8450504</v>
      </c>
    </row>
    <row r="5935">
      <c r="A5935" t="str">
        <f t="shared" si="1"/>
        <v>grc#1966</v>
      </c>
      <c r="B5935" t="str">
        <f>IFERROR(__xludf.DUMMYFUNCTION("""COMPUTED_VALUE"""),"grc")</f>
        <v>grc</v>
      </c>
      <c r="C5935" t="str">
        <f>IFERROR(__xludf.DUMMYFUNCTION("""COMPUTED_VALUE"""),"Greece")</f>
        <v>Greece</v>
      </c>
      <c r="D5935">
        <f>IFERROR(__xludf.DUMMYFUNCTION("""COMPUTED_VALUE"""),1966.0)</f>
        <v>1966</v>
      </c>
      <c r="E5935">
        <f>IFERROR(__xludf.DUMMYFUNCTION("""COMPUTED_VALUE"""),8486428.0)</f>
        <v>8486428</v>
      </c>
    </row>
    <row r="5936">
      <c r="A5936" t="str">
        <f t="shared" si="1"/>
        <v>grc#1967</v>
      </c>
      <c r="B5936" t="str">
        <f>IFERROR(__xludf.DUMMYFUNCTION("""COMPUTED_VALUE"""),"grc")</f>
        <v>grc</v>
      </c>
      <c r="C5936" t="str">
        <f>IFERROR(__xludf.DUMMYFUNCTION("""COMPUTED_VALUE"""),"Greece")</f>
        <v>Greece</v>
      </c>
      <c r="D5936">
        <f>IFERROR(__xludf.DUMMYFUNCTION("""COMPUTED_VALUE"""),1967.0)</f>
        <v>1967</v>
      </c>
      <c r="E5936">
        <f>IFERROR(__xludf.DUMMYFUNCTION("""COMPUTED_VALUE"""),8524555.0)</f>
        <v>8524555</v>
      </c>
    </row>
    <row r="5937">
      <c r="A5937" t="str">
        <f t="shared" si="1"/>
        <v>grc#1968</v>
      </c>
      <c r="B5937" t="str">
        <f>IFERROR(__xludf.DUMMYFUNCTION("""COMPUTED_VALUE"""),"grc")</f>
        <v>grc</v>
      </c>
      <c r="C5937" t="str">
        <f>IFERROR(__xludf.DUMMYFUNCTION("""COMPUTED_VALUE"""),"Greece")</f>
        <v>Greece</v>
      </c>
      <c r="D5937">
        <f>IFERROR(__xludf.DUMMYFUNCTION("""COMPUTED_VALUE"""),1968.0)</f>
        <v>1968</v>
      </c>
      <c r="E5937">
        <f>IFERROR(__xludf.DUMMYFUNCTION("""COMPUTED_VALUE"""),8565665.0)</f>
        <v>8565665</v>
      </c>
    </row>
    <row r="5938">
      <c r="A5938" t="str">
        <f t="shared" si="1"/>
        <v>grc#1969</v>
      </c>
      <c r="B5938" t="str">
        <f>IFERROR(__xludf.DUMMYFUNCTION("""COMPUTED_VALUE"""),"grc")</f>
        <v>grc</v>
      </c>
      <c r="C5938" t="str">
        <f>IFERROR(__xludf.DUMMYFUNCTION("""COMPUTED_VALUE"""),"Greece")</f>
        <v>Greece</v>
      </c>
      <c r="D5938">
        <f>IFERROR(__xludf.DUMMYFUNCTION("""COMPUTED_VALUE"""),1969.0)</f>
        <v>1969</v>
      </c>
      <c r="E5938">
        <f>IFERROR(__xludf.DUMMYFUNCTION("""COMPUTED_VALUE"""),8610472.0)</f>
        <v>8610472</v>
      </c>
    </row>
    <row r="5939">
      <c r="A5939" t="str">
        <f t="shared" si="1"/>
        <v>grc#1970</v>
      </c>
      <c r="B5939" t="str">
        <f>IFERROR(__xludf.DUMMYFUNCTION("""COMPUTED_VALUE"""),"grc")</f>
        <v>grc</v>
      </c>
      <c r="C5939" t="str">
        <f>IFERROR(__xludf.DUMMYFUNCTION("""COMPUTED_VALUE"""),"Greece")</f>
        <v>Greece</v>
      </c>
      <c r="D5939">
        <f>IFERROR(__xludf.DUMMYFUNCTION("""COMPUTED_VALUE"""),1970.0)</f>
        <v>1970</v>
      </c>
      <c r="E5939">
        <f>IFERROR(__xludf.DUMMYFUNCTION("""COMPUTED_VALUE"""),8659795.0)</f>
        <v>8659795</v>
      </c>
    </row>
    <row r="5940">
      <c r="A5940" t="str">
        <f t="shared" si="1"/>
        <v>grc#1971</v>
      </c>
      <c r="B5940" t="str">
        <f>IFERROR(__xludf.DUMMYFUNCTION("""COMPUTED_VALUE"""),"grc")</f>
        <v>grc</v>
      </c>
      <c r="C5940" t="str">
        <f>IFERROR(__xludf.DUMMYFUNCTION("""COMPUTED_VALUE"""),"Greece")</f>
        <v>Greece</v>
      </c>
      <c r="D5940">
        <f>IFERROR(__xludf.DUMMYFUNCTION("""COMPUTED_VALUE"""),1971.0)</f>
        <v>1971</v>
      </c>
      <c r="E5940">
        <f>IFERROR(__xludf.DUMMYFUNCTION("""COMPUTED_VALUE"""),8712683.0)</f>
        <v>8712683</v>
      </c>
    </row>
    <row r="5941">
      <c r="A5941" t="str">
        <f t="shared" si="1"/>
        <v>grc#1972</v>
      </c>
      <c r="B5941" t="str">
        <f>IFERROR(__xludf.DUMMYFUNCTION("""COMPUTED_VALUE"""),"grc")</f>
        <v>grc</v>
      </c>
      <c r="C5941" t="str">
        <f>IFERROR(__xludf.DUMMYFUNCTION("""COMPUTED_VALUE"""),"Greece")</f>
        <v>Greece</v>
      </c>
      <c r="D5941">
        <f>IFERROR(__xludf.DUMMYFUNCTION("""COMPUTED_VALUE"""),1972.0)</f>
        <v>1972</v>
      </c>
      <c r="E5941">
        <f>IFERROR(__xludf.DUMMYFUNCTION("""COMPUTED_VALUE"""),8769758.0)</f>
        <v>8769758</v>
      </c>
    </row>
    <row r="5942">
      <c r="A5942" t="str">
        <f t="shared" si="1"/>
        <v>grc#1973</v>
      </c>
      <c r="B5942" t="str">
        <f>IFERROR(__xludf.DUMMYFUNCTION("""COMPUTED_VALUE"""),"grc")</f>
        <v>grc</v>
      </c>
      <c r="C5942" t="str">
        <f>IFERROR(__xludf.DUMMYFUNCTION("""COMPUTED_VALUE"""),"Greece")</f>
        <v>Greece</v>
      </c>
      <c r="D5942">
        <f>IFERROR(__xludf.DUMMYFUNCTION("""COMPUTED_VALUE"""),1973.0)</f>
        <v>1973</v>
      </c>
      <c r="E5942">
        <f>IFERROR(__xludf.DUMMYFUNCTION("""COMPUTED_VALUE"""),8835139.0)</f>
        <v>8835139</v>
      </c>
    </row>
    <row r="5943">
      <c r="A5943" t="str">
        <f t="shared" si="1"/>
        <v>grc#1974</v>
      </c>
      <c r="B5943" t="str">
        <f>IFERROR(__xludf.DUMMYFUNCTION("""COMPUTED_VALUE"""),"grc")</f>
        <v>grc</v>
      </c>
      <c r="C5943" t="str">
        <f>IFERROR(__xludf.DUMMYFUNCTION("""COMPUTED_VALUE"""),"Greece")</f>
        <v>Greece</v>
      </c>
      <c r="D5943">
        <f>IFERROR(__xludf.DUMMYFUNCTION("""COMPUTED_VALUE"""),1974.0)</f>
        <v>1974</v>
      </c>
      <c r="E5943">
        <f>IFERROR(__xludf.DUMMYFUNCTION("""COMPUTED_VALUE"""),8914176.0)</f>
        <v>8914176</v>
      </c>
    </row>
    <row r="5944">
      <c r="A5944" t="str">
        <f t="shared" si="1"/>
        <v>grc#1975</v>
      </c>
      <c r="B5944" t="str">
        <f>IFERROR(__xludf.DUMMYFUNCTION("""COMPUTED_VALUE"""),"grc")</f>
        <v>grc</v>
      </c>
      <c r="C5944" t="str">
        <f>IFERROR(__xludf.DUMMYFUNCTION("""COMPUTED_VALUE"""),"Greece")</f>
        <v>Greece</v>
      </c>
      <c r="D5944">
        <f>IFERROR(__xludf.DUMMYFUNCTION("""COMPUTED_VALUE"""),1975.0)</f>
        <v>1975</v>
      </c>
      <c r="E5944">
        <f>IFERROR(__xludf.DUMMYFUNCTION("""COMPUTED_VALUE"""),9009917.0)</f>
        <v>9009917</v>
      </c>
    </row>
    <row r="5945">
      <c r="A5945" t="str">
        <f t="shared" si="1"/>
        <v>grc#1976</v>
      </c>
      <c r="B5945" t="str">
        <f>IFERROR(__xludf.DUMMYFUNCTION("""COMPUTED_VALUE"""),"grc")</f>
        <v>grc</v>
      </c>
      <c r="C5945" t="str">
        <f>IFERROR(__xludf.DUMMYFUNCTION("""COMPUTED_VALUE"""),"Greece")</f>
        <v>Greece</v>
      </c>
      <c r="D5945">
        <f>IFERROR(__xludf.DUMMYFUNCTION("""COMPUTED_VALUE"""),1976.0)</f>
        <v>1976</v>
      </c>
      <c r="E5945">
        <f>IFERROR(__xludf.DUMMYFUNCTION("""COMPUTED_VALUE"""),9124755.0)</f>
        <v>9124755</v>
      </c>
    </row>
    <row r="5946">
      <c r="A5946" t="str">
        <f t="shared" si="1"/>
        <v>grc#1977</v>
      </c>
      <c r="B5946" t="str">
        <f>IFERROR(__xludf.DUMMYFUNCTION("""COMPUTED_VALUE"""),"grc")</f>
        <v>grc</v>
      </c>
      <c r="C5946" t="str">
        <f>IFERROR(__xludf.DUMMYFUNCTION("""COMPUTED_VALUE"""),"Greece")</f>
        <v>Greece</v>
      </c>
      <c r="D5946">
        <f>IFERROR(__xludf.DUMMYFUNCTION("""COMPUTED_VALUE"""),1977.0)</f>
        <v>1977</v>
      </c>
      <c r="E5946">
        <f>IFERROR(__xludf.DUMMYFUNCTION("""COMPUTED_VALUE"""),9255380.0)</f>
        <v>9255380</v>
      </c>
    </row>
    <row r="5947">
      <c r="A5947" t="str">
        <f t="shared" si="1"/>
        <v>grc#1978</v>
      </c>
      <c r="B5947" t="str">
        <f>IFERROR(__xludf.DUMMYFUNCTION("""COMPUTED_VALUE"""),"grc")</f>
        <v>grc</v>
      </c>
      <c r="C5947" t="str">
        <f>IFERROR(__xludf.DUMMYFUNCTION("""COMPUTED_VALUE"""),"Greece")</f>
        <v>Greece</v>
      </c>
      <c r="D5947">
        <f>IFERROR(__xludf.DUMMYFUNCTION("""COMPUTED_VALUE"""),1978.0)</f>
        <v>1978</v>
      </c>
      <c r="E5947">
        <f>IFERROR(__xludf.DUMMYFUNCTION("""COMPUTED_VALUE"""),9392113.0)</f>
        <v>9392113</v>
      </c>
    </row>
    <row r="5948">
      <c r="A5948" t="str">
        <f t="shared" si="1"/>
        <v>grc#1979</v>
      </c>
      <c r="B5948" t="str">
        <f>IFERROR(__xludf.DUMMYFUNCTION("""COMPUTED_VALUE"""),"grc")</f>
        <v>grc</v>
      </c>
      <c r="C5948" t="str">
        <f>IFERROR(__xludf.DUMMYFUNCTION("""COMPUTED_VALUE"""),"Greece")</f>
        <v>Greece</v>
      </c>
      <c r="D5948">
        <f>IFERROR(__xludf.DUMMYFUNCTION("""COMPUTED_VALUE"""),1979.0)</f>
        <v>1979</v>
      </c>
      <c r="E5948">
        <f>IFERROR(__xludf.DUMMYFUNCTION("""COMPUTED_VALUE"""),9521672.0)</f>
        <v>9521672</v>
      </c>
    </row>
    <row r="5949">
      <c r="A5949" t="str">
        <f t="shared" si="1"/>
        <v>grc#1980</v>
      </c>
      <c r="B5949" t="str">
        <f>IFERROR(__xludf.DUMMYFUNCTION("""COMPUTED_VALUE"""),"grc")</f>
        <v>grc</v>
      </c>
      <c r="C5949" t="str">
        <f>IFERROR(__xludf.DUMMYFUNCTION("""COMPUTED_VALUE"""),"Greece")</f>
        <v>Greece</v>
      </c>
      <c r="D5949">
        <f>IFERROR(__xludf.DUMMYFUNCTION("""COMPUTED_VALUE"""),1980.0)</f>
        <v>1980</v>
      </c>
      <c r="E5949">
        <f>IFERROR(__xludf.DUMMYFUNCTION("""COMPUTED_VALUE"""),9634504.0)</f>
        <v>9634504</v>
      </c>
    </row>
    <row r="5950">
      <c r="A5950" t="str">
        <f t="shared" si="1"/>
        <v>grc#1981</v>
      </c>
      <c r="B5950" t="str">
        <f>IFERROR(__xludf.DUMMYFUNCTION("""COMPUTED_VALUE"""),"grc")</f>
        <v>grc</v>
      </c>
      <c r="C5950" t="str">
        <f>IFERROR(__xludf.DUMMYFUNCTION("""COMPUTED_VALUE"""),"Greece")</f>
        <v>Greece</v>
      </c>
      <c r="D5950">
        <f>IFERROR(__xludf.DUMMYFUNCTION("""COMPUTED_VALUE"""),1981.0)</f>
        <v>1981</v>
      </c>
      <c r="E5950">
        <f>IFERROR(__xludf.DUMMYFUNCTION("""COMPUTED_VALUE"""),9727724.0)</f>
        <v>9727724</v>
      </c>
    </row>
    <row r="5951">
      <c r="A5951" t="str">
        <f t="shared" si="1"/>
        <v>grc#1982</v>
      </c>
      <c r="B5951" t="str">
        <f>IFERROR(__xludf.DUMMYFUNCTION("""COMPUTED_VALUE"""),"grc")</f>
        <v>grc</v>
      </c>
      <c r="C5951" t="str">
        <f>IFERROR(__xludf.DUMMYFUNCTION("""COMPUTED_VALUE"""),"Greece")</f>
        <v>Greece</v>
      </c>
      <c r="D5951">
        <f>IFERROR(__xludf.DUMMYFUNCTION("""COMPUTED_VALUE"""),1982.0)</f>
        <v>1982</v>
      </c>
      <c r="E5951">
        <f>IFERROR(__xludf.DUMMYFUNCTION("""COMPUTED_VALUE"""),9804166.0)</f>
        <v>9804166</v>
      </c>
    </row>
    <row r="5952">
      <c r="A5952" t="str">
        <f t="shared" si="1"/>
        <v>grc#1983</v>
      </c>
      <c r="B5952" t="str">
        <f>IFERROR(__xludf.DUMMYFUNCTION("""COMPUTED_VALUE"""),"grc")</f>
        <v>grc</v>
      </c>
      <c r="C5952" t="str">
        <f>IFERROR(__xludf.DUMMYFUNCTION("""COMPUTED_VALUE"""),"Greece")</f>
        <v>Greece</v>
      </c>
      <c r="D5952">
        <f>IFERROR(__xludf.DUMMYFUNCTION("""COMPUTED_VALUE"""),1983.0)</f>
        <v>1983</v>
      </c>
      <c r="E5952">
        <f>IFERROR(__xludf.DUMMYFUNCTION("""COMPUTED_VALUE"""),9867161.0)</f>
        <v>9867161</v>
      </c>
    </row>
    <row r="5953">
      <c r="A5953" t="str">
        <f t="shared" si="1"/>
        <v>grc#1984</v>
      </c>
      <c r="B5953" t="str">
        <f>IFERROR(__xludf.DUMMYFUNCTION("""COMPUTED_VALUE"""),"grc")</f>
        <v>grc</v>
      </c>
      <c r="C5953" t="str">
        <f>IFERROR(__xludf.DUMMYFUNCTION("""COMPUTED_VALUE"""),"Greece")</f>
        <v>Greece</v>
      </c>
      <c r="D5953">
        <f>IFERROR(__xludf.DUMMYFUNCTION("""COMPUTED_VALUE"""),1984.0)</f>
        <v>1984</v>
      </c>
      <c r="E5953">
        <f>IFERROR(__xludf.DUMMYFUNCTION("""COMPUTED_VALUE"""),9922431.0)</f>
        <v>9922431</v>
      </c>
    </row>
    <row r="5954">
      <c r="A5954" t="str">
        <f t="shared" si="1"/>
        <v>grc#1985</v>
      </c>
      <c r="B5954" t="str">
        <f>IFERROR(__xludf.DUMMYFUNCTION("""COMPUTED_VALUE"""),"grc")</f>
        <v>grc</v>
      </c>
      <c r="C5954" t="str">
        <f>IFERROR(__xludf.DUMMYFUNCTION("""COMPUTED_VALUE"""),"Greece")</f>
        <v>Greece</v>
      </c>
      <c r="D5954">
        <f>IFERROR(__xludf.DUMMYFUNCTION("""COMPUTED_VALUE"""),1985.0)</f>
        <v>1985</v>
      </c>
      <c r="E5954">
        <f>IFERROR(__xludf.DUMMYFUNCTION("""COMPUTED_VALUE"""),9974739.0)</f>
        <v>9974739</v>
      </c>
    </row>
    <row r="5955">
      <c r="A5955" t="str">
        <f t="shared" si="1"/>
        <v>grc#1986</v>
      </c>
      <c r="B5955" t="str">
        <f>IFERROR(__xludf.DUMMYFUNCTION("""COMPUTED_VALUE"""),"grc")</f>
        <v>grc</v>
      </c>
      <c r="C5955" t="str">
        <f>IFERROR(__xludf.DUMMYFUNCTION("""COMPUTED_VALUE"""),"Greece")</f>
        <v>Greece</v>
      </c>
      <c r="D5955">
        <f>IFERROR(__xludf.DUMMYFUNCTION("""COMPUTED_VALUE"""),1986.0)</f>
        <v>1986</v>
      </c>
      <c r="E5955">
        <f>IFERROR(__xludf.DUMMYFUNCTION("""COMPUTED_VALUE"""),1.0023374E7)</f>
        <v>10023374</v>
      </c>
    </row>
    <row r="5956">
      <c r="A5956" t="str">
        <f t="shared" si="1"/>
        <v>grc#1987</v>
      </c>
      <c r="B5956" t="str">
        <f>IFERROR(__xludf.DUMMYFUNCTION("""COMPUTED_VALUE"""),"grc")</f>
        <v>grc</v>
      </c>
      <c r="C5956" t="str">
        <f>IFERROR(__xludf.DUMMYFUNCTION("""COMPUTED_VALUE"""),"Greece")</f>
        <v>Greece</v>
      </c>
      <c r="D5956">
        <f>IFERROR(__xludf.DUMMYFUNCTION("""COMPUTED_VALUE"""),1987.0)</f>
        <v>1987</v>
      </c>
      <c r="E5956">
        <f>IFERROR(__xludf.DUMMYFUNCTION("""COMPUTED_VALUE"""),1.0068281E7)</f>
        <v>10068281</v>
      </c>
    </row>
    <row r="5957">
      <c r="A5957" t="str">
        <f t="shared" si="1"/>
        <v>grc#1988</v>
      </c>
      <c r="B5957" t="str">
        <f>IFERROR(__xludf.DUMMYFUNCTION("""COMPUTED_VALUE"""),"grc")</f>
        <v>grc</v>
      </c>
      <c r="C5957" t="str">
        <f>IFERROR(__xludf.DUMMYFUNCTION("""COMPUTED_VALUE"""),"Greece")</f>
        <v>Greece</v>
      </c>
      <c r="D5957">
        <f>IFERROR(__xludf.DUMMYFUNCTION("""COMPUTED_VALUE"""),1988.0)</f>
        <v>1988</v>
      </c>
      <c r="E5957">
        <f>IFERROR(__xludf.DUMMYFUNCTION("""COMPUTED_VALUE"""),1.0115853E7)</f>
        <v>10115853</v>
      </c>
    </row>
    <row r="5958">
      <c r="A5958" t="str">
        <f t="shared" si="1"/>
        <v>grc#1989</v>
      </c>
      <c r="B5958" t="str">
        <f>IFERROR(__xludf.DUMMYFUNCTION("""COMPUTED_VALUE"""),"grc")</f>
        <v>grc</v>
      </c>
      <c r="C5958" t="str">
        <f>IFERROR(__xludf.DUMMYFUNCTION("""COMPUTED_VALUE"""),"Greece")</f>
        <v>Greece</v>
      </c>
      <c r="D5958">
        <f>IFERROR(__xludf.DUMMYFUNCTION("""COMPUTED_VALUE"""),1989.0)</f>
        <v>1989</v>
      </c>
      <c r="E5958">
        <f>IFERROR(__xludf.DUMMYFUNCTION("""COMPUTED_VALUE"""),1.0174169E7)</f>
        <v>10174169</v>
      </c>
    </row>
    <row r="5959">
      <c r="A5959" t="str">
        <f t="shared" si="1"/>
        <v>grc#1990</v>
      </c>
      <c r="B5959" t="str">
        <f>IFERROR(__xludf.DUMMYFUNCTION("""COMPUTED_VALUE"""),"grc")</f>
        <v>grc</v>
      </c>
      <c r="C5959" t="str">
        <f>IFERROR(__xludf.DUMMYFUNCTION("""COMPUTED_VALUE"""),"Greece")</f>
        <v>Greece</v>
      </c>
      <c r="D5959">
        <f>IFERROR(__xludf.DUMMYFUNCTION("""COMPUTED_VALUE"""),1990.0)</f>
        <v>1990</v>
      </c>
      <c r="E5959">
        <f>IFERROR(__xludf.DUMMYFUNCTION("""COMPUTED_VALUE"""),1.0248537E7)</f>
        <v>10248537</v>
      </c>
    </row>
    <row r="5960">
      <c r="A5960" t="str">
        <f t="shared" si="1"/>
        <v>grc#1991</v>
      </c>
      <c r="B5960" t="str">
        <f>IFERROR(__xludf.DUMMYFUNCTION("""COMPUTED_VALUE"""),"grc")</f>
        <v>grc</v>
      </c>
      <c r="C5960" t="str">
        <f>IFERROR(__xludf.DUMMYFUNCTION("""COMPUTED_VALUE"""),"Greece")</f>
        <v>Greece</v>
      </c>
      <c r="D5960">
        <f>IFERROR(__xludf.DUMMYFUNCTION("""COMPUTED_VALUE"""),1991.0)</f>
        <v>1991</v>
      </c>
      <c r="E5960">
        <f>IFERROR(__xludf.DUMMYFUNCTION("""COMPUTED_VALUE"""),1.0341892E7)</f>
        <v>10341892</v>
      </c>
    </row>
    <row r="5961">
      <c r="A5961" t="str">
        <f t="shared" si="1"/>
        <v>grc#1992</v>
      </c>
      <c r="B5961" t="str">
        <f>IFERROR(__xludf.DUMMYFUNCTION("""COMPUTED_VALUE"""),"grc")</f>
        <v>grc</v>
      </c>
      <c r="C5961" t="str">
        <f>IFERROR(__xludf.DUMMYFUNCTION("""COMPUTED_VALUE"""),"Greece")</f>
        <v>Greece</v>
      </c>
      <c r="D5961">
        <f>IFERROR(__xludf.DUMMYFUNCTION("""COMPUTED_VALUE"""),1992.0)</f>
        <v>1992</v>
      </c>
      <c r="E5961">
        <f>IFERROR(__xludf.DUMMYFUNCTION("""COMPUTED_VALUE"""),1.0451417E7)</f>
        <v>10451417</v>
      </c>
    </row>
    <row r="5962">
      <c r="A5962" t="str">
        <f t="shared" si="1"/>
        <v>grc#1993</v>
      </c>
      <c r="B5962" t="str">
        <f>IFERROR(__xludf.DUMMYFUNCTION("""COMPUTED_VALUE"""),"grc")</f>
        <v>grc</v>
      </c>
      <c r="C5962" t="str">
        <f>IFERROR(__xludf.DUMMYFUNCTION("""COMPUTED_VALUE"""),"Greece")</f>
        <v>Greece</v>
      </c>
      <c r="D5962">
        <f>IFERROR(__xludf.DUMMYFUNCTION("""COMPUTED_VALUE"""),1993.0)</f>
        <v>1993</v>
      </c>
      <c r="E5962">
        <f>IFERROR(__xludf.DUMMYFUNCTION("""COMPUTED_VALUE"""),1.0569422E7)</f>
        <v>10569422</v>
      </c>
    </row>
    <row r="5963">
      <c r="A5963" t="str">
        <f t="shared" si="1"/>
        <v>grc#1994</v>
      </c>
      <c r="B5963" t="str">
        <f>IFERROR(__xludf.DUMMYFUNCTION("""COMPUTED_VALUE"""),"grc")</f>
        <v>grc</v>
      </c>
      <c r="C5963" t="str">
        <f>IFERROR(__xludf.DUMMYFUNCTION("""COMPUTED_VALUE"""),"Greece")</f>
        <v>Greece</v>
      </c>
      <c r="D5963">
        <f>IFERROR(__xludf.DUMMYFUNCTION("""COMPUTED_VALUE"""),1994.0)</f>
        <v>1994</v>
      </c>
      <c r="E5963">
        <f>IFERROR(__xludf.DUMMYFUNCTION("""COMPUTED_VALUE"""),1.0684818E7)</f>
        <v>10684818</v>
      </c>
    </row>
    <row r="5964">
      <c r="A5964" t="str">
        <f t="shared" si="1"/>
        <v>grc#1995</v>
      </c>
      <c r="B5964" t="str">
        <f>IFERROR(__xludf.DUMMYFUNCTION("""COMPUTED_VALUE"""),"grc")</f>
        <v>grc</v>
      </c>
      <c r="C5964" t="str">
        <f>IFERROR(__xludf.DUMMYFUNCTION("""COMPUTED_VALUE"""),"Greece")</f>
        <v>Greece</v>
      </c>
      <c r="D5964">
        <f>IFERROR(__xludf.DUMMYFUNCTION("""COMPUTED_VALUE"""),1995.0)</f>
        <v>1995</v>
      </c>
      <c r="E5964">
        <f>IFERROR(__xludf.DUMMYFUNCTION("""COMPUTED_VALUE"""),1.0789375E7)</f>
        <v>10789375</v>
      </c>
    </row>
    <row r="5965">
      <c r="A5965" t="str">
        <f t="shared" si="1"/>
        <v>grc#1996</v>
      </c>
      <c r="B5965" t="str">
        <f>IFERROR(__xludf.DUMMYFUNCTION("""COMPUTED_VALUE"""),"grc")</f>
        <v>grc</v>
      </c>
      <c r="C5965" t="str">
        <f>IFERROR(__xludf.DUMMYFUNCTION("""COMPUTED_VALUE"""),"Greece")</f>
        <v>Greece</v>
      </c>
      <c r="D5965">
        <f>IFERROR(__xludf.DUMMYFUNCTION("""COMPUTED_VALUE"""),1996.0)</f>
        <v>1996</v>
      </c>
      <c r="E5965">
        <f>IFERROR(__xludf.DUMMYFUNCTION("""COMPUTED_VALUE"""),1.0880912E7)</f>
        <v>10880912</v>
      </c>
    </row>
    <row r="5966">
      <c r="A5966" t="str">
        <f t="shared" si="1"/>
        <v>grc#1997</v>
      </c>
      <c r="B5966" t="str">
        <f>IFERROR(__xludf.DUMMYFUNCTION("""COMPUTED_VALUE"""),"grc")</f>
        <v>grc</v>
      </c>
      <c r="C5966" t="str">
        <f>IFERROR(__xludf.DUMMYFUNCTION("""COMPUTED_VALUE"""),"Greece")</f>
        <v>Greece</v>
      </c>
      <c r="D5966">
        <f>IFERROR(__xludf.DUMMYFUNCTION("""COMPUTED_VALUE"""),1997.0)</f>
        <v>1997</v>
      </c>
      <c r="E5966">
        <f>IFERROR(__xludf.DUMMYFUNCTION("""COMPUTED_VALUE"""),1.0961123E7)</f>
        <v>10961123</v>
      </c>
    </row>
    <row r="5967">
      <c r="A5967" t="str">
        <f t="shared" si="1"/>
        <v>grc#1998</v>
      </c>
      <c r="B5967" t="str">
        <f>IFERROR(__xludf.DUMMYFUNCTION("""COMPUTED_VALUE"""),"grc")</f>
        <v>grc</v>
      </c>
      <c r="C5967" t="str">
        <f>IFERROR(__xludf.DUMMYFUNCTION("""COMPUTED_VALUE"""),"Greece")</f>
        <v>Greece</v>
      </c>
      <c r="D5967">
        <f>IFERROR(__xludf.DUMMYFUNCTION("""COMPUTED_VALUE"""),1998.0)</f>
        <v>1998</v>
      </c>
      <c r="E5967">
        <f>IFERROR(__xludf.DUMMYFUNCTION("""COMPUTED_VALUE"""),1.1030393E7)</f>
        <v>11030393</v>
      </c>
    </row>
    <row r="5968">
      <c r="A5968" t="str">
        <f t="shared" si="1"/>
        <v>grc#1999</v>
      </c>
      <c r="B5968" t="str">
        <f>IFERROR(__xludf.DUMMYFUNCTION("""COMPUTED_VALUE"""),"grc")</f>
        <v>grc</v>
      </c>
      <c r="C5968" t="str">
        <f>IFERROR(__xludf.DUMMYFUNCTION("""COMPUTED_VALUE"""),"Greece")</f>
        <v>Greece</v>
      </c>
      <c r="D5968">
        <f>IFERROR(__xludf.DUMMYFUNCTION("""COMPUTED_VALUE"""),1999.0)</f>
        <v>1999</v>
      </c>
      <c r="E5968">
        <f>IFERROR(__xludf.DUMMYFUNCTION("""COMPUTED_VALUE"""),1.1090266E7)</f>
        <v>11090266</v>
      </c>
    </row>
    <row r="5969">
      <c r="A5969" t="str">
        <f t="shared" si="1"/>
        <v>grc#2000</v>
      </c>
      <c r="B5969" t="str">
        <f>IFERROR(__xludf.DUMMYFUNCTION("""COMPUTED_VALUE"""),"grc")</f>
        <v>grc</v>
      </c>
      <c r="C5969" t="str">
        <f>IFERROR(__xludf.DUMMYFUNCTION("""COMPUTED_VALUE"""),"Greece")</f>
        <v>Greece</v>
      </c>
      <c r="D5969">
        <f>IFERROR(__xludf.DUMMYFUNCTION("""COMPUTED_VALUE"""),2000.0)</f>
        <v>2000</v>
      </c>
      <c r="E5969">
        <f>IFERROR(__xludf.DUMMYFUNCTION("""COMPUTED_VALUE"""),1.1142119E7)</f>
        <v>11142119</v>
      </c>
    </row>
    <row r="5970">
      <c r="A5970" t="str">
        <f t="shared" si="1"/>
        <v>grc#2001</v>
      </c>
      <c r="B5970" t="str">
        <f>IFERROR(__xludf.DUMMYFUNCTION("""COMPUTED_VALUE"""),"grc")</f>
        <v>grc</v>
      </c>
      <c r="C5970" t="str">
        <f>IFERROR(__xludf.DUMMYFUNCTION("""COMPUTED_VALUE"""),"Greece")</f>
        <v>Greece</v>
      </c>
      <c r="D5970">
        <f>IFERROR(__xludf.DUMMYFUNCTION("""COMPUTED_VALUE"""),2001.0)</f>
        <v>2001</v>
      </c>
      <c r="E5970">
        <f>IFERROR(__xludf.DUMMYFUNCTION("""COMPUTED_VALUE"""),1.1184398E7)</f>
        <v>11184398</v>
      </c>
    </row>
    <row r="5971">
      <c r="A5971" t="str">
        <f t="shared" si="1"/>
        <v>grc#2002</v>
      </c>
      <c r="B5971" t="str">
        <f>IFERROR(__xludf.DUMMYFUNCTION("""COMPUTED_VALUE"""),"grc")</f>
        <v>grc</v>
      </c>
      <c r="C5971" t="str">
        <f>IFERROR(__xludf.DUMMYFUNCTION("""COMPUTED_VALUE"""),"Greece")</f>
        <v>Greece</v>
      </c>
      <c r="D5971">
        <f>IFERROR(__xludf.DUMMYFUNCTION("""COMPUTED_VALUE"""),2002.0)</f>
        <v>2002</v>
      </c>
      <c r="E5971">
        <f>IFERROR(__xludf.DUMMYFUNCTION("""COMPUTED_VALUE"""),1.1216799E7)</f>
        <v>11216799</v>
      </c>
    </row>
    <row r="5972">
      <c r="A5972" t="str">
        <f t="shared" si="1"/>
        <v>grc#2003</v>
      </c>
      <c r="B5972" t="str">
        <f>IFERROR(__xludf.DUMMYFUNCTION("""COMPUTED_VALUE"""),"grc")</f>
        <v>grc</v>
      </c>
      <c r="C5972" t="str">
        <f>IFERROR(__xludf.DUMMYFUNCTION("""COMPUTED_VALUE"""),"Greece")</f>
        <v>Greece</v>
      </c>
      <c r="D5972">
        <f>IFERROR(__xludf.DUMMYFUNCTION("""COMPUTED_VALUE"""),2003.0)</f>
        <v>2003</v>
      </c>
      <c r="E5972">
        <f>IFERROR(__xludf.DUMMYFUNCTION("""COMPUTED_VALUE"""),1.1243567E7)</f>
        <v>11243567</v>
      </c>
    </row>
    <row r="5973">
      <c r="A5973" t="str">
        <f t="shared" si="1"/>
        <v>grc#2004</v>
      </c>
      <c r="B5973" t="str">
        <f>IFERROR(__xludf.DUMMYFUNCTION("""COMPUTED_VALUE"""),"grc")</f>
        <v>grc</v>
      </c>
      <c r="C5973" t="str">
        <f>IFERROR(__xludf.DUMMYFUNCTION("""COMPUTED_VALUE"""),"Greece")</f>
        <v>Greece</v>
      </c>
      <c r="D5973">
        <f>IFERROR(__xludf.DUMMYFUNCTION("""COMPUTED_VALUE"""),2004.0)</f>
        <v>2004</v>
      </c>
      <c r="E5973">
        <f>IFERROR(__xludf.DUMMYFUNCTION("""COMPUTED_VALUE"""),1.1270476E7)</f>
        <v>11270476</v>
      </c>
    </row>
    <row r="5974">
      <c r="A5974" t="str">
        <f t="shared" si="1"/>
        <v>grc#2005</v>
      </c>
      <c r="B5974" t="str">
        <f>IFERROR(__xludf.DUMMYFUNCTION("""COMPUTED_VALUE"""),"grc")</f>
        <v>grc</v>
      </c>
      <c r="C5974" t="str">
        <f>IFERROR(__xludf.DUMMYFUNCTION("""COMPUTED_VALUE"""),"Greece")</f>
        <v>Greece</v>
      </c>
      <c r="D5974">
        <f>IFERROR(__xludf.DUMMYFUNCTION("""COMPUTED_VALUE"""),2005.0)</f>
        <v>2005</v>
      </c>
      <c r="E5974">
        <f>IFERROR(__xludf.DUMMYFUNCTION("""COMPUTED_VALUE"""),1.1301204E7)</f>
        <v>11301204</v>
      </c>
    </row>
    <row r="5975">
      <c r="A5975" t="str">
        <f t="shared" si="1"/>
        <v>grc#2006</v>
      </c>
      <c r="B5975" t="str">
        <f>IFERROR(__xludf.DUMMYFUNCTION("""COMPUTED_VALUE"""),"grc")</f>
        <v>grc</v>
      </c>
      <c r="C5975" t="str">
        <f>IFERROR(__xludf.DUMMYFUNCTION("""COMPUTED_VALUE"""),"Greece")</f>
        <v>Greece</v>
      </c>
      <c r="D5975">
        <f>IFERROR(__xludf.DUMMYFUNCTION("""COMPUTED_VALUE"""),2006.0)</f>
        <v>2006</v>
      </c>
      <c r="E5975">
        <f>IFERROR(__xludf.DUMMYFUNCTION("""COMPUTED_VALUE"""),1.133877E7)</f>
        <v>11338770</v>
      </c>
    </row>
    <row r="5976">
      <c r="A5976" t="str">
        <f t="shared" si="1"/>
        <v>grc#2007</v>
      </c>
      <c r="B5976" t="str">
        <f>IFERROR(__xludf.DUMMYFUNCTION("""COMPUTED_VALUE"""),"grc")</f>
        <v>grc</v>
      </c>
      <c r="C5976" t="str">
        <f>IFERROR(__xludf.DUMMYFUNCTION("""COMPUTED_VALUE"""),"Greece")</f>
        <v>Greece</v>
      </c>
      <c r="D5976">
        <f>IFERROR(__xludf.DUMMYFUNCTION("""COMPUTED_VALUE"""),2007.0)</f>
        <v>2007</v>
      </c>
      <c r="E5976">
        <f>IFERROR(__xludf.DUMMYFUNCTION("""COMPUTED_VALUE"""),1.1380897E7)</f>
        <v>11380897</v>
      </c>
    </row>
    <row r="5977">
      <c r="A5977" t="str">
        <f t="shared" si="1"/>
        <v>grc#2008</v>
      </c>
      <c r="B5977" t="str">
        <f>IFERROR(__xludf.DUMMYFUNCTION("""COMPUTED_VALUE"""),"grc")</f>
        <v>grc</v>
      </c>
      <c r="C5977" t="str">
        <f>IFERROR(__xludf.DUMMYFUNCTION("""COMPUTED_VALUE"""),"Greece")</f>
        <v>Greece</v>
      </c>
      <c r="D5977">
        <f>IFERROR(__xludf.DUMMYFUNCTION("""COMPUTED_VALUE"""),2008.0)</f>
        <v>2008</v>
      </c>
      <c r="E5977">
        <f>IFERROR(__xludf.DUMMYFUNCTION("""COMPUTED_VALUE"""),1.1419647E7)</f>
        <v>11419647</v>
      </c>
    </row>
    <row r="5978">
      <c r="A5978" t="str">
        <f t="shared" si="1"/>
        <v>grc#2009</v>
      </c>
      <c r="B5978" t="str">
        <f>IFERROR(__xludf.DUMMYFUNCTION("""COMPUTED_VALUE"""),"grc")</f>
        <v>grc</v>
      </c>
      <c r="C5978" t="str">
        <f>IFERROR(__xludf.DUMMYFUNCTION("""COMPUTED_VALUE"""),"Greece")</f>
        <v>Greece</v>
      </c>
      <c r="D5978">
        <f>IFERROR(__xludf.DUMMYFUNCTION("""COMPUTED_VALUE"""),2009.0)</f>
        <v>2009</v>
      </c>
      <c r="E5978">
        <f>IFERROR(__xludf.DUMMYFUNCTION("""COMPUTED_VALUE"""),1.1443828E7)</f>
        <v>11443828</v>
      </c>
    </row>
    <row r="5979">
      <c r="A5979" t="str">
        <f t="shared" si="1"/>
        <v>grc#2010</v>
      </c>
      <c r="B5979" t="str">
        <f>IFERROR(__xludf.DUMMYFUNCTION("""COMPUTED_VALUE"""),"grc")</f>
        <v>grc</v>
      </c>
      <c r="C5979" t="str">
        <f>IFERROR(__xludf.DUMMYFUNCTION("""COMPUTED_VALUE"""),"Greece")</f>
        <v>Greece</v>
      </c>
      <c r="D5979">
        <f>IFERROR(__xludf.DUMMYFUNCTION("""COMPUTED_VALUE"""),2010.0)</f>
        <v>2010</v>
      </c>
      <c r="E5979">
        <f>IFERROR(__xludf.DUMMYFUNCTION("""COMPUTED_VALUE"""),1.1446005E7)</f>
        <v>11446005</v>
      </c>
    </row>
    <row r="5980">
      <c r="A5980" t="str">
        <f t="shared" si="1"/>
        <v>grc#2011</v>
      </c>
      <c r="B5980" t="str">
        <f>IFERROR(__xludf.DUMMYFUNCTION("""COMPUTED_VALUE"""),"grc")</f>
        <v>grc</v>
      </c>
      <c r="C5980" t="str">
        <f>IFERROR(__xludf.DUMMYFUNCTION("""COMPUTED_VALUE"""),"Greece")</f>
        <v>Greece</v>
      </c>
      <c r="D5980">
        <f>IFERROR(__xludf.DUMMYFUNCTION("""COMPUTED_VALUE"""),2011.0)</f>
        <v>2011</v>
      </c>
      <c r="E5980">
        <f>IFERROR(__xludf.DUMMYFUNCTION("""COMPUTED_VALUE"""),1.1422805E7)</f>
        <v>11422805</v>
      </c>
    </row>
    <row r="5981">
      <c r="A5981" t="str">
        <f t="shared" si="1"/>
        <v>grc#2012</v>
      </c>
      <c r="B5981" t="str">
        <f>IFERROR(__xludf.DUMMYFUNCTION("""COMPUTED_VALUE"""),"grc")</f>
        <v>grc</v>
      </c>
      <c r="C5981" t="str">
        <f>IFERROR(__xludf.DUMMYFUNCTION("""COMPUTED_VALUE"""),"Greece")</f>
        <v>Greece</v>
      </c>
      <c r="D5981">
        <f>IFERROR(__xludf.DUMMYFUNCTION("""COMPUTED_VALUE"""),2012.0)</f>
        <v>2012</v>
      </c>
      <c r="E5981">
        <f>IFERROR(__xludf.DUMMYFUNCTION("""COMPUTED_VALUE"""),1.1378257E7)</f>
        <v>11378257</v>
      </c>
    </row>
    <row r="5982">
      <c r="A5982" t="str">
        <f t="shared" si="1"/>
        <v>grc#2013</v>
      </c>
      <c r="B5982" t="str">
        <f>IFERROR(__xludf.DUMMYFUNCTION("""COMPUTED_VALUE"""),"grc")</f>
        <v>grc</v>
      </c>
      <c r="C5982" t="str">
        <f>IFERROR(__xludf.DUMMYFUNCTION("""COMPUTED_VALUE"""),"Greece")</f>
        <v>Greece</v>
      </c>
      <c r="D5982">
        <f>IFERROR(__xludf.DUMMYFUNCTION("""COMPUTED_VALUE"""),2013.0)</f>
        <v>2013</v>
      </c>
      <c r="E5982">
        <f>IFERROR(__xludf.DUMMYFUNCTION("""COMPUTED_VALUE"""),1.13213E7)</f>
        <v>11321300</v>
      </c>
    </row>
    <row r="5983">
      <c r="A5983" t="str">
        <f t="shared" si="1"/>
        <v>grc#2014</v>
      </c>
      <c r="B5983" t="str">
        <f>IFERROR(__xludf.DUMMYFUNCTION("""COMPUTED_VALUE"""),"grc")</f>
        <v>grc</v>
      </c>
      <c r="C5983" t="str">
        <f>IFERROR(__xludf.DUMMYFUNCTION("""COMPUTED_VALUE"""),"Greece")</f>
        <v>Greece</v>
      </c>
      <c r="D5983">
        <f>IFERROR(__xludf.DUMMYFUNCTION("""COMPUTED_VALUE"""),2014.0)</f>
        <v>2014</v>
      </c>
      <c r="E5983">
        <f>IFERROR(__xludf.DUMMYFUNCTION("""COMPUTED_VALUE"""),1.1264726E7)</f>
        <v>11264726</v>
      </c>
    </row>
    <row r="5984">
      <c r="A5984" t="str">
        <f t="shared" si="1"/>
        <v>grc#2015</v>
      </c>
      <c r="B5984" t="str">
        <f>IFERROR(__xludf.DUMMYFUNCTION("""COMPUTED_VALUE"""),"grc")</f>
        <v>grc</v>
      </c>
      <c r="C5984" t="str">
        <f>IFERROR(__xludf.DUMMYFUNCTION("""COMPUTED_VALUE"""),"Greece")</f>
        <v>Greece</v>
      </c>
      <c r="D5984">
        <f>IFERROR(__xludf.DUMMYFUNCTION("""COMPUTED_VALUE"""),2015.0)</f>
        <v>2015</v>
      </c>
      <c r="E5984">
        <f>IFERROR(__xludf.DUMMYFUNCTION("""COMPUTED_VALUE"""),1.12178E7)</f>
        <v>11217800</v>
      </c>
    </row>
    <row r="5985">
      <c r="A5985" t="str">
        <f t="shared" si="1"/>
        <v>grc#2016</v>
      </c>
      <c r="B5985" t="str">
        <f>IFERROR(__xludf.DUMMYFUNCTION("""COMPUTED_VALUE"""),"grc")</f>
        <v>grc</v>
      </c>
      <c r="C5985" t="str">
        <f>IFERROR(__xludf.DUMMYFUNCTION("""COMPUTED_VALUE"""),"Greece")</f>
        <v>Greece</v>
      </c>
      <c r="D5985">
        <f>IFERROR(__xludf.DUMMYFUNCTION("""COMPUTED_VALUE"""),2016.0)</f>
        <v>2016</v>
      </c>
      <c r="E5985">
        <f>IFERROR(__xludf.DUMMYFUNCTION("""COMPUTED_VALUE"""),1.1183716E7)</f>
        <v>11183716</v>
      </c>
    </row>
    <row r="5986">
      <c r="A5986" t="str">
        <f t="shared" si="1"/>
        <v>grc#2017</v>
      </c>
      <c r="B5986" t="str">
        <f>IFERROR(__xludf.DUMMYFUNCTION("""COMPUTED_VALUE"""),"grc")</f>
        <v>grc</v>
      </c>
      <c r="C5986" t="str">
        <f>IFERROR(__xludf.DUMMYFUNCTION("""COMPUTED_VALUE"""),"Greece")</f>
        <v>Greece</v>
      </c>
      <c r="D5986">
        <f>IFERROR(__xludf.DUMMYFUNCTION("""COMPUTED_VALUE"""),2017.0)</f>
        <v>2017</v>
      </c>
      <c r="E5986">
        <f>IFERROR(__xludf.DUMMYFUNCTION("""COMPUTED_VALUE"""),1.1159773E7)</f>
        <v>11159773</v>
      </c>
    </row>
    <row r="5987">
      <c r="A5987" t="str">
        <f t="shared" si="1"/>
        <v>grc#2018</v>
      </c>
      <c r="B5987" t="str">
        <f>IFERROR(__xludf.DUMMYFUNCTION("""COMPUTED_VALUE"""),"grc")</f>
        <v>grc</v>
      </c>
      <c r="C5987" t="str">
        <f>IFERROR(__xludf.DUMMYFUNCTION("""COMPUTED_VALUE"""),"Greece")</f>
        <v>Greece</v>
      </c>
      <c r="D5987">
        <f>IFERROR(__xludf.DUMMYFUNCTION("""COMPUTED_VALUE"""),2018.0)</f>
        <v>2018</v>
      </c>
      <c r="E5987">
        <f>IFERROR(__xludf.DUMMYFUNCTION("""COMPUTED_VALUE"""),1.1142161E7)</f>
        <v>11142161</v>
      </c>
    </row>
    <row r="5988">
      <c r="A5988" t="str">
        <f t="shared" si="1"/>
        <v>grc#2019</v>
      </c>
      <c r="B5988" t="str">
        <f>IFERROR(__xludf.DUMMYFUNCTION("""COMPUTED_VALUE"""),"grc")</f>
        <v>grc</v>
      </c>
      <c r="C5988" t="str">
        <f>IFERROR(__xludf.DUMMYFUNCTION("""COMPUTED_VALUE"""),"Greece")</f>
        <v>Greece</v>
      </c>
      <c r="D5988">
        <f>IFERROR(__xludf.DUMMYFUNCTION("""COMPUTED_VALUE"""),2019.0)</f>
        <v>2019</v>
      </c>
      <c r="E5988">
        <f>IFERROR(__xludf.DUMMYFUNCTION("""COMPUTED_VALUE"""),1.1124603E7)</f>
        <v>11124603</v>
      </c>
    </row>
    <row r="5989">
      <c r="A5989" t="str">
        <f t="shared" si="1"/>
        <v>grc#2020</v>
      </c>
      <c r="B5989" t="str">
        <f>IFERROR(__xludf.DUMMYFUNCTION("""COMPUTED_VALUE"""),"grc")</f>
        <v>grc</v>
      </c>
      <c r="C5989" t="str">
        <f>IFERROR(__xludf.DUMMYFUNCTION("""COMPUTED_VALUE"""),"Greece")</f>
        <v>Greece</v>
      </c>
      <c r="D5989">
        <f>IFERROR(__xludf.DUMMYFUNCTION("""COMPUTED_VALUE"""),2020.0)</f>
        <v>2020</v>
      </c>
      <c r="E5989">
        <f>IFERROR(__xludf.DUMMYFUNCTION("""COMPUTED_VALUE"""),1.1102572E7)</f>
        <v>11102572</v>
      </c>
    </row>
    <row r="5990">
      <c r="A5990" t="str">
        <f t="shared" si="1"/>
        <v>grc#2021</v>
      </c>
      <c r="B5990" t="str">
        <f>IFERROR(__xludf.DUMMYFUNCTION("""COMPUTED_VALUE"""),"grc")</f>
        <v>grc</v>
      </c>
      <c r="C5990" t="str">
        <f>IFERROR(__xludf.DUMMYFUNCTION("""COMPUTED_VALUE"""),"Greece")</f>
        <v>Greece</v>
      </c>
      <c r="D5990">
        <f>IFERROR(__xludf.DUMMYFUNCTION("""COMPUTED_VALUE"""),2021.0)</f>
        <v>2021</v>
      </c>
      <c r="E5990">
        <f>IFERROR(__xludf.DUMMYFUNCTION("""COMPUTED_VALUE"""),1.1075319E7)</f>
        <v>11075319</v>
      </c>
    </row>
    <row r="5991">
      <c r="A5991" t="str">
        <f t="shared" si="1"/>
        <v>grc#2022</v>
      </c>
      <c r="B5991" t="str">
        <f>IFERROR(__xludf.DUMMYFUNCTION("""COMPUTED_VALUE"""),"grc")</f>
        <v>grc</v>
      </c>
      <c r="C5991" t="str">
        <f>IFERROR(__xludf.DUMMYFUNCTION("""COMPUTED_VALUE"""),"Greece")</f>
        <v>Greece</v>
      </c>
      <c r="D5991">
        <f>IFERROR(__xludf.DUMMYFUNCTION("""COMPUTED_VALUE"""),2022.0)</f>
        <v>2022</v>
      </c>
      <c r="E5991">
        <f>IFERROR(__xludf.DUMMYFUNCTION("""COMPUTED_VALUE"""),1.1044663E7)</f>
        <v>11044663</v>
      </c>
    </row>
    <row r="5992">
      <c r="A5992" t="str">
        <f t="shared" si="1"/>
        <v>grc#2023</v>
      </c>
      <c r="B5992" t="str">
        <f>IFERROR(__xludf.DUMMYFUNCTION("""COMPUTED_VALUE"""),"grc")</f>
        <v>grc</v>
      </c>
      <c r="C5992" t="str">
        <f>IFERROR(__xludf.DUMMYFUNCTION("""COMPUTED_VALUE"""),"Greece")</f>
        <v>Greece</v>
      </c>
      <c r="D5992">
        <f>IFERROR(__xludf.DUMMYFUNCTION("""COMPUTED_VALUE"""),2023.0)</f>
        <v>2023</v>
      </c>
      <c r="E5992">
        <f>IFERROR(__xludf.DUMMYFUNCTION("""COMPUTED_VALUE"""),1.1011602E7)</f>
        <v>11011602</v>
      </c>
    </row>
    <row r="5993">
      <c r="A5993" t="str">
        <f t="shared" si="1"/>
        <v>grc#2024</v>
      </c>
      <c r="B5993" t="str">
        <f>IFERROR(__xludf.DUMMYFUNCTION("""COMPUTED_VALUE"""),"grc")</f>
        <v>grc</v>
      </c>
      <c r="C5993" t="str">
        <f>IFERROR(__xludf.DUMMYFUNCTION("""COMPUTED_VALUE"""),"Greece")</f>
        <v>Greece</v>
      </c>
      <c r="D5993">
        <f>IFERROR(__xludf.DUMMYFUNCTION("""COMPUTED_VALUE"""),2024.0)</f>
        <v>2024</v>
      </c>
      <c r="E5993">
        <f>IFERROR(__xludf.DUMMYFUNCTION("""COMPUTED_VALUE"""),1.0977842E7)</f>
        <v>10977842</v>
      </c>
    </row>
    <row r="5994">
      <c r="A5994" t="str">
        <f t="shared" si="1"/>
        <v>grc#2025</v>
      </c>
      <c r="B5994" t="str">
        <f>IFERROR(__xludf.DUMMYFUNCTION("""COMPUTED_VALUE"""),"grc")</f>
        <v>grc</v>
      </c>
      <c r="C5994" t="str">
        <f>IFERROR(__xludf.DUMMYFUNCTION("""COMPUTED_VALUE"""),"Greece")</f>
        <v>Greece</v>
      </c>
      <c r="D5994">
        <f>IFERROR(__xludf.DUMMYFUNCTION("""COMPUTED_VALUE"""),2025.0)</f>
        <v>2025</v>
      </c>
      <c r="E5994">
        <f>IFERROR(__xludf.DUMMYFUNCTION("""COMPUTED_VALUE"""),1.0944624E7)</f>
        <v>10944624</v>
      </c>
    </row>
    <row r="5995">
      <c r="A5995" t="str">
        <f t="shared" si="1"/>
        <v>grc#2026</v>
      </c>
      <c r="B5995" t="str">
        <f>IFERROR(__xludf.DUMMYFUNCTION("""COMPUTED_VALUE"""),"grc")</f>
        <v>grc</v>
      </c>
      <c r="C5995" t="str">
        <f>IFERROR(__xludf.DUMMYFUNCTION("""COMPUTED_VALUE"""),"Greece")</f>
        <v>Greece</v>
      </c>
      <c r="D5995">
        <f>IFERROR(__xludf.DUMMYFUNCTION("""COMPUTED_VALUE"""),2026.0)</f>
        <v>2026</v>
      </c>
      <c r="E5995">
        <f>IFERROR(__xludf.DUMMYFUNCTION("""COMPUTED_VALUE"""),1.0912058E7)</f>
        <v>10912058</v>
      </c>
    </row>
    <row r="5996">
      <c r="A5996" t="str">
        <f t="shared" si="1"/>
        <v>grc#2027</v>
      </c>
      <c r="B5996" t="str">
        <f>IFERROR(__xludf.DUMMYFUNCTION("""COMPUTED_VALUE"""),"grc")</f>
        <v>grc</v>
      </c>
      <c r="C5996" t="str">
        <f>IFERROR(__xludf.DUMMYFUNCTION("""COMPUTED_VALUE"""),"Greece")</f>
        <v>Greece</v>
      </c>
      <c r="D5996">
        <f>IFERROR(__xludf.DUMMYFUNCTION("""COMPUTED_VALUE"""),2027.0)</f>
        <v>2027</v>
      </c>
      <c r="E5996">
        <f>IFERROR(__xludf.DUMMYFUNCTION("""COMPUTED_VALUE"""),1.0879692E7)</f>
        <v>10879692</v>
      </c>
    </row>
    <row r="5997">
      <c r="A5997" t="str">
        <f t="shared" si="1"/>
        <v>grc#2028</v>
      </c>
      <c r="B5997" t="str">
        <f>IFERROR(__xludf.DUMMYFUNCTION("""COMPUTED_VALUE"""),"grc")</f>
        <v>grc</v>
      </c>
      <c r="C5997" t="str">
        <f>IFERROR(__xludf.DUMMYFUNCTION("""COMPUTED_VALUE"""),"Greece")</f>
        <v>Greece</v>
      </c>
      <c r="D5997">
        <f>IFERROR(__xludf.DUMMYFUNCTION("""COMPUTED_VALUE"""),2028.0)</f>
        <v>2028</v>
      </c>
      <c r="E5997">
        <f>IFERROR(__xludf.DUMMYFUNCTION("""COMPUTED_VALUE"""),1.0847537E7)</f>
        <v>10847537</v>
      </c>
    </row>
    <row r="5998">
      <c r="A5998" t="str">
        <f t="shared" si="1"/>
        <v>grc#2029</v>
      </c>
      <c r="B5998" t="str">
        <f>IFERROR(__xludf.DUMMYFUNCTION("""COMPUTED_VALUE"""),"grc")</f>
        <v>grc</v>
      </c>
      <c r="C5998" t="str">
        <f>IFERROR(__xludf.DUMMYFUNCTION("""COMPUTED_VALUE"""),"Greece")</f>
        <v>Greece</v>
      </c>
      <c r="D5998">
        <f>IFERROR(__xludf.DUMMYFUNCTION("""COMPUTED_VALUE"""),2029.0)</f>
        <v>2029</v>
      </c>
      <c r="E5998">
        <f>IFERROR(__xludf.DUMMYFUNCTION("""COMPUTED_VALUE"""),1.0815536E7)</f>
        <v>10815536</v>
      </c>
    </row>
    <row r="5999">
      <c r="A5999" t="str">
        <f t="shared" si="1"/>
        <v>grc#2030</v>
      </c>
      <c r="B5999" t="str">
        <f>IFERROR(__xludf.DUMMYFUNCTION("""COMPUTED_VALUE"""),"grc")</f>
        <v>grc</v>
      </c>
      <c r="C5999" t="str">
        <f>IFERROR(__xludf.DUMMYFUNCTION("""COMPUTED_VALUE"""),"Greece")</f>
        <v>Greece</v>
      </c>
      <c r="D5999">
        <f>IFERROR(__xludf.DUMMYFUNCTION("""COMPUTED_VALUE"""),2030.0)</f>
        <v>2030</v>
      </c>
      <c r="E5999">
        <f>IFERROR(__xludf.DUMMYFUNCTION("""COMPUTED_VALUE"""),1.0783625E7)</f>
        <v>10783625</v>
      </c>
    </row>
    <row r="6000">
      <c r="A6000" t="str">
        <f t="shared" si="1"/>
        <v>grc#2031</v>
      </c>
      <c r="B6000" t="str">
        <f>IFERROR(__xludf.DUMMYFUNCTION("""COMPUTED_VALUE"""),"grc")</f>
        <v>grc</v>
      </c>
      <c r="C6000" t="str">
        <f>IFERROR(__xludf.DUMMYFUNCTION("""COMPUTED_VALUE"""),"Greece")</f>
        <v>Greece</v>
      </c>
      <c r="D6000">
        <f>IFERROR(__xludf.DUMMYFUNCTION("""COMPUTED_VALUE"""),2031.0)</f>
        <v>2031</v>
      </c>
      <c r="E6000">
        <f>IFERROR(__xludf.DUMMYFUNCTION("""COMPUTED_VALUE"""),1.0751812E7)</f>
        <v>10751812</v>
      </c>
    </row>
    <row r="6001">
      <c r="A6001" t="str">
        <f t="shared" si="1"/>
        <v>grc#2032</v>
      </c>
      <c r="B6001" t="str">
        <f>IFERROR(__xludf.DUMMYFUNCTION("""COMPUTED_VALUE"""),"grc")</f>
        <v>grc</v>
      </c>
      <c r="C6001" t="str">
        <f>IFERROR(__xludf.DUMMYFUNCTION("""COMPUTED_VALUE"""),"Greece")</f>
        <v>Greece</v>
      </c>
      <c r="D6001">
        <f>IFERROR(__xludf.DUMMYFUNCTION("""COMPUTED_VALUE"""),2032.0)</f>
        <v>2032</v>
      </c>
      <c r="E6001">
        <f>IFERROR(__xludf.DUMMYFUNCTION("""COMPUTED_VALUE"""),1.0720084E7)</f>
        <v>10720084</v>
      </c>
    </row>
    <row r="6002">
      <c r="A6002" t="str">
        <f t="shared" si="1"/>
        <v>grc#2033</v>
      </c>
      <c r="B6002" t="str">
        <f>IFERROR(__xludf.DUMMYFUNCTION("""COMPUTED_VALUE"""),"grc")</f>
        <v>grc</v>
      </c>
      <c r="C6002" t="str">
        <f>IFERROR(__xludf.DUMMYFUNCTION("""COMPUTED_VALUE"""),"Greece")</f>
        <v>Greece</v>
      </c>
      <c r="D6002">
        <f>IFERROR(__xludf.DUMMYFUNCTION("""COMPUTED_VALUE"""),2033.0)</f>
        <v>2033</v>
      </c>
      <c r="E6002">
        <f>IFERROR(__xludf.DUMMYFUNCTION("""COMPUTED_VALUE"""),1.0688329E7)</f>
        <v>10688329</v>
      </c>
    </row>
    <row r="6003">
      <c r="A6003" t="str">
        <f t="shared" si="1"/>
        <v>grc#2034</v>
      </c>
      <c r="B6003" t="str">
        <f>IFERROR(__xludf.DUMMYFUNCTION("""COMPUTED_VALUE"""),"grc")</f>
        <v>grc</v>
      </c>
      <c r="C6003" t="str">
        <f>IFERROR(__xludf.DUMMYFUNCTION("""COMPUTED_VALUE"""),"Greece")</f>
        <v>Greece</v>
      </c>
      <c r="D6003">
        <f>IFERROR(__xludf.DUMMYFUNCTION("""COMPUTED_VALUE"""),2034.0)</f>
        <v>2034</v>
      </c>
      <c r="E6003">
        <f>IFERROR(__xludf.DUMMYFUNCTION("""COMPUTED_VALUE"""),1.0656384E7)</f>
        <v>10656384</v>
      </c>
    </row>
    <row r="6004">
      <c r="A6004" t="str">
        <f t="shared" si="1"/>
        <v>grc#2035</v>
      </c>
      <c r="B6004" t="str">
        <f>IFERROR(__xludf.DUMMYFUNCTION("""COMPUTED_VALUE"""),"grc")</f>
        <v>grc</v>
      </c>
      <c r="C6004" t="str">
        <f>IFERROR(__xludf.DUMMYFUNCTION("""COMPUTED_VALUE"""),"Greece")</f>
        <v>Greece</v>
      </c>
      <c r="D6004">
        <f>IFERROR(__xludf.DUMMYFUNCTION("""COMPUTED_VALUE"""),2035.0)</f>
        <v>2035</v>
      </c>
      <c r="E6004">
        <f>IFERROR(__xludf.DUMMYFUNCTION("""COMPUTED_VALUE"""),1.0624074E7)</f>
        <v>10624074</v>
      </c>
    </row>
    <row r="6005">
      <c r="A6005" t="str">
        <f t="shared" si="1"/>
        <v>grc#2036</v>
      </c>
      <c r="B6005" t="str">
        <f>IFERROR(__xludf.DUMMYFUNCTION("""COMPUTED_VALUE"""),"grc")</f>
        <v>grc</v>
      </c>
      <c r="C6005" t="str">
        <f>IFERROR(__xludf.DUMMYFUNCTION("""COMPUTED_VALUE"""),"Greece")</f>
        <v>Greece</v>
      </c>
      <c r="D6005">
        <f>IFERROR(__xludf.DUMMYFUNCTION("""COMPUTED_VALUE"""),2036.0)</f>
        <v>2036</v>
      </c>
      <c r="E6005">
        <f>IFERROR(__xludf.DUMMYFUNCTION("""COMPUTED_VALUE"""),1.0591302E7)</f>
        <v>10591302</v>
      </c>
    </row>
    <row r="6006">
      <c r="A6006" t="str">
        <f t="shared" si="1"/>
        <v>grc#2037</v>
      </c>
      <c r="B6006" t="str">
        <f>IFERROR(__xludf.DUMMYFUNCTION("""COMPUTED_VALUE"""),"grc")</f>
        <v>grc</v>
      </c>
      <c r="C6006" t="str">
        <f>IFERROR(__xludf.DUMMYFUNCTION("""COMPUTED_VALUE"""),"Greece")</f>
        <v>Greece</v>
      </c>
      <c r="D6006">
        <f>IFERROR(__xludf.DUMMYFUNCTION("""COMPUTED_VALUE"""),2037.0)</f>
        <v>2037</v>
      </c>
      <c r="E6006">
        <f>IFERROR(__xludf.DUMMYFUNCTION("""COMPUTED_VALUE"""),1.0557942E7)</f>
        <v>10557942</v>
      </c>
    </row>
    <row r="6007">
      <c r="A6007" t="str">
        <f t="shared" si="1"/>
        <v>grc#2038</v>
      </c>
      <c r="B6007" t="str">
        <f>IFERROR(__xludf.DUMMYFUNCTION("""COMPUTED_VALUE"""),"grc")</f>
        <v>grc</v>
      </c>
      <c r="C6007" t="str">
        <f>IFERROR(__xludf.DUMMYFUNCTION("""COMPUTED_VALUE"""),"Greece")</f>
        <v>Greece</v>
      </c>
      <c r="D6007">
        <f>IFERROR(__xludf.DUMMYFUNCTION("""COMPUTED_VALUE"""),2038.0)</f>
        <v>2038</v>
      </c>
      <c r="E6007">
        <f>IFERROR(__xludf.DUMMYFUNCTION("""COMPUTED_VALUE"""),1.0523758E7)</f>
        <v>10523758</v>
      </c>
    </row>
    <row r="6008">
      <c r="A6008" t="str">
        <f t="shared" si="1"/>
        <v>grc#2039</v>
      </c>
      <c r="B6008" t="str">
        <f>IFERROR(__xludf.DUMMYFUNCTION("""COMPUTED_VALUE"""),"grc")</f>
        <v>grc</v>
      </c>
      <c r="C6008" t="str">
        <f>IFERROR(__xludf.DUMMYFUNCTION("""COMPUTED_VALUE"""),"Greece")</f>
        <v>Greece</v>
      </c>
      <c r="D6008">
        <f>IFERROR(__xludf.DUMMYFUNCTION("""COMPUTED_VALUE"""),2039.0)</f>
        <v>2039</v>
      </c>
      <c r="E6008">
        <f>IFERROR(__xludf.DUMMYFUNCTION("""COMPUTED_VALUE"""),1.0488487E7)</f>
        <v>10488487</v>
      </c>
    </row>
    <row r="6009">
      <c r="A6009" t="str">
        <f t="shared" si="1"/>
        <v>grc#2040</v>
      </c>
      <c r="B6009" t="str">
        <f>IFERROR(__xludf.DUMMYFUNCTION("""COMPUTED_VALUE"""),"grc")</f>
        <v>grc</v>
      </c>
      <c r="C6009" t="str">
        <f>IFERROR(__xludf.DUMMYFUNCTION("""COMPUTED_VALUE"""),"Greece")</f>
        <v>Greece</v>
      </c>
      <c r="D6009">
        <f>IFERROR(__xludf.DUMMYFUNCTION("""COMPUTED_VALUE"""),2040.0)</f>
        <v>2040</v>
      </c>
      <c r="E6009">
        <f>IFERROR(__xludf.DUMMYFUNCTION("""COMPUTED_VALUE"""),1.0451869E7)</f>
        <v>10451869</v>
      </c>
    </row>
    <row r="6010">
      <c r="A6010" t="str">
        <f t="shared" si="1"/>
        <v>grd#1950</v>
      </c>
      <c r="B6010" t="str">
        <f>IFERROR(__xludf.DUMMYFUNCTION("""COMPUTED_VALUE"""),"grd")</f>
        <v>grd</v>
      </c>
      <c r="C6010" t="str">
        <f>IFERROR(__xludf.DUMMYFUNCTION("""COMPUTED_VALUE"""),"Grenada")</f>
        <v>Grenada</v>
      </c>
      <c r="D6010">
        <f>IFERROR(__xludf.DUMMYFUNCTION("""COMPUTED_VALUE"""),1950.0)</f>
        <v>1950</v>
      </c>
      <c r="E6010">
        <f>IFERROR(__xludf.DUMMYFUNCTION("""COMPUTED_VALUE"""),76681.0)</f>
        <v>76681</v>
      </c>
    </row>
    <row r="6011">
      <c r="A6011" t="str">
        <f t="shared" si="1"/>
        <v>grd#1951</v>
      </c>
      <c r="B6011" t="str">
        <f>IFERROR(__xludf.DUMMYFUNCTION("""COMPUTED_VALUE"""),"grd")</f>
        <v>grd</v>
      </c>
      <c r="C6011" t="str">
        <f>IFERROR(__xludf.DUMMYFUNCTION("""COMPUTED_VALUE"""),"Grenada")</f>
        <v>Grenada</v>
      </c>
      <c r="D6011">
        <f>IFERROR(__xludf.DUMMYFUNCTION("""COMPUTED_VALUE"""),1951.0)</f>
        <v>1951</v>
      </c>
      <c r="E6011">
        <f>IFERROR(__xludf.DUMMYFUNCTION("""COMPUTED_VALUE"""),76624.0)</f>
        <v>76624</v>
      </c>
    </row>
    <row r="6012">
      <c r="A6012" t="str">
        <f t="shared" si="1"/>
        <v>grd#1952</v>
      </c>
      <c r="B6012" t="str">
        <f>IFERROR(__xludf.DUMMYFUNCTION("""COMPUTED_VALUE"""),"grd")</f>
        <v>grd</v>
      </c>
      <c r="C6012" t="str">
        <f>IFERROR(__xludf.DUMMYFUNCTION("""COMPUTED_VALUE"""),"Grenada")</f>
        <v>Grenada</v>
      </c>
      <c r="D6012">
        <f>IFERROR(__xludf.DUMMYFUNCTION("""COMPUTED_VALUE"""),1952.0)</f>
        <v>1952</v>
      </c>
      <c r="E6012">
        <f>IFERROR(__xludf.DUMMYFUNCTION("""COMPUTED_VALUE"""),77137.0)</f>
        <v>77137</v>
      </c>
    </row>
    <row r="6013">
      <c r="A6013" t="str">
        <f t="shared" si="1"/>
        <v>grd#1953</v>
      </c>
      <c r="B6013" t="str">
        <f>IFERROR(__xludf.DUMMYFUNCTION("""COMPUTED_VALUE"""),"grd")</f>
        <v>grd</v>
      </c>
      <c r="C6013" t="str">
        <f>IFERROR(__xludf.DUMMYFUNCTION("""COMPUTED_VALUE"""),"Grenada")</f>
        <v>Grenada</v>
      </c>
      <c r="D6013">
        <f>IFERROR(__xludf.DUMMYFUNCTION("""COMPUTED_VALUE"""),1953.0)</f>
        <v>1953</v>
      </c>
      <c r="E6013">
        <f>IFERROR(__xludf.DUMMYFUNCTION("""COMPUTED_VALUE"""),78103.0)</f>
        <v>78103</v>
      </c>
    </row>
    <row r="6014">
      <c r="A6014" t="str">
        <f t="shared" si="1"/>
        <v>grd#1954</v>
      </c>
      <c r="B6014" t="str">
        <f>IFERROR(__xludf.DUMMYFUNCTION("""COMPUTED_VALUE"""),"grd")</f>
        <v>grd</v>
      </c>
      <c r="C6014" t="str">
        <f>IFERROR(__xludf.DUMMYFUNCTION("""COMPUTED_VALUE"""),"Grenada")</f>
        <v>Grenada</v>
      </c>
      <c r="D6014">
        <f>IFERROR(__xludf.DUMMYFUNCTION("""COMPUTED_VALUE"""),1954.0)</f>
        <v>1954</v>
      </c>
      <c r="E6014">
        <f>IFERROR(__xludf.DUMMYFUNCTION("""COMPUTED_VALUE"""),79432.0)</f>
        <v>79432</v>
      </c>
    </row>
    <row r="6015">
      <c r="A6015" t="str">
        <f t="shared" si="1"/>
        <v>grd#1955</v>
      </c>
      <c r="B6015" t="str">
        <f>IFERROR(__xludf.DUMMYFUNCTION("""COMPUTED_VALUE"""),"grd")</f>
        <v>grd</v>
      </c>
      <c r="C6015" t="str">
        <f>IFERROR(__xludf.DUMMYFUNCTION("""COMPUTED_VALUE"""),"Grenada")</f>
        <v>Grenada</v>
      </c>
      <c r="D6015">
        <f>IFERROR(__xludf.DUMMYFUNCTION("""COMPUTED_VALUE"""),1955.0)</f>
        <v>1955</v>
      </c>
      <c r="E6015">
        <f>IFERROR(__xludf.DUMMYFUNCTION("""COMPUTED_VALUE"""),81024.0)</f>
        <v>81024</v>
      </c>
    </row>
    <row r="6016">
      <c r="A6016" t="str">
        <f t="shared" si="1"/>
        <v>grd#1956</v>
      </c>
      <c r="B6016" t="str">
        <f>IFERROR(__xludf.DUMMYFUNCTION("""COMPUTED_VALUE"""),"grd")</f>
        <v>grd</v>
      </c>
      <c r="C6016" t="str">
        <f>IFERROR(__xludf.DUMMYFUNCTION("""COMPUTED_VALUE"""),"Grenada")</f>
        <v>Grenada</v>
      </c>
      <c r="D6016">
        <f>IFERROR(__xludf.DUMMYFUNCTION("""COMPUTED_VALUE"""),1956.0)</f>
        <v>1956</v>
      </c>
      <c r="E6016">
        <f>IFERROR(__xludf.DUMMYFUNCTION("""COMPUTED_VALUE"""),82800.0)</f>
        <v>82800</v>
      </c>
    </row>
    <row r="6017">
      <c r="A6017" t="str">
        <f t="shared" si="1"/>
        <v>grd#1957</v>
      </c>
      <c r="B6017" t="str">
        <f>IFERROR(__xludf.DUMMYFUNCTION("""COMPUTED_VALUE"""),"grd")</f>
        <v>grd</v>
      </c>
      <c r="C6017" t="str">
        <f>IFERROR(__xludf.DUMMYFUNCTION("""COMPUTED_VALUE"""),"Grenada")</f>
        <v>Grenada</v>
      </c>
      <c r="D6017">
        <f>IFERROR(__xludf.DUMMYFUNCTION("""COMPUTED_VALUE"""),1957.0)</f>
        <v>1957</v>
      </c>
      <c r="E6017">
        <f>IFERROR(__xludf.DUMMYFUNCTION("""COMPUTED_VALUE"""),84648.0)</f>
        <v>84648</v>
      </c>
    </row>
    <row r="6018">
      <c r="A6018" t="str">
        <f t="shared" si="1"/>
        <v>grd#1958</v>
      </c>
      <c r="B6018" t="str">
        <f>IFERROR(__xludf.DUMMYFUNCTION("""COMPUTED_VALUE"""),"grd")</f>
        <v>grd</v>
      </c>
      <c r="C6018" t="str">
        <f>IFERROR(__xludf.DUMMYFUNCTION("""COMPUTED_VALUE"""),"Grenada")</f>
        <v>Grenada</v>
      </c>
      <c r="D6018">
        <f>IFERROR(__xludf.DUMMYFUNCTION("""COMPUTED_VALUE"""),1958.0)</f>
        <v>1958</v>
      </c>
      <c r="E6018">
        <f>IFERROR(__xludf.DUMMYFUNCTION("""COMPUTED_VALUE"""),86493.0)</f>
        <v>86493</v>
      </c>
    </row>
    <row r="6019">
      <c r="A6019" t="str">
        <f t="shared" si="1"/>
        <v>grd#1959</v>
      </c>
      <c r="B6019" t="str">
        <f>IFERROR(__xludf.DUMMYFUNCTION("""COMPUTED_VALUE"""),"grd")</f>
        <v>grd</v>
      </c>
      <c r="C6019" t="str">
        <f>IFERROR(__xludf.DUMMYFUNCTION("""COMPUTED_VALUE"""),"Grenada")</f>
        <v>Grenada</v>
      </c>
      <c r="D6019">
        <f>IFERROR(__xludf.DUMMYFUNCTION("""COMPUTED_VALUE"""),1959.0)</f>
        <v>1959</v>
      </c>
      <c r="E6019">
        <f>IFERROR(__xludf.DUMMYFUNCTION("""COMPUTED_VALUE"""),88252.0)</f>
        <v>88252</v>
      </c>
    </row>
    <row r="6020">
      <c r="A6020" t="str">
        <f t="shared" si="1"/>
        <v>grd#1960</v>
      </c>
      <c r="B6020" t="str">
        <f>IFERROR(__xludf.DUMMYFUNCTION("""COMPUTED_VALUE"""),"grd")</f>
        <v>grd</v>
      </c>
      <c r="C6020" t="str">
        <f>IFERROR(__xludf.DUMMYFUNCTION("""COMPUTED_VALUE"""),"Grenada")</f>
        <v>Grenada</v>
      </c>
      <c r="D6020">
        <f>IFERROR(__xludf.DUMMYFUNCTION("""COMPUTED_VALUE"""),1960.0)</f>
        <v>1960</v>
      </c>
      <c r="E6020">
        <f>IFERROR(__xludf.DUMMYFUNCTION("""COMPUTED_VALUE"""),89869.0)</f>
        <v>89869</v>
      </c>
    </row>
    <row r="6021">
      <c r="A6021" t="str">
        <f t="shared" si="1"/>
        <v>grd#1961</v>
      </c>
      <c r="B6021" t="str">
        <f>IFERROR(__xludf.DUMMYFUNCTION("""COMPUTED_VALUE"""),"grd")</f>
        <v>grd</v>
      </c>
      <c r="C6021" t="str">
        <f>IFERROR(__xludf.DUMMYFUNCTION("""COMPUTED_VALUE"""),"Grenada")</f>
        <v>Grenada</v>
      </c>
      <c r="D6021">
        <f>IFERROR(__xludf.DUMMYFUNCTION("""COMPUTED_VALUE"""),1961.0)</f>
        <v>1961</v>
      </c>
      <c r="E6021">
        <f>IFERROR(__xludf.DUMMYFUNCTION("""COMPUTED_VALUE"""),91260.0)</f>
        <v>91260</v>
      </c>
    </row>
    <row r="6022">
      <c r="A6022" t="str">
        <f t="shared" si="1"/>
        <v>grd#1962</v>
      </c>
      <c r="B6022" t="str">
        <f>IFERROR(__xludf.DUMMYFUNCTION("""COMPUTED_VALUE"""),"grd")</f>
        <v>grd</v>
      </c>
      <c r="C6022" t="str">
        <f>IFERROR(__xludf.DUMMYFUNCTION("""COMPUTED_VALUE"""),"Grenada")</f>
        <v>Grenada</v>
      </c>
      <c r="D6022">
        <f>IFERROR(__xludf.DUMMYFUNCTION("""COMPUTED_VALUE"""),1962.0)</f>
        <v>1962</v>
      </c>
      <c r="E6022">
        <f>IFERROR(__xludf.DUMMYFUNCTION("""COMPUTED_VALUE"""),92425.0)</f>
        <v>92425</v>
      </c>
    </row>
    <row r="6023">
      <c r="A6023" t="str">
        <f t="shared" si="1"/>
        <v>grd#1963</v>
      </c>
      <c r="B6023" t="str">
        <f>IFERROR(__xludf.DUMMYFUNCTION("""COMPUTED_VALUE"""),"grd")</f>
        <v>grd</v>
      </c>
      <c r="C6023" t="str">
        <f>IFERROR(__xludf.DUMMYFUNCTION("""COMPUTED_VALUE"""),"Grenada")</f>
        <v>Grenada</v>
      </c>
      <c r="D6023">
        <f>IFERROR(__xludf.DUMMYFUNCTION("""COMPUTED_VALUE"""),1963.0)</f>
        <v>1963</v>
      </c>
      <c r="E6023">
        <f>IFERROR(__xludf.DUMMYFUNCTION("""COMPUTED_VALUE"""),93350.0)</f>
        <v>93350</v>
      </c>
    </row>
    <row r="6024">
      <c r="A6024" t="str">
        <f t="shared" si="1"/>
        <v>grd#1964</v>
      </c>
      <c r="B6024" t="str">
        <f>IFERROR(__xludf.DUMMYFUNCTION("""COMPUTED_VALUE"""),"grd")</f>
        <v>grd</v>
      </c>
      <c r="C6024" t="str">
        <f>IFERROR(__xludf.DUMMYFUNCTION("""COMPUTED_VALUE"""),"Grenada")</f>
        <v>Grenada</v>
      </c>
      <c r="D6024">
        <f>IFERROR(__xludf.DUMMYFUNCTION("""COMPUTED_VALUE"""),1964.0)</f>
        <v>1964</v>
      </c>
      <c r="E6024">
        <f>IFERROR(__xludf.DUMMYFUNCTION("""COMPUTED_VALUE"""),94066.0)</f>
        <v>94066</v>
      </c>
    </row>
    <row r="6025">
      <c r="A6025" t="str">
        <f t="shared" si="1"/>
        <v>grd#1965</v>
      </c>
      <c r="B6025" t="str">
        <f>IFERROR(__xludf.DUMMYFUNCTION("""COMPUTED_VALUE"""),"grd")</f>
        <v>grd</v>
      </c>
      <c r="C6025" t="str">
        <f>IFERROR(__xludf.DUMMYFUNCTION("""COMPUTED_VALUE"""),"Grenada")</f>
        <v>Grenada</v>
      </c>
      <c r="D6025">
        <f>IFERROR(__xludf.DUMMYFUNCTION("""COMPUTED_VALUE"""),1965.0)</f>
        <v>1965</v>
      </c>
      <c r="E6025">
        <f>IFERROR(__xludf.DUMMYFUNCTION("""COMPUTED_VALUE"""),94581.0)</f>
        <v>94581</v>
      </c>
    </row>
    <row r="6026">
      <c r="A6026" t="str">
        <f t="shared" si="1"/>
        <v>grd#1966</v>
      </c>
      <c r="B6026" t="str">
        <f>IFERROR(__xludf.DUMMYFUNCTION("""COMPUTED_VALUE"""),"grd")</f>
        <v>grd</v>
      </c>
      <c r="C6026" t="str">
        <f>IFERROR(__xludf.DUMMYFUNCTION("""COMPUTED_VALUE"""),"Grenada")</f>
        <v>Grenada</v>
      </c>
      <c r="D6026">
        <f>IFERROR(__xludf.DUMMYFUNCTION("""COMPUTED_VALUE"""),1966.0)</f>
        <v>1966</v>
      </c>
      <c r="E6026">
        <f>IFERROR(__xludf.DUMMYFUNCTION("""COMPUTED_VALUE"""),94875.0)</f>
        <v>94875</v>
      </c>
    </row>
    <row r="6027">
      <c r="A6027" t="str">
        <f t="shared" si="1"/>
        <v>grd#1967</v>
      </c>
      <c r="B6027" t="str">
        <f>IFERROR(__xludf.DUMMYFUNCTION("""COMPUTED_VALUE"""),"grd")</f>
        <v>grd</v>
      </c>
      <c r="C6027" t="str">
        <f>IFERROR(__xludf.DUMMYFUNCTION("""COMPUTED_VALUE"""),"Grenada")</f>
        <v>Grenada</v>
      </c>
      <c r="D6027">
        <f>IFERROR(__xludf.DUMMYFUNCTION("""COMPUTED_VALUE"""),1967.0)</f>
        <v>1967</v>
      </c>
      <c r="E6027">
        <f>IFERROR(__xludf.DUMMYFUNCTION("""COMPUTED_VALUE"""),94961.0)</f>
        <v>94961</v>
      </c>
    </row>
    <row r="6028">
      <c r="A6028" t="str">
        <f t="shared" si="1"/>
        <v>grd#1968</v>
      </c>
      <c r="B6028" t="str">
        <f>IFERROR(__xludf.DUMMYFUNCTION("""COMPUTED_VALUE"""),"grd")</f>
        <v>grd</v>
      </c>
      <c r="C6028" t="str">
        <f>IFERROR(__xludf.DUMMYFUNCTION("""COMPUTED_VALUE"""),"Grenada")</f>
        <v>Grenada</v>
      </c>
      <c r="D6028">
        <f>IFERROR(__xludf.DUMMYFUNCTION("""COMPUTED_VALUE"""),1968.0)</f>
        <v>1968</v>
      </c>
      <c r="E6028">
        <f>IFERROR(__xludf.DUMMYFUNCTION("""COMPUTED_VALUE"""),94868.0)</f>
        <v>94868</v>
      </c>
    </row>
    <row r="6029">
      <c r="A6029" t="str">
        <f t="shared" si="1"/>
        <v>grd#1969</v>
      </c>
      <c r="B6029" t="str">
        <f>IFERROR(__xludf.DUMMYFUNCTION("""COMPUTED_VALUE"""),"grd")</f>
        <v>grd</v>
      </c>
      <c r="C6029" t="str">
        <f>IFERROR(__xludf.DUMMYFUNCTION("""COMPUTED_VALUE"""),"Grenada")</f>
        <v>Grenada</v>
      </c>
      <c r="D6029">
        <f>IFERROR(__xludf.DUMMYFUNCTION("""COMPUTED_VALUE"""),1969.0)</f>
        <v>1969</v>
      </c>
      <c r="E6029">
        <f>IFERROR(__xludf.DUMMYFUNCTION("""COMPUTED_VALUE"""),94682.0)</f>
        <v>94682</v>
      </c>
    </row>
    <row r="6030">
      <c r="A6030" t="str">
        <f t="shared" si="1"/>
        <v>grd#1970</v>
      </c>
      <c r="B6030" t="str">
        <f>IFERROR(__xludf.DUMMYFUNCTION("""COMPUTED_VALUE"""),"grd")</f>
        <v>grd</v>
      </c>
      <c r="C6030" t="str">
        <f>IFERROR(__xludf.DUMMYFUNCTION("""COMPUTED_VALUE"""),"Grenada")</f>
        <v>Grenada</v>
      </c>
      <c r="D6030">
        <f>IFERROR(__xludf.DUMMYFUNCTION("""COMPUTED_VALUE"""),1970.0)</f>
        <v>1970</v>
      </c>
      <c r="E6030">
        <f>IFERROR(__xludf.DUMMYFUNCTION("""COMPUTED_VALUE"""),94426.0)</f>
        <v>94426</v>
      </c>
    </row>
    <row r="6031">
      <c r="A6031" t="str">
        <f t="shared" si="1"/>
        <v>grd#1971</v>
      </c>
      <c r="B6031" t="str">
        <f>IFERROR(__xludf.DUMMYFUNCTION("""COMPUTED_VALUE"""),"grd")</f>
        <v>grd</v>
      </c>
      <c r="C6031" t="str">
        <f>IFERROR(__xludf.DUMMYFUNCTION("""COMPUTED_VALUE"""),"Grenada")</f>
        <v>Grenada</v>
      </c>
      <c r="D6031">
        <f>IFERROR(__xludf.DUMMYFUNCTION("""COMPUTED_VALUE"""),1971.0)</f>
        <v>1971</v>
      </c>
      <c r="E6031">
        <f>IFERROR(__xludf.DUMMYFUNCTION("""COMPUTED_VALUE"""),94185.0)</f>
        <v>94185</v>
      </c>
    </row>
    <row r="6032">
      <c r="A6032" t="str">
        <f t="shared" si="1"/>
        <v>grd#1972</v>
      </c>
      <c r="B6032" t="str">
        <f>IFERROR(__xludf.DUMMYFUNCTION("""COMPUTED_VALUE"""),"grd")</f>
        <v>grd</v>
      </c>
      <c r="C6032" t="str">
        <f>IFERROR(__xludf.DUMMYFUNCTION("""COMPUTED_VALUE"""),"Grenada")</f>
        <v>Grenada</v>
      </c>
      <c r="D6032">
        <f>IFERROR(__xludf.DUMMYFUNCTION("""COMPUTED_VALUE"""),1972.0)</f>
        <v>1972</v>
      </c>
      <c r="E6032">
        <f>IFERROR(__xludf.DUMMYFUNCTION("""COMPUTED_VALUE"""),93934.0)</f>
        <v>93934</v>
      </c>
    </row>
    <row r="6033">
      <c r="A6033" t="str">
        <f t="shared" si="1"/>
        <v>grd#1973</v>
      </c>
      <c r="B6033" t="str">
        <f>IFERROR(__xludf.DUMMYFUNCTION("""COMPUTED_VALUE"""),"grd")</f>
        <v>grd</v>
      </c>
      <c r="C6033" t="str">
        <f>IFERROR(__xludf.DUMMYFUNCTION("""COMPUTED_VALUE"""),"Grenada")</f>
        <v>Grenada</v>
      </c>
      <c r="D6033">
        <f>IFERROR(__xludf.DUMMYFUNCTION("""COMPUTED_VALUE"""),1973.0)</f>
        <v>1973</v>
      </c>
      <c r="E6033">
        <f>IFERROR(__xludf.DUMMYFUNCTION("""COMPUTED_VALUE"""),93630.0)</f>
        <v>93630</v>
      </c>
    </row>
    <row r="6034">
      <c r="A6034" t="str">
        <f t="shared" si="1"/>
        <v>grd#1974</v>
      </c>
      <c r="B6034" t="str">
        <f>IFERROR(__xludf.DUMMYFUNCTION("""COMPUTED_VALUE"""),"grd")</f>
        <v>grd</v>
      </c>
      <c r="C6034" t="str">
        <f>IFERROR(__xludf.DUMMYFUNCTION("""COMPUTED_VALUE"""),"Grenada")</f>
        <v>Grenada</v>
      </c>
      <c r="D6034">
        <f>IFERROR(__xludf.DUMMYFUNCTION("""COMPUTED_VALUE"""),1974.0)</f>
        <v>1974</v>
      </c>
      <c r="E6034">
        <f>IFERROR(__xludf.DUMMYFUNCTION("""COMPUTED_VALUE"""),93152.0)</f>
        <v>93152</v>
      </c>
    </row>
    <row r="6035">
      <c r="A6035" t="str">
        <f t="shared" si="1"/>
        <v>grd#1975</v>
      </c>
      <c r="B6035" t="str">
        <f>IFERROR(__xludf.DUMMYFUNCTION("""COMPUTED_VALUE"""),"grd")</f>
        <v>grd</v>
      </c>
      <c r="C6035" t="str">
        <f>IFERROR(__xludf.DUMMYFUNCTION("""COMPUTED_VALUE"""),"Grenada")</f>
        <v>Grenada</v>
      </c>
      <c r="D6035">
        <f>IFERROR(__xludf.DUMMYFUNCTION("""COMPUTED_VALUE"""),1975.0)</f>
        <v>1975</v>
      </c>
      <c r="E6035">
        <f>IFERROR(__xludf.DUMMYFUNCTION("""COMPUTED_VALUE"""),92448.0)</f>
        <v>92448</v>
      </c>
    </row>
    <row r="6036">
      <c r="A6036" t="str">
        <f t="shared" si="1"/>
        <v>grd#1976</v>
      </c>
      <c r="B6036" t="str">
        <f>IFERROR(__xludf.DUMMYFUNCTION("""COMPUTED_VALUE"""),"grd")</f>
        <v>grd</v>
      </c>
      <c r="C6036" t="str">
        <f>IFERROR(__xludf.DUMMYFUNCTION("""COMPUTED_VALUE"""),"Grenada")</f>
        <v>Grenada</v>
      </c>
      <c r="D6036">
        <f>IFERROR(__xludf.DUMMYFUNCTION("""COMPUTED_VALUE"""),1976.0)</f>
        <v>1976</v>
      </c>
      <c r="E6036">
        <f>IFERROR(__xludf.DUMMYFUNCTION("""COMPUTED_VALUE"""),91437.0)</f>
        <v>91437</v>
      </c>
    </row>
    <row r="6037">
      <c r="A6037" t="str">
        <f t="shared" si="1"/>
        <v>grd#1977</v>
      </c>
      <c r="B6037" t="str">
        <f>IFERROR(__xludf.DUMMYFUNCTION("""COMPUTED_VALUE"""),"grd")</f>
        <v>grd</v>
      </c>
      <c r="C6037" t="str">
        <f>IFERROR(__xludf.DUMMYFUNCTION("""COMPUTED_VALUE"""),"Grenada")</f>
        <v>Grenada</v>
      </c>
      <c r="D6037">
        <f>IFERROR(__xludf.DUMMYFUNCTION("""COMPUTED_VALUE"""),1977.0)</f>
        <v>1977</v>
      </c>
      <c r="E6037">
        <f>IFERROR(__xludf.DUMMYFUNCTION("""COMPUTED_VALUE"""),90184.0)</f>
        <v>90184</v>
      </c>
    </row>
    <row r="6038">
      <c r="A6038" t="str">
        <f t="shared" si="1"/>
        <v>grd#1978</v>
      </c>
      <c r="B6038" t="str">
        <f>IFERROR(__xludf.DUMMYFUNCTION("""COMPUTED_VALUE"""),"grd")</f>
        <v>grd</v>
      </c>
      <c r="C6038" t="str">
        <f>IFERROR(__xludf.DUMMYFUNCTION("""COMPUTED_VALUE"""),"Grenada")</f>
        <v>Grenada</v>
      </c>
      <c r="D6038">
        <f>IFERROR(__xludf.DUMMYFUNCTION("""COMPUTED_VALUE"""),1978.0)</f>
        <v>1978</v>
      </c>
      <c r="E6038">
        <f>IFERROR(__xludf.DUMMYFUNCTION("""COMPUTED_VALUE"""),89073.0)</f>
        <v>89073</v>
      </c>
    </row>
    <row r="6039">
      <c r="A6039" t="str">
        <f t="shared" si="1"/>
        <v>grd#1979</v>
      </c>
      <c r="B6039" t="str">
        <f>IFERROR(__xludf.DUMMYFUNCTION("""COMPUTED_VALUE"""),"grd")</f>
        <v>grd</v>
      </c>
      <c r="C6039" t="str">
        <f>IFERROR(__xludf.DUMMYFUNCTION("""COMPUTED_VALUE"""),"Grenada")</f>
        <v>Grenada</v>
      </c>
      <c r="D6039">
        <f>IFERROR(__xludf.DUMMYFUNCTION("""COMPUTED_VALUE"""),1979.0)</f>
        <v>1979</v>
      </c>
      <c r="E6039">
        <f>IFERROR(__xludf.DUMMYFUNCTION("""COMPUTED_VALUE"""),88568.0)</f>
        <v>88568</v>
      </c>
    </row>
    <row r="6040">
      <c r="A6040" t="str">
        <f t="shared" si="1"/>
        <v>grd#1980</v>
      </c>
      <c r="B6040" t="str">
        <f>IFERROR(__xludf.DUMMYFUNCTION("""COMPUTED_VALUE"""),"grd")</f>
        <v>grd</v>
      </c>
      <c r="C6040" t="str">
        <f>IFERROR(__xludf.DUMMYFUNCTION("""COMPUTED_VALUE"""),"Grenada")</f>
        <v>Grenada</v>
      </c>
      <c r="D6040">
        <f>IFERROR(__xludf.DUMMYFUNCTION("""COMPUTED_VALUE"""),1980.0)</f>
        <v>1980</v>
      </c>
      <c r="E6040">
        <f>IFERROR(__xludf.DUMMYFUNCTION("""COMPUTED_VALUE"""),89005.0)</f>
        <v>89005</v>
      </c>
    </row>
    <row r="6041">
      <c r="A6041" t="str">
        <f t="shared" si="1"/>
        <v>grd#1981</v>
      </c>
      <c r="B6041" t="str">
        <f>IFERROR(__xludf.DUMMYFUNCTION("""COMPUTED_VALUE"""),"grd")</f>
        <v>grd</v>
      </c>
      <c r="C6041" t="str">
        <f>IFERROR(__xludf.DUMMYFUNCTION("""COMPUTED_VALUE"""),"Grenada")</f>
        <v>Grenada</v>
      </c>
      <c r="D6041">
        <f>IFERROR(__xludf.DUMMYFUNCTION("""COMPUTED_VALUE"""),1981.0)</f>
        <v>1981</v>
      </c>
      <c r="E6041">
        <f>IFERROR(__xludf.DUMMYFUNCTION("""COMPUTED_VALUE"""),90572.0)</f>
        <v>90572</v>
      </c>
    </row>
    <row r="6042">
      <c r="A6042" t="str">
        <f t="shared" si="1"/>
        <v>grd#1982</v>
      </c>
      <c r="B6042" t="str">
        <f>IFERROR(__xludf.DUMMYFUNCTION("""COMPUTED_VALUE"""),"grd")</f>
        <v>grd</v>
      </c>
      <c r="C6042" t="str">
        <f>IFERROR(__xludf.DUMMYFUNCTION("""COMPUTED_VALUE"""),"Grenada")</f>
        <v>Grenada</v>
      </c>
      <c r="D6042">
        <f>IFERROR(__xludf.DUMMYFUNCTION("""COMPUTED_VALUE"""),1982.0)</f>
        <v>1982</v>
      </c>
      <c r="E6042">
        <f>IFERROR(__xludf.DUMMYFUNCTION("""COMPUTED_VALUE"""),93091.0)</f>
        <v>93091</v>
      </c>
    </row>
    <row r="6043">
      <c r="A6043" t="str">
        <f t="shared" si="1"/>
        <v>grd#1983</v>
      </c>
      <c r="B6043" t="str">
        <f>IFERROR(__xludf.DUMMYFUNCTION("""COMPUTED_VALUE"""),"grd")</f>
        <v>grd</v>
      </c>
      <c r="C6043" t="str">
        <f>IFERROR(__xludf.DUMMYFUNCTION("""COMPUTED_VALUE"""),"Grenada")</f>
        <v>Grenada</v>
      </c>
      <c r="D6043">
        <f>IFERROR(__xludf.DUMMYFUNCTION("""COMPUTED_VALUE"""),1983.0)</f>
        <v>1983</v>
      </c>
      <c r="E6043">
        <f>IFERROR(__xludf.DUMMYFUNCTION("""COMPUTED_VALUE"""),95985.0)</f>
        <v>95985</v>
      </c>
    </row>
    <row r="6044">
      <c r="A6044" t="str">
        <f t="shared" si="1"/>
        <v>grd#1984</v>
      </c>
      <c r="B6044" t="str">
        <f>IFERROR(__xludf.DUMMYFUNCTION("""COMPUTED_VALUE"""),"grd")</f>
        <v>grd</v>
      </c>
      <c r="C6044" t="str">
        <f>IFERROR(__xludf.DUMMYFUNCTION("""COMPUTED_VALUE"""),"Grenada")</f>
        <v>Grenada</v>
      </c>
      <c r="D6044">
        <f>IFERROR(__xludf.DUMMYFUNCTION("""COMPUTED_VALUE"""),1984.0)</f>
        <v>1984</v>
      </c>
      <c r="E6044">
        <f>IFERROR(__xludf.DUMMYFUNCTION("""COMPUTED_VALUE"""),98439.0)</f>
        <v>98439</v>
      </c>
    </row>
    <row r="6045">
      <c r="A6045" t="str">
        <f t="shared" si="1"/>
        <v>grd#1985</v>
      </c>
      <c r="B6045" t="str">
        <f>IFERROR(__xludf.DUMMYFUNCTION("""COMPUTED_VALUE"""),"grd")</f>
        <v>grd</v>
      </c>
      <c r="C6045" t="str">
        <f>IFERROR(__xludf.DUMMYFUNCTION("""COMPUTED_VALUE"""),"Grenada")</f>
        <v>Grenada</v>
      </c>
      <c r="D6045">
        <f>IFERROR(__xludf.DUMMYFUNCTION("""COMPUTED_VALUE"""),1985.0)</f>
        <v>1985</v>
      </c>
      <c r="E6045">
        <f>IFERROR(__xludf.DUMMYFUNCTION("""COMPUTED_VALUE"""),99906.0)</f>
        <v>99906</v>
      </c>
    </row>
    <row r="6046">
      <c r="A6046" t="str">
        <f t="shared" si="1"/>
        <v>grd#1986</v>
      </c>
      <c r="B6046" t="str">
        <f>IFERROR(__xludf.DUMMYFUNCTION("""COMPUTED_VALUE"""),"grd")</f>
        <v>grd</v>
      </c>
      <c r="C6046" t="str">
        <f>IFERROR(__xludf.DUMMYFUNCTION("""COMPUTED_VALUE"""),"Grenada")</f>
        <v>Grenada</v>
      </c>
      <c r="D6046">
        <f>IFERROR(__xludf.DUMMYFUNCTION("""COMPUTED_VALUE"""),1986.0)</f>
        <v>1986</v>
      </c>
      <c r="E6046">
        <f>IFERROR(__xludf.DUMMYFUNCTION("""COMPUTED_VALUE"""),100143.0)</f>
        <v>100143</v>
      </c>
    </row>
    <row r="6047">
      <c r="A6047" t="str">
        <f t="shared" si="1"/>
        <v>grd#1987</v>
      </c>
      <c r="B6047" t="str">
        <f>IFERROR(__xludf.DUMMYFUNCTION("""COMPUTED_VALUE"""),"grd")</f>
        <v>grd</v>
      </c>
      <c r="C6047" t="str">
        <f>IFERROR(__xludf.DUMMYFUNCTION("""COMPUTED_VALUE"""),"Grenada")</f>
        <v>Grenada</v>
      </c>
      <c r="D6047">
        <f>IFERROR(__xludf.DUMMYFUNCTION("""COMPUTED_VALUE"""),1987.0)</f>
        <v>1987</v>
      </c>
      <c r="E6047">
        <f>IFERROR(__xludf.DUMMYFUNCTION("""COMPUTED_VALUE"""),99380.0)</f>
        <v>99380</v>
      </c>
    </row>
    <row r="6048">
      <c r="A6048" t="str">
        <f t="shared" si="1"/>
        <v>grd#1988</v>
      </c>
      <c r="B6048" t="str">
        <f>IFERROR(__xludf.DUMMYFUNCTION("""COMPUTED_VALUE"""),"grd")</f>
        <v>grd</v>
      </c>
      <c r="C6048" t="str">
        <f>IFERROR(__xludf.DUMMYFUNCTION("""COMPUTED_VALUE"""),"Grenada")</f>
        <v>Grenada</v>
      </c>
      <c r="D6048">
        <f>IFERROR(__xludf.DUMMYFUNCTION("""COMPUTED_VALUE"""),1988.0)</f>
        <v>1988</v>
      </c>
      <c r="E6048">
        <f>IFERROR(__xludf.DUMMYFUNCTION("""COMPUTED_VALUE"""),98062.0)</f>
        <v>98062</v>
      </c>
    </row>
    <row r="6049">
      <c r="A6049" t="str">
        <f t="shared" si="1"/>
        <v>grd#1989</v>
      </c>
      <c r="B6049" t="str">
        <f>IFERROR(__xludf.DUMMYFUNCTION("""COMPUTED_VALUE"""),"grd")</f>
        <v>grd</v>
      </c>
      <c r="C6049" t="str">
        <f>IFERROR(__xludf.DUMMYFUNCTION("""COMPUTED_VALUE"""),"Grenada")</f>
        <v>Grenada</v>
      </c>
      <c r="D6049">
        <f>IFERROR(__xludf.DUMMYFUNCTION("""COMPUTED_VALUE"""),1989.0)</f>
        <v>1989</v>
      </c>
      <c r="E6049">
        <f>IFERROR(__xludf.DUMMYFUNCTION("""COMPUTED_VALUE"""),96869.0)</f>
        <v>96869</v>
      </c>
    </row>
    <row r="6050">
      <c r="A6050" t="str">
        <f t="shared" si="1"/>
        <v>grd#1990</v>
      </c>
      <c r="B6050" t="str">
        <f>IFERROR(__xludf.DUMMYFUNCTION("""COMPUTED_VALUE"""),"grd")</f>
        <v>grd</v>
      </c>
      <c r="C6050" t="str">
        <f>IFERROR(__xludf.DUMMYFUNCTION("""COMPUTED_VALUE"""),"Grenada")</f>
        <v>Grenada</v>
      </c>
      <c r="D6050">
        <f>IFERROR(__xludf.DUMMYFUNCTION("""COMPUTED_VALUE"""),1990.0)</f>
        <v>1990</v>
      </c>
      <c r="E6050">
        <f>IFERROR(__xludf.DUMMYFUNCTION("""COMPUTED_VALUE"""),96283.0)</f>
        <v>96283</v>
      </c>
    </row>
    <row r="6051">
      <c r="A6051" t="str">
        <f t="shared" si="1"/>
        <v>grd#1991</v>
      </c>
      <c r="B6051" t="str">
        <f>IFERROR(__xludf.DUMMYFUNCTION("""COMPUTED_VALUE"""),"grd")</f>
        <v>grd</v>
      </c>
      <c r="C6051" t="str">
        <f>IFERROR(__xludf.DUMMYFUNCTION("""COMPUTED_VALUE"""),"Grenada")</f>
        <v>Grenada</v>
      </c>
      <c r="D6051">
        <f>IFERROR(__xludf.DUMMYFUNCTION("""COMPUTED_VALUE"""),1991.0)</f>
        <v>1991</v>
      </c>
      <c r="E6051">
        <f>IFERROR(__xludf.DUMMYFUNCTION("""COMPUTED_VALUE"""),96454.0)</f>
        <v>96454</v>
      </c>
    </row>
    <row r="6052">
      <c r="A6052" t="str">
        <f t="shared" si="1"/>
        <v>grd#1992</v>
      </c>
      <c r="B6052" t="str">
        <f>IFERROR(__xludf.DUMMYFUNCTION("""COMPUTED_VALUE"""),"grd")</f>
        <v>grd</v>
      </c>
      <c r="C6052" t="str">
        <f>IFERROR(__xludf.DUMMYFUNCTION("""COMPUTED_VALUE"""),"Grenada")</f>
        <v>Grenada</v>
      </c>
      <c r="D6052">
        <f>IFERROR(__xludf.DUMMYFUNCTION("""COMPUTED_VALUE"""),1992.0)</f>
        <v>1992</v>
      </c>
      <c r="E6052">
        <f>IFERROR(__xludf.DUMMYFUNCTION("""COMPUTED_VALUE"""),97198.0)</f>
        <v>97198</v>
      </c>
    </row>
    <row r="6053">
      <c r="A6053" t="str">
        <f t="shared" si="1"/>
        <v>grd#1993</v>
      </c>
      <c r="B6053" t="str">
        <f>IFERROR(__xludf.DUMMYFUNCTION("""COMPUTED_VALUE"""),"grd")</f>
        <v>grd</v>
      </c>
      <c r="C6053" t="str">
        <f>IFERROR(__xludf.DUMMYFUNCTION("""COMPUTED_VALUE"""),"Grenada")</f>
        <v>Grenada</v>
      </c>
      <c r="D6053">
        <f>IFERROR(__xludf.DUMMYFUNCTION("""COMPUTED_VALUE"""),1993.0)</f>
        <v>1993</v>
      </c>
      <c r="E6053">
        <f>IFERROR(__xludf.DUMMYFUNCTION("""COMPUTED_VALUE"""),98305.0)</f>
        <v>98305</v>
      </c>
    </row>
    <row r="6054">
      <c r="A6054" t="str">
        <f t="shared" si="1"/>
        <v>grd#1994</v>
      </c>
      <c r="B6054" t="str">
        <f>IFERROR(__xludf.DUMMYFUNCTION("""COMPUTED_VALUE"""),"grd")</f>
        <v>grd</v>
      </c>
      <c r="C6054" t="str">
        <f>IFERROR(__xludf.DUMMYFUNCTION("""COMPUTED_VALUE"""),"Grenada")</f>
        <v>Grenada</v>
      </c>
      <c r="D6054">
        <f>IFERROR(__xludf.DUMMYFUNCTION("""COMPUTED_VALUE"""),1994.0)</f>
        <v>1994</v>
      </c>
      <c r="E6054">
        <f>IFERROR(__xludf.DUMMYFUNCTION("""COMPUTED_VALUE"""),99405.0)</f>
        <v>99405</v>
      </c>
    </row>
    <row r="6055">
      <c r="A6055" t="str">
        <f t="shared" si="1"/>
        <v>grd#1995</v>
      </c>
      <c r="B6055" t="str">
        <f>IFERROR(__xludf.DUMMYFUNCTION("""COMPUTED_VALUE"""),"grd")</f>
        <v>grd</v>
      </c>
      <c r="C6055" t="str">
        <f>IFERROR(__xludf.DUMMYFUNCTION("""COMPUTED_VALUE"""),"Grenada")</f>
        <v>Grenada</v>
      </c>
      <c r="D6055">
        <f>IFERROR(__xludf.DUMMYFUNCTION("""COMPUTED_VALUE"""),1995.0)</f>
        <v>1995</v>
      </c>
      <c r="E6055">
        <f>IFERROR(__xludf.DUMMYFUNCTION("""COMPUTED_VALUE"""),100255.0)</f>
        <v>100255</v>
      </c>
    </row>
    <row r="6056">
      <c r="A6056" t="str">
        <f t="shared" si="1"/>
        <v>grd#1996</v>
      </c>
      <c r="B6056" t="str">
        <f>IFERROR(__xludf.DUMMYFUNCTION("""COMPUTED_VALUE"""),"grd")</f>
        <v>grd</v>
      </c>
      <c r="C6056" t="str">
        <f>IFERROR(__xludf.DUMMYFUNCTION("""COMPUTED_VALUE"""),"Grenada")</f>
        <v>Grenada</v>
      </c>
      <c r="D6056">
        <f>IFERROR(__xludf.DUMMYFUNCTION("""COMPUTED_VALUE"""),1996.0)</f>
        <v>1996</v>
      </c>
      <c r="E6056">
        <f>IFERROR(__xludf.DUMMYFUNCTION("""COMPUTED_VALUE"""),100796.0)</f>
        <v>100796</v>
      </c>
    </row>
    <row r="6057">
      <c r="A6057" t="str">
        <f t="shared" si="1"/>
        <v>grd#1997</v>
      </c>
      <c r="B6057" t="str">
        <f>IFERROR(__xludf.DUMMYFUNCTION("""COMPUTED_VALUE"""),"grd")</f>
        <v>grd</v>
      </c>
      <c r="C6057" t="str">
        <f>IFERROR(__xludf.DUMMYFUNCTION("""COMPUTED_VALUE"""),"Grenada")</f>
        <v>Grenada</v>
      </c>
      <c r="D6057">
        <f>IFERROR(__xludf.DUMMYFUNCTION("""COMPUTED_VALUE"""),1997.0)</f>
        <v>1997</v>
      </c>
      <c r="E6057">
        <f>IFERROR(__xludf.DUMMYFUNCTION("""COMPUTED_VALUE"""),101122.0)</f>
        <v>101122</v>
      </c>
    </row>
    <row r="6058">
      <c r="A6058" t="str">
        <f t="shared" si="1"/>
        <v>grd#1998</v>
      </c>
      <c r="B6058" t="str">
        <f>IFERROR(__xludf.DUMMYFUNCTION("""COMPUTED_VALUE"""),"grd")</f>
        <v>grd</v>
      </c>
      <c r="C6058" t="str">
        <f>IFERROR(__xludf.DUMMYFUNCTION("""COMPUTED_VALUE"""),"Grenada")</f>
        <v>Grenada</v>
      </c>
      <c r="D6058">
        <f>IFERROR(__xludf.DUMMYFUNCTION("""COMPUTED_VALUE"""),1998.0)</f>
        <v>1998</v>
      </c>
      <c r="E6058">
        <f>IFERROR(__xludf.DUMMYFUNCTION("""COMPUTED_VALUE"""),101309.0)</f>
        <v>101309</v>
      </c>
    </row>
    <row r="6059">
      <c r="A6059" t="str">
        <f t="shared" si="1"/>
        <v>grd#1999</v>
      </c>
      <c r="B6059" t="str">
        <f>IFERROR(__xludf.DUMMYFUNCTION("""COMPUTED_VALUE"""),"grd")</f>
        <v>grd</v>
      </c>
      <c r="C6059" t="str">
        <f>IFERROR(__xludf.DUMMYFUNCTION("""COMPUTED_VALUE"""),"Grenada")</f>
        <v>Grenada</v>
      </c>
      <c r="D6059">
        <f>IFERROR(__xludf.DUMMYFUNCTION("""COMPUTED_VALUE"""),1999.0)</f>
        <v>1999</v>
      </c>
      <c r="E6059">
        <f>IFERROR(__xludf.DUMMYFUNCTION("""COMPUTED_VALUE"""),101442.0)</f>
        <v>101442</v>
      </c>
    </row>
    <row r="6060">
      <c r="A6060" t="str">
        <f t="shared" si="1"/>
        <v>grd#2000</v>
      </c>
      <c r="B6060" t="str">
        <f>IFERROR(__xludf.DUMMYFUNCTION("""COMPUTED_VALUE"""),"grd")</f>
        <v>grd</v>
      </c>
      <c r="C6060" t="str">
        <f>IFERROR(__xludf.DUMMYFUNCTION("""COMPUTED_VALUE"""),"Grenada")</f>
        <v>Grenada</v>
      </c>
      <c r="D6060">
        <f>IFERROR(__xludf.DUMMYFUNCTION("""COMPUTED_VALUE"""),2000.0)</f>
        <v>2000</v>
      </c>
      <c r="E6060">
        <f>IFERROR(__xludf.DUMMYFUNCTION("""COMPUTED_VALUE"""),101619.0)</f>
        <v>101619</v>
      </c>
    </row>
    <row r="6061">
      <c r="A6061" t="str">
        <f t="shared" si="1"/>
        <v>grd#2001</v>
      </c>
      <c r="B6061" t="str">
        <f>IFERROR(__xludf.DUMMYFUNCTION("""COMPUTED_VALUE"""),"grd")</f>
        <v>grd</v>
      </c>
      <c r="C6061" t="str">
        <f>IFERROR(__xludf.DUMMYFUNCTION("""COMPUTED_VALUE"""),"Grenada")</f>
        <v>Grenada</v>
      </c>
      <c r="D6061">
        <f>IFERROR(__xludf.DUMMYFUNCTION("""COMPUTED_VALUE"""),2001.0)</f>
        <v>2001</v>
      </c>
      <c r="E6061">
        <f>IFERROR(__xludf.DUMMYFUNCTION("""COMPUTED_VALUE"""),101849.0)</f>
        <v>101849</v>
      </c>
    </row>
    <row r="6062">
      <c r="A6062" t="str">
        <f t="shared" si="1"/>
        <v>grd#2002</v>
      </c>
      <c r="B6062" t="str">
        <f>IFERROR(__xludf.DUMMYFUNCTION("""COMPUTED_VALUE"""),"grd")</f>
        <v>grd</v>
      </c>
      <c r="C6062" t="str">
        <f>IFERROR(__xludf.DUMMYFUNCTION("""COMPUTED_VALUE"""),"Grenada")</f>
        <v>Grenada</v>
      </c>
      <c r="D6062">
        <f>IFERROR(__xludf.DUMMYFUNCTION("""COMPUTED_VALUE"""),2002.0)</f>
        <v>2002</v>
      </c>
      <c r="E6062">
        <f>IFERROR(__xludf.DUMMYFUNCTION("""COMPUTED_VALUE"""),102100.0)</f>
        <v>102100</v>
      </c>
    </row>
    <row r="6063">
      <c r="A6063" t="str">
        <f t="shared" si="1"/>
        <v>grd#2003</v>
      </c>
      <c r="B6063" t="str">
        <f>IFERROR(__xludf.DUMMYFUNCTION("""COMPUTED_VALUE"""),"grd")</f>
        <v>grd</v>
      </c>
      <c r="C6063" t="str">
        <f>IFERROR(__xludf.DUMMYFUNCTION("""COMPUTED_VALUE"""),"Grenada")</f>
        <v>Grenada</v>
      </c>
      <c r="D6063">
        <f>IFERROR(__xludf.DUMMYFUNCTION("""COMPUTED_VALUE"""),2003.0)</f>
        <v>2003</v>
      </c>
      <c r="E6063">
        <f>IFERROR(__xludf.DUMMYFUNCTION("""COMPUTED_VALUE"""),102375.0)</f>
        <v>102375</v>
      </c>
    </row>
    <row r="6064">
      <c r="A6064" t="str">
        <f t="shared" si="1"/>
        <v>grd#2004</v>
      </c>
      <c r="B6064" t="str">
        <f>IFERROR(__xludf.DUMMYFUNCTION("""COMPUTED_VALUE"""),"grd")</f>
        <v>grd</v>
      </c>
      <c r="C6064" t="str">
        <f>IFERROR(__xludf.DUMMYFUNCTION("""COMPUTED_VALUE"""),"Grenada")</f>
        <v>Grenada</v>
      </c>
      <c r="D6064">
        <f>IFERROR(__xludf.DUMMYFUNCTION("""COMPUTED_VALUE"""),2004.0)</f>
        <v>2004</v>
      </c>
      <c r="E6064">
        <f>IFERROR(__xludf.DUMMYFUNCTION("""COMPUTED_VALUE"""),102656.0)</f>
        <v>102656</v>
      </c>
    </row>
    <row r="6065">
      <c r="A6065" t="str">
        <f t="shared" si="1"/>
        <v>grd#2005</v>
      </c>
      <c r="B6065" t="str">
        <f>IFERROR(__xludf.DUMMYFUNCTION("""COMPUTED_VALUE"""),"grd")</f>
        <v>grd</v>
      </c>
      <c r="C6065" t="str">
        <f>IFERROR(__xludf.DUMMYFUNCTION("""COMPUTED_VALUE"""),"Grenada")</f>
        <v>Grenada</v>
      </c>
      <c r="D6065">
        <f>IFERROR(__xludf.DUMMYFUNCTION("""COMPUTED_VALUE"""),2005.0)</f>
        <v>2005</v>
      </c>
      <c r="E6065">
        <f>IFERROR(__xludf.DUMMYFUNCTION("""COMPUTED_VALUE"""),102949.0)</f>
        <v>102949</v>
      </c>
    </row>
    <row r="6066">
      <c r="A6066" t="str">
        <f t="shared" si="1"/>
        <v>grd#2006</v>
      </c>
      <c r="B6066" t="str">
        <f>IFERROR(__xludf.DUMMYFUNCTION("""COMPUTED_VALUE"""),"grd")</f>
        <v>grd</v>
      </c>
      <c r="C6066" t="str">
        <f>IFERROR(__xludf.DUMMYFUNCTION("""COMPUTED_VALUE"""),"Grenada")</f>
        <v>Grenada</v>
      </c>
      <c r="D6066">
        <f>IFERROR(__xludf.DUMMYFUNCTION("""COMPUTED_VALUE"""),2006.0)</f>
        <v>2006</v>
      </c>
      <c r="E6066">
        <f>IFERROR(__xludf.DUMMYFUNCTION("""COMPUTED_VALUE"""),103259.0)</f>
        <v>103259</v>
      </c>
    </row>
    <row r="6067">
      <c r="A6067" t="str">
        <f t="shared" si="1"/>
        <v>grd#2007</v>
      </c>
      <c r="B6067" t="str">
        <f>IFERROR(__xludf.DUMMYFUNCTION("""COMPUTED_VALUE"""),"grd")</f>
        <v>grd</v>
      </c>
      <c r="C6067" t="str">
        <f>IFERROR(__xludf.DUMMYFUNCTION("""COMPUTED_VALUE"""),"Grenada")</f>
        <v>Grenada</v>
      </c>
      <c r="D6067">
        <f>IFERROR(__xludf.DUMMYFUNCTION("""COMPUTED_VALUE"""),2007.0)</f>
        <v>2007</v>
      </c>
      <c r="E6067">
        <f>IFERROR(__xludf.DUMMYFUNCTION("""COMPUTED_VALUE"""),103586.0)</f>
        <v>103586</v>
      </c>
    </row>
    <row r="6068">
      <c r="A6068" t="str">
        <f t="shared" si="1"/>
        <v>grd#2008</v>
      </c>
      <c r="B6068" t="str">
        <f>IFERROR(__xludf.DUMMYFUNCTION("""COMPUTED_VALUE"""),"grd")</f>
        <v>grd</v>
      </c>
      <c r="C6068" t="str">
        <f>IFERROR(__xludf.DUMMYFUNCTION("""COMPUTED_VALUE"""),"Grenada")</f>
        <v>Grenada</v>
      </c>
      <c r="D6068">
        <f>IFERROR(__xludf.DUMMYFUNCTION("""COMPUTED_VALUE"""),2008.0)</f>
        <v>2008</v>
      </c>
      <c r="E6068">
        <f>IFERROR(__xludf.DUMMYFUNCTION("""COMPUTED_VALUE"""),103930.0)</f>
        <v>103930</v>
      </c>
    </row>
    <row r="6069">
      <c r="A6069" t="str">
        <f t="shared" si="1"/>
        <v>grd#2009</v>
      </c>
      <c r="B6069" t="str">
        <f>IFERROR(__xludf.DUMMYFUNCTION("""COMPUTED_VALUE"""),"grd")</f>
        <v>grd</v>
      </c>
      <c r="C6069" t="str">
        <f>IFERROR(__xludf.DUMMYFUNCTION("""COMPUTED_VALUE"""),"Grenada")</f>
        <v>Grenada</v>
      </c>
      <c r="D6069">
        <f>IFERROR(__xludf.DUMMYFUNCTION("""COMPUTED_VALUE"""),2009.0)</f>
        <v>2009</v>
      </c>
      <c r="E6069">
        <f>IFERROR(__xludf.DUMMYFUNCTION("""COMPUTED_VALUE"""),104296.0)</f>
        <v>104296</v>
      </c>
    </row>
    <row r="6070">
      <c r="A6070" t="str">
        <f t="shared" si="1"/>
        <v>grd#2010</v>
      </c>
      <c r="B6070" t="str">
        <f>IFERROR(__xludf.DUMMYFUNCTION("""COMPUTED_VALUE"""),"grd")</f>
        <v>grd</v>
      </c>
      <c r="C6070" t="str">
        <f>IFERROR(__xludf.DUMMYFUNCTION("""COMPUTED_VALUE"""),"Grenada")</f>
        <v>Grenada</v>
      </c>
      <c r="D6070">
        <f>IFERROR(__xludf.DUMMYFUNCTION("""COMPUTED_VALUE"""),2010.0)</f>
        <v>2010</v>
      </c>
      <c r="E6070">
        <f>IFERROR(__xludf.DUMMYFUNCTION("""COMPUTED_VALUE"""),104677.0)</f>
        <v>104677</v>
      </c>
    </row>
    <row r="6071">
      <c r="A6071" t="str">
        <f t="shared" si="1"/>
        <v>grd#2011</v>
      </c>
      <c r="B6071" t="str">
        <f>IFERROR(__xludf.DUMMYFUNCTION("""COMPUTED_VALUE"""),"grd")</f>
        <v>grd</v>
      </c>
      <c r="C6071" t="str">
        <f>IFERROR(__xludf.DUMMYFUNCTION("""COMPUTED_VALUE"""),"Grenada")</f>
        <v>Grenada</v>
      </c>
      <c r="D6071">
        <f>IFERROR(__xludf.DUMMYFUNCTION("""COMPUTED_VALUE"""),2011.0)</f>
        <v>2011</v>
      </c>
      <c r="E6071">
        <f>IFERROR(__xludf.DUMMYFUNCTION("""COMPUTED_VALUE"""),105075.0)</f>
        <v>105075</v>
      </c>
    </row>
    <row r="6072">
      <c r="A6072" t="str">
        <f t="shared" si="1"/>
        <v>grd#2012</v>
      </c>
      <c r="B6072" t="str">
        <f>IFERROR(__xludf.DUMMYFUNCTION("""COMPUTED_VALUE"""),"grd")</f>
        <v>grd</v>
      </c>
      <c r="C6072" t="str">
        <f>IFERROR(__xludf.DUMMYFUNCTION("""COMPUTED_VALUE"""),"Grenada")</f>
        <v>Grenada</v>
      </c>
      <c r="D6072">
        <f>IFERROR(__xludf.DUMMYFUNCTION("""COMPUTED_VALUE"""),2012.0)</f>
        <v>2012</v>
      </c>
      <c r="E6072">
        <f>IFERROR(__xludf.DUMMYFUNCTION("""COMPUTED_VALUE"""),105481.0)</f>
        <v>105481</v>
      </c>
    </row>
    <row r="6073">
      <c r="A6073" t="str">
        <f t="shared" si="1"/>
        <v>grd#2013</v>
      </c>
      <c r="B6073" t="str">
        <f>IFERROR(__xludf.DUMMYFUNCTION("""COMPUTED_VALUE"""),"grd")</f>
        <v>grd</v>
      </c>
      <c r="C6073" t="str">
        <f>IFERROR(__xludf.DUMMYFUNCTION("""COMPUTED_VALUE"""),"Grenada")</f>
        <v>Grenada</v>
      </c>
      <c r="D6073">
        <f>IFERROR(__xludf.DUMMYFUNCTION("""COMPUTED_VALUE"""),2013.0)</f>
        <v>2013</v>
      </c>
      <c r="E6073">
        <f>IFERROR(__xludf.DUMMYFUNCTION("""COMPUTED_VALUE"""),105909.0)</f>
        <v>105909</v>
      </c>
    </row>
    <row r="6074">
      <c r="A6074" t="str">
        <f t="shared" si="1"/>
        <v>grd#2014</v>
      </c>
      <c r="B6074" t="str">
        <f>IFERROR(__xludf.DUMMYFUNCTION("""COMPUTED_VALUE"""),"grd")</f>
        <v>grd</v>
      </c>
      <c r="C6074" t="str">
        <f>IFERROR(__xludf.DUMMYFUNCTION("""COMPUTED_VALUE"""),"Grenada")</f>
        <v>Grenada</v>
      </c>
      <c r="D6074">
        <f>IFERROR(__xludf.DUMMYFUNCTION("""COMPUTED_VALUE"""),2014.0)</f>
        <v>2014</v>
      </c>
      <c r="E6074">
        <f>IFERROR(__xludf.DUMMYFUNCTION("""COMPUTED_VALUE"""),106360.0)</f>
        <v>106360</v>
      </c>
    </row>
    <row r="6075">
      <c r="A6075" t="str">
        <f t="shared" si="1"/>
        <v>grd#2015</v>
      </c>
      <c r="B6075" t="str">
        <f>IFERROR(__xludf.DUMMYFUNCTION("""COMPUTED_VALUE"""),"grd")</f>
        <v>grd</v>
      </c>
      <c r="C6075" t="str">
        <f>IFERROR(__xludf.DUMMYFUNCTION("""COMPUTED_VALUE"""),"Grenada")</f>
        <v>Grenada</v>
      </c>
      <c r="D6075">
        <f>IFERROR(__xludf.DUMMYFUNCTION("""COMPUTED_VALUE"""),2015.0)</f>
        <v>2015</v>
      </c>
      <c r="E6075">
        <f>IFERROR(__xludf.DUMMYFUNCTION("""COMPUTED_VALUE"""),106823.0)</f>
        <v>106823</v>
      </c>
    </row>
    <row r="6076">
      <c r="A6076" t="str">
        <f t="shared" si="1"/>
        <v>grd#2016</v>
      </c>
      <c r="B6076" t="str">
        <f>IFERROR(__xludf.DUMMYFUNCTION("""COMPUTED_VALUE"""),"grd")</f>
        <v>grd</v>
      </c>
      <c r="C6076" t="str">
        <f>IFERROR(__xludf.DUMMYFUNCTION("""COMPUTED_VALUE"""),"Grenada")</f>
        <v>Grenada</v>
      </c>
      <c r="D6076">
        <f>IFERROR(__xludf.DUMMYFUNCTION("""COMPUTED_VALUE"""),2016.0)</f>
        <v>2016</v>
      </c>
      <c r="E6076">
        <f>IFERROR(__xludf.DUMMYFUNCTION("""COMPUTED_VALUE"""),107317.0)</f>
        <v>107317</v>
      </c>
    </row>
    <row r="6077">
      <c r="A6077" t="str">
        <f t="shared" si="1"/>
        <v>grd#2017</v>
      </c>
      <c r="B6077" t="str">
        <f>IFERROR(__xludf.DUMMYFUNCTION("""COMPUTED_VALUE"""),"grd")</f>
        <v>grd</v>
      </c>
      <c r="C6077" t="str">
        <f>IFERROR(__xludf.DUMMYFUNCTION("""COMPUTED_VALUE"""),"Grenada")</f>
        <v>Grenada</v>
      </c>
      <c r="D6077">
        <f>IFERROR(__xludf.DUMMYFUNCTION("""COMPUTED_VALUE"""),2017.0)</f>
        <v>2017</v>
      </c>
      <c r="E6077">
        <f>IFERROR(__xludf.DUMMYFUNCTION("""COMPUTED_VALUE"""),107825.0)</f>
        <v>107825</v>
      </c>
    </row>
    <row r="6078">
      <c r="A6078" t="str">
        <f t="shared" si="1"/>
        <v>grd#2018</v>
      </c>
      <c r="B6078" t="str">
        <f>IFERROR(__xludf.DUMMYFUNCTION("""COMPUTED_VALUE"""),"grd")</f>
        <v>grd</v>
      </c>
      <c r="C6078" t="str">
        <f>IFERROR(__xludf.DUMMYFUNCTION("""COMPUTED_VALUE"""),"Grenada")</f>
        <v>Grenada</v>
      </c>
      <c r="D6078">
        <f>IFERROR(__xludf.DUMMYFUNCTION("""COMPUTED_VALUE"""),2018.0)</f>
        <v>2018</v>
      </c>
      <c r="E6078">
        <f>IFERROR(__xludf.DUMMYFUNCTION("""COMPUTED_VALUE"""),108339.0)</f>
        <v>108339</v>
      </c>
    </row>
    <row r="6079">
      <c r="A6079" t="str">
        <f t="shared" si="1"/>
        <v>grd#2019</v>
      </c>
      <c r="B6079" t="str">
        <f>IFERROR(__xludf.DUMMYFUNCTION("""COMPUTED_VALUE"""),"grd")</f>
        <v>grd</v>
      </c>
      <c r="C6079" t="str">
        <f>IFERROR(__xludf.DUMMYFUNCTION("""COMPUTED_VALUE"""),"Grenada")</f>
        <v>Grenada</v>
      </c>
      <c r="D6079">
        <f>IFERROR(__xludf.DUMMYFUNCTION("""COMPUTED_VALUE"""),2019.0)</f>
        <v>2019</v>
      </c>
      <c r="E6079">
        <f>IFERROR(__xludf.DUMMYFUNCTION("""COMPUTED_VALUE"""),108825.0)</f>
        <v>108825</v>
      </c>
    </row>
    <row r="6080">
      <c r="A6080" t="str">
        <f t="shared" si="1"/>
        <v>grd#2020</v>
      </c>
      <c r="B6080" t="str">
        <f>IFERROR(__xludf.DUMMYFUNCTION("""COMPUTED_VALUE"""),"grd")</f>
        <v>grd</v>
      </c>
      <c r="C6080" t="str">
        <f>IFERROR(__xludf.DUMMYFUNCTION("""COMPUTED_VALUE"""),"Grenada")</f>
        <v>Grenada</v>
      </c>
      <c r="D6080">
        <f>IFERROR(__xludf.DUMMYFUNCTION("""COMPUTED_VALUE"""),2020.0)</f>
        <v>2020</v>
      </c>
      <c r="E6080">
        <f>IFERROR(__xludf.DUMMYFUNCTION("""COMPUTED_VALUE"""),109308.0)</f>
        <v>109308</v>
      </c>
    </row>
    <row r="6081">
      <c r="A6081" t="str">
        <f t="shared" si="1"/>
        <v>grd#2021</v>
      </c>
      <c r="B6081" t="str">
        <f>IFERROR(__xludf.DUMMYFUNCTION("""COMPUTED_VALUE"""),"grd")</f>
        <v>grd</v>
      </c>
      <c r="C6081" t="str">
        <f>IFERROR(__xludf.DUMMYFUNCTION("""COMPUTED_VALUE"""),"Grenada")</f>
        <v>Grenada</v>
      </c>
      <c r="D6081">
        <f>IFERROR(__xludf.DUMMYFUNCTION("""COMPUTED_VALUE"""),2021.0)</f>
        <v>2021</v>
      </c>
      <c r="E6081">
        <f>IFERROR(__xludf.DUMMYFUNCTION("""COMPUTED_VALUE"""),109761.0)</f>
        <v>109761</v>
      </c>
    </row>
    <row r="6082">
      <c r="A6082" t="str">
        <f t="shared" si="1"/>
        <v>grd#2022</v>
      </c>
      <c r="B6082" t="str">
        <f>IFERROR(__xludf.DUMMYFUNCTION("""COMPUTED_VALUE"""),"grd")</f>
        <v>grd</v>
      </c>
      <c r="C6082" t="str">
        <f>IFERROR(__xludf.DUMMYFUNCTION("""COMPUTED_VALUE"""),"Grenada")</f>
        <v>Grenada</v>
      </c>
      <c r="D6082">
        <f>IFERROR(__xludf.DUMMYFUNCTION("""COMPUTED_VALUE"""),2022.0)</f>
        <v>2022</v>
      </c>
      <c r="E6082">
        <f>IFERROR(__xludf.DUMMYFUNCTION("""COMPUTED_VALUE"""),110170.0)</f>
        <v>110170</v>
      </c>
    </row>
    <row r="6083">
      <c r="A6083" t="str">
        <f t="shared" si="1"/>
        <v>grd#2023</v>
      </c>
      <c r="B6083" t="str">
        <f>IFERROR(__xludf.DUMMYFUNCTION("""COMPUTED_VALUE"""),"grd")</f>
        <v>grd</v>
      </c>
      <c r="C6083" t="str">
        <f>IFERROR(__xludf.DUMMYFUNCTION("""COMPUTED_VALUE"""),"Grenada")</f>
        <v>Grenada</v>
      </c>
      <c r="D6083">
        <f>IFERROR(__xludf.DUMMYFUNCTION("""COMPUTED_VALUE"""),2023.0)</f>
        <v>2023</v>
      </c>
      <c r="E6083">
        <f>IFERROR(__xludf.DUMMYFUNCTION("""COMPUTED_VALUE"""),110556.0)</f>
        <v>110556</v>
      </c>
    </row>
    <row r="6084">
      <c r="A6084" t="str">
        <f t="shared" si="1"/>
        <v>grd#2024</v>
      </c>
      <c r="B6084" t="str">
        <f>IFERROR(__xludf.DUMMYFUNCTION("""COMPUTED_VALUE"""),"grd")</f>
        <v>grd</v>
      </c>
      <c r="C6084" t="str">
        <f>IFERROR(__xludf.DUMMYFUNCTION("""COMPUTED_VALUE"""),"Grenada")</f>
        <v>Grenada</v>
      </c>
      <c r="D6084">
        <f>IFERROR(__xludf.DUMMYFUNCTION("""COMPUTED_VALUE"""),2024.0)</f>
        <v>2024</v>
      </c>
      <c r="E6084">
        <f>IFERROR(__xludf.DUMMYFUNCTION("""COMPUTED_VALUE"""),110894.0)</f>
        <v>110894</v>
      </c>
    </row>
    <row r="6085">
      <c r="A6085" t="str">
        <f t="shared" si="1"/>
        <v>grd#2025</v>
      </c>
      <c r="B6085" t="str">
        <f>IFERROR(__xludf.DUMMYFUNCTION("""COMPUTED_VALUE"""),"grd")</f>
        <v>grd</v>
      </c>
      <c r="C6085" t="str">
        <f>IFERROR(__xludf.DUMMYFUNCTION("""COMPUTED_VALUE"""),"Grenada")</f>
        <v>Grenada</v>
      </c>
      <c r="D6085">
        <f>IFERROR(__xludf.DUMMYFUNCTION("""COMPUTED_VALUE"""),2025.0)</f>
        <v>2025</v>
      </c>
      <c r="E6085">
        <f>IFERROR(__xludf.DUMMYFUNCTION("""COMPUTED_VALUE"""),111186.0)</f>
        <v>111186</v>
      </c>
    </row>
    <row r="6086">
      <c r="A6086" t="str">
        <f t="shared" si="1"/>
        <v>grd#2026</v>
      </c>
      <c r="B6086" t="str">
        <f>IFERROR(__xludf.DUMMYFUNCTION("""COMPUTED_VALUE"""),"grd")</f>
        <v>grd</v>
      </c>
      <c r="C6086" t="str">
        <f>IFERROR(__xludf.DUMMYFUNCTION("""COMPUTED_VALUE"""),"Grenada")</f>
        <v>Grenada</v>
      </c>
      <c r="D6086">
        <f>IFERROR(__xludf.DUMMYFUNCTION("""COMPUTED_VALUE"""),2026.0)</f>
        <v>2026</v>
      </c>
      <c r="E6086">
        <f>IFERROR(__xludf.DUMMYFUNCTION("""COMPUTED_VALUE"""),111437.0)</f>
        <v>111437</v>
      </c>
    </row>
    <row r="6087">
      <c r="A6087" t="str">
        <f t="shared" si="1"/>
        <v>grd#2027</v>
      </c>
      <c r="B6087" t="str">
        <f>IFERROR(__xludf.DUMMYFUNCTION("""COMPUTED_VALUE"""),"grd")</f>
        <v>grd</v>
      </c>
      <c r="C6087" t="str">
        <f>IFERROR(__xludf.DUMMYFUNCTION("""COMPUTED_VALUE"""),"Grenada")</f>
        <v>Grenada</v>
      </c>
      <c r="D6087">
        <f>IFERROR(__xludf.DUMMYFUNCTION("""COMPUTED_VALUE"""),2027.0)</f>
        <v>2027</v>
      </c>
      <c r="E6087">
        <f>IFERROR(__xludf.DUMMYFUNCTION("""COMPUTED_VALUE"""),111630.0)</f>
        <v>111630</v>
      </c>
    </row>
    <row r="6088">
      <c r="A6088" t="str">
        <f t="shared" si="1"/>
        <v>grd#2028</v>
      </c>
      <c r="B6088" t="str">
        <f>IFERROR(__xludf.DUMMYFUNCTION("""COMPUTED_VALUE"""),"grd")</f>
        <v>grd</v>
      </c>
      <c r="C6088" t="str">
        <f>IFERROR(__xludf.DUMMYFUNCTION("""COMPUTED_VALUE"""),"Grenada")</f>
        <v>Grenada</v>
      </c>
      <c r="D6088">
        <f>IFERROR(__xludf.DUMMYFUNCTION("""COMPUTED_VALUE"""),2028.0)</f>
        <v>2028</v>
      </c>
      <c r="E6088">
        <f>IFERROR(__xludf.DUMMYFUNCTION("""COMPUTED_VALUE"""),111785.0)</f>
        <v>111785</v>
      </c>
    </row>
    <row r="6089">
      <c r="A6089" t="str">
        <f t="shared" si="1"/>
        <v>grd#2029</v>
      </c>
      <c r="B6089" t="str">
        <f>IFERROR(__xludf.DUMMYFUNCTION("""COMPUTED_VALUE"""),"grd")</f>
        <v>grd</v>
      </c>
      <c r="C6089" t="str">
        <f>IFERROR(__xludf.DUMMYFUNCTION("""COMPUTED_VALUE"""),"Grenada")</f>
        <v>Grenada</v>
      </c>
      <c r="D6089">
        <f>IFERROR(__xludf.DUMMYFUNCTION("""COMPUTED_VALUE"""),2029.0)</f>
        <v>2029</v>
      </c>
      <c r="E6089">
        <f>IFERROR(__xludf.DUMMYFUNCTION("""COMPUTED_VALUE"""),111914.0)</f>
        <v>111914</v>
      </c>
    </row>
    <row r="6090">
      <c r="A6090" t="str">
        <f t="shared" si="1"/>
        <v>grd#2030</v>
      </c>
      <c r="B6090" t="str">
        <f>IFERROR(__xludf.DUMMYFUNCTION("""COMPUTED_VALUE"""),"grd")</f>
        <v>grd</v>
      </c>
      <c r="C6090" t="str">
        <f>IFERROR(__xludf.DUMMYFUNCTION("""COMPUTED_VALUE"""),"Grenada")</f>
        <v>Grenada</v>
      </c>
      <c r="D6090">
        <f>IFERROR(__xludf.DUMMYFUNCTION("""COMPUTED_VALUE"""),2030.0)</f>
        <v>2030</v>
      </c>
      <c r="E6090">
        <f>IFERROR(__xludf.DUMMYFUNCTION("""COMPUTED_VALUE"""),112024.0)</f>
        <v>112024</v>
      </c>
    </row>
    <row r="6091">
      <c r="A6091" t="str">
        <f t="shared" si="1"/>
        <v>grd#2031</v>
      </c>
      <c r="B6091" t="str">
        <f>IFERROR(__xludf.DUMMYFUNCTION("""COMPUTED_VALUE"""),"grd")</f>
        <v>grd</v>
      </c>
      <c r="C6091" t="str">
        <f>IFERROR(__xludf.DUMMYFUNCTION("""COMPUTED_VALUE"""),"Grenada")</f>
        <v>Grenada</v>
      </c>
      <c r="D6091">
        <f>IFERROR(__xludf.DUMMYFUNCTION("""COMPUTED_VALUE"""),2031.0)</f>
        <v>2031</v>
      </c>
      <c r="E6091">
        <f>IFERROR(__xludf.DUMMYFUNCTION("""COMPUTED_VALUE"""),112112.0)</f>
        <v>112112</v>
      </c>
    </row>
    <row r="6092">
      <c r="A6092" t="str">
        <f t="shared" si="1"/>
        <v>grd#2032</v>
      </c>
      <c r="B6092" t="str">
        <f>IFERROR(__xludf.DUMMYFUNCTION("""COMPUTED_VALUE"""),"grd")</f>
        <v>grd</v>
      </c>
      <c r="C6092" t="str">
        <f>IFERROR(__xludf.DUMMYFUNCTION("""COMPUTED_VALUE"""),"Grenada")</f>
        <v>Grenada</v>
      </c>
      <c r="D6092">
        <f>IFERROR(__xludf.DUMMYFUNCTION("""COMPUTED_VALUE"""),2032.0)</f>
        <v>2032</v>
      </c>
      <c r="E6092">
        <f>IFERROR(__xludf.DUMMYFUNCTION("""COMPUTED_VALUE"""),112180.0)</f>
        <v>112180</v>
      </c>
    </row>
    <row r="6093">
      <c r="A6093" t="str">
        <f t="shared" si="1"/>
        <v>grd#2033</v>
      </c>
      <c r="B6093" t="str">
        <f>IFERROR(__xludf.DUMMYFUNCTION("""COMPUTED_VALUE"""),"grd")</f>
        <v>grd</v>
      </c>
      <c r="C6093" t="str">
        <f>IFERROR(__xludf.DUMMYFUNCTION("""COMPUTED_VALUE"""),"Grenada")</f>
        <v>Grenada</v>
      </c>
      <c r="D6093">
        <f>IFERROR(__xludf.DUMMYFUNCTION("""COMPUTED_VALUE"""),2033.0)</f>
        <v>2033</v>
      </c>
      <c r="E6093">
        <f>IFERROR(__xludf.DUMMYFUNCTION("""COMPUTED_VALUE"""),112225.0)</f>
        <v>112225</v>
      </c>
    </row>
    <row r="6094">
      <c r="A6094" t="str">
        <f t="shared" si="1"/>
        <v>grd#2034</v>
      </c>
      <c r="B6094" t="str">
        <f>IFERROR(__xludf.DUMMYFUNCTION("""COMPUTED_VALUE"""),"grd")</f>
        <v>grd</v>
      </c>
      <c r="C6094" t="str">
        <f>IFERROR(__xludf.DUMMYFUNCTION("""COMPUTED_VALUE"""),"Grenada")</f>
        <v>Grenada</v>
      </c>
      <c r="D6094">
        <f>IFERROR(__xludf.DUMMYFUNCTION("""COMPUTED_VALUE"""),2034.0)</f>
        <v>2034</v>
      </c>
      <c r="E6094">
        <f>IFERROR(__xludf.DUMMYFUNCTION("""COMPUTED_VALUE"""),112250.0)</f>
        <v>112250</v>
      </c>
    </row>
    <row r="6095">
      <c r="A6095" t="str">
        <f t="shared" si="1"/>
        <v>grd#2035</v>
      </c>
      <c r="B6095" t="str">
        <f>IFERROR(__xludf.DUMMYFUNCTION("""COMPUTED_VALUE"""),"grd")</f>
        <v>grd</v>
      </c>
      <c r="C6095" t="str">
        <f>IFERROR(__xludf.DUMMYFUNCTION("""COMPUTED_VALUE"""),"Grenada")</f>
        <v>Grenada</v>
      </c>
      <c r="D6095">
        <f>IFERROR(__xludf.DUMMYFUNCTION("""COMPUTED_VALUE"""),2035.0)</f>
        <v>2035</v>
      </c>
      <c r="E6095">
        <f>IFERROR(__xludf.DUMMYFUNCTION("""COMPUTED_VALUE"""),112255.0)</f>
        <v>112255</v>
      </c>
    </row>
    <row r="6096">
      <c r="A6096" t="str">
        <f t="shared" si="1"/>
        <v>grd#2036</v>
      </c>
      <c r="B6096" t="str">
        <f>IFERROR(__xludf.DUMMYFUNCTION("""COMPUTED_VALUE"""),"grd")</f>
        <v>grd</v>
      </c>
      <c r="C6096" t="str">
        <f>IFERROR(__xludf.DUMMYFUNCTION("""COMPUTED_VALUE"""),"Grenada")</f>
        <v>Grenada</v>
      </c>
      <c r="D6096">
        <f>IFERROR(__xludf.DUMMYFUNCTION("""COMPUTED_VALUE"""),2036.0)</f>
        <v>2036</v>
      </c>
      <c r="E6096">
        <f>IFERROR(__xludf.DUMMYFUNCTION("""COMPUTED_VALUE"""),112245.0)</f>
        <v>112245</v>
      </c>
    </row>
    <row r="6097">
      <c r="A6097" t="str">
        <f t="shared" si="1"/>
        <v>grd#2037</v>
      </c>
      <c r="B6097" t="str">
        <f>IFERROR(__xludf.DUMMYFUNCTION("""COMPUTED_VALUE"""),"grd")</f>
        <v>grd</v>
      </c>
      <c r="C6097" t="str">
        <f>IFERROR(__xludf.DUMMYFUNCTION("""COMPUTED_VALUE"""),"Grenada")</f>
        <v>Grenada</v>
      </c>
      <c r="D6097">
        <f>IFERROR(__xludf.DUMMYFUNCTION("""COMPUTED_VALUE"""),2037.0)</f>
        <v>2037</v>
      </c>
      <c r="E6097">
        <f>IFERROR(__xludf.DUMMYFUNCTION("""COMPUTED_VALUE"""),112207.0)</f>
        <v>112207</v>
      </c>
    </row>
    <row r="6098">
      <c r="A6098" t="str">
        <f t="shared" si="1"/>
        <v>grd#2038</v>
      </c>
      <c r="B6098" t="str">
        <f>IFERROR(__xludf.DUMMYFUNCTION("""COMPUTED_VALUE"""),"grd")</f>
        <v>grd</v>
      </c>
      <c r="C6098" t="str">
        <f>IFERROR(__xludf.DUMMYFUNCTION("""COMPUTED_VALUE"""),"Grenada")</f>
        <v>Grenada</v>
      </c>
      <c r="D6098">
        <f>IFERROR(__xludf.DUMMYFUNCTION("""COMPUTED_VALUE"""),2038.0)</f>
        <v>2038</v>
      </c>
      <c r="E6098">
        <f>IFERROR(__xludf.DUMMYFUNCTION("""COMPUTED_VALUE"""),112148.0)</f>
        <v>112148</v>
      </c>
    </row>
    <row r="6099">
      <c r="A6099" t="str">
        <f t="shared" si="1"/>
        <v>grd#2039</v>
      </c>
      <c r="B6099" t="str">
        <f>IFERROR(__xludf.DUMMYFUNCTION("""COMPUTED_VALUE"""),"grd")</f>
        <v>grd</v>
      </c>
      <c r="C6099" t="str">
        <f>IFERROR(__xludf.DUMMYFUNCTION("""COMPUTED_VALUE"""),"Grenada")</f>
        <v>Grenada</v>
      </c>
      <c r="D6099">
        <f>IFERROR(__xludf.DUMMYFUNCTION("""COMPUTED_VALUE"""),2039.0)</f>
        <v>2039</v>
      </c>
      <c r="E6099">
        <f>IFERROR(__xludf.DUMMYFUNCTION("""COMPUTED_VALUE"""),112070.0)</f>
        <v>112070</v>
      </c>
    </row>
    <row r="6100">
      <c r="A6100" t="str">
        <f t="shared" si="1"/>
        <v>grd#2040</v>
      </c>
      <c r="B6100" t="str">
        <f>IFERROR(__xludf.DUMMYFUNCTION("""COMPUTED_VALUE"""),"grd")</f>
        <v>grd</v>
      </c>
      <c r="C6100" t="str">
        <f>IFERROR(__xludf.DUMMYFUNCTION("""COMPUTED_VALUE"""),"Grenada")</f>
        <v>Grenada</v>
      </c>
      <c r="D6100">
        <f>IFERROR(__xludf.DUMMYFUNCTION("""COMPUTED_VALUE"""),2040.0)</f>
        <v>2040</v>
      </c>
      <c r="E6100">
        <f>IFERROR(__xludf.DUMMYFUNCTION("""COMPUTED_VALUE"""),111972.0)</f>
        <v>111972</v>
      </c>
    </row>
    <row r="6101">
      <c r="A6101" t="str">
        <f t="shared" si="1"/>
        <v>gtm#1950</v>
      </c>
      <c r="B6101" t="str">
        <f>IFERROR(__xludf.DUMMYFUNCTION("""COMPUTED_VALUE"""),"gtm")</f>
        <v>gtm</v>
      </c>
      <c r="C6101" t="str">
        <f>IFERROR(__xludf.DUMMYFUNCTION("""COMPUTED_VALUE"""),"Guatemala")</f>
        <v>Guatemala</v>
      </c>
      <c r="D6101">
        <f>IFERROR(__xludf.DUMMYFUNCTION("""COMPUTED_VALUE"""),1950.0)</f>
        <v>1950</v>
      </c>
      <c r="E6101">
        <f>IFERROR(__xludf.DUMMYFUNCTION("""COMPUTED_VALUE"""),3114957.0)</f>
        <v>3114957</v>
      </c>
    </row>
    <row r="6102">
      <c r="A6102" t="str">
        <f t="shared" si="1"/>
        <v>gtm#1951</v>
      </c>
      <c r="B6102" t="str">
        <f>IFERROR(__xludf.DUMMYFUNCTION("""COMPUTED_VALUE"""),"gtm")</f>
        <v>gtm</v>
      </c>
      <c r="C6102" t="str">
        <f>IFERROR(__xludf.DUMMYFUNCTION("""COMPUTED_VALUE"""),"Guatemala")</f>
        <v>Guatemala</v>
      </c>
      <c r="D6102">
        <f>IFERROR(__xludf.DUMMYFUNCTION("""COMPUTED_VALUE"""),1951.0)</f>
        <v>1951</v>
      </c>
      <c r="E6102">
        <f>IFERROR(__xludf.DUMMYFUNCTION("""COMPUTED_VALUE"""),3212331.0)</f>
        <v>3212331</v>
      </c>
    </row>
    <row r="6103">
      <c r="A6103" t="str">
        <f t="shared" si="1"/>
        <v>gtm#1952</v>
      </c>
      <c r="B6103" t="str">
        <f>IFERROR(__xludf.DUMMYFUNCTION("""COMPUTED_VALUE"""),"gtm")</f>
        <v>gtm</v>
      </c>
      <c r="C6103" t="str">
        <f>IFERROR(__xludf.DUMMYFUNCTION("""COMPUTED_VALUE"""),"Guatemala")</f>
        <v>Guatemala</v>
      </c>
      <c r="D6103">
        <f>IFERROR(__xludf.DUMMYFUNCTION("""COMPUTED_VALUE"""),1952.0)</f>
        <v>1952</v>
      </c>
      <c r="E6103">
        <f>IFERROR(__xludf.DUMMYFUNCTION("""COMPUTED_VALUE"""),3311537.0)</f>
        <v>3311537</v>
      </c>
    </row>
    <row r="6104">
      <c r="A6104" t="str">
        <f t="shared" si="1"/>
        <v>gtm#1953</v>
      </c>
      <c r="B6104" t="str">
        <f>IFERROR(__xludf.DUMMYFUNCTION("""COMPUTED_VALUE"""),"gtm")</f>
        <v>gtm</v>
      </c>
      <c r="C6104" t="str">
        <f>IFERROR(__xludf.DUMMYFUNCTION("""COMPUTED_VALUE"""),"Guatemala")</f>
        <v>Guatemala</v>
      </c>
      <c r="D6104">
        <f>IFERROR(__xludf.DUMMYFUNCTION("""COMPUTED_VALUE"""),1953.0)</f>
        <v>1953</v>
      </c>
      <c r="E6104">
        <f>IFERROR(__xludf.DUMMYFUNCTION("""COMPUTED_VALUE"""),3413165.0)</f>
        <v>3413165</v>
      </c>
    </row>
    <row r="6105">
      <c r="A6105" t="str">
        <f t="shared" si="1"/>
        <v>gtm#1954</v>
      </c>
      <c r="B6105" t="str">
        <f>IFERROR(__xludf.DUMMYFUNCTION("""COMPUTED_VALUE"""),"gtm")</f>
        <v>gtm</v>
      </c>
      <c r="C6105" t="str">
        <f>IFERROR(__xludf.DUMMYFUNCTION("""COMPUTED_VALUE"""),"Guatemala")</f>
        <v>Guatemala</v>
      </c>
      <c r="D6105">
        <f>IFERROR(__xludf.DUMMYFUNCTION("""COMPUTED_VALUE"""),1954.0)</f>
        <v>1954</v>
      </c>
      <c r="E6105">
        <f>IFERROR(__xludf.DUMMYFUNCTION("""COMPUTED_VALUE"""),3517653.0)</f>
        <v>3517653</v>
      </c>
    </row>
    <row r="6106">
      <c r="A6106" t="str">
        <f t="shared" si="1"/>
        <v>gtm#1955</v>
      </c>
      <c r="B6106" t="str">
        <f>IFERROR(__xludf.DUMMYFUNCTION("""COMPUTED_VALUE"""),"gtm")</f>
        <v>gtm</v>
      </c>
      <c r="C6106" t="str">
        <f>IFERROR(__xludf.DUMMYFUNCTION("""COMPUTED_VALUE"""),"Guatemala")</f>
        <v>Guatemala</v>
      </c>
      <c r="D6106">
        <f>IFERROR(__xludf.DUMMYFUNCTION("""COMPUTED_VALUE"""),1955.0)</f>
        <v>1955</v>
      </c>
      <c r="E6106">
        <f>IFERROR(__xludf.DUMMYFUNCTION("""COMPUTED_VALUE"""),3625300.0)</f>
        <v>3625300</v>
      </c>
    </row>
    <row r="6107">
      <c r="A6107" t="str">
        <f t="shared" si="1"/>
        <v>gtm#1956</v>
      </c>
      <c r="B6107" t="str">
        <f>IFERROR(__xludf.DUMMYFUNCTION("""COMPUTED_VALUE"""),"gtm")</f>
        <v>gtm</v>
      </c>
      <c r="C6107" t="str">
        <f>IFERROR(__xludf.DUMMYFUNCTION("""COMPUTED_VALUE"""),"Guatemala")</f>
        <v>Guatemala</v>
      </c>
      <c r="D6107">
        <f>IFERROR(__xludf.DUMMYFUNCTION("""COMPUTED_VALUE"""),1956.0)</f>
        <v>1956</v>
      </c>
      <c r="E6107">
        <f>IFERROR(__xludf.DUMMYFUNCTION("""COMPUTED_VALUE"""),3736236.0)</f>
        <v>3736236</v>
      </c>
    </row>
    <row r="6108">
      <c r="A6108" t="str">
        <f t="shared" si="1"/>
        <v>gtm#1957</v>
      </c>
      <c r="B6108" t="str">
        <f>IFERROR(__xludf.DUMMYFUNCTION("""COMPUTED_VALUE"""),"gtm")</f>
        <v>gtm</v>
      </c>
      <c r="C6108" t="str">
        <f>IFERROR(__xludf.DUMMYFUNCTION("""COMPUTED_VALUE"""),"Guatemala")</f>
        <v>Guatemala</v>
      </c>
      <c r="D6108">
        <f>IFERROR(__xludf.DUMMYFUNCTION("""COMPUTED_VALUE"""),1957.0)</f>
        <v>1957</v>
      </c>
      <c r="E6108">
        <f>IFERROR(__xludf.DUMMYFUNCTION("""COMPUTED_VALUE"""),3850434.0)</f>
        <v>3850434</v>
      </c>
    </row>
    <row r="6109">
      <c r="A6109" t="str">
        <f t="shared" si="1"/>
        <v>gtm#1958</v>
      </c>
      <c r="B6109" t="str">
        <f>IFERROR(__xludf.DUMMYFUNCTION("""COMPUTED_VALUE"""),"gtm")</f>
        <v>gtm</v>
      </c>
      <c r="C6109" t="str">
        <f>IFERROR(__xludf.DUMMYFUNCTION("""COMPUTED_VALUE"""),"Guatemala")</f>
        <v>Guatemala</v>
      </c>
      <c r="D6109">
        <f>IFERROR(__xludf.DUMMYFUNCTION("""COMPUTED_VALUE"""),1958.0)</f>
        <v>1958</v>
      </c>
      <c r="E6109">
        <f>IFERROR(__xludf.DUMMYFUNCTION("""COMPUTED_VALUE"""),3967745.0)</f>
        <v>3967745</v>
      </c>
    </row>
    <row r="6110">
      <c r="A6110" t="str">
        <f t="shared" si="1"/>
        <v>gtm#1959</v>
      </c>
      <c r="B6110" t="str">
        <f>IFERROR(__xludf.DUMMYFUNCTION("""COMPUTED_VALUE"""),"gtm")</f>
        <v>gtm</v>
      </c>
      <c r="C6110" t="str">
        <f>IFERROR(__xludf.DUMMYFUNCTION("""COMPUTED_VALUE"""),"Guatemala")</f>
        <v>Guatemala</v>
      </c>
      <c r="D6110">
        <f>IFERROR(__xludf.DUMMYFUNCTION("""COMPUTED_VALUE"""),1959.0)</f>
        <v>1959</v>
      </c>
      <c r="E6110">
        <f>IFERROR(__xludf.DUMMYFUNCTION("""COMPUTED_VALUE"""),4087923.0)</f>
        <v>4087923</v>
      </c>
    </row>
    <row r="6111">
      <c r="A6111" t="str">
        <f t="shared" si="1"/>
        <v>gtm#1960</v>
      </c>
      <c r="B6111" t="str">
        <f>IFERROR(__xludf.DUMMYFUNCTION("""COMPUTED_VALUE"""),"gtm")</f>
        <v>gtm</v>
      </c>
      <c r="C6111" t="str">
        <f>IFERROR(__xludf.DUMMYFUNCTION("""COMPUTED_VALUE"""),"Guatemala")</f>
        <v>Guatemala</v>
      </c>
      <c r="D6111">
        <f>IFERROR(__xludf.DUMMYFUNCTION("""COMPUTED_VALUE"""),1960.0)</f>
        <v>1960</v>
      </c>
      <c r="E6111">
        <f>IFERROR(__xludf.DUMMYFUNCTION("""COMPUTED_VALUE"""),4210747.0)</f>
        <v>4210747</v>
      </c>
    </row>
    <row r="6112">
      <c r="A6112" t="str">
        <f t="shared" si="1"/>
        <v>gtm#1961</v>
      </c>
      <c r="B6112" t="str">
        <f>IFERROR(__xludf.DUMMYFUNCTION("""COMPUTED_VALUE"""),"gtm")</f>
        <v>gtm</v>
      </c>
      <c r="C6112" t="str">
        <f>IFERROR(__xludf.DUMMYFUNCTION("""COMPUTED_VALUE"""),"Guatemala")</f>
        <v>Guatemala</v>
      </c>
      <c r="D6112">
        <f>IFERROR(__xludf.DUMMYFUNCTION("""COMPUTED_VALUE"""),1961.0)</f>
        <v>1961</v>
      </c>
      <c r="E6112">
        <f>IFERROR(__xludf.DUMMYFUNCTION("""COMPUTED_VALUE"""),4336143.0)</f>
        <v>4336143</v>
      </c>
    </row>
    <row r="6113">
      <c r="A6113" t="str">
        <f t="shared" si="1"/>
        <v>gtm#1962</v>
      </c>
      <c r="B6113" t="str">
        <f>IFERROR(__xludf.DUMMYFUNCTION("""COMPUTED_VALUE"""),"gtm")</f>
        <v>gtm</v>
      </c>
      <c r="C6113" t="str">
        <f>IFERROR(__xludf.DUMMYFUNCTION("""COMPUTED_VALUE"""),"Guatemala")</f>
        <v>Guatemala</v>
      </c>
      <c r="D6113">
        <f>IFERROR(__xludf.DUMMYFUNCTION("""COMPUTED_VALUE"""),1962.0)</f>
        <v>1962</v>
      </c>
      <c r="E6113">
        <f>IFERROR(__xludf.DUMMYFUNCTION("""COMPUTED_VALUE"""),4464249.0)</f>
        <v>4464249</v>
      </c>
    </row>
    <row r="6114">
      <c r="A6114" t="str">
        <f t="shared" si="1"/>
        <v>gtm#1963</v>
      </c>
      <c r="B6114" t="str">
        <f>IFERROR(__xludf.DUMMYFUNCTION("""COMPUTED_VALUE"""),"gtm")</f>
        <v>gtm</v>
      </c>
      <c r="C6114" t="str">
        <f>IFERROR(__xludf.DUMMYFUNCTION("""COMPUTED_VALUE"""),"Guatemala")</f>
        <v>Guatemala</v>
      </c>
      <c r="D6114">
        <f>IFERROR(__xludf.DUMMYFUNCTION("""COMPUTED_VALUE"""),1963.0)</f>
        <v>1963</v>
      </c>
      <c r="E6114">
        <f>IFERROR(__xludf.DUMMYFUNCTION("""COMPUTED_VALUE"""),4595510.0)</f>
        <v>4595510</v>
      </c>
    </row>
    <row r="6115">
      <c r="A6115" t="str">
        <f t="shared" si="1"/>
        <v>gtm#1964</v>
      </c>
      <c r="B6115" t="str">
        <f>IFERROR(__xludf.DUMMYFUNCTION("""COMPUTED_VALUE"""),"gtm")</f>
        <v>gtm</v>
      </c>
      <c r="C6115" t="str">
        <f>IFERROR(__xludf.DUMMYFUNCTION("""COMPUTED_VALUE"""),"Guatemala")</f>
        <v>Guatemala</v>
      </c>
      <c r="D6115">
        <f>IFERROR(__xludf.DUMMYFUNCTION("""COMPUTED_VALUE"""),1964.0)</f>
        <v>1964</v>
      </c>
      <c r="E6115">
        <f>IFERROR(__xludf.DUMMYFUNCTION("""COMPUTED_VALUE"""),4730540.0)</f>
        <v>4730540</v>
      </c>
    </row>
    <row r="6116">
      <c r="A6116" t="str">
        <f t="shared" si="1"/>
        <v>gtm#1965</v>
      </c>
      <c r="B6116" t="str">
        <f>IFERROR(__xludf.DUMMYFUNCTION("""COMPUTED_VALUE"""),"gtm")</f>
        <v>gtm</v>
      </c>
      <c r="C6116" t="str">
        <f>IFERROR(__xludf.DUMMYFUNCTION("""COMPUTED_VALUE"""),"Guatemala")</f>
        <v>Guatemala</v>
      </c>
      <c r="D6116">
        <f>IFERROR(__xludf.DUMMYFUNCTION("""COMPUTED_VALUE"""),1965.0)</f>
        <v>1965</v>
      </c>
      <c r="E6116">
        <f>IFERROR(__xludf.DUMMYFUNCTION("""COMPUTED_VALUE"""),4869716.0)</f>
        <v>4869716</v>
      </c>
    </row>
    <row r="6117">
      <c r="A6117" t="str">
        <f t="shared" si="1"/>
        <v>gtm#1966</v>
      </c>
      <c r="B6117" t="str">
        <f>IFERROR(__xludf.DUMMYFUNCTION("""COMPUTED_VALUE"""),"gtm")</f>
        <v>gtm</v>
      </c>
      <c r="C6117" t="str">
        <f>IFERROR(__xludf.DUMMYFUNCTION("""COMPUTED_VALUE"""),"Guatemala")</f>
        <v>Guatemala</v>
      </c>
      <c r="D6117">
        <f>IFERROR(__xludf.DUMMYFUNCTION("""COMPUTED_VALUE"""),1966.0)</f>
        <v>1966</v>
      </c>
      <c r="E6117">
        <f>IFERROR(__xludf.DUMMYFUNCTION("""COMPUTED_VALUE"""),5013153.0)</f>
        <v>5013153</v>
      </c>
    </row>
    <row r="6118">
      <c r="A6118" t="str">
        <f t="shared" si="1"/>
        <v>gtm#1967</v>
      </c>
      <c r="B6118" t="str">
        <f>IFERROR(__xludf.DUMMYFUNCTION("""COMPUTED_VALUE"""),"gtm")</f>
        <v>gtm</v>
      </c>
      <c r="C6118" t="str">
        <f>IFERROR(__xludf.DUMMYFUNCTION("""COMPUTED_VALUE"""),"Guatemala")</f>
        <v>Guatemala</v>
      </c>
      <c r="D6118">
        <f>IFERROR(__xludf.DUMMYFUNCTION("""COMPUTED_VALUE"""),1967.0)</f>
        <v>1967</v>
      </c>
      <c r="E6118">
        <f>IFERROR(__xludf.DUMMYFUNCTION("""COMPUTED_VALUE"""),5160609.0)</f>
        <v>5160609</v>
      </c>
    </row>
    <row r="6119">
      <c r="A6119" t="str">
        <f t="shared" si="1"/>
        <v>gtm#1968</v>
      </c>
      <c r="B6119" t="str">
        <f>IFERROR(__xludf.DUMMYFUNCTION("""COMPUTED_VALUE"""),"gtm")</f>
        <v>gtm</v>
      </c>
      <c r="C6119" t="str">
        <f>IFERROR(__xludf.DUMMYFUNCTION("""COMPUTED_VALUE"""),"Guatemala")</f>
        <v>Guatemala</v>
      </c>
      <c r="D6119">
        <f>IFERROR(__xludf.DUMMYFUNCTION("""COMPUTED_VALUE"""),1968.0)</f>
        <v>1968</v>
      </c>
      <c r="E6119">
        <f>IFERROR(__xludf.DUMMYFUNCTION("""COMPUTED_VALUE"""),5311615.0)</f>
        <v>5311615</v>
      </c>
    </row>
    <row r="6120">
      <c r="A6120" t="str">
        <f t="shared" si="1"/>
        <v>gtm#1969</v>
      </c>
      <c r="B6120" t="str">
        <f>IFERROR(__xludf.DUMMYFUNCTION("""COMPUTED_VALUE"""),"gtm")</f>
        <v>gtm</v>
      </c>
      <c r="C6120" t="str">
        <f>IFERROR(__xludf.DUMMYFUNCTION("""COMPUTED_VALUE"""),"Guatemala")</f>
        <v>Guatemala</v>
      </c>
      <c r="D6120">
        <f>IFERROR(__xludf.DUMMYFUNCTION("""COMPUTED_VALUE"""),1969.0)</f>
        <v>1969</v>
      </c>
      <c r="E6120">
        <f>IFERROR(__xludf.DUMMYFUNCTION("""COMPUTED_VALUE"""),5465512.0)</f>
        <v>5465512</v>
      </c>
    </row>
    <row r="6121">
      <c r="A6121" t="str">
        <f t="shared" si="1"/>
        <v>gtm#1970</v>
      </c>
      <c r="B6121" t="str">
        <f>IFERROR(__xludf.DUMMYFUNCTION("""COMPUTED_VALUE"""),"gtm")</f>
        <v>gtm</v>
      </c>
      <c r="C6121" t="str">
        <f>IFERROR(__xludf.DUMMYFUNCTION("""COMPUTED_VALUE"""),"Guatemala")</f>
        <v>Guatemala</v>
      </c>
      <c r="D6121">
        <f>IFERROR(__xludf.DUMMYFUNCTION("""COMPUTED_VALUE"""),1970.0)</f>
        <v>1970</v>
      </c>
      <c r="E6121">
        <f>IFERROR(__xludf.DUMMYFUNCTION("""COMPUTED_VALUE"""),5621792.0)</f>
        <v>5621792</v>
      </c>
    </row>
    <row r="6122">
      <c r="A6122" t="str">
        <f t="shared" si="1"/>
        <v>gtm#1971</v>
      </c>
      <c r="B6122" t="str">
        <f>IFERROR(__xludf.DUMMYFUNCTION("""COMPUTED_VALUE"""),"gtm")</f>
        <v>gtm</v>
      </c>
      <c r="C6122" t="str">
        <f>IFERROR(__xludf.DUMMYFUNCTION("""COMPUTED_VALUE"""),"Guatemala")</f>
        <v>Guatemala</v>
      </c>
      <c r="D6122">
        <f>IFERROR(__xludf.DUMMYFUNCTION("""COMPUTED_VALUE"""),1971.0)</f>
        <v>1971</v>
      </c>
      <c r="E6122">
        <f>IFERROR(__xludf.DUMMYFUNCTION("""COMPUTED_VALUE"""),5780480.0)</f>
        <v>5780480</v>
      </c>
    </row>
    <row r="6123">
      <c r="A6123" t="str">
        <f t="shared" si="1"/>
        <v>gtm#1972</v>
      </c>
      <c r="B6123" t="str">
        <f>IFERROR(__xludf.DUMMYFUNCTION("""COMPUTED_VALUE"""),"gtm")</f>
        <v>gtm</v>
      </c>
      <c r="C6123" t="str">
        <f>IFERROR(__xludf.DUMMYFUNCTION("""COMPUTED_VALUE"""),"Guatemala")</f>
        <v>Guatemala</v>
      </c>
      <c r="D6123">
        <f>IFERROR(__xludf.DUMMYFUNCTION("""COMPUTED_VALUE"""),1972.0)</f>
        <v>1972</v>
      </c>
      <c r="E6123">
        <f>IFERROR(__xludf.DUMMYFUNCTION("""COMPUTED_VALUE"""),5941567.0)</f>
        <v>5941567</v>
      </c>
    </row>
    <row r="6124">
      <c r="A6124" t="str">
        <f t="shared" si="1"/>
        <v>gtm#1973</v>
      </c>
      <c r="B6124" t="str">
        <f>IFERROR(__xludf.DUMMYFUNCTION("""COMPUTED_VALUE"""),"gtm")</f>
        <v>gtm</v>
      </c>
      <c r="C6124" t="str">
        <f>IFERROR(__xludf.DUMMYFUNCTION("""COMPUTED_VALUE"""),"Guatemala")</f>
        <v>Guatemala</v>
      </c>
      <c r="D6124">
        <f>IFERROR(__xludf.DUMMYFUNCTION("""COMPUTED_VALUE"""),1973.0)</f>
        <v>1973</v>
      </c>
      <c r="E6124">
        <f>IFERROR(__xludf.DUMMYFUNCTION("""COMPUTED_VALUE"""),6104530.0)</f>
        <v>6104530</v>
      </c>
    </row>
    <row r="6125">
      <c r="A6125" t="str">
        <f t="shared" si="1"/>
        <v>gtm#1974</v>
      </c>
      <c r="B6125" t="str">
        <f>IFERROR(__xludf.DUMMYFUNCTION("""COMPUTED_VALUE"""),"gtm")</f>
        <v>gtm</v>
      </c>
      <c r="C6125" t="str">
        <f>IFERROR(__xludf.DUMMYFUNCTION("""COMPUTED_VALUE"""),"Guatemala")</f>
        <v>Guatemala</v>
      </c>
      <c r="D6125">
        <f>IFERROR(__xludf.DUMMYFUNCTION("""COMPUTED_VALUE"""),1974.0)</f>
        <v>1974</v>
      </c>
      <c r="E6125">
        <f>IFERROR(__xludf.DUMMYFUNCTION("""COMPUTED_VALUE"""),6268707.0)</f>
        <v>6268707</v>
      </c>
    </row>
    <row r="6126">
      <c r="A6126" t="str">
        <f t="shared" si="1"/>
        <v>gtm#1975</v>
      </c>
      <c r="B6126" t="str">
        <f>IFERROR(__xludf.DUMMYFUNCTION("""COMPUTED_VALUE"""),"gtm")</f>
        <v>gtm</v>
      </c>
      <c r="C6126" t="str">
        <f>IFERROR(__xludf.DUMMYFUNCTION("""COMPUTED_VALUE"""),"Guatemala")</f>
        <v>Guatemala</v>
      </c>
      <c r="D6126">
        <f>IFERROR(__xludf.DUMMYFUNCTION("""COMPUTED_VALUE"""),1975.0)</f>
        <v>1975</v>
      </c>
      <c r="E6126">
        <f>IFERROR(__xludf.DUMMYFUNCTION("""COMPUTED_VALUE"""),6433728.0)</f>
        <v>6433728</v>
      </c>
    </row>
    <row r="6127">
      <c r="A6127" t="str">
        <f t="shared" si="1"/>
        <v>gtm#1976</v>
      </c>
      <c r="B6127" t="str">
        <f>IFERROR(__xludf.DUMMYFUNCTION("""COMPUTED_VALUE"""),"gtm")</f>
        <v>gtm</v>
      </c>
      <c r="C6127" t="str">
        <f>IFERROR(__xludf.DUMMYFUNCTION("""COMPUTED_VALUE"""),"Guatemala")</f>
        <v>Guatemala</v>
      </c>
      <c r="D6127">
        <f>IFERROR(__xludf.DUMMYFUNCTION("""COMPUTED_VALUE"""),1976.0)</f>
        <v>1976</v>
      </c>
      <c r="E6127">
        <f>IFERROR(__xludf.DUMMYFUNCTION("""COMPUTED_VALUE"""),6599214.0)</f>
        <v>6599214</v>
      </c>
    </row>
    <row r="6128">
      <c r="A6128" t="str">
        <f t="shared" si="1"/>
        <v>gtm#1977</v>
      </c>
      <c r="B6128" t="str">
        <f>IFERROR(__xludf.DUMMYFUNCTION("""COMPUTED_VALUE"""),"gtm")</f>
        <v>gtm</v>
      </c>
      <c r="C6128" t="str">
        <f>IFERROR(__xludf.DUMMYFUNCTION("""COMPUTED_VALUE"""),"Guatemala")</f>
        <v>Guatemala</v>
      </c>
      <c r="D6128">
        <f>IFERROR(__xludf.DUMMYFUNCTION("""COMPUTED_VALUE"""),1977.0)</f>
        <v>1977</v>
      </c>
      <c r="E6128">
        <f>IFERROR(__xludf.DUMMYFUNCTION("""COMPUTED_VALUE"""),6765516.0)</f>
        <v>6765516</v>
      </c>
    </row>
    <row r="6129">
      <c r="A6129" t="str">
        <f t="shared" si="1"/>
        <v>gtm#1978</v>
      </c>
      <c r="B6129" t="str">
        <f>IFERROR(__xludf.DUMMYFUNCTION("""COMPUTED_VALUE"""),"gtm")</f>
        <v>gtm</v>
      </c>
      <c r="C6129" t="str">
        <f>IFERROR(__xludf.DUMMYFUNCTION("""COMPUTED_VALUE"""),"Guatemala")</f>
        <v>Guatemala</v>
      </c>
      <c r="D6129">
        <f>IFERROR(__xludf.DUMMYFUNCTION("""COMPUTED_VALUE"""),1978.0)</f>
        <v>1978</v>
      </c>
      <c r="E6129">
        <f>IFERROR(__xludf.DUMMYFUNCTION("""COMPUTED_VALUE"""),6933906.0)</f>
        <v>6933906</v>
      </c>
    </row>
    <row r="6130">
      <c r="A6130" t="str">
        <f t="shared" si="1"/>
        <v>gtm#1979</v>
      </c>
      <c r="B6130" t="str">
        <f>IFERROR(__xludf.DUMMYFUNCTION("""COMPUTED_VALUE"""),"gtm")</f>
        <v>gtm</v>
      </c>
      <c r="C6130" t="str">
        <f>IFERROR(__xludf.DUMMYFUNCTION("""COMPUTED_VALUE"""),"Guatemala")</f>
        <v>Guatemala</v>
      </c>
      <c r="D6130">
        <f>IFERROR(__xludf.DUMMYFUNCTION("""COMPUTED_VALUE"""),1979.0)</f>
        <v>1979</v>
      </c>
      <c r="E6130">
        <f>IFERROR(__xludf.DUMMYFUNCTION("""COMPUTED_VALUE"""),7106145.0)</f>
        <v>7106145</v>
      </c>
    </row>
    <row r="6131">
      <c r="A6131" t="str">
        <f t="shared" si="1"/>
        <v>gtm#1980</v>
      </c>
      <c r="B6131" t="str">
        <f>IFERROR(__xludf.DUMMYFUNCTION("""COMPUTED_VALUE"""),"gtm")</f>
        <v>gtm</v>
      </c>
      <c r="C6131" t="str">
        <f>IFERROR(__xludf.DUMMYFUNCTION("""COMPUTED_VALUE"""),"Guatemala")</f>
        <v>Guatemala</v>
      </c>
      <c r="D6131">
        <f>IFERROR(__xludf.DUMMYFUNCTION("""COMPUTED_VALUE"""),1980.0)</f>
        <v>1980</v>
      </c>
      <c r="E6131">
        <f>IFERROR(__xludf.DUMMYFUNCTION("""COMPUTED_VALUE"""),7283459.0)</f>
        <v>7283459</v>
      </c>
    </row>
    <row r="6132">
      <c r="A6132" t="str">
        <f t="shared" si="1"/>
        <v>gtm#1981</v>
      </c>
      <c r="B6132" t="str">
        <f>IFERROR(__xludf.DUMMYFUNCTION("""COMPUTED_VALUE"""),"gtm")</f>
        <v>gtm</v>
      </c>
      <c r="C6132" t="str">
        <f>IFERROR(__xludf.DUMMYFUNCTION("""COMPUTED_VALUE"""),"Guatemala")</f>
        <v>Guatemala</v>
      </c>
      <c r="D6132">
        <f>IFERROR(__xludf.DUMMYFUNCTION("""COMPUTED_VALUE"""),1981.0)</f>
        <v>1981</v>
      </c>
      <c r="E6132">
        <f>IFERROR(__xludf.DUMMYFUNCTION("""COMPUTED_VALUE"""),7466488.0)</f>
        <v>7466488</v>
      </c>
    </row>
    <row r="6133">
      <c r="A6133" t="str">
        <f t="shared" si="1"/>
        <v>gtm#1982</v>
      </c>
      <c r="B6133" t="str">
        <f>IFERROR(__xludf.DUMMYFUNCTION("""COMPUTED_VALUE"""),"gtm")</f>
        <v>gtm</v>
      </c>
      <c r="C6133" t="str">
        <f>IFERROR(__xludf.DUMMYFUNCTION("""COMPUTED_VALUE"""),"Guatemala")</f>
        <v>Guatemala</v>
      </c>
      <c r="D6133">
        <f>IFERROR(__xludf.DUMMYFUNCTION("""COMPUTED_VALUE"""),1982.0)</f>
        <v>1982</v>
      </c>
      <c r="E6133">
        <f>IFERROR(__xludf.DUMMYFUNCTION("""COMPUTED_VALUE"""),7654819.0)</f>
        <v>7654819</v>
      </c>
    </row>
    <row r="6134">
      <c r="A6134" t="str">
        <f t="shared" si="1"/>
        <v>gtm#1983</v>
      </c>
      <c r="B6134" t="str">
        <f>IFERROR(__xludf.DUMMYFUNCTION("""COMPUTED_VALUE"""),"gtm")</f>
        <v>gtm</v>
      </c>
      <c r="C6134" t="str">
        <f>IFERROR(__xludf.DUMMYFUNCTION("""COMPUTED_VALUE"""),"Guatemala")</f>
        <v>Guatemala</v>
      </c>
      <c r="D6134">
        <f>IFERROR(__xludf.DUMMYFUNCTION("""COMPUTED_VALUE"""),1983.0)</f>
        <v>1983</v>
      </c>
      <c r="E6134">
        <f>IFERROR(__xludf.DUMMYFUNCTION("""COMPUTED_VALUE"""),7847472.0)</f>
        <v>7847472</v>
      </c>
    </row>
    <row r="6135">
      <c r="A6135" t="str">
        <f t="shared" si="1"/>
        <v>gtm#1984</v>
      </c>
      <c r="B6135" t="str">
        <f>IFERROR(__xludf.DUMMYFUNCTION("""COMPUTED_VALUE"""),"gtm")</f>
        <v>gtm</v>
      </c>
      <c r="C6135" t="str">
        <f>IFERROR(__xludf.DUMMYFUNCTION("""COMPUTED_VALUE"""),"Guatemala")</f>
        <v>Guatemala</v>
      </c>
      <c r="D6135">
        <f>IFERROR(__xludf.DUMMYFUNCTION("""COMPUTED_VALUE"""),1984.0)</f>
        <v>1984</v>
      </c>
      <c r="E6135">
        <f>IFERROR(__xludf.DUMMYFUNCTION("""COMPUTED_VALUE"""),8042897.0)</f>
        <v>8042897</v>
      </c>
    </row>
    <row r="6136">
      <c r="A6136" t="str">
        <f t="shared" si="1"/>
        <v>gtm#1985</v>
      </c>
      <c r="B6136" t="str">
        <f>IFERROR(__xludf.DUMMYFUNCTION("""COMPUTED_VALUE"""),"gtm")</f>
        <v>gtm</v>
      </c>
      <c r="C6136" t="str">
        <f>IFERROR(__xludf.DUMMYFUNCTION("""COMPUTED_VALUE"""),"Guatemala")</f>
        <v>Guatemala</v>
      </c>
      <c r="D6136">
        <f>IFERROR(__xludf.DUMMYFUNCTION("""COMPUTED_VALUE"""),1985.0)</f>
        <v>1985</v>
      </c>
      <c r="E6136">
        <f>IFERROR(__xludf.DUMMYFUNCTION("""COMPUTED_VALUE"""),8240060.0)</f>
        <v>8240060</v>
      </c>
    </row>
    <row r="6137">
      <c r="A6137" t="str">
        <f t="shared" si="1"/>
        <v>gtm#1986</v>
      </c>
      <c r="B6137" t="str">
        <f>IFERROR(__xludf.DUMMYFUNCTION("""COMPUTED_VALUE"""),"gtm")</f>
        <v>gtm</v>
      </c>
      <c r="C6137" t="str">
        <f>IFERROR(__xludf.DUMMYFUNCTION("""COMPUTED_VALUE"""),"Guatemala")</f>
        <v>Guatemala</v>
      </c>
      <c r="D6137">
        <f>IFERROR(__xludf.DUMMYFUNCTION("""COMPUTED_VALUE"""),1986.0)</f>
        <v>1986</v>
      </c>
      <c r="E6137">
        <f>IFERROR(__xludf.DUMMYFUNCTION("""COMPUTED_VALUE"""),8438604.0)</f>
        <v>8438604</v>
      </c>
    </row>
    <row r="6138">
      <c r="A6138" t="str">
        <f t="shared" si="1"/>
        <v>gtm#1987</v>
      </c>
      <c r="B6138" t="str">
        <f>IFERROR(__xludf.DUMMYFUNCTION("""COMPUTED_VALUE"""),"gtm")</f>
        <v>gtm</v>
      </c>
      <c r="C6138" t="str">
        <f>IFERROR(__xludf.DUMMYFUNCTION("""COMPUTED_VALUE"""),"Guatemala")</f>
        <v>Guatemala</v>
      </c>
      <c r="D6138">
        <f>IFERROR(__xludf.DUMMYFUNCTION("""COMPUTED_VALUE"""),1987.0)</f>
        <v>1987</v>
      </c>
      <c r="E6138">
        <f>IFERROR(__xludf.DUMMYFUNCTION("""COMPUTED_VALUE"""),8639108.0)</f>
        <v>8639108</v>
      </c>
    </row>
    <row r="6139">
      <c r="A6139" t="str">
        <f t="shared" si="1"/>
        <v>gtm#1988</v>
      </c>
      <c r="B6139" t="str">
        <f>IFERROR(__xludf.DUMMYFUNCTION("""COMPUTED_VALUE"""),"gtm")</f>
        <v>gtm</v>
      </c>
      <c r="C6139" t="str">
        <f>IFERROR(__xludf.DUMMYFUNCTION("""COMPUTED_VALUE"""),"Guatemala")</f>
        <v>Guatemala</v>
      </c>
      <c r="D6139">
        <f>IFERROR(__xludf.DUMMYFUNCTION("""COMPUTED_VALUE"""),1988.0)</f>
        <v>1988</v>
      </c>
      <c r="E6139">
        <f>IFERROR(__xludf.DUMMYFUNCTION("""COMPUTED_VALUE"""),8842575.0)</f>
        <v>8842575</v>
      </c>
    </row>
    <row r="6140">
      <c r="A6140" t="str">
        <f t="shared" si="1"/>
        <v>gtm#1989</v>
      </c>
      <c r="B6140" t="str">
        <f>IFERROR(__xludf.DUMMYFUNCTION("""COMPUTED_VALUE"""),"gtm")</f>
        <v>gtm</v>
      </c>
      <c r="C6140" t="str">
        <f>IFERROR(__xludf.DUMMYFUNCTION("""COMPUTED_VALUE"""),"Guatemala")</f>
        <v>Guatemala</v>
      </c>
      <c r="D6140">
        <f>IFERROR(__xludf.DUMMYFUNCTION("""COMPUTED_VALUE"""),1989.0)</f>
        <v>1989</v>
      </c>
      <c r="E6140">
        <f>IFERROR(__xludf.DUMMYFUNCTION("""COMPUTED_VALUE"""),9050465.0)</f>
        <v>9050465</v>
      </c>
    </row>
    <row r="6141">
      <c r="A6141" t="str">
        <f t="shared" si="1"/>
        <v>gtm#1990</v>
      </c>
      <c r="B6141" t="str">
        <f>IFERROR(__xludf.DUMMYFUNCTION("""COMPUTED_VALUE"""),"gtm")</f>
        <v>gtm</v>
      </c>
      <c r="C6141" t="str">
        <f>IFERROR(__xludf.DUMMYFUNCTION("""COMPUTED_VALUE"""),"Guatemala")</f>
        <v>Guatemala</v>
      </c>
      <c r="D6141">
        <f>IFERROR(__xludf.DUMMYFUNCTION("""COMPUTED_VALUE"""),1990.0)</f>
        <v>1990</v>
      </c>
      <c r="E6141">
        <f>IFERROR(__xludf.DUMMYFUNCTION("""COMPUTED_VALUE"""),9263813.0)</f>
        <v>9263813</v>
      </c>
    </row>
    <row r="6142">
      <c r="A6142" t="str">
        <f t="shared" si="1"/>
        <v>gtm#1991</v>
      </c>
      <c r="B6142" t="str">
        <f>IFERROR(__xludf.DUMMYFUNCTION("""COMPUTED_VALUE"""),"gtm")</f>
        <v>gtm</v>
      </c>
      <c r="C6142" t="str">
        <f>IFERROR(__xludf.DUMMYFUNCTION("""COMPUTED_VALUE"""),"Guatemala")</f>
        <v>Guatemala</v>
      </c>
      <c r="D6142">
        <f>IFERROR(__xludf.DUMMYFUNCTION("""COMPUTED_VALUE"""),1991.0)</f>
        <v>1991</v>
      </c>
      <c r="E6142">
        <f>IFERROR(__xludf.DUMMYFUNCTION("""COMPUTED_VALUE"""),9483270.0)</f>
        <v>9483270</v>
      </c>
    </row>
    <row r="6143">
      <c r="A6143" t="str">
        <f t="shared" si="1"/>
        <v>gtm#1992</v>
      </c>
      <c r="B6143" t="str">
        <f>IFERROR(__xludf.DUMMYFUNCTION("""COMPUTED_VALUE"""),"gtm")</f>
        <v>gtm</v>
      </c>
      <c r="C6143" t="str">
        <f>IFERROR(__xludf.DUMMYFUNCTION("""COMPUTED_VALUE"""),"Guatemala")</f>
        <v>Guatemala</v>
      </c>
      <c r="D6143">
        <f>IFERROR(__xludf.DUMMYFUNCTION("""COMPUTED_VALUE"""),1992.0)</f>
        <v>1992</v>
      </c>
      <c r="E6143">
        <f>IFERROR(__xludf.DUMMYFUNCTION("""COMPUTED_VALUE"""),9708544.0)</f>
        <v>9708544</v>
      </c>
    </row>
    <row r="6144">
      <c r="A6144" t="str">
        <f t="shared" si="1"/>
        <v>gtm#1993</v>
      </c>
      <c r="B6144" t="str">
        <f>IFERROR(__xludf.DUMMYFUNCTION("""COMPUTED_VALUE"""),"gtm")</f>
        <v>gtm</v>
      </c>
      <c r="C6144" t="str">
        <f>IFERROR(__xludf.DUMMYFUNCTION("""COMPUTED_VALUE"""),"Guatemala")</f>
        <v>Guatemala</v>
      </c>
      <c r="D6144">
        <f>IFERROR(__xludf.DUMMYFUNCTION("""COMPUTED_VALUE"""),1993.0)</f>
        <v>1993</v>
      </c>
      <c r="E6144">
        <f>IFERROR(__xludf.DUMMYFUNCTION("""COMPUTED_VALUE"""),9938692.0)</f>
        <v>9938692</v>
      </c>
    </row>
    <row r="6145">
      <c r="A6145" t="str">
        <f t="shared" si="1"/>
        <v>gtm#1994</v>
      </c>
      <c r="B6145" t="str">
        <f>IFERROR(__xludf.DUMMYFUNCTION("""COMPUTED_VALUE"""),"gtm")</f>
        <v>gtm</v>
      </c>
      <c r="C6145" t="str">
        <f>IFERROR(__xludf.DUMMYFUNCTION("""COMPUTED_VALUE"""),"Guatemala")</f>
        <v>Guatemala</v>
      </c>
      <c r="D6145">
        <f>IFERROR(__xludf.DUMMYFUNCTION("""COMPUTED_VALUE"""),1994.0)</f>
        <v>1994</v>
      </c>
      <c r="E6145">
        <f>IFERROR(__xludf.DUMMYFUNCTION("""COMPUTED_VALUE"""),1.0172297E7)</f>
        <v>10172297</v>
      </c>
    </row>
    <row r="6146">
      <c r="A6146" t="str">
        <f t="shared" si="1"/>
        <v>gtm#1995</v>
      </c>
      <c r="B6146" t="str">
        <f>IFERROR(__xludf.DUMMYFUNCTION("""COMPUTED_VALUE"""),"gtm")</f>
        <v>gtm</v>
      </c>
      <c r="C6146" t="str">
        <f>IFERROR(__xludf.DUMMYFUNCTION("""COMPUTED_VALUE"""),"Guatemala")</f>
        <v>Guatemala</v>
      </c>
      <c r="D6146">
        <f>IFERROR(__xludf.DUMMYFUNCTION("""COMPUTED_VALUE"""),1995.0)</f>
        <v>1995</v>
      </c>
      <c r="E6146">
        <f>IFERROR(__xludf.DUMMYFUNCTION("""COMPUTED_VALUE"""),1.0408489E7)</f>
        <v>10408489</v>
      </c>
    </row>
    <row r="6147">
      <c r="A6147" t="str">
        <f t="shared" si="1"/>
        <v>gtm#1996</v>
      </c>
      <c r="B6147" t="str">
        <f>IFERROR(__xludf.DUMMYFUNCTION("""COMPUTED_VALUE"""),"gtm")</f>
        <v>gtm</v>
      </c>
      <c r="C6147" t="str">
        <f>IFERROR(__xludf.DUMMYFUNCTION("""COMPUTED_VALUE"""),"Guatemala")</f>
        <v>Guatemala</v>
      </c>
      <c r="D6147">
        <f>IFERROR(__xludf.DUMMYFUNCTION("""COMPUTED_VALUE"""),1996.0)</f>
        <v>1996</v>
      </c>
      <c r="E6147">
        <f>IFERROR(__xludf.DUMMYFUNCTION("""COMPUTED_VALUE"""),1.0646674E7)</f>
        <v>10646674</v>
      </c>
    </row>
    <row r="6148">
      <c r="A6148" t="str">
        <f t="shared" si="1"/>
        <v>gtm#1997</v>
      </c>
      <c r="B6148" t="str">
        <f>IFERROR(__xludf.DUMMYFUNCTION("""COMPUTED_VALUE"""),"gtm")</f>
        <v>gtm</v>
      </c>
      <c r="C6148" t="str">
        <f>IFERROR(__xludf.DUMMYFUNCTION("""COMPUTED_VALUE"""),"Guatemala")</f>
        <v>Guatemala</v>
      </c>
      <c r="D6148">
        <f>IFERROR(__xludf.DUMMYFUNCTION("""COMPUTED_VALUE"""),1997.0)</f>
        <v>1997</v>
      </c>
      <c r="E6148">
        <f>IFERROR(__xludf.DUMMYFUNCTION("""COMPUTED_VALUE"""),1.0887634E7)</f>
        <v>10887634</v>
      </c>
    </row>
    <row r="6149">
      <c r="A6149" t="str">
        <f t="shared" si="1"/>
        <v>gtm#1998</v>
      </c>
      <c r="B6149" t="str">
        <f>IFERROR(__xludf.DUMMYFUNCTION("""COMPUTED_VALUE"""),"gtm")</f>
        <v>gtm</v>
      </c>
      <c r="C6149" t="str">
        <f>IFERROR(__xludf.DUMMYFUNCTION("""COMPUTED_VALUE"""),"Guatemala")</f>
        <v>Guatemala</v>
      </c>
      <c r="D6149">
        <f>IFERROR(__xludf.DUMMYFUNCTION("""COMPUTED_VALUE"""),1998.0)</f>
        <v>1998</v>
      </c>
      <c r="E6149">
        <f>IFERROR(__xludf.DUMMYFUNCTION("""COMPUTED_VALUE"""),1.1133501E7)</f>
        <v>11133501</v>
      </c>
    </row>
    <row r="6150">
      <c r="A6150" t="str">
        <f t="shared" si="1"/>
        <v>gtm#1999</v>
      </c>
      <c r="B6150" t="str">
        <f>IFERROR(__xludf.DUMMYFUNCTION("""COMPUTED_VALUE"""),"gtm")</f>
        <v>gtm</v>
      </c>
      <c r="C6150" t="str">
        <f>IFERROR(__xludf.DUMMYFUNCTION("""COMPUTED_VALUE"""),"Guatemala")</f>
        <v>Guatemala</v>
      </c>
      <c r="D6150">
        <f>IFERROR(__xludf.DUMMYFUNCTION("""COMPUTED_VALUE"""),1999.0)</f>
        <v>1999</v>
      </c>
      <c r="E6150">
        <f>IFERROR(__xludf.DUMMYFUNCTION("""COMPUTED_VALUE"""),1.1387203E7)</f>
        <v>11387203</v>
      </c>
    </row>
    <row r="6151">
      <c r="A6151" t="str">
        <f t="shared" si="1"/>
        <v>gtm#2000</v>
      </c>
      <c r="B6151" t="str">
        <f>IFERROR(__xludf.DUMMYFUNCTION("""COMPUTED_VALUE"""),"gtm")</f>
        <v>gtm</v>
      </c>
      <c r="C6151" t="str">
        <f>IFERROR(__xludf.DUMMYFUNCTION("""COMPUTED_VALUE"""),"Guatemala")</f>
        <v>Guatemala</v>
      </c>
      <c r="D6151">
        <f>IFERROR(__xludf.DUMMYFUNCTION("""COMPUTED_VALUE"""),2000.0)</f>
        <v>2000</v>
      </c>
      <c r="E6151">
        <f>IFERROR(__xludf.DUMMYFUNCTION("""COMPUTED_VALUE"""),1.1650743E7)</f>
        <v>11650743</v>
      </c>
    </row>
    <row r="6152">
      <c r="A6152" t="str">
        <f t="shared" si="1"/>
        <v>gtm#2001</v>
      </c>
      <c r="B6152" t="str">
        <f>IFERROR(__xludf.DUMMYFUNCTION("""COMPUTED_VALUE"""),"gtm")</f>
        <v>gtm</v>
      </c>
      <c r="C6152" t="str">
        <f>IFERROR(__xludf.DUMMYFUNCTION("""COMPUTED_VALUE"""),"Guatemala")</f>
        <v>Guatemala</v>
      </c>
      <c r="D6152">
        <f>IFERROR(__xludf.DUMMYFUNCTION("""COMPUTED_VALUE"""),2001.0)</f>
        <v>2001</v>
      </c>
      <c r="E6152">
        <f>IFERROR(__xludf.DUMMYFUNCTION("""COMPUTED_VALUE"""),1.1924946E7)</f>
        <v>11924946</v>
      </c>
    </row>
    <row r="6153">
      <c r="A6153" t="str">
        <f t="shared" si="1"/>
        <v>gtm#2002</v>
      </c>
      <c r="B6153" t="str">
        <f>IFERROR(__xludf.DUMMYFUNCTION("""COMPUTED_VALUE"""),"gtm")</f>
        <v>gtm</v>
      </c>
      <c r="C6153" t="str">
        <f>IFERROR(__xludf.DUMMYFUNCTION("""COMPUTED_VALUE"""),"Guatemala")</f>
        <v>Guatemala</v>
      </c>
      <c r="D6153">
        <f>IFERROR(__xludf.DUMMYFUNCTION("""COMPUTED_VALUE"""),2002.0)</f>
        <v>2002</v>
      </c>
      <c r="E6153">
        <f>IFERROR(__xludf.DUMMYFUNCTION("""COMPUTED_VALUE"""),1.2208848E7)</f>
        <v>12208848</v>
      </c>
    </row>
    <row r="6154">
      <c r="A6154" t="str">
        <f t="shared" si="1"/>
        <v>gtm#2003</v>
      </c>
      <c r="B6154" t="str">
        <f>IFERROR(__xludf.DUMMYFUNCTION("""COMPUTED_VALUE"""),"gtm")</f>
        <v>gtm</v>
      </c>
      <c r="C6154" t="str">
        <f>IFERROR(__xludf.DUMMYFUNCTION("""COMPUTED_VALUE"""),"Guatemala")</f>
        <v>Guatemala</v>
      </c>
      <c r="D6154">
        <f>IFERROR(__xludf.DUMMYFUNCTION("""COMPUTED_VALUE"""),2003.0)</f>
        <v>2003</v>
      </c>
      <c r="E6154">
        <f>IFERROR(__xludf.DUMMYFUNCTION("""COMPUTED_VALUE"""),1.2500478E7)</f>
        <v>12500478</v>
      </c>
    </row>
    <row r="6155">
      <c r="A6155" t="str">
        <f t="shared" si="1"/>
        <v>gtm#2004</v>
      </c>
      <c r="B6155" t="str">
        <f>IFERROR(__xludf.DUMMYFUNCTION("""COMPUTED_VALUE"""),"gtm")</f>
        <v>gtm</v>
      </c>
      <c r="C6155" t="str">
        <f>IFERROR(__xludf.DUMMYFUNCTION("""COMPUTED_VALUE"""),"Guatemala")</f>
        <v>Guatemala</v>
      </c>
      <c r="D6155">
        <f>IFERROR(__xludf.DUMMYFUNCTION("""COMPUTED_VALUE"""),2004.0)</f>
        <v>2004</v>
      </c>
      <c r="E6155">
        <f>IFERROR(__xludf.DUMMYFUNCTION("""COMPUTED_VALUE"""),1.2796925E7)</f>
        <v>12796925</v>
      </c>
    </row>
    <row r="6156">
      <c r="A6156" t="str">
        <f t="shared" si="1"/>
        <v>gtm#2005</v>
      </c>
      <c r="B6156" t="str">
        <f>IFERROR(__xludf.DUMMYFUNCTION("""COMPUTED_VALUE"""),"gtm")</f>
        <v>gtm</v>
      </c>
      <c r="C6156" t="str">
        <f>IFERROR(__xludf.DUMMYFUNCTION("""COMPUTED_VALUE"""),"Guatemala")</f>
        <v>Guatemala</v>
      </c>
      <c r="D6156">
        <f>IFERROR(__xludf.DUMMYFUNCTION("""COMPUTED_VALUE"""),2005.0)</f>
        <v>2005</v>
      </c>
      <c r="E6156">
        <f>IFERROR(__xludf.DUMMYFUNCTION("""COMPUTED_VALUE"""),1.3096028E7)</f>
        <v>13096028</v>
      </c>
    </row>
    <row r="6157">
      <c r="A6157" t="str">
        <f t="shared" si="1"/>
        <v>gtm#2006</v>
      </c>
      <c r="B6157" t="str">
        <f>IFERROR(__xludf.DUMMYFUNCTION("""COMPUTED_VALUE"""),"gtm")</f>
        <v>gtm</v>
      </c>
      <c r="C6157" t="str">
        <f>IFERROR(__xludf.DUMMYFUNCTION("""COMPUTED_VALUE"""),"Guatemala")</f>
        <v>Guatemala</v>
      </c>
      <c r="D6157">
        <f>IFERROR(__xludf.DUMMYFUNCTION("""COMPUTED_VALUE"""),2006.0)</f>
        <v>2006</v>
      </c>
      <c r="E6157">
        <f>IFERROR(__xludf.DUMMYFUNCTION("""COMPUTED_VALUE"""),1.3397008E7)</f>
        <v>13397008</v>
      </c>
    </row>
    <row r="6158">
      <c r="A6158" t="str">
        <f t="shared" si="1"/>
        <v>gtm#2007</v>
      </c>
      <c r="B6158" t="str">
        <f>IFERROR(__xludf.DUMMYFUNCTION("""COMPUTED_VALUE"""),"gtm")</f>
        <v>gtm</v>
      </c>
      <c r="C6158" t="str">
        <f>IFERROR(__xludf.DUMMYFUNCTION("""COMPUTED_VALUE"""),"Guatemala")</f>
        <v>Guatemala</v>
      </c>
      <c r="D6158">
        <f>IFERROR(__xludf.DUMMYFUNCTION("""COMPUTED_VALUE"""),2007.0)</f>
        <v>2007</v>
      </c>
      <c r="E6158">
        <f>IFERROR(__xludf.DUMMYFUNCTION("""COMPUTED_VALUE"""),1.3700286E7)</f>
        <v>13700286</v>
      </c>
    </row>
    <row r="6159">
      <c r="A6159" t="str">
        <f t="shared" si="1"/>
        <v>gtm#2008</v>
      </c>
      <c r="B6159" t="str">
        <f>IFERROR(__xludf.DUMMYFUNCTION("""COMPUTED_VALUE"""),"gtm")</f>
        <v>gtm</v>
      </c>
      <c r="C6159" t="str">
        <f>IFERROR(__xludf.DUMMYFUNCTION("""COMPUTED_VALUE"""),"Guatemala")</f>
        <v>Guatemala</v>
      </c>
      <c r="D6159">
        <f>IFERROR(__xludf.DUMMYFUNCTION("""COMPUTED_VALUE"""),2008.0)</f>
        <v>2008</v>
      </c>
      <c r="E6159">
        <f>IFERROR(__xludf.DUMMYFUNCTION("""COMPUTED_VALUE"""),1.4006366E7)</f>
        <v>14006366</v>
      </c>
    </row>
    <row r="6160">
      <c r="A6160" t="str">
        <f t="shared" si="1"/>
        <v>gtm#2009</v>
      </c>
      <c r="B6160" t="str">
        <f>IFERROR(__xludf.DUMMYFUNCTION("""COMPUTED_VALUE"""),"gtm")</f>
        <v>gtm</v>
      </c>
      <c r="C6160" t="str">
        <f>IFERROR(__xludf.DUMMYFUNCTION("""COMPUTED_VALUE"""),"Guatemala")</f>
        <v>Guatemala</v>
      </c>
      <c r="D6160">
        <f>IFERROR(__xludf.DUMMYFUNCTION("""COMPUTED_VALUE"""),2009.0)</f>
        <v>2009</v>
      </c>
      <c r="E6160">
        <f>IFERROR(__xludf.DUMMYFUNCTION("""COMPUTED_VALUE"""),1.4316208E7)</f>
        <v>14316208</v>
      </c>
    </row>
    <row r="6161">
      <c r="A6161" t="str">
        <f t="shared" si="1"/>
        <v>gtm#2010</v>
      </c>
      <c r="B6161" t="str">
        <f>IFERROR(__xludf.DUMMYFUNCTION("""COMPUTED_VALUE"""),"gtm")</f>
        <v>gtm</v>
      </c>
      <c r="C6161" t="str">
        <f>IFERROR(__xludf.DUMMYFUNCTION("""COMPUTED_VALUE"""),"Guatemala")</f>
        <v>Guatemala</v>
      </c>
      <c r="D6161">
        <f>IFERROR(__xludf.DUMMYFUNCTION("""COMPUTED_VALUE"""),2010.0)</f>
        <v>2010</v>
      </c>
      <c r="E6161">
        <f>IFERROR(__xludf.DUMMYFUNCTION("""COMPUTED_VALUE"""),1.4630417E7)</f>
        <v>14630417</v>
      </c>
    </row>
    <row r="6162">
      <c r="A6162" t="str">
        <f t="shared" si="1"/>
        <v>gtm#2011</v>
      </c>
      <c r="B6162" t="str">
        <f>IFERROR(__xludf.DUMMYFUNCTION("""COMPUTED_VALUE"""),"gtm")</f>
        <v>gtm</v>
      </c>
      <c r="C6162" t="str">
        <f>IFERROR(__xludf.DUMMYFUNCTION("""COMPUTED_VALUE"""),"Guatemala")</f>
        <v>Guatemala</v>
      </c>
      <c r="D6162">
        <f>IFERROR(__xludf.DUMMYFUNCTION("""COMPUTED_VALUE"""),2011.0)</f>
        <v>2011</v>
      </c>
      <c r="E6162">
        <f>IFERROR(__xludf.DUMMYFUNCTION("""COMPUTED_VALUE"""),1.4948919E7)</f>
        <v>14948919</v>
      </c>
    </row>
    <row r="6163">
      <c r="A6163" t="str">
        <f t="shared" si="1"/>
        <v>gtm#2012</v>
      </c>
      <c r="B6163" t="str">
        <f>IFERROR(__xludf.DUMMYFUNCTION("""COMPUTED_VALUE"""),"gtm")</f>
        <v>gtm</v>
      </c>
      <c r="C6163" t="str">
        <f>IFERROR(__xludf.DUMMYFUNCTION("""COMPUTED_VALUE"""),"Guatemala")</f>
        <v>Guatemala</v>
      </c>
      <c r="D6163">
        <f>IFERROR(__xludf.DUMMYFUNCTION("""COMPUTED_VALUE"""),2012.0)</f>
        <v>2012</v>
      </c>
      <c r="E6163">
        <f>IFERROR(__xludf.DUMMYFUNCTION("""COMPUTED_VALUE"""),1.5271056E7)</f>
        <v>15271056</v>
      </c>
    </row>
    <row r="6164">
      <c r="A6164" t="str">
        <f t="shared" si="1"/>
        <v>gtm#2013</v>
      </c>
      <c r="B6164" t="str">
        <f>IFERROR(__xludf.DUMMYFUNCTION("""COMPUTED_VALUE"""),"gtm")</f>
        <v>gtm</v>
      </c>
      <c r="C6164" t="str">
        <f>IFERROR(__xludf.DUMMYFUNCTION("""COMPUTED_VALUE"""),"Guatemala")</f>
        <v>Guatemala</v>
      </c>
      <c r="D6164">
        <f>IFERROR(__xludf.DUMMYFUNCTION("""COMPUTED_VALUE"""),2013.0)</f>
        <v>2013</v>
      </c>
      <c r="E6164">
        <f>IFERROR(__xludf.DUMMYFUNCTION("""COMPUTED_VALUE"""),1.5596214E7)</f>
        <v>15596214</v>
      </c>
    </row>
    <row r="6165">
      <c r="A6165" t="str">
        <f t="shared" si="1"/>
        <v>gtm#2014</v>
      </c>
      <c r="B6165" t="str">
        <f>IFERROR(__xludf.DUMMYFUNCTION("""COMPUTED_VALUE"""),"gtm")</f>
        <v>gtm</v>
      </c>
      <c r="C6165" t="str">
        <f>IFERROR(__xludf.DUMMYFUNCTION("""COMPUTED_VALUE"""),"Guatemala")</f>
        <v>Guatemala</v>
      </c>
      <c r="D6165">
        <f>IFERROR(__xludf.DUMMYFUNCTION("""COMPUTED_VALUE"""),2014.0)</f>
        <v>2014</v>
      </c>
      <c r="E6165">
        <f>IFERROR(__xludf.DUMMYFUNCTION("""COMPUTED_VALUE"""),1.5923559E7)</f>
        <v>15923559</v>
      </c>
    </row>
    <row r="6166">
      <c r="A6166" t="str">
        <f t="shared" si="1"/>
        <v>gtm#2015</v>
      </c>
      <c r="B6166" t="str">
        <f>IFERROR(__xludf.DUMMYFUNCTION("""COMPUTED_VALUE"""),"gtm")</f>
        <v>gtm</v>
      </c>
      <c r="C6166" t="str">
        <f>IFERROR(__xludf.DUMMYFUNCTION("""COMPUTED_VALUE"""),"Guatemala")</f>
        <v>Guatemala</v>
      </c>
      <c r="D6166">
        <f>IFERROR(__xludf.DUMMYFUNCTION("""COMPUTED_VALUE"""),2015.0)</f>
        <v>2015</v>
      </c>
      <c r="E6166">
        <f>IFERROR(__xludf.DUMMYFUNCTION("""COMPUTED_VALUE"""),1.6252429E7)</f>
        <v>16252429</v>
      </c>
    </row>
    <row r="6167">
      <c r="A6167" t="str">
        <f t="shared" si="1"/>
        <v>gtm#2016</v>
      </c>
      <c r="B6167" t="str">
        <f>IFERROR(__xludf.DUMMYFUNCTION("""COMPUTED_VALUE"""),"gtm")</f>
        <v>gtm</v>
      </c>
      <c r="C6167" t="str">
        <f>IFERROR(__xludf.DUMMYFUNCTION("""COMPUTED_VALUE"""),"Guatemala")</f>
        <v>Guatemala</v>
      </c>
      <c r="D6167">
        <f>IFERROR(__xludf.DUMMYFUNCTION("""COMPUTED_VALUE"""),2016.0)</f>
        <v>2016</v>
      </c>
      <c r="E6167">
        <f>IFERROR(__xludf.DUMMYFUNCTION("""COMPUTED_VALUE"""),1.6582469E7)</f>
        <v>16582469</v>
      </c>
    </row>
    <row r="6168">
      <c r="A6168" t="str">
        <f t="shared" si="1"/>
        <v>gtm#2017</v>
      </c>
      <c r="B6168" t="str">
        <f>IFERROR(__xludf.DUMMYFUNCTION("""COMPUTED_VALUE"""),"gtm")</f>
        <v>gtm</v>
      </c>
      <c r="C6168" t="str">
        <f>IFERROR(__xludf.DUMMYFUNCTION("""COMPUTED_VALUE"""),"Guatemala")</f>
        <v>Guatemala</v>
      </c>
      <c r="D6168">
        <f>IFERROR(__xludf.DUMMYFUNCTION("""COMPUTED_VALUE"""),2017.0)</f>
        <v>2017</v>
      </c>
      <c r="E6168">
        <f>IFERROR(__xludf.DUMMYFUNCTION("""COMPUTED_VALUE"""),1.6913503E7)</f>
        <v>16913503</v>
      </c>
    </row>
    <row r="6169">
      <c r="A6169" t="str">
        <f t="shared" si="1"/>
        <v>gtm#2018</v>
      </c>
      <c r="B6169" t="str">
        <f>IFERROR(__xludf.DUMMYFUNCTION("""COMPUTED_VALUE"""),"gtm")</f>
        <v>gtm</v>
      </c>
      <c r="C6169" t="str">
        <f>IFERROR(__xludf.DUMMYFUNCTION("""COMPUTED_VALUE"""),"Guatemala")</f>
        <v>Guatemala</v>
      </c>
      <c r="D6169">
        <f>IFERROR(__xludf.DUMMYFUNCTION("""COMPUTED_VALUE"""),2018.0)</f>
        <v>2018</v>
      </c>
      <c r="E6169">
        <f>IFERROR(__xludf.DUMMYFUNCTION("""COMPUTED_VALUE"""),1.7245346E7)</f>
        <v>17245346</v>
      </c>
    </row>
    <row r="6170">
      <c r="A6170" t="str">
        <f t="shared" si="1"/>
        <v>gtm#2019</v>
      </c>
      <c r="B6170" t="str">
        <f>IFERROR(__xludf.DUMMYFUNCTION("""COMPUTED_VALUE"""),"gtm")</f>
        <v>gtm</v>
      </c>
      <c r="C6170" t="str">
        <f>IFERROR(__xludf.DUMMYFUNCTION("""COMPUTED_VALUE"""),"Guatemala")</f>
        <v>Guatemala</v>
      </c>
      <c r="D6170">
        <f>IFERROR(__xludf.DUMMYFUNCTION("""COMPUTED_VALUE"""),2019.0)</f>
        <v>2019</v>
      </c>
      <c r="E6170">
        <f>IFERROR(__xludf.DUMMYFUNCTION("""COMPUTED_VALUE"""),1.7577842E7)</f>
        <v>17577842</v>
      </c>
    </row>
    <row r="6171">
      <c r="A6171" t="str">
        <f t="shared" si="1"/>
        <v>gtm#2020</v>
      </c>
      <c r="B6171" t="str">
        <f>IFERROR(__xludf.DUMMYFUNCTION("""COMPUTED_VALUE"""),"gtm")</f>
        <v>gtm</v>
      </c>
      <c r="C6171" t="str">
        <f>IFERROR(__xludf.DUMMYFUNCTION("""COMPUTED_VALUE"""),"Guatemala")</f>
        <v>Guatemala</v>
      </c>
      <c r="D6171">
        <f>IFERROR(__xludf.DUMMYFUNCTION("""COMPUTED_VALUE"""),2020.0)</f>
        <v>2020</v>
      </c>
      <c r="E6171">
        <f>IFERROR(__xludf.DUMMYFUNCTION("""COMPUTED_VALUE"""),1.7910812E7)</f>
        <v>17910812</v>
      </c>
    </row>
    <row r="6172">
      <c r="A6172" t="str">
        <f t="shared" si="1"/>
        <v>gtm#2021</v>
      </c>
      <c r="B6172" t="str">
        <f>IFERROR(__xludf.DUMMYFUNCTION("""COMPUTED_VALUE"""),"gtm")</f>
        <v>gtm</v>
      </c>
      <c r="C6172" t="str">
        <f>IFERROR(__xludf.DUMMYFUNCTION("""COMPUTED_VALUE"""),"Guatemala")</f>
        <v>Guatemala</v>
      </c>
      <c r="D6172">
        <f>IFERROR(__xludf.DUMMYFUNCTION("""COMPUTED_VALUE"""),2021.0)</f>
        <v>2021</v>
      </c>
      <c r="E6172">
        <f>IFERROR(__xludf.DUMMYFUNCTION("""COMPUTED_VALUE"""),1.8243996E7)</f>
        <v>18243996</v>
      </c>
    </row>
    <row r="6173">
      <c r="A6173" t="str">
        <f t="shared" si="1"/>
        <v>gtm#2022</v>
      </c>
      <c r="B6173" t="str">
        <f>IFERROR(__xludf.DUMMYFUNCTION("""COMPUTED_VALUE"""),"gtm")</f>
        <v>gtm</v>
      </c>
      <c r="C6173" t="str">
        <f>IFERROR(__xludf.DUMMYFUNCTION("""COMPUTED_VALUE"""),"Guatemala")</f>
        <v>Guatemala</v>
      </c>
      <c r="D6173">
        <f>IFERROR(__xludf.DUMMYFUNCTION("""COMPUTED_VALUE"""),2022.0)</f>
        <v>2022</v>
      </c>
      <c r="E6173">
        <f>IFERROR(__xludf.DUMMYFUNCTION("""COMPUTED_VALUE"""),1.8577064E7)</f>
        <v>18577064</v>
      </c>
    </row>
    <row r="6174">
      <c r="A6174" t="str">
        <f t="shared" si="1"/>
        <v>gtm#2023</v>
      </c>
      <c r="B6174" t="str">
        <f>IFERROR(__xludf.DUMMYFUNCTION("""COMPUTED_VALUE"""),"gtm")</f>
        <v>gtm</v>
      </c>
      <c r="C6174" t="str">
        <f>IFERROR(__xludf.DUMMYFUNCTION("""COMPUTED_VALUE"""),"Guatemala")</f>
        <v>Guatemala</v>
      </c>
      <c r="D6174">
        <f>IFERROR(__xludf.DUMMYFUNCTION("""COMPUTED_VALUE"""),2023.0)</f>
        <v>2023</v>
      </c>
      <c r="E6174">
        <f>IFERROR(__xludf.DUMMYFUNCTION("""COMPUTED_VALUE"""),1.8909715E7)</f>
        <v>18909715</v>
      </c>
    </row>
    <row r="6175">
      <c r="A6175" t="str">
        <f t="shared" si="1"/>
        <v>gtm#2024</v>
      </c>
      <c r="B6175" t="str">
        <f>IFERROR(__xludf.DUMMYFUNCTION("""COMPUTED_VALUE"""),"gtm")</f>
        <v>gtm</v>
      </c>
      <c r="C6175" t="str">
        <f>IFERROR(__xludf.DUMMYFUNCTION("""COMPUTED_VALUE"""),"Guatemala")</f>
        <v>Guatemala</v>
      </c>
      <c r="D6175">
        <f>IFERROR(__xludf.DUMMYFUNCTION("""COMPUTED_VALUE"""),2024.0)</f>
        <v>2024</v>
      </c>
      <c r="E6175">
        <f>IFERROR(__xludf.DUMMYFUNCTION("""COMPUTED_VALUE"""),1.9241632E7)</f>
        <v>19241632</v>
      </c>
    </row>
    <row r="6176">
      <c r="A6176" t="str">
        <f t="shared" si="1"/>
        <v>gtm#2025</v>
      </c>
      <c r="B6176" t="str">
        <f>IFERROR(__xludf.DUMMYFUNCTION("""COMPUTED_VALUE"""),"gtm")</f>
        <v>gtm</v>
      </c>
      <c r="C6176" t="str">
        <f>IFERROR(__xludf.DUMMYFUNCTION("""COMPUTED_VALUE"""),"Guatemala")</f>
        <v>Guatemala</v>
      </c>
      <c r="D6176">
        <f>IFERROR(__xludf.DUMMYFUNCTION("""COMPUTED_VALUE"""),2025.0)</f>
        <v>2025</v>
      </c>
      <c r="E6176">
        <f>IFERROR(__xludf.DUMMYFUNCTION("""COMPUTED_VALUE"""),1.9572502E7)</f>
        <v>19572502</v>
      </c>
    </row>
    <row r="6177">
      <c r="A6177" t="str">
        <f t="shared" si="1"/>
        <v>gtm#2026</v>
      </c>
      <c r="B6177" t="str">
        <f>IFERROR(__xludf.DUMMYFUNCTION("""COMPUTED_VALUE"""),"gtm")</f>
        <v>gtm</v>
      </c>
      <c r="C6177" t="str">
        <f>IFERROR(__xludf.DUMMYFUNCTION("""COMPUTED_VALUE"""),"Guatemala")</f>
        <v>Guatemala</v>
      </c>
      <c r="D6177">
        <f>IFERROR(__xludf.DUMMYFUNCTION("""COMPUTED_VALUE"""),2026.0)</f>
        <v>2026</v>
      </c>
      <c r="E6177">
        <f>IFERROR(__xludf.DUMMYFUNCTION("""COMPUTED_VALUE"""),1.9902106E7)</f>
        <v>19902106</v>
      </c>
    </row>
    <row r="6178">
      <c r="A6178" t="str">
        <f t="shared" si="1"/>
        <v>gtm#2027</v>
      </c>
      <c r="B6178" t="str">
        <f>IFERROR(__xludf.DUMMYFUNCTION("""COMPUTED_VALUE"""),"gtm")</f>
        <v>gtm</v>
      </c>
      <c r="C6178" t="str">
        <f>IFERROR(__xludf.DUMMYFUNCTION("""COMPUTED_VALUE"""),"Guatemala")</f>
        <v>Guatemala</v>
      </c>
      <c r="D6178">
        <f>IFERROR(__xludf.DUMMYFUNCTION("""COMPUTED_VALUE"""),2027.0)</f>
        <v>2027</v>
      </c>
      <c r="E6178">
        <f>IFERROR(__xludf.DUMMYFUNCTION("""COMPUTED_VALUE"""),2.0230192E7)</f>
        <v>20230192</v>
      </c>
    </row>
    <row r="6179">
      <c r="A6179" t="str">
        <f t="shared" si="1"/>
        <v>gtm#2028</v>
      </c>
      <c r="B6179" t="str">
        <f>IFERROR(__xludf.DUMMYFUNCTION("""COMPUTED_VALUE"""),"gtm")</f>
        <v>gtm</v>
      </c>
      <c r="C6179" t="str">
        <f>IFERROR(__xludf.DUMMYFUNCTION("""COMPUTED_VALUE"""),"Guatemala")</f>
        <v>Guatemala</v>
      </c>
      <c r="D6179">
        <f>IFERROR(__xludf.DUMMYFUNCTION("""COMPUTED_VALUE"""),2028.0)</f>
        <v>2028</v>
      </c>
      <c r="E6179">
        <f>IFERROR(__xludf.DUMMYFUNCTION("""COMPUTED_VALUE"""),2.0556505E7)</f>
        <v>20556505</v>
      </c>
    </row>
    <row r="6180">
      <c r="A6180" t="str">
        <f t="shared" si="1"/>
        <v>gtm#2029</v>
      </c>
      <c r="B6180" t="str">
        <f>IFERROR(__xludf.DUMMYFUNCTION("""COMPUTED_VALUE"""),"gtm")</f>
        <v>gtm</v>
      </c>
      <c r="C6180" t="str">
        <f>IFERROR(__xludf.DUMMYFUNCTION("""COMPUTED_VALUE"""),"Guatemala")</f>
        <v>Guatemala</v>
      </c>
      <c r="D6180">
        <f>IFERROR(__xludf.DUMMYFUNCTION("""COMPUTED_VALUE"""),2029.0)</f>
        <v>2029</v>
      </c>
      <c r="E6180">
        <f>IFERROR(__xludf.DUMMYFUNCTION("""COMPUTED_VALUE"""),2.0880765E7)</f>
        <v>20880765</v>
      </c>
    </row>
    <row r="6181">
      <c r="A6181" t="str">
        <f t="shared" si="1"/>
        <v>gtm#2030</v>
      </c>
      <c r="B6181" t="str">
        <f>IFERROR(__xludf.DUMMYFUNCTION("""COMPUTED_VALUE"""),"gtm")</f>
        <v>gtm</v>
      </c>
      <c r="C6181" t="str">
        <f>IFERROR(__xludf.DUMMYFUNCTION("""COMPUTED_VALUE"""),"Guatemala")</f>
        <v>Guatemala</v>
      </c>
      <c r="D6181">
        <f>IFERROR(__xludf.DUMMYFUNCTION("""COMPUTED_VALUE"""),2030.0)</f>
        <v>2030</v>
      </c>
      <c r="E6181">
        <f>IFERROR(__xludf.DUMMYFUNCTION("""COMPUTED_VALUE"""),2.1202726E7)</f>
        <v>21202726</v>
      </c>
    </row>
    <row r="6182">
      <c r="A6182" t="str">
        <f t="shared" si="1"/>
        <v>gtm#2031</v>
      </c>
      <c r="B6182" t="str">
        <f>IFERROR(__xludf.DUMMYFUNCTION("""COMPUTED_VALUE"""),"gtm")</f>
        <v>gtm</v>
      </c>
      <c r="C6182" t="str">
        <f>IFERROR(__xludf.DUMMYFUNCTION("""COMPUTED_VALUE"""),"Guatemala")</f>
        <v>Guatemala</v>
      </c>
      <c r="D6182">
        <f>IFERROR(__xludf.DUMMYFUNCTION("""COMPUTED_VALUE"""),2031.0)</f>
        <v>2031</v>
      </c>
      <c r="E6182">
        <f>IFERROR(__xludf.DUMMYFUNCTION("""COMPUTED_VALUE"""),2.1522173E7)</f>
        <v>21522173</v>
      </c>
    </row>
    <row r="6183">
      <c r="A6183" t="str">
        <f t="shared" si="1"/>
        <v>gtm#2032</v>
      </c>
      <c r="B6183" t="str">
        <f>IFERROR(__xludf.DUMMYFUNCTION("""COMPUTED_VALUE"""),"gtm")</f>
        <v>gtm</v>
      </c>
      <c r="C6183" t="str">
        <f>IFERROR(__xludf.DUMMYFUNCTION("""COMPUTED_VALUE"""),"Guatemala")</f>
        <v>Guatemala</v>
      </c>
      <c r="D6183">
        <f>IFERROR(__xludf.DUMMYFUNCTION("""COMPUTED_VALUE"""),2032.0)</f>
        <v>2032</v>
      </c>
      <c r="E6183">
        <f>IFERROR(__xludf.DUMMYFUNCTION("""COMPUTED_VALUE"""),2.1838956E7)</f>
        <v>21838956</v>
      </c>
    </row>
    <row r="6184">
      <c r="A6184" t="str">
        <f t="shared" si="1"/>
        <v>gtm#2033</v>
      </c>
      <c r="B6184" t="str">
        <f>IFERROR(__xludf.DUMMYFUNCTION("""COMPUTED_VALUE"""),"gtm")</f>
        <v>gtm</v>
      </c>
      <c r="C6184" t="str">
        <f>IFERROR(__xludf.DUMMYFUNCTION("""COMPUTED_VALUE"""),"Guatemala")</f>
        <v>Guatemala</v>
      </c>
      <c r="D6184">
        <f>IFERROR(__xludf.DUMMYFUNCTION("""COMPUTED_VALUE"""),2033.0)</f>
        <v>2033</v>
      </c>
      <c r="E6184">
        <f>IFERROR(__xludf.DUMMYFUNCTION("""COMPUTED_VALUE"""),2.2152942E7)</f>
        <v>22152942</v>
      </c>
    </row>
    <row r="6185">
      <c r="A6185" t="str">
        <f t="shared" si="1"/>
        <v>gtm#2034</v>
      </c>
      <c r="B6185" t="str">
        <f>IFERROR(__xludf.DUMMYFUNCTION("""COMPUTED_VALUE"""),"gtm")</f>
        <v>gtm</v>
      </c>
      <c r="C6185" t="str">
        <f>IFERROR(__xludf.DUMMYFUNCTION("""COMPUTED_VALUE"""),"Guatemala")</f>
        <v>Guatemala</v>
      </c>
      <c r="D6185">
        <f>IFERROR(__xludf.DUMMYFUNCTION("""COMPUTED_VALUE"""),2034.0)</f>
        <v>2034</v>
      </c>
      <c r="E6185">
        <f>IFERROR(__xludf.DUMMYFUNCTION("""COMPUTED_VALUE"""),2.2464076E7)</f>
        <v>22464076</v>
      </c>
    </row>
    <row r="6186">
      <c r="A6186" t="str">
        <f t="shared" si="1"/>
        <v>gtm#2035</v>
      </c>
      <c r="B6186" t="str">
        <f>IFERROR(__xludf.DUMMYFUNCTION("""COMPUTED_VALUE"""),"gtm")</f>
        <v>gtm</v>
      </c>
      <c r="C6186" t="str">
        <f>IFERROR(__xludf.DUMMYFUNCTION("""COMPUTED_VALUE"""),"Guatemala")</f>
        <v>Guatemala</v>
      </c>
      <c r="D6186">
        <f>IFERROR(__xludf.DUMMYFUNCTION("""COMPUTED_VALUE"""),2035.0)</f>
        <v>2035</v>
      </c>
      <c r="E6186">
        <f>IFERROR(__xludf.DUMMYFUNCTION("""COMPUTED_VALUE"""),2.2772247E7)</f>
        <v>22772247</v>
      </c>
    </row>
    <row r="6187">
      <c r="A6187" t="str">
        <f t="shared" si="1"/>
        <v>gtm#2036</v>
      </c>
      <c r="B6187" t="str">
        <f>IFERROR(__xludf.DUMMYFUNCTION("""COMPUTED_VALUE"""),"gtm")</f>
        <v>gtm</v>
      </c>
      <c r="C6187" t="str">
        <f>IFERROR(__xludf.DUMMYFUNCTION("""COMPUTED_VALUE"""),"Guatemala")</f>
        <v>Guatemala</v>
      </c>
      <c r="D6187">
        <f>IFERROR(__xludf.DUMMYFUNCTION("""COMPUTED_VALUE"""),2036.0)</f>
        <v>2036</v>
      </c>
      <c r="E6187">
        <f>IFERROR(__xludf.DUMMYFUNCTION("""COMPUTED_VALUE"""),2.3077355E7)</f>
        <v>23077355</v>
      </c>
    </row>
    <row r="6188">
      <c r="A6188" t="str">
        <f t="shared" si="1"/>
        <v>gtm#2037</v>
      </c>
      <c r="B6188" t="str">
        <f>IFERROR(__xludf.DUMMYFUNCTION("""COMPUTED_VALUE"""),"gtm")</f>
        <v>gtm</v>
      </c>
      <c r="C6188" t="str">
        <f>IFERROR(__xludf.DUMMYFUNCTION("""COMPUTED_VALUE"""),"Guatemala")</f>
        <v>Guatemala</v>
      </c>
      <c r="D6188">
        <f>IFERROR(__xludf.DUMMYFUNCTION("""COMPUTED_VALUE"""),2037.0)</f>
        <v>2037</v>
      </c>
      <c r="E6188">
        <f>IFERROR(__xludf.DUMMYFUNCTION("""COMPUTED_VALUE"""),2.3379242E7)</f>
        <v>23379242</v>
      </c>
    </row>
    <row r="6189">
      <c r="A6189" t="str">
        <f t="shared" si="1"/>
        <v>gtm#2038</v>
      </c>
      <c r="B6189" t="str">
        <f>IFERROR(__xludf.DUMMYFUNCTION("""COMPUTED_VALUE"""),"gtm")</f>
        <v>gtm</v>
      </c>
      <c r="C6189" t="str">
        <f>IFERROR(__xludf.DUMMYFUNCTION("""COMPUTED_VALUE"""),"Guatemala")</f>
        <v>Guatemala</v>
      </c>
      <c r="D6189">
        <f>IFERROR(__xludf.DUMMYFUNCTION("""COMPUTED_VALUE"""),2038.0)</f>
        <v>2038</v>
      </c>
      <c r="E6189">
        <f>IFERROR(__xludf.DUMMYFUNCTION("""COMPUTED_VALUE"""),2.3677797E7)</f>
        <v>23677797</v>
      </c>
    </row>
    <row r="6190">
      <c r="A6190" t="str">
        <f t="shared" si="1"/>
        <v>gtm#2039</v>
      </c>
      <c r="B6190" t="str">
        <f>IFERROR(__xludf.DUMMYFUNCTION("""COMPUTED_VALUE"""),"gtm")</f>
        <v>gtm</v>
      </c>
      <c r="C6190" t="str">
        <f>IFERROR(__xludf.DUMMYFUNCTION("""COMPUTED_VALUE"""),"Guatemala")</f>
        <v>Guatemala</v>
      </c>
      <c r="D6190">
        <f>IFERROR(__xludf.DUMMYFUNCTION("""COMPUTED_VALUE"""),2039.0)</f>
        <v>2039</v>
      </c>
      <c r="E6190">
        <f>IFERROR(__xludf.DUMMYFUNCTION("""COMPUTED_VALUE"""),2.3972907E7)</f>
        <v>23972907</v>
      </c>
    </row>
    <row r="6191">
      <c r="A6191" t="str">
        <f t="shared" si="1"/>
        <v>gtm#2040</v>
      </c>
      <c r="B6191" t="str">
        <f>IFERROR(__xludf.DUMMYFUNCTION("""COMPUTED_VALUE"""),"gtm")</f>
        <v>gtm</v>
      </c>
      <c r="C6191" t="str">
        <f>IFERROR(__xludf.DUMMYFUNCTION("""COMPUTED_VALUE"""),"Guatemala")</f>
        <v>Guatemala</v>
      </c>
      <c r="D6191">
        <f>IFERROR(__xludf.DUMMYFUNCTION("""COMPUTED_VALUE"""),2040.0)</f>
        <v>2040</v>
      </c>
      <c r="E6191">
        <f>IFERROR(__xludf.DUMMYFUNCTION("""COMPUTED_VALUE"""),2.4264472E7)</f>
        <v>24264472</v>
      </c>
    </row>
    <row r="6192">
      <c r="A6192" t="str">
        <f t="shared" si="1"/>
        <v>gin#1950</v>
      </c>
      <c r="B6192" t="str">
        <f>IFERROR(__xludf.DUMMYFUNCTION("""COMPUTED_VALUE"""),"gin")</f>
        <v>gin</v>
      </c>
      <c r="C6192" t="str">
        <f>IFERROR(__xludf.DUMMYFUNCTION("""COMPUTED_VALUE"""),"Guinea")</f>
        <v>Guinea</v>
      </c>
      <c r="D6192">
        <f>IFERROR(__xludf.DUMMYFUNCTION("""COMPUTED_VALUE"""),1950.0)</f>
        <v>1950</v>
      </c>
      <c r="E6192">
        <f>IFERROR(__xludf.DUMMYFUNCTION("""COMPUTED_VALUE"""),3093654.0)</f>
        <v>3093654</v>
      </c>
    </row>
    <row r="6193">
      <c r="A6193" t="str">
        <f t="shared" si="1"/>
        <v>gin#1951</v>
      </c>
      <c r="B6193" t="str">
        <f>IFERROR(__xludf.DUMMYFUNCTION("""COMPUTED_VALUE"""),"gin")</f>
        <v>gin</v>
      </c>
      <c r="C6193" t="str">
        <f>IFERROR(__xludf.DUMMYFUNCTION("""COMPUTED_VALUE"""),"Guinea")</f>
        <v>Guinea</v>
      </c>
      <c r="D6193">
        <f>IFERROR(__xludf.DUMMYFUNCTION("""COMPUTED_VALUE"""),1951.0)</f>
        <v>1951</v>
      </c>
      <c r="E6193">
        <f>IFERROR(__xludf.DUMMYFUNCTION("""COMPUTED_VALUE"""),3141879.0)</f>
        <v>3141879</v>
      </c>
    </row>
    <row r="6194">
      <c r="A6194" t="str">
        <f t="shared" si="1"/>
        <v>gin#1952</v>
      </c>
      <c r="B6194" t="str">
        <f>IFERROR(__xludf.DUMMYFUNCTION("""COMPUTED_VALUE"""),"gin")</f>
        <v>gin</v>
      </c>
      <c r="C6194" t="str">
        <f>IFERROR(__xludf.DUMMYFUNCTION("""COMPUTED_VALUE"""),"Guinea")</f>
        <v>Guinea</v>
      </c>
      <c r="D6194">
        <f>IFERROR(__xludf.DUMMYFUNCTION("""COMPUTED_VALUE"""),1952.0)</f>
        <v>1952</v>
      </c>
      <c r="E6194">
        <f>IFERROR(__xludf.DUMMYFUNCTION("""COMPUTED_VALUE"""),3185909.0)</f>
        <v>3185909</v>
      </c>
    </row>
    <row r="6195">
      <c r="A6195" t="str">
        <f t="shared" si="1"/>
        <v>gin#1953</v>
      </c>
      <c r="B6195" t="str">
        <f>IFERROR(__xludf.DUMMYFUNCTION("""COMPUTED_VALUE"""),"gin")</f>
        <v>gin</v>
      </c>
      <c r="C6195" t="str">
        <f>IFERROR(__xludf.DUMMYFUNCTION("""COMPUTED_VALUE"""),"Guinea")</f>
        <v>Guinea</v>
      </c>
      <c r="D6195">
        <f>IFERROR(__xludf.DUMMYFUNCTION("""COMPUTED_VALUE"""),1953.0)</f>
        <v>1953</v>
      </c>
      <c r="E6195">
        <f>IFERROR(__xludf.DUMMYFUNCTION("""COMPUTED_VALUE"""),3228381.0)</f>
        <v>3228381</v>
      </c>
    </row>
    <row r="6196">
      <c r="A6196" t="str">
        <f t="shared" si="1"/>
        <v>gin#1954</v>
      </c>
      <c r="B6196" t="str">
        <f>IFERROR(__xludf.DUMMYFUNCTION("""COMPUTED_VALUE"""),"gin")</f>
        <v>gin</v>
      </c>
      <c r="C6196" t="str">
        <f>IFERROR(__xludf.DUMMYFUNCTION("""COMPUTED_VALUE"""),"Guinea")</f>
        <v>Guinea</v>
      </c>
      <c r="D6196">
        <f>IFERROR(__xludf.DUMMYFUNCTION("""COMPUTED_VALUE"""),1954.0)</f>
        <v>1954</v>
      </c>
      <c r="E6196">
        <f>IFERROR(__xludf.DUMMYFUNCTION("""COMPUTED_VALUE"""),3271313.0)</f>
        <v>3271313</v>
      </c>
    </row>
    <row r="6197">
      <c r="A6197" t="str">
        <f t="shared" si="1"/>
        <v>gin#1955</v>
      </c>
      <c r="B6197" t="str">
        <f>IFERROR(__xludf.DUMMYFUNCTION("""COMPUTED_VALUE"""),"gin")</f>
        <v>gin</v>
      </c>
      <c r="C6197" t="str">
        <f>IFERROR(__xludf.DUMMYFUNCTION("""COMPUTED_VALUE"""),"Guinea")</f>
        <v>Guinea</v>
      </c>
      <c r="D6197">
        <f>IFERROR(__xludf.DUMMYFUNCTION("""COMPUTED_VALUE"""),1955.0)</f>
        <v>1955</v>
      </c>
      <c r="E6197">
        <f>IFERROR(__xludf.DUMMYFUNCTION("""COMPUTED_VALUE"""),3316135.0)</f>
        <v>3316135</v>
      </c>
    </row>
    <row r="6198">
      <c r="A6198" t="str">
        <f t="shared" si="1"/>
        <v>gin#1956</v>
      </c>
      <c r="B6198" t="str">
        <f>IFERROR(__xludf.DUMMYFUNCTION("""COMPUTED_VALUE"""),"gin")</f>
        <v>gin</v>
      </c>
      <c r="C6198" t="str">
        <f>IFERROR(__xludf.DUMMYFUNCTION("""COMPUTED_VALUE"""),"Guinea")</f>
        <v>Guinea</v>
      </c>
      <c r="D6198">
        <f>IFERROR(__xludf.DUMMYFUNCTION("""COMPUTED_VALUE"""),1956.0)</f>
        <v>1956</v>
      </c>
      <c r="E6198">
        <f>IFERROR(__xludf.DUMMYFUNCTION("""COMPUTED_VALUE"""),3363660.0)</f>
        <v>3363660</v>
      </c>
    </row>
    <row r="6199">
      <c r="A6199" t="str">
        <f t="shared" si="1"/>
        <v>gin#1957</v>
      </c>
      <c r="B6199" t="str">
        <f>IFERROR(__xludf.DUMMYFUNCTION("""COMPUTED_VALUE"""),"gin")</f>
        <v>gin</v>
      </c>
      <c r="C6199" t="str">
        <f>IFERROR(__xludf.DUMMYFUNCTION("""COMPUTED_VALUE"""),"Guinea")</f>
        <v>Guinea</v>
      </c>
      <c r="D6199">
        <f>IFERROR(__xludf.DUMMYFUNCTION("""COMPUTED_VALUE"""),1957.0)</f>
        <v>1957</v>
      </c>
      <c r="E6199">
        <f>IFERROR(__xludf.DUMMYFUNCTION("""COMPUTED_VALUE"""),3414053.0)</f>
        <v>3414053</v>
      </c>
    </row>
    <row r="6200">
      <c r="A6200" t="str">
        <f t="shared" si="1"/>
        <v>gin#1958</v>
      </c>
      <c r="B6200" t="str">
        <f>IFERROR(__xludf.DUMMYFUNCTION("""COMPUTED_VALUE"""),"gin")</f>
        <v>gin</v>
      </c>
      <c r="C6200" t="str">
        <f>IFERROR(__xludf.DUMMYFUNCTION("""COMPUTED_VALUE"""),"Guinea")</f>
        <v>Guinea</v>
      </c>
      <c r="D6200">
        <f>IFERROR(__xludf.DUMMYFUNCTION("""COMPUTED_VALUE"""),1958.0)</f>
        <v>1958</v>
      </c>
      <c r="E6200">
        <f>IFERROR(__xludf.DUMMYFUNCTION("""COMPUTED_VALUE"""),3466990.0)</f>
        <v>3466990</v>
      </c>
    </row>
    <row r="6201">
      <c r="A6201" t="str">
        <f t="shared" si="1"/>
        <v>gin#1959</v>
      </c>
      <c r="B6201" t="str">
        <f>IFERROR(__xludf.DUMMYFUNCTION("""COMPUTED_VALUE"""),"gin")</f>
        <v>gin</v>
      </c>
      <c r="C6201" t="str">
        <f>IFERROR(__xludf.DUMMYFUNCTION("""COMPUTED_VALUE"""),"Guinea")</f>
        <v>Guinea</v>
      </c>
      <c r="D6201">
        <f>IFERROR(__xludf.DUMMYFUNCTION("""COMPUTED_VALUE"""),1959.0)</f>
        <v>1959</v>
      </c>
      <c r="E6201">
        <f>IFERROR(__xludf.DUMMYFUNCTION("""COMPUTED_VALUE"""),3521704.0)</f>
        <v>3521704</v>
      </c>
    </row>
    <row r="6202">
      <c r="A6202" t="str">
        <f t="shared" si="1"/>
        <v>gin#1960</v>
      </c>
      <c r="B6202" t="str">
        <f>IFERROR(__xludf.DUMMYFUNCTION("""COMPUTED_VALUE"""),"gin")</f>
        <v>gin</v>
      </c>
      <c r="C6202" t="str">
        <f>IFERROR(__xludf.DUMMYFUNCTION("""COMPUTED_VALUE"""),"Guinea")</f>
        <v>Guinea</v>
      </c>
      <c r="D6202">
        <f>IFERROR(__xludf.DUMMYFUNCTION("""COMPUTED_VALUE"""),1960.0)</f>
        <v>1960</v>
      </c>
      <c r="E6202">
        <f>IFERROR(__xludf.DUMMYFUNCTION("""COMPUTED_VALUE"""),3577409.0)</f>
        <v>3577409</v>
      </c>
    </row>
    <row r="6203">
      <c r="A6203" t="str">
        <f t="shared" si="1"/>
        <v>gin#1961</v>
      </c>
      <c r="B6203" t="str">
        <f>IFERROR(__xludf.DUMMYFUNCTION("""COMPUTED_VALUE"""),"gin")</f>
        <v>gin</v>
      </c>
      <c r="C6203" t="str">
        <f>IFERROR(__xludf.DUMMYFUNCTION("""COMPUTED_VALUE"""),"Guinea")</f>
        <v>Guinea</v>
      </c>
      <c r="D6203">
        <f>IFERROR(__xludf.DUMMYFUNCTION("""COMPUTED_VALUE"""),1961.0)</f>
        <v>1961</v>
      </c>
      <c r="E6203">
        <f>IFERROR(__xludf.DUMMYFUNCTION("""COMPUTED_VALUE"""),3633652.0)</f>
        <v>3633652</v>
      </c>
    </row>
    <row r="6204">
      <c r="A6204" t="str">
        <f t="shared" si="1"/>
        <v>gin#1962</v>
      </c>
      <c r="B6204" t="str">
        <f>IFERROR(__xludf.DUMMYFUNCTION("""COMPUTED_VALUE"""),"gin")</f>
        <v>gin</v>
      </c>
      <c r="C6204" t="str">
        <f>IFERROR(__xludf.DUMMYFUNCTION("""COMPUTED_VALUE"""),"Guinea")</f>
        <v>Guinea</v>
      </c>
      <c r="D6204">
        <f>IFERROR(__xludf.DUMMYFUNCTION("""COMPUTED_VALUE"""),1962.0)</f>
        <v>1962</v>
      </c>
      <c r="E6204">
        <f>IFERROR(__xludf.DUMMYFUNCTION("""COMPUTED_VALUE"""),3690664.0)</f>
        <v>3690664</v>
      </c>
    </row>
    <row r="6205">
      <c r="A6205" t="str">
        <f t="shared" si="1"/>
        <v>gin#1963</v>
      </c>
      <c r="B6205" t="str">
        <f>IFERROR(__xludf.DUMMYFUNCTION("""COMPUTED_VALUE"""),"gin")</f>
        <v>gin</v>
      </c>
      <c r="C6205" t="str">
        <f>IFERROR(__xludf.DUMMYFUNCTION("""COMPUTED_VALUE"""),"Guinea")</f>
        <v>Guinea</v>
      </c>
      <c r="D6205">
        <f>IFERROR(__xludf.DUMMYFUNCTION("""COMPUTED_VALUE"""),1963.0)</f>
        <v>1963</v>
      </c>
      <c r="E6205">
        <f>IFERROR(__xludf.DUMMYFUNCTION("""COMPUTED_VALUE"""),3749505.0)</f>
        <v>3749505</v>
      </c>
    </row>
    <row r="6206">
      <c r="A6206" t="str">
        <f t="shared" si="1"/>
        <v>gin#1964</v>
      </c>
      <c r="B6206" t="str">
        <f>IFERROR(__xludf.DUMMYFUNCTION("""COMPUTED_VALUE"""),"gin")</f>
        <v>gin</v>
      </c>
      <c r="C6206" t="str">
        <f>IFERROR(__xludf.DUMMYFUNCTION("""COMPUTED_VALUE"""),"Guinea")</f>
        <v>Guinea</v>
      </c>
      <c r="D6206">
        <f>IFERROR(__xludf.DUMMYFUNCTION("""COMPUTED_VALUE"""),1964.0)</f>
        <v>1964</v>
      </c>
      <c r="E6206">
        <f>IFERROR(__xludf.DUMMYFUNCTION("""COMPUTED_VALUE"""),3811659.0)</f>
        <v>3811659</v>
      </c>
    </row>
    <row r="6207">
      <c r="A6207" t="str">
        <f t="shared" si="1"/>
        <v>gin#1965</v>
      </c>
      <c r="B6207" t="str">
        <f>IFERROR(__xludf.DUMMYFUNCTION("""COMPUTED_VALUE"""),"gin")</f>
        <v>gin</v>
      </c>
      <c r="C6207" t="str">
        <f>IFERROR(__xludf.DUMMYFUNCTION("""COMPUTED_VALUE"""),"Guinea")</f>
        <v>Guinea</v>
      </c>
      <c r="D6207">
        <f>IFERROR(__xludf.DUMMYFUNCTION("""COMPUTED_VALUE"""),1965.0)</f>
        <v>1965</v>
      </c>
      <c r="E6207">
        <f>IFERROR(__xludf.DUMMYFUNCTION("""COMPUTED_VALUE"""),3877806.0)</f>
        <v>3877806</v>
      </c>
    </row>
    <row r="6208">
      <c r="A6208" t="str">
        <f t="shared" si="1"/>
        <v>gin#1966</v>
      </c>
      <c r="B6208" t="str">
        <f>IFERROR(__xludf.DUMMYFUNCTION("""COMPUTED_VALUE"""),"gin")</f>
        <v>gin</v>
      </c>
      <c r="C6208" t="str">
        <f>IFERROR(__xludf.DUMMYFUNCTION("""COMPUTED_VALUE"""),"Guinea")</f>
        <v>Guinea</v>
      </c>
      <c r="D6208">
        <f>IFERROR(__xludf.DUMMYFUNCTION("""COMPUTED_VALUE"""),1966.0)</f>
        <v>1966</v>
      </c>
      <c r="E6208">
        <f>IFERROR(__xludf.DUMMYFUNCTION("""COMPUTED_VALUE"""),3948869.0)</f>
        <v>3948869</v>
      </c>
    </row>
    <row r="6209">
      <c r="A6209" t="str">
        <f t="shared" si="1"/>
        <v>gin#1967</v>
      </c>
      <c r="B6209" t="str">
        <f>IFERROR(__xludf.DUMMYFUNCTION("""COMPUTED_VALUE"""),"gin")</f>
        <v>gin</v>
      </c>
      <c r="C6209" t="str">
        <f>IFERROR(__xludf.DUMMYFUNCTION("""COMPUTED_VALUE"""),"Guinea")</f>
        <v>Guinea</v>
      </c>
      <c r="D6209">
        <f>IFERROR(__xludf.DUMMYFUNCTION("""COMPUTED_VALUE"""),1967.0)</f>
        <v>1967</v>
      </c>
      <c r="E6209">
        <f>IFERROR(__xludf.DUMMYFUNCTION("""COMPUTED_VALUE"""),4023486.0)</f>
        <v>4023486</v>
      </c>
    </row>
    <row r="6210">
      <c r="A6210" t="str">
        <f t="shared" si="1"/>
        <v>gin#1968</v>
      </c>
      <c r="B6210" t="str">
        <f>IFERROR(__xludf.DUMMYFUNCTION("""COMPUTED_VALUE"""),"gin")</f>
        <v>gin</v>
      </c>
      <c r="C6210" t="str">
        <f>IFERROR(__xludf.DUMMYFUNCTION("""COMPUTED_VALUE"""),"Guinea")</f>
        <v>Guinea</v>
      </c>
      <c r="D6210">
        <f>IFERROR(__xludf.DUMMYFUNCTION("""COMPUTED_VALUE"""),1968.0)</f>
        <v>1968</v>
      </c>
      <c r="E6210">
        <f>IFERROR(__xludf.DUMMYFUNCTION("""COMPUTED_VALUE"""),4097191.0)</f>
        <v>4097191</v>
      </c>
    </row>
    <row r="6211">
      <c r="A6211" t="str">
        <f t="shared" si="1"/>
        <v>gin#1969</v>
      </c>
      <c r="B6211" t="str">
        <f>IFERROR(__xludf.DUMMYFUNCTION("""COMPUTED_VALUE"""),"gin")</f>
        <v>gin</v>
      </c>
      <c r="C6211" t="str">
        <f>IFERROR(__xludf.DUMMYFUNCTION("""COMPUTED_VALUE"""),"Guinea")</f>
        <v>Guinea</v>
      </c>
      <c r="D6211">
        <f>IFERROR(__xludf.DUMMYFUNCTION("""COMPUTED_VALUE"""),1969.0)</f>
        <v>1969</v>
      </c>
      <c r="E6211">
        <f>IFERROR(__xludf.DUMMYFUNCTION("""COMPUTED_VALUE"""),4164003.0)</f>
        <v>4164003</v>
      </c>
    </row>
    <row r="6212">
      <c r="A6212" t="str">
        <f t="shared" si="1"/>
        <v>gin#1970</v>
      </c>
      <c r="B6212" t="str">
        <f>IFERROR(__xludf.DUMMYFUNCTION("""COMPUTED_VALUE"""),"gin")</f>
        <v>gin</v>
      </c>
      <c r="C6212" t="str">
        <f>IFERROR(__xludf.DUMMYFUNCTION("""COMPUTED_VALUE"""),"Guinea")</f>
        <v>Guinea</v>
      </c>
      <c r="D6212">
        <f>IFERROR(__xludf.DUMMYFUNCTION("""COMPUTED_VALUE"""),1970.0)</f>
        <v>1970</v>
      </c>
      <c r="E6212">
        <f>IFERROR(__xludf.DUMMYFUNCTION("""COMPUTED_VALUE"""),4219770.0)</f>
        <v>4219770</v>
      </c>
    </row>
    <row r="6213">
      <c r="A6213" t="str">
        <f t="shared" si="1"/>
        <v>gin#1971</v>
      </c>
      <c r="B6213" t="str">
        <f>IFERROR(__xludf.DUMMYFUNCTION("""COMPUTED_VALUE"""),"gin")</f>
        <v>gin</v>
      </c>
      <c r="C6213" t="str">
        <f>IFERROR(__xludf.DUMMYFUNCTION("""COMPUTED_VALUE"""),"Guinea")</f>
        <v>Guinea</v>
      </c>
      <c r="D6213">
        <f>IFERROR(__xludf.DUMMYFUNCTION("""COMPUTED_VALUE"""),1971.0)</f>
        <v>1971</v>
      </c>
      <c r="E6213">
        <f>IFERROR(__xludf.DUMMYFUNCTION("""COMPUTED_VALUE"""),4263840.0)</f>
        <v>4263840</v>
      </c>
    </row>
    <row r="6214">
      <c r="A6214" t="str">
        <f t="shared" si="1"/>
        <v>gin#1972</v>
      </c>
      <c r="B6214" t="str">
        <f>IFERROR(__xludf.DUMMYFUNCTION("""COMPUTED_VALUE"""),"gin")</f>
        <v>gin</v>
      </c>
      <c r="C6214" t="str">
        <f>IFERROR(__xludf.DUMMYFUNCTION("""COMPUTED_VALUE"""),"Guinea")</f>
        <v>Guinea</v>
      </c>
      <c r="D6214">
        <f>IFERROR(__xludf.DUMMYFUNCTION("""COMPUTED_VALUE"""),1972.0)</f>
        <v>1972</v>
      </c>
      <c r="E6214">
        <f>IFERROR(__xludf.DUMMYFUNCTION("""COMPUTED_VALUE"""),4298091.0)</f>
        <v>4298091</v>
      </c>
    </row>
    <row r="6215">
      <c r="A6215" t="str">
        <f t="shared" si="1"/>
        <v>gin#1973</v>
      </c>
      <c r="B6215" t="str">
        <f>IFERROR(__xludf.DUMMYFUNCTION("""COMPUTED_VALUE"""),"gin")</f>
        <v>gin</v>
      </c>
      <c r="C6215" t="str">
        <f>IFERROR(__xludf.DUMMYFUNCTION("""COMPUTED_VALUE"""),"Guinea")</f>
        <v>Guinea</v>
      </c>
      <c r="D6215">
        <f>IFERROR(__xludf.DUMMYFUNCTION("""COMPUTED_VALUE"""),1973.0)</f>
        <v>1973</v>
      </c>
      <c r="E6215">
        <f>IFERROR(__xludf.DUMMYFUNCTION("""COMPUTED_VALUE"""),4324360.0)</f>
        <v>4324360</v>
      </c>
    </row>
    <row r="6216">
      <c r="A6216" t="str">
        <f t="shared" si="1"/>
        <v>gin#1974</v>
      </c>
      <c r="B6216" t="str">
        <f>IFERROR(__xludf.DUMMYFUNCTION("""COMPUTED_VALUE"""),"gin")</f>
        <v>gin</v>
      </c>
      <c r="C6216" t="str">
        <f>IFERROR(__xludf.DUMMYFUNCTION("""COMPUTED_VALUE"""),"Guinea")</f>
        <v>Guinea</v>
      </c>
      <c r="D6216">
        <f>IFERROR(__xludf.DUMMYFUNCTION("""COMPUTED_VALUE"""),1974.0)</f>
        <v>1974</v>
      </c>
      <c r="E6216">
        <f>IFERROR(__xludf.DUMMYFUNCTION("""COMPUTED_VALUE"""),4345545.0)</f>
        <v>4345545</v>
      </c>
    </row>
    <row r="6217">
      <c r="A6217" t="str">
        <f t="shared" si="1"/>
        <v>gin#1975</v>
      </c>
      <c r="B6217" t="str">
        <f>IFERROR(__xludf.DUMMYFUNCTION("""COMPUTED_VALUE"""),"gin")</f>
        <v>gin</v>
      </c>
      <c r="C6217" t="str">
        <f>IFERROR(__xludf.DUMMYFUNCTION("""COMPUTED_VALUE"""),"Guinea")</f>
        <v>Guinea</v>
      </c>
      <c r="D6217">
        <f>IFERROR(__xludf.DUMMYFUNCTION("""COMPUTED_VALUE"""),1975.0)</f>
        <v>1975</v>
      </c>
      <c r="E6217">
        <f>IFERROR(__xludf.DUMMYFUNCTION("""COMPUTED_VALUE"""),4364514.0)</f>
        <v>4364514</v>
      </c>
    </row>
    <row r="6218">
      <c r="A6218" t="str">
        <f t="shared" si="1"/>
        <v>gin#1976</v>
      </c>
      <c r="B6218" t="str">
        <f>IFERROR(__xludf.DUMMYFUNCTION("""COMPUTED_VALUE"""),"gin")</f>
        <v>gin</v>
      </c>
      <c r="C6218" t="str">
        <f>IFERROR(__xludf.DUMMYFUNCTION("""COMPUTED_VALUE"""),"Guinea")</f>
        <v>Guinea</v>
      </c>
      <c r="D6218">
        <f>IFERROR(__xludf.DUMMYFUNCTION("""COMPUTED_VALUE"""),1976.0)</f>
        <v>1976</v>
      </c>
      <c r="E6218">
        <f>IFERROR(__xludf.DUMMYFUNCTION("""COMPUTED_VALUE"""),4381601.0)</f>
        <v>4381601</v>
      </c>
    </row>
    <row r="6219">
      <c r="A6219" t="str">
        <f t="shared" si="1"/>
        <v>gin#1977</v>
      </c>
      <c r="B6219" t="str">
        <f>IFERROR(__xludf.DUMMYFUNCTION("""COMPUTED_VALUE"""),"gin")</f>
        <v>gin</v>
      </c>
      <c r="C6219" t="str">
        <f>IFERROR(__xludf.DUMMYFUNCTION("""COMPUTED_VALUE"""),"Guinea")</f>
        <v>Guinea</v>
      </c>
      <c r="D6219">
        <f>IFERROR(__xludf.DUMMYFUNCTION("""COMPUTED_VALUE"""),1977.0)</f>
        <v>1977</v>
      </c>
      <c r="E6219">
        <f>IFERROR(__xludf.DUMMYFUNCTION("""COMPUTED_VALUE"""),4398484.0)</f>
        <v>4398484</v>
      </c>
    </row>
    <row r="6220">
      <c r="A6220" t="str">
        <f t="shared" si="1"/>
        <v>gin#1978</v>
      </c>
      <c r="B6220" t="str">
        <f>IFERROR(__xludf.DUMMYFUNCTION("""COMPUTED_VALUE"""),"gin")</f>
        <v>gin</v>
      </c>
      <c r="C6220" t="str">
        <f>IFERROR(__xludf.DUMMYFUNCTION("""COMPUTED_VALUE"""),"Guinea")</f>
        <v>Guinea</v>
      </c>
      <c r="D6220">
        <f>IFERROR(__xludf.DUMMYFUNCTION("""COMPUTED_VALUE"""),1978.0)</f>
        <v>1978</v>
      </c>
      <c r="E6220">
        <f>IFERROR(__xludf.DUMMYFUNCTION("""COMPUTED_VALUE"""),4421134.0)</f>
        <v>4421134</v>
      </c>
    </row>
    <row r="6221">
      <c r="A6221" t="str">
        <f t="shared" si="1"/>
        <v>gin#1979</v>
      </c>
      <c r="B6221" t="str">
        <f>IFERROR(__xludf.DUMMYFUNCTION("""COMPUTED_VALUE"""),"gin")</f>
        <v>gin</v>
      </c>
      <c r="C6221" t="str">
        <f>IFERROR(__xludf.DUMMYFUNCTION("""COMPUTED_VALUE"""),"Guinea")</f>
        <v>Guinea</v>
      </c>
      <c r="D6221">
        <f>IFERROR(__xludf.DUMMYFUNCTION("""COMPUTED_VALUE"""),1979.0)</f>
        <v>1979</v>
      </c>
      <c r="E6221">
        <f>IFERROR(__xludf.DUMMYFUNCTION("""COMPUTED_VALUE"""),4457078.0)</f>
        <v>4457078</v>
      </c>
    </row>
    <row r="6222">
      <c r="A6222" t="str">
        <f t="shared" si="1"/>
        <v>gin#1980</v>
      </c>
      <c r="B6222" t="str">
        <f>IFERROR(__xludf.DUMMYFUNCTION("""COMPUTED_VALUE"""),"gin")</f>
        <v>gin</v>
      </c>
      <c r="C6222" t="str">
        <f>IFERROR(__xludf.DUMMYFUNCTION("""COMPUTED_VALUE"""),"Guinea")</f>
        <v>Guinea</v>
      </c>
      <c r="D6222">
        <f>IFERROR(__xludf.DUMMYFUNCTION("""COMPUTED_VALUE"""),1980.0)</f>
        <v>1980</v>
      </c>
      <c r="E6222">
        <f>IFERROR(__xludf.DUMMYFUNCTION("""COMPUTED_VALUE"""),4511902.0)</f>
        <v>4511902</v>
      </c>
    </row>
    <row r="6223">
      <c r="A6223" t="str">
        <f t="shared" si="1"/>
        <v>gin#1981</v>
      </c>
      <c r="B6223" t="str">
        <f>IFERROR(__xludf.DUMMYFUNCTION("""COMPUTED_VALUE"""),"gin")</f>
        <v>gin</v>
      </c>
      <c r="C6223" t="str">
        <f>IFERROR(__xludf.DUMMYFUNCTION("""COMPUTED_VALUE"""),"Guinea")</f>
        <v>Guinea</v>
      </c>
      <c r="D6223">
        <f>IFERROR(__xludf.DUMMYFUNCTION("""COMPUTED_VALUE"""),1981.0)</f>
        <v>1981</v>
      </c>
      <c r="E6223">
        <f>IFERROR(__xludf.DUMMYFUNCTION("""COMPUTED_VALUE"""),4589784.0)</f>
        <v>4589784</v>
      </c>
    </row>
    <row r="6224">
      <c r="A6224" t="str">
        <f t="shared" si="1"/>
        <v>gin#1982</v>
      </c>
      <c r="B6224" t="str">
        <f>IFERROR(__xludf.DUMMYFUNCTION("""COMPUTED_VALUE"""),"gin")</f>
        <v>gin</v>
      </c>
      <c r="C6224" t="str">
        <f>IFERROR(__xludf.DUMMYFUNCTION("""COMPUTED_VALUE"""),"Guinea")</f>
        <v>Guinea</v>
      </c>
      <c r="D6224">
        <f>IFERROR(__xludf.DUMMYFUNCTION("""COMPUTED_VALUE"""),1982.0)</f>
        <v>1982</v>
      </c>
      <c r="E6224">
        <f>IFERROR(__xludf.DUMMYFUNCTION("""COMPUTED_VALUE"""),4690605.0)</f>
        <v>4690605</v>
      </c>
    </row>
    <row r="6225">
      <c r="A6225" t="str">
        <f t="shared" si="1"/>
        <v>gin#1983</v>
      </c>
      <c r="B6225" t="str">
        <f>IFERROR(__xludf.DUMMYFUNCTION("""COMPUTED_VALUE"""),"gin")</f>
        <v>gin</v>
      </c>
      <c r="C6225" t="str">
        <f>IFERROR(__xludf.DUMMYFUNCTION("""COMPUTED_VALUE"""),"Guinea")</f>
        <v>Guinea</v>
      </c>
      <c r="D6225">
        <f>IFERROR(__xludf.DUMMYFUNCTION("""COMPUTED_VALUE"""),1983.0)</f>
        <v>1983</v>
      </c>
      <c r="E6225">
        <f>IFERROR(__xludf.DUMMYFUNCTION("""COMPUTED_VALUE"""),4810496.0)</f>
        <v>4810496</v>
      </c>
    </row>
    <row r="6226">
      <c r="A6226" t="str">
        <f t="shared" si="1"/>
        <v>gin#1984</v>
      </c>
      <c r="B6226" t="str">
        <f>IFERROR(__xludf.DUMMYFUNCTION("""COMPUTED_VALUE"""),"gin")</f>
        <v>gin</v>
      </c>
      <c r="C6226" t="str">
        <f>IFERROR(__xludf.DUMMYFUNCTION("""COMPUTED_VALUE"""),"Guinea")</f>
        <v>Guinea</v>
      </c>
      <c r="D6226">
        <f>IFERROR(__xludf.DUMMYFUNCTION("""COMPUTED_VALUE"""),1984.0)</f>
        <v>1984</v>
      </c>
      <c r="E6226">
        <f>IFERROR(__xludf.DUMMYFUNCTION("""COMPUTED_VALUE"""),4943144.0)</f>
        <v>4943144</v>
      </c>
    </row>
    <row r="6227">
      <c r="A6227" t="str">
        <f t="shared" si="1"/>
        <v>gin#1985</v>
      </c>
      <c r="B6227" t="str">
        <f>IFERROR(__xludf.DUMMYFUNCTION("""COMPUTED_VALUE"""),"gin")</f>
        <v>gin</v>
      </c>
      <c r="C6227" t="str">
        <f>IFERROR(__xludf.DUMMYFUNCTION("""COMPUTED_VALUE"""),"Guinea")</f>
        <v>Guinea</v>
      </c>
      <c r="D6227">
        <f>IFERROR(__xludf.DUMMYFUNCTION("""COMPUTED_VALUE"""),1985.0)</f>
        <v>1985</v>
      </c>
      <c r="E6227">
        <f>IFERROR(__xludf.DUMMYFUNCTION("""COMPUTED_VALUE"""),5084767.0)</f>
        <v>5084767</v>
      </c>
    </row>
    <row r="6228">
      <c r="A6228" t="str">
        <f t="shared" si="1"/>
        <v>gin#1986</v>
      </c>
      <c r="B6228" t="str">
        <f>IFERROR(__xludf.DUMMYFUNCTION("""COMPUTED_VALUE"""),"gin")</f>
        <v>gin</v>
      </c>
      <c r="C6228" t="str">
        <f>IFERROR(__xludf.DUMMYFUNCTION("""COMPUTED_VALUE"""),"Guinea")</f>
        <v>Guinea</v>
      </c>
      <c r="D6228">
        <f>IFERROR(__xludf.DUMMYFUNCTION("""COMPUTED_VALUE"""),1986.0)</f>
        <v>1986</v>
      </c>
      <c r="E6228">
        <f>IFERROR(__xludf.DUMMYFUNCTION("""COMPUTED_VALUE"""),5229797.0)</f>
        <v>5229797</v>
      </c>
    </row>
    <row r="6229">
      <c r="A6229" t="str">
        <f t="shared" si="1"/>
        <v>gin#1987</v>
      </c>
      <c r="B6229" t="str">
        <f>IFERROR(__xludf.DUMMYFUNCTION("""COMPUTED_VALUE"""),"gin")</f>
        <v>gin</v>
      </c>
      <c r="C6229" t="str">
        <f>IFERROR(__xludf.DUMMYFUNCTION("""COMPUTED_VALUE"""),"Guinea")</f>
        <v>Guinea</v>
      </c>
      <c r="D6229">
        <f>IFERROR(__xludf.DUMMYFUNCTION("""COMPUTED_VALUE"""),1987.0)</f>
        <v>1987</v>
      </c>
      <c r="E6229">
        <f>IFERROR(__xludf.DUMMYFUNCTION("""COMPUTED_VALUE"""),5381483.0)</f>
        <v>5381483</v>
      </c>
    </row>
    <row r="6230">
      <c r="A6230" t="str">
        <f t="shared" si="1"/>
        <v>gin#1988</v>
      </c>
      <c r="B6230" t="str">
        <f>IFERROR(__xludf.DUMMYFUNCTION("""COMPUTED_VALUE"""),"gin")</f>
        <v>gin</v>
      </c>
      <c r="C6230" t="str">
        <f>IFERROR(__xludf.DUMMYFUNCTION("""COMPUTED_VALUE"""),"Guinea")</f>
        <v>Guinea</v>
      </c>
      <c r="D6230">
        <f>IFERROR(__xludf.DUMMYFUNCTION("""COMPUTED_VALUE"""),1988.0)</f>
        <v>1988</v>
      </c>
      <c r="E6230">
        <f>IFERROR(__xludf.DUMMYFUNCTION("""COMPUTED_VALUE"""),5554882.0)</f>
        <v>5554882</v>
      </c>
    </row>
    <row r="6231">
      <c r="A6231" t="str">
        <f t="shared" si="1"/>
        <v>gin#1989</v>
      </c>
      <c r="B6231" t="str">
        <f>IFERROR(__xludf.DUMMYFUNCTION("""COMPUTED_VALUE"""),"gin")</f>
        <v>gin</v>
      </c>
      <c r="C6231" t="str">
        <f>IFERROR(__xludf.DUMMYFUNCTION("""COMPUTED_VALUE"""),"Guinea")</f>
        <v>Guinea</v>
      </c>
      <c r="D6231">
        <f>IFERROR(__xludf.DUMMYFUNCTION("""COMPUTED_VALUE"""),1989.0)</f>
        <v>1989</v>
      </c>
      <c r="E6231">
        <f>IFERROR(__xludf.DUMMYFUNCTION("""COMPUTED_VALUE"""),5770652.0)</f>
        <v>5770652</v>
      </c>
    </row>
    <row r="6232">
      <c r="A6232" t="str">
        <f t="shared" si="1"/>
        <v>gin#1990</v>
      </c>
      <c r="B6232" t="str">
        <f>IFERROR(__xludf.DUMMYFUNCTION("""COMPUTED_VALUE"""),"gin")</f>
        <v>gin</v>
      </c>
      <c r="C6232" t="str">
        <f>IFERROR(__xludf.DUMMYFUNCTION("""COMPUTED_VALUE"""),"Guinea")</f>
        <v>Guinea</v>
      </c>
      <c r="D6232">
        <f>IFERROR(__xludf.DUMMYFUNCTION("""COMPUTED_VALUE"""),1990.0)</f>
        <v>1990</v>
      </c>
      <c r="E6232">
        <f>IFERROR(__xludf.DUMMYFUNCTION("""COMPUTED_VALUE"""),6041094.0)</f>
        <v>6041094</v>
      </c>
    </row>
    <row r="6233">
      <c r="A6233" t="str">
        <f t="shared" si="1"/>
        <v>gin#1991</v>
      </c>
      <c r="B6233" t="str">
        <f>IFERROR(__xludf.DUMMYFUNCTION("""COMPUTED_VALUE"""),"gin")</f>
        <v>gin</v>
      </c>
      <c r="C6233" t="str">
        <f>IFERROR(__xludf.DUMMYFUNCTION("""COMPUTED_VALUE"""),"Guinea")</f>
        <v>Guinea</v>
      </c>
      <c r="D6233">
        <f>IFERROR(__xludf.DUMMYFUNCTION("""COMPUTED_VALUE"""),1991.0)</f>
        <v>1991</v>
      </c>
      <c r="E6233">
        <f>IFERROR(__xludf.DUMMYFUNCTION("""COMPUTED_VALUE"""),6374329.0)</f>
        <v>6374329</v>
      </c>
    </row>
    <row r="6234">
      <c r="A6234" t="str">
        <f t="shared" si="1"/>
        <v>gin#1992</v>
      </c>
      <c r="B6234" t="str">
        <f>IFERROR(__xludf.DUMMYFUNCTION("""COMPUTED_VALUE"""),"gin")</f>
        <v>gin</v>
      </c>
      <c r="C6234" t="str">
        <f>IFERROR(__xludf.DUMMYFUNCTION("""COMPUTED_VALUE"""),"Guinea")</f>
        <v>Guinea</v>
      </c>
      <c r="D6234">
        <f>IFERROR(__xludf.DUMMYFUNCTION("""COMPUTED_VALUE"""),1992.0)</f>
        <v>1992</v>
      </c>
      <c r="E6234">
        <f>IFERROR(__xludf.DUMMYFUNCTION("""COMPUTED_VALUE"""),6758838.0)</f>
        <v>6758838</v>
      </c>
    </row>
    <row r="6235">
      <c r="A6235" t="str">
        <f t="shared" si="1"/>
        <v>gin#1993</v>
      </c>
      <c r="B6235" t="str">
        <f>IFERROR(__xludf.DUMMYFUNCTION("""COMPUTED_VALUE"""),"gin")</f>
        <v>gin</v>
      </c>
      <c r="C6235" t="str">
        <f>IFERROR(__xludf.DUMMYFUNCTION("""COMPUTED_VALUE"""),"Guinea")</f>
        <v>Guinea</v>
      </c>
      <c r="D6235">
        <f>IFERROR(__xludf.DUMMYFUNCTION("""COMPUTED_VALUE"""),1993.0)</f>
        <v>1993</v>
      </c>
      <c r="E6235">
        <f>IFERROR(__xludf.DUMMYFUNCTION("""COMPUTED_VALUE"""),7163236.0)</f>
        <v>7163236</v>
      </c>
    </row>
    <row r="6236">
      <c r="A6236" t="str">
        <f t="shared" si="1"/>
        <v>gin#1994</v>
      </c>
      <c r="B6236" t="str">
        <f>IFERROR(__xludf.DUMMYFUNCTION("""COMPUTED_VALUE"""),"gin")</f>
        <v>gin</v>
      </c>
      <c r="C6236" t="str">
        <f>IFERROR(__xludf.DUMMYFUNCTION("""COMPUTED_VALUE"""),"Guinea")</f>
        <v>Guinea</v>
      </c>
      <c r="D6236">
        <f>IFERROR(__xludf.DUMMYFUNCTION("""COMPUTED_VALUE"""),1994.0)</f>
        <v>1994</v>
      </c>
      <c r="E6236">
        <f>IFERROR(__xludf.DUMMYFUNCTION("""COMPUTED_VALUE"""),7544291.0)</f>
        <v>7544291</v>
      </c>
    </row>
    <row r="6237">
      <c r="A6237" t="str">
        <f t="shared" si="1"/>
        <v>gin#1995</v>
      </c>
      <c r="B6237" t="str">
        <f>IFERROR(__xludf.DUMMYFUNCTION("""COMPUTED_VALUE"""),"gin")</f>
        <v>gin</v>
      </c>
      <c r="C6237" t="str">
        <f>IFERROR(__xludf.DUMMYFUNCTION("""COMPUTED_VALUE"""),"Guinea")</f>
        <v>Guinea</v>
      </c>
      <c r="D6237">
        <f>IFERROR(__xludf.DUMMYFUNCTION("""COMPUTED_VALUE"""),1995.0)</f>
        <v>1995</v>
      </c>
      <c r="E6237">
        <f>IFERROR(__xludf.DUMMYFUNCTION("""COMPUTED_VALUE"""),7871173.0)</f>
        <v>7871173</v>
      </c>
    </row>
    <row r="6238">
      <c r="A6238" t="str">
        <f t="shared" si="1"/>
        <v>gin#1996</v>
      </c>
      <c r="B6238" t="str">
        <f>IFERROR(__xludf.DUMMYFUNCTION("""COMPUTED_VALUE"""),"gin")</f>
        <v>gin</v>
      </c>
      <c r="C6238" t="str">
        <f>IFERROR(__xludf.DUMMYFUNCTION("""COMPUTED_VALUE"""),"Guinea")</f>
        <v>Guinea</v>
      </c>
      <c r="D6238">
        <f>IFERROR(__xludf.DUMMYFUNCTION("""COMPUTED_VALUE"""),1996.0)</f>
        <v>1996</v>
      </c>
      <c r="E6238">
        <f>IFERROR(__xludf.DUMMYFUNCTION("""COMPUTED_VALUE"""),8132552.0)</f>
        <v>8132552</v>
      </c>
    </row>
    <row r="6239">
      <c r="A6239" t="str">
        <f t="shared" si="1"/>
        <v>gin#1997</v>
      </c>
      <c r="B6239" t="str">
        <f>IFERROR(__xludf.DUMMYFUNCTION("""COMPUTED_VALUE"""),"gin")</f>
        <v>gin</v>
      </c>
      <c r="C6239" t="str">
        <f>IFERROR(__xludf.DUMMYFUNCTION("""COMPUTED_VALUE"""),"Guinea")</f>
        <v>Guinea</v>
      </c>
      <c r="D6239">
        <f>IFERROR(__xludf.DUMMYFUNCTION("""COMPUTED_VALUE"""),1997.0)</f>
        <v>1997</v>
      </c>
      <c r="E6239">
        <f>IFERROR(__xludf.DUMMYFUNCTION("""COMPUTED_VALUE"""),8337988.0)</f>
        <v>8337988</v>
      </c>
    </row>
    <row r="6240">
      <c r="A6240" t="str">
        <f t="shared" si="1"/>
        <v>gin#1998</v>
      </c>
      <c r="B6240" t="str">
        <f>IFERROR(__xludf.DUMMYFUNCTION("""COMPUTED_VALUE"""),"gin")</f>
        <v>gin</v>
      </c>
      <c r="C6240" t="str">
        <f>IFERROR(__xludf.DUMMYFUNCTION("""COMPUTED_VALUE"""),"Guinea")</f>
        <v>Guinea</v>
      </c>
      <c r="D6240">
        <f>IFERROR(__xludf.DUMMYFUNCTION("""COMPUTED_VALUE"""),1998.0)</f>
        <v>1998</v>
      </c>
      <c r="E6240">
        <f>IFERROR(__xludf.DUMMYFUNCTION("""COMPUTED_VALUE"""),8503297.0)</f>
        <v>8503297</v>
      </c>
    </row>
    <row r="6241">
      <c r="A6241" t="str">
        <f t="shared" si="1"/>
        <v>gin#1999</v>
      </c>
      <c r="B6241" t="str">
        <f>IFERROR(__xludf.DUMMYFUNCTION("""COMPUTED_VALUE"""),"gin")</f>
        <v>gin</v>
      </c>
      <c r="C6241" t="str">
        <f>IFERROR(__xludf.DUMMYFUNCTION("""COMPUTED_VALUE"""),"Guinea")</f>
        <v>Guinea</v>
      </c>
      <c r="D6241">
        <f>IFERROR(__xludf.DUMMYFUNCTION("""COMPUTED_VALUE"""),1999.0)</f>
        <v>1999</v>
      </c>
      <c r="E6241">
        <f>IFERROR(__xludf.DUMMYFUNCTION("""COMPUTED_VALUE"""),8653769.0)</f>
        <v>8653769</v>
      </c>
    </row>
    <row r="6242">
      <c r="A6242" t="str">
        <f t="shared" si="1"/>
        <v>gin#2000</v>
      </c>
      <c r="B6242" t="str">
        <f>IFERROR(__xludf.DUMMYFUNCTION("""COMPUTED_VALUE"""),"gin")</f>
        <v>gin</v>
      </c>
      <c r="C6242" t="str">
        <f>IFERROR(__xludf.DUMMYFUNCTION("""COMPUTED_VALUE"""),"Guinea")</f>
        <v>Guinea</v>
      </c>
      <c r="D6242">
        <f>IFERROR(__xludf.DUMMYFUNCTION("""COMPUTED_VALUE"""),2000.0)</f>
        <v>2000</v>
      </c>
      <c r="E6242">
        <f>IFERROR(__xludf.DUMMYFUNCTION("""COMPUTED_VALUE"""),8808546.0)</f>
        <v>8808546</v>
      </c>
    </row>
    <row r="6243">
      <c r="A6243" t="str">
        <f t="shared" si="1"/>
        <v>gin#2001</v>
      </c>
      <c r="B6243" t="str">
        <f>IFERROR(__xludf.DUMMYFUNCTION("""COMPUTED_VALUE"""),"gin")</f>
        <v>gin</v>
      </c>
      <c r="C6243" t="str">
        <f>IFERROR(__xludf.DUMMYFUNCTION("""COMPUTED_VALUE"""),"Guinea")</f>
        <v>Guinea</v>
      </c>
      <c r="D6243">
        <f>IFERROR(__xludf.DUMMYFUNCTION("""COMPUTED_VALUE"""),2001.0)</f>
        <v>2001</v>
      </c>
      <c r="E6243">
        <f>IFERROR(__xludf.DUMMYFUNCTION("""COMPUTED_VALUE"""),8971139.0)</f>
        <v>8971139</v>
      </c>
    </row>
    <row r="6244">
      <c r="A6244" t="str">
        <f t="shared" si="1"/>
        <v>gin#2002</v>
      </c>
      <c r="B6244" t="str">
        <f>IFERROR(__xludf.DUMMYFUNCTION("""COMPUTED_VALUE"""),"gin")</f>
        <v>gin</v>
      </c>
      <c r="C6244" t="str">
        <f>IFERROR(__xludf.DUMMYFUNCTION("""COMPUTED_VALUE"""),"Guinea")</f>
        <v>Guinea</v>
      </c>
      <c r="D6244">
        <f>IFERROR(__xludf.DUMMYFUNCTION("""COMPUTED_VALUE"""),2002.0)</f>
        <v>2002</v>
      </c>
      <c r="E6244">
        <f>IFERROR(__xludf.DUMMYFUNCTION("""COMPUTED_VALUE"""),9137345.0)</f>
        <v>9137345</v>
      </c>
    </row>
    <row r="6245">
      <c r="A6245" t="str">
        <f t="shared" si="1"/>
        <v>gin#2003</v>
      </c>
      <c r="B6245" t="str">
        <f>IFERROR(__xludf.DUMMYFUNCTION("""COMPUTED_VALUE"""),"gin")</f>
        <v>gin</v>
      </c>
      <c r="C6245" t="str">
        <f>IFERROR(__xludf.DUMMYFUNCTION("""COMPUTED_VALUE"""),"Guinea")</f>
        <v>Guinea</v>
      </c>
      <c r="D6245">
        <f>IFERROR(__xludf.DUMMYFUNCTION("""COMPUTED_VALUE"""),2003.0)</f>
        <v>2003</v>
      </c>
      <c r="E6245">
        <f>IFERROR(__xludf.DUMMYFUNCTION("""COMPUTED_VALUE"""),9309848.0)</f>
        <v>9309848</v>
      </c>
    </row>
    <row r="6246">
      <c r="A6246" t="str">
        <f t="shared" si="1"/>
        <v>gin#2004</v>
      </c>
      <c r="B6246" t="str">
        <f>IFERROR(__xludf.DUMMYFUNCTION("""COMPUTED_VALUE"""),"gin")</f>
        <v>gin</v>
      </c>
      <c r="C6246" t="str">
        <f>IFERROR(__xludf.DUMMYFUNCTION("""COMPUTED_VALUE"""),"Guinea")</f>
        <v>Guinea</v>
      </c>
      <c r="D6246">
        <f>IFERROR(__xludf.DUMMYFUNCTION("""COMPUTED_VALUE"""),2004.0)</f>
        <v>2004</v>
      </c>
      <c r="E6246">
        <f>IFERROR(__xludf.DUMMYFUNCTION("""COMPUTED_VALUE"""),9490229.0)</f>
        <v>9490229</v>
      </c>
    </row>
    <row r="6247">
      <c r="A6247" t="str">
        <f t="shared" si="1"/>
        <v>gin#2005</v>
      </c>
      <c r="B6247" t="str">
        <f>IFERROR(__xludf.DUMMYFUNCTION("""COMPUTED_VALUE"""),"gin")</f>
        <v>gin</v>
      </c>
      <c r="C6247" t="str">
        <f>IFERROR(__xludf.DUMMYFUNCTION("""COMPUTED_VALUE"""),"Guinea")</f>
        <v>Guinea</v>
      </c>
      <c r="D6247">
        <f>IFERROR(__xludf.DUMMYFUNCTION("""COMPUTED_VALUE"""),2005.0)</f>
        <v>2005</v>
      </c>
      <c r="E6247">
        <f>IFERROR(__xludf.DUMMYFUNCTION("""COMPUTED_VALUE"""),9679745.0)</f>
        <v>9679745</v>
      </c>
    </row>
    <row r="6248">
      <c r="A6248" t="str">
        <f t="shared" si="1"/>
        <v>gin#2006</v>
      </c>
      <c r="B6248" t="str">
        <f>IFERROR(__xludf.DUMMYFUNCTION("""COMPUTED_VALUE"""),"gin")</f>
        <v>gin</v>
      </c>
      <c r="C6248" t="str">
        <f>IFERROR(__xludf.DUMMYFUNCTION("""COMPUTED_VALUE"""),"Guinea")</f>
        <v>Guinea</v>
      </c>
      <c r="D6248">
        <f>IFERROR(__xludf.DUMMYFUNCTION("""COMPUTED_VALUE"""),2006.0)</f>
        <v>2006</v>
      </c>
      <c r="E6248">
        <f>IFERROR(__xludf.DUMMYFUNCTION("""COMPUTED_VALUE"""),9881428.0)</f>
        <v>9881428</v>
      </c>
    </row>
    <row r="6249">
      <c r="A6249" t="str">
        <f t="shared" si="1"/>
        <v>gin#2007</v>
      </c>
      <c r="B6249" t="str">
        <f>IFERROR(__xludf.DUMMYFUNCTION("""COMPUTED_VALUE"""),"gin")</f>
        <v>gin</v>
      </c>
      <c r="C6249" t="str">
        <f>IFERROR(__xludf.DUMMYFUNCTION("""COMPUTED_VALUE"""),"Guinea")</f>
        <v>Guinea</v>
      </c>
      <c r="D6249">
        <f>IFERROR(__xludf.DUMMYFUNCTION("""COMPUTED_VALUE"""),2007.0)</f>
        <v>2007</v>
      </c>
      <c r="E6249">
        <f>IFERROR(__xludf.DUMMYFUNCTION("""COMPUTED_VALUE"""),1.0096727E7)</f>
        <v>10096727</v>
      </c>
    </row>
    <row r="6250">
      <c r="A6250" t="str">
        <f t="shared" si="1"/>
        <v>gin#2008</v>
      </c>
      <c r="B6250" t="str">
        <f>IFERROR(__xludf.DUMMYFUNCTION("""COMPUTED_VALUE"""),"gin")</f>
        <v>gin</v>
      </c>
      <c r="C6250" t="str">
        <f>IFERROR(__xludf.DUMMYFUNCTION("""COMPUTED_VALUE"""),"Guinea")</f>
        <v>Guinea</v>
      </c>
      <c r="D6250">
        <f>IFERROR(__xludf.DUMMYFUNCTION("""COMPUTED_VALUE"""),2008.0)</f>
        <v>2008</v>
      </c>
      <c r="E6250">
        <f>IFERROR(__xludf.DUMMYFUNCTION("""COMPUTED_VALUE"""),1.0323142E7)</f>
        <v>10323142</v>
      </c>
    </row>
    <row r="6251">
      <c r="A6251" t="str">
        <f t="shared" si="1"/>
        <v>gin#2009</v>
      </c>
      <c r="B6251" t="str">
        <f>IFERROR(__xludf.DUMMYFUNCTION("""COMPUTED_VALUE"""),"gin")</f>
        <v>gin</v>
      </c>
      <c r="C6251" t="str">
        <f>IFERROR(__xludf.DUMMYFUNCTION("""COMPUTED_VALUE"""),"Guinea")</f>
        <v>Guinea</v>
      </c>
      <c r="D6251">
        <f>IFERROR(__xludf.DUMMYFUNCTION("""COMPUTED_VALUE"""),2009.0)</f>
        <v>2009</v>
      </c>
      <c r="E6251">
        <f>IFERROR(__xludf.DUMMYFUNCTION("""COMPUTED_VALUE"""),1.0556524E7)</f>
        <v>10556524</v>
      </c>
    </row>
    <row r="6252">
      <c r="A6252" t="str">
        <f t="shared" si="1"/>
        <v>gin#2010</v>
      </c>
      <c r="B6252" t="str">
        <f>IFERROR(__xludf.DUMMYFUNCTION("""COMPUTED_VALUE"""),"gin")</f>
        <v>gin</v>
      </c>
      <c r="C6252" t="str">
        <f>IFERROR(__xludf.DUMMYFUNCTION("""COMPUTED_VALUE"""),"Guinea")</f>
        <v>Guinea</v>
      </c>
      <c r="D6252">
        <f>IFERROR(__xludf.DUMMYFUNCTION("""COMPUTED_VALUE"""),2010.0)</f>
        <v>2010</v>
      </c>
      <c r="E6252">
        <f>IFERROR(__xludf.DUMMYFUNCTION("""COMPUTED_VALUE"""),1.079417E7)</f>
        <v>10794170</v>
      </c>
    </row>
    <row r="6253">
      <c r="A6253" t="str">
        <f t="shared" si="1"/>
        <v>gin#2011</v>
      </c>
      <c r="B6253" t="str">
        <f>IFERROR(__xludf.DUMMYFUNCTION("""COMPUTED_VALUE"""),"gin")</f>
        <v>gin</v>
      </c>
      <c r="C6253" t="str">
        <f>IFERROR(__xludf.DUMMYFUNCTION("""COMPUTED_VALUE"""),"Guinea")</f>
        <v>Guinea</v>
      </c>
      <c r="D6253">
        <f>IFERROR(__xludf.DUMMYFUNCTION("""COMPUTED_VALUE"""),2011.0)</f>
        <v>2011</v>
      </c>
      <c r="E6253">
        <f>IFERROR(__xludf.DUMMYFUNCTION("""COMPUTED_VALUE"""),1.103517E7)</f>
        <v>11035170</v>
      </c>
    </row>
    <row r="6254">
      <c r="A6254" t="str">
        <f t="shared" si="1"/>
        <v>gin#2012</v>
      </c>
      <c r="B6254" t="str">
        <f>IFERROR(__xludf.DUMMYFUNCTION("""COMPUTED_VALUE"""),"gin")</f>
        <v>gin</v>
      </c>
      <c r="C6254" t="str">
        <f>IFERROR(__xludf.DUMMYFUNCTION("""COMPUTED_VALUE"""),"Guinea")</f>
        <v>Guinea</v>
      </c>
      <c r="D6254">
        <f>IFERROR(__xludf.DUMMYFUNCTION("""COMPUTED_VALUE"""),2012.0)</f>
        <v>2012</v>
      </c>
      <c r="E6254">
        <f>IFERROR(__xludf.DUMMYFUNCTION("""COMPUTED_VALUE"""),1.1281469E7)</f>
        <v>11281469</v>
      </c>
    </row>
    <row r="6255">
      <c r="A6255" t="str">
        <f t="shared" si="1"/>
        <v>gin#2013</v>
      </c>
      <c r="B6255" t="str">
        <f>IFERROR(__xludf.DUMMYFUNCTION("""COMPUTED_VALUE"""),"gin")</f>
        <v>gin</v>
      </c>
      <c r="C6255" t="str">
        <f>IFERROR(__xludf.DUMMYFUNCTION("""COMPUTED_VALUE"""),"Guinea")</f>
        <v>Guinea</v>
      </c>
      <c r="D6255">
        <f>IFERROR(__xludf.DUMMYFUNCTION("""COMPUTED_VALUE"""),2013.0)</f>
        <v>2013</v>
      </c>
      <c r="E6255">
        <f>IFERROR(__xludf.DUMMYFUNCTION("""COMPUTED_VALUE"""),1.1536615E7)</f>
        <v>11536615</v>
      </c>
    </row>
    <row r="6256">
      <c r="A6256" t="str">
        <f t="shared" si="1"/>
        <v>gin#2014</v>
      </c>
      <c r="B6256" t="str">
        <f>IFERROR(__xludf.DUMMYFUNCTION("""COMPUTED_VALUE"""),"gin")</f>
        <v>gin</v>
      </c>
      <c r="C6256" t="str">
        <f>IFERROR(__xludf.DUMMYFUNCTION("""COMPUTED_VALUE"""),"Guinea")</f>
        <v>Guinea</v>
      </c>
      <c r="D6256">
        <f>IFERROR(__xludf.DUMMYFUNCTION("""COMPUTED_VALUE"""),2014.0)</f>
        <v>2014</v>
      </c>
      <c r="E6256">
        <f>IFERROR(__xludf.DUMMYFUNCTION("""COMPUTED_VALUE"""),1.1805509E7)</f>
        <v>11805509</v>
      </c>
    </row>
    <row r="6257">
      <c r="A6257" t="str">
        <f t="shared" si="1"/>
        <v>gin#2015</v>
      </c>
      <c r="B6257" t="str">
        <f>IFERROR(__xludf.DUMMYFUNCTION("""COMPUTED_VALUE"""),"gin")</f>
        <v>gin</v>
      </c>
      <c r="C6257" t="str">
        <f>IFERROR(__xludf.DUMMYFUNCTION("""COMPUTED_VALUE"""),"Guinea")</f>
        <v>Guinea</v>
      </c>
      <c r="D6257">
        <f>IFERROR(__xludf.DUMMYFUNCTION("""COMPUTED_VALUE"""),2015.0)</f>
        <v>2015</v>
      </c>
      <c r="E6257">
        <f>IFERROR(__xludf.DUMMYFUNCTION("""COMPUTED_VALUE"""),1.2091533E7)</f>
        <v>12091533</v>
      </c>
    </row>
    <row r="6258">
      <c r="A6258" t="str">
        <f t="shared" si="1"/>
        <v>gin#2016</v>
      </c>
      <c r="B6258" t="str">
        <f>IFERROR(__xludf.DUMMYFUNCTION("""COMPUTED_VALUE"""),"gin")</f>
        <v>gin</v>
      </c>
      <c r="C6258" t="str">
        <f>IFERROR(__xludf.DUMMYFUNCTION("""COMPUTED_VALUE"""),"Guinea")</f>
        <v>Guinea</v>
      </c>
      <c r="D6258">
        <f>IFERROR(__xludf.DUMMYFUNCTION("""COMPUTED_VALUE"""),2016.0)</f>
        <v>2016</v>
      </c>
      <c r="E6258">
        <f>IFERROR(__xludf.DUMMYFUNCTION("""COMPUTED_VALUE"""),1.2395924E7)</f>
        <v>12395924</v>
      </c>
    </row>
    <row r="6259">
      <c r="A6259" t="str">
        <f t="shared" si="1"/>
        <v>gin#2017</v>
      </c>
      <c r="B6259" t="str">
        <f>IFERROR(__xludf.DUMMYFUNCTION("""COMPUTED_VALUE"""),"gin")</f>
        <v>gin</v>
      </c>
      <c r="C6259" t="str">
        <f>IFERROR(__xludf.DUMMYFUNCTION("""COMPUTED_VALUE"""),"Guinea")</f>
        <v>Guinea</v>
      </c>
      <c r="D6259">
        <f>IFERROR(__xludf.DUMMYFUNCTION("""COMPUTED_VALUE"""),2017.0)</f>
        <v>2017</v>
      </c>
      <c r="E6259">
        <f>IFERROR(__xludf.DUMMYFUNCTION("""COMPUTED_VALUE"""),1.2717176E7)</f>
        <v>12717176</v>
      </c>
    </row>
    <row r="6260">
      <c r="A6260" t="str">
        <f t="shared" si="1"/>
        <v>gin#2018</v>
      </c>
      <c r="B6260" t="str">
        <f>IFERROR(__xludf.DUMMYFUNCTION("""COMPUTED_VALUE"""),"gin")</f>
        <v>gin</v>
      </c>
      <c r="C6260" t="str">
        <f>IFERROR(__xludf.DUMMYFUNCTION("""COMPUTED_VALUE"""),"Guinea")</f>
        <v>Guinea</v>
      </c>
      <c r="D6260">
        <f>IFERROR(__xludf.DUMMYFUNCTION("""COMPUTED_VALUE"""),2018.0)</f>
        <v>2018</v>
      </c>
      <c r="E6260">
        <f>IFERROR(__xludf.DUMMYFUNCTION("""COMPUTED_VALUE"""),1.3052608E7)</f>
        <v>13052608</v>
      </c>
    </row>
    <row r="6261">
      <c r="A6261" t="str">
        <f t="shared" si="1"/>
        <v>gin#2019</v>
      </c>
      <c r="B6261" t="str">
        <f>IFERROR(__xludf.DUMMYFUNCTION("""COMPUTED_VALUE"""),"gin")</f>
        <v>gin</v>
      </c>
      <c r="C6261" t="str">
        <f>IFERROR(__xludf.DUMMYFUNCTION("""COMPUTED_VALUE"""),"Guinea")</f>
        <v>Guinea</v>
      </c>
      <c r="D6261">
        <f>IFERROR(__xludf.DUMMYFUNCTION("""COMPUTED_VALUE"""),2019.0)</f>
        <v>2019</v>
      </c>
      <c r="E6261">
        <f>IFERROR(__xludf.DUMMYFUNCTION("""COMPUTED_VALUE"""),1.339818E7)</f>
        <v>13398180</v>
      </c>
    </row>
    <row r="6262">
      <c r="A6262" t="str">
        <f t="shared" si="1"/>
        <v>gin#2020</v>
      </c>
      <c r="B6262" t="str">
        <f>IFERROR(__xludf.DUMMYFUNCTION("""COMPUTED_VALUE"""),"gin")</f>
        <v>gin</v>
      </c>
      <c r="C6262" t="str">
        <f>IFERROR(__xludf.DUMMYFUNCTION("""COMPUTED_VALUE"""),"Guinea")</f>
        <v>Guinea</v>
      </c>
      <c r="D6262">
        <f>IFERROR(__xludf.DUMMYFUNCTION("""COMPUTED_VALUE"""),2020.0)</f>
        <v>2020</v>
      </c>
      <c r="E6262">
        <f>IFERROR(__xludf.DUMMYFUNCTION("""COMPUTED_VALUE"""),1.3750826E7)</f>
        <v>13750826</v>
      </c>
    </row>
    <row r="6263">
      <c r="A6263" t="str">
        <f t="shared" si="1"/>
        <v>gin#2021</v>
      </c>
      <c r="B6263" t="str">
        <f>IFERROR(__xludf.DUMMYFUNCTION("""COMPUTED_VALUE"""),"gin")</f>
        <v>gin</v>
      </c>
      <c r="C6263" t="str">
        <f>IFERROR(__xludf.DUMMYFUNCTION("""COMPUTED_VALUE"""),"Guinea")</f>
        <v>Guinea</v>
      </c>
      <c r="D6263">
        <f>IFERROR(__xludf.DUMMYFUNCTION("""COMPUTED_VALUE"""),2021.0)</f>
        <v>2021</v>
      </c>
      <c r="E6263">
        <f>IFERROR(__xludf.DUMMYFUNCTION("""COMPUTED_VALUE"""),1.410966E7)</f>
        <v>14109660</v>
      </c>
    </row>
    <row r="6264">
      <c r="A6264" t="str">
        <f t="shared" si="1"/>
        <v>gin#2022</v>
      </c>
      <c r="B6264" t="str">
        <f>IFERROR(__xludf.DUMMYFUNCTION("""COMPUTED_VALUE"""),"gin")</f>
        <v>gin</v>
      </c>
      <c r="C6264" t="str">
        <f>IFERROR(__xludf.DUMMYFUNCTION("""COMPUTED_VALUE"""),"Guinea")</f>
        <v>Guinea</v>
      </c>
      <c r="D6264">
        <f>IFERROR(__xludf.DUMMYFUNCTION("""COMPUTED_VALUE"""),2022.0)</f>
        <v>2022</v>
      </c>
      <c r="E6264">
        <f>IFERROR(__xludf.DUMMYFUNCTION("""COMPUTED_VALUE"""),1.4475131E7)</f>
        <v>14475131</v>
      </c>
    </row>
    <row r="6265">
      <c r="A6265" t="str">
        <f t="shared" si="1"/>
        <v>gin#2023</v>
      </c>
      <c r="B6265" t="str">
        <f>IFERROR(__xludf.DUMMYFUNCTION("""COMPUTED_VALUE"""),"gin")</f>
        <v>gin</v>
      </c>
      <c r="C6265" t="str">
        <f>IFERROR(__xludf.DUMMYFUNCTION("""COMPUTED_VALUE"""),"Guinea")</f>
        <v>Guinea</v>
      </c>
      <c r="D6265">
        <f>IFERROR(__xludf.DUMMYFUNCTION("""COMPUTED_VALUE"""),2023.0)</f>
        <v>2023</v>
      </c>
      <c r="E6265">
        <f>IFERROR(__xludf.DUMMYFUNCTION("""COMPUTED_VALUE"""),1.4847144E7)</f>
        <v>14847144</v>
      </c>
    </row>
    <row r="6266">
      <c r="A6266" t="str">
        <f t="shared" si="1"/>
        <v>gin#2024</v>
      </c>
      <c r="B6266" t="str">
        <f>IFERROR(__xludf.DUMMYFUNCTION("""COMPUTED_VALUE"""),"gin")</f>
        <v>gin</v>
      </c>
      <c r="C6266" t="str">
        <f>IFERROR(__xludf.DUMMYFUNCTION("""COMPUTED_VALUE"""),"Guinea")</f>
        <v>Guinea</v>
      </c>
      <c r="D6266">
        <f>IFERROR(__xludf.DUMMYFUNCTION("""COMPUTED_VALUE"""),2024.0)</f>
        <v>2024</v>
      </c>
      <c r="E6266">
        <f>IFERROR(__xludf.DUMMYFUNCTION("""COMPUTED_VALUE"""),1.5225927E7)</f>
        <v>15225927</v>
      </c>
    </row>
    <row r="6267">
      <c r="A6267" t="str">
        <f t="shared" si="1"/>
        <v>gin#2025</v>
      </c>
      <c r="B6267" t="str">
        <f>IFERROR(__xludf.DUMMYFUNCTION("""COMPUTED_VALUE"""),"gin")</f>
        <v>gin</v>
      </c>
      <c r="C6267" t="str">
        <f>IFERROR(__xludf.DUMMYFUNCTION("""COMPUTED_VALUE"""),"Guinea")</f>
        <v>Guinea</v>
      </c>
      <c r="D6267">
        <f>IFERROR(__xludf.DUMMYFUNCTION("""COMPUTED_VALUE"""),2025.0)</f>
        <v>2025</v>
      </c>
      <c r="E6267">
        <f>IFERROR(__xludf.DUMMYFUNCTION("""COMPUTED_VALUE"""),1.56116E7)</f>
        <v>15611600</v>
      </c>
    </row>
    <row r="6268">
      <c r="A6268" t="str">
        <f t="shared" si="1"/>
        <v>gin#2026</v>
      </c>
      <c r="B6268" t="str">
        <f>IFERROR(__xludf.DUMMYFUNCTION("""COMPUTED_VALUE"""),"gin")</f>
        <v>gin</v>
      </c>
      <c r="C6268" t="str">
        <f>IFERROR(__xludf.DUMMYFUNCTION("""COMPUTED_VALUE"""),"Guinea")</f>
        <v>Guinea</v>
      </c>
      <c r="D6268">
        <f>IFERROR(__xludf.DUMMYFUNCTION("""COMPUTED_VALUE"""),2026.0)</f>
        <v>2026</v>
      </c>
      <c r="E6268">
        <f>IFERROR(__xludf.DUMMYFUNCTION("""COMPUTED_VALUE"""),1.6003772E7)</f>
        <v>16003772</v>
      </c>
    </row>
    <row r="6269">
      <c r="A6269" t="str">
        <f t="shared" si="1"/>
        <v>gin#2027</v>
      </c>
      <c r="B6269" t="str">
        <f>IFERROR(__xludf.DUMMYFUNCTION("""COMPUTED_VALUE"""),"gin")</f>
        <v>gin</v>
      </c>
      <c r="C6269" t="str">
        <f>IFERROR(__xludf.DUMMYFUNCTION("""COMPUTED_VALUE"""),"Guinea")</f>
        <v>Guinea</v>
      </c>
      <c r="D6269">
        <f>IFERROR(__xludf.DUMMYFUNCTION("""COMPUTED_VALUE"""),2027.0)</f>
        <v>2027</v>
      </c>
      <c r="E6269">
        <f>IFERROR(__xludf.DUMMYFUNCTION("""COMPUTED_VALUE"""),1.6401917E7)</f>
        <v>16401917</v>
      </c>
    </row>
    <row r="6270">
      <c r="A6270" t="str">
        <f t="shared" si="1"/>
        <v>gin#2028</v>
      </c>
      <c r="B6270" t="str">
        <f>IFERROR(__xludf.DUMMYFUNCTION("""COMPUTED_VALUE"""),"gin")</f>
        <v>gin</v>
      </c>
      <c r="C6270" t="str">
        <f>IFERROR(__xludf.DUMMYFUNCTION("""COMPUTED_VALUE"""),"Guinea")</f>
        <v>Guinea</v>
      </c>
      <c r="D6270">
        <f>IFERROR(__xludf.DUMMYFUNCTION("""COMPUTED_VALUE"""),2028.0)</f>
        <v>2028</v>
      </c>
      <c r="E6270">
        <f>IFERROR(__xludf.DUMMYFUNCTION("""COMPUTED_VALUE"""),1.6805925E7)</f>
        <v>16805925</v>
      </c>
    </row>
    <row r="6271">
      <c r="A6271" t="str">
        <f t="shared" si="1"/>
        <v>gin#2029</v>
      </c>
      <c r="B6271" t="str">
        <f>IFERROR(__xludf.DUMMYFUNCTION("""COMPUTED_VALUE"""),"gin")</f>
        <v>gin</v>
      </c>
      <c r="C6271" t="str">
        <f>IFERROR(__xludf.DUMMYFUNCTION("""COMPUTED_VALUE"""),"Guinea")</f>
        <v>Guinea</v>
      </c>
      <c r="D6271">
        <f>IFERROR(__xludf.DUMMYFUNCTION("""COMPUTED_VALUE"""),2029.0)</f>
        <v>2029</v>
      </c>
      <c r="E6271">
        <f>IFERROR(__xludf.DUMMYFUNCTION("""COMPUTED_VALUE"""),1.7215775E7)</f>
        <v>17215775</v>
      </c>
    </row>
    <row r="6272">
      <c r="A6272" t="str">
        <f t="shared" si="1"/>
        <v>gin#2030</v>
      </c>
      <c r="B6272" t="str">
        <f>IFERROR(__xludf.DUMMYFUNCTION("""COMPUTED_VALUE"""),"gin")</f>
        <v>gin</v>
      </c>
      <c r="C6272" t="str">
        <f>IFERROR(__xludf.DUMMYFUNCTION("""COMPUTED_VALUE"""),"Guinea")</f>
        <v>Guinea</v>
      </c>
      <c r="D6272">
        <f>IFERROR(__xludf.DUMMYFUNCTION("""COMPUTED_VALUE"""),2030.0)</f>
        <v>2030</v>
      </c>
      <c r="E6272">
        <f>IFERROR(__xludf.DUMMYFUNCTION("""COMPUTED_VALUE"""),1.763138E7)</f>
        <v>17631380</v>
      </c>
    </row>
    <row r="6273">
      <c r="A6273" t="str">
        <f t="shared" si="1"/>
        <v>gin#2031</v>
      </c>
      <c r="B6273" t="str">
        <f>IFERROR(__xludf.DUMMYFUNCTION("""COMPUTED_VALUE"""),"gin")</f>
        <v>gin</v>
      </c>
      <c r="C6273" t="str">
        <f>IFERROR(__xludf.DUMMYFUNCTION("""COMPUTED_VALUE"""),"Guinea")</f>
        <v>Guinea</v>
      </c>
      <c r="D6273">
        <f>IFERROR(__xludf.DUMMYFUNCTION("""COMPUTED_VALUE"""),2031.0)</f>
        <v>2031</v>
      </c>
      <c r="E6273">
        <f>IFERROR(__xludf.DUMMYFUNCTION("""COMPUTED_VALUE"""),1.805255E7)</f>
        <v>18052550</v>
      </c>
    </row>
    <row r="6274">
      <c r="A6274" t="str">
        <f t="shared" si="1"/>
        <v>gin#2032</v>
      </c>
      <c r="B6274" t="str">
        <f>IFERROR(__xludf.DUMMYFUNCTION("""COMPUTED_VALUE"""),"gin")</f>
        <v>gin</v>
      </c>
      <c r="C6274" t="str">
        <f>IFERROR(__xludf.DUMMYFUNCTION("""COMPUTED_VALUE"""),"Guinea")</f>
        <v>Guinea</v>
      </c>
      <c r="D6274">
        <f>IFERROR(__xludf.DUMMYFUNCTION("""COMPUTED_VALUE"""),2032.0)</f>
        <v>2032</v>
      </c>
      <c r="E6274">
        <f>IFERROR(__xludf.DUMMYFUNCTION("""COMPUTED_VALUE"""),1.8479052E7)</f>
        <v>18479052</v>
      </c>
    </row>
    <row r="6275">
      <c r="A6275" t="str">
        <f t="shared" si="1"/>
        <v>gin#2033</v>
      </c>
      <c r="B6275" t="str">
        <f>IFERROR(__xludf.DUMMYFUNCTION("""COMPUTED_VALUE"""),"gin")</f>
        <v>gin</v>
      </c>
      <c r="C6275" t="str">
        <f>IFERROR(__xludf.DUMMYFUNCTION("""COMPUTED_VALUE"""),"Guinea")</f>
        <v>Guinea</v>
      </c>
      <c r="D6275">
        <f>IFERROR(__xludf.DUMMYFUNCTION("""COMPUTED_VALUE"""),2033.0)</f>
        <v>2033</v>
      </c>
      <c r="E6275">
        <f>IFERROR(__xludf.DUMMYFUNCTION("""COMPUTED_VALUE"""),1.8910686E7)</f>
        <v>18910686</v>
      </c>
    </row>
    <row r="6276">
      <c r="A6276" t="str">
        <f t="shared" si="1"/>
        <v>gin#2034</v>
      </c>
      <c r="B6276" t="str">
        <f>IFERROR(__xludf.DUMMYFUNCTION("""COMPUTED_VALUE"""),"gin")</f>
        <v>gin</v>
      </c>
      <c r="C6276" t="str">
        <f>IFERROR(__xludf.DUMMYFUNCTION("""COMPUTED_VALUE"""),"Guinea")</f>
        <v>Guinea</v>
      </c>
      <c r="D6276">
        <f>IFERROR(__xludf.DUMMYFUNCTION("""COMPUTED_VALUE"""),2034.0)</f>
        <v>2034</v>
      </c>
      <c r="E6276">
        <f>IFERROR(__xludf.DUMMYFUNCTION("""COMPUTED_VALUE"""),1.9347252E7)</f>
        <v>19347252</v>
      </c>
    </row>
    <row r="6277">
      <c r="A6277" t="str">
        <f t="shared" si="1"/>
        <v>gin#2035</v>
      </c>
      <c r="B6277" t="str">
        <f>IFERROR(__xludf.DUMMYFUNCTION("""COMPUTED_VALUE"""),"gin")</f>
        <v>gin</v>
      </c>
      <c r="C6277" t="str">
        <f>IFERROR(__xludf.DUMMYFUNCTION("""COMPUTED_VALUE"""),"Guinea")</f>
        <v>Guinea</v>
      </c>
      <c r="D6277">
        <f>IFERROR(__xludf.DUMMYFUNCTION("""COMPUTED_VALUE"""),2035.0)</f>
        <v>2035</v>
      </c>
      <c r="E6277">
        <f>IFERROR(__xludf.DUMMYFUNCTION("""COMPUTED_VALUE"""),1.9788558E7)</f>
        <v>19788558</v>
      </c>
    </row>
    <row r="6278">
      <c r="A6278" t="str">
        <f t="shared" si="1"/>
        <v>gin#2036</v>
      </c>
      <c r="B6278" t="str">
        <f>IFERROR(__xludf.DUMMYFUNCTION("""COMPUTED_VALUE"""),"gin")</f>
        <v>gin</v>
      </c>
      <c r="C6278" t="str">
        <f>IFERROR(__xludf.DUMMYFUNCTION("""COMPUTED_VALUE"""),"Guinea")</f>
        <v>Guinea</v>
      </c>
      <c r="D6278">
        <f>IFERROR(__xludf.DUMMYFUNCTION("""COMPUTED_VALUE"""),2036.0)</f>
        <v>2036</v>
      </c>
      <c r="E6278">
        <f>IFERROR(__xludf.DUMMYFUNCTION("""COMPUTED_VALUE"""),2.0234399E7)</f>
        <v>20234399</v>
      </c>
    </row>
    <row r="6279">
      <c r="A6279" t="str">
        <f t="shared" si="1"/>
        <v>gin#2037</v>
      </c>
      <c r="B6279" t="str">
        <f>IFERROR(__xludf.DUMMYFUNCTION("""COMPUTED_VALUE"""),"gin")</f>
        <v>gin</v>
      </c>
      <c r="C6279" t="str">
        <f>IFERROR(__xludf.DUMMYFUNCTION("""COMPUTED_VALUE"""),"Guinea")</f>
        <v>Guinea</v>
      </c>
      <c r="D6279">
        <f>IFERROR(__xludf.DUMMYFUNCTION("""COMPUTED_VALUE"""),2037.0)</f>
        <v>2037</v>
      </c>
      <c r="E6279">
        <f>IFERROR(__xludf.DUMMYFUNCTION("""COMPUTED_VALUE"""),2.0684604E7)</f>
        <v>20684604</v>
      </c>
    </row>
    <row r="6280">
      <c r="A6280" t="str">
        <f t="shared" si="1"/>
        <v>gin#2038</v>
      </c>
      <c r="B6280" t="str">
        <f>IFERROR(__xludf.DUMMYFUNCTION("""COMPUTED_VALUE"""),"gin")</f>
        <v>gin</v>
      </c>
      <c r="C6280" t="str">
        <f>IFERROR(__xludf.DUMMYFUNCTION("""COMPUTED_VALUE"""),"Guinea")</f>
        <v>Guinea</v>
      </c>
      <c r="D6280">
        <f>IFERROR(__xludf.DUMMYFUNCTION("""COMPUTED_VALUE"""),2038.0)</f>
        <v>2038</v>
      </c>
      <c r="E6280">
        <f>IFERROR(__xludf.DUMMYFUNCTION("""COMPUTED_VALUE"""),2.1139017E7)</f>
        <v>21139017</v>
      </c>
    </row>
    <row r="6281">
      <c r="A6281" t="str">
        <f t="shared" si="1"/>
        <v>gin#2039</v>
      </c>
      <c r="B6281" t="str">
        <f>IFERROR(__xludf.DUMMYFUNCTION("""COMPUTED_VALUE"""),"gin")</f>
        <v>gin</v>
      </c>
      <c r="C6281" t="str">
        <f>IFERROR(__xludf.DUMMYFUNCTION("""COMPUTED_VALUE"""),"Guinea")</f>
        <v>Guinea</v>
      </c>
      <c r="D6281">
        <f>IFERROR(__xludf.DUMMYFUNCTION("""COMPUTED_VALUE"""),2039.0)</f>
        <v>2039</v>
      </c>
      <c r="E6281">
        <f>IFERROR(__xludf.DUMMYFUNCTION("""COMPUTED_VALUE"""),2.1597512E7)</f>
        <v>21597512</v>
      </c>
    </row>
    <row r="6282">
      <c r="A6282" t="str">
        <f t="shared" si="1"/>
        <v>gin#2040</v>
      </c>
      <c r="B6282" t="str">
        <f>IFERROR(__xludf.DUMMYFUNCTION("""COMPUTED_VALUE"""),"gin")</f>
        <v>gin</v>
      </c>
      <c r="C6282" t="str">
        <f>IFERROR(__xludf.DUMMYFUNCTION("""COMPUTED_VALUE"""),"Guinea")</f>
        <v>Guinea</v>
      </c>
      <c r="D6282">
        <f>IFERROR(__xludf.DUMMYFUNCTION("""COMPUTED_VALUE"""),2040.0)</f>
        <v>2040</v>
      </c>
      <c r="E6282">
        <f>IFERROR(__xludf.DUMMYFUNCTION("""COMPUTED_VALUE"""),2.2059928E7)</f>
        <v>22059928</v>
      </c>
    </row>
    <row r="6283">
      <c r="A6283" t="str">
        <f t="shared" si="1"/>
        <v>gnb#1950</v>
      </c>
      <c r="B6283" t="str">
        <f>IFERROR(__xludf.DUMMYFUNCTION("""COMPUTED_VALUE"""),"gnb")</f>
        <v>gnb</v>
      </c>
      <c r="C6283" t="str">
        <f>IFERROR(__xludf.DUMMYFUNCTION("""COMPUTED_VALUE"""),"Guinea-Bissau")</f>
        <v>Guinea-Bissau</v>
      </c>
      <c r="D6283">
        <f>IFERROR(__xludf.DUMMYFUNCTION("""COMPUTED_VALUE"""),1950.0)</f>
        <v>1950</v>
      </c>
      <c r="E6283">
        <f>IFERROR(__xludf.DUMMYFUNCTION("""COMPUTED_VALUE"""),535430.0)</f>
        <v>535430</v>
      </c>
    </row>
    <row r="6284">
      <c r="A6284" t="str">
        <f t="shared" si="1"/>
        <v>gnb#1951</v>
      </c>
      <c r="B6284" t="str">
        <f>IFERROR(__xludf.DUMMYFUNCTION("""COMPUTED_VALUE"""),"gnb")</f>
        <v>gnb</v>
      </c>
      <c r="C6284" t="str">
        <f>IFERROR(__xludf.DUMMYFUNCTION("""COMPUTED_VALUE"""),"Guinea-Bissau")</f>
        <v>Guinea-Bissau</v>
      </c>
      <c r="D6284">
        <f>IFERROR(__xludf.DUMMYFUNCTION("""COMPUTED_VALUE"""),1951.0)</f>
        <v>1951</v>
      </c>
      <c r="E6284">
        <f>IFERROR(__xludf.DUMMYFUNCTION("""COMPUTED_VALUE"""),544106.0)</f>
        <v>544106</v>
      </c>
    </row>
    <row r="6285">
      <c r="A6285" t="str">
        <f t="shared" si="1"/>
        <v>gnb#1952</v>
      </c>
      <c r="B6285" t="str">
        <f>IFERROR(__xludf.DUMMYFUNCTION("""COMPUTED_VALUE"""),"gnb")</f>
        <v>gnb</v>
      </c>
      <c r="C6285" t="str">
        <f>IFERROR(__xludf.DUMMYFUNCTION("""COMPUTED_VALUE"""),"Guinea-Bissau")</f>
        <v>Guinea-Bissau</v>
      </c>
      <c r="D6285">
        <f>IFERROR(__xludf.DUMMYFUNCTION("""COMPUTED_VALUE"""),1952.0)</f>
        <v>1952</v>
      </c>
      <c r="E6285">
        <f>IFERROR(__xludf.DUMMYFUNCTION("""COMPUTED_VALUE"""),552029.0)</f>
        <v>552029</v>
      </c>
    </row>
    <row r="6286">
      <c r="A6286" t="str">
        <f t="shared" si="1"/>
        <v>gnb#1953</v>
      </c>
      <c r="B6286" t="str">
        <f>IFERROR(__xludf.DUMMYFUNCTION("""COMPUTED_VALUE"""),"gnb")</f>
        <v>gnb</v>
      </c>
      <c r="C6286" t="str">
        <f>IFERROR(__xludf.DUMMYFUNCTION("""COMPUTED_VALUE"""),"Guinea-Bissau")</f>
        <v>Guinea-Bissau</v>
      </c>
      <c r="D6286">
        <f>IFERROR(__xludf.DUMMYFUNCTION("""COMPUTED_VALUE"""),1953.0)</f>
        <v>1953</v>
      </c>
      <c r="E6286">
        <f>IFERROR(__xludf.DUMMYFUNCTION("""COMPUTED_VALUE"""),559692.0)</f>
        <v>559692</v>
      </c>
    </row>
    <row r="6287">
      <c r="A6287" t="str">
        <f t="shared" si="1"/>
        <v>gnb#1954</v>
      </c>
      <c r="B6287" t="str">
        <f>IFERROR(__xludf.DUMMYFUNCTION("""COMPUTED_VALUE"""),"gnb")</f>
        <v>gnb</v>
      </c>
      <c r="C6287" t="str">
        <f>IFERROR(__xludf.DUMMYFUNCTION("""COMPUTED_VALUE"""),"Guinea-Bissau")</f>
        <v>Guinea-Bissau</v>
      </c>
      <c r="D6287">
        <f>IFERROR(__xludf.DUMMYFUNCTION("""COMPUTED_VALUE"""),1954.0)</f>
        <v>1954</v>
      </c>
      <c r="E6287">
        <f>IFERROR(__xludf.DUMMYFUNCTION("""COMPUTED_VALUE"""),567404.0)</f>
        <v>567404</v>
      </c>
    </row>
    <row r="6288">
      <c r="A6288" t="str">
        <f t="shared" si="1"/>
        <v>gnb#1955</v>
      </c>
      <c r="B6288" t="str">
        <f>IFERROR(__xludf.DUMMYFUNCTION("""COMPUTED_VALUE"""),"gnb")</f>
        <v>gnb</v>
      </c>
      <c r="C6288" t="str">
        <f>IFERROR(__xludf.DUMMYFUNCTION("""COMPUTED_VALUE"""),"Guinea-Bissau")</f>
        <v>Guinea-Bissau</v>
      </c>
      <c r="D6288">
        <f>IFERROR(__xludf.DUMMYFUNCTION("""COMPUTED_VALUE"""),1955.0)</f>
        <v>1955</v>
      </c>
      <c r="E6288">
        <f>IFERROR(__xludf.DUMMYFUNCTION("""COMPUTED_VALUE"""),575382.0)</f>
        <v>575382</v>
      </c>
    </row>
    <row r="6289">
      <c r="A6289" t="str">
        <f t="shared" si="1"/>
        <v>gnb#1956</v>
      </c>
      <c r="B6289" t="str">
        <f>IFERROR(__xludf.DUMMYFUNCTION("""COMPUTED_VALUE"""),"gnb")</f>
        <v>gnb</v>
      </c>
      <c r="C6289" t="str">
        <f>IFERROR(__xludf.DUMMYFUNCTION("""COMPUTED_VALUE"""),"Guinea-Bissau")</f>
        <v>Guinea-Bissau</v>
      </c>
      <c r="D6289">
        <f>IFERROR(__xludf.DUMMYFUNCTION("""COMPUTED_VALUE"""),1956.0)</f>
        <v>1956</v>
      </c>
      <c r="E6289">
        <f>IFERROR(__xludf.DUMMYFUNCTION("""COMPUTED_VALUE"""),583648.0)</f>
        <v>583648</v>
      </c>
    </row>
    <row r="6290">
      <c r="A6290" t="str">
        <f t="shared" si="1"/>
        <v>gnb#1957</v>
      </c>
      <c r="B6290" t="str">
        <f>IFERROR(__xludf.DUMMYFUNCTION("""COMPUTED_VALUE"""),"gnb")</f>
        <v>gnb</v>
      </c>
      <c r="C6290" t="str">
        <f>IFERROR(__xludf.DUMMYFUNCTION("""COMPUTED_VALUE"""),"Guinea-Bissau")</f>
        <v>Guinea-Bissau</v>
      </c>
      <c r="D6290">
        <f>IFERROR(__xludf.DUMMYFUNCTION("""COMPUTED_VALUE"""),1957.0)</f>
        <v>1957</v>
      </c>
      <c r="E6290">
        <f>IFERROR(__xludf.DUMMYFUNCTION("""COMPUTED_VALUE"""),592130.0)</f>
        <v>592130</v>
      </c>
    </row>
    <row r="6291">
      <c r="A6291" t="str">
        <f t="shared" si="1"/>
        <v>gnb#1958</v>
      </c>
      <c r="B6291" t="str">
        <f>IFERROR(__xludf.DUMMYFUNCTION("""COMPUTED_VALUE"""),"gnb")</f>
        <v>gnb</v>
      </c>
      <c r="C6291" t="str">
        <f>IFERROR(__xludf.DUMMYFUNCTION("""COMPUTED_VALUE"""),"Guinea-Bissau")</f>
        <v>Guinea-Bissau</v>
      </c>
      <c r="D6291">
        <f>IFERROR(__xludf.DUMMYFUNCTION("""COMPUTED_VALUE"""),1958.0)</f>
        <v>1958</v>
      </c>
      <c r="E6291">
        <f>IFERROR(__xludf.DUMMYFUNCTION("""COMPUTED_VALUE"""),600597.0)</f>
        <v>600597</v>
      </c>
    </row>
    <row r="6292">
      <c r="A6292" t="str">
        <f t="shared" si="1"/>
        <v>gnb#1959</v>
      </c>
      <c r="B6292" t="str">
        <f>IFERROR(__xludf.DUMMYFUNCTION("""COMPUTED_VALUE"""),"gnb")</f>
        <v>gnb</v>
      </c>
      <c r="C6292" t="str">
        <f>IFERROR(__xludf.DUMMYFUNCTION("""COMPUTED_VALUE"""),"Guinea-Bissau")</f>
        <v>Guinea-Bissau</v>
      </c>
      <c r="D6292">
        <f>IFERROR(__xludf.DUMMYFUNCTION("""COMPUTED_VALUE"""),1959.0)</f>
        <v>1959</v>
      </c>
      <c r="E6292">
        <f>IFERROR(__xludf.DUMMYFUNCTION("""COMPUTED_VALUE"""),608779.0)</f>
        <v>608779</v>
      </c>
    </row>
    <row r="6293">
      <c r="A6293" t="str">
        <f t="shared" si="1"/>
        <v>gnb#1960</v>
      </c>
      <c r="B6293" t="str">
        <f>IFERROR(__xludf.DUMMYFUNCTION("""COMPUTED_VALUE"""),"gnb")</f>
        <v>gnb</v>
      </c>
      <c r="C6293" t="str">
        <f>IFERROR(__xludf.DUMMYFUNCTION("""COMPUTED_VALUE"""),"Guinea-Bissau")</f>
        <v>Guinea-Bissau</v>
      </c>
      <c r="D6293">
        <f>IFERROR(__xludf.DUMMYFUNCTION("""COMPUTED_VALUE"""),1960.0)</f>
        <v>1960</v>
      </c>
      <c r="E6293">
        <f>IFERROR(__xludf.DUMMYFUNCTION("""COMPUTED_VALUE"""),616409.0)</f>
        <v>616409</v>
      </c>
    </row>
    <row r="6294">
      <c r="A6294" t="str">
        <f t="shared" si="1"/>
        <v>gnb#1961</v>
      </c>
      <c r="B6294" t="str">
        <f>IFERROR(__xludf.DUMMYFUNCTION("""COMPUTED_VALUE"""),"gnb")</f>
        <v>gnb</v>
      </c>
      <c r="C6294" t="str">
        <f>IFERROR(__xludf.DUMMYFUNCTION("""COMPUTED_VALUE"""),"Guinea-Bissau")</f>
        <v>Guinea-Bissau</v>
      </c>
      <c r="D6294">
        <f>IFERROR(__xludf.DUMMYFUNCTION("""COMPUTED_VALUE"""),1961.0)</f>
        <v>1961</v>
      </c>
      <c r="E6294">
        <f>IFERROR(__xludf.DUMMYFUNCTION("""COMPUTED_VALUE"""),623415.0)</f>
        <v>623415</v>
      </c>
    </row>
    <row r="6295">
      <c r="A6295" t="str">
        <f t="shared" si="1"/>
        <v>gnb#1962</v>
      </c>
      <c r="B6295" t="str">
        <f>IFERROR(__xludf.DUMMYFUNCTION("""COMPUTED_VALUE"""),"gnb")</f>
        <v>gnb</v>
      </c>
      <c r="C6295" t="str">
        <f>IFERROR(__xludf.DUMMYFUNCTION("""COMPUTED_VALUE"""),"Guinea-Bissau")</f>
        <v>Guinea-Bissau</v>
      </c>
      <c r="D6295">
        <f>IFERROR(__xludf.DUMMYFUNCTION("""COMPUTED_VALUE"""),1962.0)</f>
        <v>1962</v>
      </c>
      <c r="E6295">
        <f>IFERROR(__xludf.DUMMYFUNCTION("""COMPUTED_VALUE"""),629969.0)</f>
        <v>629969</v>
      </c>
    </row>
    <row r="6296">
      <c r="A6296" t="str">
        <f t="shared" si="1"/>
        <v>gnb#1963</v>
      </c>
      <c r="B6296" t="str">
        <f>IFERROR(__xludf.DUMMYFUNCTION("""COMPUTED_VALUE"""),"gnb")</f>
        <v>gnb</v>
      </c>
      <c r="C6296" t="str">
        <f>IFERROR(__xludf.DUMMYFUNCTION("""COMPUTED_VALUE"""),"Guinea-Bissau")</f>
        <v>Guinea-Bissau</v>
      </c>
      <c r="D6296">
        <f>IFERROR(__xludf.DUMMYFUNCTION("""COMPUTED_VALUE"""),1963.0)</f>
        <v>1963</v>
      </c>
      <c r="E6296">
        <f>IFERROR(__xludf.DUMMYFUNCTION("""COMPUTED_VALUE"""),636586.0)</f>
        <v>636586</v>
      </c>
    </row>
    <row r="6297">
      <c r="A6297" t="str">
        <f t="shared" si="1"/>
        <v>gnb#1964</v>
      </c>
      <c r="B6297" t="str">
        <f>IFERROR(__xludf.DUMMYFUNCTION("""COMPUTED_VALUE"""),"gnb")</f>
        <v>gnb</v>
      </c>
      <c r="C6297" t="str">
        <f>IFERROR(__xludf.DUMMYFUNCTION("""COMPUTED_VALUE"""),"Guinea-Bissau")</f>
        <v>Guinea-Bissau</v>
      </c>
      <c r="D6297">
        <f>IFERROR(__xludf.DUMMYFUNCTION("""COMPUTED_VALUE"""),1964.0)</f>
        <v>1964</v>
      </c>
      <c r="E6297">
        <f>IFERROR(__xludf.DUMMYFUNCTION("""COMPUTED_VALUE"""),643961.0)</f>
        <v>643961</v>
      </c>
    </row>
    <row r="6298">
      <c r="A6298" t="str">
        <f t="shared" si="1"/>
        <v>gnb#1965</v>
      </c>
      <c r="B6298" t="str">
        <f>IFERROR(__xludf.DUMMYFUNCTION("""COMPUTED_VALUE"""),"gnb")</f>
        <v>gnb</v>
      </c>
      <c r="C6298" t="str">
        <f>IFERROR(__xludf.DUMMYFUNCTION("""COMPUTED_VALUE"""),"Guinea-Bissau")</f>
        <v>Guinea-Bissau</v>
      </c>
      <c r="D6298">
        <f>IFERROR(__xludf.DUMMYFUNCTION("""COMPUTED_VALUE"""),1965.0)</f>
        <v>1965</v>
      </c>
      <c r="E6298">
        <f>IFERROR(__xludf.DUMMYFUNCTION("""COMPUTED_VALUE"""),652562.0)</f>
        <v>652562</v>
      </c>
    </row>
    <row r="6299">
      <c r="A6299" t="str">
        <f t="shared" si="1"/>
        <v>gnb#1966</v>
      </c>
      <c r="B6299" t="str">
        <f>IFERROR(__xludf.DUMMYFUNCTION("""COMPUTED_VALUE"""),"gnb")</f>
        <v>gnb</v>
      </c>
      <c r="C6299" t="str">
        <f>IFERROR(__xludf.DUMMYFUNCTION("""COMPUTED_VALUE"""),"Guinea-Bissau")</f>
        <v>Guinea-Bissau</v>
      </c>
      <c r="D6299">
        <f>IFERROR(__xludf.DUMMYFUNCTION("""COMPUTED_VALUE"""),1966.0)</f>
        <v>1966</v>
      </c>
      <c r="E6299">
        <f>IFERROR(__xludf.DUMMYFUNCTION("""COMPUTED_VALUE"""),662463.0)</f>
        <v>662463</v>
      </c>
    </row>
    <row r="6300">
      <c r="A6300" t="str">
        <f t="shared" si="1"/>
        <v>gnb#1967</v>
      </c>
      <c r="B6300" t="str">
        <f>IFERROR(__xludf.DUMMYFUNCTION("""COMPUTED_VALUE"""),"gnb")</f>
        <v>gnb</v>
      </c>
      <c r="C6300" t="str">
        <f>IFERROR(__xludf.DUMMYFUNCTION("""COMPUTED_VALUE"""),"Guinea-Bissau")</f>
        <v>Guinea-Bissau</v>
      </c>
      <c r="D6300">
        <f>IFERROR(__xludf.DUMMYFUNCTION("""COMPUTED_VALUE"""),1967.0)</f>
        <v>1967</v>
      </c>
      <c r="E6300">
        <f>IFERROR(__xludf.DUMMYFUNCTION("""COMPUTED_VALUE"""),673462.0)</f>
        <v>673462</v>
      </c>
    </row>
    <row r="6301">
      <c r="A6301" t="str">
        <f t="shared" si="1"/>
        <v>gnb#1968</v>
      </c>
      <c r="B6301" t="str">
        <f>IFERROR(__xludf.DUMMYFUNCTION("""COMPUTED_VALUE"""),"gnb")</f>
        <v>gnb</v>
      </c>
      <c r="C6301" t="str">
        <f>IFERROR(__xludf.DUMMYFUNCTION("""COMPUTED_VALUE"""),"Guinea-Bissau")</f>
        <v>Guinea-Bissau</v>
      </c>
      <c r="D6301">
        <f>IFERROR(__xludf.DUMMYFUNCTION("""COMPUTED_VALUE"""),1968.0)</f>
        <v>1968</v>
      </c>
      <c r="E6301">
        <f>IFERROR(__xludf.DUMMYFUNCTION("""COMPUTED_VALUE"""),685476.0)</f>
        <v>685476</v>
      </c>
    </row>
    <row r="6302">
      <c r="A6302" t="str">
        <f t="shared" si="1"/>
        <v>gnb#1969</v>
      </c>
      <c r="B6302" t="str">
        <f>IFERROR(__xludf.DUMMYFUNCTION("""COMPUTED_VALUE"""),"gnb")</f>
        <v>gnb</v>
      </c>
      <c r="C6302" t="str">
        <f>IFERROR(__xludf.DUMMYFUNCTION("""COMPUTED_VALUE"""),"Guinea-Bissau")</f>
        <v>Guinea-Bissau</v>
      </c>
      <c r="D6302">
        <f>IFERROR(__xludf.DUMMYFUNCTION("""COMPUTED_VALUE"""),1969.0)</f>
        <v>1969</v>
      </c>
      <c r="E6302">
        <f>IFERROR(__xludf.DUMMYFUNCTION("""COMPUTED_VALUE"""),698338.0)</f>
        <v>698338</v>
      </c>
    </row>
    <row r="6303">
      <c r="A6303" t="str">
        <f t="shared" si="1"/>
        <v>gnb#1970</v>
      </c>
      <c r="B6303" t="str">
        <f>IFERROR(__xludf.DUMMYFUNCTION("""COMPUTED_VALUE"""),"gnb")</f>
        <v>gnb</v>
      </c>
      <c r="C6303" t="str">
        <f>IFERROR(__xludf.DUMMYFUNCTION("""COMPUTED_VALUE"""),"Guinea-Bissau")</f>
        <v>Guinea-Bissau</v>
      </c>
      <c r="D6303">
        <f>IFERROR(__xludf.DUMMYFUNCTION("""COMPUTED_VALUE"""),1970.0)</f>
        <v>1970</v>
      </c>
      <c r="E6303">
        <f>IFERROR(__xludf.DUMMYFUNCTION("""COMPUTED_VALUE"""),711827.0)</f>
        <v>711827</v>
      </c>
    </row>
    <row r="6304">
      <c r="A6304" t="str">
        <f t="shared" si="1"/>
        <v>gnb#1971</v>
      </c>
      <c r="B6304" t="str">
        <f>IFERROR(__xludf.DUMMYFUNCTION("""COMPUTED_VALUE"""),"gnb")</f>
        <v>gnb</v>
      </c>
      <c r="C6304" t="str">
        <f>IFERROR(__xludf.DUMMYFUNCTION("""COMPUTED_VALUE"""),"Guinea-Bissau")</f>
        <v>Guinea-Bissau</v>
      </c>
      <c r="D6304">
        <f>IFERROR(__xludf.DUMMYFUNCTION("""COMPUTED_VALUE"""),1971.0)</f>
        <v>1971</v>
      </c>
      <c r="E6304">
        <f>IFERROR(__xludf.DUMMYFUNCTION("""COMPUTED_VALUE"""),726256.0)</f>
        <v>726256</v>
      </c>
    </row>
    <row r="6305">
      <c r="A6305" t="str">
        <f t="shared" si="1"/>
        <v>gnb#1972</v>
      </c>
      <c r="B6305" t="str">
        <f>IFERROR(__xludf.DUMMYFUNCTION("""COMPUTED_VALUE"""),"gnb")</f>
        <v>gnb</v>
      </c>
      <c r="C6305" t="str">
        <f>IFERROR(__xludf.DUMMYFUNCTION("""COMPUTED_VALUE"""),"Guinea-Bissau")</f>
        <v>Guinea-Bissau</v>
      </c>
      <c r="D6305">
        <f>IFERROR(__xludf.DUMMYFUNCTION("""COMPUTED_VALUE"""),1972.0)</f>
        <v>1972</v>
      </c>
      <c r="E6305">
        <f>IFERROR(__xludf.DUMMYFUNCTION("""COMPUTED_VALUE"""),741490.0)</f>
        <v>741490</v>
      </c>
    </row>
    <row r="6306">
      <c r="A6306" t="str">
        <f t="shared" si="1"/>
        <v>gnb#1973</v>
      </c>
      <c r="B6306" t="str">
        <f>IFERROR(__xludf.DUMMYFUNCTION("""COMPUTED_VALUE"""),"gnb")</f>
        <v>gnb</v>
      </c>
      <c r="C6306" t="str">
        <f>IFERROR(__xludf.DUMMYFUNCTION("""COMPUTED_VALUE"""),"Guinea-Bissau")</f>
        <v>Guinea-Bissau</v>
      </c>
      <c r="D6306">
        <f>IFERROR(__xludf.DUMMYFUNCTION("""COMPUTED_VALUE"""),1973.0)</f>
        <v>1973</v>
      </c>
      <c r="E6306">
        <f>IFERROR(__xludf.DUMMYFUNCTION("""COMPUTED_VALUE"""),756280.0)</f>
        <v>756280</v>
      </c>
    </row>
    <row r="6307">
      <c r="A6307" t="str">
        <f t="shared" si="1"/>
        <v>gnb#1974</v>
      </c>
      <c r="B6307" t="str">
        <f>IFERROR(__xludf.DUMMYFUNCTION("""COMPUTED_VALUE"""),"gnb")</f>
        <v>gnb</v>
      </c>
      <c r="C6307" t="str">
        <f>IFERROR(__xludf.DUMMYFUNCTION("""COMPUTED_VALUE"""),"Guinea-Bissau")</f>
        <v>Guinea-Bissau</v>
      </c>
      <c r="D6307">
        <f>IFERROR(__xludf.DUMMYFUNCTION("""COMPUTED_VALUE"""),1974.0)</f>
        <v>1974</v>
      </c>
      <c r="E6307">
        <f>IFERROR(__xludf.DUMMYFUNCTION("""COMPUTED_VALUE"""),768945.0)</f>
        <v>768945</v>
      </c>
    </row>
    <row r="6308">
      <c r="A6308" t="str">
        <f t="shared" si="1"/>
        <v>gnb#1975</v>
      </c>
      <c r="B6308" t="str">
        <f>IFERROR(__xludf.DUMMYFUNCTION("""COMPUTED_VALUE"""),"gnb")</f>
        <v>gnb</v>
      </c>
      <c r="C6308" t="str">
        <f>IFERROR(__xludf.DUMMYFUNCTION("""COMPUTED_VALUE"""),"Guinea-Bissau")</f>
        <v>Guinea-Bissau</v>
      </c>
      <c r="D6308">
        <f>IFERROR(__xludf.DUMMYFUNCTION("""COMPUTED_VALUE"""),1975.0)</f>
        <v>1975</v>
      </c>
      <c r="E6308">
        <f>IFERROR(__xludf.DUMMYFUNCTION("""COMPUTED_VALUE"""),778470.0)</f>
        <v>778470</v>
      </c>
    </row>
    <row r="6309">
      <c r="A6309" t="str">
        <f t="shared" si="1"/>
        <v>gnb#1976</v>
      </c>
      <c r="B6309" t="str">
        <f>IFERROR(__xludf.DUMMYFUNCTION("""COMPUTED_VALUE"""),"gnb")</f>
        <v>gnb</v>
      </c>
      <c r="C6309" t="str">
        <f>IFERROR(__xludf.DUMMYFUNCTION("""COMPUTED_VALUE"""),"Guinea-Bissau")</f>
        <v>Guinea-Bissau</v>
      </c>
      <c r="D6309">
        <f>IFERROR(__xludf.DUMMYFUNCTION("""COMPUTED_VALUE"""),1976.0)</f>
        <v>1976</v>
      </c>
      <c r="E6309">
        <f>IFERROR(__xludf.DUMMYFUNCTION("""COMPUTED_VALUE"""),784156.0)</f>
        <v>784156</v>
      </c>
    </row>
    <row r="6310">
      <c r="A6310" t="str">
        <f t="shared" si="1"/>
        <v>gnb#1977</v>
      </c>
      <c r="B6310" t="str">
        <f>IFERROR(__xludf.DUMMYFUNCTION("""COMPUTED_VALUE"""),"gnb")</f>
        <v>gnb</v>
      </c>
      <c r="C6310" t="str">
        <f>IFERROR(__xludf.DUMMYFUNCTION("""COMPUTED_VALUE"""),"Guinea-Bissau")</f>
        <v>Guinea-Bissau</v>
      </c>
      <c r="D6310">
        <f>IFERROR(__xludf.DUMMYFUNCTION("""COMPUTED_VALUE"""),1977.0)</f>
        <v>1977</v>
      </c>
      <c r="E6310">
        <f>IFERROR(__xludf.DUMMYFUNCTION("""COMPUTED_VALUE"""),786754.0)</f>
        <v>786754</v>
      </c>
    </row>
    <row r="6311">
      <c r="A6311" t="str">
        <f t="shared" si="1"/>
        <v>gnb#1978</v>
      </c>
      <c r="B6311" t="str">
        <f>IFERROR(__xludf.DUMMYFUNCTION("""COMPUTED_VALUE"""),"gnb")</f>
        <v>gnb</v>
      </c>
      <c r="C6311" t="str">
        <f>IFERROR(__xludf.DUMMYFUNCTION("""COMPUTED_VALUE"""),"Guinea-Bissau")</f>
        <v>Guinea-Bissau</v>
      </c>
      <c r="D6311">
        <f>IFERROR(__xludf.DUMMYFUNCTION("""COMPUTED_VALUE"""),1978.0)</f>
        <v>1978</v>
      </c>
      <c r="E6311">
        <f>IFERROR(__xludf.DUMMYFUNCTION("""COMPUTED_VALUE"""),788495.0)</f>
        <v>788495</v>
      </c>
    </row>
    <row r="6312">
      <c r="A6312" t="str">
        <f t="shared" si="1"/>
        <v>gnb#1979</v>
      </c>
      <c r="B6312" t="str">
        <f>IFERROR(__xludf.DUMMYFUNCTION("""COMPUTED_VALUE"""),"gnb")</f>
        <v>gnb</v>
      </c>
      <c r="C6312" t="str">
        <f>IFERROR(__xludf.DUMMYFUNCTION("""COMPUTED_VALUE"""),"Guinea-Bissau")</f>
        <v>Guinea-Bissau</v>
      </c>
      <c r="D6312">
        <f>IFERROR(__xludf.DUMMYFUNCTION("""COMPUTED_VALUE"""),1979.0)</f>
        <v>1979</v>
      </c>
      <c r="E6312">
        <f>IFERROR(__xludf.DUMMYFUNCTION("""COMPUTED_VALUE"""),792462.0)</f>
        <v>792462</v>
      </c>
    </row>
    <row r="6313">
      <c r="A6313" t="str">
        <f t="shared" si="1"/>
        <v>gnb#1980</v>
      </c>
      <c r="B6313" t="str">
        <f>IFERROR(__xludf.DUMMYFUNCTION("""COMPUTED_VALUE"""),"gnb")</f>
        <v>gnb</v>
      </c>
      <c r="C6313" t="str">
        <f>IFERROR(__xludf.DUMMYFUNCTION("""COMPUTED_VALUE"""),"Guinea-Bissau")</f>
        <v>Guinea-Bissau</v>
      </c>
      <c r="D6313">
        <f>IFERROR(__xludf.DUMMYFUNCTION("""COMPUTED_VALUE"""),1980.0)</f>
        <v>1980</v>
      </c>
      <c r="E6313">
        <f>IFERROR(__xludf.DUMMYFUNCTION("""COMPUTED_VALUE"""),800854.0)</f>
        <v>800854</v>
      </c>
    </row>
    <row r="6314">
      <c r="A6314" t="str">
        <f t="shared" si="1"/>
        <v>gnb#1981</v>
      </c>
      <c r="B6314" t="str">
        <f>IFERROR(__xludf.DUMMYFUNCTION("""COMPUTED_VALUE"""),"gnb")</f>
        <v>gnb</v>
      </c>
      <c r="C6314" t="str">
        <f>IFERROR(__xludf.DUMMYFUNCTION("""COMPUTED_VALUE"""),"Guinea-Bissau")</f>
        <v>Guinea-Bissau</v>
      </c>
      <c r="D6314">
        <f>IFERROR(__xludf.DUMMYFUNCTION("""COMPUTED_VALUE"""),1981.0)</f>
        <v>1981</v>
      </c>
      <c r="E6314">
        <f>IFERROR(__xludf.DUMMYFUNCTION("""COMPUTED_VALUE"""),814507.0)</f>
        <v>814507</v>
      </c>
    </row>
    <row r="6315">
      <c r="A6315" t="str">
        <f t="shared" si="1"/>
        <v>gnb#1982</v>
      </c>
      <c r="B6315" t="str">
        <f>IFERROR(__xludf.DUMMYFUNCTION("""COMPUTED_VALUE"""),"gnb")</f>
        <v>gnb</v>
      </c>
      <c r="C6315" t="str">
        <f>IFERROR(__xludf.DUMMYFUNCTION("""COMPUTED_VALUE"""),"Guinea-Bissau")</f>
        <v>Guinea-Bissau</v>
      </c>
      <c r="D6315">
        <f>IFERROR(__xludf.DUMMYFUNCTION("""COMPUTED_VALUE"""),1982.0)</f>
        <v>1982</v>
      </c>
      <c r="E6315">
        <f>IFERROR(__xludf.DUMMYFUNCTION("""COMPUTED_VALUE"""),832668.0)</f>
        <v>832668</v>
      </c>
    </row>
    <row r="6316">
      <c r="A6316" t="str">
        <f t="shared" si="1"/>
        <v>gnb#1983</v>
      </c>
      <c r="B6316" t="str">
        <f>IFERROR(__xludf.DUMMYFUNCTION("""COMPUTED_VALUE"""),"gnb")</f>
        <v>gnb</v>
      </c>
      <c r="C6316" t="str">
        <f>IFERROR(__xludf.DUMMYFUNCTION("""COMPUTED_VALUE"""),"Guinea-Bissau")</f>
        <v>Guinea-Bissau</v>
      </c>
      <c r="D6316">
        <f>IFERROR(__xludf.DUMMYFUNCTION("""COMPUTED_VALUE"""),1983.0)</f>
        <v>1983</v>
      </c>
      <c r="E6316">
        <f>IFERROR(__xludf.DUMMYFUNCTION("""COMPUTED_VALUE"""),854113.0)</f>
        <v>854113</v>
      </c>
    </row>
    <row r="6317">
      <c r="A6317" t="str">
        <f t="shared" si="1"/>
        <v>gnb#1984</v>
      </c>
      <c r="B6317" t="str">
        <f>IFERROR(__xludf.DUMMYFUNCTION("""COMPUTED_VALUE"""),"gnb")</f>
        <v>gnb</v>
      </c>
      <c r="C6317" t="str">
        <f>IFERROR(__xludf.DUMMYFUNCTION("""COMPUTED_VALUE"""),"Guinea-Bissau")</f>
        <v>Guinea-Bissau</v>
      </c>
      <c r="D6317">
        <f>IFERROR(__xludf.DUMMYFUNCTION("""COMPUTED_VALUE"""),1984.0)</f>
        <v>1984</v>
      </c>
      <c r="E6317">
        <f>IFERROR(__xludf.DUMMYFUNCTION("""COMPUTED_VALUE"""),876873.0)</f>
        <v>876873</v>
      </c>
    </row>
    <row r="6318">
      <c r="A6318" t="str">
        <f t="shared" si="1"/>
        <v>gnb#1985</v>
      </c>
      <c r="B6318" t="str">
        <f>IFERROR(__xludf.DUMMYFUNCTION("""COMPUTED_VALUE"""),"gnb")</f>
        <v>gnb</v>
      </c>
      <c r="C6318" t="str">
        <f>IFERROR(__xludf.DUMMYFUNCTION("""COMPUTED_VALUE"""),"Guinea-Bissau")</f>
        <v>Guinea-Bissau</v>
      </c>
      <c r="D6318">
        <f>IFERROR(__xludf.DUMMYFUNCTION("""COMPUTED_VALUE"""),1985.0)</f>
        <v>1985</v>
      </c>
      <c r="E6318">
        <f>IFERROR(__xludf.DUMMYFUNCTION("""COMPUTED_VALUE"""),899509.0)</f>
        <v>899509</v>
      </c>
    </row>
    <row r="6319">
      <c r="A6319" t="str">
        <f t="shared" si="1"/>
        <v>gnb#1986</v>
      </c>
      <c r="B6319" t="str">
        <f>IFERROR(__xludf.DUMMYFUNCTION("""COMPUTED_VALUE"""),"gnb")</f>
        <v>gnb</v>
      </c>
      <c r="C6319" t="str">
        <f>IFERROR(__xludf.DUMMYFUNCTION("""COMPUTED_VALUE"""),"Guinea-Bissau")</f>
        <v>Guinea-Bissau</v>
      </c>
      <c r="D6319">
        <f>IFERROR(__xludf.DUMMYFUNCTION("""COMPUTED_VALUE"""),1986.0)</f>
        <v>1986</v>
      </c>
      <c r="E6319">
        <f>IFERROR(__xludf.DUMMYFUNCTION("""COMPUTED_VALUE"""),921626.0)</f>
        <v>921626</v>
      </c>
    </row>
    <row r="6320">
      <c r="A6320" t="str">
        <f t="shared" si="1"/>
        <v>gnb#1987</v>
      </c>
      <c r="B6320" t="str">
        <f>IFERROR(__xludf.DUMMYFUNCTION("""COMPUTED_VALUE"""),"gnb")</f>
        <v>gnb</v>
      </c>
      <c r="C6320" t="str">
        <f>IFERROR(__xludf.DUMMYFUNCTION("""COMPUTED_VALUE"""),"Guinea-Bissau")</f>
        <v>Guinea-Bissau</v>
      </c>
      <c r="D6320">
        <f>IFERROR(__xludf.DUMMYFUNCTION("""COMPUTED_VALUE"""),1987.0)</f>
        <v>1987</v>
      </c>
      <c r="E6320">
        <f>IFERROR(__xludf.DUMMYFUNCTION("""COMPUTED_VALUE"""),943617.0)</f>
        <v>943617</v>
      </c>
    </row>
    <row r="6321">
      <c r="A6321" t="str">
        <f t="shared" si="1"/>
        <v>gnb#1988</v>
      </c>
      <c r="B6321" t="str">
        <f>IFERROR(__xludf.DUMMYFUNCTION("""COMPUTED_VALUE"""),"gnb")</f>
        <v>gnb</v>
      </c>
      <c r="C6321" t="str">
        <f>IFERROR(__xludf.DUMMYFUNCTION("""COMPUTED_VALUE"""),"Guinea-Bissau")</f>
        <v>Guinea-Bissau</v>
      </c>
      <c r="D6321">
        <f>IFERROR(__xludf.DUMMYFUNCTION("""COMPUTED_VALUE"""),1988.0)</f>
        <v>1988</v>
      </c>
      <c r="E6321">
        <f>IFERROR(__xludf.DUMMYFUNCTION("""COMPUTED_VALUE"""),965742.0)</f>
        <v>965742</v>
      </c>
    </row>
    <row r="6322">
      <c r="A6322" t="str">
        <f t="shared" si="1"/>
        <v>gnb#1989</v>
      </c>
      <c r="B6322" t="str">
        <f>IFERROR(__xludf.DUMMYFUNCTION("""COMPUTED_VALUE"""),"gnb")</f>
        <v>gnb</v>
      </c>
      <c r="C6322" t="str">
        <f>IFERROR(__xludf.DUMMYFUNCTION("""COMPUTED_VALUE"""),"Guinea-Bissau")</f>
        <v>Guinea-Bissau</v>
      </c>
      <c r="D6322">
        <f>IFERROR(__xludf.DUMMYFUNCTION("""COMPUTED_VALUE"""),1989.0)</f>
        <v>1989</v>
      </c>
      <c r="E6322">
        <f>IFERROR(__xludf.DUMMYFUNCTION("""COMPUTED_VALUE"""),988520.0)</f>
        <v>988520</v>
      </c>
    </row>
    <row r="6323">
      <c r="A6323" t="str">
        <f t="shared" si="1"/>
        <v>gnb#1990</v>
      </c>
      <c r="B6323" t="str">
        <f>IFERROR(__xludf.DUMMYFUNCTION("""COMPUTED_VALUE"""),"gnb")</f>
        <v>gnb</v>
      </c>
      <c r="C6323" t="str">
        <f>IFERROR(__xludf.DUMMYFUNCTION("""COMPUTED_VALUE"""),"Guinea-Bissau")</f>
        <v>Guinea-Bissau</v>
      </c>
      <c r="D6323">
        <f>IFERROR(__xludf.DUMMYFUNCTION("""COMPUTED_VALUE"""),1990.0)</f>
        <v>1990</v>
      </c>
      <c r="E6323">
        <f>IFERROR(__xludf.DUMMYFUNCTION("""COMPUTED_VALUE"""),1012280.0)</f>
        <v>1012280</v>
      </c>
    </row>
    <row r="6324">
      <c r="A6324" t="str">
        <f t="shared" si="1"/>
        <v>gnb#1991</v>
      </c>
      <c r="B6324" t="str">
        <f>IFERROR(__xludf.DUMMYFUNCTION("""COMPUTED_VALUE"""),"gnb")</f>
        <v>gnb</v>
      </c>
      <c r="C6324" t="str">
        <f>IFERROR(__xludf.DUMMYFUNCTION("""COMPUTED_VALUE"""),"Guinea-Bissau")</f>
        <v>Guinea-Bissau</v>
      </c>
      <c r="D6324">
        <f>IFERROR(__xludf.DUMMYFUNCTION("""COMPUTED_VALUE"""),1991.0)</f>
        <v>1991</v>
      </c>
      <c r="E6324">
        <f>IFERROR(__xludf.DUMMYFUNCTION("""COMPUTED_VALUE"""),1037155.0)</f>
        <v>1037155</v>
      </c>
    </row>
    <row r="6325">
      <c r="A6325" t="str">
        <f t="shared" si="1"/>
        <v>gnb#1992</v>
      </c>
      <c r="B6325" t="str">
        <f>IFERROR(__xludf.DUMMYFUNCTION("""COMPUTED_VALUE"""),"gnb")</f>
        <v>gnb</v>
      </c>
      <c r="C6325" t="str">
        <f>IFERROR(__xludf.DUMMYFUNCTION("""COMPUTED_VALUE"""),"Guinea-Bissau")</f>
        <v>Guinea-Bissau</v>
      </c>
      <c r="D6325">
        <f>IFERROR(__xludf.DUMMYFUNCTION("""COMPUTED_VALUE"""),1992.0)</f>
        <v>1992</v>
      </c>
      <c r="E6325">
        <f>IFERROR(__xludf.DUMMYFUNCTION("""COMPUTED_VALUE"""),1062800.0)</f>
        <v>1062800</v>
      </c>
    </row>
    <row r="6326">
      <c r="A6326" t="str">
        <f t="shared" si="1"/>
        <v>gnb#1993</v>
      </c>
      <c r="B6326" t="str">
        <f>IFERROR(__xludf.DUMMYFUNCTION("""COMPUTED_VALUE"""),"gnb")</f>
        <v>gnb</v>
      </c>
      <c r="C6326" t="str">
        <f>IFERROR(__xludf.DUMMYFUNCTION("""COMPUTED_VALUE"""),"Guinea-Bissau")</f>
        <v>Guinea-Bissau</v>
      </c>
      <c r="D6326">
        <f>IFERROR(__xludf.DUMMYFUNCTION("""COMPUTED_VALUE"""),1993.0)</f>
        <v>1993</v>
      </c>
      <c r="E6326">
        <f>IFERROR(__xludf.DUMMYFUNCTION("""COMPUTED_VALUE"""),1088569.0)</f>
        <v>1088569</v>
      </c>
    </row>
    <row r="6327">
      <c r="A6327" t="str">
        <f t="shared" si="1"/>
        <v>gnb#1994</v>
      </c>
      <c r="B6327" t="str">
        <f>IFERROR(__xludf.DUMMYFUNCTION("""COMPUTED_VALUE"""),"gnb")</f>
        <v>gnb</v>
      </c>
      <c r="C6327" t="str">
        <f>IFERROR(__xludf.DUMMYFUNCTION("""COMPUTED_VALUE"""),"Guinea-Bissau")</f>
        <v>Guinea-Bissau</v>
      </c>
      <c r="D6327">
        <f>IFERROR(__xludf.DUMMYFUNCTION("""COMPUTED_VALUE"""),1994.0)</f>
        <v>1994</v>
      </c>
      <c r="E6327">
        <f>IFERROR(__xludf.DUMMYFUNCTION("""COMPUTED_VALUE"""),1113541.0)</f>
        <v>1113541</v>
      </c>
    </row>
    <row r="6328">
      <c r="A6328" t="str">
        <f t="shared" si="1"/>
        <v>gnb#1995</v>
      </c>
      <c r="B6328" t="str">
        <f>IFERROR(__xludf.DUMMYFUNCTION("""COMPUTED_VALUE"""),"gnb")</f>
        <v>gnb</v>
      </c>
      <c r="C6328" t="str">
        <f>IFERROR(__xludf.DUMMYFUNCTION("""COMPUTED_VALUE"""),"Guinea-Bissau")</f>
        <v>Guinea-Bissau</v>
      </c>
      <c r="D6328">
        <f>IFERROR(__xludf.DUMMYFUNCTION("""COMPUTED_VALUE"""),1995.0)</f>
        <v>1995</v>
      </c>
      <c r="E6328">
        <f>IFERROR(__xludf.DUMMYFUNCTION("""COMPUTED_VALUE"""),1137122.0)</f>
        <v>1137122</v>
      </c>
    </row>
    <row r="6329">
      <c r="A6329" t="str">
        <f t="shared" si="1"/>
        <v>gnb#1996</v>
      </c>
      <c r="B6329" t="str">
        <f>IFERROR(__xludf.DUMMYFUNCTION("""COMPUTED_VALUE"""),"gnb")</f>
        <v>gnb</v>
      </c>
      <c r="C6329" t="str">
        <f>IFERROR(__xludf.DUMMYFUNCTION("""COMPUTED_VALUE"""),"Guinea-Bissau")</f>
        <v>Guinea-Bissau</v>
      </c>
      <c r="D6329">
        <f>IFERROR(__xludf.DUMMYFUNCTION("""COMPUTED_VALUE"""),1996.0)</f>
        <v>1996</v>
      </c>
      <c r="E6329">
        <f>IFERROR(__xludf.DUMMYFUNCTION("""COMPUTED_VALUE"""),1159060.0)</f>
        <v>1159060</v>
      </c>
    </row>
    <row r="6330">
      <c r="A6330" t="str">
        <f t="shared" si="1"/>
        <v>gnb#1997</v>
      </c>
      <c r="B6330" t="str">
        <f>IFERROR(__xludf.DUMMYFUNCTION("""COMPUTED_VALUE"""),"gnb")</f>
        <v>gnb</v>
      </c>
      <c r="C6330" t="str">
        <f>IFERROR(__xludf.DUMMYFUNCTION("""COMPUTED_VALUE"""),"Guinea-Bissau")</f>
        <v>Guinea-Bissau</v>
      </c>
      <c r="D6330">
        <f>IFERROR(__xludf.DUMMYFUNCTION("""COMPUTED_VALUE"""),1997.0)</f>
        <v>1997</v>
      </c>
      <c r="E6330">
        <f>IFERROR(__xludf.DUMMYFUNCTION("""COMPUTED_VALUE"""),1179727.0)</f>
        <v>1179727</v>
      </c>
    </row>
    <row r="6331">
      <c r="A6331" t="str">
        <f t="shared" si="1"/>
        <v>gnb#1998</v>
      </c>
      <c r="B6331" t="str">
        <f>IFERROR(__xludf.DUMMYFUNCTION("""COMPUTED_VALUE"""),"gnb")</f>
        <v>gnb</v>
      </c>
      <c r="C6331" t="str">
        <f>IFERROR(__xludf.DUMMYFUNCTION("""COMPUTED_VALUE"""),"Guinea-Bissau")</f>
        <v>Guinea-Bissau</v>
      </c>
      <c r="D6331">
        <f>IFERROR(__xludf.DUMMYFUNCTION("""COMPUTED_VALUE"""),1998.0)</f>
        <v>1998</v>
      </c>
      <c r="E6331">
        <f>IFERROR(__xludf.DUMMYFUNCTION("""COMPUTED_VALUE"""),1199915.0)</f>
        <v>1199915</v>
      </c>
    </row>
    <row r="6332">
      <c r="A6332" t="str">
        <f t="shared" si="1"/>
        <v>gnb#1999</v>
      </c>
      <c r="B6332" t="str">
        <f>IFERROR(__xludf.DUMMYFUNCTION("""COMPUTED_VALUE"""),"gnb")</f>
        <v>gnb</v>
      </c>
      <c r="C6332" t="str">
        <f>IFERROR(__xludf.DUMMYFUNCTION("""COMPUTED_VALUE"""),"Guinea-Bissau")</f>
        <v>Guinea-Bissau</v>
      </c>
      <c r="D6332">
        <f>IFERROR(__xludf.DUMMYFUNCTION("""COMPUTED_VALUE"""),1999.0)</f>
        <v>1999</v>
      </c>
      <c r="E6332">
        <f>IFERROR(__xludf.DUMMYFUNCTION("""COMPUTED_VALUE"""),1220794.0)</f>
        <v>1220794</v>
      </c>
    </row>
    <row r="6333">
      <c r="A6333" t="str">
        <f t="shared" si="1"/>
        <v>gnb#2000</v>
      </c>
      <c r="B6333" t="str">
        <f>IFERROR(__xludf.DUMMYFUNCTION("""COMPUTED_VALUE"""),"gnb")</f>
        <v>gnb</v>
      </c>
      <c r="C6333" t="str">
        <f>IFERROR(__xludf.DUMMYFUNCTION("""COMPUTED_VALUE"""),"Guinea-Bissau")</f>
        <v>Guinea-Bissau</v>
      </c>
      <c r="D6333">
        <f>IFERROR(__xludf.DUMMYFUNCTION("""COMPUTED_VALUE"""),2000.0)</f>
        <v>2000</v>
      </c>
      <c r="E6333">
        <f>IFERROR(__xludf.DUMMYFUNCTION("""COMPUTED_VALUE"""),1243229.0)</f>
        <v>1243229</v>
      </c>
    </row>
    <row r="6334">
      <c r="A6334" t="str">
        <f t="shared" si="1"/>
        <v>gnb#2001</v>
      </c>
      <c r="B6334" t="str">
        <f>IFERROR(__xludf.DUMMYFUNCTION("""COMPUTED_VALUE"""),"gnb")</f>
        <v>gnb</v>
      </c>
      <c r="C6334" t="str">
        <f>IFERROR(__xludf.DUMMYFUNCTION("""COMPUTED_VALUE"""),"Guinea-Bissau")</f>
        <v>Guinea-Bissau</v>
      </c>
      <c r="D6334">
        <f>IFERROR(__xludf.DUMMYFUNCTION("""COMPUTED_VALUE"""),2001.0)</f>
        <v>2001</v>
      </c>
      <c r="E6334">
        <f>IFERROR(__xludf.DUMMYFUNCTION("""COMPUTED_VALUE"""),1267512.0)</f>
        <v>1267512</v>
      </c>
    </row>
    <row r="6335">
      <c r="A6335" t="str">
        <f t="shared" si="1"/>
        <v>gnb#2002</v>
      </c>
      <c r="B6335" t="str">
        <f>IFERROR(__xludf.DUMMYFUNCTION("""COMPUTED_VALUE"""),"gnb")</f>
        <v>gnb</v>
      </c>
      <c r="C6335" t="str">
        <f>IFERROR(__xludf.DUMMYFUNCTION("""COMPUTED_VALUE"""),"Guinea-Bissau")</f>
        <v>Guinea-Bissau</v>
      </c>
      <c r="D6335">
        <f>IFERROR(__xludf.DUMMYFUNCTION("""COMPUTED_VALUE"""),2002.0)</f>
        <v>2002</v>
      </c>
      <c r="E6335">
        <f>IFERROR(__xludf.DUMMYFUNCTION("""COMPUTED_VALUE"""),1293523.0)</f>
        <v>1293523</v>
      </c>
    </row>
    <row r="6336">
      <c r="A6336" t="str">
        <f t="shared" si="1"/>
        <v>gnb#2003</v>
      </c>
      <c r="B6336" t="str">
        <f>IFERROR(__xludf.DUMMYFUNCTION("""COMPUTED_VALUE"""),"gnb")</f>
        <v>gnb</v>
      </c>
      <c r="C6336" t="str">
        <f>IFERROR(__xludf.DUMMYFUNCTION("""COMPUTED_VALUE"""),"Guinea-Bissau")</f>
        <v>Guinea-Bissau</v>
      </c>
      <c r="D6336">
        <f>IFERROR(__xludf.DUMMYFUNCTION("""COMPUTED_VALUE"""),2003.0)</f>
        <v>2003</v>
      </c>
      <c r="E6336">
        <f>IFERROR(__xludf.DUMMYFUNCTION("""COMPUTED_VALUE"""),1321202.0)</f>
        <v>1321202</v>
      </c>
    </row>
    <row r="6337">
      <c r="A6337" t="str">
        <f t="shared" si="1"/>
        <v>gnb#2004</v>
      </c>
      <c r="B6337" t="str">
        <f>IFERROR(__xludf.DUMMYFUNCTION("""COMPUTED_VALUE"""),"gnb")</f>
        <v>gnb</v>
      </c>
      <c r="C6337" t="str">
        <f>IFERROR(__xludf.DUMMYFUNCTION("""COMPUTED_VALUE"""),"Guinea-Bissau")</f>
        <v>Guinea-Bissau</v>
      </c>
      <c r="D6337">
        <f>IFERROR(__xludf.DUMMYFUNCTION("""COMPUTED_VALUE"""),2004.0)</f>
        <v>2004</v>
      </c>
      <c r="E6337">
        <f>IFERROR(__xludf.DUMMYFUNCTION("""COMPUTED_VALUE"""),1350345.0)</f>
        <v>1350345</v>
      </c>
    </row>
    <row r="6338">
      <c r="A6338" t="str">
        <f t="shared" si="1"/>
        <v>gnb#2005</v>
      </c>
      <c r="B6338" t="str">
        <f>IFERROR(__xludf.DUMMYFUNCTION("""COMPUTED_VALUE"""),"gnb")</f>
        <v>gnb</v>
      </c>
      <c r="C6338" t="str">
        <f>IFERROR(__xludf.DUMMYFUNCTION("""COMPUTED_VALUE"""),"Guinea-Bissau")</f>
        <v>Guinea-Bissau</v>
      </c>
      <c r="D6338">
        <f>IFERROR(__xludf.DUMMYFUNCTION("""COMPUTED_VALUE"""),2005.0)</f>
        <v>2005</v>
      </c>
      <c r="E6338">
        <f>IFERROR(__xludf.DUMMYFUNCTION("""COMPUTED_VALUE"""),1380838.0)</f>
        <v>1380838</v>
      </c>
    </row>
    <row r="6339">
      <c r="A6339" t="str">
        <f t="shared" si="1"/>
        <v>gnb#2006</v>
      </c>
      <c r="B6339" t="str">
        <f>IFERROR(__xludf.DUMMYFUNCTION("""COMPUTED_VALUE"""),"gnb")</f>
        <v>gnb</v>
      </c>
      <c r="C6339" t="str">
        <f>IFERROR(__xludf.DUMMYFUNCTION("""COMPUTED_VALUE"""),"Guinea-Bissau")</f>
        <v>Guinea-Bissau</v>
      </c>
      <c r="D6339">
        <f>IFERROR(__xludf.DUMMYFUNCTION("""COMPUTED_VALUE"""),2006.0)</f>
        <v>2006</v>
      </c>
      <c r="E6339">
        <f>IFERROR(__xludf.DUMMYFUNCTION("""COMPUTED_VALUE"""),1412669.0)</f>
        <v>1412669</v>
      </c>
    </row>
    <row r="6340">
      <c r="A6340" t="str">
        <f t="shared" si="1"/>
        <v>gnb#2007</v>
      </c>
      <c r="B6340" t="str">
        <f>IFERROR(__xludf.DUMMYFUNCTION("""COMPUTED_VALUE"""),"gnb")</f>
        <v>gnb</v>
      </c>
      <c r="C6340" t="str">
        <f>IFERROR(__xludf.DUMMYFUNCTION("""COMPUTED_VALUE"""),"Guinea-Bissau")</f>
        <v>Guinea-Bissau</v>
      </c>
      <c r="D6340">
        <f>IFERROR(__xludf.DUMMYFUNCTION("""COMPUTED_VALUE"""),2007.0)</f>
        <v>2007</v>
      </c>
      <c r="E6340">
        <f>IFERROR(__xludf.DUMMYFUNCTION("""COMPUTED_VALUE"""),1445958.0)</f>
        <v>1445958</v>
      </c>
    </row>
    <row r="6341">
      <c r="A6341" t="str">
        <f t="shared" si="1"/>
        <v>gnb#2008</v>
      </c>
      <c r="B6341" t="str">
        <f>IFERROR(__xludf.DUMMYFUNCTION("""COMPUTED_VALUE"""),"gnb")</f>
        <v>gnb</v>
      </c>
      <c r="C6341" t="str">
        <f>IFERROR(__xludf.DUMMYFUNCTION("""COMPUTED_VALUE"""),"Guinea-Bissau")</f>
        <v>Guinea-Bissau</v>
      </c>
      <c r="D6341">
        <f>IFERROR(__xludf.DUMMYFUNCTION("""COMPUTED_VALUE"""),2008.0)</f>
        <v>2008</v>
      </c>
      <c r="E6341">
        <f>IFERROR(__xludf.DUMMYFUNCTION("""COMPUTED_VALUE"""),1480841.0)</f>
        <v>1480841</v>
      </c>
    </row>
    <row r="6342">
      <c r="A6342" t="str">
        <f t="shared" si="1"/>
        <v>gnb#2009</v>
      </c>
      <c r="B6342" t="str">
        <f>IFERROR(__xludf.DUMMYFUNCTION("""COMPUTED_VALUE"""),"gnb")</f>
        <v>gnb</v>
      </c>
      <c r="C6342" t="str">
        <f>IFERROR(__xludf.DUMMYFUNCTION("""COMPUTED_VALUE"""),"Guinea-Bissau")</f>
        <v>Guinea-Bissau</v>
      </c>
      <c r="D6342">
        <f>IFERROR(__xludf.DUMMYFUNCTION("""COMPUTED_VALUE"""),2009.0)</f>
        <v>2009</v>
      </c>
      <c r="E6342">
        <f>IFERROR(__xludf.DUMMYFUNCTION("""COMPUTED_VALUE"""),1517448.0)</f>
        <v>1517448</v>
      </c>
    </row>
    <row r="6343">
      <c r="A6343" t="str">
        <f t="shared" si="1"/>
        <v>gnb#2010</v>
      </c>
      <c r="B6343" t="str">
        <f>IFERROR(__xludf.DUMMYFUNCTION("""COMPUTED_VALUE"""),"gnb")</f>
        <v>gnb</v>
      </c>
      <c r="C6343" t="str">
        <f>IFERROR(__xludf.DUMMYFUNCTION("""COMPUTED_VALUE"""),"Guinea-Bissau")</f>
        <v>Guinea-Bissau</v>
      </c>
      <c r="D6343">
        <f>IFERROR(__xludf.DUMMYFUNCTION("""COMPUTED_VALUE"""),2010.0)</f>
        <v>2010</v>
      </c>
      <c r="E6343">
        <f>IFERROR(__xludf.DUMMYFUNCTION("""COMPUTED_VALUE"""),1555880.0)</f>
        <v>1555880</v>
      </c>
    </row>
    <row r="6344">
      <c r="A6344" t="str">
        <f t="shared" si="1"/>
        <v>gnb#2011</v>
      </c>
      <c r="B6344" t="str">
        <f>IFERROR(__xludf.DUMMYFUNCTION("""COMPUTED_VALUE"""),"gnb")</f>
        <v>gnb</v>
      </c>
      <c r="C6344" t="str">
        <f>IFERROR(__xludf.DUMMYFUNCTION("""COMPUTED_VALUE"""),"Guinea-Bissau")</f>
        <v>Guinea-Bissau</v>
      </c>
      <c r="D6344">
        <f>IFERROR(__xludf.DUMMYFUNCTION("""COMPUTED_VALUE"""),2011.0)</f>
        <v>2011</v>
      </c>
      <c r="E6344">
        <f>IFERROR(__xludf.DUMMYFUNCTION("""COMPUTED_VALUE"""),1596154.0)</f>
        <v>1596154</v>
      </c>
    </row>
    <row r="6345">
      <c r="A6345" t="str">
        <f t="shared" si="1"/>
        <v>gnb#2012</v>
      </c>
      <c r="B6345" t="str">
        <f>IFERROR(__xludf.DUMMYFUNCTION("""COMPUTED_VALUE"""),"gnb")</f>
        <v>gnb</v>
      </c>
      <c r="C6345" t="str">
        <f>IFERROR(__xludf.DUMMYFUNCTION("""COMPUTED_VALUE"""),"Guinea-Bissau")</f>
        <v>Guinea-Bissau</v>
      </c>
      <c r="D6345">
        <f>IFERROR(__xludf.DUMMYFUNCTION("""COMPUTED_VALUE"""),2012.0)</f>
        <v>2012</v>
      </c>
      <c r="E6345">
        <f>IFERROR(__xludf.DUMMYFUNCTION("""COMPUTED_VALUE"""),1638139.0)</f>
        <v>1638139</v>
      </c>
    </row>
    <row r="6346">
      <c r="A6346" t="str">
        <f t="shared" si="1"/>
        <v>gnb#2013</v>
      </c>
      <c r="B6346" t="str">
        <f>IFERROR(__xludf.DUMMYFUNCTION("""COMPUTED_VALUE"""),"gnb")</f>
        <v>gnb</v>
      </c>
      <c r="C6346" t="str">
        <f>IFERROR(__xludf.DUMMYFUNCTION("""COMPUTED_VALUE"""),"Guinea-Bissau")</f>
        <v>Guinea-Bissau</v>
      </c>
      <c r="D6346">
        <f>IFERROR(__xludf.DUMMYFUNCTION("""COMPUTED_VALUE"""),2013.0)</f>
        <v>2013</v>
      </c>
      <c r="E6346">
        <f>IFERROR(__xludf.DUMMYFUNCTION("""COMPUTED_VALUE"""),1681495.0)</f>
        <v>1681495</v>
      </c>
    </row>
    <row r="6347">
      <c r="A6347" t="str">
        <f t="shared" si="1"/>
        <v>gnb#2014</v>
      </c>
      <c r="B6347" t="str">
        <f>IFERROR(__xludf.DUMMYFUNCTION("""COMPUTED_VALUE"""),"gnb")</f>
        <v>gnb</v>
      </c>
      <c r="C6347" t="str">
        <f>IFERROR(__xludf.DUMMYFUNCTION("""COMPUTED_VALUE"""),"Guinea-Bissau")</f>
        <v>Guinea-Bissau</v>
      </c>
      <c r="D6347">
        <f>IFERROR(__xludf.DUMMYFUNCTION("""COMPUTED_VALUE"""),2014.0)</f>
        <v>2014</v>
      </c>
      <c r="E6347">
        <f>IFERROR(__xludf.DUMMYFUNCTION("""COMPUTED_VALUE"""),1725744.0)</f>
        <v>1725744</v>
      </c>
    </row>
    <row r="6348">
      <c r="A6348" t="str">
        <f t="shared" si="1"/>
        <v>gnb#2015</v>
      </c>
      <c r="B6348" t="str">
        <f>IFERROR(__xludf.DUMMYFUNCTION("""COMPUTED_VALUE"""),"gnb")</f>
        <v>gnb</v>
      </c>
      <c r="C6348" t="str">
        <f>IFERROR(__xludf.DUMMYFUNCTION("""COMPUTED_VALUE"""),"Guinea-Bissau")</f>
        <v>Guinea-Bissau</v>
      </c>
      <c r="D6348">
        <f>IFERROR(__xludf.DUMMYFUNCTION("""COMPUTED_VALUE"""),2015.0)</f>
        <v>2015</v>
      </c>
      <c r="E6348">
        <f>IFERROR(__xludf.DUMMYFUNCTION("""COMPUTED_VALUE"""),1770526.0)</f>
        <v>1770526</v>
      </c>
    </row>
    <row r="6349">
      <c r="A6349" t="str">
        <f t="shared" si="1"/>
        <v>gnb#2016</v>
      </c>
      <c r="B6349" t="str">
        <f>IFERROR(__xludf.DUMMYFUNCTION("""COMPUTED_VALUE"""),"gnb")</f>
        <v>gnb</v>
      </c>
      <c r="C6349" t="str">
        <f>IFERROR(__xludf.DUMMYFUNCTION("""COMPUTED_VALUE"""),"Guinea-Bissau")</f>
        <v>Guinea-Bissau</v>
      </c>
      <c r="D6349">
        <f>IFERROR(__xludf.DUMMYFUNCTION("""COMPUTED_VALUE"""),2016.0)</f>
        <v>2016</v>
      </c>
      <c r="E6349">
        <f>IFERROR(__xludf.DUMMYFUNCTION("""COMPUTED_VALUE"""),1815698.0)</f>
        <v>1815698</v>
      </c>
    </row>
    <row r="6350">
      <c r="A6350" t="str">
        <f t="shared" si="1"/>
        <v>gnb#2017</v>
      </c>
      <c r="B6350" t="str">
        <f>IFERROR(__xludf.DUMMYFUNCTION("""COMPUTED_VALUE"""),"gnb")</f>
        <v>gnb</v>
      </c>
      <c r="C6350" t="str">
        <f>IFERROR(__xludf.DUMMYFUNCTION("""COMPUTED_VALUE"""),"Guinea-Bissau")</f>
        <v>Guinea-Bissau</v>
      </c>
      <c r="D6350">
        <f>IFERROR(__xludf.DUMMYFUNCTION("""COMPUTED_VALUE"""),2017.0)</f>
        <v>2017</v>
      </c>
      <c r="E6350">
        <f>IFERROR(__xludf.DUMMYFUNCTION("""COMPUTED_VALUE"""),1861283.0)</f>
        <v>1861283</v>
      </c>
    </row>
    <row r="6351">
      <c r="A6351" t="str">
        <f t="shared" si="1"/>
        <v>gnb#2018</v>
      </c>
      <c r="B6351" t="str">
        <f>IFERROR(__xludf.DUMMYFUNCTION("""COMPUTED_VALUE"""),"gnb")</f>
        <v>gnb</v>
      </c>
      <c r="C6351" t="str">
        <f>IFERROR(__xludf.DUMMYFUNCTION("""COMPUTED_VALUE"""),"Guinea-Bissau")</f>
        <v>Guinea-Bissau</v>
      </c>
      <c r="D6351">
        <f>IFERROR(__xludf.DUMMYFUNCTION("""COMPUTED_VALUE"""),2018.0)</f>
        <v>2018</v>
      </c>
      <c r="E6351">
        <f>IFERROR(__xludf.DUMMYFUNCTION("""COMPUTED_VALUE"""),1907268.0)</f>
        <v>1907268</v>
      </c>
    </row>
    <row r="6352">
      <c r="A6352" t="str">
        <f t="shared" si="1"/>
        <v>gnb#2019</v>
      </c>
      <c r="B6352" t="str">
        <f>IFERROR(__xludf.DUMMYFUNCTION("""COMPUTED_VALUE"""),"gnb")</f>
        <v>gnb</v>
      </c>
      <c r="C6352" t="str">
        <f>IFERROR(__xludf.DUMMYFUNCTION("""COMPUTED_VALUE"""),"Guinea-Bissau")</f>
        <v>Guinea-Bissau</v>
      </c>
      <c r="D6352">
        <f>IFERROR(__xludf.DUMMYFUNCTION("""COMPUTED_VALUE"""),2019.0)</f>
        <v>2019</v>
      </c>
      <c r="E6352">
        <f>IFERROR(__xludf.DUMMYFUNCTION("""COMPUTED_VALUE"""),1953723.0)</f>
        <v>1953723</v>
      </c>
    </row>
    <row r="6353">
      <c r="A6353" t="str">
        <f t="shared" si="1"/>
        <v>gnb#2020</v>
      </c>
      <c r="B6353" t="str">
        <f>IFERROR(__xludf.DUMMYFUNCTION("""COMPUTED_VALUE"""),"gnb")</f>
        <v>gnb</v>
      </c>
      <c r="C6353" t="str">
        <f>IFERROR(__xludf.DUMMYFUNCTION("""COMPUTED_VALUE"""),"Guinea-Bissau")</f>
        <v>Guinea-Bissau</v>
      </c>
      <c r="D6353">
        <f>IFERROR(__xludf.DUMMYFUNCTION("""COMPUTED_VALUE"""),2020.0)</f>
        <v>2020</v>
      </c>
      <c r="E6353">
        <f>IFERROR(__xludf.DUMMYFUNCTION("""COMPUTED_VALUE"""),2000694.0)</f>
        <v>2000694</v>
      </c>
    </row>
    <row r="6354">
      <c r="A6354" t="str">
        <f t="shared" si="1"/>
        <v>gnb#2021</v>
      </c>
      <c r="B6354" t="str">
        <f>IFERROR(__xludf.DUMMYFUNCTION("""COMPUTED_VALUE"""),"gnb")</f>
        <v>gnb</v>
      </c>
      <c r="C6354" t="str">
        <f>IFERROR(__xludf.DUMMYFUNCTION("""COMPUTED_VALUE"""),"Guinea-Bissau")</f>
        <v>Guinea-Bissau</v>
      </c>
      <c r="D6354">
        <f>IFERROR(__xludf.DUMMYFUNCTION("""COMPUTED_VALUE"""),2021.0)</f>
        <v>2021</v>
      </c>
      <c r="E6354">
        <f>IFERROR(__xludf.DUMMYFUNCTION("""COMPUTED_VALUE"""),2048139.0)</f>
        <v>2048139</v>
      </c>
    </row>
    <row r="6355">
      <c r="A6355" t="str">
        <f t="shared" si="1"/>
        <v>gnb#2022</v>
      </c>
      <c r="B6355" t="str">
        <f>IFERROR(__xludf.DUMMYFUNCTION("""COMPUTED_VALUE"""),"gnb")</f>
        <v>gnb</v>
      </c>
      <c r="C6355" t="str">
        <f>IFERROR(__xludf.DUMMYFUNCTION("""COMPUTED_VALUE"""),"Guinea-Bissau")</f>
        <v>Guinea-Bissau</v>
      </c>
      <c r="D6355">
        <f>IFERROR(__xludf.DUMMYFUNCTION("""COMPUTED_VALUE"""),2022.0)</f>
        <v>2022</v>
      </c>
      <c r="E6355">
        <f>IFERROR(__xludf.DUMMYFUNCTION("""COMPUTED_VALUE"""),2096009.0)</f>
        <v>2096009</v>
      </c>
    </row>
    <row r="6356">
      <c r="A6356" t="str">
        <f t="shared" si="1"/>
        <v>gnb#2023</v>
      </c>
      <c r="B6356" t="str">
        <f>IFERROR(__xludf.DUMMYFUNCTION("""COMPUTED_VALUE"""),"gnb")</f>
        <v>gnb</v>
      </c>
      <c r="C6356" t="str">
        <f>IFERROR(__xludf.DUMMYFUNCTION("""COMPUTED_VALUE"""),"Guinea-Bissau")</f>
        <v>Guinea-Bissau</v>
      </c>
      <c r="D6356">
        <f>IFERROR(__xludf.DUMMYFUNCTION("""COMPUTED_VALUE"""),2023.0)</f>
        <v>2023</v>
      </c>
      <c r="E6356">
        <f>IFERROR(__xludf.DUMMYFUNCTION("""COMPUTED_VALUE"""),2144247.0)</f>
        <v>2144247</v>
      </c>
    </row>
    <row r="6357">
      <c r="A6357" t="str">
        <f t="shared" si="1"/>
        <v>gnb#2024</v>
      </c>
      <c r="B6357" t="str">
        <f>IFERROR(__xludf.DUMMYFUNCTION("""COMPUTED_VALUE"""),"gnb")</f>
        <v>gnb</v>
      </c>
      <c r="C6357" t="str">
        <f>IFERROR(__xludf.DUMMYFUNCTION("""COMPUTED_VALUE"""),"Guinea-Bissau")</f>
        <v>Guinea-Bissau</v>
      </c>
      <c r="D6357">
        <f>IFERROR(__xludf.DUMMYFUNCTION("""COMPUTED_VALUE"""),2024.0)</f>
        <v>2024</v>
      </c>
      <c r="E6357">
        <f>IFERROR(__xludf.DUMMYFUNCTION("""COMPUTED_VALUE"""),2192880.0)</f>
        <v>2192880</v>
      </c>
    </row>
    <row r="6358">
      <c r="A6358" t="str">
        <f t="shared" si="1"/>
        <v>gnb#2025</v>
      </c>
      <c r="B6358" t="str">
        <f>IFERROR(__xludf.DUMMYFUNCTION("""COMPUTED_VALUE"""),"gnb")</f>
        <v>gnb</v>
      </c>
      <c r="C6358" t="str">
        <f>IFERROR(__xludf.DUMMYFUNCTION("""COMPUTED_VALUE"""),"Guinea-Bissau")</f>
        <v>Guinea-Bissau</v>
      </c>
      <c r="D6358">
        <f>IFERROR(__xludf.DUMMYFUNCTION("""COMPUTED_VALUE"""),2025.0)</f>
        <v>2025</v>
      </c>
      <c r="E6358">
        <f>IFERROR(__xludf.DUMMYFUNCTION("""COMPUTED_VALUE"""),2241865.0)</f>
        <v>2241865</v>
      </c>
    </row>
    <row r="6359">
      <c r="A6359" t="str">
        <f t="shared" si="1"/>
        <v>gnb#2026</v>
      </c>
      <c r="B6359" t="str">
        <f>IFERROR(__xludf.DUMMYFUNCTION("""COMPUTED_VALUE"""),"gnb")</f>
        <v>gnb</v>
      </c>
      <c r="C6359" t="str">
        <f>IFERROR(__xludf.DUMMYFUNCTION("""COMPUTED_VALUE"""),"Guinea-Bissau")</f>
        <v>Guinea-Bissau</v>
      </c>
      <c r="D6359">
        <f>IFERROR(__xludf.DUMMYFUNCTION("""COMPUTED_VALUE"""),2026.0)</f>
        <v>2026</v>
      </c>
      <c r="E6359">
        <f>IFERROR(__xludf.DUMMYFUNCTION("""COMPUTED_VALUE"""),2291199.0)</f>
        <v>2291199</v>
      </c>
    </row>
    <row r="6360">
      <c r="A6360" t="str">
        <f t="shared" si="1"/>
        <v>gnb#2027</v>
      </c>
      <c r="B6360" t="str">
        <f>IFERROR(__xludf.DUMMYFUNCTION("""COMPUTED_VALUE"""),"gnb")</f>
        <v>gnb</v>
      </c>
      <c r="C6360" t="str">
        <f>IFERROR(__xludf.DUMMYFUNCTION("""COMPUTED_VALUE"""),"Guinea-Bissau")</f>
        <v>Guinea-Bissau</v>
      </c>
      <c r="D6360">
        <f>IFERROR(__xludf.DUMMYFUNCTION("""COMPUTED_VALUE"""),2027.0)</f>
        <v>2027</v>
      </c>
      <c r="E6360">
        <f>IFERROR(__xludf.DUMMYFUNCTION("""COMPUTED_VALUE"""),2340894.0)</f>
        <v>2340894</v>
      </c>
    </row>
    <row r="6361">
      <c r="A6361" t="str">
        <f t="shared" si="1"/>
        <v>gnb#2028</v>
      </c>
      <c r="B6361" t="str">
        <f>IFERROR(__xludf.DUMMYFUNCTION("""COMPUTED_VALUE"""),"gnb")</f>
        <v>gnb</v>
      </c>
      <c r="C6361" t="str">
        <f>IFERROR(__xludf.DUMMYFUNCTION("""COMPUTED_VALUE"""),"Guinea-Bissau")</f>
        <v>Guinea-Bissau</v>
      </c>
      <c r="D6361">
        <f>IFERROR(__xludf.DUMMYFUNCTION("""COMPUTED_VALUE"""),2028.0)</f>
        <v>2028</v>
      </c>
      <c r="E6361">
        <f>IFERROR(__xludf.DUMMYFUNCTION("""COMPUTED_VALUE"""),2390982.0)</f>
        <v>2390982</v>
      </c>
    </row>
    <row r="6362">
      <c r="A6362" t="str">
        <f t="shared" si="1"/>
        <v>gnb#2029</v>
      </c>
      <c r="B6362" t="str">
        <f>IFERROR(__xludf.DUMMYFUNCTION("""COMPUTED_VALUE"""),"gnb")</f>
        <v>gnb</v>
      </c>
      <c r="C6362" t="str">
        <f>IFERROR(__xludf.DUMMYFUNCTION("""COMPUTED_VALUE"""),"Guinea-Bissau")</f>
        <v>Guinea-Bissau</v>
      </c>
      <c r="D6362">
        <f>IFERROR(__xludf.DUMMYFUNCTION("""COMPUTED_VALUE"""),2029.0)</f>
        <v>2029</v>
      </c>
      <c r="E6362">
        <f>IFERROR(__xludf.DUMMYFUNCTION("""COMPUTED_VALUE"""),2441532.0)</f>
        <v>2441532</v>
      </c>
    </row>
    <row r="6363">
      <c r="A6363" t="str">
        <f t="shared" si="1"/>
        <v>gnb#2030</v>
      </c>
      <c r="B6363" t="str">
        <f>IFERROR(__xludf.DUMMYFUNCTION("""COMPUTED_VALUE"""),"gnb")</f>
        <v>gnb</v>
      </c>
      <c r="C6363" t="str">
        <f>IFERROR(__xludf.DUMMYFUNCTION("""COMPUTED_VALUE"""),"Guinea-Bissau")</f>
        <v>Guinea-Bissau</v>
      </c>
      <c r="D6363">
        <f>IFERROR(__xludf.DUMMYFUNCTION("""COMPUTED_VALUE"""),2030.0)</f>
        <v>2030</v>
      </c>
      <c r="E6363">
        <f>IFERROR(__xludf.DUMMYFUNCTION("""COMPUTED_VALUE"""),2492580.0)</f>
        <v>2492580</v>
      </c>
    </row>
    <row r="6364">
      <c r="A6364" t="str">
        <f t="shared" si="1"/>
        <v>gnb#2031</v>
      </c>
      <c r="B6364" t="str">
        <f>IFERROR(__xludf.DUMMYFUNCTION("""COMPUTED_VALUE"""),"gnb")</f>
        <v>gnb</v>
      </c>
      <c r="C6364" t="str">
        <f>IFERROR(__xludf.DUMMYFUNCTION("""COMPUTED_VALUE"""),"Guinea-Bissau")</f>
        <v>Guinea-Bissau</v>
      </c>
      <c r="D6364">
        <f>IFERROR(__xludf.DUMMYFUNCTION("""COMPUTED_VALUE"""),2031.0)</f>
        <v>2031</v>
      </c>
      <c r="E6364">
        <f>IFERROR(__xludf.DUMMYFUNCTION("""COMPUTED_VALUE"""),2544120.0)</f>
        <v>2544120</v>
      </c>
    </row>
    <row r="6365">
      <c r="A6365" t="str">
        <f t="shared" si="1"/>
        <v>gnb#2032</v>
      </c>
      <c r="B6365" t="str">
        <f>IFERROR(__xludf.DUMMYFUNCTION("""COMPUTED_VALUE"""),"gnb")</f>
        <v>gnb</v>
      </c>
      <c r="C6365" t="str">
        <f>IFERROR(__xludf.DUMMYFUNCTION("""COMPUTED_VALUE"""),"Guinea-Bissau")</f>
        <v>Guinea-Bissau</v>
      </c>
      <c r="D6365">
        <f>IFERROR(__xludf.DUMMYFUNCTION("""COMPUTED_VALUE"""),2032.0)</f>
        <v>2032</v>
      </c>
      <c r="E6365">
        <f>IFERROR(__xludf.DUMMYFUNCTION("""COMPUTED_VALUE"""),2596172.0)</f>
        <v>2596172</v>
      </c>
    </row>
    <row r="6366">
      <c r="A6366" t="str">
        <f t="shared" si="1"/>
        <v>gnb#2033</v>
      </c>
      <c r="B6366" t="str">
        <f>IFERROR(__xludf.DUMMYFUNCTION("""COMPUTED_VALUE"""),"gnb")</f>
        <v>gnb</v>
      </c>
      <c r="C6366" t="str">
        <f>IFERROR(__xludf.DUMMYFUNCTION("""COMPUTED_VALUE"""),"Guinea-Bissau")</f>
        <v>Guinea-Bissau</v>
      </c>
      <c r="D6366">
        <f>IFERROR(__xludf.DUMMYFUNCTION("""COMPUTED_VALUE"""),2033.0)</f>
        <v>2033</v>
      </c>
      <c r="E6366">
        <f>IFERROR(__xludf.DUMMYFUNCTION("""COMPUTED_VALUE"""),2648734.0)</f>
        <v>2648734</v>
      </c>
    </row>
    <row r="6367">
      <c r="A6367" t="str">
        <f t="shared" si="1"/>
        <v>gnb#2034</v>
      </c>
      <c r="B6367" t="str">
        <f>IFERROR(__xludf.DUMMYFUNCTION("""COMPUTED_VALUE"""),"gnb")</f>
        <v>gnb</v>
      </c>
      <c r="C6367" t="str">
        <f>IFERROR(__xludf.DUMMYFUNCTION("""COMPUTED_VALUE"""),"Guinea-Bissau")</f>
        <v>Guinea-Bissau</v>
      </c>
      <c r="D6367">
        <f>IFERROR(__xludf.DUMMYFUNCTION("""COMPUTED_VALUE"""),2034.0)</f>
        <v>2034</v>
      </c>
      <c r="E6367">
        <f>IFERROR(__xludf.DUMMYFUNCTION("""COMPUTED_VALUE"""),2701825.0)</f>
        <v>2701825</v>
      </c>
    </row>
    <row r="6368">
      <c r="A6368" t="str">
        <f t="shared" si="1"/>
        <v>gnb#2035</v>
      </c>
      <c r="B6368" t="str">
        <f>IFERROR(__xludf.DUMMYFUNCTION("""COMPUTED_VALUE"""),"gnb")</f>
        <v>gnb</v>
      </c>
      <c r="C6368" t="str">
        <f>IFERROR(__xludf.DUMMYFUNCTION("""COMPUTED_VALUE"""),"Guinea-Bissau")</f>
        <v>Guinea-Bissau</v>
      </c>
      <c r="D6368">
        <f>IFERROR(__xludf.DUMMYFUNCTION("""COMPUTED_VALUE"""),2035.0)</f>
        <v>2035</v>
      </c>
      <c r="E6368">
        <f>IFERROR(__xludf.DUMMYFUNCTION("""COMPUTED_VALUE"""),2755473.0)</f>
        <v>2755473</v>
      </c>
    </row>
    <row r="6369">
      <c r="A6369" t="str">
        <f t="shared" si="1"/>
        <v>gnb#2036</v>
      </c>
      <c r="B6369" t="str">
        <f>IFERROR(__xludf.DUMMYFUNCTION("""COMPUTED_VALUE"""),"gnb")</f>
        <v>gnb</v>
      </c>
      <c r="C6369" t="str">
        <f>IFERROR(__xludf.DUMMYFUNCTION("""COMPUTED_VALUE"""),"Guinea-Bissau")</f>
        <v>Guinea-Bissau</v>
      </c>
      <c r="D6369">
        <f>IFERROR(__xludf.DUMMYFUNCTION("""COMPUTED_VALUE"""),2036.0)</f>
        <v>2036</v>
      </c>
      <c r="E6369">
        <f>IFERROR(__xludf.DUMMYFUNCTION("""COMPUTED_VALUE"""),2809661.0)</f>
        <v>2809661</v>
      </c>
    </row>
    <row r="6370">
      <c r="A6370" t="str">
        <f t="shared" si="1"/>
        <v>gnb#2037</v>
      </c>
      <c r="B6370" t="str">
        <f>IFERROR(__xludf.DUMMYFUNCTION("""COMPUTED_VALUE"""),"gnb")</f>
        <v>gnb</v>
      </c>
      <c r="C6370" t="str">
        <f>IFERROR(__xludf.DUMMYFUNCTION("""COMPUTED_VALUE"""),"Guinea-Bissau")</f>
        <v>Guinea-Bissau</v>
      </c>
      <c r="D6370">
        <f>IFERROR(__xludf.DUMMYFUNCTION("""COMPUTED_VALUE"""),2037.0)</f>
        <v>2037</v>
      </c>
      <c r="E6370">
        <f>IFERROR(__xludf.DUMMYFUNCTION("""COMPUTED_VALUE"""),2864364.0)</f>
        <v>2864364</v>
      </c>
    </row>
    <row r="6371">
      <c r="A6371" t="str">
        <f t="shared" si="1"/>
        <v>gnb#2038</v>
      </c>
      <c r="B6371" t="str">
        <f>IFERROR(__xludf.DUMMYFUNCTION("""COMPUTED_VALUE"""),"gnb")</f>
        <v>gnb</v>
      </c>
      <c r="C6371" t="str">
        <f>IFERROR(__xludf.DUMMYFUNCTION("""COMPUTED_VALUE"""),"Guinea-Bissau")</f>
        <v>Guinea-Bissau</v>
      </c>
      <c r="D6371">
        <f>IFERROR(__xludf.DUMMYFUNCTION("""COMPUTED_VALUE"""),2038.0)</f>
        <v>2038</v>
      </c>
      <c r="E6371">
        <f>IFERROR(__xludf.DUMMYFUNCTION("""COMPUTED_VALUE"""),2919552.0)</f>
        <v>2919552</v>
      </c>
    </row>
    <row r="6372">
      <c r="A6372" t="str">
        <f t="shared" si="1"/>
        <v>gnb#2039</v>
      </c>
      <c r="B6372" t="str">
        <f>IFERROR(__xludf.DUMMYFUNCTION("""COMPUTED_VALUE"""),"gnb")</f>
        <v>gnb</v>
      </c>
      <c r="C6372" t="str">
        <f>IFERROR(__xludf.DUMMYFUNCTION("""COMPUTED_VALUE"""),"Guinea-Bissau")</f>
        <v>Guinea-Bissau</v>
      </c>
      <c r="D6372">
        <f>IFERROR(__xludf.DUMMYFUNCTION("""COMPUTED_VALUE"""),2039.0)</f>
        <v>2039</v>
      </c>
      <c r="E6372">
        <f>IFERROR(__xludf.DUMMYFUNCTION("""COMPUTED_VALUE"""),2975168.0)</f>
        <v>2975168</v>
      </c>
    </row>
    <row r="6373">
      <c r="A6373" t="str">
        <f t="shared" si="1"/>
        <v>gnb#2040</v>
      </c>
      <c r="B6373" t="str">
        <f>IFERROR(__xludf.DUMMYFUNCTION("""COMPUTED_VALUE"""),"gnb")</f>
        <v>gnb</v>
      </c>
      <c r="C6373" t="str">
        <f>IFERROR(__xludf.DUMMYFUNCTION("""COMPUTED_VALUE"""),"Guinea-Bissau")</f>
        <v>Guinea-Bissau</v>
      </c>
      <c r="D6373">
        <f>IFERROR(__xludf.DUMMYFUNCTION("""COMPUTED_VALUE"""),2040.0)</f>
        <v>2040</v>
      </c>
      <c r="E6373">
        <f>IFERROR(__xludf.DUMMYFUNCTION("""COMPUTED_VALUE"""),3031196.0)</f>
        <v>3031196</v>
      </c>
    </row>
    <row r="6374">
      <c r="A6374" t="str">
        <f t="shared" si="1"/>
        <v>guy#1950</v>
      </c>
      <c r="B6374" t="str">
        <f>IFERROR(__xludf.DUMMYFUNCTION("""COMPUTED_VALUE"""),"guy")</f>
        <v>guy</v>
      </c>
      <c r="C6374" t="str">
        <f>IFERROR(__xludf.DUMMYFUNCTION("""COMPUTED_VALUE"""),"Guyana")</f>
        <v>Guyana</v>
      </c>
      <c r="D6374">
        <f>IFERROR(__xludf.DUMMYFUNCTION("""COMPUTED_VALUE"""),1950.0)</f>
        <v>1950</v>
      </c>
      <c r="E6374">
        <f>IFERROR(__xludf.DUMMYFUNCTION("""COMPUTED_VALUE"""),406559.0)</f>
        <v>406559</v>
      </c>
    </row>
    <row r="6375">
      <c r="A6375" t="str">
        <f t="shared" si="1"/>
        <v>guy#1951</v>
      </c>
      <c r="B6375" t="str">
        <f>IFERROR(__xludf.DUMMYFUNCTION("""COMPUTED_VALUE"""),"guy")</f>
        <v>guy</v>
      </c>
      <c r="C6375" t="str">
        <f>IFERROR(__xludf.DUMMYFUNCTION("""COMPUTED_VALUE"""),"Guyana")</f>
        <v>Guyana</v>
      </c>
      <c r="D6375">
        <f>IFERROR(__xludf.DUMMYFUNCTION("""COMPUTED_VALUE"""),1951.0)</f>
        <v>1951</v>
      </c>
      <c r="E6375">
        <f>IFERROR(__xludf.DUMMYFUNCTION("""COMPUTED_VALUE"""),418674.0)</f>
        <v>418674</v>
      </c>
    </row>
    <row r="6376">
      <c r="A6376" t="str">
        <f t="shared" si="1"/>
        <v>guy#1952</v>
      </c>
      <c r="B6376" t="str">
        <f>IFERROR(__xludf.DUMMYFUNCTION("""COMPUTED_VALUE"""),"guy")</f>
        <v>guy</v>
      </c>
      <c r="C6376" t="str">
        <f>IFERROR(__xludf.DUMMYFUNCTION("""COMPUTED_VALUE"""),"Guyana")</f>
        <v>Guyana</v>
      </c>
      <c r="D6376">
        <f>IFERROR(__xludf.DUMMYFUNCTION("""COMPUTED_VALUE"""),1952.0)</f>
        <v>1952</v>
      </c>
      <c r="E6376">
        <f>IFERROR(__xludf.DUMMYFUNCTION("""COMPUTED_VALUE"""),432818.0)</f>
        <v>432818</v>
      </c>
    </row>
    <row r="6377">
      <c r="A6377" t="str">
        <f t="shared" si="1"/>
        <v>guy#1953</v>
      </c>
      <c r="B6377" t="str">
        <f>IFERROR(__xludf.DUMMYFUNCTION("""COMPUTED_VALUE"""),"guy")</f>
        <v>guy</v>
      </c>
      <c r="C6377" t="str">
        <f>IFERROR(__xludf.DUMMYFUNCTION("""COMPUTED_VALUE"""),"Guyana")</f>
        <v>Guyana</v>
      </c>
      <c r="D6377">
        <f>IFERROR(__xludf.DUMMYFUNCTION("""COMPUTED_VALUE"""),1953.0)</f>
        <v>1953</v>
      </c>
      <c r="E6377">
        <f>IFERROR(__xludf.DUMMYFUNCTION("""COMPUTED_VALUE"""),448464.0)</f>
        <v>448464</v>
      </c>
    </row>
    <row r="6378">
      <c r="A6378" t="str">
        <f t="shared" si="1"/>
        <v>guy#1954</v>
      </c>
      <c r="B6378" t="str">
        <f>IFERROR(__xludf.DUMMYFUNCTION("""COMPUTED_VALUE"""),"guy")</f>
        <v>guy</v>
      </c>
      <c r="C6378" t="str">
        <f>IFERROR(__xludf.DUMMYFUNCTION("""COMPUTED_VALUE"""),"Guyana")</f>
        <v>Guyana</v>
      </c>
      <c r="D6378">
        <f>IFERROR(__xludf.DUMMYFUNCTION("""COMPUTED_VALUE"""),1954.0)</f>
        <v>1954</v>
      </c>
      <c r="E6378">
        <f>IFERROR(__xludf.DUMMYFUNCTION("""COMPUTED_VALUE"""),465172.0)</f>
        <v>465172</v>
      </c>
    </row>
    <row r="6379">
      <c r="A6379" t="str">
        <f t="shared" si="1"/>
        <v>guy#1955</v>
      </c>
      <c r="B6379" t="str">
        <f>IFERROR(__xludf.DUMMYFUNCTION("""COMPUTED_VALUE"""),"guy")</f>
        <v>guy</v>
      </c>
      <c r="C6379" t="str">
        <f>IFERROR(__xludf.DUMMYFUNCTION("""COMPUTED_VALUE"""),"Guyana")</f>
        <v>Guyana</v>
      </c>
      <c r="D6379">
        <f>IFERROR(__xludf.DUMMYFUNCTION("""COMPUTED_VALUE"""),1955.0)</f>
        <v>1955</v>
      </c>
      <c r="E6379">
        <f>IFERROR(__xludf.DUMMYFUNCTION("""COMPUTED_VALUE"""),482555.0)</f>
        <v>482555</v>
      </c>
    </row>
    <row r="6380">
      <c r="A6380" t="str">
        <f t="shared" si="1"/>
        <v>guy#1956</v>
      </c>
      <c r="B6380" t="str">
        <f>IFERROR(__xludf.DUMMYFUNCTION("""COMPUTED_VALUE"""),"guy")</f>
        <v>guy</v>
      </c>
      <c r="C6380" t="str">
        <f>IFERROR(__xludf.DUMMYFUNCTION("""COMPUTED_VALUE"""),"Guyana")</f>
        <v>Guyana</v>
      </c>
      <c r="D6380">
        <f>IFERROR(__xludf.DUMMYFUNCTION("""COMPUTED_VALUE"""),1956.0)</f>
        <v>1956</v>
      </c>
      <c r="E6380">
        <f>IFERROR(__xludf.DUMMYFUNCTION("""COMPUTED_VALUE"""),500324.0)</f>
        <v>500324</v>
      </c>
    </row>
    <row r="6381">
      <c r="A6381" t="str">
        <f t="shared" si="1"/>
        <v>guy#1957</v>
      </c>
      <c r="B6381" t="str">
        <f>IFERROR(__xludf.DUMMYFUNCTION("""COMPUTED_VALUE"""),"guy")</f>
        <v>guy</v>
      </c>
      <c r="C6381" t="str">
        <f>IFERROR(__xludf.DUMMYFUNCTION("""COMPUTED_VALUE"""),"Guyana")</f>
        <v>Guyana</v>
      </c>
      <c r="D6381">
        <f>IFERROR(__xludf.DUMMYFUNCTION("""COMPUTED_VALUE"""),1957.0)</f>
        <v>1957</v>
      </c>
      <c r="E6381">
        <f>IFERROR(__xludf.DUMMYFUNCTION("""COMPUTED_VALUE"""),518259.0)</f>
        <v>518259</v>
      </c>
    </row>
    <row r="6382">
      <c r="A6382" t="str">
        <f t="shared" si="1"/>
        <v>guy#1958</v>
      </c>
      <c r="B6382" t="str">
        <f>IFERROR(__xludf.DUMMYFUNCTION("""COMPUTED_VALUE"""),"guy")</f>
        <v>guy</v>
      </c>
      <c r="C6382" t="str">
        <f>IFERROR(__xludf.DUMMYFUNCTION("""COMPUTED_VALUE"""),"Guyana")</f>
        <v>Guyana</v>
      </c>
      <c r="D6382">
        <f>IFERROR(__xludf.DUMMYFUNCTION("""COMPUTED_VALUE"""),1958.0)</f>
        <v>1958</v>
      </c>
      <c r="E6382">
        <f>IFERROR(__xludf.DUMMYFUNCTION("""COMPUTED_VALUE"""),536218.0)</f>
        <v>536218</v>
      </c>
    </row>
    <row r="6383">
      <c r="A6383" t="str">
        <f t="shared" si="1"/>
        <v>guy#1959</v>
      </c>
      <c r="B6383" t="str">
        <f>IFERROR(__xludf.DUMMYFUNCTION("""COMPUTED_VALUE"""),"guy")</f>
        <v>guy</v>
      </c>
      <c r="C6383" t="str">
        <f>IFERROR(__xludf.DUMMYFUNCTION("""COMPUTED_VALUE"""),"Guyana")</f>
        <v>Guyana</v>
      </c>
      <c r="D6383">
        <f>IFERROR(__xludf.DUMMYFUNCTION("""COMPUTED_VALUE"""),1959.0)</f>
        <v>1959</v>
      </c>
      <c r="E6383">
        <f>IFERROR(__xludf.DUMMYFUNCTION("""COMPUTED_VALUE"""),554092.0)</f>
        <v>554092</v>
      </c>
    </row>
    <row r="6384">
      <c r="A6384" t="str">
        <f t="shared" si="1"/>
        <v>guy#1960</v>
      </c>
      <c r="B6384" t="str">
        <f>IFERROR(__xludf.DUMMYFUNCTION("""COMPUTED_VALUE"""),"guy")</f>
        <v>guy</v>
      </c>
      <c r="C6384" t="str">
        <f>IFERROR(__xludf.DUMMYFUNCTION("""COMPUTED_VALUE"""),"Guyana")</f>
        <v>Guyana</v>
      </c>
      <c r="D6384">
        <f>IFERROR(__xludf.DUMMYFUNCTION("""COMPUTED_VALUE"""),1960.0)</f>
        <v>1960</v>
      </c>
      <c r="E6384">
        <f>IFERROR(__xludf.DUMMYFUNCTION("""COMPUTED_VALUE"""),571819.0)</f>
        <v>571819</v>
      </c>
    </row>
    <row r="6385">
      <c r="A6385" t="str">
        <f t="shared" si="1"/>
        <v>guy#1961</v>
      </c>
      <c r="B6385" t="str">
        <f>IFERROR(__xludf.DUMMYFUNCTION("""COMPUTED_VALUE"""),"guy")</f>
        <v>guy</v>
      </c>
      <c r="C6385" t="str">
        <f>IFERROR(__xludf.DUMMYFUNCTION("""COMPUTED_VALUE"""),"Guyana")</f>
        <v>Guyana</v>
      </c>
      <c r="D6385">
        <f>IFERROR(__xludf.DUMMYFUNCTION("""COMPUTED_VALUE"""),1961.0)</f>
        <v>1961</v>
      </c>
      <c r="E6385">
        <f>IFERROR(__xludf.DUMMYFUNCTION("""COMPUTED_VALUE"""),589274.0)</f>
        <v>589274</v>
      </c>
    </row>
    <row r="6386">
      <c r="A6386" t="str">
        <f t="shared" si="1"/>
        <v>guy#1962</v>
      </c>
      <c r="B6386" t="str">
        <f>IFERROR(__xludf.DUMMYFUNCTION("""COMPUTED_VALUE"""),"guy")</f>
        <v>guy</v>
      </c>
      <c r="C6386" t="str">
        <f>IFERROR(__xludf.DUMMYFUNCTION("""COMPUTED_VALUE"""),"Guyana")</f>
        <v>Guyana</v>
      </c>
      <c r="D6386">
        <f>IFERROR(__xludf.DUMMYFUNCTION("""COMPUTED_VALUE"""),1962.0)</f>
        <v>1962</v>
      </c>
      <c r="E6386">
        <f>IFERROR(__xludf.DUMMYFUNCTION("""COMPUTED_VALUE"""),606285.0)</f>
        <v>606285</v>
      </c>
    </row>
    <row r="6387">
      <c r="A6387" t="str">
        <f t="shared" si="1"/>
        <v>guy#1963</v>
      </c>
      <c r="B6387" t="str">
        <f>IFERROR(__xludf.DUMMYFUNCTION("""COMPUTED_VALUE"""),"guy")</f>
        <v>guy</v>
      </c>
      <c r="C6387" t="str">
        <f>IFERROR(__xludf.DUMMYFUNCTION("""COMPUTED_VALUE"""),"Guyana")</f>
        <v>Guyana</v>
      </c>
      <c r="D6387">
        <f>IFERROR(__xludf.DUMMYFUNCTION("""COMPUTED_VALUE"""),1963.0)</f>
        <v>1963</v>
      </c>
      <c r="E6387">
        <f>IFERROR(__xludf.DUMMYFUNCTION("""COMPUTED_VALUE"""),622575.0)</f>
        <v>622575</v>
      </c>
    </row>
    <row r="6388">
      <c r="A6388" t="str">
        <f t="shared" si="1"/>
        <v>guy#1964</v>
      </c>
      <c r="B6388" t="str">
        <f>IFERROR(__xludf.DUMMYFUNCTION("""COMPUTED_VALUE"""),"guy")</f>
        <v>guy</v>
      </c>
      <c r="C6388" t="str">
        <f>IFERROR(__xludf.DUMMYFUNCTION("""COMPUTED_VALUE"""),"Guyana")</f>
        <v>Guyana</v>
      </c>
      <c r="D6388">
        <f>IFERROR(__xludf.DUMMYFUNCTION("""COMPUTED_VALUE"""),1964.0)</f>
        <v>1964</v>
      </c>
      <c r="E6388">
        <f>IFERROR(__xludf.DUMMYFUNCTION("""COMPUTED_VALUE"""),637845.0)</f>
        <v>637845</v>
      </c>
    </row>
    <row r="6389">
      <c r="A6389" t="str">
        <f t="shared" si="1"/>
        <v>guy#1965</v>
      </c>
      <c r="B6389" t="str">
        <f>IFERROR(__xludf.DUMMYFUNCTION("""COMPUTED_VALUE"""),"guy")</f>
        <v>guy</v>
      </c>
      <c r="C6389" t="str">
        <f>IFERROR(__xludf.DUMMYFUNCTION("""COMPUTED_VALUE"""),"Guyana")</f>
        <v>Guyana</v>
      </c>
      <c r="D6389">
        <f>IFERROR(__xludf.DUMMYFUNCTION("""COMPUTED_VALUE"""),1965.0)</f>
        <v>1965</v>
      </c>
      <c r="E6389">
        <f>IFERROR(__xludf.DUMMYFUNCTION("""COMPUTED_VALUE"""),651868.0)</f>
        <v>651868</v>
      </c>
    </row>
    <row r="6390">
      <c r="A6390" t="str">
        <f t="shared" si="1"/>
        <v>guy#1966</v>
      </c>
      <c r="B6390" t="str">
        <f>IFERROR(__xludf.DUMMYFUNCTION("""COMPUTED_VALUE"""),"guy")</f>
        <v>guy</v>
      </c>
      <c r="C6390" t="str">
        <f>IFERROR(__xludf.DUMMYFUNCTION("""COMPUTED_VALUE"""),"Guyana")</f>
        <v>Guyana</v>
      </c>
      <c r="D6390">
        <f>IFERROR(__xludf.DUMMYFUNCTION("""COMPUTED_VALUE"""),1966.0)</f>
        <v>1966</v>
      </c>
      <c r="E6390">
        <f>IFERROR(__xludf.DUMMYFUNCTION("""COMPUTED_VALUE"""),664521.0)</f>
        <v>664521</v>
      </c>
    </row>
    <row r="6391">
      <c r="A6391" t="str">
        <f t="shared" si="1"/>
        <v>guy#1967</v>
      </c>
      <c r="B6391" t="str">
        <f>IFERROR(__xludf.DUMMYFUNCTION("""COMPUTED_VALUE"""),"guy")</f>
        <v>guy</v>
      </c>
      <c r="C6391" t="str">
        <f>IFERROR(__xludf.DUMMYFUNCTION("""COMPUTED_VALUE"""),"Guyana")</f>
        <v>Guyana</v>
      </c>
      <c r="D6391">
        <f>IFERROR(__xludf.DUMMYFUNCTION("""COMPUTED_VALUE"""),1967.0)</f>
        <v>1967</v>
      </c>
      <c r="E6391">
        <f>IFERROR(__xludf.DUMMYFUNCTION("""COMPUTED_VALUE"""),675871.0)</f>
        <v>675871</v>
      </c>
    </row>
    <row r="6392">
      <c r="A6392" t="str">
        <f t="shared" si="1"/>
        <v>guy#1968</v>
      </c>
      <c r="B6392" t="str">
        <f>IFERROR(__xludf.DUMMYFUNCTION("""COMPUTED_VALUE"""),"guy")</f>
        <v>guy</v>
      </c>
      <c r="C6392" t="str">
        <f>IFERROR(__xludf.DUMMYFUNCTION("""COMPUTED_VALUE"""),"Guyana")</f>
        <v>Guyana</v>
      </c>
      <c r="D6392">
        <f>IFERROR(__xludf.DUMMYFUNCTION("""COMPUTED_VALUE"""),1968.0)</f>
        <v>1968</v>
      </c>
      <c r="E6392">
        <f>IFERROR(__xludf.DUMMYFUNCTION("""COMPUTED_VALUE"""),686146.0)</f>
        <v>686146</v>
      </c>
    </row>
    <row r="6393">
      <c r="A6393" t="str">
        <f t="shared" si="1"/>
        <v>guy#1969</v>
      </c>
      <c r="B6393" t="str">
        <f>IFERROR(__xludf.DUMMYFUNCTION("""COMPUTED_VALUE"""),"guy")</f>
        <v>guy</v>
      </c>
      <c r="C6393" t="str">
        <f>IFERROR(__xludf.DUMMYFUNCTION("""COMPUTED_VALUE"""),"Guyana")</f>
        <v>Guyana</v>
      </c>
      <c r="D6393">
        <f>IFERROR(__xludf.DUMMYFUNCTION("""COMPUTED_VALUE"""),1969.0)</f>
        <v>1969</v>
      </c>
      <c r="E6393">
        <f>IFERROR(__xludf.DUMMYFUNCTION("""COMPUTED_VALUE"""),695745.0)</f>
        <v>695745</v>
      </c>
    </row>
    <row r="6394">
      <c r="A6394" t="str">
        <f t="shared" si="1"/>
        <v>guy#1970</v>
      </c>
      <c r="B6394" t="str">
        <f>IFERROR(__xludf.DUMMYFUNCTION("""COMPUTED_VALUE"""),"guy")</f>
        <v>guy</v>
      </c>
      <c r="C6394" t="str">
        <f>IFERROR(__xludf.DUMMYFUNCTION("""COMPUTED_VALUE"""),"Guyana")</f>
        <v>Guyana</v>
      </c>
      <c r="D6394">
        <f>IFERROR(__xludf.DUMMYFUNCTION("""COMPUTED_VALUE"""),1970.0)</f>
        <v>1970</v>
      </c>
      <c r="E6394">
        <f>IFERROR(__xludf.DUMMYFUNCTION("""COMPUTED_VALUE"""),704934.0)</f>
        <v>704934</v>
      </c>
    </row>
    <row r="6395">
      <c r="A6395" t="str">
        <f t="shared" si="1"/>
        <v>guy#1971</v>
      </c>
      <c r="B6395" t="str">
        <f>IFERROR(__xludf.DUMMYFUNCTION("""COMPUTED_VALUE"""),"guy")</f>
        <v>guy</v>
      </c>
      <c r="C6395" t="str">
        <f>IFERROR(__xludf.DUMMYFUNCTION("""COMPUTED_VALUE"""),"Guyana")</f>
        <v>Guyana</v>
      </c>
      <c r="D6395">
        <f>IFERROR(__xludf.DUMMYFUNCTION("""COMPUTED_VALUE"""),1971.0)</f>
        <v>1971</v>
      </c>
      <c r="E6395">
        <f>IFERROR(__xludf.DUMMYFUNCTION("""COMPUTED_VALUE"""),713684.0)</f>
        <v>713684</v>
      </c>
    </row>
    <row r="6396">
      <c r="A6396" t="str">
        <f t="shared" si="1"/>
        <v>guy#1972</v>
      </c>
      <c r="B6396" t="str">
        <f>IFERROR(__xludf.DUMMYFUNCTION("""COMPUTED_VALUE"""),"guy")</f>
        <v>guy</v>
      </c>
      <c r="C6396" t="str">
        <f>IFERROR(__xludf.DUMMYFUNCTION("""COMPUTED_VALUE"""),"Guyana")</f>
        <v>Guyana</v>
      </c>
      <c r="D6396">
        <f>IFERROR(__xludf.DUMMYFUNCTION("""COMPUTED_VALUE"""),1972.0)</f>
        <v>1972</v>
      </c>
      <c r="E6396">
        <f>IFERROR(__xludf.DUMMYFUNCTION("""COMPUTED_VALUE"""),721948.0)</f>
        <v>721948</v>
      </c>
    </row>
    <row r="6397">
      <c r="A6397" t="str">
        <f t="shared" si="1"/>
        <v>guy#1973</v>
      </c>
      <c r="B6397" t="str">
        <f>IFERROR(__xludf.DUMMYFUNCTION("""COMPUTED_VALUE"""),"guy")</f>
        <v>guy</v>
      </c>
      <c r="C6397" t="str">
        <f>IFERROR(__xludf.DUMMYFUNCTION("""COMPUTED_VALUE"""),"Guyana")</f>
        <v>Guyana</v>
      </c>
      <c r="D6397">
        <f>IFERROR(__xludf.DUMMYFUNCTION("""COMPUTED_VALUE"""),1973.0)</f>
        <v>1973</v>
      </c>
      <c r="E6397">
        <f>IFERROR(__xludf.DUMMYFUNCTION("""COMPUTED_VALUE"""),729916.0)</f>
        <v>729916</v>
      </c>
    </row>
    <row r="6398">
      <c r="A6398" t="str">
        <f t="shared" si="1"/>
        <v>guy#1974</v>
      </c>
      <c r="B6398" t="str">
        <f>IFERROR(__xludf.DUMMYFUNCTION("""COMPUTED_VALUE"""),"guy")</f>
        <v>guy</v>
      </c>
      <c r="C6398" t="str">
        <f>IFERROR(__xludf.DUMMYFUNCTION("""COMPUTED_VALUE"""),"Guyana")</f>
        <v>Guyana</v>
      </c>
      <c r="D6398">
        <f>IFERROR(__xludf.DUMMYFUNCTION("""COMPUTED_VALUE"""),1974.0)</f>
        <v>1974</v>
      </c>
      <c r="E6398">
        <f>IFERROR(__xludf.DUMMYFUNCTION("""COMPUTED_VALUE"""),737847.0)</f>
        <v>737847</v>
      </c>
    </row>
    <row r="6399">
      <c r="A6399" t="str">
        <f t="shared" si="1"/>
        <v>guy#1975</v>
      </c>
      <c r="B6399" t="str">
        <f>IFERROR(__xludf.DUMMYFUNCTION("""COMPUTED_VALUE"""),"guy")</f>
        <v>guy</v>
      </c>
      <c r="C6399" t="str">
        <f>IFERROR(__xludf.DUMMYFUNCTION("""COMPUTED_VALUE"""),"Guyana")</f>
        <v>Guyana</v>
      </c>
      <c r="D6399">
        <f>IFERROR(__xludf.DUMMYFUNCTION("""COMPUTED_VALUE"""),1975.0)</f>
        <v>1975</v>
      </c>
      <c r="E6399">
        <f>IFERROR(__xludf.DUMMYFUNCTION("""COMPUTED_VALUE"""),745841.0)</f>
        <v>745841</v>
      </c>
    </row>
    <row r="6400">
      <c r="A6400" t="str">
        <f t="shared" si="1"/>
        <v>guy#1976</v>
      </c>
      <c r="B6400" t="str">
        <f>IFERROR(__xludf.DUMMYFUNCTION("""COMPUTED_VALUE"""),"guy")</f>
        <v>guy</v>
      </c>
      <c r="C6400" t="str">
        <f>IFERROR(__xludf.DUMMYFUNCTION("""COMPUTED_VALUE"""),"Guyana")</f>
        <v>Guyana</v>
      </c>
      <c r="D6400">
        <f>IFERROR(__xludf.DUMMYFUNCTION("""COMPUTED_VALUE"""),1976.0)</f>
        <v>1976</v>
      </c>
      <c r="E6400">
        <f>IFERROR(__xludf.DUMMYFUNCTION("""COMPUTED_VALUE"""),754101.0)</f>
        <v>754101</v>
      </c>
    </row>
    <row r="6401">
      <c r="A6401" t="str">
        <f t="shared" si="1"/>
        <v>guy#1977</v>
      </c>
      <c r="B6401" t="str">
        <f>IFERROR(__xludf.DUMMYFUNCTION("""COMPUTED_VALUE"""),"guy")</f>
        <v>guy</v>
      </c>
      <c r="C6401" t="str">
        <f>IFERROR(__xludf.DUMMYFUNCTION("""COMPUTED_VALUE"""),"Guyana")</f>
        <v>Guyana</v>
      </c>
      <c r="D6401">
        <f>IFERROR(__xludf.DUMMYFUNCTION("""COMPUTED_VALUE"""),1977.0)</f>
        <v>1977</v>
      </c>
      <c r="E6401">
        <f>IFERROR(__xludf.DUMMYFUNCTION("""COMPUTED_VALUE"""),762424.0)</f>
        <v>762424</v>
      </c>
    </row>
    <row r="6402">
      <c r="A6402" t="str">
        <f t="shared" si="1"/>
        <v>guy#1978</v>
      </c>
      <c r="B6402" t="str">
        <f>IFERROR(__xludf.DUMMYFUNCTION("""COMPUTED_VALUE"""),"guy")</f>
        <v>guy</v>
      </c>
      <c r="C6402" t="str">
        <f>IFERROR(__xludf.DUMMYFUNCTION("""COMPUTED_VALUE"""),"Guyana")</f>
        <v>Guyana</v>
      </c>
      <c r="D6402">
        <f>IFERROR(__xludf.DUMMYFUNCTION("""COMPUTED_VALUE"""),1978.0)</f>
        <v>1978</v>
      </c>
      <c r="E6402">
        <f>IFERROR(__xludf.DUMMYFUNCTION("""COMPUTED_VALUE"""),770125.0)</f>
        <v>770125</v>
      </c>
    </row>
    <row r="6403">
      <c r="A6403" t="str">
        <f t="shared" si="1"/>
        <v>guy#1979</v>
      </c>
      <c r="B6403" t="str">
        <f>IFERROR(__xludf.DUMMYFUNCTION("""COMPUTED_VALUE"""),"guy")</f>
        <v>guy</v>
      </c>
      <c r="C6403" t="str">
        <f>IFERROR(__xludf.DUMMYFUNCTION("""COMPUTED_VALUE"""),"Guyana")</f>
        <v>Guyana</v>
      </c>
      <c r="D6403">
        <f>IFERROR(__xludf.DUMMYFUNCTION("""COMPUTED_VALUE"""),1979.0)</f>
        <v>1979</v>
      </c>
      <c r="E6403">
        <f>IFERROR(__xludf.DUMMYFUNCTION("""COMPUTED_VALUE"""),776254.0)</f>
        <v>776254</v>
      </c>
    </row>
    <row r="6404">
      <c r="A6404" t="str">
        <f t="shared" si="1"/>
        <v>guy#1980</v>
      </c>
      <c r="B6404" t="str">
        <f>IFERROR(__xludf.DUMMYFUNCTION("""COMPUTED_VALUE"""),"guy")</f>
        <v>guy</v>
      </c>
      <c r="C6404" t="str">
        <f>IFERROR(__xludf.DUMMYFUNCTION("""COMPUTED_VALUE"""),"Guyana")</f>
        <v>Guyana</v>
      </c>
      <c r="D6404">
        <f>IFERROR(__xludf.DUMMYFUNCTION("""COMPUTED_VALUE"""),1980.0)</f>
        <v>1980</v>
      </c>
      <c r="E6404">
        <f>IFERROR(__xludf.DUMMYFUNCTION("""COMPUTED_VALUE"""),780153.0)</f>
        <v>780153</v>
      </c>
    </row>
    <row r="6405">
      <c r="A6405" t="str">
        <f t="shared" si="1"/>
        <v>guy#1981</v>
      </c>
      <c r="B6405" t="str">
        <f>IFERROR(__xludf.DUMMYFUNCTION("""COMPUTED_VALUE"""),"guy")</f>
        <v>guy</v>
      </c>
      <c r="C6405" t="str">
        <f>IFERROR(__xludf.DUMMYFUNCTION("""COMPUTED_VALUE"""),"Guyana")</f>
        <v>Guyana</v>
      </c>
      <c r="D6405">
        <f>IFERROR(__xludf.DUMMYFUNCTION("""COMPUTED_VALUE"""),1981.0)</f>
        <v>1981</v>
      </c>
      <c r="E6405">
        <f>IFERROR(__xludf.DUMMYFUNCTION("""COMPUTED_VALUE"""),781732.0)</f>
        <v>781732</v>
      </c>
    </row>
    <row r="6406">
      <c r="A6406" t="str">
        <f t="shared" si="1"/>
        <v>guy#1982</v>
      </c>
      <c r="B6406" t="str">
        <f>IFERROR(__xludf.DUMMYFUNCTION("""COMPUTED_VALUE"""),"guy")</f>
        <v>guy</v>
      </c>
      <c r="C6406" t="str">
        <f>IFERROR(__xludf.DUMMYFUNCTION("""COMPUTED_VALUE"""),"Guyana")</f>
        <v>Guyana</v>
      </c>
      <c r="D6406">
        <f>IFERROR(__xludf.DUMMYFUNCTION("""COMPUTED_VALUE"""),1982.0)</f>
        <v>1982</v>
      </c>
      <c r="E6406">
        <f>IFERROR(__xludf.DUMMYFUNCTION("""COMPUTED_VALUE"""),781246.0)</f>
        <v>781246</v>
      </c>
    </row>
    <row r="6407">
      <c r="A6407" t="str">
        <f t="shared" si="1"/>
        <v>guy#1983</v>
      </c>
      <c r="B6407" t="str">
        <f>IFERROR(__xludf.DUMMYFUNCTION("""COMPUTED_VALUE"""),"guy")</f>
        <v>guy</v>
      </c>
      <c r="C6407" t="str">
        <f>IFERROR(__xludf.DUMMYFUNCTION("""COMPUTED_VALUE"""),"Guyana")</f>
        <v>Guyana</v>
      </c>
      <c r="D6407">
        <f>IFERROR(__xludf.DUMMYFUNCTION("""COMPUTED_VALUE"""),1983.0)</f>
        <v>1983</v>
      </c>
      <c r="E6407">
        <f>IFERROR(__xludf.DUMMYFUNCTION("""COMPUTED_VALUE"""),778948.0)</f>
        <v>778948</v>
      </c>
    </row>
    <row r="6408">
      <c r="A6408" t="str">
        <f t="shared" si="1"/>
        <v>guy#1984</v>
      </c>
      <c r="B6408" t="str">
        <f>IFERROR(__xludf.DUMMYFUNCTION("""COMPUTED_VALUE"""),"guy")</f>
        <v>guy</v>
      </c>
      <c r="C6408" t="str">
        <f>IFERROR(__xludf.DUMMYFUNCTION("""COMPUTED_VALUE"""),"Guyana")</f>
        <v>Guyana</v>
      </c>
      <c r="D6408">
        <f>IFERROR(__xludf.DUMMYFUNCTION("""COMPUTED_VALUE"""),1984.0)</f>
        <v>1984</v>
      </c>
      <c r="E6408">
        <f>IFERROR(__xludf.DUMMYFUNCTION("""COMPUTED_VALUE"""),775219.0)</f>
        <v>775219</v>
      </c>
    </row>
    <row r="6409">
      <c r="A6409" t="str">
        <f t="shared" si="1"/>
        <v>guy#1985</v>
      </c>
      <c r="B6409" t="str">
        <f>IFERROR(__xludf.DUMMYFUNCTION("""COMPUTED_VALUE"""),"guy")</f>
        <v>guy</v>
      </c>
      <c r="C6409" t="str">
        <f>IFERROR(__xludf.DUMMYFUNCTION("""COMPUTED_VALUE"""),"Guyana")</f>
        <v>Guyana</v>
      </c>
      <c r="D6409">
        <f>IFERROR(__xludf.DUMMYFUNCTION("""COMPUTED_VALUE"""),1985.0)</f>
        <v>1985</v>
      </c>
      <c r="E6409">
        <f>IFERROR(__xludf.DUMMYFUNCTION("""COMPUTED_VALUE"""),770435.0)</f>
        <v>770435</v>
      </c>
    </row>
    <row r="6410">
      <c r="A6410" t="str">
        <f t="shared" si="1"/>
        <v>guy#1986</v>
      </c>
      <c r="B6410" t="str">
        <f>IFERROR(__xludf.DUMMYFUNCTION("""COMPUTED_VALUE"""),"guy")</f>
        <v>guy</v>
      </c>
      <c r="C6410" t="str">
        <f>IFERROR(__xludf.DUMMYFUNCTION("""COMPUTED_VALUE"""),"Guyana")</f>
        <v>Guyana</v>
      </c>
      <c r="D6410">
        <f>IFERROR(__xludf.DUMMYFUNCTION("""COMPUTED_VALUE"""),1986.0)</f>
        <v>1986</v>
      </c>
      <c r="E6410">
        <f>IFERROR(__xludf.DUMMYFUNCTION("""COMPUTED_VALUE"""),764459.0)</f>
        <v>764459</v>
      </c>
    </row>
    <row r="6411">
      <c r="A6411" t="str">
        <f t="shared" si="1"/>
        <v>guy#1987</v>
      </c>
      <c r="B6411" t="str">
        <f>IFERROR(__xludf.DUMMYFUNCTION("""COMPUTED_VALUE"""),"guy")</f>
        <v>guy</v>
      </c>
      <c r="C6411" t="str">
        <f>IFERROR(__xludf.DUMMYFUNCTION("""COMPUTED_VALUE"""),"Guyana")</f>
        <v>Guyana</v>
      </c>
      <c r="D6411">
        <f>IFERROR(__xludf.DUMMYFUNCTION("""COMPUTED_VALUE"""),1987.0)</f>
        <v>1987</v>
      </c>
      <c r="E6411">
        <f>IFERROR(__xludf.DUMMYFUNCTION("""COMPUTED_VALUE"""),757506.0)</f>
        <v>757506</v>
      </c>
    </row>
    <row r="6412">
      <c r="A6412" t="str">
        <f t="shared" si="1"/>
        <v>guy#1988</v>
      </c>
      <c r="B6412" t="str">
        <f>IFERROR(__xludf.DUMMYFUNCTION("""COMPUTED_VALUE"""),"guy")</f>
        <v>guy</v>
      </c>
      <c r="C6412" t="str">
        <f>IFERROR(__xludf.DUMMYFUNCTION("""COMPUTED_VALUE"""),"Guyana")</f>
        <v>Guyana</v>
      </c>
      <c r="D6412">
        <f>IFERROR(__xludf.DUMMYFUNCTION("""COMPUTED_VALUE"""),1988.0)</f>
        <v>1988</v>
      </c>
      <c r="E6412">
        <f>IFERROR(__xludf.DUMMYFUNCTION("""COMPUTED_VALUE"""),750731.0)</f>
        <v>750731</v>
      </c>
    </row>
    <row r="6413">
      <c r="A6413" t="str">
        <f t="shared" si="1"/>
        <v>guy#1989</v>
      </c>
      <c r="B6413" t="str">
        <f>IFERROR(__xludf.DUMMYFUNCTION("""COMPUTED_VALUE"""),"guy")</f>
        <v>guy</v>
      </c>
      <c r="C6413" t="str">
        <f>IFERROR(__xludf.DUMMYFUNCTION("""COMPUTED_VALUE"""),"Guyana")</f>
        <v>Guyana</v>
      </c>
      <c r="D6413">
        <f>IFERROR(__xludf.DUMMYFUNCTION("""COMPUTED_VALUE"""),1989.0)</f>
        <v>1989</v>
      </c>
      <c r="E6413">
        <f>IFERROR(__xludf.DUMMYFUNCTION("""COMPUTED_VALUE"""),745665.0)</f>
        <v>745665</v>
      </c>
    </row>
    <row r="6414">
      <c r="A6414" t="str">
        <f t="shared" si="1"/>
        <v>guy#1990</v>
      </c>
      <c r="B6414" t="str">
        <f>IFERROR(__xludf.DUMMYFUNCTION("""COMPUTED_VALUE"""),"guy")</f>
        <v>guy</v>
      </c>
      <c r="C6414" t="str">
        <f>IFERROR(__xludf.DUMMYFUNCTION("""COMPUTED_VALUE"""),"Guyana")</f>
        <v>Guyana</v>
      </c>
      <c r="D6414">
        <f>IFERROR(__xludf.DUMMYFUNCTION("""COMPUTED_VALUE"""),1990.0)</f>
        <v>1990</v>
      </c>
      <c r="E6414">
        <f>IFERROR(__xludf.DUMMYFUNCTION("""COMPUTED_VALUE"""),743309.0)</f>
        <v>743309</v>
      </c>
    </row>
    <row r="6415">
      <c r="A6415" t="str">
        <f t="shared" si="1"/>
        <v>guy#1991</v>
      </c>
      <c r="B6415" t="str">
        <f>IFERROR(__xludf.DUMMYFUNCTION("""COMPUTED_VALUE"""),"guy")</f>
        <v>guy</v>
      </c>
      <c r="C6415" t="str">
        <f>IFERROR(__xludf.DUMMYFUNCTION("""COMPUTED_VALUE"""),"Guyana")</f>
        <v>Guyana</v>
      </c>
      <c r="D6415">
        <f>IFERROR(__xludf.DUMMYFUNCTION("""COMPUTED_VALUE"""),1991.0)</f>
        <v>1991</v>
      </c>
      <c r="E6415">
        <f>IFERROR(__xludf.DUMMYFUNCTION("""COMPUTED_VALUE"""),744289.0)</f>
        <v>744289</v>
      </c>
    </row>
    <row r="6416">
      <c r="A6416" t="str">
        <f t="shared" si="1"/>
        <v>guy#1992</v>
      </c>
      <c r="B6416" t="str">
        <f>IFERROR(__xludf.DUMMYFUNCTION("""COMPUTED_VALUE"""),"guy")</f>
        <v>guy</v>
      </c>
      <c r="C6416" t="str">
        <f>IFERROR(__xludf.DUMMYFUNCTION("""COMPUTED_VALUE"""),"Guyana")</f>
        <v>Guyana</v>
      </c>
      <c r="D6416">
        <f>IFERROR(__xludf.DUMMYFUNCTION("""COMPUTED_VALUE"""),1992.0)</f>
        <v>1992</v>
      </c>
      <c r="E6416">
        <f>IFERROR(__xludf.DUMMYFUNCTION("""COMPUTED_VALUE"""),748134.0)</f>
        <v>748134</v>
      </c>
    </row>
    <row r="6417">
      <c r="A6417" t="str">
        <f t="shared" si="1"/>
        <v>guy#1993</v>
      </c>
      <c r="B6417" t="str">
        <f>IFERROR(__xludf.DUMMYFUNCTION("""COMPUTED_VALUE"""),"guy")</f>
        <v>guy</v>
      </c>
      <c r="C6417" t="str">
        <f>IFERROR(__xludf.DUMMYFUNCTION("""COMPUTED_VALUE"""),"Guyana")</f>
        <v>Guyana</v>
      </c>
      <c r="D6417">
        <f>IFERROR(__xludf.DUMMYFUNCTION("""COMPUTED_VALUE"""),1993.0)</f>
        <v>1993</v>
      </c>
      <c r="E6417">
        <f>IFERROR(__xludf.DUMMYFUNCTION("""COMPUTED_VALUE"""),753484.0)</f>
        <v>753484</v>
      </c>
    </row>
    <row r="6418">
      <c r="A6418" t="str">
        <f t="shared" si="1"/>
        <v>guy#1994</v>
      </c>
      <c r="B6418" t="str">
        <f>IFERROR(__xludf.DUMMYFUNCTION("""COMPUTED_VALUE"""),"guy")</f>
        <v>guy</v>
      </c>
      <c r="C6418" t="str">
        <f>IFERROR(__xludf.DUMMYFUNCTION("""COMPUTED_VALUE"""),"Guyana")</f>
        <v>Guyana</v>
      </c>
      <c r="D6418">
        <f>IFERROR(__xludf.DUMMYFUNCTION("""COMPUTED_VALUE"""),1994.0)</f>
        <v>1994</v>
      </c>
      <c r="E6418">
        <f>IFERROR(__xludf.DUMMYFUNCTION("""COMPUTED_VALUE"""),758342.0)</f>
        <v>758342</v>
      </c>
    </row>
    <row r="6419">
      <c r="A6419" t="str">
        <f t="shared" si="1"/>
        <v>guy#1995</v>
      </c>
      <c r="B6419" t="str">
        <f>IFERROR(__xludf.DUMMYFUNCTION("""COMPUTED_VALUE"""),"guy")</f>
        <v>guy</v>
      </c>
      <c r="C6419" t="str">
        <f>IFERROR(__xludf.DUMMYFUNCTION("""COMPUTED_VALUE"""),"Guyana")</f>
        <v>Guyana</v>
      </c>
      <c r="D6419">
        <f>IFERROR(__xludf.DUMMYFUNCTION("""COMPUTED_VALUE"""),1995.0)</f>
        <v>1995</v>
      </c>
      <c r="E6419">
        <f>IFERROR(__xludf.DUMMYFUNCTION("""COMPUTED_VALUE"""),761291.0)</f>
        <v>761291</v>
      </c>
    </row>
    <row r="6420">
      <c r="A6420" t="str">
        <f t="shared" si="1"/>
        <v>guy#1996</v>
      </c>
      <c r="B6420" t="str">
        <f>IFERROR(__xludf.DUMMYFUNCTION("""COMPUTED_VALUE"""),"guy")</f>
        <v>guy</v>
      </c>
      <c r="C6420" t="str">
        <f>IFERROR(__xludf.DUMMYFUNCTION("""COMPUTED_VALUE"""),"Guyana")</f>
        <v>Guyana</v>
      </c>
      <c r="D6420">
        <f>IFERROR(__xludf.DUMMYFUNCTION("""COMPUTED_VALUE"""),1996.0)</f>
        <v>1996</v>
      </c>
      <c r="E6420">
        <f>IFERROR(__xludf.DUMMYFUNCTION("""COMPUTED_VALUE"""),761861.0)</f>
        <v>761861</v>
      </c>
    </row>
    <row r="6421">
      <c r="A6421" t="str">
        <f t="shared" si="1"/>
        <v>guy#1997</v>
      </c>
      <c r="B6421" t="str">
        <f>IFERROR(__xludf.DUMMYFUNCTION("""COMPUTED_VALUE"""),"guy")</f>
        <v>guy</v>
      </c>
      <c r="C6421" t="str">
        <f>IFERROR(__xludf.DUMMYFUNCTION("""COMPUTED_VALUE"""),"Guyana")</f>
        <v>Guyana</v>
      </c>
      <c r="D6421">
        <f>IFERROR(__xludf.DUMMYFUNCTION("""COMPUTED_VALUE"""),1997.0)</f>
        <v>1997</v>
      </c>
      <c r="E6421">
        <f>IFERROR(__xludf.DUMMYFUNCTION("""COMPUTED_VALUE"""),760510.0)</f>
        <v>760510</v>
      </c>
    </row>
    <row r="6422">
      <c r="A6422" t="str">
        <f t="shared" si="1"/>
        <v>guy#1998</v>
      </c>
      <c r="B6422" t="str">
        <f>IFERROR(__xludf.DUMMYFUNCTION("""COMPUTED_VALUE"""),"guy")</f>
        <v>guy</v>
      </c>
      <c r="C6422" t="str">
        <f>IFERROR(__xludf.DUMMYFUNCTION("""COMPUTED_VALUE"""),"Guyana")</f>
        <v>Guyana</v>
      </c>
      <c r="D6422">
        <f>IFERROR(__xludf.DUMMYFUNCTION("""COMPUTED_VALUE"""),1998.0)</f>
        <v>1998</v>
      </c>
      <c r="E6422">
        <f>IFERROR(__xludf.DUMMYFUNCTION("""COMPUTED_VALUE"""),757952.0)</f>
        <v>757952</v>
      </c>
    </row>
    <row r="6423">
      <c r="A6423" t="str">
        <f t="shared" si="1"/>
        <v>guy#1999</v>
      </c>
      <c r="B6423" t="str">
        <f>IFERROR(__xludf.DUMMYFUNCTION("""COMPUTED_VALUE"""),"guy")</f>
        <v>guy</v>
      </c>
      <c r="C6423" t="str">
        <f>IFERROR(__xludf.DUMMYFUNCTION("""COMPUTED_VALUE"""),"Guyana")</f>
        <v>Guyana</v>
      </c>
      <c r="D6423">
        <f>IFERROR(__xludf.DUMMYFUNCTION("""COMPUTED_VALUE"""),1999.0)</f>
        <v>1999</v>
      </c>
      <c r="E6423">
        <f>IFERROR(__xludf.DUMMYFUNCTION("""COMPUTED_VALUE"""),755278.0)</f>
        <v>755278</v>
      </c>
    </row>
    <row r="6424">
      <c r="A6424" t="str">
        <f t="shared" si="1"/>
        <v>guy#2000</v>
      </c>
      <c r="B6424" t="str">
        <f>IFERROR(__xludf.DUMMYFUNCTION("""COMPUTED_VALUE"""),"guy")</f>
        <v>guy</v>
      </c>
      <c r="C6424" t="str">
        <f>IFERROR(__xludf.DUMMYFUNCTION("""COMPUTED_VALUE"""),"Guyana")</f>
        <v>Guyana</v>
      </c>
      <c r="D6424">
        <f>IFERROR(__xludf.DUMMYFUNCTION("""COMPUTED_VALUE"""),2000.0)</f>
        <v>2000</v>
      </c>
      <c r="E6424">
        <f>IFERROR(__xludf.DUMMYFUNCTION("""COMPUTED_VALUE"""),753301.0)</f>
        <v>753301</v>
      </c>
    </row>
    <row r="6425">
      <c r="A6425" t="str">
        <f t="shared" si="1"/>
        <v>guy#2001</v>
      </c>
      <c r="B6425" t="str">
        <f>IFERROR(__xludf.DUMMYFUNCTION("""COMPUTED_VALUE"""),"guy")</f>
        <v>guy</v>
      </c>
      <c r="C6425" t="str">
        <f>IFERROR(__xludf.DUMMYFUNCTION("""COMPUTED_VALUE"""),"Guyana")</f>
        <v>Guyana</v>
      </c>
      <c r="D6425">
        <f>IFERROR(__xludf.DUMMYFUNCTION("""COMPUTED_VALUE"""),2001.0)</f>
        <v>2001</v>
      </c>
      <c r="E6425">
        <f>IFERROR(__xludf.DUMMYFUNCTION("""COMPUTED_VALUE"""),752263.0)</f>
        <v>752263</v>
      </c>
    </row>
    <row r="6426">
      <c r="A6426" t="str">
        <f t="shared" si="1"/>
        <v>guy#2002</v>
      </c>
      <c r="B6426" t="str">
        <f>IFERROR(__xludf.DUMMYFUNCTION("""COMPUTED_VALUE"""),"guy")</f>
        <v>guy</v>
      </c>
      <c r="C6426" t="str">
        <f>IFERROR(__xludf.DUMMYFUNCTION("""COMPUTED_VALUE"""),"Guyana")</f>
        <v>Guyana</v>
      </c>
      <c r="D6426">
        <f>IFERROR(__xludf.DUMMYFUNCTION("""COMPUTED_VALUE"""),2002.0)</f>
        <v>2002</v>
      </c>
      <c r="E6426">
        <f>IFERROR(__xludf.DUMMYFUNCTION("""COMPUTED_VALUE"""),751884.0)</f>
        <v>751884</v>
      </c>
    </row>
    <row r="6427">
      <c r="A6427" t="str">
        <f t="shared" si="1"/>
        <v>guy#2003</v>
      </c>
      <c r="B6427" t="str">
        <f>IFERROR(__xludf.DUMMYFUNCTION("""COMPUTED_VALUE"""),"guy")</f>
        <v>guy</v>
      </c>
      <c r="C6427" t="str">
        <f>IFERROR(__xludf.DUMMYFUNCTION("""COMPUTED_VALUE"""),"Guyana")</f>
        <v>Guyana</v>
      </c>
      <c r="D6427">
        <f>IFERROR(__xludf.DUMMYFUNCTION("""COMPUTED_VALUE"""),2003.0)</f>
        <v>2003</v>
      </c>
      <c r="E6427">
        <f>IFERROR(__xludf.DUMMYFUNCTION("""COMPUTED_VALUE"""),751857.0)</f>
        <v>751857</v>
      </c>
    </row>
    <row r="6428">
      <c r="A6428" t="str">
        <f t="shared" si="1"/>
        <v>guy#2004</v>
      </c>
      <c r="B6428" t="str">
        <f>IFERROR(__xludf.DUMMYFUNCTION("""COMPUTED_VALUE"""),"guy")</f>
        <v>guy</v>
      </c>
      <c r="C6428" t="str">
        <f>IFERROR(__xludf.DUMMYFUNCTION("""COMPUTED_VALUE"""),"Guyana")</f>
        <v>Guyana</v>
      </c>
      <c r="D6428">
        <f>IFERROR(__xludf.DUMMYFUNCTION("""COMPUTED_VALUE"""),2004.0)</f>
        <v>2004</v>
      </c>
      <c r="E6428">
        <f>IFERROR(__xludf.DUMMYFUNCTION("""COMPUTED_VALUE"""),751652.0)</f>
        <v>751652</v>
      </c>
    </row>
    <row r="6429">
      <c r="A6429" t="str">
        <f t="shared" si="1"/>
        <v>guy#2005</v>
      </c>
      <c r="B6429" t="str">
        <f>IFERROR(__xludf.DUMMYFUNCTION("""COMPUTED_VALUE"""),"guy")</f>
        <v>guy</v>
      </c>
      <c r="C6429" t="str">
        <f>IFERROR(__xludf.DUMMYFUNCTION("""COMPUTED_VALUE"""),"Guyana")</f>
        <v>Guyana</v>
      </c>
      <c r="D6429">
        <f>IFERROR(__xludf.DUMMYFUNCTION("""COMPUTED_VALUE"""),2005.0)</f>
        <v>2005</v>
      </c>
      <c r="E6429">
        <f>IFERROR(__xludf.DUMMYFUNCTION("""COMPUTED_VALUE"""),750946.0)</f>
        <v>750946</v>
      </c>
    </row>
    <row r="6430">
      <c r="A6430" t="str">
        <f t="shared" si="1"/>
        <v>guy#2006</v>
      </c>
      <c r="B6430" t="str">
        <f>IFERROR(__xludf.DUMMYFUNCTION("""COMPUTED_VALUE"""),"guy")</f>
        <v>guy</v>
      </c>
      <c r="C6430" t="str">
        <f>IFERROR(__xludf.DUMMYFUNCTION("""COMPUTED_VALUE"""),"Guyana")</f>
        <v>Guyana</v>
      </c>
      <c r="D6430">
        <f>IFERROR(__xludf.DUMMYFUNCTION("""COMPUTED_VALUE"""),2006.0)</f>
        <v>2006</v>
      </c>
      <c r="E6430">
        <f>IFERROR(__xludf.DUMMYFUNCTION("""COMPUTED_VALUE"""),749601.0)</f>
        <v>749601</v>
      </c>
    </row>
    <row r="6431">
      <c r="A6431" t="str">
        <f t="shared" si="1"/>
        <v>guy#2007</v>
      </c>
      <c r="B6431" t="str">
        <f>IFERROR(__xludf.DUMMYFUNCTION("""COMPUTED_VALUE"""),"guy")</f>
        <v>guy</v>
      </c>
      <c r="C6431" t="str">
        <f>IFERROR(__xludf.DUMMYFUNCTION("""COMPUTED_VALUE"""),"Guyana")</f>
        <v>Guyana</v>
      </c>
      <c r="D6431">
        <f>IFERROR(__xludf.DUMMYFUNCTION("""COMPUTED_VALUE"""),2007.0)</f>
        <v>2007</v>
      </c>
      <c r="E6431">
        <f>IFERROR(__xludf.DUMMYFUNCTION("""COMPUTED_VALUE"""),747869.0)</f>
        <v>747869</v>
      </c>
    </row>
    <row r="6432">
      <c r="A6432" t="str">
        <f t="shared" si="1"/>
        <v>guy#2008</v>
      </c>
      <c r="B6432" t="str">
        <f>IFERROR(__xludf.DUMMYFUNCTION("""COMPUTED_VALUE"""),"guy")</f>
        <v>guy</v>
      </c>
      <c r="C6432" t="str">
        <f>IFERROR(__xludf.DUMMYFUNCTION("""COMPUTED_VALUE"""),"Guyana")</f>
        <v>Guyana</v>
      </c>
      <c r="D6432">
        <f>IFERROR(__xludf.DUMMYFUNCTION("""COMPUTED_VALUE"""),2008.0)</f>
        <v>2008</v>
      </c>
      <c r="E6432">
        <f>IFERROR(__xludf.DUMMYFUNCTION("""COMPUTED_VALUE"""),746314.0)</f>
        <v>746314</v>
      </c>
    </row>
    <row r="6433">
      <c r="A6433" t="str">
        <f t="shared" si="1"/>
        <v>guy#2009</v>
      </c>
      <c r="B6433" t="str">
        <f>IFERROR(__xludf.DUMMYFUNCTION("""COMPUTED_VALUE"""),"guy")</f>
        <v>guy</v>
      </c>
      <c r="C6433" t="str">
        <f>IFERROR(__xludf.DUMMYFUNCTION("""COMPUTED_VALUE"""),"Guyana")</f>
        <v>Guyana</v>
      </c>
      <c r="D6433">
        <f>IFERROR(__xludf.DUMMYFUNCTION("""COMPUTED_VALUE"""),2009.0)</f>
        <v>2009</v>
      </c>
      <c r="E6433">
        <f>IFERROR(__xludf.DUMMYFUNCTION("""COMPUTED_VALUE"""),745693.0)</f>
        <v>745693</v>
      </c>
    </row>
    <row r="6434">
      <c r="A6434" t="str">
        <f t="shared" si="1"/>
        <v>guy#2010</v>
      </c>
      <c r="B6434" t="str">
        <f>IFERROR(__xludf.DUMMYFUNCTION("""COMPUTED_VALUE"""),"guy")</f>
        <v>guy</v>
      </c>
      <c r="C6434" t="str">
        <f>IFERROR(__xludf.DUMMYFUNCTION("""COMPUTED_VALUE"""),"Guyana")</f>
        <v>Guyana</v>
      </c>
      <c r="D6434">
        <f>IFERROR(__xludf.DUMMYFUNCTION("""COMPUTED_VALUE"""),2010.0)</f>
        <v>2010</v>
      </c>
      <c r="E6434">
        <f>IFERROR(__xludf.DUMMYFUNCTION("""COMPUTED_VALUE"""),746556.0)</f>
        <v>746556</v>
      </c>
    </row>
    <row r="6435">
      <c r="A6435" t="str">
        <f t="shared" si="1"/>
        <v>guy#2011</v>
      </c>
      <c r="B6435" t="str">
        <f>IFERROR(__xludf.DUMMYFUNCTION("""COMPUTED_VALUE"""),"guy")</f>
        <v>guy</v>
      </c>
      <c r="C6435" t="str">
        <f>IFERROR(__xludf.DUMMYFUNCTION("""COMPUTED_VALUE"""),"Guyana")</f>
        <v>Guyana</v>
      </c>
      <c r="D6435">
        <f>IFERROR(__xludf.DUMMYFUNCTION("""COMPUTED_VALUE"""),2011.0)</f>
        <v>2011</v>
      </c>
      <c r="E6435">
        <f>IFERROR(__xludf.DUMMYFUNCTION("""COMPUTED_VALUE"""),749100.0)</f>
        <v>749100</v>
      </c>
    </row>
    <row r="6436">
      <c r="A6436" t="str">
        <f t="shared" si="1"/>
        <v>guy#2012</v>
      </c>
      <c r="B6436" t="str">
        <f>IFERROR(__xludf.DUMMYFUNCTION("""COMPUTED_VALUE"""),"guy")</f>
        <v>guy</v>
      </c>
      <c r="C6436" t="str">
        <f>IFERROR(__xludf.DUMMYFUNCTION("""COMPUTED_VALUE"""),"Guyana")</f>
        <v>Guyana</v>
      </c>
      <c r="D6436">
        <f>IFERROR(__xludf.DUMMYFUNCTION("""COMPUTED_VALUE"""),2012.0)</f>
        <v>2012</v>
      </c>
      <c r="E6436">
        <f>IFERROR(__xludf.DUMMYFUNCTION("""COMPUTED_VALUE"""),753091.0)</f>
        <v>753091</v>
      </c>
    </row>
    <row r="6437">
      <c r="A6437" t="str">
        <f t="shared" si="1"/>
        <v>guy#2013</v>
      </c>
      <c r="B6437" t="str">
        <f>IFERROR(__xludf.DUMMYFUNCTION("""COMPUTED_VALUE"""),"guy")</f>
        <v>guy</v>
      </c>
      <c r="C6437" t="str">
        <f>IFERROR(__xludf.DUMMYFUNCTION("""COMPUTED_VALUE"""),"Guyana")</f>
        <v>Guyana</v>
      </c>
      <c r="D6437">
        <f>IFERROR(__xludf.DUMMYFUNCTION("""COMPUTED_VALUE"""),2013.0)</f>
        <v>2013</v>
      </c>
      <c r="E6437">
        <f>IFERROR(__xludf.DUMMYFUNCTION("""COMPUTED_VALUE"""),758081.0)</f>
        <v>758081</v>
      </c>
    </row>
    <row r="6438">
      <c r="A6438" t="str">
        <f t="shared" si="1"/>
        <v>guy#2014</v>
      </c>
      <c r="B6438" t="str">
        <f>IFERROR(__xludf.DUMMYFUNCTION("""COMPUTED_VALUE"""),"guy")</f>
        <v>guy</v>
      </c>
      <c r="C6438" t="str">
        <f>IFERROR(__xludf.DUMMYFUNCTION("""COMPUTED_VALUE"""),"Guyana")</f>
        <v>Guyana</v>
      </c>
      <c r="D6438">
        <f>IFERROR(__xludf.DUMMYFUNCTION("""COMPUTED_VALUE"""),2014.0)</f>
        <v>2014</v>
      </c>
      <c r="E6438">
        <f>IFERROR(__xludf.DUMMYFUNCTION("""COMPUTED_VALUE"""),763393.0)</f>
        <v>763393</v>
      </c>
    </row>
    <row r="6439">
      <c r="A6439" t="str">
        <f t="shared" si="1"/>
        <v>guy#2015</v>
      </c>
      <c r="B6439" t="str">
        <f>IFERROR(__xludf.DUMMYFUNCTION("""COMPUTED_VALUE"""),"guy")</f>
        <v>guy</v>
      </c>
      <c r="C6439" t="str">
        <f>IFERROR(__xludf.DUMMYFUNCTION("""COMPUTED_VALUE"""),"Guyana")</f>
        <v>Guyana</v>
      </c>
      <c r="D6439">
        <f>IFERROR(__xludf.DUMMYFUNCTION("""COMPUTED_VALUE"""),2015.0)</f>
        <v>2015</v>
      </c>
      <c r="E6439">
        <f>IFERROR(__xludf.DUMMYFUNCTION("""COMPUTED_VALUE"""),768514.0)</f>
        <v>768514</v>
      </c>
    </row>
    <row r="6440">
      <c r="A6440" t="str">
        <f t="shared" si="1"/>
        <v>guy#2016</v>
      </c>
      <c r="B6440" t="str">
        <f>IFERROR(__xludf.DUMMYFUNCTION("""COMPUTED_VALUE"""),"guy")</f>
        <v>guy</v>
      </c>
      <c r="C6440" t="str">
        <f>IFERROR(__xludf.DUMMYFUNCTION("""COMPUTED_VALUE"""),"Guyana")</f>
        <v>Guyana</v>
      </c>
      <c r="D6440">
        <f>IFERROR(__xludf.DUMMYFUNCTION("""COMPUTED_VALUE"""),2016.0)</f>
        <v>2016</v>
      </c>
      <c r="E6440">
        <f>IFERROR(__xludf.DUMMYFUNCTION("""COMPUTED_VALUE"""),773303.0)</f>
        <v>773303</v>
      </c>
    </row>
    <row r="6441">
      <c r="A6441" t="str">
        <f t="shared" si="1"/>
        <v>guy#2017</v>
      </c>
      <c r="B6441" t="str">
        <f>IFERROR(__xludf.DUMMYFUNCTION("""COMPUTED_VALUE"""),"guy")</f>
        <v>guy</v>
      </c>
      <c r="C6441" t="str">
        <f>IFERROR(__xludf.DUMMYFUNCTION("""COMPUTED_VALUE"""),"Guyana")</f>
        <v>Guyana</v>
      </c>
      <c r="D6441">
        <f>IFERROR(__xludf.DUMMYFUNCTION("""COMPUTED_VALUE"""),2017.0)</f>
        <v>2017</v>
      </c>
      <c r="E6441">
        <f>IFERROR(__xludf.DUMMYFUNCTION("""COMPUTED_VALUE"""),777859.0)</f>
        <v>777859</v>
      </c>
    </row>
    <row r="6442">
      <c r="A6442" t="str">
        <f t="shared" si="1"/>
        <v>guy#2018</v>
      </c>
      <c r="B6442" t="str">
        <f>IFERROR(__xludf.DUMMYFUNCTION("""COMPUTED_VALUE"""),"guy")</f>
        <v>guy</v>
      </c>
      <c r="C6442" t="str">
        <f>IFERROR(__xludf.DUMMYFUNCTION("""COMPUTED_VALUE"""),"Guyana")</f>
        <v>Guyana</v>
      </c>
      <c r="D6442">
        <f>IFERROR(__xludf.DUMMYFUNCTION("""COMPUTED_VALUE"""),2018.0)</f>
        <v>2018</v>
      </c>
      <c r="E6442">
        <f>IFERROR(__xludf.DUMMYFUNCTION("""COMPUTED_VALUE"""),782225.0)</f>
        <v>782225</v>
      </c>
    </row>
    <row r="6443">
      <c r="A6443" t="str">
        <f t="shared" si="1"/>
        <v>guy#2019</v>
      </c>
      <c r="B6443" t="str">
        <f>IFERROR(__xludf.DUMMYFUNCTION("""COMPUTED_VALUE"""),"guy")</f>
        <v>guy</v>
      </c>
      <c r="C6443" t="str">
        <f>IFERROR(__xludf.DUMMYFUNCTION("""COMPUTED_VALUE"""),"Guyana")</f>
        <v>Guyana</v>
      </c>
      <c r="D6443">
        <f>IFERROR(__xludf.DUMMYFUNCTION("""COMPUTED_VALUE"""),2019.0)</f>
        <v>2019</v>
      </c>
      <c r="E6443">
        <f>IFERROR(__xludf.DUMMYFUNCTION("""COMPUTED_VALUE"""),786508.0)</f>
        <v>786508</v>
      </c>
    </row>
    <row r="6444">
      <c r="A6444" t="str">
        <f t="shared" si="1"/>
        <v>guy#2020</v>
      </c>
      <c r="B6444" t="str">
        <f>IFERROR(__xludf.DUMMYFUNCTION("""COMPUTED_VALUE"""),"guy")</f>
        <v>guy</v>
      </c>
      <c r="C6444" t="str">
        <f>IFERROR(__xludf.DUMMYFUNCTION("""COMPUTED_VALUE"""),"Guyana")</f>
        <v>Guyana</v>
      </c>
      <c r="D6444">
        <f>IFERROR(__xludf.DUMMYFUNCTION("""COMPUTED_VALUE"""),2020.0)</f>
        <v>2020</v>
      </c>
      <c r="E6444">
        <f>IFERROR(__xludf.DUMMYFUNCTION("""COMPUTED_VALUE"""),790782.0)</f>
        <v>790782</v>
      </c>
    </row>
    <row r="6445">
      <c r="A6445" t="str">
        <f t="shared" si="1"/>
        <v>guy#2021</v>
      </c>
      <c r="B6445" t="str">
        <f>IFERROR(__xludf.DUMMYFUNCTION("""COMPUTED_VALUE"""),"guy")</f>
        <v>guy</v>
      </c>
      <c r="C6445" t="str">
        <f>IFERROR(__xludf.DUMMYFUNCTION("""COMPUTED_VALUE"""),"Guyana")</f>
        <v>Guyana</v>
      </c>
      <c r="D6445">
        <f>IFERROR(__xludf.DUMMYFUNCTION("""COMPUTED_VALUE"""),2021.0)</f>
        <v>2021</v>
      </c>
      <c r="E6445">
        <f>IFERROR(__xludf.DUMMYFUNCTION("""COMPUTED_VALUE"""),795022.0)</f>
        <v>795022</v>
      </c>
    </row>
    <row r="6446">
      <c r="A6446" t="str">
        <f t="shared" si="1"/>
        <v>guy#2022</v>
      </c>
      <c r="B6446" t="str">
        <f>IFERROR(__xludf.DUMMYFUNCTION("""COMPUTED_VALUE"""),"guy")</f>
        <v>guy</v>
      </c>
      <c r="C6446" t="str">
        <f>IFERROR(__xludf.DUMMYFUNCTION("""COMPUTED_VALUE"""),"Guyana")</f>
        <v>Guyana</v>
      </c>
      <c r="D6446">
        <f>IFERROR(__xludf.DUMMYFUNCTION("""COMPUTED_VALUE"""),2022.0)</f>
        <v>2022</v>
      </c>
      <c r="E6446">
        <f>IFERROR(__xludf.DUMMYFUNCTION("""COMPUTED_VALUE"""),799146.0)</f>
        <v>799146</v>
      </c>
    </row>
    <row r="6447">
      <c r="A6447" t="str">
        <f t="shared" si="1"/>
        <v>guy#2023</v>
      </c>
      <c r="B6447" t="str">
        <f>IFERROR(__xludf.DUMMYFUNCTION("""COMPUTED_VALUE"""),"guy")</f>
        <v>guy</v>
      </c>
      <c r="C6447" t="str">
        <f>IFERROR(__xludf.DUMMYFUNCTION("""COMPUTED_VALUE"""),"Guyana")</f>
        <v>Guyana</v>
      </c>
      <c r="D6447">
        <f>IFERROR(__xludf.DUMMYFUNCTION("""COMPUTED_VALUE"""),2023.0)</f>
        <v>2023</v>
      </c>
      <c r="E6447">
        <f>IFERROR(__xludf.DUMMYFUNCTION("""COMPUTED_VALUE"""),803119.0)</f>
        <v>803119</v>
      </c>
    </row>
    <row r="6448">
      <c r="A6448" t="str">
        <f t="shared" si="1"/>
        <v>guy#2024</v>
      </c>
      <c r="B6448" t="str">
        <f>IFERROR(__xludf.DUMMYFUNCTION("""COMPUTED_VALUE"""),"guy")</f>
        <v>guy</v>
      </c>
      <c r="C6448" t="str">
        <f>IFERROR(__xludf.DUMMYFUNCTION("""COMPUTED_VALUE"""),"Guyana")</f>
        <v>Guyana</v>
      </c>
      <c r="D6448">
        <f>IFERROR(__xludf.DUMMYFUNCTION("""COMPUTED_VALUE"""),2024.0)</f>
        <v>2024</v>
      </c>
      <c r="E6448">
        <f>IFERROR(__xludf.DUMMYFUNCTION("""COMPUTED_VALUE"""),806914.0)</f>
        <v>806914</v>
      </c>
    </row>
    <row r="6449">
      <c r="A6449" t="str">
        <f t="shared" si="1"/>
        <v>guy#2025</v>
      </c>
      <c r="B6449" t="str">
        <f>IFERROR(__xludf.DUMMYFUNCTION("""COMPUTED_VALUE"""),"guy")</f>
        <v>guy</v>
      </c>
      <c r="C6449" t="str">
        <f>IFERROR(__xludf.DUMMYFUNCTION("""COMPUTED_VALUE"""),"Guyana")</f>
        <v>Guyana</v>
      </c>
      <c r="D6449">
        <f>IFERROR(__xludf.DUMMYFUNCTION("""COMPUTED_VALUE"""),2025.0)</f>
        <v>2025</v>
      </c>
      <c r="E6449">
        <f>IFERROR(__xludf.DUMMYFUNCTION("""COMPUTED_VALUE"""),810501.0)</f>
        <v>810501</v>
      </c>
    </row>
    <row r="6450">
      <c r="A6450" t="str">
        <f t="shared" si="1"/>
        <v>guy#2026</v>
      </c>
      <c r="B6450" t="str">
        <f>IFERROR(__xludf.DUMMYFUNCTION("""COMPUTED_VALUE"""),"guy")</f>
        <v>guy</v>
      </c>
      <c r="C6450" t="str">
        <f>IFERROR(__xludf.DUMMYFUNCTION("""COMPUTED_VALUE"""),"Guyana")</f>
        <v>Guyana</v>
      </c>
      <c r="D6450">
        <f>IFERROR(__xludf.DUMMYFUNCTION("""COMPUTED_VALUE"""),2026.0)</f>
        <v>2026</v>
      </c>
      <c r="E6450">
        <f>IFERROR(__xludf.DUMMYFUNCTION("""COMPUTED_VALUE"""),813861.0)</f>
        <v>813861</v>
      </c>
    </row>
    <row r="6451">
      <c r="A6451" t="str">
        <f t="shared" si="1"/>
        <v>guy#2027</v>
      </c>
      <c r="B6451" t="str">
        <f>IFERROR(__xludf.DUMMYFUNCTION("""COMPUTED_VALUE"""),"guy")</f>
        <v>guy</v>
      </c>
      <c r="C6451" t="str">
        <f>IFERROR(__xludf.DUMMYFUNCTION("""COMPUTED_VALUE"""),"Guyana")</f>
        <v>Guyana</v>
      </c>
      <c r="D6451">
        <f>IFERROR(__xludf.DUMMYFUNCTION("""COMPUTED_VALUE"""),2027.0)</f>
        <v>2027</v>
      </c>
      <c r="E6451">
        <f>IFERROR(__xludf.DUMMYFUNCTION("""COMPUTED_VALUE"""),816988.0)</f>
        <v>816988</v>
      </c>
    </row>
    <row r="6452">
      <c r="A6452" t="str">
        <f t="shared" si="1"/>
        <v>guy#2028</v>
      </c>
      <c r="B6452" t="str">
        <f>IFERROR(__xludf.DUMMYFUNCTION("""COMPUTED_VALUE"""),"guy")</f>
        <v>guy</v>
      </c>
      <c r="C6452" t="str">
        <f>IFERROR(__xludf.DUMMYFUNCTION("""COMPUTED_VALUE"""),"Guyana")</f>
        <v>Guyana</v>
      </c>
      <c r="D6452">
        <f>IFERROR(__xludf.DUMMYFUNCTION("""COMPUTED_VALUE"""),2028.0)</f>
        <v>2028</v>
      </c>
      <c r="E6452">
        <f>IFERROR(__xludf.DUMMYFUNCTION("""COMPUTED_VALUE"""),819881.0)</f>
        <v>819881</v>
      </c>
    </row>
    <row r="6453">
      <c r="A6453" t="str">
        <f t="shared" si="1"/>
        <v>guy#2029</v>
      </c>
      <c r="B6453" t="str">
        <f>IFERROR(__xludf.DUMMYFUNCTION("""COMPUTED_VALUE"""),"guy")</f>
        <v>guy</v>
      </c>
      <c r="C6453" t="str">
        <f>IFERROR(__xludf.DUMMYFUNCTION("""COMPUTED_VALUE"""),"Guyana")</f>
        <v>Guyana</v>
      </c>
      <c r="D6453">
        <f>IFERROR(__xludf.DUMMYFUNCTION("""COMPUTED_VALUE"""),2029.0)</f>
        <v>2029</v>
      </c>
      <c r="E6453">
        <f>IFERROR(__xludf.DUMMYFUNCTION("""COMPUTED_VALUE"""),822554.0)</f>
        <v>822554</v>
      </c>
    </row>
    <row r="6454">
      <c r="A6454" t="str">
        <f t="shared" si="1"/>
        <v>guy#2030</v>
      </c>
      <c r="B6454" t="str">
        <f>IFERROR(__xludf.DUMMYFUNCTION("""COMPUTED_VALUE"""),"guy")</f>
        <v>guy</v>
      </c>
      <c r="C6454" t="str">
        <f>IFERROR(__xludf.DUMMYFUNCTION("""COMPUTED_VALUE"""),"Guyana")</f>
        <v>Guyana</v>
      </c>
      <c r="D6454">
        <f>IFERROR(__xludf.DUMMYFUNCTION("""COMPUTED_VALUE"""),2030.0)</f>
        <v>2030</v>
      </c>
      <c r="E6454">
        <f>IFERROR(__xludf.DUMMYFUNCTION("""COMPUTED_VALUE"""),824982.0)</f>
        <v>824982</v>
      </c>
    </row>
    <row r="6455">
      <c r="A6455" t="str">
        <f t="shared" si="1"/>
        <v>guy#2031</v>
      </c>
      <c r="B6455" t="str">
        <f>IFERROR(__xludf.DUMMYFUNCTION("""COMPUTED_VALUE"""),"guy")</f>
        <v>guy</v>
      </c>
      <c r="C6455" t="str">
        <f>IFERROR(__xludf.DUMMYFUNCTION("""COMPUTED_VALUE"""),"Guyana")</f>
        <v>Guyana</v>
      </c>
      <c r="D6455">
        <f>IFERROR(__xludf.DUMMYFUNCTION("""COMPUTED_VALUE"""),2031.0)</f>
        <v>2031</v>
      </c>
      <c r="E6455">
        <f>IFERROR(__xludf.DUMMYFUNCTION("""COMPUTED_VALUE"""),827197.0)</f>
        <v>827197</v>
      </c>
    </row>
    <row r="6456">
      <c r="A6456" t="str">
        <f t="shared" si="1"/>
        <v>guy#2032</v>
      </c>
      <c r="B6456" t="str">
        <f>IFERROR(__xludf.DUMMYFUNCTION("""COMPUTED_VALUE"""),"guy")</f>
        <v>guy</v>
      </c>
      <c r="C6456" t="str">
        <f>IFERROR(__xludf.DUMMYFUNCTION("""COMPUTED_VALUE"""),"Guyana")</f>
        <v>Guyana</v>
      </c>
      <c r="D6456">
        <f>IFERROR(__xludf.DUMMYFUNCTION("""COMPUTED_VALUE"""),2032.0)</f>
        <v>2032</v>
      </c>
      <c r="E6456">
        <f>IFERROR(__xludf.DUMMYFUNCTION("""COMPUTED_VALUE"""),829166.0)</f>
        <v>829166</v>
      </c>
    </row>
    <row r="6457">
      <c r="A6457" t="str">
        <f t="shared" si="1"/>
        <v>guy#2033</v>
      </c>
      <c r="B6457" t="str">
        <f>IFERROR(__xludf.DUMMYFUNCTION("""COMPUTED_VALUE"""),"guy")</f>
        <v>guy</v>
      </c>
      <c r="C6457" t="str">
        <f>IFERROR(__xludf.DUMMYFUNCTION("""COMPUTED_VALUE"""),"Guyana")</f>
        <v>Guyana</v>
      </c>
      <c r="D6457">
        <f>IFERROR(__xludf.DUMMYFUNCTION("""COMPUTED_VALUE"""),2033.0)</f>
        <v>2033</v>
      </c>
      <c r="E6457">
        <f>IFERROR(__xludf.DUMMYFUNCTION("""COMPUTED_VALUE"""),830889.0)</f>
        <v>830889</v>
      </c>
    </row>
    <row r="6458">
      <c r="A6458" t="str">
        <f t="shared" si="1"/>
        <v>guy#2034</v>
      </c>
      <c r="B6458" t="str">
        <f>IFERROR(__xludf.DUMMYFUNCTION("""COMPUTED_VALUE"""),"guy")</f>
        <v>guy</v>
      </c>
      <c r="C6458" t="str">
        <f>IFERROR(__xludf.DUMMYFUNCTION("""COMPUTED_VALUE"""),"Guyana")</f>
        <v>Guyana</v>
      </c>
      <c r="D6458">
        <f>IFERROR(__xludf.DUMMYFUNCTION("""COMPUTED_VALUE"""),2034.0)</f>
        <v>2034</v>
      </c>
      <c r="E6458">
        <f>IFERROR(__xludf.DUMMYFUNCTION("""COMPUTED_VALUE"""),832333.0)</f>
        <v>832333</v>
      </c>
    </row>
    <row r="6459">
      <c r="A6459" t="str">
        <f t="shared" si="1"/>
        <v>guy#2035</v>
      </c>
      <c r="B6459" t="str">
        <f>IFERROR(__xludf.DUMMYFUNCTION("""COMPUTED_VALUE"""),"guy")</f>
        <v>guy</v>
      </c>
      <c r="C6459" t="str">
        <f>IFERROR(__xludf.DUMMYFUNCTION("""COMPUTED_VALUE"""),"Guyana")</f>
        <v>Guyana</v>
      </c>
      <c r="D6459">
        <f>IFERROR(__xludf.DUMMYFUNCTION("""COMPUTED_VALUE"""),2035.0)</f>
        <v>2035</v>
      </c>
      <c r="E6459">
        <f>IFERROR(__xludf.DUMMYFUNCTION("""COMPUTED_VALUE"""),833489.0)</f>
        <v>833489</v>
      </c>
    </row>
    <row r="6460">
      <c r="A6460" t="str">
        <f t="shared" si="1"/>
        <v>guy#2036</v>
      </c>
      <c r="B6460" t="str">
        <f>IFERROR(__xludf.DUMMYFUNCTION("""COMPUTED_VALUE"""),"guy")</f>
        <v>guy</v>
      </c>
      <c r="C6460" t="str">
        <f>IFERROR(__xludf.DUMMYFUNCTION("""COMPUTED_VALUE"""),"Guyana")</f>
        <v>Guyana</v>
      </c>
      <c r="D6460">
        <f>IFERROR(__xludf.DUMMYFUNCTION("""COMPUTED_VALUE"""),2036.0)</f>
        <v>2036</v>
      </c>
      <c r="E6460">
        <f>IFERROR(__xludf.DUMMYFUNCTION("""COMPUTED_VALUE"""),834352.0)</f>
        <v>834352</v>
      </c>
    </row>
    <row r="6461">
      <c r="A6461" t="str">
        <f t="shared" si="1"/>
        <v>guy#2037</v>
      </c>
      <c r="B6461" t="str">
        <f>IFERROR(__xludf.DUMMYFUNCTION("""COMPUTED_VALUE"""),"guy")</f>
        <v>guy</v>
      </c>
      <c r="C6461" t="str">
        <f>IFERROR(__xludf.DUMMYFUNCTION("""COMPUTED_VALUE"""),"Guyana")</f>
        <v>Guyana</v>
      </c>
      <c r="D6461">
        <f>IFERROR(__xludf.DUMMYFUNCTION("""COMPUTED_VALUE"""),2037.0)</f>
        <v>2037</v>
      </c>
      <c r="E6461">
        <f>IFERROR(__xludf.DUMMYFUNCTION("""COMPUTED_VALUE"""),834928.0)</f>
        <v>834928</v>
      </c>
    </row>
    <row r="6462">
      <c r="A6462" t="str">
        <f t="shared" si="1"/>
        <v>guy#2038</v>
      </c>
      <c r="B6462" t="str">
        <f>IFERROR(__xludf.DUMMYFUNCTION("""COMPUTED_VALUE"""),"guy")</f>
        <v>guy</v>
      </c>
      <c r="C6462" t="str">
        <f>IFERROR(__xludf.DUMMYFUNCTION("""COMPUTED_VALUE"""),"Guyana")</f>
        <v>Guyana</v>
      </c>
      <c r="D6462">
        <f>IFERROR(__xludf.DUMMYFUNCTION("""COMPUTED_VALUE"""),2038.0)</f>
        <v>2038</v>
      </c>
      <c r="E6462">
        <f>IFERROR(__xludf.DUMMYFUNCTION("""COMPUTED_VALUE"""),835233.0)</f>
        <v>835233</v>
      </c>
    </row>
    <row r="6463">
      <c r="A6463" t="str">
        <f t="shared" si="1"/>
        <v>guy#2039</v>
      </c>
      <c r="B6463" t="str">
        <f>IFERROR(__xludf.DUMMYFUNCTION("""COMPUTED_VALUE"""),"guy")</f>
        <v>guy</v>
      </c>
      <c r="C6463" t="str">
        <f>IFERROR(__xludf.DUMMYFUNCTION("""COMPUTED_VALUE"""),"Guyana")</f>
        <v>Guyana</v>
      </c>
      <c r="D6463">
        <f>IFERROR(__xludf.DUMMYFUNCTION("""COMPUTED_VALUE"""),2039.0)</f>
        <v>2039</v>
      </c>
      <c r="E6463">
        <f>IFERROR(__xludf.DUMMYFUNCTION("""COMPUTED_VALUE"""),835288.0)</f>
        <v>835288</v>
      </c>
    </row>
    <row r="6464">
      <c r="A6464" t="str">
        <f t="shared" si="1"/>
        <v>guy#2040</v>
      </c>
      <c r="B6464" t="str">
        <f>IFERROR(__xludf.DUMMYFUNCTION("""COMPUTED_VALUE"""),"guy")</f>
        <v>guy</v>
      </c>
      <c r="C6464" t="str">
        <f>IFERROR(__xludf.DUMMYFUNCTION("""COMPUTED_VALUE"""),"Guyana")</f>
        <v>Guyana</v>
      </c>
      <c r="D6464">
        <f>IFERROR(__xludf.DUMMYFUNCTION("""COMPUTED_VALUE"""),2040.0)</f>
        <v>2040</v>
      </c>
      <c r="E6464">
        <f>IFERROR(__xludf.DUMMYFUNCTION("""COMPUTED_VALUE"""),835119.0)</f>
        <v>835119</v>
      </c>
    </row>
    <row r="6465">
      <c r="A6465" t="str">
        <f t="shared" si="1"/>
        <v>hti#1950</v>
      </c>
      <c r="B6465" t="str">
        <f>IFERROR(__xludf.DUMMYFUNCTION("""COMPUTED_VALUE"""),"hti")</f>
        <v>hti</v>
      </c>
      <c r="C6465" t="str">
        <f>IFERROR(__xludf.DUMMYFUNCTION("""COMPUTED_VALUE"""),"Haiti")</f>
        <v>Haiti</v>
      </c>
      <c r="D6465">
        <f>IFERROR(__xludf.DUMMYFUNCTION("""COMPUTED_VALUE"""),1950.0)</f>
        <v>1950</v>
      </c>
      <c r="E6465">
        <f>IFERROR(__xludf.DUMMYFUNCTION("""COMPUTED_VALUE"""),3221283.0)</f>
        <v>3221283</v>
      </c>
    </row>
    <row r="6466">
      <c r="A6466" t="str">
        <f t="shared" si="1"/>
        <v>hti#1951</v>
      </c>
      <c r="B6466" t="str">
        <f>IFERROR(__xludf.DUMMYFUNCTION("""COMPUTED_VALUE"""),"hti")</f>
        <v>hti</v>
      </c>
      <c r="C6466" t="str">
        <f>IFERROR(__xludf.DUMMYFUNCTION("""COMPUTED_VALUE"""),"Haiti")</f>
        <v>Haiti</v>
      </c>
      <c r="D6466">
        <f>IFERROR(__xludf.DUMMYFUNCTION("""COMPUTED_VALUE"""),1951.0)</f>
        <v>1951</v>
      </c>
      <c r="E6466">
        <f>IFERROR(__xludf.DUMMYFUNCTION("""COMPUTED_VALUE"""),3275366.0)</f>
        <v>3275366</v>
      </c>
    </row>
    <row r="6467">
      <c r="A6467" t="str">
        <f t="shared" si="1"/>
        <v>hti#1952</v>
      </c>
      <c r="B6467" t="str">
        <f>IFERROR(__xludf.DUMMYFUNCTION("""COMPUTED_VALUE"""),"hti")</f>
        <v>hti</v>
      </c>
      <c r="C6467" t="str">
        <f>IFERROR(__xludf.DUMMYFUNCTION("""COMPUTED_VALUE"""),"Haiti")</f>
        <v>Haiti</v>
      </c>
      <c r="D6467">
        <f>IFERROR(__xludf.DUMMYFUNCTION("""COMPUTED_VALUE"""),1952.0)</f>
        <v>1952</v>
      </c>
      <c r="E6467">
        <f>IFERROR(__xludf.DUMMYFUNCTION("""COMPUTED_VALUE"""),3331580.0)</f>
        <v>3331580</v>
      </c>
    </row>
    <row r="6468">
      <c r="A6468" t="str">
        <f t="shared" si="1"/>
        <v>hti#1953</v>
      </c>
      <c r="B6468" t="str">
        <f>IFERROR(__xludf.DUMMYFUNCTION("""COMPUTED_VALUE"""),"hti")</f>
        <v>hti</v>
      </c>
      <c r="C6468" t="str">
        <f>IFERROR(__xludf.DUMMYFUNCTION("""COMPUTED_VALUE"""),"Haiti")</f>
        <v>Haiti</v>
      </c>
      <c r="D6468">
        <f>IFERROR(__xludf.DUMMYFUNCTION("""COMPUTED_VALUE"""),1953.0)</f>
        <v>1953</v>
      </c>
      <c r="E6468">
        <f>IFERROR(__xludf.DUMMYFUNCTION("""COMPUTED_VALUE"""),3390050.0)</f>
        <v>3390050</v>
      </c>
    </row>
    <row r="6469">
      <c r="A6469" t="str">
        <f t="shared" si="1"/>
        <v>hti#1954</v>
      </c>
      <c r="B6469" t="str">
        <f>IFERROR(__xludf.DUMMYFUNCTION("""COMPUTED_VALUE"""),"hti")</f>
        <v>hti</v>
      </c>
      <c r="C6469" t="str">
        <f>IFERROR(__xludf.DUMMYFUNCTION("""COMPUTED_VALUE"""),"Haiti")</f>
        <v>Haiti</v>
      </c>
      <c r="D6469">
        <f>IFERROR(__xludf.DUMMYFUNCTION("""COMPUTED_VALUE"""),1954.0)</f>
        <v>1954</v>
      </c>
      <c r="E6469">
        <f>IFERROR(__xludf.DUMMYFUNCTION("""COMPUTED_VALUE"""),3450850.0)</f>
        <v>3450850</v>
      </c>
    </row>
    <row r="6470">
      <c r="A6470" t="str">
        <f t="shared" si="1"/>
        <v>hti#1955</v>
      </c>
      <c r="B6470" t="str">
        <f>IFERROR(__xludf.DUMMYFUNCTION("""COMPUTED_VALUE"""),"hti")</f>
        <v>hti</v>
      </c>
      <c r="C6470" t="str">
        <f>IFERROR(__xludf.DUMMYFUNCTION("""COMPUTED_VALUE"""),"Haiti")</f>
        <v>Haiti</v>
      </c>
      <c r="D6470">
        <f>IFERROR(__xludf.DUMMYFUNCTION("""COMPUTED_VALUE"""),1955.0)</f>
        <v>1955</v>
      </c>
      <c r="E6470">
        <f>IFERROR(__xludf.DUMMYFUNCTION("""COMPUTED_VALUE"""),3514074.0)</f>
        <v>3514074</v>
      </c>
    </row>
    <row r="6471">
      <c r="A6471" t="str">
        <f t="shared" si="1"/>
        <v>hti#1956</v>
      </c>
      <c r="B6471" t="str">
        <f>IFERROR(__xludf.DUMMYFUNCTION("""COMPUTED_VALUE"""),"hti")</f>
        <v>hti</v>
      </c>
      <c r="C6471" t="str">
        <f>IFERROR(__xludf.DUMMYFUNCTION("""COMPUTED_VALUE"""),"Haiti")</f>
        <v>Haiti</v>
      </c>
      <c r="D6471">
        <f>IFERROR(__xludf.DUMMYFUNCTION("""COMPUTED_VALUE"""),1956.0)</f>
        <v>1956</v>
      </c>
      <c r="E6471">
        <f>IFERROR(__xludf.DUMMYFUNCTION("""COMPUTED_VALUE"""),3579725.0)</f>
        <v>3579725</v>
      </c>
    </row>
    <row r="6472">
      <c r="A6472" t="str">
        <f t="shared" si="1"/>
        <v>hti#1957</v>
      </c>
      <c r="B6472" t="str">
        <f>IFERROR(__xludf.DUMMYFUNCTION("""COMPUTED_VALUE"""),"hti")</f>
        <v>hti</v>
      </c>
      <c r="C6472" t="str">
        <f>IFERROR(__xludf.DUMMYFUNCTION("""COMPUTED_VALUE"""),"Haiti")</f>
        <v>Haiti</v>
      </c>
      <c r="D6472">
        <f>IFERROR(__xludf.DUMMYFUNCTION("""COMPUTED_VALUE"""),1957.0)</f>
        <v>1957</v>
      </c>
      <c r="E6472">
        <f>IFERROR(__xludf.DUMMYFUNCTION("""COMPUTED_VALUE"""),3647809.0)</f>
        <v>3647809</v>
      </c>
    </row>
    <row r="6473">
      <c r="A6473" t="str">
        <f t="shared" si="1"/>
        <v>hti#1958</v>
      </c>
      <c r="B6473" t="str">
        <f>IFERROR(__xludf.DUMMYFUNCTION("""COMPUTED_VALUE"""),"hti")</f>
        <v>hti</v>
      </c>
      <c r="C6473" t="str">
        <f>IFERROR(__xludf.DUMMYFUNCTION("""COMPUTED_VALUE"""),"Haiti")</f>
        <v>Haiti</v>
      </c>
      <c r="D6473">
        <f>IFERROR(__xludf.DUMMYFUNCTION("""COMPUTED_VALUE"""),1958.0)</f>
        <v>1958</v>
      </c>
      <c r="E6473">
        <f>IFERROR(__xludf.DUMMYFUNCTION("""COMPUTED_VALUE"""),3718283.0)</f>
        <v>3718283</v>
      </c>
    </row>
    <row r="6474">
      <c r="A6474" t="str">
        <f t="shared" si="1"/>
        <v>hti#1959</v>
      </c>
      <c r="B6474" t="str">
        <f>IFERROR(__xludf.DUMMYFUNCTION("""COMPUTED_VALUE"""),"hti")</f>
        <v>hti</v>
      </c>
      <c r="C6474" t="str">
        <f>IFERROR(__xludf.DUMMYFUNCTION("""COMPUTED_VALUE"""),"Haiti")</f>
        <v>Haiti</v>
      </c>
      <c r="D6474">
        <f>IFERROR(__xludf.DUMMYFUNCTION("""COMPUTED_VALUE"""),1959.0)</f>
        <v>1959</v>
      </c>
      <c r="E6474">
        <f>IFERROR(__xludf.DUMMYFUNCTION("""COMPUTED_VALUE"""),3791097.0)</f>
        <v>3791097</v>
      </c>
    </row>
    <row r="6475">
      <c r="A6475" t="str">
        <f t="shared" si="1"/>
        <v>hti#1960</v>
      </c>
      <c r="B6475" t="str">
        <f>IFERROR(__xludf.DUMMYFUNCTION("""COMPUTED_VALUE"""),"hti")</f>
        <v>hti</v>
      </c>
      <c r="C6475" t="str">
        <f>IFERROR(__xludf.DUMMYFUNCTION("""COMPUTED_VALUE"""),"Haiti")</f>
        <v>Haiti</v>
      </c>
      <c r="D6475">
        <f>IFERROR(__xludf.DUMMYFUNCTION("""COMPUTED_VALUE"""),1960.0)</f>
        <v>1960</v>
      </c>
      <c r="E6475">
        <f>IFERROR(__xludf.DUMMYFUNCTION("""COMPUTED_VALUE"""),3866159.0)</f>
        <v>3866159</v>
      </c>
    </row>
    <row r="6476">
      <c r="A6476" t="str">
        <f t="shared" si="1"/>
        <v>hti#1961</v>
      </c>
      <c r="B6476" t="str">
        <f>IFERROR(__xludf.DUMMYFUNCTION("""COMPUTED_VALUE"""),"hti")</f>
        <v>hti</v>
      </c>
      <c r="C6476" t="str">
        <f>IFERROR(__xludf.DUMMYFUNCTION("""COMPUTED_VALUE"""),"Haiti")</f>
        <v>Haiti</v>
      </c>
      <c r="D6476">
        <f>IFERROR(__xludf.DUMMYFUNCTION("""COMPUTED_VALUE"""),1961.0)</f>
        <v>1961</v>
      </c>
      <c r="E6476">
        <f>IFERROR(__xludf.DUMMYFUNCTION("""COMPUTED_VALUE"""),3943364.0)</f>
        <v>3943364</v>
      </c>
    </row>
    <row r="6477">
      <c r="A6477" t="str">
        <f t="shared" si="1"/>
        <v>hti#1962</v>
      </c>
      <c r="B6477" t="str">
        <f>IFERROR(__xludf.DUMMYFUNCTION("""COMPUTED_VALUE"""),"hti")</f>
        <v>hti</v>
      </c>
      <c r="C6477" t="str">
        <f>IFERROR(__xludf.DUMMYFUNCTION("""COMPUTED_VALUE"""),"Haiti")</f>
        <v>Haiti</v>
      </c>
      <c r="D6477">
        <f>IFERROR(__xludf.DUMMYFUNCTION("""COMPUTED_VALUE"""),1962.0)</f>
        <v>1962</v>
      </c>
      <c r="E6477">
        <f>IFERROR(__xludf.DUMMYFUNCTION("""COMPUTED_VALUE"""),4022593.0)</f>
        <v>4022593</v>
      </c>
    </row>
    <row r="6478">
      <c r="A6478" t="str">
        <f t="shared" si="1"/>
        <v>hti#1963</v>
      </c>
      <c r="B6478" t="str">
        <f>IFERROR(__xludf.DUMMYFUNCTION("""COMPUTED_VALUE"""),"hti")</f>
        <v>hti</v>
      </c>
      <c r="C6478" t="str">
        <f>IFERROR(__xludf.DUMMYFUNCTION("""COMPUTED_VALUE"""),"Haiti")</f>
        <v>Haiti</v>
      </c>
      <c r="D6478">
        <f>IFERROR(__xludf.DUMMYFUNCTION("""COMPUTED_VALUE"""),1963.0)</f>
        <v>1963</v>
      </c>
      <c r="E6478">
        <f>IFERROR(__xludf.DUMMYFUNCTION("""COMPUTED_VALUE"""),4103730.0)</f>
        <v>4103730</v>
      </c>
    </row>
    <row r="6479">
      <c r="A6479" t="str">
        <f t="shared" si="1"/>
        <v>hti#1964</v>
      </c>
      <c r="B6479" t="str">
        <f>IFERROR(__xludf.DUMMYFUNCTION("""COMPUTED_VALUE"""),"hti")</f>
        <v>hti</v>
      </c>
      <c r="C6479" t="str">
        <f>IFERROR(__xludf.DUMMYFUNCTION("""COMPUTED_VALUE"""),"Haiti")</f>
        <v>Haiti</v>
      </c>
      <c r="D6479">
        <f>IFERROR(__xludf.DUMMYFUNCTION("""COMPUTED_VALUE"""),1964.0)</f>
        <v>1964</v>
      </c>
      <c r="E6479">
        <f>IFERROR(__xludf.DUMMYFUNCTION("""COMPUTED_VALUE"""),4186640.0)</f>
        <v>4186640</v>
      </c>
    </row>
    <row r="6480">
      <c r="A6480" t="str">
        <f t="shared" si="1"/>
        <v>hti#1965</v>
      </c>
      <c r="B6480" t="str">
        <f>IFERROR(__xludf.DUMMYFUNCTION("""COMPUTED_VALUE"""),"hti")</f>
        <v>hti</v>
      </c>
      <c r="C6480" t="str">
        <f>IFERROR(__xludf.DUMMYFUNCTION("""COMPUTED_VALUE"""),"Haiti")</f>
        <v>Haiti</v>
      </c>
      <c r="D6480">
        <f>IFERROR(__xludf.DUMMYFUNCTION("""COMPUTED_VALUE"""),1965.0)</f>
        <v>1965</v>
      </c>
      <c r="E6480">
        <f>IFERROR(__xludf.DUMMYFUNCTION("""COMPUTED_VALUE"""),4271133.0)</f>
        <v>4271133</v>
      </c>
    </row>
    <row r="6481">
      <c r="A6481" t="str">
        <f t="shared" si="1"/>
        <v>hti#1966</v>
      </c>
      <c r="B6481" t="str">
        <f>IFERROR(__xludf.DUMMYFUNCTION("""COMPUTED_VALUE"""),"hti")</f>
        <v>hti</v>
      </c>
      <c r="C6481" t="str">
        <f>IFERROR(__xludf.DUMMYFUNCTION("""COMPUTED_VALUE"""),"Haiti")</f>
        <v>Haiti</v>
      </c>
      <c r="D6481">
        <f>IFERROR(__xludf.DUMMYFUNCTION("""COMPUTED_VALUE"""),1966.0)</f>
        <v>1966</v>
      </c>
      <c r="E6481">
        <f>IFERROR(__xludf.DUMMYFUNCTION("""COMPUTED_VALUE"""),4357484.0)</f>
        <v>4357484</v>
      </c>
    </row>
    <row r="6482">
      <c r="A6482" t="str">
        <f t="shared" si="1"/>
        <v>hti#1967</v>
      </c>
      <c r="B6482" t="str">
        <f>IFERROR(__xludf.DUMMYFUNCTION("""COMPUTED_VALUE"""),"hti")</f>
        <v>hti</v>
      </c>
      <c r="C6482" t="str">
        <f>IFERROR(__xludf.DUMMYFUNCTION("""COMPUTED_VALUE"""),"Haiti")</f>
        <v>Haiti</v>
      </c>
      <c r="D6482">
        <f>IFERROR(__xludf.DUMMYFUNCTION("""COMPUTED_VALUE"""),1967.0)</f>
        <v>1967</v>
      </c>
      <c r="E6482">
        <f>IFERROR(__xludf.DUMMYFUNCTION("""COMPUTED_VALUE"""),4445530.0)</f>
        <v>4445530</v>
      </c>
    </row>
    <row r="6483">
      <c r="A6483" t="str">
        <f t="shared" si="1"/>
        <v>hti#1968</v>
      </c>
      <c r="B6483" t="str">
        <f>IFERROR(__xludf.DUMMYFUNCTION("""COMPUTED_VALUE"""),"hti")</f>
        <v>hti</v>
      </c>
      <c r="C6483" t="str">
        <f>IFERROR(__xludf.DUMMYFUNCTION("""COMPUTED_VALUE"""),"Haiti")</f>
        <v>Haiti</v>
      </c>
      <c r="D6483">
        <f>IFERROR(__xludf.DUMMYFUNCTION("""COMPUTED_VALUE"""),1968.0)</f>
        <v>1968</v>
      </c>
      <c r="E6483">
        <f>IFERROR(__xludf.DUMMYFUNCTION("""COMPUTED_VALUE"""),4534234.0)</f>
        <v>4534234</v>
      </c>
    </row>
    <row r="6484">
      <c r="A6484" t="str">
        <f t="shared" si="1"/>
        <v>hti#1969</v>
      </c>
      <c r="B6484" t="str">
        <f>IFERROR(__xludf.DUMMYFUNCTION("""COMPUTED_VALUE"""),"hti")</f>
        <v>hti</v>
      </c>
      <c r="C6484" t="str">
        <f>IFERROR(__xludf.DUMMYFUNCTION("""COMPUTED_VALUE"""),"Haiti")</f>
        <v>Haiti</v>
      </c>
      <c r="D6484">
        <f>IFERROR(__xludf.DUMMYFUNCTION("""COMPUTED_VALUE"""),1969.0)</f>
        <v>1969</v>
      </c>
      <c r="E6484">
        <f>IFERROR(__xludf.DUMMYFUNCTION("""COMPUTED_VALUE"""),4622208.0)</f>
        <v>4622208</v>
      </c>
    </row>
    <row r="6485">
      <c r="A6485" t="str">
        <f t="shared" si="1"/>
        <v>hti#1970</v>
      </c>
      <c r="B6485" t="str">
        <f>IFERROR(__xludf.DUMMYFUNCTION("""COMPUTED_VALUE"""),"hti")</f>
        <v>hti</v>
      </c>
      <c r="C6485" t="str">
        <f>IFERROR(__xludf.DUMMYFUNCTION("""COMPUTED_VALUE"""),"Haiti")</f>
        <v>Haiti</v>
      </c>
      <c r="D6485">
        <f>IFERROR(__xludf.DUMMYFUNCTION("""COMPUTED_VALUE"""),1970.0)</f>
        <v>1970</v>
      </c>
      <c r="E6485">
        <f>IFERROR(__xludf.DUMMYFUNCTION("""COMPUTED_VALUE"""),4708642.0)</f>
        <v>4708642</v>
      </c>
    </row>
    <row r="6486">
      <c r="A6486" t="str">
        <f t="shared" si="1"/>
        <v>hti#1971</v>
      </c>
      <c r="B6486" t="str">
        <f>IFERROR(__xludf.DUMMYFUNCTION("""COMPUTED_VALUE"""),"hti")</f>
        <v>hti</v>
      </c>
      <c r="C6486" t="str">
        <f>IFERROR(__xludf.DUMMYFUNCTION("""COMPUTED_VALUE"""),"Haiti")</f>
        <v>Haiti</v>
      </c>
      <c r="D6486">
        <f>IFERROR(__xludf.DUMMYFUNCTION("""COMPUTED_VALUE"""),1971.0)</f>
        <v>1971</v>
      </c>
      <c r="E6486">
        <f>IFERROR(__xludf.DUMMYFUNCTION("""COMPUTED_VALUE"""),4793155.0)</f>
        <v>4793155</v>
      </c>
    </row>
    <row r="6487">
      <c r="A6487" t="str">
        <f t="shared" si="1"/>
        <v>hti#1972</v>
      </c>
      <c r="B6487" t="str">
        <f>IFERROR(__xludf.DUMMYFUNCTION("""COMPUTED_VALUE"""),"hti")</f>
        <v>hti</v>
      </c>
      <c r="C6487" t="str">
        <f>IFERROR(__xludf.DUMMYFUNCTION("""COMPUTED_VALUE"""),"Haiti")</f>
        <v>Haiti</v>
      </c>
      <c r="D6487">
        <f>IFERROR(__xludf.DUMMYFUNCTION("""COMPUTED_VALUE"""),1972.0)</f>
        <v>1972</v>
      </c>
      <c r="E6487">
        <f>IFERROR(__xludf.DUMMYFUNCTION("""COMPUTED_VALUE"""),4876560.0)</f>
        <v>4876560</v>
      </c>
    </row>
    <row r="6488">
      <c r="A6488" t="str">
        <f t="shared" si="1"/>
        <v>hti#1973</v>
      </c>
      <c r="B6488" t="str">
        <f>IFERROR(__xludf.DUMMYFUNCTION("""COMPUTED_VALUE"""),"hti")</f>
        <v>hti</v>
      </c>
      <c r="C6488" t="str">
        <f>IFERROR(__xludf.DUMMYFUNCTION("""COMPUTED_VALUE"""),"Haiti")</f>
        <v>Haiti</v>
      </c>
      <c r="D6488">
        <f>IFERROR(__xludf.DUMMYFUNCTION("""COMPUTED_VALUE"""),1973.0)</f>
        <v>1973</v>
      </c>
      <c r="E6488">
        <f>IFERROR(__xludf.DUMMYFUNCTION("""COMPUTED_VALUE"""),4960657.0)</f>
        <v>4960657</v>
      </c>
    </row>
    <row r="6489">
      <c r="A6489" t="str">
        <f t="shared" si="1"/>
        <v>hti#1974</v>
      </c>
      <c r="B6489" t="str">
        <f>IFERROR(__xludf.DUMMYFUNCTION("""COMPUTED_VALUE"""),"hti")</f>
        <v>hti</v>
      </c>
      <c r="C6489" t="str">
        <f>IFERROR(__xludf.DUMMYFUNCTION("""COMPUTED_VALUE"""),"Haiti")</f>
        <v>Haiti</v>
      </c>
      <c r="D6489">
        <f>IFERROR(__xludf.DUMMYFUNCTION("""COMPUTED_VALUE"""),1974.0)</f>
        <v>1974</v>
      </c>
      <c r="E6489">
        <f>IFERROR(__xludf.DUMMYFUNCTION("""COMPUTED_VALUE"""),5047944.0)</f>
        <v>5047944</v>
      </c>
    </row>
    <row r="6490">
      <c r="A6490" t="str">
        <f t="shared" si="1"/>
        <v>hti#1975</v>
      </c>
      <c r="B6490" t="str">
        <f>IFERROR(__xludf.DUMMYFUNCTION("""COMPUTED_VALUE"""),"hti")</f>
        <v>hti</v>
      </c>
      <c r="C6490" t="str">
        <f>IFERROR(__xludf.DUMMYFUNCTION("""COMPUTED_VALUE"""),"Haiti")</f>
        <v>Haiti</v>
      </c>
      <c r="D6490">
        <f>IFERROR(__xludf.DUMMYFUNCTION("""COMPUTED_VALUE"""),1975.0)</f>
        <v>1975</v>
      </c>
      <c r="E6490">
        <f>IFERROR(__xludf.DUMMYFUNCTION("""COMPUTED_VALUE"""),5140357.0)</f>
        <v>5140357</v>
      </c>
    </row>
    <row r="6491">
      <c r="A6491" t="str">
        <f t="shared" si="1"/>
        <v>hti#1976</v>
      </c>
      <c r="B6491" t="str">
        <f>IFERROR(__xludf.DUMMYFUNCTION("""COMPUTED_VALUE"""),"hti")</f>
        <v>hti</v>
      </c>
      <c r="C6491" t="str">
        <f>IFERROR(__xludf.DUMMYFUNCTION("""COMPUTED_VALUE"""),"Haiti")</f>
        <v>Haiti</v>
      </c>
      <c r="D6491">
        <f>IFERROR(__xludf.DUMMYFUNCTION("""COMPUTED_VALUE"""),1976.0)</f>
        <v>1976</v>
      </c>
      <c r="E6491">
        <f>IFERROR(__xludf.DUMMYFUNCTION("""COMPUTED_VALUE"""),5238245.0)</f>
        <v>5238245</v>
      </c>
    </row>
    <row r="6492">
      <c r="A6492" t="str">
        <f t="shared" si="1"/>
        <v>hti#1977</v>
      </c>
      <c r="B6492" t="str">
        <f>IFERROR(__xludf.DUMMYFUNCTION("""COMPUTED_VALUE"""),"hti")</f>
        <v>hti</v>
      </c>
      <c r="C6492" t="str">
        <f>IFERROR(__xludf.DUMMYFUNCTION("""COMPUTED_VALUE"""),"Haiti")</f>
        <v>Haiti</v>
      </c>
      <c r="D6492">
        <f>IFERROR(__xludf.DUMMYFUNCTION("""COMPUTED_VALUE"""),1977.0)</f>
        <v>1977</v>
      </c>
      <c r="E6492">
        <f>IFERROR(__xludf.DUMMYFUNCTION("""COMPUTED_VALUE"""),5341419.0)</f>
        <v>5341419</v>
      </c>
    </row>
    <row r="6493">
      <c r="A6493" t="str">
        <f t="shared" si="1"/>
        <v>hti#1978</v>
      </c>
      <c r="B6493" t="str">
        <f>IFERROR(__xludf.DUMMYFUNCTION("""COMPUTED_VALUE"""),"hti")</f>
        <v>hti</v>
      </c>
      <c r="C6493" t="str">
        <f>IFERROR(__xludf.DUMMYFUNCTION("""COMPUTED_VALUE"""),"Haiti")</f>
        <v>Haiti</v>
      </c>
      <c r="D6493">
        <f>IFERROR(__xludf.DUMMYFUNCTION("""COMPUTED_VALUE"""),1978.0)</f>
        <v>1978</v>
      </c>
      <c r="E6493">
        <f>IFERROR(__xludf.DUMMYFUNCTION("""COMPUTED_VALUE"""),5450549.0)</f>
        <v>5450549</v>
      </c>
    </row>
    <row r="6494">
      <c r="A6494" t="str">
        <f t="shared" si="1"/>
        <v>hti#1979</v>
      </c>
      <c r="B6494" t="str">
        <f>IFERROR(__xludf.DUMMYFUNCTION("""COMPUTED_VALUE"""),"hti")</f>
        <v>hti</v>
      </c>
      <c r="C6494" t="str">
        <f>IFERROR(__xludf.DUMMYFUNCTION("""COMPUTED_VALUE"""),"Haiti")</f>
        <v>Haiti</v>
      </c>
      <c r="D6494">
        <f>IFERROR(__xludf.DUMMYFUNCTION("""COMPUTED_VALUE"""),1979.0)</f>
        <v>1979</v>
      </c>
      <c r="E6494">
        <f>IFERROR(__xludf.DUMMYFUNCTION("""COMPUTED_VALUE"""),5566266.0)</f>
        <v>5566266</v>
      </c>
    </row>
    <row r="6495">
      <c r="A6495" t="str">
        <f t="shared" si="1"/>
        <v>hti#1980</v>
      </c>
      <c r="B6495" t="str">
        <f>IFERROR(__xludf.DUMMYFUNCTION("""COMPUTED_VALUE"""),"hti")</f>
        <v>hti</v>
      </c>
      <c r="C6495" t="str">
        <f>IFERROR(__xludf.DUMMYFUNCTION("""COMPUTED_VALUE"""),"Haiti")</f>
        <v>Haiti</v>
      </c>
      <c r="D6495">
        <f>IFERROR(__xludf.DUMMYFUNCTION("""COMPUTED_VALUE"""),1980.0)</f>
        <v>1980</v>
      </c>
      <c r="E6495">
        <f>IFERROR(__xludf.DUMMYFUNCTION("""COMPUTED_VALUE"""),5688836.0)</f>
        <v>5688836</v>
      </c>
    </row>
    <row r="6496">
      <c r="A6496" t="str">
        <f t="shared" si="1"/>
        <v>hti#1981</v>
      </c>
      <c r="B6496" t="str">
        <f>IFERROR(__xludf.DUMMYFUNCTION("""COMPUTED_VALUE"""),"hti")</f>
        <v>hti</v>
      </c>
      <c r="C6496" t="str">
        <f>IFERROR(__xludf.DUMMYFUNCTION("""COMPUTED_VALUE"""),"Haiti")</f>
        <v>Haiti</v>
      </c>
      <c r="D6496">
        <f>IFERROR(__xludf.DUMMYFUNCTION("""COMPUTED_VALUE"""),1981.0)</f>
        <v>1981</v>
      </c>
      <c r="E6496">
        <f>IFERROR(__xludf.DUMMYFUNCTION("""COMPUTED_VALUE"""),5818671.0)</f>
        <v>5818671</v>
      </c>
    </row>
    <row r="6497">
      <c r="A6497" t="str">
        <f t="shared" si="1"/>
        <v>hti#1982</v>
      </c>
      <c r="B6497" t="str">
        <f>IFERROR(__xludf.DUMMYFUNCTION("""COMPUTED_VALUE"""),"hti")</f>
        <v>hti</v>
      </c>
      <c r="C6497" t="str">
        <f>IFERROR(__xludf.DUMMYFUNCTION("""COMPUTED_VALUE"""),"Haiti")</f>
        <v>Haiti</v>
      </c>
      <c r="D6497">
        <f>IFERROR(__xludf.DUMMYFUNCTION("""COMPUTED_VALUE"""),1982.0)</f>
        <v>1982</v>
      </c>
      <c r="E6497">
        <f>IFERROR(__xludf.DUMMYFUNCTION("""COMPUTED_VALUE"""),5955267.0)</f>
        <v>5955267</v>
      </c>
    </row>
    <row r="6498">
      <c r="A6498" t="str">
        <f t="shared" si="1"/>
        <v>hti#1983</v>
      </c>
      <c r="B6498" t="str">
        <f>IFERROR(__xludf.DUMMYFUNCTION("""COMPUTED_VALUE"""),"hti")</f>
        <v>hti</v>
      </c>
      <c r="C6498" t="str">
        <f>IFERROR(__xludf.DUMMYFUNCTION("""COMPUTED_VALUE"""),"Haiti")</f>
        <v>Haiti</v>
      </c>
      <c r="D6498">
        <f>IFERROR(__xludf.DUMMYFUNCTION("""COMPUTED_VALUE"""),1983.0)</f>
        <v>1983</v>
      </c>
      <c r="E6498">
        <f>IFERROR(__xludf.DUMMYFUNCTION("""COMPUTED_VALUE"""),6096692.0)</f>
        <v>6096692</v>
      </c>
    </row>
    <row r="6499">
      <c r="A6499" t="str">
        <f t="shared" si="1"/>
        <v>hti#1984</v>
      </c>
      <c r="B6499" t="str">
        <f>IFERROR(__xludf.DUMMYFUNCTION("""COMPUTED_VALUE"""),"hti")</f>
        <v>hti</v>
      </c>
      <c r="C6499" t="str">
        <f>IFERROR(__xludf.DUMMYFUNCTION("""COMPUTED_VALUE"""),"Haiti")</f>
        <v>Haiti</v>
      </c>
      <c r="D6499">
        <f>IFERROR(__xludf.DUMMYFUNCTION("""COMPUTED_VALUE"""),1984.0)</f>
        <v>1984</v>
      </c>
      <c r="E6499">
        <f>IFERROR(__xludf.DUMMYFUNCTION("""COMPUTED_VALUE"""),6240329.0)</f>
        <v>6240329</v>
      </c>
    </row>
    <row r="6500">
      <c r="A6500" t="str">
        <f t="shared" si="1"/>
        <v>hti#1985</v>
      </c>
      <c r="B6500" t="str">
        <f>IFERROR(__xludf.DUMMYFUNCTION("""COMPUTED_VALUE"""),"hti")</f>
        <v>hti</v>
      </c>
      <c r="C6500" t="str">
        <f>IFERROR(__xludf.DUMMYFUNCTION("""COMPUTED_VALUE"""),"Haiti")</f>
        <v>Haiti</v>
      </c>
      <c r="D6500">
        <f>IFERROR(__xludf.DUMMYFUNCTION("""COMPUTED_VALUE"""),1985.0)</f>
        <v>1985</v>
      </c>
      <c r="E6500">
        <f>IFERROR(__xludf.DUMMYFUNCTION("""COMPUTED_VALUE"""),6384195.0)</f>
        <v>6384195</v>
      </c>
    </row>
    <row r="6501">
      <c r="A6501" t="str">
        <f t="shared" si="1"/>
        <v>hti#1986</v>
      </c>
      <c r="B6501" t="str">
        <f>IFERROR(__xludf.DUMMYFUNCTION("""COMPUTED_VALUE"""),"hti")</f>
        <v>hti</v>
      </c>
      <c r="C6501" t="str">
        <f>IFERROR(__xludf.DUMMYFUNCTION("""COMPUTED_VALUE"""),"Haiti")</f>
        <v>Haiti</v>
      </c>
      <c r="D6501">
        <f>IFERROR(__xludf.DUMMYFUNCTION("""COMPUTED_VALUE"""),1986.0)</f>
        <v>1986</v>
      </c>
      <c r="E6501">
        <f>IFERROR(__xludf.DUMMYFUNCTION("""COMPUTED_VALUE"""),6527543.0)</f>
        <v>6527543</v>
      </c>
    </row>
    <row r="6502">
      <c r="A6502" t="str">
        <f t="shared" si="1"/>
        <v>hti#1987</v>
      </c>
      <c r="B6502" t="str">
        <f>IFERROR(__xludf.DUMMYFUNCTION("""COMPUTED_VALUE"""),"hti")</f>
        <v>hti</v>
      </c>
      <c r="C6502" t="str">
        <f>IFERROR(__xludf.DUMMYFUNCTION("""COMPUTED_VALUE"""),"Haiti")</f>
        <v>Haiti</v>
      </c>
      <c r="D6502">
        <f>IFERROR(__xludf.DUMMYFUNCTION("""COMPUTED_VALUE"""),1987.0)</f>
        <v>1987</v>
      </c>
      <c r="E6502">
        <f>IFERROR(__xludf.DUMMYFUNCTION("""COMPUTED_VALUE"""),6670568.0)</f>
        <v>6670568</v>
      </c>
    </row>
    <row r="6503">
      <c r="A6503" t="str">
        <f t="shared" si="1"/>
        <v>hti#1988</v>
      </c>
      <c r="B6503" t="str">
        <f>IFERROR(__xludf.DUMMYFUNCTION("""COMPUTED_VALUE"""),"hti")</f>
        <v>hti</v>
      </c>
      <c r="C6503" t="str">
        <f>IFERROR(__xludf.DUMMYFUNCTION("""COMPUTED_VALUE"""),"Haiti")</f>
        <v>Haiti</v>
      </c>
      <c r="D6503">
        <f>IFERROR(__xludf.DUMMYFUNCTION("""COMPUTED_VALUE"""),1988.0)</f>
        <v>1988</v>
      </c>
      <c r="E6503">
        <f>IFERROR(__xludf.DUMMYFUNCTION("""COMPUTED_VALUE"""),6813348.0)</f>
        <v>6813348</v>
      </c>
    </row>
    <row r="6504">
      <c r="A6504" t="str">
        <f t="shared" si="1"/>
        <v>hti#1989</v>
      </c>
      <c r="B6504" t="str">
        <f>IFERROR(__xludf.DUMMYFUNCTION("""COMPUTED_VALUE"""),"hti")</f>
        <v>hti</v>
      </c>
      <c r="C6504" t="str">
        <f>IFERROR(__xludf.DUMMYFUNCTION("""COMPUTED_VALUE"""),"Haiti")</f>
        <v>Haiti</v>
      </c>
      <c r="D6504">
        <f>IFERROR(__xludf.DUMMYFUNCTION("""COMPUTED_VALUE"""),1989.0)</f>
        <v>1989</v>
      </c>
      <c r="E6504">
        <f>IFERROR(__xludf.DUMMYFUNCTION("""COMPUTED_VALUE"""),6956300.0)</f>
        <v>6956300</v>
      </c>
    </row>
    <row r="6505">
      <c r="A6505" t="str">
        <f t="shared" si="1"/>
        <v>hti#1990</v>
      </c>
      <c r="B6505" t="str">
        <f>IFERROR(__xludf.DUMMYFUNCTION("""COMPUTED_VALUE"""),"hti")</f>
        <v>hti</v>
      </c>
      <c r="C6505" t="str">
        <f>IFERROR(__xludf.DUMMYFUNCTION("""COMPUTED_VALUE"""),"Haiti")</f>
        <v>Haiti</v>
      </c>
      <c r="D6505">
        <f>IFERROR(__xludf.DUMMYFUNCTION("""COMPUTED_VALUE"""),1990.0)</f>
        <v>1990</v>
      </c>
      <c r="E6505">
        <f>IFERROR(__xludf.DUMMYFUNCTION("""COMPUTED_VALUE"""),7099732.0)</f>
        <v>7099732</v>
      </c>
    </row>
    <row r="6506">
      <c r="A6506" t="str">
        <f t="shared" si="1"/>
        <v>hti#1991</v>
      </c>
      <c r="B6506" t="str">
        <f>IFERROR(__xludf.DUMMYFUNCTION("""COMPUTED_VALUE"""),"hti")</f>
        <v>hti</v>
      </c>
      <c r="C6506" t="str">
        <f>IFERROR(__xludf.DUMMYFUNCTION("""COMPUTED_VALUE"""),"Haiti")</f>
        <v>Haiti</v>
      </c>
      <c r="D6506">
        <f>IFERROR(__xludf.DUMMYFUNCTION("""COMPUTED_VALUE"""),1991.0)</f>
        <v>1991</v>
      </c>
      <c r="E6506">
        <f>IFERROR(__xludf.DUMMYFUNCTION("""COMPUTED_VALUE"""),7243391.0)</f>
        <v>7243391</v>
      </c>
    </row>
    <row r="6507">
      <c r="A6507" t="str">
        <f t="shared" si="1"/>
        <v>hti#1992</v>
      </c>
      <c r="B6507" t="str">
        <f>IFERROR(__xludf.DUMMYFUNCTION("""COMPUTED_VALUE"""),"hti")</f>
        <v>hti</v>
      </c>
      <c r="C6507" t="str">
        <f>IFERROR(__xludf.DUMMYFUNCTION("""COMPUTED_VALUE"""),"Haiti")</f>
        <v>Haiti</v>
      </c>
      <c r="D6507">
        <f>IFERROR(__xludf.DUMMYFUNCTION("""COMPUTED_VALUE"""),1992.0)</f>
        <v>1992</v>
      </c>
      <c r="E6507">
        <f>IFERROR(__xludf.DUMMYFUNCTION("""COMPUTED_VALUE"""),7386975.0)</f>
        <v>7386975</v>
      </c>
    </row>
    <row r="6508">
      <c r="A6508" t="str">
        <f t="shared" si="1"/>
        <v>hti#1993</v>
      </c>
      <c r="B6508" t="str">
        <f>IFERROR(__xludf.DUMMYFUNCTION("""COMPUTED_VALUE"""),"hti")</f>
        <v>hti</v>
      </c>
      <c r="C6508" t="str">
        <f>IFERROR(__xludf.DUMMYFUNCTION("""COMPUTED_VALUE"""),"Haiti")</f>
        <v>Haiti</v>
      </c>
      <c r="D6508">
        <f>IFERROR(__xludf.DUMMYFUNCTION("""COMPUTED_VALUE"""),1993.0)</f>
        <v>1993</v>
      </c>
      <c r="E6508">
        <f>IFERROR(__xludf.DUMMYFUNCTION("""COMPUTED_VALUE"""),7530705.0)</f>
        <v>7530705</v>
      </c>
    </row>
    <row r="6509">
      <c r="A6509" t="str">
        <f t="shared" si="1"/>
        <v>hti#1994</v>
      </c>
      <c r="B6509" t="str">
        <f>IFERROR(__xludf.DUMMYFUNCTION("""COMPUTED_VALUE"""),"hti")</f>
        <v>hti</v>
      </c>
      <c r="C6509" t="str">
        <f>IFERROR(__xludf.DUMMYFUNCTION("""COMPUTED_VALUE"""),"Haiti")</f>
        <v>Haiti</v>
      </c>
      <c r="D6509">
        <f>IFERROR(__xludf.DUMMYFUNCTION("""COMPUTED_VALUE"""),1994.0)</f>
        <v>1994</v>
      </c>
      <c r="E6509">
        <f>IFERROR(__xludf.DUMMYFUNCTION("""COMPUTED_VALUE"""),7674911.0)</f>
        <v>7674911</v>
      </c>
    </row>
    <row r="6510">
      <c r="A6510" t="str">
        <f t="shared" si="1"/>
        <v>hti#1995</v>
      </c>
      <c r="B6510" t="str">
        <f>IFERROR(__xludf.DUMMYFUNCTION("""COMPUTED_VALUE"""),"hti")</f>
        <v>hti</v>
      </c>
      <c r="C6510" t="str">
        <f>IFERROR(__xludf.DUMMYFUNCTION("""COMPUTED_VALUE"""),"Haiti")</f>
        <v>Haiti</v>
      </c>
      <c r="D6510">
        <f>IFERROR(__xludf.DUMMYFUNCTION("""COMPUTED_VALUE"""),1995.0)</f>
        <v>1995</v>
      </c>
      <c r="E6510">
        <f>IFERROR(__xludf.DUMMYFUNCTION("""COMPUTED_VALUE"""),7819806.0)</f>
        <v>7819806</v>
      </c>
    </row>
    <row r="6511">
      <c r="A6511" t="str">
        <f t="shared" si="1"/>
        <v>hti#1996</v>
      </c>
      <c r="B6511" t="str">
        <f>IFERROR(__xludf.DUMMYFUNCTION("""COMPUTED_VALUE"""),"hti")</f>
        <v>hti</v>
      </c>
      <c r="C6511" t="str">
        <f>IFERROR(__xludf.DUMMYFUNCTION("""COMPUTED_VALUE"""),"Haiti")</f>
        <v>Haiti</v>
      </c>
      <c r="D6511">
        <f>IFERROR(__xludf.DUMMYFUNCTION("""COMPUTED_VALUE"""),1996.0)</f>
        <v>1996</v>
      </c>
      <c r="E6511">
        <f>IFERROR(__xludf.DUMMYFUNCTION("""COMPUTED_VALUE"""),7965553.0)</f>
        <v>7965553</v>
      </c>
    </row>
    <row r="6512">
      <c r="A6512" t="str">
        <f t="shared" si="1"/>
        <v>hti#1997</v>
      </c>
      <c r="B6512" t="str">
        <f>IFERROR(__xludf.DUMMYFUNCTION("""COMPUTED_VALUE"""),"hti")</f>
        <v>hti</v>
      </c>
      <c r="C6512" t="str">
        <f>IFERROR(__xludf.DUMMYFUNCTION("""COMPUTED_VALUE"""),"Haiti")</f>
        <v>Haiti</v>
      </c>
      <c r="D6512">
        <f>IFERROR(__xludf.DUMMYFUNCTION("""COMPUTED_VALUE"""),1997.0)</f>
        <v>1997</v>
      </c>
      <c r="E6512">
        <f>IFERROR(__xludf.DUMMYFUNCTION("""COMPUTED_VALUE"""),8111951.0)</f>
        <v>8111951</v>
      </c>
    </row>
    <row r="6513">
      <c r="A6513" t="str">
        <f t="shared" si="1"/>
        <v>hti#1998</v>
      </c>
      <c r="B6513" t="str">
        <f>IFERROR(__xludf.DUMMYFUNCTION("""COMPUTED_VALUE"""),"hti")</f>
        <v>hti</v>
      </c>
      <c r="C6513" t="str">
        <f>IFERROR(__xludf.DUMMYFUNCTION("""COMPUTED_VALUE"""),"Haiti")</f>
        <v>Haiti</v>
      </c>
      <c r="D6513">
        <f>IFERROR(__xludf.DUMMYFUNCTION("""COMPUTED_VALUE"""),1998.0)</f>
        <v>1998</v>
      </c>
      <c r="E6513">
        <f>IFERROR(__xludf.DUMMYFUNCTION("""COMPUTED_VALUE"""),8258483.0)</f>
        <v>8258483</v>
      </c>
    </row>
    <row r="6514">
      <c r="A6514" t="str">
        <f t="shared" si="1"/>
        <v>hti#1999</v>
      </c>
      <c r="B6514" t="str">
        <f>IFERROR(__xludf.DUMMYFUNCTION("""COMPUTED_VALUE"""),"hti")</f>
        <v>hti</v>
      </c>
      <c r="C6514" t="str">
        <f>IFERROR(__xludf.DUMMYFUNCTION("""COMPUTED_VALUE"""),"Haiti")</f>
        <v>Haiti</v>
      </c>
      <c r="D6514">
        <f>IFERROR(__xludf.DUMMYFUNCTION("""COMPUTED_VALUE"""),1999.0)</f>
        <v>1999</v>
      </c>
      <c r="E6514">
        <f>IFERROR(__xludf.DUMMYFUNCTION("""COMPUTED_VALUE"""),8404398.0)</f>
        <v>8404398</v>
      </c>
    </row>
    <row r="6515">
      <c r="A6515" t="str">
        <f t="shared" si="1"/>
        <v>hti#2000</v>
      </c>
      <c r="B6515" t="str">
        <f>IFERROR(__xludf.DUMMYFUNCTION("""COMPUTED_VALUE"""),"hti")</f>
        <v>hti</v>
      </c>
      <c r="C6515" t="str">
        <f>IFERROR(__xludf.DUMMYFUNCTION("""COMPUTED_VALUE"""),"Haiti")</f>
        <v>Haiti</v>
      </c>
      <c r="D6515">
        <f>IFERROR(__xludf.DUMMYFUNCTION("""COMPUTED_VALUE"""),2000.0)</f>
        <v>2000</v>
      </c>
      <c r="E6515">
        <f>IFERROR(__xludf.DUMMYFUNCTION("""COMPUTED_VALUE"""),8549200.0)</f>
        <v>8549200</v>
      </c>
    </row>
    <row r="6516">
      <c r="A6516" t="str">
        <f t="shared" si="1"/>
        <v>hti#2001</v>
      </c>
      <c r="B6516" t="str">
        <f>IFERROR(__xludf.DUMMYFUNCTION("""COMPUTED_VALUE"""),"hti")</f>
        <v>hti</v>
      </c>
      <c r="C6516" t="str">
        <f>IFERROR(__xludf.DUMMYFUNCTION("""COMPUTED_VALUE"""),"Haiti")</f>
        <v>Haiti</v>
      </c>
      <c r="D6516">
        <f>IFERROR(__xludf.DUMMYFUNCTION("""COMPUTED_VALUE"""),2001.0)</f>
        <v>2001</v>
      </c>
      <c r="E6516">
        <f>IFERROR(__xludf.DUMMYFUNCTION("""COMPUTED_VALUE"""),8692567.0)</f>
        <v>8692567</v>
      </c>
    </row>
    <row r="6517">
      <c r="A6517" t="str">
        <f t="shared" si="1"/>
        <v>hti#2002</v>
      </c>
      <c r="B6517" t="str">
        <f>IFERROR(__xludf.DUMMYFUNCTION("""COMPUTED_VALUE"""),"hti")</f>
        <v>hti</v>
      </c>
      <c r="C6517" t="str">
        <f>IFERROR(__xludf.DUMMYFUNCTION("""COMPUTED_VALUE"""),"Haiti")</f>
        <v>Haiti</v>
      </c>
      <c r="D6517">
        <f>IFERROR(__xludf.DUMMYFUNCTION("""COMPUTED_VALUE"""),2002.0)</f>
        <v>2002</v>
      </c>
      <c r="E6517">
        <f>IFERROR(__xludf.DUMMYFUNCTION("""COMPUTED_VALUE"""),8834733.0)</f>
        <v>8834733</v>
      </c>
    </row>
    <row r="6518">
      <c r="A6518" t="str">
        <f t="shared" si="1"/>
        <v>hti#2003</v>
      </c>
      <c r="B6518" t="str">
        <f>IFERROR(__xludf.DUMMYFUNCTION("""COMPUTED_VALUE"""),"hti")</f>
        <v>hti</v>
      </c>
      <c r="C6518" t="str">
        <f>IFERROR(__xludf.DUMMYFUNCTION("""COMPUTED_VALUE"""),"Haiti")</f>
        <v>Haiti</v>
      </c>
      <c r="D6518">
        <f>IFERROR(__xludf.DUMMYFUNCTION("""COMPUTED_VALUE"""),2003.0)</f>
        <v>2003</v>
      </c>
      <c r="E6518">
        <f>IFERROR(__xludf.DUMMYFUNCTION("""COMPUTED_VALUE"""),8976552.0)</f>
        <v>8976552</v>
      </c>
    </row>
    <row r="6519">
      <c r="A6519" t="str">
        <f t="shared" si="1"/>
        <v>hti#2004</v>
      </c>
      <c r="B6519" t="str">
        <f>IFERROR(__xludf.DUMMYFUNCTION("""COMPUTED_VALUE"""),"hti")</f>
        <v>hti</v>
      </c>
      <c r="C6519" t="str">
        <f>IFERROR(__xludf.DUMMYFUNCTION("""COMPUTED_VALUE"""),"Haiti")</f>
        <v>Haiti</v>
      </c>
      <c r="D6519">
        <f>IFERROR(__xludf.DUMMYFUNCTION("""COMPUTED_VALUE"""),2004.0)</f>
        <v>2004</v>
      </c>
      <c r="E6519">
        <f>IFERROR(__xludf.DUMMYFUNCTION("""COMPUTED_VALUE"""),9119178.0)</f>
        <v>9119178</v>
      </c>
    </row>
    <row r="6520">
      <c r="A6520" t="str">
        <f t="shared" si="1"/>
        <v>hti#2005</v>
      </c>
      <c r="B6520" t="str">
        <f>IFERROR(__xludf.DUMMYFUNCTION("""COMPUTED_VALUE"""),"hti")</f>
        <v>hti</v>
      </c>
      <c r="C6520" t="str">
        <f>IFERROR(__xludf.DUMMYFUNCTION("""COMPUTED_VALUE"""),"Haiti")</f>
        <v>Haiti</v>
      </c>
      <c r="D6520">
        <f>IFERROR(__xludf.DUMMYFUNCTION("""COMPUTED_VALUE"""),2005.0)</f>
        <v>2005</v>
      </c>
      <c r="E6520">
        <f>IFERROR(__xludf.DUMMYFUNCTION("""COMPUTED_VALUE"""),9263404.0)</f>
        <v>9263404</v>
      </c>
    </row>
    <row r="6521">
      <c r="A6521" t="str">
        <f t="shared" si="1"/>
        <v>hti#2006</v>
      </c>
      <c r="B6521" t="str">
        <f>IFERROR(__xludf.DUMMYFUNCTION("""COMPUTED_VALUE"""),"hti")</f>
        <v>hti</v>
      </c>
      <c r="C6521" t="str">
        <f>IFERROR(__xludf.DUMMYFUNCTION("""COMPUTED_VALUE"""),"Haiti")</f>
        <v>Haiti</v>
      </c>
      <c r="D6521">
        <f>IFERROR(__xludf.DUMMYFUNCTION("""COMPUTED_VALUE"""),2006.0)</f>
        <v>2006</v>
      </c>
      <c r="E6521">
        <f>IFERROR(__xludf.DUMMYFUNCTION("""COMPUTED_VALUE"""),9409457.0)</f>
        <v>9409457</v>
      </c>
    </row>
    <row r="6522">
      <c r="A6522" t="str">
        <f t="shared" si="1"/>
        <v>hti#2007</v>
      </c>
      <c r="B6522" t="str">
        <f>IFERROR(__xludf.DUMMYFUNCTION("""COMPUTED_VALUE"""),"hti")</f>
        <v>hti</v>
      </c>
      <c r="C6522" t="str">
        <f>IFERROR(__xludf.DUMMYFUNCTION("""COMPUTED_VALUE"""),"Haiti")</f>
        <v>Haiti</v>
      </c>
      <c r="D6522">
        <f>IFERROR(__xludf.DUMMYFUNCTION("""COMPUTED_VALUE"""),2007.0)</f>
        <v>2007</v>
      </c>
      <c r="E6522">
        <f>IFERROR(__xludf.DUMMYFUNCTION("""COMPUTED_VALUE"""),9556889.0)</f>
        <v>9556889</v>
      </c>
    </row>
    <row r="6523">
      <c r="A6523" t="str">
        <f t="shared" si="1"/>
        <v>hti#2008</v>
      </c>
      <c r="B6523" t="str">
        <f>IFERROR(__xludf.DUMMYFUNCTION("""COMPUTED_VALUE"""),"hti")</f>
        <v>hti</v>
      </c>
      <c r="C6523" t="str">
        <f>IFERROR(__xludf.DUMMYFUNCTION("""COMPUTED_VALUE"""),"Haiti")</f>
        <v>Haiti</v>
      </c>
      <c r="D6523">
        <f>IFERROR(__xludf.DUMMYFUNCTION("""COMPUTED_VALUE"""),2008.0)</f>
        <v>2008</v>
      </c>
      <c r="E6523">
        <f>IFERROR(__xludf.DUMMYFUNCTION("""COMPUTED_VALUE"""),9705029.0)</f>
        <v>9705029</v>
      </c>
    </row>
    <row r="6524">
      <c r="A6524" t="str">
        <f t="shared" si="1"/>
        <v>hti#2009</v>
      </c>
      <c r="B6524" t="str">
        <f>IFERROR(__xludf.DUMMYFUNCTION("""COMPUTED_VALUE"""),"hti")</f>
        <v>hti</v>
      </c>
      <c r="C6524" t="str">
        <f>IFERROR(__xludf.DUMMYFUNCTION("""COMPUTED_VALUE"""),"Haiti")</f>
        <v>Haiti</v>
      </c>
      <c r="D6524">
        <f>IFERROR(__xludf.DUMMYFUNCTION("""COMPUTED_VALUE"""),2009.0)</f>
        <v>2009</v>
      </c>
      <c r="E6524">
        <f>IFERROR(__xludf.DUMMYFUNCTION("""COMPUTED_VALUE"""),9852870.0)</f>
        <v>9852870</v>
      </c>
    </row>
    <row r="6525">
      <c r="A6525" t="str">
        <f t="shared" si="1"/>
        <v>hti#2010</v>
      </c>
      <c r="B6525" t="str">
        <f>IFERROR(__xludf.DUMMYFUNCTION("""COMPUTED_VALUE"""),"hti")</f>
        <v>hti</v>
      </c>
      <c r="C6525" t="str">
        <f>IFERROR(__xludf.DUMMYFUNCTION("""COMPUTED_VALUE"""),"Haiti")</f>
        <v>Haiti</v>
      </c>
      <c r="D6525">
        <f>IFERROR(__xludf.DUMMYFUNCTION("""COMPUTED_VALUE"""),2010.0)</f>
        <v>2010</v>
      </c>
      <c r="E6525">
        <f>IFERROR(__xludf.DUMMYFUNCTION("""COMPUTED_VALUE"""),9999617.0)</f>
        <v>9999617</v>
      </c>
    </row>
    <row r="6526">
      <c r="A6526" t="str">
        <f t="shared" si="1"/>
        <v>hti#2011</v>
      </c>
      <c r="B6526" t="str">
        <f>IFERROR(__xludf.DUMMYFUNCTION("""COMPUTED_VALUE"""),"hti")</f>
        <v>hti</v>
      </c>
      <c r="C6526" t="str">
        <f>IFERROR(__xludf.DUMMYFUNCTION("""COMPUTED_VALUE"""),"Haiti")</f>
        <v>Haiti</v>
      </c>
      <c r="D6526">
        <f>IFERROR(__xludf.DUMMYFUNCTION("""COMPUTED_VALUE"""),2011.0)</f>
        <v>2011</v>
      </c>
      <c r="E6526">
        <f>IFERROR(__xludf.DUMMYFUNCTION("""COMPUTED_VALUE"""),1.0145054E7)</f>
        <v>10145054</v>
      </c>
    </row>
    <row r="6527">
      <c r="A6527" t="str">
        <f t="shared" si="1"/>
        <v>hti#2012</v>
      </c>
      <c r="B6527" t="str">
        <f>IFERROR(__xludf.DUMMYFUNCTION("""COMPUTED_VALUE"""),"hti")</f>
        <v>hti</v>
      </c>
      <c r="C6527" t="str">
        <f>IFERROR(__xludf.DUMMYFUNCTION("""COMPUTED_VALUE"""),"Haiti")</f>
        <v>Haiti</v>
      </c>
      <c r="D6527">
        <f>IFERROR(__xludf.DUMMYFUNCTION("""COMPUTED_VALUE"""),2012.0)</f>
        <v>2012</v>
      </c>
      <c r="E6527">
        <f>IFERROR(__xludf.DUMMYFUNCTION("""COMPUTED_VALUE"""),1.028921E7)</f>
        <v>10289210</v>
      </c>
    </row>
    <row r="6528">
      <c r="A6528" t="str">
        <f t="shared" si="1"/>
        <v>hti#2013</v>
      </c>
      <c r="B6528" t="str">
        <f>IFERROR(__xludf.DUMMYFUNCTION("""COMPUTED_VALUE"""),"hti")</f>
        <v>hti</v>
      </c>
      <c r="C6528" t="str">
        <f>IFERROR(__xludf.DUMMYFUNCTION("""COMPUTED_VALUE"""),"Haiti")</f>
        <v>Haiti</v>
      </c>
      <c r="D6528">
        <f>IFERROR(__xludf.DUMMYFUNCTION("""COMPUTED_VALUE"""),2013.0)</f>
        <v>2013</v>
      </c>
      <c r="E6528">
        <f>IFERROR(__xludf.DUMMYFUNCTION("""COMPUTED_VALUE"""),1.0431776E7)</f>
        <v>10431776</v>
      </c>
    </row>
    <row r="6529">
      <c r="A6529" t="str">
        <f t="shared" si="1"/>
        <v>hti#2014</v>
      </c>
      <c r="B6529" t="str">
        <f>IFERROR(__xludf.DUMMYFUNCTION("""COMPUTED_VALUE"""),"hti")</f>
        <v>hti</v>
      </c>
      <c r="C6529" t="str">
        <f>IFERROR(__xludf.DUMMYFUNCTION("""COMPUTED_VALUE"""),"Haiti")</f>
        <v>Haiti</v>
      </c>
      <c r="D6529">
        <f>IFERROR(__xludf.DUMMYFUNCTION("""COMPUTED_VALUE"""),2014.0)</f>
        <v>2014</v>
      </c>
      <c r="E6529">
        <f>IFERROR(__xludf.DUMMYFUNCTION("""COMPUTED_VALUE"""),1.0572466E7)</f>
        <v>10572466</v>
      </c>
    </row>
    <row r="6530">
      <c r="A6530" t="str">
        <f t="shared" si="1"/>
        <v>hti#2015</v>
      </c>
      <c r="B6530" t="str">
        <f>IFERROR(__xludf.DUMMYFUNCTION("""COMPUTED_VALUE"""),"hti")</f>
        <v>hti</v>
      </c>
      <c r="C6530" t="str">
        <f>IFERROR(__xludf.DUMMYFUNCTION("""COMPUTED_VALUE"""),"Haiti")</f>
        <v>Haiti</v>
      </c>
      <c r="D6530">
        <f>IFERROR(__xludf.DUMMYFUNCTION("""COMPUTED_VALUE"""),2015.0)</f>
        <v>2015</v>
      </c>
      <c r="E6530">
        <f>IFERROR(__xludf.DUMMYFUNCTION("""COMPUTED_VALUE"""),1.0711061E7)</f>
        <v>10711061</v>
      </c>
    </row>
    <row r="6531">
      <c r="A6531" t="str">
        <f t="shared" si="1"/>
        <v>hti#2016</v>
      </c>
      <c r="B6531" t="str">
        <f>IFERROR(__xludf.DUMMYFUNCTION("""COMPUTED_VALUE"""),"hti")</f>
        <v>hti</v>
      </c>
      <c r="C6531" t="str">
        <f>IFERROR(__xludf.DUMMYFUNCTION("""COMPUTED_VALUE"""),"Haiti")</f>
        <v>Haiti</v>
      </c>
      <c r="D6531">
        <f>IFERROR(__xludf.DUMMYFUNCTION("""COMPUTED_VALUE"""),2016.0)</f>
        <v>2016</v>
      </c>
      <c r="E6531">
        <f>IFERROR(__xludf.DUMMYFUNCTION("""COMPUTED_VALUE"""),1.0847334E7)</f>
        <v>10847334</v>
      </c>
    </row>
    <row r="6532">
      <c r="A6532" t="str">
        <f t="shared" si="1"/>
        <v>hti#2017</v>
      </c>
      <c r="B6532" t="str">
        <f>IFERROR(__xludf.DUMMYFUNCTION("""COMPUTED_VALUE"""),"hti")</f>
        <v>hti</v>
      </c>
      <c r="C6532" t="str">
        <f>IFERROR(__xludf.DUMMYFUNCTION("""COMPUTED_VALUE"""),"Haiti")</f>
        <v>Haiti</v>
      </c>
      <c r="D6532">
        <f>IFERROR(__xludf.DUMMYFUNCTION("""COMPUTED_VALUE"""),2017.0)</f>
        <v>2017</v>
      </c>
      <c r="E6532">
        <f>IFERROR(__xludf.DUMMYFUNCTION("""COMPUTED_VALUE"""),1.0981229E7)</f>
        <v>10981229</v>
      </c>
    </row>
    <row r="6533">
      <c r="A6533" t="str">
        <f t="shared" si="1"/>
        <v>hti#2018</v>
      </c>
      <c r="B6533" t="str">
        <f>IFERROR(__xludf.DUMMYFUNCTION("""COMPUTED_VALUE"""),"hti")</f>
        <v>hti</v>
      </c>
      <c r="C6533" t="str">
        <f>IFERROR(__xludf.DUMMYFUNCTION("""COMPUTED_VALUE"""),"Haiti")</f>
        <v>Haiti</v>
      </c>
      <c r="D6533">
        <f>IFERROR(__xludf.DUMMYFUNCTION("""COMPUTED_VALUE"""),2018.0)</f>
        <v>2018</v>
      </c>
      <c r="E6533">
        <f>IFERROR(__xludf.DUMMYFUNCTION("""COMPUTED_VALUE"""),1.1112945E7)</f>
        <v>11112945</v>
      </c>
    </row>
    <row r="6534">
      <c r="A6534" t="str">
        <f t="shared" si="1"/>
        <v>hti#2019</v>
      </c>
      <c r="B6534" t="str">
        <f>IFERROR(__xludf.DUMMYFUNCTION("""COMPUTED_VALUE"""),"hti")</f>
        <v>hti</v>
      </c>
      <c r="C6534" t="str">
        <f>IFERROR(__xludf.DUMMYFUNCTION("""COMPUTED_VALUE"""),"Haiti")</f>
        <v>Haiti</v>
      </c>
      <c r="D6534">
        <f>IFERROR(__xludf.DUMMYFUNCTION("""COMPUTED_VALUE"""),2019.0)</f>
        <v>2019</v>
      </c>
      <c r="E6534">
        <f>IFERROR(__xludf.DUMMYFUNCTION("""COMPUTED_VALUE"""),1.1242856E7)</f>
        <v>11242856</v>
      </c>
    </row>
    <row r="6535">
      <c r="A6535" t="str">
        <f t="shared" si="1"/>
        <v>hti#2020</v>
      </c>
      <c r="B6535" t="str">
        <f>IFERROR(__xludf.DUMMYFUNCTION("""COMPUTED_VALUE"""),"hti")</f>
        <v>hti</v>
      </c>
      <c r="C6535" t="str">
        <f>IFERROR(__xludf.DUMMYFUNCTION("""COMPUTED_VALUE"""),"Haiti")</f>
        <v>Haiti</v>
      </c>
      <c r="D6535">
        <f>IFERROR(__xludf.DUMMYFUNCTION("""COMPUTED_VALUE"""),2020.0)</f>
        <v>2020</v>
      </c>
      <c r="E6535">
        <f>IFERROR(__xludf.DUMMYFUNCTION("""COMPUTED_VALUE"""),1.1371185E7)</f>
        <v>11371185</v>
      </c>
    </row>
    <row r="6536">
      <c r="A6536" t="str">
        <f t="shared" si="1"/>
        <v>hti#2021</v>
      </c>
      <c r="B6536" t="str">
        <f>IFERROR(__xludf.DUMMYFUNCTION("""COMPUTED_VALUE"""),"hti")</f>
        <v>hti</v>
      </c>
      <c r="C6536" t="str">
        <f>IFERROR(__xludf.DUMMYFUNCTION("""COMPUTED_VALUE"""),"Haiti")</f>
        <v>Haiti</v>
      </c>
      <c r="D6536">
        <f>IFERROR(__xludf.DUMMYFUNCTION("""COMPUTED_VALUE"""),2021.0)</f>
        <v>2021</v>
      </c>
      <c r="E6536">
        <f>IFERROR(__xludf.DUMMYFUNCTION("""COMPUTED_VALUE"""),1.1497951E7)</f>
        <v>11497951</v>
      </c>
    </row>
    <row r="6537">
      <c r="A6537" t="str">
        <f t="shared" si="1"/>
        <v>hti#2022</v>
      </c>
      <c r="B6537" t="str">
        <f>IFERROR(__xludf.DUMMYFUNCTION("""COMPUTED_VALUE"""),"hti")</f>
        <v>hti</v>
      </c>
      <c r="C6537" t="str">
        <f>IFERROR(__xludf.DUMMYFUNCTION("""COMPUTED_VALUE"""),"Haiti")</f>
        <v>Haiti</v>
      </c>
      <c r="D6537">
        <f>IFERROR(__xludf.DUMMYFUNCTION("""COMPUTED_VALUE"""),2022.0)</f>
        <v>2022</v>
      </c>
      <c r="E6537">
        <f>IFERROR(__xludf.DUMMYFUNCTION("""COMPUTED_VALUE"""),1.1622998E7)</f>
        <v>11622998</v>
      </c>
    </row>
    <row r="6538">
      <c r="A6538" t="str">
        <f t="shared" si="1"/>
        <v>hti#2023</v>
      </c>
      <c r="B6538" t="str">
        <f>IFERROR(__xludf.DUMMYFUNCTION("""COMPUTED_VALUE"""),"hti")</f>
        <v>hti</v>
      </c>
      <c r="C6538" t="str">
        <f>IFERROR(__xludf.DUMMYFUNCTION("""COMPUTED_VALUE"""),"Haiti")</f>
        <v>Haiti</v>
      </c>
      <c r="D6538">
        <f>IFERROR(__xludf.DUMMYFUNCTION("""COMPUTED_VALUE"""),2023.0)</f>
        <v>2023</v>
      </c>
      <c r="E6538">
        <f>IFERROR(__xludf.DUMMYFUNCTION("""COMPUTED_VALUE"""),1.1746163E7)</f>
        <v>11746163</v>
      </c>
    </row>
    <row r="6539">
      <c r="A6539" t="str">
        <f t="shared" si="1"/>
        <v>hti#2024</v>
      </c>
      <c r="B6539" t="str">
        <f>IFERROR(__xludf.DUMMYFUNCTION("""COMPUTED_VALUE"""),"hti")</f>
        <v>hti</v>
      </c>
      <c r="C6539" t="str">
        <f>IFERROR(__xludf.DUMMYFUNCTION("""COMPUTED_VALUE"""),"Haiti")</f>
        <v>Haiti</v>
      </c>
      <c r="D6539">
        <f>IFERROR(__xludf.DUMMYFUNCTION("""COMPUTED_VALUE"""),2024.0)</f>
        <v>2024</v>
      </c>
      <c r="E6539">
        <f>IFERROR(__xludf.DUMMYFUNCTION("""COMPUTED_VALUE"""),1.1867239E7)</f>
        <v>11867239</v>
      </c>
    </row>
    <row r="6540">
      <c r="A6540" t="str">
        <f t="shared" si="1"/>
        <v>hti#2025</v>
      </c>
      <c r="B6540" t="str">
        <f>IFERROR(__xludf.DUMMYFUNCTION("""COMPUTED_VALUE"""),"hti")</f>
        <v>hti</v>
      </c>
      <c r="C6540" t="str">
        <f>IFERROR(__xludf.DUMMYFUNCTION("""COMPUTED_VALUE"""),"Haiti")</f>
        <v>Haiti</v>
      </c>
      <c r="D6540">
        <f>IFERROR(__xludf.DUMMYFUNCTION("""COMPUTED_VALUE"""),2025.0)</f>
        <v>2025</v>
      </c>
      <c r="E6540">
        <f>IFERROR(__xludf.DUMMYFUNCTION("""COMPUTED_VALUE"""),1.1986045E7)</f>
        <v>11986045</v>
      </c>
    </row>
    <row r="6541">
      <c r="A6541" t="str">
        <f t="shared" si="1"/>
        <v>hti#2026</v>
      </c>
      <c r="B6541" t="str">
        <f>IFERROR(__xludf.DUMMYFUNCTION("""COMPUTED_VALUE"""),"hti")</f>
        <v>hti</v>
      </c>
      <c r="C6541" t="str">
        <f>IFERROR(__xludf.DUMMYFUNCTION("""COMPUTED_VALUE"""),"Haiti")</f>
        <v>Haiti</v>
      </c>
      <c r="D6541">
        <f>IFERROR(__xludf.DUMMYFUNCTION("""COMPUTED_VALUE"""),2026.0)</f>
        <v>2026</v>
      </c>
      <c r="E6541">
        <f>IFERROR(__xludf.DUMMYFUNCTION("""COMPUTED_VALUE"""),1.2102492E7)</f>
        <v>12102492</v>
      </c>
    </row>
    <row r="6542">
      <c r="A6542" t="str">
        <f t="shared" si="1"/>
        <v>hti#2027</v>
      </c>
      <c r="B6542" t="str">
        <f>IFERROR(__xludf.DUMMYFUNCTION("""COMPUTED_VALUE"""),"hti")</f>
        <v>hti</v>
      </c>
      <c r="C6542" t="str">
        <f>IFERROR(__xludf.DUMMYFUNCTION("""COMPUTED_VALUE"""),"Haiti")</f>
        <v>Haiti</v>
      </c>
      <c r="D6542">
        <f>IFERROR(__xludf.DUMMYFUNCTION("""COMPUTED_VALUE"""),2027.0)</f>
        <v>2027</v>
      </c>
      <c r="E6542">
        <f>IFERROR(__xludf.DUMMYFUNCTION("""COMPUTED_VALUE"""),1.2216575E7)</f>
        <v>12216575</v>
      </c>
    </row>
    <row r="6543">
      <c r="A6543" t="str">
        <f t="shared" si="1"/>
        <v>hti#2028</v>
      </c>
      <c r="B6543" t="str">
        <f>IFERROR(__xludf.DUMMYFUNCTION("""COMPUTED_VALUE"""),"hti")</f>
        <v>hti</v>
      </c>
      <c r="C6543" t="str">
        <f>IFERROR(__xludf.DUMMYFUNCTION("""COMPUTED_VALUE"""),"Haiti")</f>
        <v>Haiti</v>
      </c>
      <c r="D6543">
        <f>IFERROR(__xludf.DUMMYFUNCTION("""COMPUTED_VALUE"""),2028.0)</f>
        <v>2028</v>
      </c>
      <c r="E6543">
        <f>IFERROR(__xludf.DUMMYFUNCTION("""COMPUTED_VALUE"""),1.2328207E7)</f>
        <v>12328207</v>
      </c>
    </row>
    <row r="6544">
      <c r="A6544" t="str">
        <f t="shared" si="1"/>
        <v>hti#2029</v>
      </c>
      <c r="B6544" t="str">
        <f>IFERROR(__xludf.DUMMYFUNCTION("""COMPUTED_VALUE"""),"hti")</f>
        <v>hti</v>
      </c>
      <c r="C6544" t="str">
        <f>IFERROR(__xludf.DUMMYFUNCTION("""COMPUTED_VALUE"""),"Haiti")</f>
        <v>Haiti</v>
      </c>
      <c r="D6544">
        <f>IFERROR(__xludf.DUMMYFUNCTION("""COMPUTED_VALUE"""),2029.0)</f>
        <v>2029</v>
      </c>
      <c r="E6544">
        <f>IFERROR(__xludf.DUMMYFUNCTION("""COMPUTED_VALUE"""),1.2437358E7)</f>
        <v>12437358</v>
      </c>
    </row>
    <row r="6545">
      <c r="A6545" t="str">
        <f t="shared" si="1"/>
        <v>hti#2030</v>
      </c>
      <c r="B6545" t="str">
        <f>IFERROR(__xludf.DUMMYFUNCTION("""COMPUTED_VALUE"""),"hti")</f>
        <v>hti</v>
      </c>
      <c r="C6545" t="str">
        <f>IFERROR(__xludf.DUMMYFUNCTION("""COMPUTED_VALUE"""),"Haiti")</f>
        <v>Haiti</v>
      </c>
      <c r="D6545">
        <f>IFERROR(__xludf.DUMMYFUNCTION("""COMPUTED_VALUE"""),2030.0)</f>
        <v>2030</v>
      </c>
      <c r="E6545">
        <f>IFERROR(__xludf.DUMMYFUNCTION("""COMPUTED_VALUE"""),1.2543964E7)</f>
        <v>12543964</v>
      </c>
    </row>
    <row r="6546">
      <c r="A6546" t="str">
        <f t="shared" si="1"/>
        <v>hti#2031</v>
      </c>
      <c r="B6546" t="str">
        <f>IFERROR(__xludf.DUMMYFUNCTION("""COMPUTED_VALUE"""),"hti")</f>
        <v>hti</v>
      </c>
      <c r="C6546" t="str">
        <f>IFERROR(__xludf.DUMMYFUNCTION("""COMPUTED_VALUE"""),"Haiti")</f>
        <v>Haiti</v>
      </c>
      <c r="D6546">
        <f>IFERROR(__xludf.DUMMYFUNCTION("""COMPUTED_VALUE"""),2031.0)</f>
        <v>2031</v>
      </c>
      <c r="E6546">
        <f>IFERROR(__xludf.DUMMYFUNCTION("""COMPUTED_VALUE"""),1.2647964E7)</f>
        <v>12647964</v>
      </c>
    </row>
    <row r="6547">
      <c r="A6547" t="str">
        <f t="shared" si="1"/>
        <v>hti#2032</v>
      </c>
      <c r="B6547" t="str">
        <f>IFERROR(__xludf.DUMMYFUNCTION("""COMPUTED_VALUE"""),"hti")</f>
        <v>hti</v>
      </c>
      <c r="C6547" t="str">
        <f>IFERROR(__xludf.DUMMYFUNCTION("""COMPUTED_VALUE"""),"Haiti")</f>
        <v>Haiti</v>
      </c>
      <c r="D6547">
        <f>IFERROR(__xludf.DUMMYFUNCTION("""COMPUTED_VALUE"""),2032.0)</f>
        <v>2032</v>
      </c>
      <c r="E6547">
        <f>IFERROR(__xludf.DUMMYFUNCTION("""COMPUTED_VALUE"""),1.2749288E7)</f>
        <v>12749288</v>
      </c>
    </row>
    <row r="6548">
      <c r="A6548" t="str">
        <f t="shared" si="1"/>
        <v>hti#2033</v>
      </c>
      <c r="B6548" t="str">
        <f>IFERROR(__xludf.DUMMYFUNCTION("""COMPUTED_VALUE"""),"hti")</f>
        <v>hti</v>
      </c>
      <c r="C6548" t="str">
        <f>IFERROR(__xludf.DUMMYFUNCTION("""COMPUTED_VALUE"""),"Haiti")</f>
        <v>Haiti</v>
      </c>
      <c r="D6548">
        <f>IFERROR(__xludf.DUMMYFUNCTION("""COMPUTED_VALUE"""),2033.0)</f>
        <v>2033</v>
      </c>
      <c r="E6548">
        <f>IFERROR(__xludf.DUMMYFUNCTION("""COMPUTED_VALUE"""),1.284784E7)</f>
        <v>12847840</v>
      </c>
    </row>
    <row r="6549">
      <c r="A6549" t="str">
        <f t="shared" si="1"/>
        <v>hti#2034</v>
      </c>
      <c r="B6549" t="str">
        <f>IFERROR(__xludf.DUMMYFUNCTION("""COMPUTED_VALUE"""),"hti")</f>
        <v>hti</v>
      </c>
      <c r="C6549" t="str">
        <f>IFERROR(__xludf.DUMMYFUNCTION("""COMPUTED_VALUE"""),"Haiti")</f>
        <v>Haiti</v>
      </c>
      <c r="D6549">
        <f>IFERROR(__xludf.DUMMYFUNCTION("""COMPUTED_VALUE"""),2034.0)</f>
        <v>2034</v>
      </c>
      <c r="E6549">
        <f>IFERROR(__xludf.DUMMYFUNCTION("""COMPUTED_VALUE"""),1.2943529E7)</f>
        <v>12943529</v>
      </c>
    </row>
    <row r="6550">
      <c r="A6550" t="str">
        <f t="shared" si="1"/>
        <v>hti#2035</v>
      </c>
      <c r="B6550" t="str">
        <f>IFERROR(__xludf.DUMMYFUNCTION("""COMPUTED_VALUE"""),"hti")</f>
        <v>hti</v>
      </c>
      <c r="C6550" t="str">
        <f>IFERROR(__xludf.DUMMYFUNCTION("""COMPUTED_VALUE"""),"Haiti")</f>
        <v>Haiti</v>
      </c>
      <c r="D6550">
        <f>IFERROR(__xludf.DUMMYFUNCTION("""COMPUTED_VALUE"""),2035.0)</f>
        <v>2035</v>
      </c>
      <c r="E6550">
        <f>IFERROR(__xludf.DUMMYFUNCTION("""COMPUTED_VALUE"""),1.3036257E7)</f>
        <v>13036257</v>
      </c>
    </row>
    <row r="6551">
      <c r="A6551" t="str">
        <f t="shared" si="1"/>
        <v>hti#2036</v>
      </c>
      <c r="B6551" t="str">
        <f>IFERROR(__xludf.DUMMYFUNCTION("""COMPUTED_VALUE"""),"hti")</f>
        <v>hti</v>
      </c>
      <c r="C6551" t="str">
        <f>IFERROR(__xludf.DUMMYFUNCTION("""COMPUTED_VALUE"""),"Haiti")</f>
        <v>Haiti</v>
      </c>
      <c r="D6551">
        <f>IFERROR(__xludf.DUMMYFUNCTION("""COMPUTED_VALUE"""),2036.0)</f>
        <v>2036</v>
      </c>
      <c r="E6551">
        <f>IFERROR(__xludf.DUMMYFUNCTION("""COMPUTED_VALUE"""),1.3125966E7)</f>
        <v>13125966</v>
      </c>
    </row>
    <row r="6552">
      <c r="A6552" t="str">
        <f t="shared" si="1"/>
        <v>hti#2037</v>
      </c>
      <c r="B6552" t="str">
        <f>IFERROR(__xludf.DUMMYFUNCTION("""COMPUTED_VALUE"""),"hti")</f>
        <v>hti</v>
      </c>
      <c r="C6552" t="str">
        <f>IFERROR(__xludf.DUMMYFUNCTION("""COMPUTED_VALUE"""),"Haiti")</f>
        <v>Haiti</v>
      </c>
      <c r="D6552">
        <f>IFERROR(__xludf.DUMMYFUNCTION("""COMPUTED_VALUE"""),2037.0)</f>
        <v>2037</v>
      </c>
      <c r="E6552">
        <f>IFERROR(__xludf.DUMMYFUNCTION("""COMPUTED_VALUE"""),1.3212592E7)</f>
        <v>13212592</v>
      </c>
    </row>
    <row r="6553">
      <c r="A6553" t="str">
        <f t="shared" si="1"/>
        <v>hti#2038</v>
      </c>
      <c r="B6553" t="str">
        <f>IFERROR(__xludf.DUMMYFUNCTION("""COMPUTED_VALUE"""),"hti")</f>
        <v>hti</v>
      </c>
      <c r="C6553" t="str">
        <f>IFERROR(__xludf.DUMMYFUNCTION("""COMPUTED_VALUE"""),"Haiti")</f>
        <v>Haiti</v>
      </c>
      <c r="D6553">
        <f>IFERROR(__xludf.DUMMYFUNCTION("""COMPUTED_VALUE"""),2038.0)</f>
        <v>2038</v>
      </c>
      <c r="E6553">
        <f>IFERROR(__xludf.DUMMYFUNCTION("""COMPUTED_VALUE"""),1.3296139E7)</f>
        <v>13296139</v>
      </c>
    </row>
    <row r="6554">
      <c r="A6554" t="str">
        <f t="shared" si="1"/>
        <v>hti#2039</v>
      </c>
      <c r="B6554" t="str">
        <f>IFERROR(__xludf.DUMMYFUNCTION("""COMPUTED_VALUE"""),"hti")</f>
        <v>hti</v>
      </c>
      <c r="C6554" t="str">
        <f>IFERROR(__xludf.DUMMYFUNCTION("""COMPUTED_VALUE"""),"Haiti")</f>
        <v>Haiti</v>
      </c>
      <c r="D6554">
        <f>IFERROR(__xludf.DUMMYFUNCTION("""COMPUTED_VALUE"""),2039.0)</f>
        <v>2039</v>
      </c>
      <c r="E6554">
        <f>IFERROR(__xludf.DUMMYFUNCTION("""COMPUTED_VALUE"""),1.3376643E7)</f>
        <v>13376643</v>
      </c>
    </row>
    <row r="6555">
      <c r="A6555" t="str">
        <f t="shared" si="1"/>
        <v>hti#2040</v>
      </c>
      <c r="B6555" t="str">
        <f>IFERROR(__xludf.DUMMYFUNCTION("""COMPUTED_VALUE"""),"hti")</f>
        <v>hti</v>
      </c>
      <c r="C6555" t="str">
        <f>IFERROR(__xludf.DUMMYFUNCTION("""COMPUTED_VALUE"""),"Haiti")</f>
        <v>Haiti</v>
      </c>
      <c r="D6555">
        <f>IFERROR(__xludf.DUMMYFUNCTION("""COMPUTED_VALUE"""),2040.0)</f>
        <v>2040</v>
      </c>
      <c r="E6555">
        <f>IFERROR(__xludf.DUMMYFUNCTION("""COMPUTED_VALUE"""),1.3454085E7)</f>
        <v>13454085</v>
      </c>
    </row>
    <row r="6556">
      <c r="A6556" t="str">
        <f t="shared" si="1"/>
        <v>hos#1950</v>
      </c>
      <c r="B6556" t="str">
        <f>IFERROR(__xludf.DUMMYFUNCTION("""COMPUTED_VALUE"""),"hos")</f>
        <v>hos</v>
      </c>
      <c r="C6556" t="str">
        <f>IFERROR(__xludf.DUMMYFUNCTION("""COMPUTED_VALUE"""),"Holy See")</f>
        <v>Holy See</v>
      </c>
      <c r="D6556">
        <f>IFERROR(__xludf.DUMMYFUNCTION("""COMPUTED_VALUE"""),1950.0)</f>
        <v>1950</v>
      </c>
      <c r="E6556">
        <f>IFERROR(__xludf.DUMMYFUNCTION("""COMPUTED_VALUE"""),908.0)</f>
        <v>908</v>
      </c>
    </row>
    <row r="6557">
      <c r="A6557" t="str">
        <f t="shared" si="1"/>
        <v>hos#1951</v>
      </c>
      <c r="B6557" t="str">
        <f>IFERROR(__xludf.DUMMYFUNCTION("""COMPUTED_VALUE"""),"hos")</f>
        <v>hos</v>
      </c>
      <c r="C6557" t="str">
        <f>IFERROR(__xludf.DUMMYFUNCTION("""COMPUTED_VALUE"""),"Holy See")</f>
        <v>Holy See</v>
      </c>
      <c r="D6557">
        <f>IFERROR(__xludf.DUMMYFUNCTION("""COMPUTED_VALUE"""),1951.0)</f>
        <v>1951</v>
      </c>
      <c r="E6557">
        <f>IFERROR(__xludf.DUMMYFUNCTION("""COMPUTED_VALUE"""),885.0)</f>
        <v>885</v>
      </c>
    </row>
    <row r="6558">
      <c r="A6558" t="str">
        <f t="shared" si="1"/>
        <v>hos#1952</v>
      </c>
      <c r="B6558" t="str">
        <f>IFERROR(__xludf.DUMMYFUNCTION("""COMPUTED_VALUE"""),"hos")</f>
        <v>hos</v>
      </c>
      <c r="C6558" t="str">
        <f>IFERROR(__xludf.DUMMYFUNCTION("""COMPUTED_VALUE"""),"Holy See")</f>
        <v>Holy See</v>
      </c>
      <c r="D6558">
        <f>IFERROR(__xludf.DUMMYFUNCTION("""COMPUTED_VALUE"""),1952.0)</f>
        <v>1952</v>
      </c>
      <c r="E6558">
        <f>IFERROR(__xludf.DUMMYFUNCTION("""COMPUTED_VALUE"""),882.0)</f>
        <v>882</v>
      </c>
    </row>
    <row r="6559">
      <c r="A6559" t="str">
        <f t="shared" si="1"/>
        <v>hos#1953</v>
      </c>
      <c r="B6559" t="str">
        <f>IFERROR(__xludf.DUMMYFUNCTION("""COMPUTED_VALUE"""),"hos")</f>
        <v>hos</v>
      </c>
      <c r="C6559" t="str">
        <f>IFERROR(__xludf.DUMMYFUNCTION("""COMPUTED_VALUE"""),"Holy See")</f>
        <v>Holy See</v>
      </c>
      <c r="D6559">
        <f>IFERROR(__xludf.DUMMYFUNCTION("""COMPUTED_VALUE"""),1953.0)</f>
        <v>1953</v>
      </c>
      <c r="E6559">
        <f>IFERROR(__xludf.DUMMYFUNCTION("""COMPUTED_VALUE"""),886.0)</f>
        <v>886</v>
      </c>
    </row>
    <row r="6560">
      <c r="A6560" t="str">
        <f t="shared" si="1"/>
        <v>hos#1954</v>
      </c>
      <c r="B6560" t="str">
        <f>IFERROR(__xludf.DUMMYFUNCTION("""COMPUTED_VALUE"""),"hos")</f>
        <v>hos</v>
      </c>
      <c r="C6560" t="str">
        <f>IFERROR(__xludf.DUMMYFUNCTION("""COMPUTED_VALUE"""),"Holy See")</f>
        <v>Holy See</v>
      </c>
      <c r="D6560">
        <f>IFERROR(__xludf.DUMMYFUNCTION("""COMPUTED_VALUE"""),1954.0)</f>
        <v>1954</v>
      </c>
      <c r="E6560">
        <f>IFERROR(__xludf.DUMMYFUNCTION("""COMPUTED_VALUE"""),894.0)</f>
        <v>894</v>
      </c>
    </row>
    <row r="6561">
      <c r="A6561" t="str">
        <f t="shared" si="1"/>
        <v>hos#1955</v>
      </c>
      <c r="B6561" t="str">
        <f>IFERROR(__xludf.DUMMYFUNCTION("""COMPUTED_VALUE"""),"hos")</f>
        <v>hos</v>
      </c>
      <c r="C6561" t="str">
        <f>IFERROR(__xludf.DUMMYFUNCTION("""COMPUTED_VALUE"""),"Holy See")</f>
        <v>Holy See</v>
      </c>
      <c r="D6561">
        <f>IFERROR(__xludf.DUMMYFUNCTION("""COMPUTED_VALUE"""),1955.0)</f>
        <v>1955</v>
      </c>
      <c r="E6561">
        <f>IFERROR(__xludf.DUMMYFUNCTION("""COMPUTED_VALUE"""),908.0)</f>
        <v>908</v>
      </c>
    </row>
    <row r="6562">
      <c r="A6562" t="str">
        <f t="shared" si="1"/>
        <v>hos#1956</v>
      </c>
      <c r="B6562" t="str">
        <f>IFERROR(__xludf.DUMMYFUNCTION("""COMPUTED_VALUE"""),"hos")</f>
        <v>hos</v>
      </c>
      <c r="C6562" t="str">
        <f>IFERROR(__xludf.DUMMYFUNCTION("""COMPUTED_VALUE"""),"Holy See")</f>
        <v>Holy See</v>
      </c>
      <c r="D6562">
        <f>IFERROR(__xludf.DUMMYFUNCTION("""COMPUTED_VALUE"""),1956.0)</f>
        <v>1956</v>
      </c>
      <c r="E6562">
        <f>IFERROR(__xludf.DUMMYFUNCTION("""COMPUTED_VALUE"""),905.0)</f>
        <v>905</v>
      </c>
    </row>
    <row r="6563">
      <c r="A6563" t="str">
        <f t="shared" si="1"/>
        <v>hos#1957</v>
      </c>
      <c r="B6563" t="str">
        <f>IFERROR(__xludf.DUMMYFUNCTION("""COMPUTED_VALUE"""),"hos")</f>
        <v>hos</v>
      </c>
      <c r="C6563" t="str">
        <f>IFERROR(__xludf.DUMMYFUNCTION("""COMPUTED_VALUE"""),"Holy See")</f>
        <v>Holy See</v>
      </c>
      <c r="D6563">
        <f>IFERROR(__xludf.DUMMYFUNCTION("""COMPUTED_VALUE"""),1957.0)</f>
        <v>1957</v>
      </c>
      <c r="E6563">
        <f>IFERROR(__xludf.DUMMYFUNCTION("""COMPUTED_VALUE"""),910.0)</f>
        <v>910</v>
      </c>
    </row>
    <row r="6564">
      <c r="A6564" t="str">
        <f t="shared" si="1"/>
        <v>hos#1958</v>
      </c>
      <c r="B6564" t="str">
        <f>IFERROR(__xludf.DUMMYFUNCTION("""COMPUTED_VALUE"""),"hos")</f>
        <v>hos</v>
      </c>
      <c r="C6564" t="str">
        <f>IFERROR(__xludf.DUMMYFUNCTION("""COMPUTED_VALUE"""),"Holy See")</f>
        <v>Holy See</v>
      </c>
      <c r="D6564">
        <f>IFERROR(__xludf.DUMMYFUNCTION("""COMPUTED_VALUE"""),1958.0)</f>
        <v>1958</v>
      </c>
      <c r="E6564">
        <f>IFERROR(__xludf.DUMMYFUNCTION("""COMPUTED_VALUE"""),912.0)</f>
        <v>912</v>
      </c>
    </row>
    <row r="6565">
      <c r="A6565" t="str">
        <f t="shared" si="1"/>
        <v>hos#1959</v>
      </c>
      <c r="B6565" t="str">
        <f>IFERROR(__xludf.DUMMYFUNCTION("""COMPUTED_VALUE"""),"hos")</f>
        <v>hos</v>
      </c>
      <c r="C6565" t="str">
        <f>IFERROR(__xludf.DUMMYFUNCTION("""COMPUTED_VALUE"""),"Holy See")</f>
        <v>Holy See</v>
      </c>
      <c r="D6565">
        <f>IFERROR(__xludf.DUMMYFUNCTION("""COMPUTED_VALUE"""),1959.0)</f>
        <v>1959</v>
      </c>
      <c r="E6565">
        <f>IFERROR(__xludf.DUMMYFUNCTION("""COMPUTED_VALUE"""),908.0)</f>
        <v>908</v>
      </c>
    </row>
    <row r="6566">
      <c r="A6566" t="str">
        <f t="shared" si="1"/>
        <v>hos#1960</v>
      </c>
      <c r="B6566" t="str">
        <f>IFERROR(__xludf.DUMMYFUNCTION("""COMPUTED_VALUE"""),"hos")</f>
        <v>hos</v>
      </c>
      <c r="C6566" t="str">
        <f>IFERROR(__xludf.DUMMYFUNCTION("""COMPUTED_VALUE"""),"Holy See")</f>
        <v>Holy See</v>
      </c>
      <c r="D6566">
        <f>IFERROR(__xludf.DUMMYFUNCTION("""COMPUTED_VALUE"""),1960.0)</f>
        <v>1960</v>
      </c>
      <c r="E6566">
        <f>IFERROR(__xludf.DUMMYFUNCTION("""COMPUTED_VALUE"""),906.0)</f>
        <v>906</v>
      </c>
    </row>
    <row r="6567">
      <c r="A6567" t="str">
        <f t="shared" si="1"/>
        <v>hos#1961</v>
      </c>
      <c r="B6567" t="str">
        <f>IFERROR(__xludf.DUMMYFUNCTION("""COMPUTED_VALUE"""),"hos")</f>
        <v>hos</v>
      </c>
      <c r="C6567" t="str">
        <f>IFERROR(__xludf.DUMMYFUNCTION("""COMPUTED_VALUE"""),"Holy See")</f>
        <v>Holy See</v>
      </c>
      <c r="D6567">
        <f>IFERROR(__xludf.DUMMYFUNCTION("""COMPUTED_VALUE"""),1961.0)</f>
        <v>1961</v>
      </c>
      <c r="E6567">
        <f>IFERROR(__xludf.DUMMYFUNCTION("""COMPUTED_VALUE"""),903.0)</f>
        <v>903</v>
      </c>
    </row>
    <row r="6568">
      <c r="A6568" t="str">
        <f t="shared" si="1"/>
        <v>hos#1962</v>
      </c>
      <c r="B6568" t="str">
        <f>IFERROR(__xludf.DUMMYFUNCTION("""COMPUTED_VALUE"""),"hos")</f>
        <v>hos</v>
      </c>
      <c r="C6568" t="str">
        <f>IFERROR(__xludf.DUMMYFUNCTION("""COMPUTED_VALUE"""),"Holy See")</f>
        <v>Holy See</v>
      </c>
      <c r="D6568">
        <f>IFERROR(__xludf.DUMMYFUNCTION("""COMPUTED_VALUE"""),1962.0)</f>
        <v>1962</v>
      </c>
      <c r="E6568">
        <f>IFERROR(__xludf.DUMMYFUNCTION("""COMPUTED_VALUE"""),898.0)</f>
        <v>898</v>
      </c>
    </row>
    <row r="6569">
      <c r="A6569" t="str">
        <f t="shared" si="1"/>
        <v>hos#1963</v>
      </c>
      <c r="B6569" t="str">
        <f>IFERROR(__xludf.DUMMYFUNCTION("""COMPUTED_VALUE"""),"hos")</f>
        <v>hos</v>
      </c>
      <c r="C6569" t="str">
        <f>IFERROR(__xludf.DUMMYFUNCTION("""COMPUTED_VALUE"""),"Holy See")</f>
        <v>Holy See</v>
      </c>
      <c r="D6569">
        <f>IFERROR(__xludf.DUMMYFUNCTION("""COMPUTED_VALUE"""),1963.0)</f>
        <v>1963</v>
      </c>
      <c r="E6569">
        <f>IFERROR(__xludf.DUMMYFUNCTION("""COMPUTED_VALUE"""),892.0)</f>
        <v>892</v>
      </c>
    </row>
    <row r="6570">
      <c r="A6570" t="str">
        <f t="shared" si="1"/>
        <v>hos#1964</v>
      </c>
      <c r="B6570" t="str">
        <f>IFERROR(__xludf.DUMMYFUNCTION("""COMPUTED_VALUE"""),"hos")</f>
        <v>hos</v>
      </c>
      <c r="C6570" t="str">
        <f>IFERROR(__xludf.DUMMYFUNCTION("""COMPUTED_VALUE"""),"Holy See")</f>
        <v>Holy See</v>
      </c>
      <c r="D6570">
        <f>IFERROR(__xludf.DUMMYFUNCTION("""COMPUTED_VALUE"""),1964.0)</f>
        <v>1964</v>
      </c>
      <c r="E6570">
        <f>IFERROR(__xludf.DUMMYFUNCTION("""COMPUTED_VALUE"""),879.0)</f>
        <v>879</v>
      </c>
    </row>
    <row r="6571">
      <c r="A6571" t="str">
        <f t="shared" si="1"/>
        <v>hos#1965</v>
      </c>
      <c r="B6571" t="str">
        <f>IFERROR(__xludf.DUMMYFUNCTION("""COMPUTED_VALUE"""),"hos")</f>
        <v>hos</v>
      </c>
      <c r="C6571" t="str">
        <f>IFERROR(__xludf.DUMMYFUNCTION("""COMPUTED_VALUE"""),"Holy See")</f>
        <v>Holy See</v>
      </c>
      <c r="D6571">
        <f>IFERROR(__xludf.DUMMYFUNCTION("""COMPUTED_VALUE"""),1965.0)</f>
        <v>1965</v>
      </c>
      <c r="E6571">
        <f>IFERROR(__xludf.DUMMYFUNCTION("""COMPUTED_VALUE"""),854.0)</f>
        <v>854</v>
      </c>
    </row>
    <row r="6572">
      <c r="A6572" t="str">
        <f t="shared" si="1"/>
        <v>hos#1966</v>
      </c>
      <c r="B6572" t="str">
        <f>IFERROR(__xludf.DUMMYFUNCTION("""COMPUTED_VALUE"""),"hos")</f>
        <v>hos</v>
      </c>
      <c r="C6572" t="str">
        <f>IFERROR(__xludf.DUMMYFUNCTION("""COMPUTED_VALUE"""),"Holy See")</f>
        <v>Holy See</v>
      </c>
      <c r="D6572">
        <f>IFERROR(__xludf.DUMMYFUNCTION("""COMPUTED_VALUE"""),1966.0)</f>
        <v>1966</v>
      </c>
      <c r="E6572">
        <f>IFERROR(__xludf.DUMMYFUNCTION("""COMPUTED_VALUE"""),814.0)</f>
        <v>814</v>
      </c>
    </row>
    <row r="6573">
      <c r="A6573" t="str">
        <f t="shared" si="1"/>
        <v>hos#1967</v>
      </c>
      <c r="B6573" t="str">
        <f>IFERROR(__xludf.DUMMYFUNCTION("""COMPUTED_VALUE"""),"hos")</f>
        <v>hos</v>
      </c>
      <c r="C6573" t="str">
        <f>IFERROR(__xludf.DUMMYFUNCTION("""COMPUTED_VALUE"""),"Holy See")</f>
        <v>Holy See</v>
      </c>
      <c r="D6573">
        <f>IFERROR(__xludf.DUMMYFUNCTION("""COMPUTED_VALUE"""),1967.0)</f>
        <v>1967</v>
      </c>
      <c r="E6573">
        <f>IFERROR(__xludf.DUMMYFUNCTION("""COMPUTED_VALUE"""),766.0)</f>
        <v>766</v>
      </c>
    </row>
    <row r="6574">
      <c r="A6574" t="str">
        <f t="shared" si="1"/>
        <v>hos#1968</v>
      </c>
      <c r="B6574" t="str">
        <f>IFERROR(__xludf.DUMMYFUNCTION("""COMPUTED_VALUE"""),"hos")</f>
        <v>hos</v>
      </c>
      <c r="C6574" t="str">
        <f>IFERROR(__xludf.DUMMYFUNCTION("""COMPUTED_VALUE"""),"Holy See")</f>
        <v>Holy See</v>
      </c>
      <c r="D6574">
        <f>IFERROR(__xludf.DUMMYFUNCTION("""COMPUTED_VALUE"""),1968.0)</f>
        <v>1968</v>
      </c>
      <c r="E6574">
        <f>IFERROR(__xludf.DUMMYFUNCTION("""COMPUTED_VALUE"""),712.0)</f>
        <v>712</v>
      </c>
    </row>
    <row r="6575">
      <c r="A6575" t="str">
        <f t="shared" si="1"/>
        <v>hos#1969</v>
      </c>
      <c r="B6575" t="str">
        <f>IFERROR(__xludf.DUMMYFUNCTION("""COMPUTED_VALUE"""),"hos")</f>
        <v>hos</v>
      </c>
      <c r="C6575" t="str">
        <f>IFERROR(__xludf.DUMMYFUNCTION("""COMPUTED_VALUE"""),"Holy See")</f>
        <v>Holy See</v>
      </c>
      <c r="D6575">
        <f>IFERROR(__xludf.DUMMYFUNCTION("""COMPUTED_VALUE"""),1969.0)</f>
        <v>1969</v>
      </c>
      <c r="E6575">
        <f>IFERROR(__xludf.DUMMYFUNCTION("""COMPUTED_VALUE"""),669.0)</f>
        <v>669</v>
      </c>
    </row>
    <row r="6576">
      <c r="A6576" t="str">
        <f t="shared" si="1"/>
        <v>hos#1970</v>
      </c>
      <c r="B6576" t="str">
        <f>IFERROR(__xludf.DUMMYFUNCTION("""COMPUTED_VALUE"""),"hos")</f>
        <v>hos</v>
      </c>
      <c r="C6576" t="str">
        <f>IFERROR(__xludf.DUMMYFUNCTION("""COMPUTED_VALUE"""),"Holy See")</f>
        <v>Holy See</v>
      </c>
      <c r="D6576">
        <f>IFERROR(__xludf.DUMMYFUNCTION("""COMPUTED_VALUE"""),1970.0)</f>
        <v>1970</v>
      </c>
      <c r="E6576">
        <f>IFERROR(__xludf.DUMMYFUNCTION("""COMPUTED_VALUE"""),644.0)</f>
        <v>644</v>
      </c>
    </row>
    <row r="6577">
      <c r="A6577" t="str">
        <f t="shared" si="1"/>
        <v>hos#1971</v>
      </c>
      <c r="B6577" t="str">
        <f>IFERROR(__xludf.DUMMYFUNCTION("""COMPUTED_VALUE"""),"hos")</f>
        <v>hos</v>
      </c>
      <c r="C6577" t="str">
        <f>IFERROR(__xludf.DUMMYFUNCTION("""COMPUTED_VALUE"""),"Holy See")</f>
        <v>Holy See</v>
      </c>
      <c r="D6577">
        <f>IFERROR(__xludf.DUMMYFUNCTION("""COMPUTED_VALUE"""),1971.0)</f>
        <v>1971</v>
      </c>
      <c r="E6577">
        <f>IFERROR(__xludf.DUMMYFUNCTION("""COMPUTED_VALUE"""),642.0)</f>
        <v>642</v>
      </c>
    </row>
    <row r="6578">
      <c r="A6578" t="str">
        <f t="shared" si="1"/>
        <v>hos#1972</v>
      </c>
      <c r="B6578" t="str">
        <f>IFERROR(__xludf.DUMMYFUNCTION("""COMPUTED_VALUE"""),"hos")</f>
        <v>hos</v>
      </c>
      <c r="C6578" t="str">
        <f>IFERROR(__xludf.DUMMYFUNCTION("""COMPUTED_VALUE"""),"Holy See")</f>
        <v>Holy See</v>
      </c>
      <c r="D6578">
        <f>IFERROR(__xludf.DUMMYFUNCTION("""COMPUTED_VALUE"""),1972.0)</f>
        <v>1972</v>
      </c>
      <c r="E6578">
        <f>IFERROR(__xludf.DUMMYFUNCTION("""COMPUTED_VALUE"""),657.0)</f>
        <v>657</v>
      </c>
    </row>
    <row r="6579">
      <c r="A6579" t="str">
        <f t="shared" si="1"/>
        <v>hos#1973</v>
      </c>
      <c r="B6579" t="str">
        <f>IFERROR(__xludf.DUMMYFUNCTION("""COMPUTED_VALUE"""),"hos")</f>
        <v>hos</v>
      </c>
      <c r="C6579" t="str">
        <f>IFERROR(__xludf.DUMMYFUNCTION("""COMPUTED_VALUE"""),"Holy See")</f>
        <v>Holy See</v>
      </c>
      <c r="D6579">
        <f>IFERROR(__xludf.DUMMYFUNCTION("""COMPUTED_VALUE"""),1973.0)</f>
        <v>1973</v>
      </c>
      <c r="E6579">
        <f>IFERROR(__xludf.DUMMYFUNCTION("""COMPUTED_VALUE"""),686.0)</f>
        <v>686</v>
      </c>
    </row>
    <row r="6580">
      <c r="A6580" t="str">
        <f t="shared" si="1"/>
        <v>hos#1974</v>
      </c>
      <c r="B6580" t="str">
        <f>IFERROR(__xludf.DUMMYFUNCTION("""COMPUTED_VALUE"""),"hos")</f>
        <v>hos</v>
      </c>
      <c r="C6580" t="str">
        <f>IFERROR(__xludf.DUMMYFUNCTION("""COMPUTED_VALUE"""),"Holy See")</f>
        <v>Holy See</v>
      </c>
      <c r="D6580">
        <f>IFERROR(__xludf.DUMMYFUNCTION("""COMPUTED_VALUE"""),1974.0)</f>
        <v>1974</v>
      </c>
      <c r="E6580">
        <f>IFERROR(__xludf.DUMMYFUNCTION("""COMPUTED_VALUE"""),708.0)</f>
        <v>708</v>
      </c>
    </row>
    <row r="6581">
      <c r="A6581" t="str">
        <f t="shared" si="1"/>
        <v>hos#1975</v>
      </c>
      <c r="B6581" t="str">
        <f>IFERROR(__xludf.DUMMYFUNCTION("""COMPUTED_VALUE"""),"hos")</f>
        <v>hos</v>
      </c>
      <c r="C6581" t="str">
        <f>IFERROR(__xludf.DUMMYFUNCTION("""COMPUTED_VALUE"""),"Holy See")</f>
        <v>Holy See</v>
      </c>
      <c r="D6581">
        <f>IFERROR(__xludf.DUMMYFUNCTION("""COMPUTED_VALUE"""),1975.0)</f>
        <v>1975</v>
      </c>
      <c r="E6581">
        <f>IFERROR(__xludf.DUMMYFUNCTION("""COMPUTED_VALUE"""),728.0)</f>
        <v>728</v>
      </c>
    </row>
    <row r="6582">
      <c r="A6582" t="str">
        <f t="shared" si="1"/>
        <v>hos#1976</v>
      </c>
      <c r="B6582" t="str">
        <f>IFERROR(__xludf.DUMMYFUNCTION("""COMPUTED_VALUE"""),"hos")</f>
        <v>hos</v>
      </c>
      <c r="C6582" t="str">
        <f>IFERROR(__xludf.DUMMYFUNCTION("""COMPUTED_VALUE"""),"Holy See")</f>
        <v>Holy See</v>
      </c>
      <c r="D6582">
        <f>IFERROR(__xludf.DUMMYFUNCTION("""COMPUTED_VALUE"""),1976.0)</f>
        <v>1976</v>
      </c>
      <c r="E6582">
        <f>IFERROR(__xludf.DUMMYFUNCTION("""COMPUTED_VALUE"""),737.0)</f>
        <v>737</v>
      </c>
    </row>
    <row r="6583">
      <c r="A6583" t="str">
        <f t="shared" si="1"/>
        <v>hos#1977</v>
      </c>
      <c r="B6583" t="str">
        <f>IFERROR(__xludf.DUMMYFUNCTION("""COMPUTED_VALUE"""),"hos")</f>
        <v>hos</v>
      </c>
      <c r="C6583" t="str">
        <f>IFERROR(__xludf.DUMMYFUNCTION("""COMPUTED_VALUE"""),"Holy See")</f>
        <v>Holy See</v>
      </c>
      <c r="D6583">
        <f>IFERROR(__xludf.DUMMYFUNCTION("""COMPUTED_VALUE"""),1977.0)</f>
        <v>1977</v>
      </c>
      <c r="E6583">
        <f>IFERROR(__xludf.DUMMYFUNCTION("""COMPUTED_VALUE"""),737.0)</f>
        <v>737</v>
      </c>
    </row>
    <row r="6584">
      <c r="A6584" t="str">
        <f t="shared" si="1"/>
        <v>hos#1978</v>
      </c>
      <c r="B6584" t="str">
        <f>IFERROR(__xludf.DUMMYFUNCTION("""COMPUTED_VALUE"""),"hos")</f>
        <v>hos</v>
      </c>
      <c r="C6584" t="str">
        <f>IFERROR(__xludf.DUMMYFUNCTION("""COMPUTED_VALUE"""),"Holy See")</f>
        <v>Holy See</v>
      </c>
      <c r="D6584">
        <f>IFERROR(__xludf.DUMMYFUNCTION("""COMPUTED_VALUE"""),1978.0)</f>
        <v>1978</v>
      </c>
      <c r="E6584">
        <f>IFERROR(__xludf.DUMMYFUNCTION("""COMPUTED_VALUE"""),730.0)</f>
        <v>730</v>
      </c>
    </row>
    <row r="6585">
      <c r="A6585" t="str">
        <f t="shared" si="1"/>
        <v>hos#1979</v>
      </c>
      <c r="B6585" t="str">
        <f>IFERROR(__xludf.DUMMYFUNCTION("""COMPUTED_VALUE"""),"hos")</f>
        <v>hos</v>
      </c>
      <c r="C6585" t="str">
        <f>IFERROR(__xludf.DUMMYFUNCTION("""COMPUTED_VALUE"""),"Holy See")</f>
        <v>Holy See</v>
      </c>
      <c r="D6585">
        <f>IFERROR(__xludf.DUMMYFUNCTION("""COMPUTED_VALUE"""),1979.0)</f>
        <v>1979</v>
      </c>
      <c r="E6585">
        <f>IFERROR(__xludf.DUMMYFUNCTION("""COMPUTED_VALUE"""),730.0)</f>
        <v>730</v>
      </c>
    </row>
    <row r="6586">
      <c r="A6586" t="str">
        <f t="shared" si="1"/>
        <v>hos#1980</v>
      </c>
      <c r="B6586" t="str">
        <f>IFERROR(__xludf.DUMMYFUNCTION("""COMPUTED_VALUE"""),"hos")</f>
        <v>hos</v>
      </c>
      <c r="C6586" t="str">
        <f>IFERROR(__xludf.DUMMYFUNCTION("""COMPUTED_VALUE"""),"Holy See")</f>
        <v>Holy See</v>
      </c>
      <c r="D6586">
        <f>IFERROR(__xludf.DUMMYFUNCTION("""COMPUTED_VALUE"""),1980.0)</f>
        <v>1980</v>
      </c>
      <c r="E6586">
        <f>IFERROR(__xludf.DUMMYFUNCTION("""COMPUTED_VALUE"""),724.0)</f>
        <v>724</v>
      </c>
    </row>
    <row r="6587">
      <c r="A6587" t="str">
        <f t="shared" si="1"/>
        <v>hos#1981</v>
      </c>
      <c r="B6587" t="str">
        <f>IFERROR(__xludf.DUMMYFUNCTION("""COMPUTED_VALUE"""),"hos")</f>
        <v>hos</v>
      </c>
      <c r="C6587" t="str">
        <f>IFERROR(__xludf.DUMMYFUNCTION("""COMPUTED_VALUE"""),"Holy See")</f>
        <v>Holy See</v>
      </c>
      <c r="D6587">
        <f>IFERROR(__xludf.DUMMYFUNCTION("""COMPUTED_VALUE"""),1981.0)</f>
        <v>1981</v>
      </c>
      <c r="E6587">
        <f>IFERROR(__xludf.DUMMYFUNCTION("""COMPUTED_VALUE"""),725.0)</f>
        <v>725</v>
      </c>
    </row>
    <row r="6588">
      <c r="A6588" t="str">
        <f t="shared" si="1"/>
        <v>hos#1982</v>
      </c>
      <c r="B6588" t="str">
        <f>IFERROR(__xludf.DUMMYFUNCTION("""COMPUTED_VALUE"""),"hos")</f>
        <v>hos</v>
      </c>
      <c r="C6588" t="str">
        <f>IFERROR(__xludf.DUMMYFUNCTION("""COMPUTED_VALUE"""),"Holy See")</f>
        <v>Holy See</v>
      </c>
      <c r="D6588">
        <f>IFERROR(__xludf.DUMMYFUNCTION("""COMPUTED_VALUE"""),1982.0)</f>
        <v>1982</v>
      </c>
      <c r="E6588">
        <f>IFERROR(__xludf.DUMMYFUNCTION("""COMPUTED_VALUE"""),729.0)</f>
        <v>729</v>
      </c>
    </row>
    <row r="6589">
      <c r="A6589" t="str">
        <f t="shared" si="1"/>
        <v>hos#1983</v>
      </c>
      <c r="B6589" t="str">
        <f>IFERROR(__xludf.DUMMYFUNCTION("""COMPUTED_VALUE"""),"hos")</f>
        <v>hos</v>
      </c>
      <c r="C6589" t="str">
        <f>IFERROR(__xludf.DUMMYFUNCTION("""COMPUTED_VALUE"""),"Holy See")</f>
        <v>Holy See</v>
      </c>
      <c r="D6589">
        <f>IFERROR(__xludf.DUMMYFUNCTION("""COMPUTED_VALUE"""),1983.0)</f>
        <v>1983</v>
      </c>
      <c r="E6589">
        <f>IFERROR(__xludf.DUMMYFUNCTION("""COMPUTED_VALUE"""),731.0)</f>
        <v>731</v>
      </c>
    </row>
    <row r="6590">
      <c r="A6590" t="str">
        <f t="shared" si="1"/>
        <v>hos#1984</v>
      </c>
      <c r="B6590" t="str">
        <f>IFERROR(__xludf.DUMMYFUNCTION("""COMPUTED_VALUE"""),"hos")</f>
        <v>hos</v>
      </c>
      <c r="C6590" t="str">
        <f>IFERROR(__xludf.DUMMYFUNCTION("""COMPUTED_VALUE"""),"Holy See")</f>
        <v>Holy See</v>
      </c>
      <c r="D6590">
        <f>IFERROR(__xludf.DUMMYFUNCTION("""COMPUTED_VALUE"""),1984.0)</f>
        <v>1984</v>
      </c>
      <c r="E6590">
        <f>IFERROR(__xludf.DUMMYFUNCTION("""COMPUTED_VALUE"""),740.0)</f>
        <v>740</v>
      </c>
    </row>
    <row r="6591">
      <c r="A6591" t="str">
        <f t="shared" si="1"/>
        <v>hos#1985</v>
      </c>
      <c r="B6591" t="str">
        <f>IFERROR(__xludf.DUMMYFUNCTION("""COMPUTED_VALUE"""),"hos")</f>
        <v>hos</v>
      </c>
      <c r="C6591" t="str">
        <f>IFERROR(__xludf.DUMMYFUNCTION("""COMPUTED_VALUE"""),"Holy See")</f>
        <v>Holy See</v>
      </c>
      <c r="D6591">
        <f>IFERROR(__xludf.DUMMYFUNCTION("""COMPUTED_VALUE"""),1985.0)</f>
        <v>1985</v>
      </c>
      <c r="E6591">
        <f>IFERROR(__xludf.DUMMYFUNCTION("""COMPUTED_VALUE"""),746.0)</f>
        <v>746</v>
      </c>
    </row>
    <row r="6592">
      <c r="A6592" t="str">
        <f t="shared" si="1"/>
        <v>hos#1986</v>
      </c>
      <c r="B6592" t="str">
        <f>IFERROR(__xludf.DUMMYFUNCTION("""COMPUTED_VALUE"""),"hos")</f>
        <v>hos</v>
      </c>
      <c r="C6592" t="str">
        <f>IFERROR(__xludf.DUMMYFUNCTION("""COMPUTED_VALUE"""),"Holy See")</f>
        <v>Holy See</v>
      </c>
      <c r="D6592">
        <f>IFERROR(__xludf.DUMMYFUNCTION("""COMPUTED_VALUE"""),1986.0)</f>
        <v>1986</v>
      </c>
      <c r="E6592">
        <f>IFERROR(__xludf.DUMMYFUNCTION("""COMPUTED_VALUE"""),750.0)</f>
        <v>750</v>
      </c>
    </row>
    <row r="6593">
      <c r="A6593" t="str">
        <f t="shared" si="1"/>
        <v>hos#1987</v>
      </c>
      <c r="B6593" t="str">
        <f>IFERROR(__xludf.DUMMYFUNCTION("""COMPUTED_VALUE"""),"hos")</f>
        <v>hos</v>
      </c>
      <c r="C6593" t="str">
        <f>IFERROR(__xludf.DUMMYFUNCTION("""COMPUTED_VALUE"""),"Holy See")</f>
        <v>Holy See</v>
      </c>
      <c r="D6593">
        <f>IFERROR(__xludf.DUMMYFUNCTION("""COMPUTED_VALUE"""),1987.0)</f>
        <v>1987</v>
      </c>
      <c r="E6593">
        <f>IFERROR(__xludf.DUMMYFUNCTION("""COMPUTED_VALUE"""),759.0)</f>
        <v>759</v>
      </c>
    </row>
    <row r="6594">
      <c r="A6594" t="str">
        <f t="shared" si="1"/>
        <v>hos#1988</v>
      </c>
      <c r="B6594" t="str">
        <f>IFERROR(__xludf.DUMMYFUNCTION("""COMPUTED_VALUE"""),"hos")</f>
        <v>hos</v>
      </c>
      <c r="C6594" t="str">
        <f>IFERROR(__xludf.DUMMYFUNCTION("""COMPUTED_VALUE"""),"Holy See")</f>
        <v>Holy See</v>
      </c>
      <c r="D6594">
        <f>IFERROR(__xludf.DUMMYFUNCTION("""COMPUTED_VALUE"""),1988.0)</f>
        <v>1988</v>
      </c>
      <c r="E6594">
        <f>IFERROR(__xludf.DUMMYFUNCTION("""COMPUTED_VALUE"""),764.0)</f>
        <v>764</v>
      </c>
    </row>
    <row r="6595">
      <c r="A6595" t="str">
        <f t="shared" si="1"/>
        <v>hos#1989</v>
      </c>
      <c r="B6595" t="str">
        <f>IFERROR(__xludf.DUMMYFUNCTION("""COMPUTED_VALUE"""),"hos")</f>
        <v>hos</v>
      </c>
      <c r="C6595" t="str">
        <f>IFERROR(__xludf.DUMMYFUNCTION("""COMPUTED_VALUE"""),"Holy See")</f>
        <v>Holy See</v>
      </c>
      <c r="D6595">
        <f>IFERROR(__xludf.DUMMYFUNCTION("""COMPUTED_VALUE"""),1989.0)</f>
        <v>1989</v>
      </c>
      <c r="E6595">
        <f>IFERROR(__xludf.DUMMYFUNCTION("""COMPUTED_VALUE"""),765.0)</f>
        <v>765</v>
      </c>
    </row>
    <row r="6596">
      <c r="A6596" t="str">
        <f t="shared" si="1"/>
        <v>hos#1990</v>
      </c>
      <c r="B6596" t="str">
        <f>IFERROR(__xludf.DUMMYFUNCTION("""COMPUTED_VALUE"""),"hos")</f>
        <v>hos</v>
      </c>
      <c r="C6596" t="str">
        <f>IFERROR(__xludf.DUMMYFUNCTION("""COMPUTED_VALUE"""),"Holy See")</f>
        <v>Holy See</v>
      </c>
      <c r="D6596">
        <f>IFERROR(__xludf.DUMMYFUNCTION("""COMPUTED_VALUE"""),1990.0)</f>
        <v>1990</v>
      </c>
      <c r="E6596">
        <f>IFERROR(__xludf.DUMMYFUNCTION("""COMPUTED_VALUE"""),768.0)</f>
        <v>768</v>
      </c>
    </row>
    <row r="6597">
      <c r="A6597" t="str">
        <f t="shared" si="1"/>
        <v>hos#1991</v>
      </c>
      <c r="B6597" t="str">
        <f>IFERROR(__xludf.DUMMYFUNCTION("""COMPUTED_VALUE"""),"hos")</f>
        <v>hos</v>
      </c>
      <c r="C6597" t="str">
        <f>IFERROR(__xludf.DUMMYFUNCTION("""COMPUTED_VALUE"""),"Holy See")</f>
        <v>Holy See</v>
      </c>
      <c r="D6597">
        <f>IFERROR(__xludf.DUMMYFUNCTION("""COMPUTED_VALUE"""),1991.0)</f>
        <v>1991</v>
      </c>
      <c r="E6597">
        <f>IFERROR(__xludf.DUMMYFUNCTION("""COMPUTED_VALUE"""),774.0)</f>
        <v>774</v>
      </c>
    </row>
    <row r="6598">
      <c r="A6598" t="str">
        <f t="shared" si="1"/>
        <v>hos#1992</v>
      </c>
      <c r="B6598" t="str">
        <f>IFERROR(__xludf.DUMMYFUNCTION("""COMPUTED_VALUE"""),"hos")</f>
        <v>hos</v>
      </c>
      <c r="C6598" t="str">
        <f>IFERROR(__xludf.DUMMYFUNCTION("""COMPUTED_VALUE"""),"Holy See")</f>
        <v>Holy See</v>
      </c>
      <c r="D6598">
        <f>IFERROR(__xludf.DUMMYFUNCTION("""COMPUTED_VALUE"""),1992.0)</f>
        <v>1992</v>
      </c>
      <c r="E6598">
        <f>IFERROR(__xludf.DUMMYFUNCTION("""COMPUTED_VALUE"""),779.0)</f>
        <v>779</v>
      </c>
    </row>
    <row r="6599">
      <c r="A6599" t="str">
        <f t="shared" si="1"/>
        <v>hos#1993</v>
      </c>
      <c r="B6599" t="str">
        <f>IFERROR(__xludf.DUMMYFUNCTION("""COMPUTED_VALUE"""),"hos")</f>
        <v>hos</v>
      </c>
      <c r="C6599" t="str">
        <f>IFERROR(__xludf.DUMMYFUNCTION("""COMPUTED_VALUE"""),"Holy See")</f>
        <v>Holy See</v>
      </c>
      <c r="D6599">
        <f>IFERROR(__xludf.DUMMYFUNCTION("""COMPUTED_VALUE"""),1993.0)</f>
        <v>1993</v>
      </c>
      <c r="E6599">
        <f>IFERROR(__xludf.DUMMYFUNCTION("""COMPUTED_VALUE"""),778.0)</f>
        <v>778</v>
      </c>
    </row>
    <row r="6600">
      <c r="A6600" t="str">
        <f t="shared" si="1"/>
        <v>hos#1994</v>
      </c>
      <c r="B6600" t="str">
        <f>IFERROR(__xludf.DUMMYFUNCTION("""COMPUTED_VALUE"""),"hos")</f>
        <v>hos</v>
      </c>
      <c r="C6600" t="str">
        <f>IFERROR(__xludf.DUMMYFUNCTION("""COMPUTED_VALUE"""),"Holy See")</f>
        <v>Holy See</v>
      </c>
      <c r="D6600">
        <f>IFERROR(__xludf.DUMMYFUNCTION("""COMPUTED_VALUE"""),1994.0)</f>
        <v>1994</v>
      </c>
      <c r="E6600">
        <f>IFERROR(__xludf.DUMMYFUNCTION("""COMPUTED_VALUE"""),778.0)</f>
        <v>778</v>
      </c>
    </row>
    <row r="6601">
      <c r="A6601" t="str">
        <f t="shared" si="1"/>
        <v>hos#1995</v>
      </c>
      <c r="B6601" t="str">
        <f>IFERROR(__xludf.DUMMYFUNCTION("""COMPUTED_VALUE"""),"hos")</f>
        <v>hos</v>
      </c>
      <c r="C6601" t="str">
        <f>IFERROR(__xludf.DUMMYFUNCTION("""COMPUTED_VALUE"""),"Holy See")</f>
        <v>Holy See</v>
      </c>
      <c r="D6601">
        <f>IFERROR(__xludf.DUMMYFUNCTION("""COMPUTED_VALUE"""),1995.0)</f>
        <v>1995</v>
      </c>
      <c r="E6601">
        <f>IFERROR(__xludf.DUMMYFUNCTION("""COMPUTED_VALUE"""),780.0)</f>
        <v>780</v>
      </c>
    </row>
    <row r="6602">
      <c r="A6602" t="str">
        <f t="shared" si="1"/>
        <v>hos#1996</v>
      </c>
      <c r="B6602" t="str">
        <f>IFERROR(__xludf.DUMMYFUNCTION("""COMPUTED_VALUE"""),"hos")</f>
        <v>hos</v>
      </c>
      <c r="C6602" t="str">
        <f>IFERROR(__xludf.DUMMYFUNCTION("""COMPUTED_VALUE"""),"Holy See")</f>
        <v>Holy See</v>
      </c>
      <c r="D6602">
        <f>IFERROR(__xludf.DUMMYFUNCTION("""COMPUTED_VALUE"""),1996.0)</f>
        <v>1996</v>
      </c>
      <c r="E6602">
        <f>IFERROR(__xludf.DUMMYFUNCTION("""COMPUTED_VALUE"""),778.0)</f>
        <v>778</v>
      </c>
    </row>
    <row r="6603">
      <c r="A6603" t="str">
        <f t="shared" si="1"/>
        <v>hos#1997</v>
      </c>
      <c r="B6603" t="str">
        <f>IFERROR(__xludf.DUMMYFUNCTION("""COMPUTED_VALUE"""),"hos")</f>
        <v>hos</v>
      </c>
      <c r="C6603" t="str">
        <f>IFERROR(__xludf.DUMMYFUNCTION("""COMPUTED_VALUE"""),"Holy See")</f>
        <v>Holy See</v>
      </c>
      <c r="D6603">
        <f>IFERROR(__xludf.DUMMYFUNCTION("""COMPUTED_VALUE"""),1997.0)</f>
        <v>1997</v>
      </c>
      <c r="E6603">
        <f>IFERROR(__xludf.DUMMYFUNCTION("""COMPUTED_VALUE"""),782.0)</f>
        <v>782</v>
      </c>
    </row>
    <row r="6604">
      <c r="A6604" t="str">
        <f t="shared" si="1"/>
        <v>hos#1998</v>
      </c>
      <c r="B6604" t="str">
        <f>IFERROR(__xludf.DUMMYFUNCTION("""COMPUTED_VALUE"""),"hos")</f>
        <v>hos</v>
      </c>
      <c r="C6604" t="str">
        <f>IFERROR(__xludf.DUMMYFUNCTION("""COMPUTED_VALUE"""),"Holy See")</f>
        <v>Holy See</v>
      </c>
      <c r="D6604">
        <f>IFERROR(__xludf.DUMMYFUNCTION("""COMPUTED_VALUE"""),1998.0)</f>
        <v>1998</v>
      </c>
      <c r="E6604">
        <f>IFERROR(__xludf.DUMMYFUNCTION("""COMPUTED_VALUE"""),781.0)</f>
        <v>781</v>
      </c>
    </row>
    <row r="6605">
      <c r="A6605" t="str">
        <f t="shared" si="1"/>
        <v>hos#1999</v>
      </c>
      <c r="B6605" t="str">
        <f>IFERROR(__xludf.DUMMYFUNCTION("""COMPUTED_VALUE"""),"hos")</f>
        <v>hos</v>
      </c>
      <c r="C6605" t="str">
        <f>IFERROR(__xludf.DUMMYFUNCTION("""COMPUTED_VALUE"""),"Holy See")</f>
        <v>Holy See</v>
      </c>
      <c r="D6605">
        <f>IFERROR(__xludf.DUMMYFUNCTION("""COMPUTED_VALUE"""),1999.0)</f>
        <v>1999</v>
      </c>
      <c r="E6605">
        <f>IFERROR(__xludf.DUMMYFUNCTION("""COMPUTED_VALUE"""),781.0)</f>
        <v>781</v>
      </c>
    </row>
    <row r="6606">
      <c r="A6606" t="str">
        <f t="shared" si="1"/>
        <v>hos#2000</v>
      </c>
      <c r="B6606" t="str">
        <f>IFERROR(__xludf.DUMMYFUNCTION("""COMPUTED_VALUE"""),"hos")</f>
        <v>hos</v>
      </c>
      <c r="C6606" t="str">
        <f>IFERROR(__xludf.DUMMYFUNCTION("""COMPUTED_VALUE"""),"Holy See")</f>
        <v>Holy See</v>
      </c>
      <c r="D6606">
        <f>IFERROR(__xludf.DUMMYFUNCTION("""COMPUTED_VALUE"""),2000.0)</f>
        <v>2000</v>
      </c>
      <c r="E6606">
        <f>IFERROR(__xludf.DUMMYFUNCTION("""COMPUTED_VALUE"""),785.0)</f>
        <v>785</v>
      </c>
    </row>
    <row r="6607">
      <c r="A6607" t="str">
        <f t="shared" si="1"/>
        <v>hos#2001</v>
      </c>
      <c r="B6607" t="str">
        <f>IFERROR(__xludf.DUMMYFUNCTION("""COMPUTED_VALUE"""),"hos")</f>
        <v>hos</v>
      </c>
      <c r="C6607" t="str">
        <f>IFERROR(__xludf.DUMMYFUNCTION("""COMPUTED_VALUE"""),"Holy See")</f>
        <v>Holy See</v>
      </c>
      <c r="D6607">
        <f>IFERROR(__xludf.DUMMYFUNCTION("""COMPUTED_VALUE"""),2001.0)</f>
        <v>2001</v>
      </c>
      <c r="E6607">
        <f>IFERROR(__xludf.DUMMYFUNCTION("""COMPUTED_VALUE"""),788.0)</f>
        <v>788</v>
      </c>
    </row>
    <row r="6608">
      <c r="A6608" t="str">
        <f t="shared" si="1"/>
        <v>hos#2002</v>
      </c>
      <c r="B6608" t="str">
        <f>IFERROR(__xludf.DUMMYFUNCTION("""COMPUTED_VALUE"""),"hos")</f>
        <v>hos</v>
      </c>
      <c r="C6608" t="str">
        <f>IFERROR(__xludf.DUMMYFUNCTION("""COMPUTED_VALUE"""),"Holy See")</f>
        <v>Holy See</v>
      </c>
      <c r="D6608">
        <f>IFERROR(__xludf.DUMMYFUNCTION("""COMPUTED_VALUE"""),2002.0)</f>
        <v>2002</v>
      </c>
      <c r="E6608">
        <f>IFERROR(__xludf.DUMMYFUNCTION("""COMPUTED_VALUE"""),792.0)</f>
        <v>792</v>
      </c>
    </row>
    <row r="6609">
      <c r="A6609" t="str">
        <f t="shared" si="1"/>
        <v>hos#2003</v>
      </c>
      <c r="B6609" t="str">
        <f>IFERROR(__xludf.DUMMYFUNCTION("""COMPUTED_VALUE"""),"hos")</f>
        <v>hos</v>
      </c>
      <c r="C6609" t="str">
        <f>IFERROR(__xludf.DUMMYFUNCTION("""COMPUTED_VALUE"""),"Holy See")</f>
        <v>Holy See</v>
      </c>
      <c r="D6609">
        <f>IFERROR(__xludf.DUMMYFUNCTION("""COMPUTED_VALUE"""),2003.0)</f>
        <v>2003</v>
      </c>
      <c r="E6609">
        <f>IFERROR(__xludf.DUMMYFUNCTION("""COMPUTED_VALUE"""),798.0)</f>
        <v>798</v>
      </c>
    </row>
    <row r="6610">
      <c r="A6610" t="str">
        <f t="shared" si="1"/>
        <v>hos#2004</v>
      </c>
      <c r="B6610" t="str">
        <f>IFERROR(__xludf.DUMMYFUNCTION("""COMPUTED_VALUE"""),"hos")</f>
        <v>hos</v>
      </c>
      <c r="C6610" t="str">
        <f>IFERROR(__xludf.DUMMYFUNCTION("""COMPUTED_VALUE"""),"Holy See")</f>
        <v>Holy See</v>
      </c>
      <c r="D6610">
        <f>IFERROR(__xludf.DUMMYFUNCTION("""COMPUTED_VALUE"""),2004.0)</f>
        <v>2004</v>
      </c>
      <c r="E6610">
        <f>IFERROR(__xludf.DUMMYFUNCTION("""COMPUTED_VALUE"""),797.0)</f>
        <v>797</v>
      </c>
    </row>
    <row r="6611">
      <c r="A6611" t="str">
        <f t="shared" si="1"/>
        <v>hos#2005</v>
      </c>
      <c r="B6611" t="str">
        <f>IFERROR(__xludf.DUMMYFUNCTION("""COMPUTED_VALUE"""),"hos")</f>
        <v>hos</v>
      </c>
      <c r="C6611" t="str">
        <f>IFERROR(__xludf.DUMMYFUNCTION("""COMPUTED_VALUE"""),"Holy See")</f>
        <v>Holy See</v>
      </c>
      <c r="D6611">
        <f>IFERROR(__xludf.DUMMYFUNCTION("""COMPUTED_VALUE"""),2005.0)</f>
        <v>2005</v>
      </c>
      <c r="E6611">
        <f>IFERROR(__xludf.DUMMYFUNCTION("""COMPUTED_VALUE"""),798.0)</f>
        <v>798</v>
      </c>
    </row>
    <row r="6612">
      <c r="A6612" t="str">
        <f t="shared" si="1"/>
        <v>hos#2006</v>
      </c>
      <c r="B6612" t="str">
        <f>IFERROR(__xludf.DUMMYFUNCTION("""COMPUTED_VALUE"""),"hos")</f>
        <v>hos</v>
      </c>
      <c r="C6612" t="str">
        <f>IFERROR(__xludf.DUMMYFUNCTION("""COMPUTED_VALUE"""),"Holy See")</f>
        <v>Holy See</v>
      </c>
      <c r="D6612">
        <f>IFERROR(__xludf.DUMMYFUNCTION("""COMPUTED_VALUE"""),2006.0)</f>
        <v>2006</v>
      </c>
      <c r="E6612">
        <f>IFERROR(__xludf.DUMMYFUNCTION("""COMPUTED_VALUE"""),800.0)</f>
        <v>800</v>
      </c>
    </row>
    <row r="6613">
      <c r="A6613" t="str">
        <f t="shared" si="1"/>
        <v>hos#2007</v>
      </c>
      <c r="B6613" t="str">
        <f>IFERROR(__xludf.DUMMYFUNCTION("""COMPUTED_VALUE"""),"hos")</f>
        <v>hos</v>
      </c>
      <c r="C6613" t="str">
        <f>IFERROR(__xludf.DUMMYFUNCTION("""COMPUTED_VALUE"""),"Holy See")</f>
        <v>Holy See</v>
      </c>
      <c r="D6613">
        <f>IFERROR(__xludf.DUMMYFUNCTION("""COMPUTED_VALUE"""),2007.0)</f>
        <v>2007</v>
      </c>
      <c r="E6613">
        <f>IFERROR(__xludf.DUMMYFUNCTION("""COMPUTED_VALUE"""),796.0)</f>
        <v>796</v>
      </c>
    </row>
    <row r="6614">
      <c r="A6614" t="str">
        <f t="shared" si="1"/>
        <v>hos#2008</v>
      </c>
      <c r="B6614" t="str">
        <f>IFERROR(__xludf.DUMMYFUNCTION("""COMPUTED_VALUE"""),"hos")</f>
        <v>hos</v>
      </c>
      <c r="C6614" t="str">
        <f>IFERROR(__xludf.DUMMYFUNCTION("""COMPUTED_VALUE"""),"Holy See")</f>
        <v>Holy See</v>
      </c>
      <c r="D6614">
        <f>IFERROR(__xludf.DUMMYFUNCTION("""COMPUTED_VALUE"""),2008.0)</f>
        <v>2008</v>
      </c>
      <c r="E6614">
        <f>IFERROR(__xludf.DUMMYFUNCTION("""COMPUTED_VALUE"""),794.0)</f>
        <v>794</v>
      </c>
    </row>
    <row r="6615">
      <c r="A6615" t="str">
        <f t="shared" si="1"/>
        <v>hos#2009</v>
      </c>
      <c r="B6615" t="str">
        <f>IFERROR(__xludf.DUMMYFUNCTION("""COMPUTED_VALUE"""),"hos")</f>
        <v>hos</v>
      </c>
      <c r="C6615" t="str">
        <f>IFERROR(__xludf.DUMMYFUNCTION("""COMPUTED_VALUE"""),"Holy See")</f>
        <v>Holy See</v>
      </c>
      <c r="D6615">
        <f>IFERROR(__xludf.DUMMYFUNCTION("""COMPUTED_VALUE"""),2009.0)</f>
        <v>2009</v>
      </c>
      <c r="E6615">
        <f>IFERROR(__xludf.DUMMYFUNCTION("""COMPUTED_VALUE"""),795.0)</f>
        <v>795</v>
      </c>
    </row>
    <row r="6616">
      <c r="A6616" t="str">
        <f t="shared" si="1"/>
        <v>hos#2010</v>
      </c>
      <c r="B6616" t="str">
        <f>IFERROR(__xludf.DUMMYFUNCTION("""COMPUTED_VALUE"""),"hos")</f>
        <v>hos</v>
      </c>
      <c r="C6616" t="str">
        <f>IFERROR(__xludf.DUMMYFUNCTION("""COMPUTED_VALUE"""),"Holy See")</f>
        <v>Holy See</v>
      </c>
      <c r="D6616">
        <f>IFERROR(__xludf.DUMMYFUNCTION("""COMPUTED_VALUE"""),2010.0)</f>
        <v>2010</v>
      </c>
      <c r="E6616">
        <f>IFERROR(__xludf.DUMMYFUNCTION("""COMPUTED_VALUE"""),794.0)</f>
        <v>794</v>
      </c>
    </row>
    <row r="6617">
      <c r="A6617" t="str">
        <f t="shared" si="1"/>
        <v>hos#2011</v>
      </c>
      <c r="B6617" t="str">
        <f>IFERROR(__xludf.DUMMYFUNCTION("""COMPUTED_VALUE"""),"hos")</f>
        <v>hos</v>
      </c>
      <c r="C6617" t="str">
        <f>IFERROR(__xludf.DUMMYFUNCTION("""COMPUTED_VALUE"""),"Holy See")</f>
        <v>Holy See</v>
      </c>
      <c r="D6617">
        <f>IFERROR(__xludf.DUMMYFUNCTION("""COMPUTED_VALUE"""),2011.0)</f>
        <v>2011</v>
      </c>
      <c r="E6617">
        <f>IFERROR(__xludf.DUMMYFUNCTION("""COMPUTED_VALUE"""),796.0)</f>
        <v>796</v>
      </c>
    </row>
    <row r="6618">
      <c r="A6618" t="str">
        <f t="shared" si="1"/>
        <v>hos#2012</v>
      </c>
      <c r="B6618" t="str">
        <f>IFERROR(__xludf.DUMMYFUNCTION("""COMPUTED_VALUE"""),"hos")</f>
        <v>hos</v>
      </c>
      <c r="C6618" t="str">
        <f>IFERROR(__xludf.DUMMYFUNCTION("""COMPUTED_VALUE"""),"Holy See")</f>
        <v>Holy See</v>
      </c>
      <c r="D6618">
        <f>IFERROR(__xludf.DUMMYFUNCTION("""COMPUTED_VALUE"""),2012.0)</f>
        <v>2012</v>
      </c>
      <c r="E6618">
        <f>IFERROR(__xludf.DUMMYFUNCTION("""COMPUTED_VALUE"""),804.0)</f>
        <v>804</v>
      </c>
    </row>
    <row r="6619">
      <c r="A6619" t="str">
        <f t="shared" si="1"/>
        <v>hos#2013</v>
      </c>
      <c r="B6619" t="str">
        <f>IFERROR(__xludf.DUMMYFUNCTION("""COMPUTED_VALUE"""),"hos")</f>
        <v>hos</v>
      </c>
      <c r="C6619" t="str">
        <f>IFERROR(__xludf.DUMMYFUNCTION("""COMPUTED_VALUE"""),"Holy See")</f>
        <v>Holy See</v>
      </c>
      <c r="D6619">
        <f>IFERROR(__xludf.DUMMYFUNCTION("""COMPUTED_VALUE"""),2013.0)</f>
        <v>2013</v>
      </c>
      <c r="E6619">
        <f>IFERROR(__xludf.DUMMYFUNCTION("""COMPUTED_VALUE"""),801.0)</f>
        <v>801</v>
      </c>
    </row>
    <row r="6620">
      <c r="A6620" t="str">
        <f t="shared" si="1"/>
        <v>hos#2014</v>
      </c>
      <c r="B6620" t="str">
        <f>IFERROR(__xludf.DUMMYFUNCTION("""COMPUTED_VALUE"""),"hos")</f>
        <v>hos</v>
      </c>
      <c r="C6620" t="str">
        <f>IFERROR(__xludf.DUMMYFUNCTION("""COMPUTED_VALUE"""),"Holy See")</f>
        <v>Holy See</v>
      </c>
      <c r="D6620">
        <f>IFERROR(__xludf.DUMMYFUNCTION("""COMPUTED_VALUE"""),2014.0)</f>
        <v>2014</v>
      </c>
      <c r="E6620">
        <f>IFERROR(__xludf.DUMMYFUNCTION("""COMPUTED_VALUE"""),800.0)</f>
        <v>800</v>
      </c>
    </row>
    <row r="6621">
      <c r="A6621" t="str">
        <f t="shared" si="1"/>
        <v>hos#2015</v>
      </c>
      <c r="B6621" t="str">
        <f>IFERROR(__xludf.DUMMYFUNCTION("""COMPUTED_VALUE"""),"hos")</f>
        <v>hos</v>
      </c>
      <c r="C6621" t="str">
        <f>IFERROR(__xludf.DUMMYFUNCTION("""COMPUTED_VALUE"""),"Holy See")</f>
        <v>Holy See</v>
      </c>
      <c r="D6621">
        <f>IFERROR(__xludf.DUMMYFUNCTION("""COMPUTED_VALUE"""),2015.0)</f>
        <v>2015</v>
      </c>
      <c r="E6621">
        <f>IFERROR(__xludf.DUMMYFUNCTION("""COMPUTED_VALUE"""),803.0)</f>
        <v>803</v>
      </c>
    </row>
    <row r="6622">
      <c r="A6622" t="str">
        <f t="shared" si="1"/>
        <v>hos#2016</v>
      </c>
      <c r="B6622" t="str">
        <f>IFERROR(__xludf.DUMMYFUNCTION("""COMPUTED_VALUE"""),"hos")</f>
        <v>hos</v>
      </c>
      <c r="C6622" t="str">
        <f>IFERROR(__xludf.DUMMYFUNCTION("""COMPUTED_VALUE"""),"Holy See")</f>
        <v>Holy See</v>
      </c>
      <c r="D6622">
        <f>IFERROR(__xludf.DUMMYFUNCTION("""COMPUTED_VALUE"""),2016.0)</f>
        <v>2016</v>
      </c>
      <c r="E6622">
        <f>IFERROR(__xludf.DUMMYFUNCTION("""COMPUTED_VALUE"""),801.0)</f>
        <v>801</v>
      </c>
    </row>
    <row r="6623">
      <c r="A6623" t="str">
        <f t="shared" si="1"/>
        <v>hos#2017</v>
      </c>
      <c r="B6623" t="str">
        <f>IFERROR(__xludf.DUMMYFUNCTION("""COMPUTED_VALUE"""),"hos")</f>
        <v>hos</v>
      </c>
      <c r="C6623" t="str">
        <f>IFERROR(__xludf.DUMMYFUNCTION("""COMPUTED_VALUE"""),"Holy See")</f>
        <v>Holy See</v>
      </c>
      <c r="D6623">
        <f>IFERROR(__xludf.DUMMYFUNCTION("""COMPUTED_VALUE"""),2017.0)</f>
        <v>2017</v>
      </c>
      <c r="E6623">
        <f>IFERROR(__xludf.DUMMYFUNCTION("""COMPUTED_VALUE"""),792.0)</f>
        <v>792</v>
      </c>
    </row>
    <row r="6624">
      <c r="A6624" t="str">
        <f t="shared" si="1"/>
        <v>hos#2018</v>
      </c>
      <c r="B6624" t="str">
        <f>IFERROR(__xludf.DUMMYFUNCTION("""COMPUTED_VALUE"""),"hos")</f>
        <v>hos</v>
      </c>
      <c r="C6624" t="str">
        <f>IFERROR(__xludf.DUMMYFUNCTION("""COMPUTED_VALUE"""),"Holy See")</f>
        <v>Holy See</v>
      </c>
      <c r="D6624">
        <f>IFERROR(__xludf.DUMMYFUNCTION("""COMPUTED_VALUE"""),2018.0)</f>
        <v>2018</v>
      </c>
      <c r="E6624">
        <f>IFERROR(__xludf.DUMMYFUNCTION("""COMPUTED_VALUE"""),801.0)</f>
        <v>801</v>
      </c>
    </row>
    <row r="6625">
      <c r="A6625" t="str">
        <f t="shared" si="1"/>
        <v>hos#2019</v>
      </c>
      <c r="B6625" t="str">
        <f>IFERROR(__xludf.DUMMYFUNCTION("""COMPUTED_VALUE"""),"hos")</f>
        <v>hos</v>
      </c>
      <c r="C6625" t="str">
        <f>IFERROR(__xludf.DUMMYFUNCTION("""COMPUTED_VALUE"""),"Holy See")</f>
        <v>Holy See</v>
      </c>
      <c r="D6625">
        <f>IFERROR(__xludf.DUMMYFUNCTION("""COMPUTED_VALUE"""),2019.0)</f>
        <v>2019</v>
      </c>
      <c r="E6625">
        <f>IFERROR(__xludf.DUMMYFUNCTION("""COMPUTED_VALUE"""),799.0)</f>
        <v>799</v>
      </c>
    </row>
    <row r="6626">
      <c r="A6626" t="str">
        <f t="shared" si="1"/>
        <v>hos#2020</v>
      </c>
      <c r="B6626" t="str">
        <f>IFERROR(__xludf.DUMMYFUNCTION("""COMPUTED_VALUE"""),"hos")</f>
        <v>hos</v>
      </c>
      <c r="C6626" t="str">
        <f>IFERROR(__xludf.DUMMYFUNCTION("""COMPUTED_VALUE"""),"Holy See")</f>
        <v>Holy See</v>
      </c>
      <c r="D6626">
        <f>IFERROR(__xludf.DUMMYFUNCTION("""COMPUTED_VALUE"""),2020.0)</f>
        <v>2020</v>
      </c>
      <c r="E6626">
        <f>IFERROR(__xludf.DUMMYFUNCTION("""COMPUTED_VALUE"""),801.0)</f>
        <v>801</v>
      </c>
    </row>
    <row r="6627">
      <c r="A6627" t="str">
        <f t="shared" si="1"/>
        <v>hos#2021</v>
      </c>
      <c r="B6627" t="str">
        <f>IFERROR(__xludf.DUMMYFUNCTION("""COMPUTED_VALUE"""),"hos")</f>
        <v>hos</v>
      </c>
      <c r="C6627" t="str">
        <f>IFERROR(__xludf.DUMMYFUNCTION("""COMPUTED_VALUE"""),"Holy See")</f>
        <v>Holy See</v>
      </c>
      <c r="D6627">
        <f>IFERROR(__xludf.DUMMYFUNCTION("""COMPUTED_VALUE"""),2021.0)</f>
        <v>2021</v>
      </c>
      <c r="E6627">
        <f>IFERROR(__xludf.DUMMYFUNCTION("""COMPUTED_VALUE"""),800.0)</f>
        <v>800</v>
      </c>
    </row>
    <row r="6628">
      <c r="A6628" t="str">
        <f t="shared" si="1"/>
        <v>hos#2022</v>
      </c>
      <c r="B6628" t="str">
        <f>IFERROR(__xludf.DUMMYFUNCTION("""COMPUTED_VALUE"""),"hos")</f>
        <v>hos</v>
      </c>
      <c r="C6628" t="str">
        <f>IFERROR(__xludf.DUMMYFUNCTION("""COMPUTED_VALUE"""),"Holy See")</f>
        <v>Holy See</v>
      </c>
      <c r="D6628">
        <f>IFERROR(__xludf.DUMMYFUNCTION("""COMPUTED_VALUE"""),2022.0)</f>
        <v>2022</v>
      </c>
      <c r="E6628">
        <f>IFERROR(__xludf.DUMMYFUNCTION("""COMPUTED_VALUE"""),799.0)</f>
        <v>799</v>
      </c>
    </row>
    <row r="6629">
      <c r="A6629" t="str">
        <f t="shared" si="1"/>
        <v>hos#2023</v>
      </c>
      <c r="B6629" t="str">
        <f>IFERROR(__xludf.DUMMYFUNCTION("""COMPUTED_VALUE"""),"hos")</f>
        <v>hos</v>
      </c>
      <c r="C6629" t="str">
        <f>IFERROR(__xludf.DUMMYFUNCTION("""COMPUTED_VALUE"""),"Holy See")</f>
        <v>Holy See</v>
      </c>
      <c r="D6629">
        <f>IFERROR(__xludf.DUMMYFUNCTION("""COMPUTED_VALUE"""),2023.0)</f>
        <v>2023</v>
      </c>
      <c r="E6629">
        <f>IFERROR(__xludf.DUMMYFUNCTION("""COMPUTED_VALUE"""),799.0)</f>
        <v>799</v>
      </c>
    </row>
    <row r="6630">
      <c r="A6630" t="str">
        <f t="shared" si="1"/>
        <v>hos#2024</v>
      </c>
      <c r="B6630" t="str">
        <f>IFERROR(__xludf.DUMMYFUNCTION("""COMPUTED_VALUE"""),"hos")</f>
        <v>hos</v>
      </c>
      <c r="C6630" t="str">
        <f>IFERROR(__xludf.DUMMYFUNCTION("""COMPUTED_VALUE"""),"Holy See")</f>
        <v>Holy See</v>
      </c>
      <c r="D6630">
        <f>IFERROR(__xludf.DUMMYFUNCTION("""COMPUTED_VALUE"""),2024.0)</f>
        <v>2024</v>
      </c>
      <c r="E6630">
        <f>IFERROR(__xludf.DUMMYFUNCTION("""COMPUTED_VALUE"""),807.0)</f>
        <v>807</v>
      </c>
    </row>
    <row r="6631">
      <c r="A6631" t="str">
        <f t="shared" si="1"/>
        <v>hos#2025</v>
      </c>
      <c r="B6631" t="str">
        <f>IFERROR(__xludf.DUMMYFUNCTION("""COMPUTED_VALUE"""),"hos")</f>
        <v>hos</v>
      </c>
      <c r="C6631" t="str">
        <f>IFERROR(__xludf.DUMMYFUNCTION("""COMPUTED_VALUE"""),"Holy See")</f>
        <v>Holy See</v>
      </c>
      <c r="D6631">
        <f>IFERROR(__xludf.DUMMYFUNCTION("""COMPUTED_VALUE"""),2025.0)</f>
        <v>2025</v>
      </c>
      <c r="E6631">
        <f>IFERROR(__xludf.DUMMYFUNCTION("""COMPUTED_VALUE"""),801.0)</f>
        <v>801</v>
      </c>
    </row>
    <row r="6632">
      <c r="A6632" t="str">
        <f t="shared" si="1"/>
        <v>hos#2026</v>
      </c>
      <c r="B6632" t="str">
        <f>IFERROR(__xludf.DUMMYFUNCTION("""COMPUTED_VALUE"""),"hos")</f>
        <v>hos</v>
      </c>
      <c r="C6632" t="str">
        <f>IFERROR(__xludf.DUMMYFUNCTION("""COMPUTED_VALUE"""),"Holy See")</f>
        <v>Holy See</v>
      </c>
      <c r="D6632">
        <f>IFERROR(__xludf.DUMMYFUNCTION("""COMPUTED_VALUE"""),2026.0)</f>
        <v>2026</v>
      </c>
      <c r="E6632">
        <f>IFERROR(__xludf.DUMMYFUNCTION("""COMPUTED_VALUE"""),798.0)</f>
        <v>798</v>
      </c>
    </row>
    <row r="6633">
      <c r="A6633" t="str">
        <f t="shared" si="1"/>
        <v>hos#2027</v>
      </c>
      <c r="B6633" t="str">
        <f>IFERROR(__xludf.DUMMYFUNCTION("""COMPUTED_VALUE"""),"hos")</f>
        <v>hos</v>
      </c>
      <c r="C6633" t="str">
        <f>IFERROR(__xludf.DUMMYFUNCTION("""COMPUTED_VALUE"""),"Holy See")</f>
        <v>Holy See</v>
      </c>
      <c r="D6633">
        <f>IFERROR(__xludf.DUMMYFUNCTION("""COMPUTED_VALUE"""),2027.0)</f>
        <v>2027</v>
      </c>
      <c r="E6633">
        <f>IFERROR(__xludf.DUMMYFUNCTION("""COMPUTED_VALUE"""),800.0)</f>
        <v>800</v>
      </c>
    </row>
    <row r="6634">
      <c r="A6634" t="str">
        <f t="shared" si="1"/>
        <v>hos#2028</v>
      </c>
      <c r="B6634" t="str">
        <f>IFERROR(__xludf.DUMMYFUNCTION("""COMPUTED_VALUE"""),"hos")</f>
        <v>hos</v>
      </c>
      <c r="C6634" t="str">
        <f>IFERROR(__xludf.DUMMYFUNCTION("""COMPUTED_VALUE"""),"Holy See")</f>
        <v>Holy See</v>
      </c>
      <c r="D6634">
        <f>IFERROR(__xludf.DUMMYFUNCTION("""COMPUTED_VALUE"""),2028.0)</f>
        <v>2028</v>
      </c>
      <c r="E6634">
        <f>IFERROR(__xludf.DUMMYFUNCTION("""COMPUTED_VALUE"""),800.0)</f>
        <v>800</v>
      </c>
    </row>
    <row r="6635">
      <c r="A6635" t="str">
        <f t="shared" si="1"/>
        <v>hos#2029</v>
      </c>
      <c r="B6635" t="str">
        <f>IFERROR(__xludf.DUMMYFUNCTION("""COMPUTED_VALUE"""),"hos")</f>
        <v>hos</v>
      </c>
      <c r="C6635" t="str">
        <f>IFERROR(__xludf.DUMMYFUNCTION("""COMPUTED_VALUE"""),"Holy See")</f>
        <v>Holy See</v>
      </c>
      <c r="D6635">
        <f>IFERROR(__xludf.DUMMYFUNCTION("""COMPUTED_VALUE"""),2029.0)</f>
        <v>2029</v>
      </c>
      <c r="E6635">
        <f>IFERROR(__xludf.DUMMYFUNCTION("""COMPUTED_VALUE"""),799.0)</f>
        <v>799</v>
      </c>
    </row>
    <row r="6636">
      <c r="A6636" t="str">
        <f t="shared" si="1"/>
        <v>hos#2030</v>
      </c>
      <c r="B6636" t="str">
        <f>IFERROR(__xludf.DUMMYFUNCTION("""COMPUTED_VALUE"""),"hos")</f>
        <v>hos</v>
      </c>
      <c r="C6636" t="str">
        <f>IFERROR(__xludf.DUMMYFUNCTION("""COMPUTED_VALUE"""),"Holy See")</f>
        <v>Holy See</v>
      </c>
      <c r="D6636">
        <f>IFERROR(__xludf.DUMMYFUNCTION("""COMPUTED_VALUE"""),2030.0)</f>
        <v>2030</v>
      </c>
      <c r="E6636">
        <f>IFERROR(__xludf.DUMMYFUNCTION("""COMPUTED_VALUE"""),797.0)</f>
        <v>797</v>
      </c>
    </row>
    <row r="6637">
      <c r="A6637" t="str">
        <f t="shared" si="1"/>
        <v>hos#2031</v>
      </c>
      <c r="B6637" t="str">
        <f>IFERROR(__xludf.DUMMYFUNCTION("""COMPUTED_VALUE"""),"hos")</f>
        <v>hos</v>
      </c>
      <c r="C6637" t="str">
        <f>IFERROR(__xludf.DUMMYFUNCTION("""COMPUTED_VALUE"""),"Holy See")</f>
        <v>Holy See</v>
      </c>
      <c r="D6637">
        <f>IFERROR(__xludf.DUMMYFUNCTION("""COMPUTED_VALUE"""),2031.0)</f>
        <v>2031</v>
      </c>
      <c r="E6637">
        <f>IFERROR(__xludf.DUMMYFUNCTION("""COMPUTED_VALUE"""),803.0)</f>
        <v>803</v>
      </c>
    </row>
    <row r="6638">
      <c r="A6638" t="str">
        <f t="shared" si="1"/>
        <v>hos#2032</v>
      </c>
      <c r="B6638" t="str">
        <f>IFERROR(__xludf.DUMMYFUNCTION("""COMPUTED_VALUE"""),"hos")</f>
        <v>hos</v>
      </c>
      <c r="C6638" t="str">
        <f>IFERROR(__xludf.DUMMYFUNCTION("""COMPUTED_VALUE"""),"Holy See")</f>
        <v>Holy See</v>
      </c>
      <c r="D6638">
        <f>IFERROR(__xludf.DUMMYFUNCTION("""COMPUTED_VALUE"""),2032.0)</f>
        <v>2032</v>
      </c>
      <c r="E6638">
        <f>IFERROR(__xludf.DUMMYFUNCTION("""COMPUTED_VALUE"""),804.0)</f>
        <v>804</v>
      </c>
    </row>
    <row r="6639">
      <c r="A6639" t="str">
        <f t="shared" si="1"/>
        <v>hos#2033</v>
      </c>
      <c r="B6639" t="str">
        <f>IFERROR(__xludf.DUMMYFUNCTION("""COMPUTED_VALUE"""),"hos")</f>
        <v>hos</v>
      </c>
      <c r="C6639" t="str">
        <f>IFERROR(__xludf.DUMMYFUNCTION("""COMPUTED_VALUE"""),"Holy See")</f>
        <v>Holy See</v>
      </c>
      <c r="D6639">
        <f>IFERROR(__xludf.DUMMYFUNCTION("""COMPUTED_VALUE"""),2033.0)</f>
        <v>2033</v>
      </c>
      <c r="E6639">
        <f>IFERROR(__xludf.DUMMYFUNCTION("""COMPUTED_VALUE"""),800.0)</f>
        <v>800</v>
      </c>
    </row>
    <row r="6640">
      <c r="A6640" t="str">
        <f t="shared" si="1"/>
        <v>hos#2034</v>
      </c>
      <c r="B6640" t="str">
        <f>IFERROR(__xludf.DUMMYFUNCTION("""COMPUTED_VALUE"""),"hos")</f>
        <v>hos</v>
      </c>
      <c r="C6640" t="str">
        <f>IFERROR(__xludf.DUMMYFUNCTION("""COMPUTED_VALUE"""),"Holy See")</f>
        <v>Holy See</v>
      </c>
      <c r="D6640">
        <f>IFERROR(__xludf.DUMMYFUNCTION("""COMPUTED_VALUE"""),2034.0)</f>
        <v>2034</v>
      </c>
      <c r="E6640">
        <f>IFERROR(__xludf.DUMMYFUNCTION("""COMPUTED_VALUE"""),799.0)</f>
        <v>799</v>
      </c>
    </row>
    <row r="6641">
      <c r="A6641" t="str">
        <f t="shared" si="1"/>
        <v>hos#2035</v>
      </c>
      <c r="B6641" t="str">
        <f>IFERROR(__xludf.DUMMYFUNCTION("""COMPUTED_VALUE"""),"hos")</f>
        <v>hos</v>
      </c>
      <c r="C6641" t="str">
        <f>IFERROR(__xludf.DUMMYFUNCTION("""COMPUTED_VALUE"""),"Holy See")</f>
        <v>Holy See</v>
      </c>
      <c r="D6641">
        <f>IFERROR(__xludf.DUMMYFUNCTION("""COMPUTED_VALUE"""),2035.0)</f>
        <v>2035</v>
      </c>
      <c r="E6641">
        <f>IFERROR(__xludf.DUMMYFUNCTION("""COMPUTED_VALUE"""),795.0)</f>
        <v>795</v>
      </c>
    </row>
    <row r="6642">
      <c r="A6642" t="str">
        <f t="shared" si="1"/>
        <v>hos#2036</v>
      </c>
      <c r="B6642" t="str">
        <f>IFERROR(__xludf.DUMMYFUNCTION("""COMPUTED_VALUE"""),"hos")</f>
        <v>hos</v>
      </c>
      <c r="C6642" t="str">
        <f>IFERROR(__xludf.DUMMYFUNCTION("""COMPUTED_VALUE"""),"Holy See")</f>
        <v>Holy See</v>
      </c>
      <c r="D6642">
        <f>IFERROR(__xludf.DUMMYFUNCTION("""COMPUTED_VALUE"""),2036.0)</f>
        <v>2036</v>
      </c>
      <c r="E6642">
        <f>IFERROR(__xludf.DUMMYFUNCTION("""COMPUTED_VALUE"""),793.0)</f>
        <v>793</v>
      </c>
    </row>
    <row r="6643">
      <c r="A6643" t="str">
        <f t="shared" si="1"/>
        <v>hos#2037</v>
      </c>
      <c r="B6643" t="str">
        <f>IFERROR(__xludf.DUMMYFUNCTION("""COMPUTED_VALUE"""),"hos")</f>
        <v>hos</v>
      </c>
      <c r="C6643" t="str">
        <f>IFERROR(__xludf.DUMMYFUNCTION("""COMPUTED_VALUE"""),"Holy See")</f>
        <v>Holy See</v>
      </c>
      <c r="D6643">
        <f>IFERROR(__xludf.DUMMYFUNCTION("""COMPUTED_VALUE"""),2037.0)</f>
        <v>2037</v>
      </c>
      <c r="E6643">
        <f>IFERROR(__xludf.DUMMYFUNCTION("""COMPUTED_VALUE"""),804.0)</f>
        <v>804</v>
      </c>
    </row>
    <row r="6644">
      <c r="A6644" t="str">
        <f t="shared" si="1"/>
        <v>hos#2038</v>
      </c>
      <c r="B6644" t="str">
        <f>IFERROR(__xludf.DUMMYFUNCTION("""COMPUTED_VALUE"""),"hos")</f>
        <v>hos</v>
      </c>
      <c r="C6644" t="str">
        <f>IFERROR(__xludf.DUMMYFUNCTION("""COMPUTED_VALUE"""),"Holy See")</f>
        <v>Holy See</v>
      </c>
      <c r="D6644">
        <f>IFERROR(__xludf.DUMMYFUNCTION("""COMPUTED_VALUE"""),2038.0)</f>
        <v>2038</v>
      </c>
      <c r="E6644">
        <f>IFERROR(__xludf.DUMMYFUNCTION("""COMPUTED_VALUE"""),799.0)</f>
        <v>799</v>
      </c>
    </row>
    <row r="6645">
      <c r="A6645" t="str">
        <f t="shared" si="1"/>
        <v>hos#2039</v>
      </c>
      <c r="B6645" t="str">
        <f>IFERROR(__xludf.DUMMYFUNCTION("""COMPUTED_VALUE"""),"hos")</f>
        <v>hos</v>
      </c>
      <c r="C6645" t="str">
        <f>IFERROR(__xludf.DUMMYFUNCTION("""COMPUTED_VALUE"""),"Holy See")</f>
        <v>Holy See</v>
      </c>
      <c r="D6645">
        <f>IFERROR(__xludf.DUMMYFUNCTION("""COMPUTED_VALUE"""),2039.0)</f>
        <v>2039</v>
      </c>
      <c r="E6645">
        <f>IFERROR(__xludf.DUMMYFUNCTION("""COMPUTED_VALUE"""),802.0)</f>
        <v>802</v>
      </c>
    </row>
    <row r="6646">
      <c r="A6646" t="str">
        <f t="shared" si="1"/>
        <v>hos#2040</v>
      </c>
      <c r="B6646" t="str">
        <f>IFERROR(__xludf.DUMMYFUNCTION("""COMPUTED_VALUE"""),"hos")</f>
        <v>hos</v>
      </c>
      <c r="C6646" t="str">
        <f>IFERROR(__xludf.DUMMYFUNCTION("""COMPUTED_VALUE"""),"Holy See")</f>
        <v>Holy See</v>
      </c>
      <c r="D6646">
        <f>IFERROR(__xludf.DUMMYFUNCTION("""COMPUTED_VALUE"""),2040.0)</f>
        <v>2040</v>
      </c>
      <c r="E6646">
        <f>IFERROR(__xludf.DUMMYFUNCTION("""COMPUTED_VALUE"""),798.0)</f>
        <v>798</v>
      </c>
    </row>
    <row r="6647">
      <c r="A6647" t="str">
        <f t="shared" si="1"/>
        <v>hnd#1950</v>
      </c>
      <c r="B6647" t="str">
        <f>IFERROR(__xludf.DUMMYFUNCTION("""COMPUTED_VALUE"""),"hnd")</f>
        <v>hnd</v>
      </c>
      <c r="C6647" t="str">
        <f>IFERROR(__xludf.DUMMYFUNCTION("""COMPUTED_VALUE"""),"Honduras")</f>
        <v>Honduras</v>
      </c>
      <c r="D6647">
        <f>IFERROR(__xludf.DUMMYFUNCTION("""COMPUTED_VALUE"""),1950.0)</f>
        <v>1950</v>
      </c>
      <c r="E6647">
        <f>IFERROR(__xludf.DUMMYFUNCTION("""COMPUTED_VALUE"""),1546724.0)</f>
        <v>1546724</v>
      </c>
    </row>
    <row r="6648">
      <c r="A6648" t="str">
        <f t="shared" si="1"/>
        <v>hnd#1951</v>
      </c>
      <c r="B6648" t="str">
        <f>IFERROR(__xludf.DUMMYFUNCTION("""COMPUTED_VALUE"""),"hnd")</f>
        <v>hnd</v>
      </c>
      <c r="C6648" t="str">
        <f>IFERROR(__xludf.DUMMYFUNCTION("""COMPUTED_VALUE"""),"Honduras")</f>
        <v>Honduras</v>
      </c>
      <c r="D6648">
        <f>IFERROR(__xludf.DUMMYFUNCTION("""COMPUTED_VALUE"""),1951.0)</f>
        <v>1951</v>
      </c>
      <c r="E6648">
        <f>IFERROR(__xludf.DUMMYFUNCTION("""COMPUTED_VALUE"""),1588561.0)</f>
        <v>1588561</v>
      </c>
    </row>
    <row r="6649">
      <c r="A6649" t="str">
        <f t="shared" si="1"/>
        <v>hnd#1952</v>
      </c>
      <c r="B6649" t="str">
        <f>IFERROR(__xludf.DUMMYFUNCTION("""COMPUTED_VALUE"""),"hnd")</f>
        <v>hnd</v>
      </c>
      <c r="C6649" t="str">
        <f>IFERROR(__xludf.DUMMYFUNCTION("""COMPUTED_VALUE"""),"Honduras")</f>
        <v>Honduras</v>
      </c>
      <c r="D6649">
        <f>IFERROR(__xludf.DUMMYFUNCTION("""COMPUTED_VALUE"""),1952.0)</f>
        <v>1952</v>
      </c>
      <c r="E6649">
        <f>IFERROR(__xludf.DUMMYFUNCTION("""COMPUTED_VALUE"""),1631734.0)</f>
        <v>1631734</v>
      </c>
    </row>
    <row r="6650">
      <c r="A6650" t="str">
        <f t="shared" si="1"/>
        <v>hnd#1953</v>
      </c>
      <c r="B6650" t="str">
        <f>IFERROR(__xludf.DUMMYFUNCTION("""COMPUTED_VALUE"""),"hnd")</f>
        <v>hnd</v>
      </c>
      <c r="C6650" t="str">
        <f>IFERROR(__xludf.DUMMYFUNCTION("""COMPUTED_VALUE"""),"Honduras")</f>
        <v>Honduras</v>
      </c>
      <c r="D6650">
        <f>IFERROR(__xludf.DUMMYFUNCTION("""COMPUTED_VALUE"""),1953.0)</f>
        <v>1953</v>
      </c>
      <c r="E6650">
        <f>IFERROR(__xludf.DUMMYFUNCTION("""COMPUTED_VALUE"""),1676502.0)</f>
        <v>1676502</v>
      </c>
    </row>
    <row r="6651">
      <c r="A6651" t="str">
        <f t="shared" si="1"/>
        <v>hnd#1954</v>
      </c>
      <c r="B6651" t="str">
        <f>IFERROR(__xludf.DUMMYFUNCTION("""COMPUTED_VALUE"""),"hnd")</f>
        <v>hnd</v>
      </c>
      <c r="C6651" t="str">
        <f>IFERROR(__xludf.DUMMYFUNCTION("""COMPUTED_VALUE"""),"Honduras")</f>
        <v>Honduras</v>
      </c>
      <c r="D6651">
        <f>IFERROR(__xludf.DUMMYFUNCTION("""COMPUTED_VALUE"""),1954.0)</f>
        <v>1954</v>
      </c>
      <c r="E6651">
        <f>IFERROR(__xludf.DUMMYFUNCTION("""COMPUTED_VALUE"""),1723010.0)</f>
        <v>1723010</v>
      </c>
    </row>
    <row r="6652">
      <c r="A6652" t="str">
        <f t="shared" si="1"/>
        <v>hnd#1955</v>
      </c>
      <c r="B6652" t="str">
        <f>IFERROR(__xludf.DUMMYFUNCTION("""COMPUTED_VALUE"""),"hnd")</f>
        <v>hnd</v>
      </c>
      <c r="C6652" t="str">
        <f>IFERROR(__xludf.DUMMYFUNCTION("""COMPUTED_VALUE"""),"Honduras")</f>
        <v>Honduras</v>
      </c>
      <c r="D6652">
        <f>IFERROR(__xludf.DUMMYFUNCTION("""COMPUTED_VALUE"""),1955.0)</f>
        <v>1955</v>
      </c>
      <c r="E6652">
        <f>IFERROR(__xludf.DUMMYFUNCTION("""COMPUTED_VALUE"""),1771351.0)</f>
        <v>1771351</v>
      </c>
    </row>
    <row r="6653">
      <c r="A6653" t="str">
        <f t="shared" si="1"/>
        <v>hnd#1956</v>
      </c>
      <c r="B6653" t="str">
        <f>IFERROR(__xludf.DUMMYFUNCTION("""COMPUTED_VALUE"""),"hnd")</f>
        <v>hnd</v>
      </c>
      <c r="C6653" t="str">
        <f>IFERROR(__xludf.DUMMYFUNCTION("""COMPUTED_VALUE"""),"Honduras")</f>
        <v>Honduras</v>
      </c>
      <c r="D6653">
        <f>IFERROR(__xludf.DUMMYFUNCTION("""COMPUTED_VALUE"""),1956.0)</f>
        <v>1956</v>
      </c>
      <c r="E6653">
        <f>IFERROR(__xludf.DUMMYFUNCTION("""COMPUTED_VALUE"""),1821538.0)</f>
        <v>1821538</v>
      </c>
    </row>
    <row r="6654">
      <c r="A6654" t="str">
        <f t="shared" si="1"/>
        <v>hnd#1957</v>
      </c>
      <c r="B6654" t="str">
        <f>IFERROR(__xludf.DUMMYFUNCTION("""COMPUTED_VALUE"""),"hnd")</f>
        <v>hnd</v>
      </c>
      <c r="C6654" t="str">
        <f>IFERROR(__xludf.DUMMYFUNCTION("""COMPUTED_VALUE"""),"Honduras")</f>
        <v>Honduras</v>
      </c>
      <c r="D6654">
        <f>IFERROR(__xludf.DUMMYFUNCTION("""COMPUTED_VALUE"""),1957.0)</f>
        <v>1957</v>
      </c>
      <c r="E6654">
        <f>IFERROR(__xludf.DUMMYFUNCTION("""COMPUTED_VALUE"""),1873498.0)</f>
        <v>1873498</v>
      </c>
    </row>
    <row r="6655">
      <c r="A6655" t="str">
        <f t="shared" si="1"/>
        <v>hnd#1958</v>
      </c>
      <c r="B6655" t="str">
        <f>IFERROR(__xludf.DUMMYFUNCTION("""COMPUTED_VALUE"""),"hnd")</f>
        <v>hnd</v>
      </c>
      <c r="C6655" t="str">
        <f>IFERROR(__xludf.DUMMYFUNCTION("""COMPUTED_VALUE"""),"Honduras")</f>
        <v>Honduras</v>
      </c>
      <c r="D6655">
        <f>IFERROR(__xludf.DUMMYFUNCTION("""COMPUTED_VALUE"""),1958.0)</f>
        <v>1958</v>
      </c>
      <c r="E6655">
        <f>IFERROR(__xludf.DUMMYFUNCTION("""COMPUTED_VALUE"""),1927104.0)</f>
        <v>1927104</v>
      </c>
    </row>
    <row r="6656">
      <c r="A6656" t="str">
        <f t="shared" si="1"/>
        <v>hnd#1959</v>
      </c>
      <c r="B6656" t="str">
        <f>IFERROR(__xludf.DUMMYFUNCTION("""COMPUTED_VALUE"""),"hnd")</f>
        <v>hnd</v>
      </c>
      <c r="C6656" t="str">
        <f>IFERROR(__xludf.DUMMYFUNCTION("""COMPUTED_VALUE"""),"Honduras")</f>
        <v>Honduras</v>
      </c>
      <c r="D6656">
        <f>IFERROR(__xludf.DUMMYFUNCTION("""COMPUTED_VALUE"""),1959.0)</f>
        <v>1959</v>
      </c>
      <c r="E6656">
        <f>IFERROR(__xludf.DUMMYFUNCTION("""COMPUTED_VALUE"""),1982192.0)</f>
        <v>1982192</v>
      </c>
    </row>
    <row r="6657">
      <c r="A6657" t="str">
        <f t="shared" si="1"/>
        <v>hnd#1960</v>
      </c>
      <c r="B6657" t="str">
        <f>IFERROR(__xludf.DUMMYFUNCTION("""COMPUTED_VALUE"""),"hnd")</f>
        <v>hnd</v>
      </c>
      <c r="C6657" t="str">
        <f>IFERROR(__xludf.DUMMYFUNCTION("""COMPUTED_VALUE"""),"Honduras")</f>
        <v>Honduras</v>
      </c>
      <c r="D6657">
        <f>IFERROR(__xludf.DUMMYFUNCTION("""COMPUTED_VALUE"""),1960.0)</f>
        <v>1960</v>
      </c>
      <c r="E6657">
        <f>IFERROR(__xludf.DUMMYFUNCTION("""COMPUTED_VALUE"""),2038637.0)</f>
        <v>2038637</v>
      </c>
    </row>
    <row r="6658">
      <c r="A6658" t="str">
        <f t="shared" si="1"/>
        <v>hnd#1961</v>
      </c>
      <c r="B6658" t="str">
        <f>IFERROR(__xludf.DUMMYFUNCTION("""COMPUTED_VALUE"""),"hnd")</f>
        <v>hnd</v>
      </c>
      <c r="C6658" t="str">
        <f>IFERROR(__xludf.DUMMYFUNCTION("""COMPUTED_VALUE"""),"Honduras")</f>
        <v>Honduras</v>
      </c>
      <c r="D6658">
        <f>IFERROR(__xludf.DUMMYFUNCTION("""COMPUTED_VALUE"""),1961.0)</f>
        <v>1961</v>
      </c>
      <c r="E6658">
        <f>IFERROR(__xludf.DUMMYFUNCTION("""COMPUTED_VALUE"""),2096407.0)</f>
        <v>2096407</v>
      </c>
    </row>
    <row r="6659">
      <c r="A6659" t="str">
        <f t="shared" si="1"/>
        <v>hnd#1962</v>
      </c>
      <c r="B6659" t="str">
        <f>IFERROR(__xludf.DUMMYFUNCTION("""COMPUTED_VALUE"""),"hnd")</f>
        <v>hnd</v>
      </c>
      <c r="C6659" t="str">
        <f>IFERROR(__xludf.DUMMYFUNCTION("""COMPUTED_VALUE"""),"Honduras")</f>
        <v>Honduras</v>
      </c>
      <c r="D6659">
        <f>IFERROR(__xludf.DUMMYFUNCTION("""COMPUTED_VALUE"""),1962.0)</f>
        <v>1962</v>
      </c>
      <c r="E6659">
        <f>IFERROR(__xludf.DUMMYFUNCTION("""COMPUTED_VALUE"""),2155652.0)</f>
        <v>2155652</v>
      </c>
    </row>
    <row r="6660">
      <c r="A6660" t="str">
        <f t="shared" si="1"/>
        <v>hnd#1963</v>
      </c>
      <c r="B6660" t="str">
        <f>IFERROR(__xludf.DUMMYFUNCTION("""COMPUTED_VALUE"""),"hnd")</f>
        <v>hnd</v>
      </c>
      <c r="C6660" t="str">
        <f>IFERROR(__xludf.DUMMYFUNCTION("""COMPUTED_VALUE"""),"Honduras")</f>
        <v>Honduras</v>
      </c>
      <c r="D6660">
        <f>IFERROR(__xludf.DUMMYFUNCTION("""COMPUTED_VALUE"""),1963.0)</f>
        <v>1963</v>
      </c>
      <c r="E6660">
        <f>IFERROR(__xludf.DUMMYFUNCTION("""COMPUTED_VALUE"""),2216707.0)</f>
        <v>2216707</v>
      </c>
    </row>
    <row r="6661">
      <c r="A6661" t="str">
        <f t="shared" si="1"/>
        <v>hnd#1964</v>
      </c>
      <c r="B6661" t="str">
        <f>IFERROR(__xludf.DUMMYFUNCTION("""COMPUTED_VALUE"""),"hnd")</f>
        <v>hnd</v>
      </c>
      <c r="C6661" t="str">
        <f>IFERROR(__xludf.DUMMYFUNCTION("""COMPUTED_VALUE"""),"Honduras")</f>
        <v>Honduras</v>
      </c>
      <c r="D6661">
        <f>IFERROR(__xludf.DUMMYFUNCTION("""COMPUTED_VALUE"""),1964.0)</f>
        <v>1964</v>
      </c>
      <c r="E6661">
        <f>IFERROR(__xludf.DUMMYFUNCTION("""COMPUTED_VALUE"""),2280045.0)</f>
        <v>2280045</v>
      </c>
    </row>
    <row r="6662">
      <c r="A6662" t="str">
        <f t="shared" si="1"/>
        <v>hnd#1965</v>
      </c>
      <c r="B6662" t="str">
        <f>IFERROR(__xludf.DUMMYFUNCTION("""COMPUTED_VALUE"""),"hnd")</f>
        <v>hnd</v>
      </c>
      <c r="C6662" t="str">
        <f>IFERROR(__xludf.DUMMYFUNCTION("""COMPUTED_VALUE"""),"Honduras")</f>
        <v>Honduras</v>
      </c>
      <c r="D6662">
        <f>IFERROR(__xludf.DUMMYFUNCTION("""COMPUTED_VALUE"""),1965.0)</f>
        <v>1965</v>
      </c>
      <c r="E6662">
        <f>IFERROR(__xludf.DUMMYFUNCTION("""COMPUTED_VALUE"""),2346010.0)</f>
        <v>2346010</v>
      </c>
    </row>
    <row r="6663">
      <c r="A6663" t="str">
        <f t="shared" si="1"/>
        <v>hnd#1966</v>
      </c>
      <c r="B6663" t="str">
        <f>IFERROR(__xludf.DUMMYFUNCTION("""COMPUTED_VALUE"""),"hnd")</f>
        <v>hnd</v>
      </c>
      <c r="C6663" t="str">
        <f>IFERROR(__xludf.DUMMYFUNCTION("""COMPUTED_VALUE"""),"Honduras")</f>
        <v>Honduras</v>
      </c>
      <c r="D6663">
        <f>IFERROR(__xludf.DUMMYFUNCTION("""COMPUTED_VALUE"""),1966.0)</f>
        <v>1966</v>
      </c>
      <c r="E6663">
        <f>IFERROR(__xludf.DUMMYFUNCTION("""COMPUTED_VALUE"""),2414807.0)</f>
        <v>2414807</v>
      </c>
    </row>
    <row r="6664">
      <c r="A6664" t="str">
        <f t="shared" si="1"/>
        <v>hnd#1967</v>
      </c>
      <c r="B6664" t="str">
        <f>IFERROR(__xludf.DUMMYFUNCTION("""COMPUTED_VALUE"""),"hnd")</f>
        <v>hnd</v>
      </c>
      <c r="C6664" t="str">
        <f>IFERROR(__xludf.DUMMYFUNCTION("""COMPUTED_VALUE"""),"Honduras")</f>
        <v>Honduras</v>
      </c>
      <c r="D6664">
        <f>IFERROR(__xludf.DUMMYFUNCTION("""COMPUTED_VALUE"""),1967.0)</f>
        <v>1967</v>
      </c>
      <c r="E6664">
        <f>IFERROR(__xludf.DUMMYFUNCTION("""COMPUTED_VALUE"""),2486414.0)</f>
        <v>2486414</v>
      </c>
    </row>
    <row r="6665">
      <c r="A6665" t="str">
        <f t="shared" si="1"/>
        <v>hnd#1968</v>
      </c>
      <c r="B6665" t="str">
        <f>IFERROR(__xludf.DUMMYFUNCTION("""COMPUTED_VALUE"""),"hnd")</f>
        <v>hnd</v>
      </c>
      <c r="C6665" t="str">
        <f>IFERROR(__xludf.DUMMYFUNCTION("""COMPUTED_VALUE"""),"Honduras")</f>
        <v>Honduras</v>
      </c>
      <c r="D6665">
        <f>IFERROR(__xludf.DUMMYFUNCTION("""COMPUTED_VALUE"""),1968.0)</f>
        <v>1968</v>
      </c>
      <c r="E6665">
        <f>IFERROR(__xludf.DUMMYFUNCTION("""COMPUTED_VALUE"""),2560727.0)</f>
        <v>2560727</v>
      </c>
    </row>
    <row r="6666">
      <c r="A6666" t="str">
        <f t="shared" si="1"/>
        <v>hnd#1969</v>
      </c>
      <c r="B6666" t="str">
        <f>IFERROR(__xludf.DUMMYFUNCTION("""COMPUTED_VALUE"""),"hnd")</f>
        <v>hnd</v>
      </c>
      <c r="C6666" t="str">
        <f>IFERROR(__xludf.DUMMYFUNCTION("""COMPUTED_VALUE"""),"Honduras")</f>
        <v>Honduras</v>
      </c>
      <c r="D6666">
        <f>IFERROR(__xludf.DUMMYFUNCTION("""COMPUTED_VALUE"""),1969.0)</f>
        <v>1969</v>
      </c>
      <c r="E6666">
        <f>IFERROR(__xludf.DUMMYFUNCTION("""COMPUTED_VALUE"""),2637517.0)</f>
        <v>2637517</v>
      </c>
    </row>
    <row r="6667">
      <c r="A6667" t="str">
        <f t="shared" si="1"/>
        <v>hnd#1970</v>
      </c>
      <c r="B6667" t="str">
        <f>IFERROR(__xludf.DUMMYFUNCTION("""COMPUTED_VALUE"""),"hnd")</f>
        <v>hnd</v>
      </c>
      <c r="C6667" t="str">
        <f>IFERROR(__xludf.DUMMYFUNCTION("""COMPUTED_VALUE"""),"Honduras")</f>
        <v>Honduras</v>
      </c>
      <c r="D6667">
        <f>IFERROR(__xludf.DUMMYFUNCTION("""COMPUTED_VALUE"""),1970.0)</f>
        <v>1970</v>
      </c>
      <c r="E6667">
        <f>IFERROR(__xludf.DUMMYFUNCTION("""COMPUTED_VALUE"""),2716659.0)</f>
        <v>2716659</v>
      </c>
    </row>
    <row r="6668">
      <c r="A6668" t="str">
        <f t="shared" si="1"/>
        <v>hnd#1971</v>
      </c>
      <c r="B6668" t="str">
        <f>IFERROR(__xludf.DUMMYFUNCTION("""COMPUTED_VALUE"""),"hnd")</f>
        <v>hnd</v>
      </c>
      <c r="C6668" t="str">
        <f>IFERROR(__xludf.DUMMYFUNCTION("""COMPUTED_VALUE"""),"Honduras")</f>
        <v>Honduras</v>
      </c>
      <c r="D6668">
        <f>IFERROR(__xludf.DUMMYFUNCTION("""COMPUTED_VALUE"""),1971.0)</f>
        <v>1971</v>
      </c>
      <c r="E6668">
        <f>IFERROR(__xludf.DUMMYFUNCTION("""COMPUTED_VALUE"""),2798125.0)</f>
        <v>2798125</v>
      </c>
    </row>
    <row r="6669">
      <c r="A6669" t="str">
        <f t="shared" si="1"/>
        <v>hnd#1972</v>
      </c>
      <c r="B6669" t="str">
        <f>IFERROR(__xludf.DUMMYFUNCTION("""COMPUTED_VALUE"""),"hnd")</f>
        <v>hnd</v>
      </c>
      <c r="C6669" t="str">
        <f>IFERROR(__xludf.DUMMYFUNCTION("""COMPUTED_VALUE"""),"Honduras")</f>
        <v>Honduras</v>
      </c>
      <c r="D6669">
        <f>IFERROR(__xludf.DUMMYFUNCTION("""COMPUTED_VALUE"""),1972.0)</f>
        <v>1972</v>
      </c>
      <c r="E6669">
        <f>IFERROR(__xludf.DUMMYFUNCTION("""COMPUTED_VALUE"""),2882113.0)</f>
        <v>2882113</v>
      </c>
    </row>
    <row r="6670">
      <c r="A6670" t="str">
        <f t="shared" si="1"/>
        <v>hnd#1973</v>
      </c>
      <c r="B6670" t="str">
        <f>IFERROR(__xludf.DUMMYFUNCTION("""COMPUTED_VALUE"""),"hnd")</f>
        <v>hnd</v>
      </c>
      <c r="C6670" t="str">
        <f>IFERROR(__xludf.DUMMYFUNCTION("""COMPUTED_VALUE"""),"Honduras")</f>
        <v>Honduras</v>
      </c>
      <c r="D6670">
        <f>IFERROR(__xludf.DUMMYFUNCTION("""COMPUTED_VALUE"""),1973.0)</f>
        <v>1973</v>
      </c>
      <c r="E6670">
        <f>IFERROR(__xludf.DUMMYFUNCTION("""COMPUTED_VALUE"""),2968994.0)</f>
        <v>2968994</v>
      </c>
    </row>
    <row r="6671">
      <c r="A6671" t="str">
        <f t="shared" si="1"/>
        <v>hnd#1974</v>
      </c>
      <c r="B6671" t="str">
        <f>IFERROR(__xludf.DUMMYFUNCTION("""COMPUTED_VALUE"""),"hnd")</f>
        <v>hnd</v>
      </c>
      <c r="C6671" t="str">
        <f>IFERROR(__xludf.DUMMYFUNCTION("""COMPUTED_VALUE"""),"Honduras")</f>
        <v>Honduras</v>
      </c>
      <c r="D6671">
        <f>IFERROR(__xludf.DUMMYFUNCTION("""COMPUTED_VALUE"""),1974.0)</f>
        <v>1974</v>
      </c>
      <c r="E6671">
        <f>IFERROR(__xludf.DUMMYFUNCTION("""COMPUTED_VALUE"""),3059254.0)</f>
        <v>3059254</v>
      </c>
    </row>
    <row r="6672">
      <c r="A6672" t="str">
        <f t="shared" si="1"/>
        <v>hnd#1975</v>
      </c>
      <c r="B6672" t="str">
        <f>IFERROR(__xludf.DUMMYFUNCTION("""COMPUTED_VALUE"""),"hnd")</f>
        <v>hnd</v>
      </c>
      <c r="C6672" t="str">
        <f>IFERROR(__xludf.DUMMYFUNCTION("""COMPUTED_VALUE"""),"Honduras")</f>
        <v>Honduras</v>
      </c>
      <c r="D6672">
        <f>IFERROR(__xludf.DUMMYFUNCTION("""COMPUTED_VALUE"""),1975.0)</f>
        <v>1975</v>
      </c>
      <c r="E6672">
        <f>IFERROR(__xludf.DUMMYFUNCTION("""COMPUTED_VALUE"""),3153261.0)</f>
        <v>3153261</v>
      </c>
    </row>
    <row r="6673">
      <c r="A6673" t="str">
        <f t="shared" si="1"/>
        <v>hnd#1976</v>
      </c>
      <c r="B6673" t="str">
        <f>IFERROR(__xludf.DUMMYFUNCTION("""COMPUTED_VALUE"""),"hnd")</f>
        <v>hnd</v>
      </c>
      <c r="C6673" t="str">
        <f>IFERROR(__xludf.DUMMYFUNCTION("""COMPUTED_VALUE"""),"Honduras")</f>
        <v>Honduras</v>
      </c>
      <c r="D6673">
        <f>IFERROR(__xludf.DUMMYFUNCTION("""COMPUTED_VALUE"""),1976.0)</f>
        <v>1976</v>
      </c>
      <c r="E6673">
        <f>IFERROR(__xludf.DUMMYFUNCTION("""COMPUTED_VALUE"""),3251158.0)</f>
        <v>3251158</v>
      </c>
    </row>
    <row r="6674">
      <c r="A6674" t="str">
        <f t="shared" si="1"/>
        <v>hnd#1977</v>
      </c>
      <c r="B6674" t="str">
        <f>IFERROR(__xludf.DUMMYFUNCTION("""COMPUTED_VALUE"""),"hnd")</f>
        <v>hnd</v>
      </c>
      <c r="C6674" t="str">
        <f>IFERROR(__xludf.DUMMYFUNCTION("""COMPUTED_VALUE"""),"Honduras")</f>
        <v>Honduras</v>
      </c>
      <c r="D6674">
        <f>IFERROR(__xludf.DUMMYFUNCTION("""COMPUTED_VALUE"""),1977.0)</f>
        <v>1977</v>
      </c>
      <c r="E6674">
        <f>IFERROR(__xludf.DUMMYFUNCTION("""COMPUTED_VALUE"""),3352835.0)</f>
        <v>3352835</v>
      </c>
    </row>
    <row r="6675">
      <c r="A6675" t="str">
        <f t="shared" si="1"/>
        <v>hnd#1978</v>
      </c>
      <c r="B6675" t="str">
        <f>IFERROR(__xludf.DUMMYFUNCTION("""COMPUTED_VALUE"""),"hnd")</f>
        <v>hnd</v>
      </c>
      <c r="C6675" t="str">
        <f>IFERROR(__xludf.DUMMYFUNCTION("""COMPUTED_VALUE"""),"Honduras")</f>
        <v>Honduras</v>
      </c>
      <c r="D6675">
        <f>IFERROR(__xludf.DUMMYFUNCTION("""COMPUTED_VALUE"""),1978.0)</f>
        <v>1978</v>
      </c>
      <c r="E6675">
        <f>IFERROR(__xludf.DUMMYFUNCTION("""COMPUTED_VALUE"""),3458104.0)</f>
        <v>3458104</v>
      </c>
    </row>
    <row r="6676">
      <c r="A6676" t="str">
        <f t="shared" si="1"/>
        <v>hnd#1979</v>
      </c>
      <c r="B6676" t="str">
        <f>IFERROR(__xludf.DUMMYFUNCTION("""COMPUTED_VALUE"""),"hnd")</f>
        <v>hnd</v>
      </c>
      <c r="C6676" t="str">
        <f>IFERROR(__xludf.DUMMYFUNCTION("""COMPUTED_VALUE"""),"Honduras")</f>
        <v>Honduras</v>
      </c>
      <c r="D6676">
        <f>IFERROR(__xludf.DUMMYFUNCTION("""COMPUTED_VALUE"""),1979.0)</f>
        <v>1979</v>
      </c>
      <c r="E6676">
        <f>IFERROR(__xludf.DUMMYFUNCTION("""COMPUTED_VALUE"""),3566665.0)</f>
        <v>3566665</v>
      </c>
    </row>
    <row r="6677">
      <c r="A6677" t="str">
        <f t="shared" si="1"/>
        <v>hnd#1980</v>
      </c>
      <c r="B6677" t="str">
        <f>IFERROR(__xludf.DUMMYFUNCTION("""COMPUTED_VALUE"""),"hnd")</f>
        <v>hnd</v>
      </c>
      <c r="C6677" t="str">
        <f>IFERROR(__xludf.DUMMYFUNCTION("""COMPUTED_VALUE"""),"Honduras")</f>
        <v>Honduras</v>
      </c>
      <c r="D6677">
        <f>IFERROR(__xludf.DUMMYFUNCTION("""COMPUTED_VALUE"""),1980.0)</f>
        <v>1980</v>
      </c>
      <c r="E6677">
        <f>IFERROR(__xludf.DUMMYFUNCTION("""COMPUTED_VALUE"""),3678286.0)</f>
        <v>3678286</v>
      </c>
    </row>
    <row r="6678">
      <c r="A6678" t="str">
        <f t="shared" si="1"/>
        <v>hnd#1981</v>
      </c>
      <c r="B6678" t="str">
        <f>IFERROR(__xludf.DUMMYFUNCTION("""COMPUTED_VALUE"""),"hnd")</f>
        <v>hnd</v>
      </c>
      <c r="C6678" t="str">
        <f>IFERROR(__xludf.DUMMYFUNCTION("""COMPUTED_VALUE"""),"Honduras")</f>
        <v>Honduras</v>
      </c>
      <c r="D6678">
        <f>IFERROR(__xludf.DUMMYFUNCTION("""COMPUTED_VALUE"""),1981.0)</f>
        <v>1981</v>
      </c>
      <c r="E6678">
        <f>IFERROR(__xludf.DUMMYFUNCTION("""COMPUTED_VALUE"""),3792938.0)</f>
        <v>3792938</v>
      </c>
    </row>
    <row r="6679">
      <c r="A6679" t="str">
        <f t="shared" si="1"/>
        <v>hnd#1982</v>
      </c>
      <c r="B6679" t="str">
        <f>IFERROR(__xludf.DUMMYFUNCTION("""COMPUTED_VALUE"""),"hnd")</f>
        <v>hnd</v>
      </c>
      <c r="C6679" t="str">
        <f>IFERROR(__xludf.DUMMYFUNCTION("""COMPUTED_VALUE"""),"Honduras")</f>
        <v>Honduras</v>
      </c>
      <c r="D6679">
        <f>IFERROR(__xludf.DUMMYFUNCTION("""COMPUTED_VALUE"""),1982.0)</f>
        <v>1982</v>
      </c>
      <c r="E6679">
        <f>IFERROR(__xludf.DUMMYFUNCTION("""COMPUTED_VALUE"""),3910657.0)</f>
        <v>3910657</v>
      </c>
    </row>
    <row r="6680">
      <c r="A6680" t="str">
        <f t="shared" si="1"/>
        <v>hnd#1983</v>
      </c>
      <c r="B6680" t="str">
        <f>IFERROR(__xludf.DUMMYFUNCTION("""COMPUTED_VALUE"""),"hnd")</f>
        <v>hnd</v>
      </c>
      <c r="C6680" t="str">
        <f>IFERROR(__xludf.DUMMYFUNCTION("""COMPUTED_VALUE"""),"Honduras")</f>
        <v>Honduras</v>
      </c>
      <c r="D6680">
        <f>IFERROR(__xludf.DUMMYFUNCTION("""COMPUTED_VALUE"""),1983.0)</f>
        <v>1983</v>
      </c>
      <c r="E6680">
        <f>IFERROR(__xludf.DUMMYFUNCTION("""COMPUTED_VALUE"""),4031349.0)</f>
        <v>4031349</v>
      </c>
    </row>
    <row r="6681">
      <c r="A6681" t="str">
        <f t="shared" si="1"/>
        <v>hnd#1984</v>
      </c>
      <c r="B6681" t="str">
        <f>IFERROR(__xludf.DUMMYFUNCTION("""COMPUTED_VALUE"""),"hnd")</f>
        <v>hnd</v>
      </c>
      <c r="C6681" t="str">
        <f>IFERROR(__xludf.DUMMYFUNCTION("""COMPUTED_VALUE"""),"Honduras")</f>
        <v>Honduras</v>
      </c>
      <c r="D6681">
        <f>IFERROR(__xludf.DUMMYFUNCTION("""COMPUTED_VALUE"""),1984.0)</f>
        <v>1984</v>
      </c>
      <c r="E6681">
        <f>IFERROR(__xludf.DUMMYFUNCTION("""COMPUTED_VALUE"""),4154887.0)</f>
        <v>4154887</v>
      </c>
    </row>
    <row r="6682">
      <c r="A6682" t="str">
        <f t="shared" si="1"/>
        <v>hnd#1985</v>
      </c>
      <c r="B6682" t="str">
        <f>IFERROR(__xludf.DUMMYFUNCTION("""COMPUTED_VALUE"""),"hnd")</f>
        <v>hnd</v>
      </c>
      <c r="C6682" t="str">
        <f>IFERROR(__xludf.DUMMYFUNCTION("""COMPUTED_VALUE"""),"Honduras")</f>
        <v>Honduras</v>
      </c>
      <c r="D6682">
        <f>IFERROR(__xludf.DUMMYFUNCTION("""COMPUTED_VALUE"""),1985.0)</f>
        <v>1985</v>
      </c>
      <c r="E6682">
        <f>IFERROR(__xludf.DUMMYFUNCTION("""COMPUTED_VALUE"""),4281189.0)</f>
        <v>4281189</v>
      </c>
    </row>
    <row r="6683">
      <c r="A6683" t="str">
        <f t="shared" si="1"/>
        <v>hnd#1986</v>
      </c>
      <c r="B6683" t="str">
        <f>IFERROR(__xludf.DUMMYFUNCTION("""COMPUTED_VALUE"""),"hnd")</f>
        <v>hnd</v>
      </c>
      <c r="C6683" t="str">
        <f>IFERROR(__xludf.DUMMYFUNCTION("""COMPUTED_VALUE"""),"Honduras")</f>
        <v>Honduras</v>
      </c>
      <c r="D6683">
        <f>IFERROR(__xludf.DUMMYFUNCTION("""COMPUTED_VALUE"""),1986.0)</f>
        <v>1986</v>
      </c>
      <c r="E6683">
        <f>IFERROR(__xludf.DUMMYFUNCTION("""COMPUTED_VALUE"""),4410158.0)</f>
        <v>4410158</v>
      </c>
    </row>
    <row r="6684">
      <c r="A6684" t="str">
        <f t="shared" si="1"/>
        <v>hnd#1987</v>
      </c>
      <c r="B6684" t="str">
        <f>IFERROR(__xludf.DUMMYFUNCTION("""COMPUTED_VALUE"""),"hnd")</f>
        <v>hnd</v>
      </c>
      <c r="C6684" t="str">
        <f>IFERROR(__xludf.DUMMYFUNCTION("""COMPUTED_VALUE"""),"Honduras")</f>
        <v>Honduras</v>
      </c>
      <c r="D6684">
        <f>IFERROR(__xludf.DUMMYFUNCTION("""COMPUTED_VALUE"""),1987.0)</f>
        <v>1987</v>
      </c>
      <c r="E6684">
        <f>IFERROR(__xludf.DUMMYFUNCTION("""COMPUTED_VALUE"""),4541804.0)</f>
        <v>4541804</v>
      </c>
    </row>
    <row r="6685">
      <c r="A6685" t="str">
        <f t="shared" si="1"/>
        <v>hnd#1988</v>
      </c>
      <c r="B6685" t="str">
        <f>IFERROR(__xludf.DUMMYFUNCTION("""COMPUTED_VALUE"""),"hnd")</f>
        <v>hnd</v>
      </c>
      <c r="C6685" t="str">
        <f>IFERROR(__xludf.DUMMYFUNCTION("""COMPUTED_VALUE"""),"Honduras")</f>
        <v>Honduras</v>
      </c>
      <c r="D6685">
        <f>IFERROR(__xludf.DUMMYFUNCTION("""COMPUTED_VALUE"""),1988.0)</f>
        <v>1988</v>
      </c>
      <c r="E6685">
        <f>IFERROR(__xludf.DUMMYFUNCTION("""COMPUTED_VALUE"""),4676361.0)</f>
        <v>4676361</v>
      </c>
    </row>
    <row r="6686">
      <c r="A6686" t="str">
        <f t="shared" si="1"/>
        <v>hnd#1989</v>
      </c>
      <c r="B6686" t="str">
        <f>IFERROR(__xludf.DUMMYFUNCTION("""COMPUTED_VALUE"""),"hnd")</f>
        <v>hnd</v>
      </c>
      <c r="C6686" t="str">
        <f>IFERROR(__xludf.DUMMYFUNCTION("""COMPUTED_VALUE"""),"Honduras")</f>
        <v>Honduras</v>
      </c>
      <c r="D6686">
        <f>IFERROR(__xludf.DUMMYFUNCTION("""COMPUTED_VALUE"""),1989.0)</f>
        <v>1989</v>
      </c>
      <c r="E6686">
        <f>IFERROR(__xludf.DUMMYFUNCTION("""COMPUTED_VALUE"""),4814137.0)</f>
        <v>4814137</v>
      </c>
    </row>
    <row r="6687">
      <c r="A6687" t="str">
        <f t="shared" si="1"/>
        <v>hnd#1990</v>
      </c>
      <c r="B6687" t="str">
        <f>IFERROR(__xludf.DUMMYFUNCTION("""COMPUTED_VALUE"""),"hnd")</f>
        <v>hnd</v>
      </c>
      <c r="C6687" t="str">
        <f>IFERROR(__xludf.DUMMYFUNCTION("""COMPUTED_VALUE"""),"Honduras")</f>
        <v>Honduras</v>
      </c>
      <c r="D6687">
        <f>IFERROR(__xludf.DUMMYFUNCTION("""COMPUTED_VALUE"""),1990.0)</f>
        <v>1990</v>
      </c>
      <c r="E6687">
        <f>IFERROR(__xludf.DUMMYFUNCTION("""COMPUTED_VALUE"""),4955328.0)</f>
        <v>4955328</v>
      </c>
    </row>
    <row r="6688">
      <c r="A6688" t="str">
        <f t="shared" si="1"/>
        <v>hnd#1991</v>
      </c>
      <c r="B6688" t="str">
        <f>IFERROR(__xludf.DUMMYFUNCTION("""COMPUTED_VALUE"""),"hnd")</f>
        <v>hnd</v>
      </c>
      <c r="C6688" t="str">
        <f>IFERROR(__xludf.DUMMYFUNCTION("""COMPUTED_VALUE"""),"Honduras")</f>
        <v>Honduras</v>
      </c>
      <c r="D6688">
        <f>IFERROR(__xludf.DUMMYFUNCTION("""COMPUTED_VALUE"""),1991.0)</f>
        <v>1991</v>
      </c>
      <c r="E6688">
        <f>IFERROR(__xludf.DUMMYFUNCTION("""COMPUTED_VALUE"""),5099951.0)</f>
        <v>5099951</v>
      </c>
    </row>
    <row r="6689">
      <c r="A6689" t="str">
        <f t="shared" si="1"/>
        <v>hnd#1992</v>
      </c>
      <c r="B6689" t="str">
        <f>IFERROR(__xludf.DUMMYFUNCTION("""COMPUTED_VALUE"""),"hnd")</f>
        <v>hnd</v>
      </c>
      <c r="C6689" t="str">
        <f>IFERROR(__xludf.DUMMYFUNCTION("""COMPUTED_VALUE"""),"Honduras")</f>
        <v>Honduras</v>
      </c>
      <c r="D6689">
        <f>IFERROR(__xludf.DUMMYFUNCTION("""COMPUTED_VALUE"""),1992.0)</f>
        <v>1992</v>
      </c>
      <c r="E6689">
        <f>IFERROR(__xludf.DUMMYFUNCTION("""COMPUTED_VALUE"""),5247836.0)</f>
        <v>5247836</v>
      </c>
    </row>
    <row r="6690">
      <c r="A6690" t="str">
        <f t="shared" si="1"/>
        <v>hnd#1993</v>
      </c>
      <c r="B6690" t="str">
        <f>IFERROR(__xludf.DUMMYFUNCTION("""COMPUTED_VALUE"""),"hnd")</f>
        <v>hnd</v>
      </c>
      <c r="C6690" t="str">
        <f>IFERROR(__xludf.DUMMYFUNCTION("""COMPUTED_VALUE"""),"Honduras")</f>
        <v>Honduras</v>
      </c>
      <c r="D6690">
        <f>IFERROR(__xludf.DUMMYFUNCTION("""COMPUTED_VALUE"""),1993.0)</f>
        <v>1993</v>
      </c>
      <c r="E6690">
        <f>IFERROR(__xludf.DUMMYFUNCTION("""COMPUTED_VALUE"""),5398805.0)</f>
        <v>5398805</v>
      </c>
    </row>
    <row r="6691">
      <c r="A6691" t="str">
        <f t="shared" si="1"/>
        <v>hnd#1994</v>
      </c>
      <c r="B6691" t="str">
        <f>IFERROR(__xludf.DUMMYFUNCTION("""COMPUTED_VALUE"""),"hnd")</f>
        <v>hnd</v>
      </c>
      <c r="C6691" t="str">
        <f>IFERROR(__xludf.DUMMYFUNCTION("""COMPUTED_VALUE"""),"Honduras")</f>
        <v>Honduras</v>
      </c>
      <c r="D6691">
        <f>IFERROR(__xludf.DUMMYFUNCTION("""COMPUTED_VALUE"""),1994.0)</f>
        <v>1994</v>
      </c>
      <c r="E6691">
        <f>IFERROR(__xludf.DUMMYFUNCTION("""COMPUTED_VALUE"""),5552625.0)</f>
        <v>5552625</v>
      </c>
    </row>
    <row r="6692">
      <c r="A6692" t="str">
        <f t="shared" si="1"/>
        <v>hnd#1995</v>
      </c>
      <c r="B6692" t="str">
        <f>IFERROR(__xludf.DUMMYFUNCTION("""COMPUTED_VALUE"""),"hnd")</f>
        <v>hnd</v>
      </c>
      <c r="C6692" t="str">
        <f>IFERROR(__xludf.DUMMYFUNCTION("""COMPUTED_VALUE"""),"Honduras")</f>
        <v>Honduras</v>
      </c>
      <c r="D6692">
        <f>IFERROR(__xludf.DUMMYFUNCTION("""COMPUTED_VALUE"""),1995.0)</f>
        <v>1995</v>
      </c>
      <c r="E6692">
        <f>IFERROR(__xludf.DUMMYFUNCTION("""COMPUTED_VALUE"""),5709051.0)</f>
        <v>5709051</v>
      </c>
    </row>
    <row r="6693">
      <c r="A6693" t="str">
        <f t="shared" si="1"/>
        <v>hnd#1996</v>
      </c>
      <c r="B6693" t="str">
        <f>IFERROR(__xludf.DUMMYFUNCTION("""COMPUTED_VALUE"""),"hnd")</f>
        <v>hnd</v>
      </c>
      <c r="C6693" t="str">
        <f>IFERROR(__xludf.DUMMYFUNCTION("""COMPUTED_VALUE"""),"Honduras")</f>
        <v>Honduras</v>
      </c>
      <c r="D6693">
        <f>IFERROR(__xludf.DUMMYFUNCTION("""COMPUTED_VALUE"""),1996.0)</f>
        <v>1996</v>
      </c>
      <c r="E6693">
        <f>IFERROR(__xludf.DUMMYFUNCTION("""COMPUTED_VALUE"""),5867849.0)</f>
        <v>5867849</v>
      </c>
    </row>
    <row r="6694">
      <c r="A6694" t="str">
        <f t="shared" si="1"/>
        <v>hnd#1997</v>
      </c>
      <c r="B6694" t="str">
        <f>IFERROR(__xludf.DUMMYFUNCTION("""COMPUTED_VALUE"""),"hnd")</f>
        <v>hnd</v>
      </c>
      <c r="C6694" t="str">
        <f>IFERROR(__xludf.DUMMYFUNCTION("""COMPUTED_VALUE"""),"Honduras")</f>
        <v>Honduras</v>
      </c>
      <c r="D6694">
        <f>IFERROR(__xludf.DUMMYFUNCTION("""COMPUTED_VALUE"""),1997.0)</f>
        <v>1997</v>
      </c>
      <c r="E6694">
        <f>IFERROR(__xludf.DUMMYFUNCTION("""COMPUTED_VALUE"""),6028882.0)</f>
        <v>6028882</v>
      </c>
    </row>
    <row r="6695">
      <c r="A6695" t="str">
        <f t="shared" si="1"/>
        <v>hnd#1998</v>
      </c>
      <c r="B6695" t="str">
        <f>IFERROR(__xludf.DUMMYFUNCTION("""COMPUTED_VALUE"""),"hnd")</f>
        <v>hnd</v>
      </c>
      <c r="C6695" t="str">
        <f>IFERROR(__xludf.DUMMYFUNCTION("""COMPUTED_VALUE"""),"Honduras")</f>
        <v>Honduras</v>
      </c>
      <c r="D6695">
        <f>IFERROR(__xludf.DUMMYFUNCTION("""COMPUTED_VALUE"""),1998.0)</f>
        <v>1998</v>
      </c>
      <c r="E6695">
        <f>IFERROR(__xludf.DUMMYFUNCTION("""COMPUTED_VALUE"""),6192026.0)</f>
        <v>6192026</v>
      </c>
    </row>
    <row r="6696">
      <c r="A6696" t="str">
        <f t="shared" si="1"/>
        <v>hnd#1999</v>
      </c>
      <c r="B6696" t="str">
        <f>IFERROR(__xludf.DUMMYFUNCTION("""COMPUTED_VALUE"""),"hnd")</f>
        <v>hnd</v>
      </c>
      <c r="C6696" t="str">
        <f>IFERROR(__xludf.DUMMYFUNCTION("""COMPUTED_VALUE"""),"Honduras")</f>
        <v>Honduras</v>
      </c>
      <c r="D6696">
        <f>IFERROR(__xludf.DUMMYFUNCTION("""COMPUTED_VALUE"""),1999.0)</f>
        <v>1999</v>
      </c>
      <c r="E6696">
        <f>IFERROR(__xludf.DUMMYFUNCTION("""COMPUTED_VALUE"""),6357221.0)</f>
        <v>6357221</v>
      </c>
    </row>
    <row r="6697">
      <c r="A6697" t="str">
        <f t="shared" si="1"/>
        <v>hnd#2000</v>
      </c>
      <c r="B6697" t="str">
        <f>IFERROR(__xludf.DUMMYFUNCTION("""COMPUTED_VALUE"""),"hnd")</f>
        <v>hnd</v>
      </c>
      <c r="C6697" t="str">
        <f>IFERROR(__xludf.DUMMYFUNCTION("""COMPUTED_VALUE"""),"Honduras")</f>
        <v>Honduras</v>
      </c>
      <c r="D6697">
        <f>IFERROR(__xludf.DUMMYFUNCTION("""COMPUTED_VALUE"""),2000.0)</f>
        <v>2000</v>
      </c>
      <c r="E6697">
        <f>IFERROR(__xludf.DUMMYFUNCTION("""COMPUTED_VALUE"""),6524283.0)</f>
        <v>6524283</v>
      </c>
    </row>
    <row r="6698">
      <c r="A6698" t="str">
        <f t="shared" si="1"/>
        <v>hnd#2001</v>
      </c>
      <c r="B6698" t="str">
        <f>IFERROR(__xludf.DUMMYFUNCTION("""COMPUTED_VALUE"""),"hnd")</f>
        <v>hnd</v>
      </c>
      <c r="C6698" t="str">
        <f>IFERROR(__xludf.DUMMYFUNCTION("""COMPUTED_VALUE"""),"Honduras")</f>
        <v>Honduras</v>
      </c>
      <c r="D6698">
        <f>IFERROR(__xludf.DUMMYFUNCTION("""COMPUTED_VALUE"""),2001.0)</f>
        <v>2001</v>
      </c>
      <c r="E6698">
        <f>IFERROR(__xludf.DUMMYFUNCTION("""COMPUTED_VALUE"""),6693061.0)</f>
        <v>6693061</v>
      </c>
    </row>
    <row r="6699">
      <c r="A6699" t="str">
        <f t="shared" si="1"/>
        <v>hnd#2002</v>
      </c>
      <c r="B6699" t="str">
        <f>IFERROR(__xludf.DUMMYFUNCTION("""COMPUTED_VALUE"""),"hnd")</f>
        <v>hnd</v>
      </c>
      <c r="C6699" t="str">
        <f>IFERROR(__xludf.DUMMYFUNCTION("""COMPUTED_VALUE"""),"Honduras")</f>
        <v>Honduras</v>
      </c>
      <c r="D6699">
        <f>IFERROR(__xludf.DUMMYFUNCTION("""COMPUTED_VALUE"""),2002.0)</f>
        <v>2002</v>
      </c>
      <c r="E6699">
        <f>IFERROR(__xludf.DUMMYFUNCTION("""COMPUTED_VALUE"""),6863157.0)</f>
        <v>6863157</v>
      </c>
    </row>
    <row r="6700">
      <c r="A6700" t="str">
        <f t="shared" si="1"/>
        <v>hnd#2003</v>
      </c>
      <c r="B6700" t="str">
        <f>IFERROR(__xludf.DUMMYFUNCTION("""COMPUTED_VALUE"""),"hnd")</f>
        <v>hnd</v>
      </c>
      <c r="C6700" t="str">
        <f>IFERROR(__xludf.DUMMYFUNCTION("""COMPUTED_VALUE"""),"Honduras")</f>
        <v>Honduras</v>
      </c>
      <c r="D6700">
        <f>IFERROR(__xludf.DUMMYFUNCTION("""COMPUTED_VALUE"""),2003.0)</f>
        <v>2003</v>
      </c>
      <c r="E6700">
        <f>IFERROR(__xludf.DUMMYFUNCTION("""COMPUTED_VALUE"""),7033821.0)</f>
        <v>7033821</v>
      </c>
    </row>
    <row r="6701">
      <c r="A6701" t="str">
        <f t="shared" si="1"/>
        <v>hnd#2004</v>
      </c>
      <c r="B6701" t="str">
        <f>IFERROR(__xludf.DUMMYFUNCTION("""COMPUTED_VALUE"""),"hnd")</f>
        <v>hnd</v>
      </c>
      <c r="C6701" t="str">
        <f>IFERROR(__xludf.DUMMYFUNCTION("""COMPUTED_VALUE"""),"Honduras")</f>
        <v>Honduras</v>
      </c>
      <c r="D6701">
        <f>IFERROR(__xludf.DUMMYFUNCTION("""COMPUTED_VALUE"""),2004.0)</f>
        <v>2004</v>
      </c>
      <c r="E6701">
        <f>IFERROR(__xludf.DUMMYFUNCTION("""COMPUTED_VALUE"""),7204153.0)</f>
        <v>7204153</v>
      </c>
    </row>
    <row r="6702">
      <c r="A6702" t="str">
        <f t="shared" si="1"/>
        <v>hnd#2005</v>
      </c>
      <c r="B6702" t="str">
        <f>IFERROR(__xludf.DUMMYFUNCTION("""COMPUTED_VALUE"""),"hnd")</f>
        <v>hnd</v>
      </c>
      <c r="C6702" t="str">
        <f>IFERROR(__xludf.DUMMYFUNCTION("""COMPUTED_VALUE"""),"Honduras")</f>
        <v>Honduras</v>
      </c>
      <c r="D6702">
        <f>IFERROR(__xludf.DUMMYFUNCTION("""COMPUTED_VALUE"""),2005.0)</f>
        <v>2005</v>
      </c>
      <c r="E6702">
        <f>IFERROR(__xludf.DUMMYFUNCTION("""COMPUTED_VALUE"""),7373430.0)</f>
        <v>7373430</v>
      </c>
    </row>
    <row r="6703">
      <c r="A6703" t="str">
        <f t="shared" si="1"/>
        <v>hnd#2006</v>
      </c>
      <c r="B6703" t="str">
        <f>IFERROR(__xludf.DUMMYFUNCTION("""COMPUTED_VALUE"""),"hnd")</f>
        <v>hnd</v>
      </c>
      <c r="C6703" t="str">
        <f>IFERROR(__xludf.DUMMYFUNCTION("""COMPUTED_VALUE"""),"Honduras")</f>
        <v>Honduras</v>
      </c>
      <c r="D6703">
        <f>IFERROR(__xludf.DUMMYFUNCTION("""COMPUTED_VALUE"""),2006.0)</f>
        <v>2006</v>
      </c>
      <c r="E6703">
        <f>IFERROR(__xludf.DUMMYFUNCTION("""COMPUTED_VALUE"""),7541406.0)</f>
        <v>7541406</v>
      </c>
    </row>
    <row r="6704">
      <c r="A6704" t="str">
        <f t="shared" si="1"/>
        <v>hnd#2007</v>
      </c>
      <c r="B6704" t="str">
        <f>IFERROR(__xludf.DUMMYFUNCTION("""COMPUTED_VALUE"""),"hnd")</f>
        <v>hnd</v>
      </c>
      <c r="C6704" t="str">
        <f>IFERROR(__xludf.DUMMYFUNCTION("""COMPUTED_VALUE"""),"Honduras")</f>
        <v>Honduras</v>
      </c>
      <c r="D6704">
        <f>IFERROR(__xludf.DUMMYFUNCTION("""COMPUTED_VALUE"""),2007.0)</f>
        <v>2007</v>
      </c>
      <c r="E6704">
        <f>IFERROR(__xludf.DUMMYFUNCTION("""COMPUTED_VALUE"""),7707972.0)</f>
        <v>7707972</v>
      </c>
    </row>
    <row r="6705">
      <c r="A6705" t="str">
        <f t="shared" si="1"/>
        <v>hnd#2008</v>
      </c>
      <c r="B6705" t="str">
        <f>IFERROR(__xludf.DUMMYFUNCTION("""COMPUTED_VALUE"""),"hnd")</f>
        <v>hnd</v>
      </c>
      <c r="C6705" t="str">
        <f>IFERROR(__xludf.DUMMYFUNCTION("""COMPUTED_VALUE"""),"Honduras")</f>
        <v>Honduras</v>
      </c>
      <c r="D6705">
        <f>IFERROR(__xludf.DUMMYFUNCTION("""COMPUTED_VALUE"""),2008.0)</f>
        <v>2008</v>
      </c>
      <c r="E6705">
        <f>IFERROR(__xludf.DUMMYFUNCTION("""COMPUTED_VALUE"""),7872658.0)</f>
        <v>7872658</v>
      </c>
    </row>
    <row r="6706">
      <c r="A6706" t="str">
        <f t="shared" si="1"/>
        <v>hnd#2009</v>
      </c>
      <c r="B6706" t="str">
        <f>IFERROR(__xludf.DUMMYFUNCTION("""COMPUTED_VALUE"""),"hnd")</f>
        <v>hnd</v>
      </c>
      <c r="C6706" t="str">
        <f>IFERROR(__xludf.DUMMYFUNCTION("""COMPUTED_VALUE"""),"Honduras")</f>
        <v>Honduras</v>
      </c>
      <c r="D6706">
        <f>IFERROR(__xludf.DUMMYFUNCTION("""COMPUTED_VALUE"""),2009.0)</f>
        <v>2009</v>
      </c>
      <c r="E6706">
        <f>IFERROR(__xludf.DUMMYFUNCTION("""COMPUTED_VALUE"""),8035021.0)</f>
        <v>8035021</v>
      </c>
    </row>
    <row r="6707">
      <c r="A6707" t="str">
        <f t="shared" si="1"/>
        <v>hnd#2010</v>
      </c>
      <c r="B6707" t="str">
        <f>IFERROR(__xludf.DUMMYFUNCTION("""COMPUTED_VALUE"""),"hnd")</f>
        <v>hnd</v>
      </c>
      <c r="C6707" t="str">
        <f>IFERROR(__xludf.DUMMYFUNCTION("""COMPUTED_VALUE"""),"Honduras")</f>
        <v>Honduras</v>
      </c>
      <c r="D6707">
        <f>IFERROR(__xludf.DUMMYFUNCTION("""COMPUTED_VALUE"""),2010.0)</f>
        <v>2010</v>
      </c>
      <c r="E6707">
        <f>IFERROR(__xludf.DUMMYFUNCTION("""COMPUTED_VALUE"""),8194778.0)</f>
        <v>8194778</v>
      </c>
    </row>
    <row r="6708">
      <c r="A6708" t="str">
        <f t="shared" si="1"/>
        <v>hnd#2011</v>
      </c>
      <c r="B6708" t="str">
        <f>IFERROR(__xludf.DUMMYFUNCTION("""COMPUTED_VALUE"""),"hnd")</f>
        <v>hnd</v>
      </c>
      <c r="C6708" t="str">
        <f>IFERROR(__xludf.DUMMYFUNCTION("""COMPUTED_VALUE"""),"Honduras")</f>
        <v>Honduras</v>
      </c>
      <c r="D6708">
        <f>IFERROR(__xludf.DUMMYFUNCTION("""COMPUTED_VALUE"""),2011.0)</f>
        <v>2011</v>
      </c>
      <c r="E6708">
        <f>IFERROR(__xludf.DUMMYFUNCTION("""COMPUTED_VALUE"""),8351600.0)</f>
        <v>8351600</v>
      </c>
    </row>
    <row r="6709">
      <c r="A6709" t="str">
        <f t="shared" si="1"/>
        <v>hnd#2012</v>
      </c>
      <c r="B6709" t="str">
        <f>IFERROR(__xludf.DUMMYFUNCTION("""COMPUTED_VALUE"""),"hnd")</f>
        <v>hnd</v>
      </c>
      <c r="C6709" t="str">
        <f>IFERROR(__xludf.DUMMYFUNCTION("""COMPUTED_VALUE"""),"Honduras")</f>
        <v>Honduras</v>
      </c>
      <c r="D6709">
        <f>IFERROR(__xludf.DUMMYFUNCTION("""COMPUTED_VALUE"""),2012.0)</f>
        <v>2012</v>
      </c>
      <c r="E6709">
        <f>IFERROR(__xludf.DUMMYFUNCTION("""COMPUTED_VALUE"""),8505646.0)</f>
        <v>8505646</v>
      </c>
    </row>
    <row r="6710">
      <c r="A6710" t="str">
        <f t="shared" si="1"/>
        <v>hnd#2013</v>
      </c>
      <c r="B6710" t="str">
        <f>IFERROR(__xludf.DUMMYFUNCTION("""COMPUTED_VALUE"""),"hnd")</f>
        <v>hnd</v>
      </c>
      <c r="C6710" t="str">
        <f>IFERROR(__xludf.DUMMYFUNCTION("""COMPUTED_VALUE"""),"Honduras")</f>
        <v>Honduras</v>
      </c>
      <c r="D6710">
        <f>IFERROR(__xludf.DUMMYFUNCTION("""COMPUTED_VALUE"""),2013.0)</f>
        <v>2013</v>
      </c>
      <c r="E6710">
        <f>IFERROR(__xludf.DUMMYFUNCTION("""COMPUTED_VALUE"""),8657785.0)</f>
        <v>8657785</v>
      </c>
    </row>
    <row r="6711">
      <c r="A6711" t="str">
        <f t="shared" si="1"/>
        <v>hnd#2014</v>
      </c>
      <c r="B6711" t="str">
        <f>IFERROR(__xludf.DUMMYFUNCTION("""COMPUTED_VALUE"""),"hnd")</f>
        <v>hnd</v>
      </c>
      <c r="C6711" t="str">
        <f>IFERROR(__xludf.DUMMYFUNCTION("""COMPUTED_VALUE"""),"Honduras")</f>
        <v>Honduras</v>
      </c>
      <c r="D6711">
        <f>IFERROR(__xludf.DUMMYFUNCTION("""COMPUTED_VALUE"""),2014.0)</f>
        <v>2014</v>
      </c>
      <c r="E6711">
        <f>IFERROR(__xludf.DUMMYFUNCTION("""COMPUTED_VALUE"""),8809216.0)</f>
        <v>8809216</v>
      </c>
    </row>
    <row r="6712">
      <c r="A6712" t="str">
        <f t="shared" si="1"/>
        <v>hnd#2015</v>
      </c>
      <c r="B6712" t="str">
        <f>IFERROR(__xludf.DUMMYFUNCTION("""COMPUTED_VALUE"""),"hnd")</f>
        <v>hnd</v>
      </c>
      <c r="C6712" t="str">
        <f>IFERROR(__xludf.DUMMYFUNCTION("""COMPUTED_VALUE"""),"Honduras")</f>
        <v>Honduras</v>
      </c>
      <c r="D6712">
        <f>IFERROR(__xludf.DUMMYFUNCTION("""COMPUTED_VALUE"""),2015.0)</f>
        <v>2015</v>
      </c>
      <c r="E6712">
        <f>IFERROR(__xludf.DUMMYFUNCTION("""COMPUTED_VALUE"""),8960829.0)</f>
        <v>8960829</v>
      </c>
    </row>
    <row r="6713">
      <c r="A6713" t="str">
        <f t="shared" si="1"/>
        <v>hnd#2016</v>
      </c>
      <c r="B6713" t="str">
        <f>IFERROR(__xludf.DUMMYFUNCTION("""COMPUTED_VALUE"""),"hnd")</f>
        <v>hnd</v>
      </c>
      <c r="C6713" t="str">
        <f>IFERROR(__xludf.DUMMYFUNCTION("""COMPUTED_VALUE"""),"Honduras")</f>
        <v>Honduras</v>
      </c>
      <c r="D6713">
        <f>IFERROR(__xludf.DUMMYFUNCTION("""COMPUTED_VALUE"""),2016.0)</f>
        <v>2016</v>
      </c>
      <c r="E6713">
        <f>IFERROR(__xludf.DUMMYFUNCTION("""COMPUTED_VALUE"""),9112867.0)</f>
        <v>9112867</v>
      </c>
    </row>
    <row r="6714">
      <c r="A6714" t="str">
        <f t="shared" si="1"/>
        <v>hnd#2017</v>
      </c>
      <c r="B6714" t="str">
        <f>IFERROR(__xludf.DUMMYFUNCTION("""COMPUTED_VALUE"""),"hnd")</f>
        <v>hnd</v>
      </c>
      <c r="C6714" t="str">
        <f>IFERROR(__xludf.DUMMYFUNCTION("""COMPUTED_VALUE"""),"Honduras")</f>
        <v>Honduras</v>
      </c>
      <c r="D6714">
        <f>IFERROR(__xludf.DUMMYFUNCTION("""COMPUTED_VALUE"""),2017.0)</f>
        <v>2017</v>
      </c>
      <c r="E6714">
        <f>IFERROR(__xludf.DUMMYFUNCTION("""COMPUTED_VALUE"""),9265067.0)</f>
        <v>9265067</v>
      </c>
    </row>
    <row r="6715">
      <c r="A6715" t="str">
        <f t="shared" si="1"/>
        <v>hnd#2018</v>
      </c>
      <c r="B6715" t="str">
        <f>IFERROR(__xludf.DUMMYFUNCTION("""COMPUTED_VALUE"""),"hnd")</f>
        <v>hnd</v>
      </c>
      <c r="C6715" t="str">
        <f>IFERROR(__xludf.DUMMYFUNCTION("""COMPUTED_VALUE"""),"Honduras")</f>
        <v>Honduras</v>
      </c>
      <c r="D6715">
        <f>IFERROR(__xludf.DUMMYFUNCTION("""COMPUTED_VALUE"""),2018.0)</f>
        <v>2018</v>
      </c>
      <c r="E6715">
        <f>IFERROR(__xludf.DUMMYFUNCTION("""COMPUTED_VALUE"""),9417167.0)</f>
        <v>9417167</v>
      </c>
    </row>
    <row r="6716">
      <c r="A6716" t="str">
        <f t="shared" si="1"/>
        <v>hnd#2019</v>
      </c>
      <c r="B6716" t="str">
        <f>IFERROR(__xludf.DUMMYFUNCTION("""COMPUTED_VALUE"""),"hnd")</f>
        <v>hnd</v>
      </c>
      <c r="C6716" t="str">
        <f>IFERROR(__xludf.DUMMYFUNCTION("""COMPUTED_VALUE"""),"Honduras")</f>
        <v>Honduras</v>
      </c>
      <c r="D6716">
        <f>IFERROR(__xludf.DUMMYFUNCTION("""COMPUTED_VALUE"""),2019.0)</f>
        <v>2019</v>
      </c>
      <c r="E6716">
        <f>IFERROR(__xludf.DUMMYFUNCTION("""COMPUTED_VALUE"""),9568688.0)</f>
        <v>9568688</v>
      </c>
    </row>
    <row r="6717">
      <c r="A6717" t="str">
        <f t="shared" si="1"/>
        <v>hnd#2020</v>
      </c>
      <c r="B6717" t="str">
        <f>IFERROR(__xludf.DUMMYFUNCTION("""COMPUTED_VALUE"""),"hnd")</f>
        <v>hnd</v>
      </c>
      <c r="C6717" t="str">
        <f>IFERROR(__xludf.DUMMYFUNCTION("""COMPUTED_VALUE"""),"Honduras")</f>
        <v>Honduras</v>
      </c>
      <c r="D6717">
        <f>IFERROR(__xludf.DUMMYFUNCTION("""COMPUTED_VALUE"""),2020.0)</f>
        <v>2020</v>
      </c>
      <c r="E6717">
        <f>IFERROR(__xludf.DUMMYFUNCTION("""COMPUTED_VALUE"""),9719265.0)</f>
        <v>9719265</v>
      </c>
    </row>
    <row r="6718">
      <c r="A6718" t="str">
        <f t="shared" si="1"/>
        <v>hnd#2021</v>
      </c>
      <c r="B6718" t="str">
        <f>IFERROR(__xludf.DUMMYFUNCTION("""COMPUTED_VALUE"""),"hnd")</f>
        <v>hnd</v>
      </c>
      <c r="C6718" t="str">
        <f>IFERROR(__xludf.DUMMYFUNCTION("""COMPUTED_VALUE"""),"Honduras")</f>
        <v>Honduras</v>
      </c>
      <c r="D6718">
        <f>IFERROR(__xludf.DUMMYFUNCTION("""COMPUTED_VALUE"""),2021.0)</f>
        <v>2021</v>
      </c>
      <c r="E6718">
        <f>IFERROR(__xludf.DUMMYFUNCTION("""COMPUTED_VALUE"""),9868818.0)</f>
        <v>9868818</v>
      </c>
    </row>
    <row r="6719">
      <c r="A6719" t="str">
        <f t="shared" si="1"/>
        <v>hnd#2022</v>
      </c>
      <c r="B6719" t="str">
        <f>IFERROR(__xludf.DUMMYFUNCTION("""COMPUTED_VALUE"""),"hnd")</f>
        <v>hnd</v>
      </c>
      <c r="C6719" t="str">
        <f>IFERROR(__xludf.DUMMYFUNCTION("""COMPUTED_VALUE"""),"Honduras")</f>
        <v>Honduras</v>
      </c>
      <c r="D6719">
        <f>IFERROR(__xludf.DUMMYFUNCTION("""COMPUTED_VALUE"""),2022.0)</f>
        <v>2022</v>
      </c>
      <c r="E6719">
        <f>IFERROR(__xludf.DUMMYFUNCTION("""COMPUTED_VALUE"""),1.0017325E7)</f>
        <v>10017325</v>
      </c>
    </row>
    <row r="6720">
      <c r="A6720" t="str">
        <f t="shared" si="1"/>
        <v>hnd#2023</v>
      </c>
      <c r="B6720" t="str">
        <f>IFERROR(__xludf.DUMMYFUNCTION("""COMPUTED_VALUE"""),"hnd")</f>
        <v>hnd</v>
      </c>
      <c r="C6720" t="str">
        <f>IFERROR(__xludf.DUMMYFUNCTION("""COMPUTED_VALUE"""),"Honduras")</f>
        <v>Honduras</v>
      </c>
      <c r="D6720">
        <f>IFERROR(__xludf.DUMMYFUNCTION("""COMPUTED_VALUE"""),2023.0)</f>
        <v>2023</v>
      </c>
      <c r="E6720">
        <f>IFERROR(__xludf.DUMMYFUNCTION("""COMPUTED_VALUE"""),1.0164639E7)</f>
        <v>10164639</v>
      </c>
    </row>
    <row r="6721">
      <c r="A6721" t="str">
        <f t="shared" si="1"/>
        <v>hnd#2024</v>
      </c>
      <c r="B6721" t="str">
        <f>IFERROR(__xludf.DUMMYFUNCTION("""COMPUTED_VALUE"""),"hnd")</f>
        <v>hnd</v>
      </c>
      <c r="C6721" t="str">
        <f>IFERROR(__xludf.DUMMYFUNCTION("""COMPUTED_VALUE"""),"Honduras")</f>
        <v>Honduras</v>
      </c>
      <c r="D6721">
        <f>IFERROR(__xludf.DUMMYFUNCTION("""COMPUTED_VALUE"""),2024.0)</f>
        <v>2024</v>
      </c>
      <c r="E6721">
        <f>IFERROR(__xludf.DUMMYFUNCTION("""COMPUTED_VALUE"""),1.0310545E7)</f>
        <v>10310545</v>
      </c>
    </row>
    <row r="6722">
      <c r="A6722" t="str">
        <f t="shared" si="1"/>
        <v>hnd#2025</v>
      </c>
      <c r="B6722" t="str">
        <f>IFERROR(__xludf.DUMMYFUNCTION("""COMPUTED_VALUE"""),"hnd")</f>
        <v>hnd</v>
      </c>
      <c r="C6722" t="str">
        <f>IFERROR(__xludf.DUMMYFUNCTION("""COMPUTED_VALUE"""),"Honduras")</f>
        <v>Honduras</v>
      </c>
      <c r="D6722">
        <f>IFERROR(__xludf.DUMMYFUNCTION("""COMPUTED_VALUE"""),2025.0)</f>
        <v>2025</v>
      </c>
      <c r="E6722">
        <f>IFERROR(__xludf.DUMMYFUNCTION("""COMPUTED_VALUE"""),1.0454849E7)</f>
        <v>10454849</v>
      </c>
    </row>
    <row r="6723">
      <c r="A6723" t="str">
        <f t="shared" si="1"/>
        <v>hnd#2026</v>
      </c>
      <c r="B6723" t="str">
        <f>IFERROR(__xludf.DUMMYFUNCTION("""COMPUTED_VALUE"""),"hnd")</f>
        <v>hnd</v>
      </c>
      <c r="C6723" t="str">
        <f>IFERROR(__xludf.DUMMYFUNCTION("""COMPUTED_VALUE"""),"Honduras")</f>
        <v>Honduras</v>
      </c>
      <c r="D6723">
        <f>IFERROR(__xludf.DUMMYFUNCTION("""COMPUTED_VALUE"""),2026.0)</f>
        <v>2026</v>
      </c>
      <c r="E6723">
        <f>IFERROR(__xludf.DUMMYFUNCTION("""COMPUTED_VALUE"""),1.0597425E7)</f>
        <v>10597425</v>
      </c>
    </row>
    <row r="6724">
      <c r="A6724" t="str">
        <f t="shared" si="1"/>
        <v>hnd#2027</v>
      </c>
      <c r="B6724" t="str">
        <f>IFERROR(__xludf.DUMMYFUNCTION("""COMPUTED_VALUE"""),"hnd")</f>
        <v>hnd</v>
      </c>
      <c r="C6724" t="str">
        <f>IFERROR(__xludf.DUMMYFUNCTION("""COMPUTED_VALUE"""),"Honduras")</f>
        <v>Honduras</v>
      </c>
      <c r="D6724">
        <f>IFERROR(__xludf.DUMMYFUNCTION("""COMPUTED_VALUE"""),2027.0)</f>
        <v>2027</v>
      </c>
      <c r="E6724">
        <f>IFERROR(__xludf.DUMMYFUNCTION("""COMPUTED_VALUE"""),1.0738136E7)</f>
        <v>10738136</v>
      </c>
    </row>
    <row r="6725">
      <c r="A6725" t="str">
        <f t="shared" si="1"/>
        <v>hnd#2028</v>
      </c>
      <c r="B6725" t="str">
        <f>IFERROR(__xludf.DUMMYFUNCTION("""COMPUTED_VALUE"""),"hnd")</f>
        <v>hnd</v>
      </c>
      <c r="C6725" t="str">
        <f>IFERROR(__xludf.DUMMYFUNCTION("""COMPUTED_VALUE"""),"Honduras")</f>
        <v>Honduras</v>
      </c>
      <c r="D6725">
        <f>IFERROR(__xludf.DUMMYFUNCTION("""COMPUTED_VALUE"""),2028.0)</f>
        <v>2028</v>
      </c>
      <c r="E6725">
        <f>IFERROR(__xludf.DUMMYFUNCTION("""COMPUTED_VALUE"""),1.0876813E7)</f>
        <v>10876813</v>
      </c>
    </row>
    <row r="6726">
      <c r="A6726" t="str">
        <f t="shared" si="1"/>
        <v>hnd#2029</v>
      </c>
      <c r="B6726" t="str">
        <f>IFERROR(__xludf.DUMMYFUNCTION("""COMPUTED_VALUE"""),"hnd")</f>
        <v>hnd</v>
      </c>
      <c r="C6726" t="str">
        <f>IFERROR(__xludf.DUMMYFUNCTION("""COMPUTED_VALUE"""),"Honduras")</f>
        <v>Honduras</v>
      </c>
      <c r="D6726">
        <f>IFERROR(__xludf.DUMMYFUNCTION("""COMPUTED_VALUE"""),2029.0)</f>
        <v>2029</v>
      </c>
      <c r="E6726">
        <f>IFERROR(__xludf.DUMMYFUNCTION("""COMPUTED_VALUE"""),1.1013275E7)</f>
        <v>11013275</v>
      </c>
    </row>
    <row r="6727">
      <c r="A6727" t="str">
        <f t="shared" si="1"/>
        <v>hnd#2030</v>
      </c>
      <c r="B6727" t="str">
        <f>IFERROR(__xludf.DUMMYFUNCTION("""COMPUTED_VALUE"""),"hnd")</f>
        <v>hnd</v>
      </c>
      <c r="C6727" t="str">
        <f>IFERROR(__xludf.DUMMYFUNCTION("""COMPUTED_VALUE"""),"Honduras")</f>
        <v>Honduras</v>
      </c>
      <c r="D6727">
        <f>IFERROR(__xludf.DUMMYFUNCTION("""COMPUTED_VALUE"""),2030.0)</f>
        <v>2030</v>
      </c>
      <c r="E6727">
        <f>IFERROR(__xludf.DUMMYFUNCTION("""COMPUTED_VALUE"""),1.1147351E7)</f>
        <v>11147351</v>
      </c>
    </row>
    <row r="6728">
      <c r="A6728" t="str">
        <f t="shared" si="1"/>
        <v>hnd#2031</v>
      </c>
      <c r="B6728" t="str">
        <f>IFERROR(__xludf.DUMMYFUNCTION("""COMPUTED_VALUE"""),"hnd")</f>
        <v>hnd</v>
      </c>
      <c r="C6728" t="str">
        <f>IFERROR(__xludf.DUMMYFUNCTION("""COMPUTED_VALUE"""),"Honduras")</f>
        <v>Honduras</v>
      </c>
      <c r="D6728">
        <f>IFERROR(__xludf.DUMMYFUNCTION("""COMPUTED_VALUE"""),2031.0)</f>
        <v>2031</v>
      </c>
      <c r="E6728">
        <f>IFERROR(__xludf.DUMMYFUNCTION("""COMPUTED_VALUE"""),1.1278945E7)</f>
        <v>11278945</v>
      </c>
    </row>
    <row r="6729">
      <c r="A6729" t="str">
        <f t="shared" si="1"/>
        <v>hnd#2032</v>
      </c>
      <c r="B6729" t="str">
        <f>IFERROR(__xludf.DUMMYFUNCTION("""COMPUTED_VALUE"""),"hnd")</f>
        <v>hnd</v>
      </c>
      <c r="C6729" t="str">
        <f>IFERROR(__xludf.DUMMYFUNCTION("""COMPUTED_VALUE"""),"Honduras")</f>
        <v>Honduras</v>
      </c>
      <c r="D6729">
        <f>IFERROR(__xludf.DUMMYFUNCTION("""COMPUTED_VALUE"""),2032.0)</f>
        <v>2032</v>
      </c>
      <c r="E6729">
        <f>IFERROR(__xludf.DUMMYFUNCTION("""COMPUTED_VALUE"""),1.1407968E7)</f>
        <v>11407968</v>
      </c>
    </row>
    <row r="6730">
      <c r="A6730" t="str">
        <f t="shared" si="1"/>
        <v>hnd#2033</v>
      </c>
      <c r="B6730" t="str">
        <f>IFERROR(__xludf.DUMMYFUNCTION("""COMPUTED_VALUE"""),"hnd")</f>
        <v>hnd</v>
      </c>
      <c r="C6730" t="str">
        <f>IFERROR(__xludf.DUMMYFUNCTION("""COMPUTED_VALUE"""),"Honduras")</f>
        <v>Honduras</v>
      </c>
      <c r="D6730">
        <f>IFERROR(__xludf.DUMMYFUNCTION("""COMPUTED_VALUE"""),2033.0)</f>
        <v>2033</v>
      </c>
      <c r="E6730">
        <f>IFERROR(__xludf.DUMMYFUNCTION("""COMPUTED_VALUE"""),1.1534322E7)</f>
        <v>11534322</v>
      </c>
    </row>
    <row r="6731">
      <c r="A6731" t="str">
        <f t="shared" si="1"/>
        <v>hnd#2034</v>
      </c>
      <c r="B6731" t="str">
        <f>IFERROR(__xludf.DUMMYFUNCTION("""COMPUTED_VALUE"""),"hnd")</f>
        <v>hnd</v>
      </c>
      <c r="C6731" t="str">
        <f>IFERROR(__xludf.DUMMYFUNCTION("""COMPUTED_VALUE"""),"Honduras")</f>
        <v>Honduras</v>
      </c>
      <c r="D6731">
        <f>IFERROR(__xludf.DUMMYFUNCTION("""COMPUTED_VALUE"""),2034.0)</f>
        <v>2034</v>
      </c>
      <c r="E6731">
        <f>IFERROR(__xludf.DUMMYFUNCTION("""COMPUTED_VALUE"""),1.165792E7)</f>
        <v>11657920</v>
      </c>
    </row>
    <row r="6732">
      <c r="A6732" t="str">
        <f t="shared" si="1"/>
        <v>hnd#2035</v>
      </c>
      <c r="B6732" t="str">
        <f>IFERROR(__xludf.DUMMYFUNCTION("""COMPUTED_VALUE"""),"hnd")</f>
        <v>hnd</v>
      </c>
      <c r="C6732" t="str">
        <f>IFERROR(__xludf.DUMMYFUNCTION("""COMPUTED_VALUE"""),"Honduras")</f>
        <v>Honduras</v>
      </c>
      <c r="D6732">
        <f>IFERROR(__xludf.DUMMYFUNCTION("""COMPUTED_VALUE"""),2035.0)</f>
        <v>2035</v>
      </c>
      <c r="E6732">
        <f>IFERROR(__xludf.DUMMYFUNCTION("""COMPUTED_VALUE"""),1.1778686E7)</f>
        <v>11778686</v>
      </c>
    </row>
    <row r="6733">
      <c r="A6733" t="str">
        <f t="shared" si="1"/>
        <v>hnd#2036</v>
      </c>
      <c r="B6733" t="str">
        <f>IFERROR(__xludf.DUMMYFUNCTION("""COMPUTED_VALUE"""),"hnd")</f>
        <v>hnd</v>
      </c>
      <c r="C6733" t="str">
        <f>IFERROR(__xludf.DUMMYFUNCTION("""COMPUTED_VALUE"""),"Honduras")</f>
        <v>Honduras</v>
      </c>
      <c r="D6733">
        <f>IFERROR(__xludf.DUMMYFUNCTION("""COMPUTED_VALUE"""),2036.0)</f>
        <v>2036</v>
      </c>
      <c r="E6733">
        <f>IFERROR(__xludf.DUMMYFUNCTION("""COMPUTED_VALUE"""),1.1896543E7)</f>
        <v>11896543</v>
      </c>
    </row>
    <row r="6734">
      <c r="A6734" t="str">
        <f t="shared" si="1"/>
        <v>hnd#2037</v>
      </c>
      <c r="B6734" t="str">
        <f>IFERROR(__xludf.DUMMYFUNCTION("""COMPUTED_VALUE"""),"hnd")</f>
        <v>hnd</v>
      </c>
      <c r="C6734" t="str">
        <f>IFERROR(__xludf.DUMMYFUNCTION("""COMPUTED_VALUE"""),"Honduras")</f>
        <v>Honduras</v>
      </c>
      <c r="D6734">
        <f>IFERROR(__xludf.DUMMYFUNCTION("""COMPUTED_VALUE"""),2037.0)</f>
        <v>2037</v>
      </c>
      <c r="E6734">
        <f>IFERROR(__xludf.DUMMYFUNCTION("""COMPUTED_VALUE"""),1.2011469E7)</f>
        <v>12011469</v>
      </c>
    </row>
    <row r="6735">
      <c r="A6735" t="str">
        <f t="shared" si="1"/>
        <v>hnd#2038</v>
      </c>
      <c r="B6735" t="str">
        <f>IFERROR(__xludf.DUMMYFUNCTION("""COMPUTED_VALUE"""),"hnd")</f>
        <v>hnd</v>
      </c>
      <c r="C6735" t="str">
        <f>IFERROR(__xludf.DUMMYFUNCTION("""COMPUTED_VALUE"""),"Honduras")</f>
        <v>Honduras</v>
      </c>
      <c r="D6735">
        <f>IFERROR(__xludf.DUMMYFUNCTION("""COMPUTED_VALUE"""),2038.0)</f>
        <v>2038</v>
      </c>
      <c r="E6735">
        <f>IFERROR(__xludf.DUMMYFUNCTION("""COMPUTED_VALUE"""),1.2123518E7)</f>
        <v>12123518</v>
      </c>
    </row>
    <row r="6736">
      <c r="A6736" t="str">
        <f t="shared" si="1"/>
        <v>hnd#2039</v>
      </c>
      <c r="B6736" t="str">
        <f>IFERROR(__xludf.DUMMYFUNCTION("""COMPUTED_VALUE"""),"hnd")</f>
        <v>hnd</v>
      </c>
      <c r="C6736" t="str">
        <f>IFERROR(__xludf.DUMMYFUNCTION("""COMPUTED_VALUE"""),"Honduras")</f>
        <v>Honduras</v>
      </c>
      <c r="D6736">
        <f>IFERROR(__xludf.DUMMYFUNCTION("""COMPUTED_VALUE"""),2039.0)</f>
        <v>2039</v>
      </c>
      <c r="E6736">
        <f>IFERROR(__xludf.DUMMYFUNCTION("""COMPUTED_VALUE"""),1.2232808E7)</f>
        <v>12232808</v>
      </c>
    </row>
    <row r="6737">
      <c r="A6737" t="str">
        <f t="shared" si="1"/>
        <v>hnd#2040</v>
      </c>
      <c r="B6737" t="str">
        <f>IFERROR(__xludf.DUMMYFUNCTION("""COMPUTED_VALUE"""),"hnd")</f>
        <v>hnd</v>
      </c>
      <c r="C6737" t="str">
        <f>IFERROR(__xludf.DUMMYFUNCTION("""COMPUTED_VALUE"""),"Honduras")</f>
        <v>Honduras</v>
      </c>
      <c r="D6737">
        <f>IFERROR(__xludf.DUMMYFUNCTION("""COMPUTED_VALUE"""),2040.0)</f>
        <v>2040</v>
      </c>
      <c r="E6737">
        <f>IFERROR(__xludf.DUMMYFUNCTION("""COMPUTED_VALUE"""),1.2339417E7)</f>
        <v>12339417</v>
      </c>
    </row>
    <row r="6738">
      <c r="A6738" t="str">
        <f t="shared" si="1"/>
        <v>hkg#1950</v>
      </c>
      <c r="B6738" t="str">
        <f>IFERROR(__xludf.DUMMYFUNCTION("""COMPUTED_VALUE"""),"hkg")</f>
        <v>hkg</v>
      </c>
      <c r="C6738" t="str">
        <f>IFERROR(__xludf.DUMMYFUNCTION("""COMPUTED_VALUE"""),"Hong Kong, China")</f>
        <v>Hong Kong, China</v>
      </c>
      <c r="D6738">
        <f>IFERROR(__xludf.DUMMYFUNCTION("""COMPUTED_VALUE"""),1950.0)</f>
        <v>1950</v>
      </c>
      <c r="E6738">
        <f>IFERROR(__xludf.DUMMYFUNCTION("""COMPUTED_VALUE"""),1973998.0)</f>
        <v>1973998</v>
      </c>
    </row>
    <row r="6739">
      <c r="A6739" t="str">
        <f t="shared" si="1"/>
        <v>hkg#1951</v>
      </c>
      <c r="B6739" t="str">
        <f>IFERROR(__xludf.DUMMYFUNCTION("""COMPUTED_VALUE"""),"hkg")</f>
        <v>hkg</v>
      </c>
      <c r="C6739" t="str">
        <f>IFERROR(__xludf.DUMMYFUNCTION("""COMPUTED_VALUE"""),"Hong Kong, China")</f>
        <v>Hong Kong, China</v>
      </c>
      <c r="D6739">
        <f>IFERROR(__xludf.DUMMYFUNCTION("""COMPUTED_VALUE"""),1951.0)</f>
        <v>1951</v>
      </c>
      <c r="E6739">
        <f>IFERROR(__xludf.DUMMYFUNCTION("""COMPUTED_VALUE"""),2063316.0)</f>
        <v>2063316</v>
      </c>
    </row>
    <row r="6740">
      <c r="A6740" t="str">
        <f t="shared" si="1"/>
        <v>hkg#1952</v>
      </c>
      <c r="B6740" t="str">
        <f>IFERROR(__xludf.DUMMYFUNCTION("""COMPUTED_VALUE"""),"hkg")</f>
        <v>hkg</v>
      </c>
      <c r="C6740" t="str">
        <f>IFERROR(__xludf.DUMMYFUNCTION("""COMPUTED_VALUE"""),"Hong Kong, China")</f>
        <v>Hong Kong, China</v>
      </c>
      <c r="D6740">
        <f>IFERROR(__xludf.DUMMYFUNCTION("""COMPUTED_VALUE"""),1952.0)</f>
        <v>1952</v>
      </c>
      <c r="E6740">
        <f>IFERROR(__xludf.DUMMYFUNCTION("""COMPUTED_VALUE"""),2160102.0)</f>
        <v>2160102</v>
      </c>
    </row>
    <row r="6741">
      <c r="A6741" t="str">
        <f t="shared" si="1"/>
        <v>hkg#1953</v>
      </c>
      <c r="B6741" t="str">
        <f>IFERROR(__xludf.DUMMYFUNCTION("""COMPUTED_VALUE"""),"hkg")</f>
        <v>hkg</v>
      </c>
      <c r="C6741" t="str">
        <f>IFERROR(__xludf.DUMMYFUNCTION("""COMPUTED_VALUE"""),"Hong Kong, China")</f>
        <v>Hong Kong, China</v>
      </c>
      <c r="D6741">
        <f>IFERROR(__xludf.DUMMYFUNCTION("""COMPUTED_VALUE"""),1953.0)</f>
        <v>1953</v>
      </c>
      <c r="E6741">
        <f>IFERROR(__xludf.DUMMYFUNCTION("""COMPUTED_VALUE"""),2264109.0)</f>
        <v>2264109</v>
      </c>
    </row>
    <row r="6742">
      <c r="A6742" t="str">
        <f t="shared" si="1"/>
        <v>hkg#1954</v>
      </c>
      <c r="B6742" t="str">
        <f>IFERROR(__xludf.DUMMYFUNCTION("""COMPUTED_VALUE"""),"hkg")</f>
        <v>hkg</v>
      </c>
      <c r="C6742" t="str">
        <f>IFERROR(__xludf.DUMMYFUNCTION("""COMPUTED_VALUE"""),"Hong Kong, China")</f>
        <v>Hong Kong, China</v>
      </c>
      <c r="D6742">
        <f>IFERROR(__xludf.DUMMYFUNCTION("""COMPUTED_VALUE"""),1954.0)</f>
        <v>1954</v>
      </c>
      <c r="E6742">
        <f>IFERROR(__xludf.DUMMYFUNCTION("""COMPUTED_VALUE"""),2374539.0)</f>
        <v>2374539</v>
      </c>
    </row>
    <row r="6743">
      <c r="A6743" t="str">
        <f t="shared" si="1"/>
        <v>hkg#1955</v>
      </c>
      <c r="B6743" t="str">
        <f>IFERROR(__xludf.DUMMYFUNCTION("""COMPUTED_VALUE"""),"hkg")</f>
        <v>hkg</v>
      </c>
      <c r="C6743" t="str">
        <f>IFERROR(__xludf.DUMMYFUNCTION("""COMPUTED_VALUE"""),"Hong Kong, China")</f>
        <v>Hong Kong, China</v>
      </c>
      <c r="D6743">
        <f>IFERROR(__xludf.DUMMYFUNCTION("""COMPUTED_VALUE"""),1955.0)</f>
        <v>1955</v>
      </c>
      <c r="E6743">
        <f>IFERROR(__xludf.DUMMYFUNCTION("""COMPUTED_VALUE"""),2490103.0)</f>
        <v>2490103</v>
      </c>
    </row>
    <row r="6744">
      <c r="A6744" t="str">
        <f t="shared" si="1"/>
        <v>hkg#1956</v>
      </c>
      <c r="B6744" t="str">
        <f>IFERROR(__xludf.DUMMYFUNCTION("""COMPUTED_VALUE"""),"hkg")</f>
        <v>hkg</v>
      </c>
      <c r="C6744" t="str">
        <f>IFERROR(__xludf.DUMMYFUNCTION("""COMPUTED_VALUE"""),"Hong Kong, China")</f>
        <v>Hong Kong, China</v>
      </c>
      <c r="D6744">
        <f>IFERROR(__xludf.DUMMYFUNCTION("""COMPUTED_VALUE"""),1956.0)</f>
        <v>1956</v>
      </c>
      <c r="E6744">
        <f>IFERROR(__xludf.DUMMYFUNCTION("""COMPUTED_VALUE"""),2608941.0)</f>
        <v>2608941</v>
      </c>
    </row>
    <row r="6745">
      <c r="A6745" t="str">
        <f t="shared" si="1"/>
        <v>hkg#1957</v>
      </c>
      <c r="B6745" t="str">
        <f>IFERROR(__xludf.DUMMYFUNCTION("""COMPUTED_VALUE"""),"hkg")</f>
        <v>hkg</v>
      </c>
      <c r="C6745" t="str">
        <f>IFERROR(__xludf.DUMMYFUNCTION("""COMPUTED_VALUE"""),"Hong Kong, China")</f>
        <v>Hong Kong, China</v>
      </c>
      <c r="D6745">
        <f>IFERROR(__xludf.DUMMYFUNCTION("""COMPUTED_VALUE"""),1957.0)</f>
        <v>1957</v>
      </c>
      <c r="E6745">
        <f>IFERROR(__xludf.DUMMYFUNCTION("""COMPUTED_VALUE"""),2728665.0)</f>
        <v>2728665</v>
      </c>
    </row>
    <row r="6746">
      <c r="A6746" t="str">
        <f t="shared" si="1"/>
        <v>hkg#1958</v>
      </c>
      <c r="B6746" t="str">
        <f>IFERROR(__xludf.DUMMYFUNCTION("""COMPUTED_VALUE"""),"hkg")</f>
        <v>hkg</v>
      </c>
      <c r="C6746" t="str">
        <f>IFERROR(__xludf.DUMMYFUNCTION("""COMPUTED_VALUE"""),"Hong Kong, China")</f>
        <v>Hong Kong, China</v>
      </c>
      <c r="D6746">
        <f>IFERROR(__xludf.DUMMYFUNCTION("""COMPUTED_VALUE"""),1958.0)</f>
        <v>1958</v>
      </c>
      <c r="E6746">
        <f>IFERROR(__xludf.DUMMYFUNCTION("""COMPUTED_VALUE"""),2846522.0)</f>
        <v>2846522</v>
      </c>
    </row>
    <row r="6747">
      <c r="A6747" t="str">
        <f t="shared" si="1"/>
        <v>hkg#1959</v>
      </c>
      <c r="B6747" t="str">
        <f>IFERROR(__xludf.DUMMYFUNCTION("""COMPUTED_VALUE"""),"hkg")</f>
        <v>hkg</v>
      </c>
      <c r="C6747" t="str">
        <f>IFERROR(__xludf.DUMMYFUNCTION("""COMPUTED_VALUE"""),"Hong Kong, China")</f>
        <v>Hong Kong, China</v>
      </c>
      <c r="D6747">
        <f>IFERROR(__xludf.DUMMYFUNCTION("""COMPUTED_VALUE"""),1959.0)</f>
        <v>1959</v>
      </c>
      <c r="E6747">
        <f>IFERROR(__xludf.DUMMYFUNCTION("""COMPUTED_VALUE"""),2959533.0)</f>
        <v>2959533</v>
      </c>
    </row>
    <row r="6748">
      <c r="A6748" t="str">
        <f t="shared" si="1"/>
        <v>hkg#1960</v>
      </c>
      <c r="B6748" t="str">
        <f>IFERROR(__xludf.DUMMYFUNCTION("""COMPUTED_VALUE"""),"hkg")</f>
        <v>hkg</v>
      </c>
      <c r="C6748" t="str">
        <f>IFERROR(__xludf.DUMMYFUNCTION("""COMPUTED_VALUE"""),"Hong Kong, China")</f>
        <v>Hong Kong, China</v>
      </c>
      <c r="D6748">
        <f>IFERROR(__xludf.DUMMYFUNCTION("""COMPUTED_VALUE"""),1960.0)</f>
        <v>1960</v>
      </c>
      <c r="E6748">
        <f>IFERROR(__xludf.DUMMYFUNCTION("""COMPUTED_VALUE"""),3065187.0)</f>
        <v>3065187</v>
      </c>
    </row>
    <row r="6749">
      <c r="A6749" t="str">
        <f t="shared" si="1"/>
        <v>hkg#1961</v>
      </c>
      <c r="B6749" t="str">
        <f>IFERROR(__xludf.DUMMYFUNCTION("""COMPUTED_VALUE"""),"hkg")</f>
        <v>hkg</v>
      </c>
      <c r="C6749" t="str">
        <f>IFERROR(__xludf.DUMMYFUNCTION("""COMPUTED_VALUE"""),"Hong Kong, China")</f>
        <v>Hong Kong, China</v>
      </c>
      <c r="D6749">
        <f>IFERROR(__xludf.DUMMYFUNCTION("""COMPUTED_VALUE"""),1961.0)</f>
        <v>1961</v>
      </c>
      <c r="E6749">
        <f>IFERROR(__xludf.DUMMYFUNCTION("""COMPUTED_VALUE"""),3162031.0)</f>
        <v>3162031</v>
      </c>
    </row>
    <row r="6750">
      <c r="A6750" t="str">
        <f t="shared" si="1"/>
        <v>hkg#1962</v>
      </c>
      <c r="B6750" t="str">
        <f>IFERROR(__xludf.DUMMYFUNCTION("""COMPUTED_VALUE"""),"hkg")</f>
        <v>hkg</v>
      </c>
      <c r="C6750" t="str">
        <f>IFERROR(__xludf.DUMMYFUNCTION("""COMPUTED_VALUE"""),"Hong Kong, China")</f>
        <v>Hong Kong, China</v>
      </c>
      <c r="D6750">
        <f>IFERROR(__xludf.DUMMYFUNCTION("""COMPUTED_VALUE"""),1962.0)</f>
        <v>1962</v>
      </c>
      <c r="E6750">
        <f>IFERROR(__xludf.DUMMYFUNCTION("""COMPUTED_VALUE"""),3250311.0)</f>
        <v>3250311</v>
      </c>
    </row>
    <row r="6751">
      <c r="A6751" t="str">
        <f t="shared" si="1"/>
        <v>hkg#1963</v>
      </c>
      <c r="B6751" t="str">
        <f>IFERROR(__xludf.DUMMYFUNCTION("""COMPUTED_VALUE"""),"hkg")</f>
        <v>hkg</v>
      </c>
      <c r="C6751" t="str">
        <f>IFERROR(__xludf.DUMMYFUNCTION("""COMPUTED_VALUE"""),"Hong Kong, China")</f>
        <v>Hong Kong, China</v>
      </c>
      <c r="D6751">
        <f>IFERROR(__xludf.DUMMYFUNCTION("""COMPUTED_VALUE"""),1963.0)</f>
        <v>1963</v>
      </c>
      <c r="E6751">
        <f>IFERROR(__xludf.DUMMYFUNCTION("""COMPUTED_VALUE"""),3332162.0)</f>
        <v>3332162</v>
      </c>
    </row>
    <row r="6752">
      <c r="A6752" t="str">
        <f t="shared" si="1"/>
        <v>hkg#1964</v>
      </c>
      <c r="B6752" t="str">
        <f>IFERROR(__xludf.DUMMYFUNCTION("""COMPUTED_VALUE"""),"hkg")</f>
        <v>hkg</v>
      </c>
      <c r="C6752" t="str">
        <f>IFERROR(__xludf.DUMMYFUNCTION("""COMPUTED_VALUE"""),"Hong Kong, China")</f>
        <v>Hong Kong, China</v>
      </c>
      <c r="D6752">
        <f>IFERROR(__xludf.DUMMYFUNCTION("""COMPUTED_VALUE"""),1964.0)</f>
        <v>1964</v>
      </c>
      <c r="E6752">
        <f>IFERROR(__xludf.DUMMYFUNCTION("""COMPUTED_VALUE"""),3410959.0)</f>
        <v>3410959</v>
      </c>
    </row>
    <row r="6753">
      <c r="A6753" t="str">
        <f t="shared" si="1"/>
        <v>hkg#1965</v>
      </c>
      <c r="B6753" t="str">
        <f>IFERROR(__xludf.DUMMYFUNCTION("""COMPUTED_VALUE"""),"hkg")</f>
        <v>hkg</v>
      </c>
      <c r="C6753" t="str">
        <f>IFERROR(__xludf.DUMMYFUNCTION("""COMPUTED_VALUE"""),"Hong Kong, China")</f>
        <v>Hong Kong, China</v>
      </c>
      <c r="D6753">
        <f>IFERROR(__xludf.DUMMYFUNCTION("""COMPUTED_VALUE"""),1965.0)</f>
        <v>1965</v>
      </c>
      <c r="E6753">
        <f>IFERROR(__xludf.DUMMYFUNCTION("""COMPUTED_VALUE"""),3489213.0)</f>
        <v>3489213</v>
      </c>
    </row>
    <row r="6754">
      <c r="A6754" t="str">
        <f t="shared" si="1"/>
        <v>hkg#1966</v>
      </c>
      <c r="B6754" t="str">
        <f>IFERROR(__xludf.DUMMYFUNCTION("""COMPUTED_VALUE"""),"hkg")</f>
        <v>hkg</v>
      </c>
      <c r="C6754" t="str">
        <f>IFERROR(__xludf.DUMMYFUNCTION("""COMPUTED_VALUE"""),"Hong Kong, China")</f>
        <v>Hong Kong, China</v>
      </c>
      <c r="D6754">
        <f>IFERROR(__xludf.DUMMYFUNCTION("""COMPUTED_VALUE"""),1966.0)</f>
        <v>1966</v>
      </c>
      <c r="E6754">
        <f>IFERROR(__xludf.DUMMYFUNCTION("""COMPUTED_VALUE"""),3568376.0)</f>
        <v>3568376</v>
      </c>
    </row>
    <row r="6755">
      <c r="A6755" t="str">
        <f t="shared" si="1"/>
        <v>hkg#1967</v>
      </c>
      <c r="B6755" t="str">
        <f>IFERROR(__xludf.DUMMYFUNCTION("""COMPUTED_VALUE"""),"hkg")</f>
        <v>hkg</v>
      </c>
      <c r="C6755" t="str">
        <f>IFERROR(__xludf.DUMMYFUNCTION("""COMPUTED_VALUE"""),"Hong Kong, China")</f>
        <v>Hong Kong, China</v>
      </c>
      <c r="D6755">
        <f>IFERROR(__xludf.DUMMYFUNCTION("""COMPUTED_VALUE"""),1967.0)</f>
        <v>1967</v>
      </c>
      <c r="E6755">
        <f>IFERROR(__xludf.DUMMYFUNCTION("""COMPUTED_VALUE"""),3648033.0)</f>
        <v>3648033</v>
      </c>
    </row>
    <row r="6756">
      <c r="A6756" t="str">
        <f t="shared" si="1"/>
        <v>hkg#1968</v>
      </c>
      <c r="B6756" t="str">
        <f>IFERROR(__xludf.DUMMYFUNCTION("""COMPUTED_VALUE"""),"hkg")</f>
        <v>hkg</v>
      </c>
      <c r="C6756" t="str">
        <f>IFERROR(__xludf.DUMMYFUNCTION("""COMPUTED_VALUE"""),"Hong Kong, China")</f>
        <v>Hong Kong, China</v>
      </c>
      <c r="D6756">
        <f>IFERROR(__xludf.DUMMYFUNCTION("""COMPUTED_VALUE"""),1968.0)</f>
        <v>1968</v>
      </c>
      <c r="E6756">
        <f>IFERROR(__xludf.DUMMYFUNCTION("""COMPUTED_VALUE"""),3726705.0)</f>
        <v>3726705</v>
      </c>
    </row>
    <row r="6757">
      <c r="A6757" t="str">
        <f t="shared" si="1"/>
        <v>hkg#1969</v>
      </c>
      <c r="B6757" t="str">
        <f>IFERROR(__xludf.DUMMYFUNCTION("""COMPUTED_VALUE"""),"hkg")</f>
        <v>hkg</v>
      </c>
      <c r="C6757" t="str">
        <f>IFERROR(__xludf.DUMMYFUNCTION("""COMPUTED_VALUE"""),"Hong Kong, China")</f>
        <v>Hong Kong, China</v>
      </c>
      <c r="D6757">
        <f>IFERROR(__xludf.DUMMYFUNCTION("""COMPUTED_VALUE"""),1969.0)</f>
        <v>1969</v>
      </c>
      <c r="E6757">
        <f>IFERROR(__xludf.DUMMYFUNCTION("""COMPUTED_VALUE"""),3802096.0)</f>
        <v>3802096</v>
      </c>
    </row>
    <row r="6758">
      <c r="A6758" t="str">
        <f t="shared" si="1"/>
        <v>hkg#1970</v>
      </c>
      <c r="B6758" t="str">
        <f>IFERROR(__xludf.DUMMYFUNCTION("""COMPUTED_VALUE"""),"hkg")</f>
        <v>hkg</v>
      </c>
      <c r="C6758" t="str">
        <f>IFERROR(__xludf.DUMMYFUNCTION("""COMPUTED_VALUE"""),"Hong Kong, China")</f>
        <v>Hong Kong, China</v>
      </c>
      <c r="D6758">
        <f>IFERROR(__xludf.DUMMYFUNCTION("""COMPUTED_VALUE"""),1970.0)</f>
        <v>1970</v>
      </c>
      <c r="E6758">
        <f>IFERROR(__xludf.DUMMYFUNCTION("""COMPUTED_VALUE"""),3873112.0)</f>
        <v>3873112</v>
      </c>
    </row>
    <row r="6759">
      <c r="A6759" t="str">
        <f t="shared" si="1"/>
        <v>hkg#1971</v>
      </c>
      <c r="B6759" t="str">
        <f>IFERROR(__xludf.DUMMYFUNCTION("""COMPUTED_VALUE"""),"hkg")</f>
        <v>hkg</v>
      </c>
      <c r="C6759" t="str">
        <f>IFERROR(__xludf.DUMMYFUNCTION("""COMPUTED_VALUE"""),"Hong Kong, China")</f>
        <v>Hong Kong, China</v>
      </c>
      <c r="D6759">
        <f>IFERROR(__xludf.DUMMYFUNCTION("""COMPUTED_VALUE"""),1971.0)</f>
        <v>1971</v>
      </c>
      <c r="E6759">
        <f>IFERROR(__xludf.DUMMYFUNCTION("""COMPUTED_VALUE"""),3937829.0)</f>
        <v>3937829</v>
      </c>
    </row>
    <row r="6760">
      <c r="A6760" t="str">
        <f t="shared" si="1"/>
        <v>hkg#1972</v>
      </c>
      <c r="B6760" t="str">
        <f>IFERROR(__xludf.DUMMYFUNCTION("""COMPUTED_VALUE"""),"hkg")</f>
        <v>hkg</v>
      </c>
      <c r="C6760" t="str">
        <f>IFERROR(__xludf.DUMMYFUNCTION("""COMPUTED_VALUE"""),"Hong Kong, China")</f>
        <v>Hong Kong, China</v>
      </c>
      <c r="D6760">
        <f>IFERROR(__xludf.DUMMYFUNCTION("""COMPUTED_VALUE"""),1972.0)</f>
        <v>1972</v>
      </c>
      <c r="E6760">
        <f>IFERROR(__xludf.DUMMYFUNCTION("""COMPUTED_VALUE"""),3998312.0)</f>
        <v>3998312</v>
      </c>
    </row>
    <row r="6761">
      <c r="A6761" t="str">
        <f t="shared" si="1"/>
        <v>hkg#1973</v>
      </c>
      <c r="B6761" t="str">
        <f>IFERROR(__xludf.DUMMYFUNCTION("""COMPUTED_VALUE"""),"hkg")</f>
        <v>hkg</v>
      </c>
      <c r="C6761" t="str">
        <f>IFERROR(__xludf.DUMMYFUNCTION("""COMPUTED_VALUE"""),"Hong Kong, China")</f>
        <v>Hong Kong, China</v>
      </c>
      <c r="D6761">
        <f>IFERROR(__xludf.DUMMYFUNCTION("""COMPUTED_VALUE"""),1973.0)</f>
        <v>1973</v>
      </c>
      <c r="E6761">
        <f>IFERROR(__xludf.DUMMYFUNCTION("""COMPUTED_VALUE"""),4062042.0)</f>
        <v>4062042</v>
      </c>
    </row>
    <row r="6762">
      <c r="A6762" t="str">
        <f t="shared" si="1"/>
        <v>hkg#1974</v>
      </c>
      <c r="B6762" t="str">
        <f>IFERROR(__xludf.DUMMYFUNCTION("""COMPUTED_VALUE"""),"hkg")</f>
        <v>hkg</v>
      </c>
      <c r="C6762" t="str">
        <f>IFERROR(__xludf.DUMMYFUNCTION("""COMPUTED_VALUE"""),"Hong Kong, China")</f>
        <v>Hong Kong, China</v>
      </c>
      <c r="D6762">
        <f>IFERROR(__xludf.DUMMYFUNCTION("""COMPUTED_VALUE"""),1974.0)</f>
        <v>1974</v>
      </c>
      <c r="E6762">
        <f>IFERROR(__xludf.DUMMYFUNCTION("""COMPUTED_VALUE"""),4139096.0)</f>
        <v>4139096</v>
      </c>
    </row>
    <row r="6763">
      <c r="A6763" t="str">
        <f t="shared" si="1"/>
        <v>hkg#1975</v>
      </c>
      <c r="B6763" t="str">
        <f>IFERROR(__xludf.DUMMYFUNCTION("""COMPUTED_VALUE"""),"hkg")</f>
        <v>hkg</v>
      </c>
      <c r="C6763" t="str">
        <f>IFERROR(__xludf.DUMMYFUNCTION("""COMPUTED_VALUE"""),"Hong Kong, China")</f>
        <v>Hong Kong, China</v>
      </c>
      <c r="D6763">
        <f>IFERROR(__xludf.DUMMYFUNCTION("""COMPUTED_VALUE"""),1975.0)</f>
        <v>1975</v>
      </c>
      <c r="E6763">
        <f>IFERROR(__xludf.DUMMYFUNCTION("""COMPUTED_VALUE"""),4236002.0)</f>
        <v>4236002</v>
      </c>
    </row>
    <row r="6764">
      <c r="A6764" t="str">
        <f t="shared" si="1"/>
        <v>hkg#1976</v>
      </c>
      <c r="B6764" t="str">
        <f>IFERROR(__xludf.DUMMYFUNCTION("""COMPUTED_VALUE"""),"hkg")</f>
        <v>hkg</v>
      </c>
      <c r="C6764" t="str">
        <f>IFERROR(__xludf.DUMMYFUNCTION("""COMPUTED_VALUE"""),"Hong Kong, China")</f>
        <v>Hong Kong, China</v>
      </c>
      <c r="D6764">
        <f>IFERROR(__xludf.DUMMYFUNCTION("""COMPUTED_VALUE"""),1976.0)</f>
        <v>1976</v>
      </c>
      <c r="E6764">
        <f>IFERROR(__xludf.DUMMYFUNCTION("""COMPUTED_VALUE"""),4356575.0)</f>
        <v>4356575</v>
      </c>
    </row>
    <row r="6765">
      <c r="A6765" t="str">
        <f t="shared" si="1"/>
        <v>hkg#1977</v>
      </c>
      <c r="B6765" t="str">
        <f>IFERROR(__xludf.DUMMYFUNCTION("""COMPUTED_VALUE"""),"hkg")</f>
        <v>hkg</v>
      </c>
      <c r="C6765" t="str">
        <f>IFERROR(__xludf.DUMMYFUNCTION("""COMPUTED_VALUE"""),"Hong Kong, China")</f>
        <v>Hong Kong, China</v>
      </c>
      <c r="D6765">
        <f>IFERROR(__xludf.DUMMYFUNCTION("""COMPUTED_VALUE"""),1977.0)</f>
        <v>1977</v>
      </c>
      <c r="E6765">
        <f>IFERROR(__xludf.DUMMYFUNCTION("""COMPUTED_VALUE"""),4496871.0)</f>
        <v>4496871</v>
      </c>
    </row>
    <row r="6766">
      <c r="A6766" t="str">
        <f t="shared" si="1"/>
        <v>hkg#1978</v>
      </c>
      <c r="B6766" t="str">
        <f>IFERROR(__xludf.DUMMYFUNCTION("""COMPUTED_VALUE"""),"hkg")</f>
        <v>hkg</v>
      </c>
      <c r="C6766" t="str">
        <f>IFERROR(__xludf.DUMMYFUNCTION("""COMPUTED_VALUE"""),"Hong Kong, China")</f>
        <v>Hong Kong, China</v>
      </c>
      <c r="D6766">
        <f>IFERROR(__xludf.DUMMYFUNCTION("""COMPUTED_VALUE"""),1978.0)</f>
        <v>1978</v>
      </c>
      <c r="E6766">
        <f>IFERROR(__xludf.DUMMYFUNCTION("""COMPUTED_VALUE"""),4646177.0)</f>
        <v>4646177</v>
      </c>
    </row>
    <row r="6767">
      <c r="A6767" t="str">
        <f t="shared" si="1"/>
        <v>hkg#1979</v>
      </c>
      <c r="B6767" t="str">
        <f>IFERROR(__xludf.DUMMYFUNCTION("""COMPUTED_VALUE"""),"hkg")</f>
        <v>hkg</v>
      </c>
      <c r="C6767" t="str">
        <f>IFERROR(__xludf.DUMMYFUNCTION("""COMPUTED_VALUE"""),"Hong Kong, China")</f>
        <v>Hong Kong, China</v>
      </c>
      <c r="D6767">
        <f>IFERROR(__xludf.DUMMYFUNCTION("""COMPUTED_VALUE"""),1979.0)</f>
        <v>1979</v>
      </c>
      <c r="E6767">
        <f>IFERROR(__xludf.DUMMYFUNCTION("""COMPUTED_VALUE"""),4789320.0)</f>
        <v>4789320</v>
      </c>
    </row>
    <row r="6768">
      <c r="A6768" t="str">
        <f t="shared" si="1"/>
        <v>hkg#1980</v>
      </c>
      <c r="B6768" t="str">
        <f>IFERROR(__xludf.DUMMYFUNCTION("""COMPUTED_VALUE"""),"hkg")</f>
        <v>hkg</v>
      </c>
      <c r="C6768" t="str">
        <f>IFERROR(__xludf.DUMMYFUNCTION("""COMPUTED_VALUE"""),"Hong Kong, China")</f>
        <v>Hong Kong, China</v>
      </c>
      <c r="D6768">
        <f>IFERROR(__xludf.DUMMYFUNCTION("""COMPUTED_VALUE"""),1980.0)</f>
        <v>1980</v>
      </c>
      <c r="E6768">
        <f>IFERROR(__xludf.DUMMYFUNCTION("""COMPUTED_VALUE"""),4915467.0)</f>
        <v>4915467</v>
      </c>
    </row>
    <row r="6769">
      <c r="A6769" t="str">
        <f t="shared" si="1"/>
        <v>hkg#1981</v>
      </c>
      <c r="B6769" t="str">
        <f>IFERROR(__xludf.DUMMYFUNCTION("""COMPUTED_VALUE"""),"hkg")</f>
        <v>hkg</v>
      </c>
      <c r="C6769" t="str">
        <f>IFERROR(__xludf.DUMMYFUNCTION("""COMPUTED_VALUE"""),"Hong Kong, China")</f>
        <v>Hong Kong, China</v>
      </c>
      <c r="D6769">
        <f>IFERROR(__xludf.DUMMYFUNCTION("""COMPUTED_VALUE"""),1981.0)</f>
        <v>1981</v>
      </c>
      <c r="E6769">
        <f>IFERROR(__xludf.DUMMYFUNCTION("""COMPUTED_VALUE"""),5020488.0)</f>
        <v>5020488</v>
      </c>
    </row>
    <row r="6770">
      <c r="A6770" t="str">
        <f t="shared" si="1"/>
        <v>hkg#1982</v>
      </c>
      <c r="B6770" t="str">
        <f>IFERROR(__xludf.DUMMYFUNCTION("""COMPUTED_VALUE"""),"hkg")</f>
        <v>hkg</v>
      </c>
      <c r="C6770" t="str">
        <f>IFERROR(__xludf.DUMMYFUNCTION("""COMPUTED_VALUE"""),"Hong Kong, China")</f>
        <v>Hong Kong, China</v>
      </c>
      <c r="D6770">
        <f>IFERROR(__xludf.DUMMYFUNCTION("""COMPUTED_VALUE"""),1982.0)</f>
        <v>1982</v>
      </c>
      <c r="E6770">
        <f>IFERROR(__xludf.DUMMYFUNCTION("""COMPUTED_VALUE"""),5107909.0)</f>
        <v>5107909</v>
      </c>
    </row>
    <row r="6771">
      <c r="A6771" t="str">
        <f t="shared" si="1"/>
        <v>hkg#1983</v>
      </c>
      <c r="B6771" t="str">
        <f>IFERROR(__xludf.DUMMYFUNCTION("""COMPUTED_VALUE"""),"hkg")</f>
        <v>hkg</v>
      </c>
      <c r="C6771" t="str">
        <f>IFERROR(__xludf.DUMMYFUNCTION("""COMPUTED_VALUE"""),"Hong Kong, China")</f>
        <v>Hong Kong, China</v>
      </c>
      <c r="D6771">
        <f>IFERROR(__xludf.DUMMYFUNCTION("""COMPUTED_VALUE"""),1983.0)</f>
        <v>1983</v>
      </c>
      <c r="E6771">
        <f>IFERROR(__xludf.DUMMYFUNCTION("""COMPUTED_VALUE"""),5183912.0)</f>
        <v>5183912</v>
      </c>
    </row>
    <row r="6772">
      <c r="A6772" t="str">
        <f t="shared" si="1"/>
        <v>hkg#1984</v>
      </c>
      <c r="B6772" t="str">
        <f>IFERROR(__xludf.DUMMYFUNCTION("""COMPUTED_VALUE"""),"hkg")</f>
        <v>hkg</v>
      </c>
      <c r="C6772" t="str">
        <f>IFERROR(__xludf.DUMMYFUNCTION("""COMPUTED_VALUE"""),"Hong Kong, China")</f>
        <v>Hong Kong, China</v>
      </c>
      <c r="D6772">
        <f>IFERROR(__xludf.DUMMYFUNCTION("""COMPUTED_VALUE"""),1984.0)</f>
        <v>1984</v>
      </c>
      <c r="E6772">
        <f>IFERROR(__xludf.DUMMYFUNCTION("""COMPUTED_VALUE"""),5258161.0)</f>
        <v>5258161</v>
      </c>
    </row>
    <row r="6773">
      <c r="A6773" t="str">
        <f t="shared" si="1"/>
        <v>hkg#1985</v>
      </c>
      <c r="B6773" t="str">
        <f>IFERROR(__xludf.DUMMYFUNCTION("""COMPUTED_VALUE"""),"hkg")</f>
        <v>hkg</v>
      </c>
      <c r="C6773" t="str">
        <f>IFERROR(__xludf.DUMMYFUNCTION("""COMPUTED_VALUE"""),"Hong Kong, China")</f>
        <v>Hong Kong, China</v>
      </c>
      <c r="D6773">
        <f>IFERROR(__xludf.DUMMYFUNCTION("""COMPUTED_VALUE"""),1985.0)</f>
        <v>1985</v>
      </c>
      <c r="E6773">
        <f>IFERROR(__xludf.DUMMYFUNCTION("""COMPUTED_VALUE"""),5337622.0)</f>
        <v>5337622</v>
      </c>
    </row>
    <row r="6774">
      <c r="A6774" t="str">
        <f t="shared" si="1"/>
        <v>hkg#1986</v>
      </c>
      <c r="B6774" t="str">
        <f>IFERROR(__xludf.DUMMYFUNCTION("""COMPUTED_VALUE"""),"hkg")</f>
        <v>hkg</v>
      </c>
      <c r="C6774" t="str">
        <f>IFERROR(__xludf.DUMMYFUNCTION("""COMPUTED_VALUE"""),"Hong Kong, China")</f>
        <v>Hong Kong, China</v>
      </c>
      <c r="D6774">
        <f>IFERROR(__xludf.DUMMYFUNCTION("""COMPUTED_VALUE"""),1986.0)</f>
        <v>1986</v>
      </c>
      <c r="E6774">
        <f>IFERROR(__xludf.DUMMYFUNCTION("""COMPUTED_VALUE"""),5424517.0)</f>
        <v>5424517</v>
      </c>
    </row>
    <row r="6775">
      <c r="A6775" t="str">
        <f t="shared" si="1"/>
        <v>hkg#1987</v>
      </c>
      <c r="B6775" t="str">
        <f>IFERROR(__xludf.DUMMYFUNCTION("""COMPUTED_VALUE"""),"hkg")</f>
        <v>hkg</v>
      </c>
      <c r="C6775" t="str">
        <f>IFERROR(__xludf.DUMMYFUNCTION("""COMPUTED_VALUE"""),"Hong Kong, China")</f>
        <v>Hong Kong, China</v>
      </c>
      <c r="D6775">
        <f>IFERROR(__xludf.DUMMYFUNCTION("""COMPUTED_VALUE"""),1987.0)</f>
        <v>1987</v>
      </c>
      <c r="E6775">
        <f>IFERROR(__xludf.DUMMYFUNCTION("""COMPUTED_VALUE"""),5516357.0)</f>
        <v>5516357</v>
      </c>
    </row>
    <row r="6776">
      <c r="A6776" t="str">
        <f t="shared" si="1"/>
        <v>hkg#1988</v>
      </c>
      <c r="B6776" t="str">
        <f>IFERROR(__xludf.DUMMYFUNCTION("""COMPUTED_VALUE"""),"hkg")</f>
        <v>hkg</v>
      </c>
      <c r="C6776" t="str">
        <f>IFERROR(__xludf.DUMMYFUNCTION("""COMPUTED_VALUE"""),"Hong Kong, China")</f>
        <v>Hong Kong, China</v>
      </c>
      <c r="D6776">
        <f>IFERROR(__xludf.DUMMYFUNCTION("""COMPUTED_VALUE"""),1988.0)</f>
        <v>1988</v>
      </c>
      <c r="E6776">
        <f>IFERROR(__xludf.DUMMYFUNCTION("""COMPUTED_VALUE"""),5609691.0)</f>
        <v>5609691</v>
      </c>
    </row>
    <row r="6777">
      <c r="A6777" t="str">
        <f t="shared" si="1"/>
        <v>hkg#1989</v>
      </c>
      <c r="B6777" t="str">
        <f>IFERROR(__xludf.DUMMYFUNCTION("""COMPUTED_VALUE"""),"hkg")</f>
        <v>hkg</v>
      </c>
      <c r="C6777" t="str">
        <f>IFERROR(__xludf.DUMMYFUNCTION("""COMPUTED_VALUE"""),"Hong Kong, China")</f>
        <v>Hong Kong, China</v>
      </c>
      <c r="D6777">
        <f>IFERROR(__xludf.DUMMYFUNCTION("""COMPUTED_VALUE"""),1989.0)</f>
        <v>1989</v>
      </c>
      <c r="E6777">
        <f>IFERROR(__xludf.DUMMYFUNCTION("""COMPUTED_VALUE"""),5699221.0)</f>
        <v>5699221</v>
      </c>
    </row>
    <row r="6778">
      <c r="A6778" t="str">
        <f t="shared" si="1"/>
        <v>hkg#1990</v>
      </c>
      <c r="B6778" t="str">
        <f>IFERROR(__xludf.DUMMYFUNCTION("""COMPUTED_VALUE"""),"hkg")</f>
        <v>hkg</v>
      </c>
      <c r="C6778" t="str">
        <f>IFERROR(__xludf.DUMMYFUNCTION("""COMPUTED_VALUE"""),"Hong Kong, China")</f>
        <v>Hong Kong, China</v>
      </c>
      <c r="D6778">
        <f>IFERROR(__xludf.DUMMYFUNCTION("""COMPUTED_VALUE"""),1990.0)</f>
        <v>1990</v>
      </c>
      <c r="E6778">
        <f>IFERROR(__xludf.DUMMYFUNCTION("""COMPUTED_VALUE"""),5781459.0)</f>
        <v>5781459</v>
      </c>
    </row>
    <row r="6779">
      <c r="A6779" t="str">
        <f t="shared" si="1"/>
        <v>hkg#1991</v>
      </c>
      <c r="B6779" t="str">
        <f>IFERROR(__xludf.DUMMYFUNCTION("""COMPUTED_VALUE"""),"hkg")</f>
        <v>hkg</v>
      </c>
      <c r="C6779" t="str">
        <f>IFERROR(__xludf.DUMMYFUNCTION("""COMPUTED_VALUE"""),"Hong Kong, China")</f>
        <v>Hong Kong, China</v>
      </c>
      <c r="D6779">
        <f>IFERROR(__xludf.DUMMYFUNCTION("""COMPUTED_VALUE"""),1991.0)</f>
        <v>1991</v>
      </c>
      <c r="E6779">
        <f>IFERROR(__xludf.DUMMYFUNCTION("""COMPUTED_VALUE"""),5854088.0)</f>
        <v>5854088</v>
      </c>
    </row>
    <row r="6780">
      <c r="A6780" t="str">
        <f t="shared" si="1"/>
        <v>hkg#1992</v>
      </c>
      <c r="B6780" t="str">
        <f>IFERROR(__xludf.DUMMYFUNCTION("""COMPUTED_VALUE"""),"hkg")</f>
        <v>hkg</v>
      </c>
      <c r="C6780" t="str">
        <f>IFERROR(__xludf.DUMMYFUNCTION("""COMPUTED_VALUE"""),"Hong Kong, China")</f>
        <v>Hong Kong, China</v>
      </c>
      <c r="D6780">
        <f>IFERROR(__xludf.DUMMYFUNCTION("""COMPUTED_VALUE"""),1992.0)</f>
        <v>1992</v>
      </c>
      <c r="E6780">
        <f>IFERROR(__xludf.DUMMYFUNCTION("""COMPUTED_VALUE"""),5919289.0)</f>
        <v>5919289</v>
      </c>
    </row>
    <row r="6781">
      <c r="A6781" t="str">
        <f t="shared" si="1"/>
        <v>hkg#1993</v>
      </c>
      <c r="B6781" t="str">
        <f>IFERROR(__xludf.DUMMYFUNCTION("""COMPUTED_VALUE"""),"hkg")</f>
        <v>hkg</v>
      </c>
      <c r="C6781" t="str">
        <f>IFERROR(__xludf.DUMMYFUNCTION("""COMPUTED_VALUE"""),"Hong Kong, China")</f>
        <v>Hong Kong, China</v>
      </c>
      <c r="D6781">
        <f>IFERROR(__xludf.DUMMYFUNCTION("""COMPUTED_VALUE"""),1993.0)</f>
        <v>1993</v>
      </c>
      <c r="E6781">
        <f>IFERROR(__xludf.DUMMYFUNCTION("""COMPUTED_VALUE"""),5983355.0)</f>
        <v>5983355</v>
      </c>
    </row>
    <row r="6782">
      <c r="A6782" t="str">
        <f t="shared" si="1"/>
        <v>hkg#1994</v>
      </c>
      <c r="B6782" t="str">
        <f>IFERROR(__xludf.DUMMYFUNCTION("""COMPUTED_VALUE"""),"hkg")</f>
        <v>hkg</v>
      </c>
      <c r="C6782" t="str">
        <f>IFERROR(__xludf.DUMMYFUNCTION("""COMPUTED_VALUE"""),"Hong Kong, China")</f>
        <v>Hong Kong, China</v>
      </c>
      <c r="D6782">
        <f>IFERROR(__xludf.DUMMYFUNCTION("""COMPUTED_VALUE"""),1994.0)</f>
        <v>1994</v>
      </c>
      <c r="E6782">
        <f>IFERROR(__xludf.DUMMYFUNCTION("""COMPUTED_VALUE"""),6055086.0)</f>
        <v>6055086</v>
      </c>
    </row>
    <row r="6783">
      <c r="A6783" t="str">
        <f t="shared" si="1"/>
        <v>hkg#1995</v>
      </c>
      <c r="B6783" t="str">
        <f>IFERROR(__xludf.DUMMYFUNCTION("""COMPUTED_VALUE"""),"hkg")</f>
        <v>hkg</v>
      </c>
      <c r="C6783" t="str">
        <f>IFERROR(__xludf.DUMMYFUNCTION("""COMPUTED_VALUE"""),"Hong Kong, China")</f>
        <v>Hong Kong, China</v>
      </c>
      <c r="D6783">
        <f>IFERROR(__xludf.DUMMYFUNCTION("""COMPUTED_VALUE"""),1995.0)</f>
        <v>1995</v>
      </c>
      <c r="E6783">
        <f>IFERROR(__xludf.DUMMYFUNCTION("""COMPUTED_VALUE"""),6140101.0)</f>
        <v>6140101</v>
      </c>
    </row>
    <row r="6784">
      <c r="A6784" t="str">
        <f t="shared" si="1"/>
        <v>hkg#1996</v>
      </c>
      <c r="B6784" t="str">
        <f>IFERROR(__xludf.DUMMYFUNCTION("""COMPUTED_VALUE"""),"hkg")</f>
        <v>hkg</v>
      </c>
      <c r="C6784" t="str">
        <f>IFERROR(__xludf.DUMMYFUNCTION("""COMPUTED_VALUE"""),"Hong Kong, China")</f>
        <v>Hong Kong, China</v>
      </c>
      <c r="D6784">
        <f>IFERROR(__xludf.DUMMYFUNCTION("""COMPUTED_VALUE"""),1996.0)</f>
        <v>1996</v>
      </c>
      <c r="E6784">
        <f>IFERROR(__xludf.DUMMYFUNCTION("""COMPUTED_VALUE"""),6241810.0)</f>
        <v>6241810</v>
      </c>
    </row>
    <row r="6785">
      <c r="A6785" t="str">
        <f t="shared" si="1"/>
        <v>hkg#1997</v>
      </c>
      <c r="B6785" t="str">
        <f>IFERROR(__xludf.DUMMYFUNCTION("""COMPUTED_VALUE"""),"hkg")</f>
        <v>hkg</v>
      </c>
      <c r="C6785" t="str">
        <f>IFERROR(__xludf.DUMMYFUNCTION("""COMPUTED_VALUE"""),"Hong Kong, China")</f>
        <v>Hong Kong, China</v>
      </c>
      <c r="D6785">
        <f>IFERROR(__xludf.DUMMYFUNCTION("""COMPUTED_VALUE"""),1997.0)</f>
        <v>1997</v>
      </c>
      <c r="E6785">
        <f>IFERROR(__xludf.DUMMYFUNCTION("""COMPUTED_VALUE"""),6356470.0)</f>
        <v>6356470</v>
      </c>
    </row>
    <row r="6786">
      <c r="A6786" t="str">
        <f t="shared" si="1"/>
        <v>hkg#1998</v>
      </c>
      <c r="B6786" t="str">
        <f>IFERROR(__xludf.DUMMYFUNCTION("""COMPUTED_VALUE"""),"hkg")</f>
        <v>hkg</v>
      </c>
      <c r="C6786" t="str">
        <f>IFERROR(__xludf.DUMMYFUNCTION("""COMPUTED_VALUE"""),"Hong Kong, China")</f>
        <v>Hong Kong, China</v>
      </c>
      <c r="D6786">
        <f>IFERROR(__xludf.DUMMYFUNCTION("""COMPUTED_VALUE"""),1998.0)</f>
        <v>1998</v>
      </c>
      <c r="E6786">
        <f>IFERROR(__xludf.DUMMYFUNCTION("""COMPUTED_VALUE"""),6473836.0)</f>
        <v>6473836</v>
      </c>
    </row>
    <row r="6787">
      <c r="A6787" t="str">
        <f t="shared" si="1"/>
        <v>hkg#1999</v>
      </c>
      <c r="B6787" t="str">
        <f>IFERROR(__xludf.DUMMYFUNCTION("""COMPUTED_VALUE"""),"hkg")</f>
        <v>hkg</v>
      </c>
      <c r="C6787" t="str">
        <f>IFERROR(__xludf.DUMMYFUNCTION("""COMPUTED_VALUE"""),"Hong Kong, China")</f>
        <v>Hong Kong, China</v>
      </c>
      <c r="D6787">
        <f>IFERROR(__xludf.DUMMYFUNCTION("""COMPUTED_VALUE"""),1999.0)</f>
        <v>1999</v>
      </c>
      <c r="E6787">
        <f>IFERROR(__xludf.DUMMYFUNCTION("""COMPUTED_VALUE"""),6579564.0)</f>
        <v>6579564</v>
      </c>
    </row>
    <row r="6788">
      <c r="A6788" t="str">
        <f t="shared" si="1"/>
        <v>hkg#2000</v>
      </c>
      <c r="B6788" t="str">
        <f>IFERROR(__xludf.DUMMYFUNCTION("""COMPUTED_VALUE"""),"hkg")</f>
        <v>hkg</v>
      </c>
      <c r="C6788" t="str">
        <f>IFERROR(__xludf.DUMMYFUNCTION("""COMPUTED_VALUE"""),"Hong Kong, China")</f>
        <v>Hong Kong, China</v>
      </c>
      <c r="D6788">
        <f>IFERROR(__xludf.DUMMYFUNCTION("""COMPUTED_VALUE"""),2000.0)</f>
        <v>2000</v>
      </c>
      <c r="E6788">
        <f>IFERROR(__xludf.DUMMYFUNCTION("""COMPUTED_VALUE"""),6663654.0)</f>
        <v>6663654</v>
      </c>
    </row>
    <row r="6789">
      <c r="A6789" t="str">
        <f t="shared" si="1"/>
        <v>hkg#2001</v>
      </c>
      <c r="B6789" t="str">
        <f>IFERROR(__xludf.DUMMYFUNCTION("""COMPUTED_VALUE"""),"hkg")</f>
        <v>hkg</v>
      </c>
      <c r="C6789" t="str">
        <f>IFERROR(__xludf.DUMMYFUNCTION("""COMPUTED_VALUE"""),"Hong Kong, China")</f>
        <v>Hong Kong, China</v>
      </c>
      <c r="D6789">
        <f>IFERROR(__xludf.DUMMYFUNCTION("""COMPUTED_VALUE"""),2001.0)</f>
        <v>2001</v>
      </c>
      <c r="E6789">
        <f>IFERROR(__xludf.DUMMYFUNCTION("""COMPUTED_VALUE"""),6722306.0)</f>
        <v>6722306</v>
      </c>
    </row>
    <row r="6790">
      <c r="A6790" t="str">
        <f t="shared" si="1"/>
        <v>hkg#2002</v>
      </c>
      <c r="B6790" t="str">
        <f>IFERROR(__xludf.DUMMYFUNCTION("""COMPUTED_VALUE"""),"hkg")</f>
        <v>hkg</v>
      </c>
      <c r="C6790" t="str">
        <f>IFERROR(__xludf.DUMMYFUNCTION("""COMPUTED_VALUE"""),"Hong Kong, China")</f>
        <v>Hong Kong, China</v>
      </c>
      <c r="D6790">
        <f>IFERROR(__xludf.DUMMYFUNCTION("""COMPUTED_VALUE"""),2002.0)</f>
        <v>2002</v>
      </c>
      <c r="E6790">
        <f>IFERROR(__xludf.DUMMYFUNCTION("""COMPUTED_VALUE"""),6759491.0)</f>
        <v>6759491</v>
      </c>
    </row>
    <row r="6791">
      <c r="A6791" t="str">
        <f t="shared" si="1"/>
        <v>hkg#2003</v>
      </c>
      <c r="B6791" t="str">
        <f>IFERROR(__xludf.DUMMYFUNCTION("""COMPUTED_VALUE"""),"hkg")</f>
        <v>hkg</v>
      </c>
      <c r="C6791" t="str">
        <f>IFERROR(__xludf.DUMMYFUNCTION("""COMPUTED_VALUE"""),"Hong Kong, China")</f>
        <v>Hong Kong, China</v>
      </c>
      <c r="D6791">
        <f>IFERROR(__xludf.DUMMYFUNCTION("""COMPUTED_VALUE"""),2003.0)</f>
        <v>2003</v>
      </c>
      <c r="E6791">
        <f>IFERROR(__xludf.DUMMYFUNCTION("""COMPUTED_VALUE"""),6782571.0)</f>
        <v>6782571</v>
      </c>
    </row>
    <row r="6792">
      <c r="A6792" t="str">
        <f t="shared" si="1"/>
        <v>hkg#2004</v>
      </c>
      <c r="B6792" t="str">
        <f>IFERROR(__xludf.DUMMYFUNCTION("""COMPUTED_VALUE"""),"hkg")</f>
        <v>hkg</v>
      </c>
      <c r="C6792" t="str">
        <f>IFERROR(__xludf.DUMMYFUNCTION("""COMPUTED_VALUE"""),"Hong Kong, China")</f>
        <v>Hong Kong, China</v>
      </c>
      <c r="D6792">
        <f>IFERROR(__xludf.DUMMYFUNCTION("""COMPUTED_VALUE"""),2004.0)</f>
        <v>2004</v>
      </c>
      <c r="E6792">
        <f>IFERROR(__xludf.DUMMYFUNCTION("""COMPUTED_VALUE"""),6802597.0)</f>
        <v>6802597</v>
      </c>
    </row>
    <row r="6793">
      <c r="A6793" t="str">
        <f t="shared" si="1"/>
        <v>hkg#2005</v>
      </c>
      <c r="B6793" t="str">
        <f>IFERROR(__xludf.DUMMYFUNCTION("""COMPUTED_VALUE"""),"hkg")</f>
        <v>hkg</v>
      </c>
      <c r="C6793" t="str">
        <f>IFERROR(__xludf.DUMMYFUNCTION("""COMPUTED_VALUE"""),"Hong Kong, China")</f>
        <v>Hong Kong, China</v>
      </c>
      <c r="D6793">
        <f>IFERROR(__xludf.DUMMYFUNCTION("""COMPUTED_VALUE"""),2005.0)</f>
        <v>2005</v>
      </c>
      <c r="E6793">
        <f>IFERROR(__xludf.DUMMYFUNCTION("""COMPUTED_VALUE"""),6827761.0)</f>
        <v>6827761</v>
      </c>
    </row>
    <row r="6794">
      <c r="A6794" t="str">
        <f t="shared" si="1"/>
        <v>hkg#2006</v>
      </c>
      <c r="B6794" t="str">
        <f>IFERROR(__xludf.DUMMYFUNCTION("""COMPUTED_VALUE"""),"hkg")</f>
        <v>hkg</v>
      </c>
      <c r="C6794" t="str">
        <f>IFERROR(__xludf.DUMMYFUNCTION("""COMPUTED_VALUE"""),"Hong Kong, China")</f>
        <v>Hong Kong, China</v>
      </c>
      <c r="D6794">
        <f>IFERROR(__xludf.DUMMYFUNCTION("""COMPUTED_VALUE"""),2006.0)</f>
        <v>2006</v>
      </c>
      <c r="E6794">
        <f>IFERROR(__xludf.DUMMYFUNCTION("""COMPUTED_VALUE"""),6860376.0)</f>
        <v>6860376</v>
      </c>
    </row>
    <row r="6795">
      <c r="A6795" t="str">
        <f t="shared" si="1"/>
        <v>hkg#2007</v>
      </c>
      <c r="B6795" t="str">
        <f>IFERROR(__xludf.DUMMYFUNCTION("""COMPUTED_VALUE"""),"hkg")</f>
        <v>hkg</v>
      </c>
      <c r="C6795" t="str">
        <f>IFERROR(__xludf.DUMMYFUNCTION("""COMPUTED_VALUE"""),"Hong Kong, China")</f>
        <v>Hong Kong, China</v>
      </c>
      <c r="D6795">
        <f>IFERROR(__xludf.DUMMYFUNCTION("""COMPUTED_VALUE"""),2007.0)</f>
        <v>2007</v>
      </c>
      <c r="E6795">
        <f>IFERROR(__xludf.DUMMYFUNCTION("""COMPUTED_VALUE"""),6898397.0)</f>
        <v>6898397</v>
      </c>
    </row>
    <row r="6796">
      <c r="A6796" t="str">
        <f t="shared" si="1"/>
        <v>hkg#2008</v>
      </c>
      <c r="B6796" t="str">
        <f>IFERROR(__xludf.DUMMYFUNCTION("""COMPUTED_VALUE"""),"hkg")</f>
        <v>hkg</v>
      </c>
      <c r="C6796" t="str">
        <f>IFERROR(__xludf.DUMMYFUNCTION("""COMPUTED_VALUE"""),"Hong Kong, China")</f>
        <v>Hong Kong, China</v>
      </c>
      <c r="D6796">
        <f>IFERROR(__xludf.DUMMYFUNCTION("""COMPUTED_VALUE"""),2008.0)</f>
        <v>2008</v>
      </c>
      <c r="E6796">
        <f>IFERROR(__xludf.DUMMYFUNCTION("""COMPUTED_VALUE"""),6940323.0)</f>
        <v>6940323</v>
      </c>
    </row>
    <row r="6797">
      <c r="A6797" t="str">
        <f t="shared" si="1"/>
        <v>hkg#2009</v>
      </c>
      <c r="B6797" t="str">
        <f>IFERROR(__xludf.DUMMYFUNCTION("""COMPUTED_VALUE"""),"hkg")</f>
        <v>hkg</v>
      </c>
      <c r="C6797" t="str">
        <f>IFERROR(__xludf.DUMMYFUNCTION("""COMPUTED_VALUE"""),"Hong Kong, China")</f>
        <v>Hong Kong, China</v>
      </c>
      <c r="D6797">
        <f>IFERROR(__xludf.DUMMYFUNCTION("""COMPUTED_VALUE"""),2009.0)</f>
        <v>2009</v>
      </c>
      <c r="E6797">
        <f>IFERROR(__xludf.DUMMYFUNCTION("""COMPUTED_VALUE"""),6983272.0)</f>
        <v>6983272</v>
      </c>
    </row>
    <row r="6798">
      <c r="A6798" t="str">
        <f t="shared" si="1"/>
        <v>hkg#2010</v>
      </c>
      <c r="B6798" t="str">
        <f>IFERROR(__xludf.DUMMYFUNCTION("""COMPUTED_VALUE"""),"hkg")</f>
        <v>hkg</v>
      </c>
      <c r="C6798" t="str">
        <f>IFERROR(__xludf.DUMMYFUNCTION("""COMPUTED_VALUE"""),"Hong Kong, China")</f>
        <v>Hong Kong, China</v>
      </c>
      <c r="D6798">
        <f>IFERROR(__xludf.DUMMYFUNCTION("""COMPUTED_VALUE"""),2010.0)</f>
        <v>2010</v>
      </c>
      <c r="E6798">
        <f>IFERROR(__xludf.DUMMYFUNCTION("""COMPUTED_VALUE"""),7025221.0)</f>
        <v>7025221</v>
      </c>
    </row>
    <row r="6799">
      <c r="A6799" t="str">
        <f t="shared" si="1"/>
        <v>hkg#2011</v>
      </c>
      <c r="B6799" t="str">
        <f>IFERROR(__xludf.DUMMYFUNCTION("""COMPUTED_VALUE"""),"hkg")</f>
        <v>hkg</v>
      </c>
      <c r="C6799" t="str">
        <f>IFERROR(__xludf.DUMMYFUNCTION("""COMPUTED_VALUE"""),"Hong Kong, China")</f>
        <v>Hong Kong, China</v>
      </c>
      <c r="D6799">
        <f>IFERROR(__xludf.DUMMYFUNCTION("""COMPUTED_VALUE"""),2011.0)</f>
        <v>2011</v>
      </c>
      <c r="E6799">
        <f>IFERROR(__xludf.DUMMYFUNCTION("""COMPUTED_VALUE"""),7065815.0)</f>
        <v>7065815</v>
      </c>
    </row>
    <row r="6800">
      <c r="A6800" t="str">
        <f t="shared" si="1"/>
        <v>hkg#2012</v>
      </c>
      <c r="B6800" t="str">
        <f>IFERROR(__xludf.DUMMYFUNCTION("""COMPUTED_VALUE"""),"hkg")</f>
        <v>hkg</v>
      </c>
      <c r="C6800" t="str">
        <f>IFERROR(__xludf.DUMMYFUNCTION("""COMPUTED_VALUE"""),"Hong Kong, China")</f>
        <v>Hong Kong, China</v>
      </c>
      <c r="D6800">
        <f>IFERROR(__xludf.DUMMYFUNCTION("""COMPUTED_VALUE"""),2012.0)</f>
        <v>2012</v>
      </c>
      <c r="E6800">
        <f>IFERROR(__xludf.DUMMYFUNCTION("""COMPUTED_VALUE"""),7106399.0)</f>
        <v>7106399</v>
      </c>
    </row>
    <row r="6801">
      <c r="A6801" t="str">
        <f t="shared" si="1"/>
        <v>hkg#2013</v>
      </c>
      <c r="B6801" t="str">
        <f>IFERROR(__xludf.DUMMYFUNCTION("""COMPUTED_VALUE"""),"hkg")</f>
        <v>hkg</v>
      </c>
      <c r="C6801" t="str">
        <f>IFERROR(__xludf.DUMMYFUNCTION("""COMPUTED_VALUE"""),"Hong Kong, China")</f>
        <v>Hong Kong, China</v>
      </c>
      <c r="D6801">
        <f>IFERROR(__xludf.DUMMYFUNCTION("""COMPUTED_VALUE"""),2013.0)</f>
        <v>2013</v>
      </c>
      <c r="E6801">
        <f>IFERROR(__xludf.DUMMYFUNCTION("""COMPUTED_VALUE"""),7148571.0)</f>
        <v>7148571</v>
      </c>
    </row>
    <row r="6802">
      <c r="A6802" t="str">
        <f t="shared" si="1"/>
        <v>hkg#2014</v>
      </c>
      <c r="B6802" t="str">
        <f>IFERROR(__xludf.DUMMYFUNCTION("""COMPUTED_VALUE"""),"hkg")</f>
        <v>hkg</v>
      </c>
      <c r="C6802" t="str">
        <f>IFERROR(__xludf.DUMMYFUNCTION("""COMPUTED_VALUE"""),"Hong Kong, China")</f>
        <v>Hong Kong, China</v>
      </c>
      <c r="D6802">
        <f>IFERROR(__xludf.DUMMYFUNCTION("""COMPUTED_VALUE"""),2014.0)</f>
        <v>2014</v>
      </c>
      <c r="E6802">
        <f>IFERROR(__xludf.DUMMYFUNCTION("""COMPUTED_VALUE"""),7194563.0)</f>
        <v>7194563</v>
      </c>
    </row>
    <row r="6803">
      <c r="A6803" t="str">
        <f t="shared" si="1"/>
        <v>hkg#2015</v>
      </c>
      <c r="B6803" t="str">
        <f>IFERROR(__xludf.DUMMYFUNCTION("""COMPUTED_VALUE"""),"hkg")</f>
        <v>hkg</v>
      </c>
      <c r="C6803" t="str">
        <f>IFERROR(__xludf.DUMMYFUNCTION("""COMPUTED_VALUE"""),"Hong Kong, China")</f>
        <v>Hong Kong, China</v>
      </c>
      <c r="D6803">
        <f>IFERROR(__xludf.DUMMYFUNCTION("""COMPUTED_VALUE"""),2015.0)</f>
        <v>2015</v>
      </c>
      <c r="E6803">
        <f>IFERROR(__xludf.DUMMYFUNCTION("""COMPUTED_VALUE"""),7245701.0)</f>
        <v>7245701</v>
      </c>
    </row>
    <row r="6804">
      <c r="A6804" t="str">
        <f t="shared" si="1"/>
        <v>hkg#2016</v>
      </c>
      <c r="B6804" t="str">
        <f>IFERROR(__xludf.DUMMYFUNCTION("""COMPUTED_VALUE"""),"hkg")</f>
        <v>hkg</v>
      </c>
      <c r="C6804" t="str">
        <f>IFERROR(__xludf.DUMMYFUNCTION("""COMPUTED_VALUE"""),"Hong Kong, China")</f>
        <v>Hong Kong, China</v>
      </c>
      <c r="D6804">
        <f>IFERROR(__xludf.DUMMYFUNCTION("""COMPUTED_VALUE"""),2016.0)</f>
        <v>2016</v>
      </c>
      <c r="E6804">
        <f>IFERROR(__xludf.DUMMYFUNCTION("""COMPUTED_VALUE"""),7302843.0)</f>
        <v>7302843</v>
      </c>
    </row>
    <row r="6805">
      <c r="A6805" t="str">
        <f t="shared" si="1"/>
        <v>hkg#2017</v>
      </c>
      <c r="B6805" t="str">
        <f>IFERROR(__xludf.DUMMYFUNCTION("""COMPUTED_VALUE"""),"hkg")</f>
        <v>hkg</v>
      </c>
      <c r="C6805" t="str">
        <f>IFERROR(__xludf.DUMMYFUNCTION("""COMPUTED_VALUE"""),"Hong Kong, China")</f>
        <v>Hong Kong, China</v>
      </c>
      <c r="D6805">
        <f>IFERROR(__xludf.DUMMYFUNCTION("""COMPUTED_VALUE"""),2017.0)</f>
        <v>2017</v>
      </c>
      <c r="E6805">
        <f>IFERROR(__xludf.DUMMYFUNCTION("""COMPUTED_VALUE"""),7364883.0)</f>
        <v>7364883</v>
      </c>
    </row>
    <row r="6806">
      <c r="A6806" t="str">
        <f t="shared" si="1"/>
        <v>hkg#2018</v>
      </c>
      <c r="B6806" t="str">
        <f>IFERROR(__xludf.DUMMYFUNCTION("""COMPUTED_VALUE"""),"hkg")</f>
        <v>hkg</v>
      </c>
      <c r="C6806" t="str">
        <f>IFERROR(__xludf.DUMMYFUNCTION("""COMPUTED_VALUE"""),"Hong Kong, China")</f>
        <v>Hong Kong, China</v>
      </c>
      <c r="D6806">
        <f>IFERROR(__xludf.DUMMYFUNCTION("""COMPUTED_VALUE"""),2018.0)</f>
        <v>2018</v>
      </c>
      <c r="E6806">
        <f>IFERROR(__xludf.DUMMYFUNCTION("""COMPUTED_VALUE"""),7428887.0)</f>
        <v>7428887</v>
      </c>
    </row>
    <row r="6807">
      <c r="A6807" t="str">
        <f t="shared" si="1"/>
        <v>hkg#2019</v>
      </c>
      <c r="B6807" t="str">
        <f>IFERROR(__xludf.DUMMYFUNCTION("""COMPUTED_VALUE"""),"hkg")</f>
        <v>hkg</v>
      </c>
      <c r="C6807" t="str">
        <f>IFERROR(__xludf.DUMMYFUNCTION("""COMPUTED_VALUE"""),"Hong Kong, China")</f>
        <v>Hong Kong, China</v>
      </c>
      <c r="D6807">
        <f>IFERROR(__xludf.DUMMYFUNCTION("""COMPUTED_VALUE"""),2019.0)</f>
        <v>2019</v>
      </c>
      <c r="E6807">
        <f>IFERROR(__xludf.DUMMYFUNCTION("""COMPUTED_VALUE"""),7490776.0)</f>
        <v>7490776</v>
      </c>
    </row>
    <row r="6808">
      <c r="A6808" t="str">
        <f t="shared" si="1"/>
        <v>hkg#2020</v>
      </c>
      <c r="B6808" t="str">
        <f>IFERROR(__xludf.DUMMYFUNCTION("""COMPUTED_VALUE"""),"hkg")</f>
        <v>hkg</v>
      </c>
      <c r="C6808" t="str">
        <f>IFERROR(__xludf.DUMMYFUNCTION("""COMPUTED_VALUE"""),"Hong Kong, China")</f>
        <v>Hong Kong, China</v>
      </c>
      <c r="D6808">
        <f>IFERROR(__xludf.DUMMYFUNCTION("""COMPUTED_VALUE"""),2020.0)</f>
        <v>2020</v>
      </c>
      <c r="E6808">
        <f>IFERROR(__xludf.DUMMYFUNCTION("""COMPUTED_VALUE"""),7547652.0)</f>
        <v>7547652</v>
      </c>
    </row>
    <row r="6809">
      <c r="A6809" t="str">
        <f t="shared" si="1"/>
        <v>hkg#2021</v>
      </c>
      <c r="B6809" t="str">
        <f>IFERROR(__xludf.DUMMYFUNCTION("""COMPUTED_VALUE"""),"hkg")</f>
        <v>hkg</v>
      </c>
      <c r="C6809" t="str">
        <f>IFERROR(__xludf.DUMMYFUNCTION("""COMPUTED_VALUE"""),"Hong Kong, China")</f>
        <v>Hong Kong, China</v>
      </c>
      <c r="D6809">
        <f>IFERROR(__xludf.DUMMYFUNCTION("""COMPUTED_VALUE"""),2021.0)</f>
        <v>2021</v>
      </c>
      <c r="E6809">
        <f>IFERROR(__xludf.DUMMYFUNCTION("""COMPUTED_VALUE"""),7598189.0)</f>
        <v>7598189</v>
      </c>
    </row>
    <row r="6810">
      <c r="A6810" t="str">
        <f t="shared" si="1"/>
        <v>hkg#2022</v>
      </c>
      <c r="B6810" t="str">
        <f>IFERROR(__xludf.DUMMYFUNCTION("""COMPUTED_VALUE"""),"hkg")</f>
        <v>hkg</v>
      </c>
      <c r="C6810" t="str">
        <f>IFERROR(__xludf.DUMMYFUNCTION("""COMPUTED_VALUE"""),"Hong Kong, China")</f>
        <v>Hong Kong, China</v>
      </c>
      <c r="D6810">
        <f>IFERROR(__xludf.DUMMYFUNCTION("""COMPUTED_VALUE"""),2022.0)</f>
        <v>2022</v>
      </c>
      <c r="E6810">
        <f>IFERROR(__xludf.DUMMYFUNCTION("""COMPUTED_VALUE"""),7643256.0)</f>
        <v>7643256</v>
      </c>
    </row>
    <row r="6811">
      <c r="A6811" t="str">
        <f t="shared" si="1"/>
        <v>hkg#2023</v>
      </c>
      <c r="B6811" t="str">
        <f>IFERROR(__xludf.DUMMYFUNCTION("""COMPUTED_VALUE"""),"hkg")</f>
        <v>hkg</v>
      </c>
      <c r="C6811" t="str">
        <f>IFERROR(__xludf.DUMMYFUNCTION("""COMPUTED_VALUE"""),"Hong Kong, China")</f>
        <v>Hong Kong, China</v>
      </c>
      <c r="D6811">
        <f>IFERROR(__xludf.DUMMYFUNCTION("""COMPUTED_VALUE"""),2023.0)</f>
        <v>2023</v>
      </c>
      <c r="E6811">
        <f>IFERROR(__xludf.DUMMYFUNCTION("""COMPUTED_VALUE"""),7684801.0)</f>
        <v>7684801</v>
      </c>
    </row>
    <row r="6812">
      <c r="A6812" t="str">
        <f t="shared" si="1"/>
        <v>hkg#2024</v>
      </c>
      <c r="B6812" t="str">
        <f>IFERROR(__xludf.DUMMYFUNCTION("""COMPUTED_VALUE"""),"hkg")</f>
        <v>hkg</v>
      </c>
      <c r="C6812" t="str">
        <f>IFERROR(__xludf.DUMMYFUNCTION("""COMPUTED_VALUE"""),"Hong Kong, China")</f>
        <v>Hong Kong, China</v>
      </c>
      <c r="D6812">
        <f>IFERROR(__xludf.DUMMYFUNCTION("""COMPUTED_VALUE"""),2024.0)</f>
        <v>2024</v>
      </c>
      <c r="E6812">
        <f>IFERROR(__xludf.DUMMYFUNCTION("""COMPUTED_VALUE"""),7725859.0)</f>
        <v>7725859</v>
      </c>
    </row>
    <row r="6813">
      <c r="A6813" t="str">
        <f t="shared" si="1"/>
        <v>hkg#2025</v>
      </c>
      <c r="B6813" t="str">
        <f>IFERROR(__xludf.DUMMYFUNCTION("""COMPUTED_VALUE"""),"hkg")</f>
        <v>hkg</v>
      </c>
      <c r="C6813" t="str">
        <f>IFERROR(__xludf.DUMMYFUNCTION("""COMPUTED_VALUE"""),"Hong Kong, China")</f>
        <v>Hong Kong, China</v>
      </c>
      <c r="D6813">
        <f>IFERROR(__xludf.DUMMYFUNCTION("""COMPUTED_VALUE"""),2025.0)</f>
        <v>2025</v>
      </c>
      <c r="E6813">
        <f>IFERROR(__xludf.DUMMYFUNCTION("""COMPUTED_VALUE"""),7768510.0)</f>
        <v>7768510</v>
      </c>
    </row>
    <row r="6814">
      <c r="A6814" t="str">
        <f t="shared" si="1"/>
        <v>hkg#2026</v>
      </c>
      <c r="B6814" t="str">
        <f>IFERROR(__xludf.DUMMYFUNCTION("""COMPUTED_VALUE"""),"hkg")</f>
        <v>hkg</v>
      </c>
      <c r="C6814" t="str">
        <f>IFERROR(__xludf.DUMMYFUNCTION("""COMPUTED_VALUE"""),"Hong Kong, China")</f>
        <v>Hong Kong, China</v>
      </c>
      <c r="D6814">
        <f>IFERROR(__xludf.DUMMYFUNCTION("""COMPUTED_VALUE"""),2026.0)</f>
        <v>2026</v>
      </c>
      <c r="E6814">
        <f>IFERROR(__xludf.DUMMYFUNCTION("""COMPUTED_VALUE"""),7813304.0)</f>
        <v>7813304</v>
      </c>
    </row>
    <row r="6815">
      <c r="A6815" t="str">
        <f t="shared" si="1"/>
        <v>hkg#2027</v>
      </c>
      <c r="B6815" t="str">
        <f>IFERROR(__xludf.DUMMYFUNCTION("""COMPUTED_VALUE"""),"hkg")</f>
        <v>hkg</v>
      </c>
      <c r="C6815" t="str">
        <f>IFERROR(__xludf.DUMMYFUNCTION("""COMPUTED_VALUE"""),"Hong Kong, China")</f>
        <v>Hong Kong, China</v>
      </c>
      <c r="D6815">
        <f>IFERROR(__xludf.DUMMYFUNCTION("""COMPUTED_VALUE"""),2027.0)</f>
        <v>2027</v>
      </c>
      <c r="E6815">
        <f>IFERROR(__xludf.DUMMYFUNCTION("""COMPUTED_VALUE"""),7859214.0)</f>
        <v>7859214</v>
      </c>
    </row>
    <row r="6816">
      <c r="A6816" t="str">
        <f t="shared" si="1"/>
        <v>hkg#2028</v>
      </c>
      <c r="B6816" t="str">
        <f>IFERROR(__xludf.DUMMYFUNCTION("""COMPUTED_VALUE"""),"hkg")</f>
        <v>hkg</v>
      </c>
      <c r="C6816" t="str">
        <f>IFERROR(__xludf.DUMMYFUNCTION("""COMPUTED_VALUE"""),"Hong Kong, China")</f>
        <v>Hong Kong, China</v>
      </c>
      <c r="D6816">
        <f>IFERROR(__xludf.DUMMYFUNCTION("""COMPUTED_VALUE"""),2028.0)</f>
        <v>2028</v>
      </c>
      <c r="E6816">
        <f>IFERROR(__xludf.DUMMYFUNCTION("""COMPUTED_VALUE"""),7904810.0)</f>
        <v>7904810</v>
      </c>
    </row>
    <row r="6817">
      <c r="A6817" t="str">
        <f t="shared" si="1"/>
        <v>hkg#2029</v>
      </c>
      <c r="B6817" t="str">
        <f>IFERROR(__xludf.DUMMYFUNCTION("""COMPUTED_VALUE"""),"hkg")</f>
        <v>hkg</v>
      </c>
      <c r="C6817" t="str">
        <f>IFERROR(__xludf.DUMMYFUNCTION("""COMPUTED_VALUE"""),"Hong Kong, China")</f>
        <v>Hong Kong, China</v>
      </c>
      <c r="D6817">
        <f>IFERROR(__xludf.DUMMYFUNCTION("""COMPUTED_VALUE"""),2029.0)</f>
        <v>2029</v>
      </c>
      <c r="E6817">
        <f>IFERROR(__xludf.DUMMYFUNCTION("""COMPUTED_VALUE"""),7947995.0)</f>
        <v>7947995</v>
      </c>
    </row>
    <row r="6818">
      <c r="A6818" t="str">
        <f t="shared" si="1"/>
        <v>hkg#2030</v>
      </c>
      <c r="B6818" t="str">
        <f>IFERROR(__xludf.DUMMYFUNCTION("""COMPUTED_VALUE"""),"hkg")</f>
        <v>hkg</v>
      </c>
      <c r="C6818" t="str">
        <f>IFERROR(__xludf.DUMMYFUNCTION("""COMPUTED_VALUE"""),"Hong Kong, China")</f>
        <v>Hong Kong, China</v>
      </c>
      <c r="D6818">
        <f>IFERROR(__xludf.DUMMYFUNCTION("""COMPUTED_VALUE"""),2030.0)</f>
        <v>2030</v>
      </c>
      <c r="E6818">
        <f>IFERROR(__xludf.DUMMYFUNCTION("""COMPUTED_VALUE"""),7987249.0)</f>
        <v>7987249</v>
      </c>
    </row>
    <row r="6819">
      <c r="A6819" t="str">
        <f t="shared" si="1"/>
        <v>hkg#2031</v>
      </c>
      <c r="B6819" t="str">
        <f>IFERROR(__xludf.DUMMYFUNCTION("""COMPUTED_VALUE"""),"hkg")</f>
        <v>hkg</v>
      </c>
      <c r="C6819" t="str">
        <f>IFERROR(__xludf.DUMMYFUNCTION("""COMPUTED_VALUE"""),"Hong Kong, China")</f>
        <v>Hong Kong, China</v>
      </c>
      <c r="D6819">
        <f>IFERROR(__xludf.DUMMYFUNCTION("""COMPUTED_VALUE"""),2031.0)</f>
        <v>2031</v>
      </c>
      <c r="E6819">
        <f>IFERROR(__xludf.DUMMYFUNCTION("""COMPUTED_VALUE"""),8022196.0)</f>
        <v>8022196</v>
      </c>
    </row>
    <row r="6820">
      <c r="A6820" t="str">
        <f t="shared" si="1"/>
        <v>hkg#2032</v>
      </c>
      <c r="B6820" t="str">
        <f>IFERROR(__xludf.DUMMYFUNCTION("""COMPUTED_VALUE"""),"hkg")</f>
        <v>hkg</v>
      </c>
      <c r="C6820" t="str">
        <f>IFERROR(__xludf.DUMMYFUNCTION("""COMPUTED_VALUE"""),"Hong Kong, China")</f>
        <v>Hong Kong, China</v>
      </c>
      <c r="D6820">
        <f>IFERROR(__xludf.DUMMYFUNCTION("""COMPUTED_VALUE"""),2032.0)</f>
        <v>2032</v>
      </c>
      <c r="E6820">
        <f>IFERROR(__xludf.DUMMYFUNCTION("""COMPUTED_VALUE"""),8053254.0)</f>
        <v>8053254</v>
      </c>
    </row>
    <row r="6821">
      <c r="A6821" t="str">
        <f t="shared" si="1"/>
        <v>hkg#2033</v>
      </c>
      <c r="B6821" t="str">
        <f>IFERROR(__xludf.DUMMYFUNCTION("""COMPUTED_VALUE"""),"hkg")</f>
        <v>hkg</v>
      </c>
      <c r="C6821" t="str">
        <f>IFERROR(__xludf.DUMMYFUNCTION("""COMPUTED_VALUE"""),"Hong Kong, China")</f>
        <v>Hong Kong, China</v>
      </c>
      <c r="D6821">
        <f>IFERROR(__xludf.DUMMYFUNCTION("""COMPUTED_VALUE"""),2033.0)</f>
        <v>2033</v>
      </c>
      <c r="E6821">
        <f>IFERROR(__xludf.DUMMYFUNCTION("""COMPUTED_VALUE"""),8080703.0)</f>
        <v>8080703</v>
      </c>
    </row>
    <row r="6822">
      <c r="A6822" t="str">
        <f t="shared" si="1"/>
        <v>hkg#2034</v>
      </c>
      <c r="B6822" t="str">
        <f>IFERROR(__xludf.DUMMYFUNCTION("""COMPUTED_VALUE"""),"hkg")</f>
        <v>hkg</v>
      </c>
      <c r="C6822" t="str">
        <f>IFERROR(__xludf.DUMMYFUNCTION("""COMPUTED_VALUE"""),"Hong Kong, China")</f>
        <v>Hong Kong, China</v>
      </c>
      <c r="D6822">
        <f>IFERROR(__xludf.DUMMYFUNCTION("""COMPUTED_VALUE"""),2034.0)</f>
        <v>2034</v>
      </c>
      <c r="E6822">
        <f>IFERROR(__xludf.DUMMYFUNCTION("""COMPUTED_VALUE"""),8105050.0)</f>
        <v>8105050</v>
      </c>
    </row>
    <row r="6823">
      <c r="A6823" t="str">
        <f t="shared" si="1"/>
        <v>hkg#2035</v>
      </c>
      <c r="B6823" t="str">
        <f>IFERROR(__xludf.DUMMYFUNCTION("""COMPUTED_VALUE"""),"hkg")</f>
        <v>hkg</v>
      </c>
      <c r="C6823" t="str">
        <f>IFERROR(__xludf.DUMMYFUNCTION("""COMPUTED_VALUE"""),"Hong Kong, China")</f>
        <v>Hong Kong, China</v>
      </c>
      <c r="D6823">
        <f>IFERROR(__xludf.DUMMYFUNCTION("""COMPUTED_VALUE"""),2035.0)</f>
        <v>2035</v>
      </c>
      <c r="E6823">
        <f>IFERROR(__xludf.DUMMYFUNCTION("""COMPUTED_VALUE"""),8126741.0)</f>
        <v>8126741</v>
      </c>
    </row>
    <row r="6824">
      <c r="A6824" t="str">
        <f t="shared" si="1"/>
        <v>hkg#2036</v>
      </c>
      <c r="B6824" t="str">
        <f>IFERROR(__xludf.DUMMYFUNCTION("""COMPUTED_VALUE"""),"hkg")</f>
        <v>hkg</v>
      </c>
      <c r="C6824" t="str">
        <f>IFERROR(__xludf.DUMMYFUNCTION("""COMPUTED_VALUE"""),"Hong Kong, China")</f>
        <v>Hong Kong, China</v>
      </c>
      <c r="D6824">
        <f>IFERROR(__xludf.DUMMYFUNCTION("""COMPUTED_VALUE"""),2036.0)</f>
        <v>2036</v>
      </c>
      <c r="E6824">
        <f>IFERROR(__xludf.DUMMYFUNCTION("""COMPUTED_VALUE"""),8145817.0)</f>
        <v>8145817</v>
      </c>
    </row>
    <row r="6825">
      <c r="A6825" t="str">
        <f t="shared" si="1"/>
        <v>hkg#2037</v>
      </c>
      <c r="B6825" t="str">
        <f>IFERROR(__xludf.DUMMYFUNCTION("""COMPUTED_VALUE"""),"hkg")</f>
        <v>hkg</v>
      </c>
      <c r="C6825" t="str">
        <f>IFERROR(__xludf.DUMMYFUNCTION("""COMPUTED_VALUE"""),"Hong Kong, China")</f>
        <v>Hong Kong, China</v>
      </c>
      <c r="D6825">
        <f>IFERROR(__xludf.DUMMYFUNCTION("""COMPUTED_VALUE"""),2037.0)</f>
        <v>2037</v>
      </c>
      <c r="E6825">
        <f>IFERROR(__xludf.DUMMYFUNCTION("""COMPUTED_VALUE"""),8162246.0)</f>
        <v>8162246</v>
      </c>
    </row>
    <row r="6826">
      <c r="A6826" t="str">
        <f t="shared" si="1"/>
        <v>hkg#2038</v>
      </c>
      <c r="B6826" t="str">
        <f>IFERROR(__xludf.DUMMYFUNCTION("""COMPUTED_VALUE"""),"hkg")</f>
        <v>hkg</v>
      </c>
      <c r="C6826" t="str">
        <f>IFERROR(__xludf.DUMMYFUNCTION("""COMPUTED_VALUE"""),"Hong Kong, China")</f>
        <v>Hong Kong, China</v>
      </c>
      <c r="D6826">
        <f>IFERROR(__xludf.DUMMYFUNCTION("""COMPUTED_VALUE"""),2038.0)</f>
        <v>2038</v>
      </c>
      <c r="E6826">
        <f>IFERROR(__xludf.DUMMYFUNCTION("""COMPUTED_VALUE"""),8176354.0)</f>
        <v>8176354</v>
      </c>
    </row>
    <row r="6827">
      <c r="A6827" t="str">
        <f t="shared" si="1"/>
        <v>hkg#2039</v>
      </c>
      <c r="B6827" t="str">
        <f>IFERROR(__xludf.DUMMYFUNCTION("""COMPUTED_VALUE"""),"hkg")</f>
        <v>hkg</v>
      </c>
      <c r="C6827" t="str">
        <f>IFERROR(__xludf.DUMMYFUNCTION("""COMPUTED_VALUE"""),"Hong Kong, China")</f>
        <v>Hong Kong, China</v>
      </c>
      <c r="D6827">
        <f>IFERROR(__xludf.DUMMYFUNCTION("""COMPUTED_VALUE"""),2039.0)</f>
        <v>2039</v>
      </c>
      <c r="E6827">
        <f>IFERROR(__xludf.DUMMYFUNCTION("""COMPUTED_VALUE"""),8188511.0)</f>
        <v>8188511</v>
      </c>
    </row>
    <row r="6828">
      <c r="A6828" t="str">
        <f t="shared" si="1"/>
        <v>hkg#2040</v>
      </c>
      <c r="B6828" t="str">
        <f>IFERROR(__xludf.DUMMYFUNCTION("""COMPUTED_VALUE"""),"hkg")</f>
        <v>hkg</v>
      </c>
      <c r="C6828" t="str">
        <f>IFERROR(__xludf.DUMMYFUNCTION("""COMPUTED_VALUE"""),"Hong Kong, China")</f>
        <v>Hong Kong, China</v>
      </c>
      <c r="D6828">
        <f>IFERROR(__xludf.DUMMYFUNCTION("""COMPUTED_VALUE"""),2040.0)</f>
        <v>2040</v>
      </c>
      <c r="E6828">
        <f>IFERROR(__xludf.DUMMYFUNCTION("""COMPUTED_VALUE"""),8199064.0)</f>
        <v>8199064</v>
      </c>
    </row>
    <row r="6829">
      <c r="A6829" t="str">
        <f t="shared" si="1"/>
        <v>hun#1950</v>
      </c>
      <c r="B6829" t="str">
        <f>IFERROR(__xludf.DUMMYFUNCTION("""COMPUTED_VALUE"""),"hun")</f>
        <v>hun</v>
      </c>
      <c r="C6829" t="str">
        <f>IFERROR(__xludf.DUMMYFUNCTION("""COMPUTED_VALUE"""),"Hungary")</f>
        <v>Hungary</v>
      </c>
      <c r="D6829">
        <f>IFERROR(__xludf.DUMMYFUNCTION("""COMPUTED_VALUE"""),1950.0)</f>
        <v>1950</v>
      </c>
      <c r="E6829">
        <f>IFERROR(__xludf.DUMMYFUNCTION("""COMPUTED_VALUE"""),9337723.0)</f>
        <v>9337723</v>
      </c>
    </row>
    <row r="6830">
      <c r="A6830" t="str">
        <f t="shared" si="1"/>
        <v>hun#1951</v>
      </c>
      <c r="B6830" t="str">
        <f>IFERROR(__xludf.DUMMYFUNCTION("""COMPUTED_VALUE"""),"hun")</f>
        <v>hun</v>
      </c>
      <c r="C6830" t="str">
        <f>IFERROR(__xludf.DUMMYFUNCTION("""COMPUTED_VALUE"""),"Hungary")</f>
        <v>Hungary</v>
      </c>
      <c r="D6830">
        <f>IFERROR(__xludf.DUMMYFUNCTION("""COMPUTED_VALUE"""),1951.0)</f>
        <v>1951</v>
      </c>
      <c r="E6830">
        <f>IFERROR(__xludf.DUMMYFUNCTION("""COMPUTED_VALUE"""),9480574.0)</f>
        <v>9480574</v>
      </c>
    </row>
    <row r="6831">
      <c r="A6831" t="str">
        <f t="shared" si="1"/>
        <v>hun#1952</v>
      </c>
      <c r="B6831" t="str">
        <f>IFERROR(__xludf.DUMMYFUNCTION("""COMPUTED_VALUE"""),"hun")</f>
        <v>hun</v>
      </c>
      <c r="C6831" t="str">
        <f>IFERROR(__xludf.DUMMYFUNCTION("""COMPUTED_VALUE"""),"Hungary")</f>
        <v>Hungary</v>
      </c>
      <c r="D6831">
        <f>IFERROR(__xludf.DUMMYFUNCTION("""COMPUTED_VALUE"""),1952.0)</f>
        <v>1952</v>
      </c>
      <c r="E6831">
        <f>IFERROR(__xludf.DUMMYFUNCTION("""COMPUTED_VALUE"""),9597897.0)</f>
        <v>9597897</v>
      </c>
    </row>
    <row r="6832">
      <c r="A6832" t="str">
        <f t="shared" si="1"/>
        <v>hun#1953</v>
      </c>
      <c r="B6832" t="str">
        <f>IFERROR(__xludf.DUMMYFUNCTION("""COMPUTED_VALUE"""),"hun")</f>
        <v>hun</v>
      </c>
      <c r="C6832" t="str">
        <f>IFERROR(__xludf.DUMMYFUNCTION("""COMPUTED_VALUE"""),"Hungary")</f>
        <v>Hungary</v>
      </c>
      <c r="D6832">
        <f>IFERROR(__xludf.DUMMYFUNCTION("""COMPUTED_VALUE"""),1953.0)</f>
        <v>1953</v>
      </c>
      <c r="E6832">
        <f>IFERROR(__xludf.DUMMYFUNCTION("""COMPUTED_VALUE"""),9692842.0)</f>
        <v>9692842</v>
      </c>
    </row>
    <row r="6833">
      <c r="A6833" t="str">
        <f t="shared" si="1"/>
        <v>hun#1954</v>
      </c>
      <c r="B6833" t="str">
        <f>IFERROR(__xludf.DUMMYFUNCTION("""COMPUTED_VALUE"""),"hun")</f>
        <v>hun</v>
      </c>
      <c r="C6833" t="str">
        <f>IFERROR(__xludf.DUMMYFUNCTION("""COMPUTED_VALUE"""),"Hungary")</f>
        <v>Hungary</v>
      </c>
      <c r="D6833">
        <f>IFERROR(__xludf.DUMMYFUNCTION("""COMPUTED_VALUE"""),1954.0)</f>
        <v>1954</v>
      </c>
      <c r="E6833">
        <f>IFERROR(__xludf.DUMMYFUNCTION("""COMPUTED_VALUE"""),9768622.0)</f>
        <v>9768622</v>
      </c>
    </row>
    <row r="6834">
      <c r="A6834" t="str">
        <f t="shared" si="1"/>
        <v>hun#1955</v>
      </c>
      <c r="B6834" t="str">
        <f>IFERROR(__xludf.DUMMYFUNCTION("""COMPUTED_VALUE"""),"hun")</f>
        <v>hun</v>
      </c>
      <c r="C6834" t="str">
        <f>IFERROR(__xludf.DUMMYFUNCTION("""COMPUTED_VALUE"""),"Hungary")</f>
        <v>Hungary</v>
      </c>
      <c r="D6834">
        <f>IFERROR(__xludf.DUMMYFUNCTION("""COMPUTED_VALUE"""),1955.0)</f>
        <v>1955</v>
      </c>
      <c r="E6834">
        <f>IFERROR(__xludf.DUMMYFUNCTION("""COMPUTED_VALUE"""),9828441.0)</f>
        <v>9828441</v>
      </c>
    </row>
    <row r="6835">
      <c r="A6835" t="str">
        <f t="shared" si="1"/>
        <v>hun#1956</v>
      </c>
      <c r="B6835" t="str">
        <f>IFERROR(__xludf.DUMMYFUNCTION("""COMPUTED_VALUE"""),"hun")</f>
        <v>hun</v>
      </c>
      <c r="C6835" t="str">
        <f>IFERROR(__xludf.DUMMYFUNCTION("""COMPUTED_VALUE"""),"Hungary")</f>
        <v>Hungary</v>
      </c>
      <c r="D6835">
        <f>IFERROR(__xludf.DUMMYFUNCTION("""COMPUTED_VALUE"""),1956.0)</f>
        <v>1956</v>
      </c>
      <c r="E6835">
        <f>IFERROR(__xludf.DUMMYFUNCTION("""COMPUTED_VALUE"""),9875554.0)</f>
        <v>9875554</v>
      </c>
    </row>
    <row r="6836">
      <c r="A6836" t="str">
        <f t="shared" si="1"/>
        <v>hun#1957</v>
      </c>
      <c r="B6836" t="str">
        <f>IFERROR(__xludf.DUMMYFUNCTION("""COMPUTED_VALUE"""),"hun")</f>
        <v>hun</v>
      </c>
      <c r="C6836" t="str">
        <f>IFERROR(__xludf.DUMMYFUNCTION("""COMPUTED_VALUE"""),"Hungary")</f>
        <v>Hungary</v>
      </c>
      <c r="D6836">
        <f>IFERROR(__xludf.DUMMYFUNCTION("""COMPUTED_VALUE"""),1957.0)</f>
        <v>1957</v>
      </c>
      <c r="E6836">
        <f>IFERROR(__xludf.DUMMYFUNCTION("""COMPUTED_VALUE"""),9913225.0)</f>
        <v>9913225</v>
      </c>
    </row>
    <row r="6837">
      <c r="A6837" t="str">
        <f t="shared" si="1"/>
        <v>hun#1958</v>
      </c>
      <c r="B6837" t="str">
        <f>IFERROR(__xludf.DUMMYFUNCTION("""COMPUTED_VALUE"""),"hun")</f>
        <v>hun</v>
      </c>
      <c r="C6837" t="str">
        <f>IFERROR(__xludf.DUMMYFUNCTION("""COMPUTED_VALUE"""),"Hungary")</f>
        <v>Hungary</v>
      </c>
      <c r="D6837">
        <f>IFERROR(__xludf.DUMMYFUNCTION("""COMPUTED_VALUE"""),1958.0)</f>
        <v>1958</v>
      </c>
      <c r="E6837">
        <f>IFERROR(__xludf.DUMMYFUNCTION("""COMPUTED_VALUE"""),9944699.0)</f>
        <v>9944699</v>
      </c>
    </row>
    <row r="6838">
      <c r="A6838" t="str">
        <f t="shared" si="1"/>
        <v>hun#1959</v>
      </c>
      <c r="B6838" t="str">
        <f>IFERROR(__xludf.DUMMYFUNCTION("""COMPUTED_VALUE"""),"hun")</f>
        <v>hun</v>
      </c>
      <c r="C6838" t="str">
        <f>IFERROR(__xludf.DUMMYFUNCTION("""COMPUTED_VALUE"""),"Hungary")</f>
        <v>Hungary</v>
      </c>
      <c r="D6838">
        <f>IFERROR(__xludf.DUMMYFUNCTION("""COMPUTED_VALUE"""),1959.0)</f>
        <v>1959</v>
      </c>
      <c r="E6838">
        <f>IFERROR(__xludf.DUMMYFUNCTION("""COMPUTED_VALUE"""),9973063.0)</f>
        <v>9973063</v>
      </c>
    </row>
    <row r="6839">
      <c r="A6839" t="str">
        <f t="shared" si="1"/>
        <v>hun#1960</v>
      </c>
      <c r="B6839" t="str">
        <f>IFERROR(__xludf.DUMMYFUNCTION("""COMPUTED_VALUE"""),"hun")</f>
        <v>hun</v>
      </c>
      <c r="C6839" t="str">
        <f>IFERROR(__xludf.DUMMYFUNCTION("""COMPUTED_VALUE"""),"Hungary")</f>
        <v>Hungary</v>
      </c>
      <c r="D6839">
        <f>IFERROR(__xludf.DUMMYFUNCTION("""COMPUTED_VALUE"""),1960.0)</f>
        <v>1960</v>
      </c>
      <c r="E6839">
        <f>IFERROR(__xludf.DUMMYFUNCTION("""COMPUTED_VALUE"""),1.0001017E7)</f>
        <v>10001017</v>
      </c>
    </row>
    <row r="6840">
      <c r="A6840" t="str">
        <f t="shared" si="1"/>
        <v>hun#1961</v>
      </c>
      <c r="B6840" t="str">
        <f>IFERROR(__xludf.DUMMYFUNCTION("""COMPUTED_VALUE"""),"hun")</f>
        <v>hun</v>
      </c>
      <c r="C6840" t="str">
        <f>IFERROR(__xludf.DUMMYFUNCTION("""COMPUTED_VALUE"""),"Hungary")</f>
        <v>Hungary</v>
      </c>
      <c r="D6840">
        <f>IFERROR(__xludf.DUMMYFUNCTION("""COMPUTED_VALUE"""),1961.0)</f>
        <v>1961</v>
      </c>
      <c r="E6840">
        <f>IFERROR(__xludf.DUMMYFUNCTION("""COMPUTED_VALUE"""),1.0030528E7)</f>
        <v>10030528</v>
      </c>
    </row>
    <row r="6841">
      <c r="A6841" t="str">
        <f t="shared" si="1"/>
        <v>hun#1962</v>
      </c>
      <c r="B6841" t="str">
        <f>IFERROR(__xludf.DUMMYFUNCTION("""COMPUTED_VALUE"""),"hun")</f>
        <v>hun</v>
      </c>
      <c r="C6841" t="str">
        <f>IFERROR(__xludf.DUMMYFUNCTION("""COMPUTED_VALUE"""),"Hungary")</f>
        <v>Hungary</v>
      </c>
      <c r="D6841">
        <f>IFERROR(__xludf.DUMMYFUNCTION("""COMPUTED_VALUE"""),1962.0)</f>
        <v>1962</v>
      </c>
      <c r="E6841">
        <f>IFERROR(__xludf.DUMMYFUNCTION("""COMPUTED_VALUE"""),1.0062576E7)</f>
        <v>10062576</v>
      </c>
    </row>
    <row r="6842">
      <c r="A6842" t="str">
        <f t="shared" si="1"/>
        <v>hun#1963</v>
      </c>
      <c r="B6842" t="str">
        <f>IFERROR(__xludf.DUMMYFUNCTION("""COMPUTED_VALUE"""),"hun")</f>
        <v>hun</v>
      </c>
      <c r="C6842" t="str">
        <f>IFERROR(__xludf.DUMMYFUNCTION("""COMPUTED_VALUE"""),"Hungary")</f>
        <v>Hungary</v>
      </c>
      <c r="D6842">
        <f>IFERROR(__xludf.DUMMYFUNCTION("""COMPUTED_VALUE"""),1963.0)</f>
        <v>1963</v>
      </c>
      <c r="E6842">
        <f>IFERROR(__xludf.DUMMYFUNCTION("""COMPUTED_VALUE"""),1.0097059E7)</f>
        <v>10097059</v>
      </c>
    </row>
    <row r="6843">
      <c r="A6843" t="str">
        <f t="shared" si="1"/>
        <v>hun#1964</v>
      </c>
      <c r="B6843" t="str">
        <f>IFERROR(__xludf.DUMMYFUNCTION("""COMPUTED_VALUE"""),"hun")</f>
        <v>hun</v>
      </c>
      <c r="C6843" t="str">
        <f>IFERROR(__xludf.DUMMYFUNCTION("""COMPUTED_VALUE"""),"Hungary")</f>
        <v>Hungary</v>
      </c>
      <c r="D6843">
        <f>IFERROR(__xludf.DUMMYFUNCTION("""COMPUTED_VALUE"""),1964.0)</f>
        <v>1964</v>
      </c>
      <c r="E6843">
        <f>IFERROR(__xludf.DUMMYFUNCTION("""COMPUTED_VALUE"""),1.0133076E7)</f>
        <v>10133076</v>
      </c>
    </row>
    <row r="6844">
      <c r="A6844" t="str">
        <f t="shared" si="1"/>
        <v>hun#1965</v>
      </c>
      <c r="B6844" t="str">
        <f>IFERROR(__xludf.DUMMYFUNCTION("""COMPUTED_VALUE"""),"hun")</f>
        <v>hun</v>
      </c>
      <c r="C6844" t="str">
        <f>IFERROR(__xludf.DUMMYFUNCTION("""COMPUTED_VALUE"""),"Hungary")</f>
        <v>Hungary</v>
      </c>
      <c r="D6844">
        <f>IFERROR(__xludf.DUMMYFUNCTION("""COMPUTED_VALUE"""),1965.0)</f>
        <v>1965</v>
      </c>
      <c r="E6844">
        <f>IFERROR(__xludf.DUMMYFUNCTION("""COMPUTED_VALUE"""),1.0169931E7)</f>
        <v>10169931</v>
      </c>
    </row>
    <row r="6845">
      <c r="A6845" t="str">
        <f t="shared" si="1"/>
        <v>hun#1966</v>
      </c>
      <c r="B6845" t="str">
        <f>IFERROR(__xludf.DUMMYFUNCTION("""COMPUTED_VALUE"""),"hun")</f>
        <v>hun</v>
      </c>
      <c r="C6845" t="str">
        <f>IFERROR(__xludf.DUMMYFUNCTION("""COMPUTED_VALUE"""),"Hungary")</f>
        <v>Hungary</v>
      </c>
      <c r="D6845">
        <f>IFERROR(__xludf.DUMMYFUNCTION("""COMPUTED_VALUE"""),1966.0)</f>
        <v>1966</v>
      </c>
      <c r="E6845">
        <f>IFERROR(__xludf.DUMMYFUNCTION("""COMPUTED_VALUE"""),1.0208376E7)</f>
        <v>10208376</v>
      </c>
    </row>
    <row r="6846">
      <c r="A6846" t="str">
        <f t="shared" si="1"/>
        <v>hun#1967</v>
      </c>
      <c r="B6846" t="str">
        <f>IFERROR(__xludf.DUMMYFUNCTION("""COMPUTED_VALUE"""),"hun")</f>
        <v>hun</v>
      </c>
      <c r="C6846" t="str">
        <f>IFERROR(__xludf.DUMMYFUNCTION("""COMPUTED_VALUE"""),"Hungary")</f>
        <v>Hungary</v>
      </c>
      <c r="D6846">
        <f>IFERROR(__xludf.DUMMYFUNCTION("""COMPUTED_VALUE"""),1967.0)</f>
        <v>1967</v>
      </c>
      <c r="E6846">
        <f>IFERROR(__xludf.DUMMYFUNCTION("""COMPUTED_VALUE"""),1.024886E7)</f>
        <v>10248860</v>
      </c>
    </row>
    <row r="6847">
      <c r="A6847" t="str">
        <f t="shared" si="1"/>
        <v>hun#1968</v>
      </c>
      <c r="B6847" t="str">
        <f>IFERROR(__xludf.DUMMYFUNCTION("""COMPUTED_VALUE"""),"hun")</f>
        <v>hun</v>
      </c>
      <c r="C6847" t="str">
        <f>IFERROR(__xludf.DUMMYFUNCTION("""COMPUTED_VALUE"""),"Hungary")</f>
        <v>Hungary</v>
      </c>
      <c r="D6847">
        <f>IFERROR(__xludf.DUMMYFUNCTION("""COMPUTED_VALUE"""),1968.0)</f>
        <v>1968</v>
      </c>
      <c r="E6847">
        <f>IFERROR(__xludf.DUMMYFUNCTION("""COMPUTED_VALUE"""),1.0289943E7)</f>
        <v>10289943</v>
      </c>
    </row>
    <row r="6848">
      <c r="A6848" t="str">
        <f t="shared" si="1"/>
        <v>hun#1969</v>
      </c>
      <c r="B6848" t="str">
        <f>IFERROR(__xludf.DUMMYFUNCTION("""COMPUTED_VALUE"""),"hun")</f>
        <v>hun</v>
      </c>
      <c r="C6848" t="str">
        <f>IFERROR(__xludf.DUMMYFUNCTION("""COMPUTED_VALUE"""),"Hungary")</f>
        <v>Hungary</v>
      </c>
      <c r="D6848">
        <f>IFERROR(__xludf.DUMMYFUNCTION("""COMPUTED_VALUE"""),1969.0)</f>
        <v>1969</v>
      </c>
      <c r="E6848">
        <f>IFERROR(__xludf.DUMMYFUNCTION("""COMPUTED_VALUE"""),1.0329555E7)</f>
        <v>10329555</v>
      </c>
    </row>
    <row r="6849">
      <c r="A6849" t="str">
        <f t="shared" si="1"/>
        <v>hun#1970</v>
      </c>
      <c r="B6849" t="str">
        <f>IFERROR(__xludf.DUMMYFUNCTION("""COMPUTED_VALUE"""),"hun")</f>
        <v>hun</v>
      </c>
      <c r="C6849" t="str">
        <f>IFERROR(__xludf.DUMMYFUNCTION("""COMPUTED_VALUE"""),"Hungary")</f>
        <v>Hungary</v>
      </c>
      <c r="D6849">
        <f>IFERROR(__xludf.DUMMYFUNCTION("""COMPUTED_VALUE"""),1970.0)</f>
        <v>1970</v>
      </c>
      <c r="E6849">
        <f>IFERROR(__xludf.DUMMYFUNCTION("""COMPUTED_VALUE"""),1.036634E7)</f>
        <v>10366340</v>
      </c>
    </row>
    <row r="6850">
      <c r="A6850" t="str">
        <f t="shared" si="1"/>
        <v>hun#1971</v>
      </c>
      <c r="B6850" t="str">
        <f>IFERROR(__xludf.DUMMYFUNCTION("""COMPUTED_VALUE"""),"hun")</f>
        <v>hun</v>
      </c>
      <c r="C6850" t="str">
        <f>IFERROR(__xludf.DUMMYFUNCTION("""COMPUTED_VALUE"""),"Hungary")</f>
        <v>Hungary</v>
      </c>
      <c r="D6850">
        <f>IFERROR(__xludf.DUMMYFUNCTION("""COMPUTED_VALUE"""),1971.0)</f>
        <v>1971</v>
      </c>
      <c r="E6850">
        <f>IFERROR(__xludf.DUMMYFUNCTION("""COMPUTED_VALUE"""),1.0398442E7)</f>
        <v>10398442</v>
      </c>
    </row>
    <row r="6851">
      <c r="A6851" t="str">
        <f t="shared" si="1"/>
        <v>hun#1972</v>
      </c>
      <c r="B6851" t="str">
        <f>IFERROR(__xludf.DUMMYFUNCTION("""COMPUTED_VALUE"""),"hun")</f>
        <v>hun</v>
      </c>
      <c r="C6851" t="str">
        <f>IFERROR(__xludf.DUMMYFUNCTION("""COMPUTED_VALUE"""),"Hungary")</f>
        <v>Hungary</v>
      </c>
      <c r="D6851">
        <f>IFERROR(__xludf.DUMMYFUNCTION("""COMPUTED_VALUE"""),1972.0)</f>
        <v>1972</v>
      </c>
      <c r="E6851">
        <f>IFERROR(__xludf.DUMMYFUNCTION("""COMPUTED_VALUE"""),1.0426426E7)</f>
        <v>10426426</v>
      </c>
    </row>
    <row r="6852">
      <c r="A6852" t="str">
        <f t="shared" si="1"/>
        <v>hun#1973</v>
      </c>
      <c r="B6852" t="str">
        <f>IFERROR(__xludf.DUMMYFUNCTION("""COMPUTED_VALUE"""),"hun")</f>
        <v>hun</v>
      </c>
      <c r="C6852" t="str">
        <f>IFERROR(__xludf.DUMMYFUNCTION("""COMPUTED_VALUE"""),"Hungary")</f>
        <v>Hungary</v>
      </c>
      <c r="D6852">
        <f>IFERROR(__xludf.DUMMYFUNCTION("""COMPUTED_VALUE"""),1973.0)</f>
        <v>1973</v>
      </c>
      <c r="E6852">
        <f>IFERROR(__xludf.DUMMYFUNCTION("""COMPUTED_VALUE"""),1.045406E7)</f>
        <v>10454060</v>
      </c>
    </row>
    <row r="6853">
      <c r="A6853" t="str">
        <f t="shared" si="1"/>
        <v>hun#1974</v>
      </c>
      <c r="B6853" t="str">
        <f>IFERROR(__xludf.DUMMYFUNCTION("""COMPUTED_VALUE"""),"hun")</f>
        <v>hun</v>
      </c>
      <c r="C6853" t="str">
        <f>IFERROR(__xludf.DUMMYFUNCTION("""COMPUTED_VALUE"""),"Hungary")</f>
        <v>Hungary</v>
      </c>
      <c r="D6853">
        <f>IFERROR(__xludf.DUMMYFUNCTION("""COMPUTED_VALUE"""),1974.0)</f>
        <v>1974</v>
      </c>
      <c r="E6853">
        <f>IFERROR(__xludf.DUMMYFUNCTION("""COMPUTED_VALUE"""),1.0486634E7)</f>
        <v>10486634</v>
      </c>
    </row>
    <row r="6854">
      <c r="A6854" t="str">
        <f t="shared" si="1"/>
        <v>hun#1975</v>
      </c>
      <c r="B6854" t="str">
        <f>IFERROR(__xludf.DUMMYFUNCTION("""COMPUTED_VALUE"""),"hun")</f>
        <v>hun</v>
      </c>
      <c r="C6854" t="str">
        <f>IFERROR(__xludf.DUMMYFUNCTION("""COMPUTED_VALUE"""),"Hungary")</f>
        <v>Hungary</v>
      </c>
      <c r="D6854">
        <f>IFERROR(__xludf.DUMMYFUNCTION("""COMPUTED_VALUE"""),1975.0)</f>
        <v>1975</v>
      </c>
      <c r="E6854">
        <f>IFERROR(__xludf.DUMMYFUNCTION("""COMPUTED_VALUE"""),1.052727E7)</f>
        <v>10527270</v>
      </c>
    </row>
    <row r="6855">
      <c r="A6855" t="str">
        <f t="shared" si="1"/>
        <v>hun#1976</v>
      </c>
      <c r="B6855" t="str">
        <f>IFERROR(__xludf.DUMMYFUNCTION("""COMPUTED_VALUE"""),"hun")</f>
        <v>hun</v>
      </c>
      <c r="C6855" t="str">
        <f>IFERROR(__xludf.DUMMYFUNCTION("""COMPUTED_VALUE"""),"Hungary")</f>
        <v>Hungary</v>
      </c>
      <c r="D6855">
        <f>IFERROR(__xludf.DUMMYFUNCTION("""COMPUTED_VALUE"""),1976.0)</f>
        <v>1976</v>
      </c>
      <c r="E6855">
        <f>IFERROR(__xludf.DUMMYFUNCTION("""COMPUTED_VALUE"""),1.0578457E7)</f>
        <v>10578457</v>
      </c>
    </row>
    <row r="6856">
      <c r="A6856" t="str">
        <f t="shared" si="1"/>
        <v>hun#1977</v>
      </c>
      <c r="B6856" t="str">
        <f>IFERROR(__xludf.DUMMYFUNCTION("""COMPUTED_VALUE"""),"hun")</f>
        <v>hun</v>
      </c>
      <c r="C6856" t="str">
        <f>IFERROR(__xludf.DUMMYFUNCTION("""COMPUTED_VALUE"""),"Hungary")</f>
        <v>Hungary</v>
      </c>
      <c r="D6856">
        <f>IFERROR(__xludf.DUMMYFUNCTION("""COMPUTED_VALUE"""),1977.0)</f>
        <v>1977</v>
      </c>
      <c r="E6856">
        <f>IFERROR(__xludf.DUMMYFUNCTION("""COMPUTED_VALUE"""),1.0637073E7)</f>
        <v>10637073</v>
      </c>
    </row>
    <row r="6857">
      <c r="A6857" t="str">
        <f t="shared" si="1"/>
        <v>hun#1978</v>
      </c>
      <c r="B6857" t="str">
        <f>IFERROR(__xludf.DUMMYFUNCTION("""COMPUTED_VALUE"""),"hun")</f>
        <v>hun</v>
      </c>
      <c r="C6857" t="str">
        <f>IFERROR(__xludf.DUMMYFUNCTION("""COMPUTED_VALUE"""),"Hungary")</f>
        <v>Hungary</v>
      </c>
      <c r="D6857">
        <f>IFERROR(__xludf.DUMMYFUNCTION("""COMPUTED_VALUE"""),1978.0)</f>
        <v>1978</v>
      </c>
      <c r="E6857">
        <f>IFERROR(__xludf.DUMMYFUNCTION("""COMPUTED_VALUE"""),1.0693829E7)</f>
        <v>10693829</v>
      </c>
    </row>
    <row r="6858">
      <c r="A6858" t="str">
        <f t="shared" si="1"/>
        <v>hun#1979</v>
      </c>
      <c r="B6858" t="str">
        <f>IFERROR(__xludf.DUMMYFUNCTION("""COMPUTED_VALUE"""),"hun")</f>
        <v>hun</v>
      </c>
      <c r="C6858" t="str">
        <f>IFERROR(__xludf.DUMMYFUNCTION("""COMPUTED_VALUE"""),"Hungary")</f>
        <v>Hungary</v>
      </c>
      <c r="D6858">
        <f>IFERROR(__xludf.DUMMYFUNCTION("""COMPUTED_VALUE"""),1979.0)</f>
        <v>1979</v>
      </c>
      <c r="E6858">
        <f>IFERROR(__xludf.DUMMYFUNCTION("""COMPUTED_VALUE"""),1.0735989E7)</f>
        <v>10735989</v>
      </c>
    </row>
    <row r="6859">
      <c r="A6859" t="str">
        <f t="shared" si="1"/>
        <v>hun#1980</v>
      </c>
      <c r="B6859" t="str">
        <f>IFERROR(__xludf.DUMMYFUNCTION("""COMPUTED_VALUE"""),"hun")</f>
        <v>hun</v>
      </c>
      <c r="C6859" t="str">
        <f>IFERROR(__xludf.DUMMYFUNCTION("""COMPUTED_VALUE"""),"Hungary")</f>
        <v>Hungary</v>
      </c>
      <c r="D6859">
        <f>IFERROR(__xludf.DUMMYFUNCTION("""COMPUTED_VALUE"""),1980.0)</f>
        <v>1980</v>
      </c>
      <c r="E6859">
        <f>IFERROR(__xludf.DUMMYFUNCTION("""COMPUTED_VALUE"""),1.0754766E7)</f>
        <v>10754766</v>
      </c>
    </row>
    <row r="6860">
      <c r="A6860" t="str">
        <f t="shared" si="1"/>
        <v>hun#1981</v>
      </c>
      <c r="B6860" t="str">
        <f>IFERROR(__xludf.DUMMYFUNCTION("""COMPUTED_VALUE"""),"hun")</f>
        <v>hun</v>
      </c>
      <c r="C6860" t="str">
        <f>IFERROR(__xludf.DUMMYFUNCTION("""COMPUTED_VALUE"""),"Hungary")</f>
        <v>Hungary</v>
      </c>
      <c r="D6860">
        <f>IFERROR(__xludf.DUMMYFUNCTION("""COMPUTED_VALUE"""),1981.0)</f>
        <v>1981</v>
      </c>
      <c r="E6860">
        <f>IFERROR(__xludf.DUMMYFUNCTION("""COMPUTED_VALUE"""),1.0746963E7)</f>
        <v>10746963</v>
      </c>
    </row>
    <row r="6861">
      <c r="A6861" t="str">
        <f t="shared" si="1"/>
        <v>hun#1982</v>
      </c>
      <c r="B6861" t="str">
        <f>IFERROR(__xludf.DUMMYFUNCTION("""COMPUTED_VALUE"""),"hun")</f>
        <v>hun</v>
      </c>
      <c r="C6861" t="str">
        <f>IFERROR(__xludf.DUMMYFUNCTION("""COMPUTED_VALUE"""),"Hungary")</f>
        <v>Hungary</v>
      </c>
      <c r="D6861">
        <f>IFERROR(__xludf.DUMMYFUNCTION("""COMPUTED_VALUE"""),1982.0)</f>
        <v>1982</v>
      </c>
      <c r="E6861">
        <f>IFERROR(__xludf.DUMMYFUNCTION("""COMPUTED_VALUE"""),1.0716324E7)</f>
        <v>10716324</v>
      </c>
    </row>
    <row r="6862">
      <c r="A6862" t="str">
        <f t="shared" si="1"/>
        <v>hun#1983</v>
      </c>
      <c r="B6862" t="str">
        <f>IFERROR(__xludf.DUMMYFUNCTION("""COMPUTED_VALUE"""),"hun")</f>
        <v>hun</v>
      </c>
      <c r="C6862" t="str">
        <f>IFERROR(__xludf.DUMMYFUNCTION("""COMPUTED_VALUE"""),"Hungary")</f>
        <v>Hungary</v>
      </c>
      <c r="D6862">
        <f>IFERROR(__xludf.DUMMYFUNCTION("""COMPUTED_VALUE"""),1983.0)</f>
        <v>1983</v>
      </c>
      <c r="E6862">
        <f>IFERROR(__xludf.DUMMYFUNCTION("""COMPUTED_VALUE"""),1.0669693E7)</f>
        <v>10669693</v>
      </c>
    </row>
    <row r="6863">
      <c r="A6863" t="str">
        <f t="shared" si="1"/>
        <v>hun#1984</v>
      </c>
      <c r="B6863" t="str">
        <f>IFERROR(__xludf.DUMMYFUNCTION("""COMPUTED_VALUE"""),"hun")</f>
        <v>hun</v>
      </c>
      <c r="C6863" t="str">
        <f>IFERROR(__xludf.DUMMYFUNCTION("""COMPUTED_VALUE"""),"Hungary")</f>
        <v>Hungary</v>
      </c>
      <c r="D6863">
        <f>IFERROR(__xludf.DUMMYFUNCTION("""COMPUTED_VALUE"""),1984.0)</f>
        <v>1984</v>
      </c>
      <c r="E6863">
        <f>IFERROR(__xludf.DUMMYFUNCTION("""COMPUTED_VALUE"""),1.0617232E7)</f>
        <v>10617232</v>
      </c>
    </row>
    <row r="6864">
      <c r="A6864" t="str">
        <f t="shared" si="1"/>
        <v>hun#1985</v>
      </c>
      <c r="B6864" t="str">
        <f>IFERROR(__xludf.DUMMYFUNCTION("""COMPUTED_VALUE"""),"hun")</f>
        <v>hun</v>
      </c>
      <c r="C6864" t="str">
        <f>IFERROR(__xludf.DUMMYFUNCTION("""COMPUTED_VALUE"""),"Hungary")</f>
        <v>Hungary</v>
      </c>
      <c r="D6864">
        <f>IFERROR(__xludf.DUMMYFUNCTION("""COMPUTED_VALUE"""),1985.0)</f>
        <v>1985</v>
      </c>
      <c r="E6864">
        <f>IFERROR(__xludf.DUMMYFUNCTION("""COMPUTED_VALUE"""),1.0566817E7)</f>
        <v>10566817</v>
      </c>
    </row>
    <row r="6865">
      <c r="A6865" t="str">
        <f t="shared" si="1"/>
        <v>hun#1986</v>
      </c>
      <c r="B6865" t="str">
        <f>IFERROR(__xludf.DUMMYFUNCTION("""COMPUTED_VALUE"""),"hun")</f>
        <v>hun</v>
      </c>
      <c r="C6865" t="str">
        <f>IFERROR(__xludf.DUMMYFUNCTION("""COMPUTED_VALUE"""),"Hungary")</f>
        <v>Hungary</v>
      </c>
      <c r="D6865">
        <f>IFERROR(__xludf.DUMMYFUNCTION("""COMPUTED_VALUE"""),1986.0)</f>
        <v>1986</v>
      </c>
      <c r="E6865">
        <f>IFERROR(__xludf.DUMMYFUNCTION("""COMPUTED_VALUE"""),1.0519786E7)</f>
        <v>10519786</v>
      </c>
    </row>
    <row r="6866">
      <c r="A6866" t="str">
        <f t="shared" si="1"/>
        <v>hun#1987</v>
      </c>
      <c r="B6866" t="str">
        <f>IFERROR(__xludf.DUMMYFUNCTION("""COMPUTED_VALUE"""),"hun")</f>
        <v>hun</v>
      </c>
      <c r="C6866" t="str">
        <f>IFERROR(__xludf.DUMMYFUNCTION("""COMPUTED_VALUE"""),"Hungary")</f>
        <v>Hungary</v>
      </c>
      <c r="D6866">
        <f>IFERROR(__xludf.DUMMYFUNCTION("""COMPUTED_VALUE"""),1987.0)</f>
        <v>1987</v>
      </c>
      <c r="E6866">
        <f>IFERROR(__xludf.DUMMYFUNCTION("""COMPUTED_VALUE"""),1.0475042E7)</f>
        <v>10475042</v>
      </c>
    </row>
    <row r="6867">
      <c r="A6867" t="str">
        <f t="shared" si="1"/>
        <v>hun#1988</v>
      </c>
      <c r="B6867" t="str">
        <f>IFERROR(__xludf.DUMMYFUNCTION("""COMPUTED_VALUE"""),"hun")</f>
        <v>hun</v>
      </c>
      <c r="C6867" t="str">
        <f>IFERROR(__xludf.DUMMYFUNCTION("""COMPUTED_VALUE"""),"Hungary")</f>
        <v>Hungary</v>
      </c>
      <c r="D6867">
        <f>IFERROR(__xludf.DUMMYFUNCTION("""COMPUTED_VALUE"""),1988.0)</f>
        <v>1988</v>
      </c>
      <c r="E6867">
        <f>IFERROR(__xludf.DUMMYFUNCTION("""COMPUTED_VALUE"""),1.0435047E7)</f>
        <v>10435047</v>
      </c>
    </row>
    <row r="6868">
      <c r="A6868" t="str">
        <f t="shared" si="1"/>
        <v>hun#1989</v>
      </c>
      <c r="B6868" t="str">
        <f>IFERROR(__xludf.DUMMYFUNCTION("""COMPUTED_VALUE"""),"hun")</f>
        <v>hun</v>
      </c>
      <c r="C6868" t="str">
        <f>IFERROR(__xludf.DUMMYFUNCTION("""COMPUTED_VALUE"""),"Hungary")</f>
        <v>Hungary</v>
      </c>
      <c r="D6868">
        <f>IFERROR(__xludf.DUMMYFUNCTION("""COMPUTED_VALUE"""),1989.0)</f>
        <v>1989</v>
      </c>
      <c r="E6868">
        <f>IFERROR(__xludf.DUMMYFUNCTION("""COMPUTED_VALUE"""),1.0402126E7)</f>
        <v>10402126</v>
      </c>
    </row>
    <row r="6869">
      <c r="A6869" t="str">
        <f t="shared" si="1"/>
        <v>hun#1990</v>
      </c>
      <c r="B6869" t="str">
        <f>IFERROR(__xludf.DUMMYFUNCTION("""COMPUTED_VALUE"""),"hun")</f>
        <v>hun</v>
      </c>
      <c r="C6869" t="str">
        <f>IFERROR(__xludf.DUMMYFUNCTION("""COMPUTED_VALUE"""),"Hungary")</f>
        <v>Hungary</v>
      </c>
      <c r="D6869">
        <f>IFERROR(__xludf.DUMMYFUNCTION("""COMPUTED_VALUE"""),1990.0)</f>
        <v>1990</v>
      </c>
      <c r="E6869">
        <f>IFERROR(__xludf.DUMMYFUNCTION("""COMPUTED_VALUE"""),1.0377651E7)</f>
        <v>10377651</v>
      </c>
    </row>
    <row r="6870">
      <c r="A6870" t="str">
        <f t="shared" si="1"/>
        <v>hun#1991</v>
      </c>
      <c r="B6870" t="str">
        <f>IFERROR(__xludf.DUMMYFUNCTION("""COMPUTED_VALUE"""),"hun")</f>
        <v>hun</v>
      </c>
      <c r="C6870" t="str">
        <f>IFERROR(__xludf.DUMMYFUNCTION("""COMPUTED_VALUE"""),"Hungary")</f>
        <v>Hungary</v>
      </c>
      <c r="D6870">
        <f>IFERROR(__xludf.DUMMYFUNCTION("""COMPUTED_VALUE"""),1991.0)</f>
        <v>1991</v>
      </c>
      <c r="E6870">
        <f>IFERROR(__xludf.DUMMYFUNCTION("""COMPUTED_VALUE"""),1.0363564E7)</f>
        <v>10363564</v>
      </c>
    </row>
    <row r="6871">
      <c r="A6871" t="str">
        <f t="shared" si="1"/>
        <v>hun#1992</v>
      </c>
      <c r="B6871" t="str">
        <f>IFERROR(__xludf.DUMMYFUNCTION("""COMPUTED_VALUE"""),"hun")</f>
        <v>hun</v>
      </c>
      <c r="C6871" t="str">
        <f>IFERROR(__xludf.DUMMYFUNCTION("""COMPUTED_VALUE"""),"Hungary")</f>
        <v>Hungary</v>
      </c>
      <c r="D6871">
        <f>IFERROR(__xludf.DUMMYFUNCTION("""COMPUTED_VALUE"""),1992.0)</f>
        <v>1992</v>
      </c>
      <c r="E6871">
        <f>IFERROR(__xludf.DUMMYFUNCTION("""COMPUTED_VALUE"""),1.0359143E7)</f>
        <v>10359143</v>
      </c>
    </row>
    <row r="6872">
      <c r="A6872" t="str">
        <f t="shared" si="1"/>
        <v>hun#1993</v>
      </c>
      <c r="B6872" t="str">
        <f>IFERROR(__xludf.DUMMYFUNCTION("""COMPUTED_VALUE"""),"hun")</f>
        <v>hun</v>
      </c>
      <c r="C6872" t="str">
        <f>IFERROR(__xludf.DUMMYFUNCTION("""COMPUTED_VALUE"""),"Hungary")</f>
        <v>Hungary</v>
      </c>
      <c r="D6872">
        <f>IFERROR(__xludf.DUMMYFUNCTION("""COMPUTED_VALUE"""),1993.0)</f>
        <v>1993</v>
      </c>
      <c r="E6872">
        <f>IFERROR(__xludf.DUMMYFUNCTION("""COMPUTED_VALUE"""),1.0359589E7)</f>
        <v>10359589</v>
      </c>
    </row>
    <row r="6873">
      <c r="A6873" t="str">
        <f t="shared" si="1"/>
        <v>hun#1994</v>
      </c>
      <c r="B6873" t="str">
        <f>IFERROR(__xludf.DUMMYFUNCTION("""COMPUTED_VALUE"""),"hun")</f>
        <v>hun</v>
      </c>
      <c r="C6873" t="str">
        <f>IFERROR(__xludf.DUMMYFUNCTION("""COMPUTED_VALUE"""),"Hungary")</f>
        <v>Hungary</v>
      </c>
      <c r="D6873">
        <f>IFERROR(__xludf.DUMMYFUNCTION("""COMPUTED_VALUE"""),1994.0)</f>
        <v>1994</v>
      </c>
      <c r="E6873">
        <f>IFERROR(__xludf.DUMMYFUNCTION("""COMPUTED_VALUE"""),1.0358122E7)</f>
        <v>10358122</v>
      </c>
    </row>
    <row r="6874">
      <c r="A6874" t="str">
        <f t="shared" si="1"/>
        <v>hun#1995</v>
      </c>
      <c r="B6874" t="str">
        <f>IFERROR(__xludf.DUMMYFUNCTION("""COMPUTED_VALUE"""),"hun")</f>
        <v>hun</v>
      </c>
      <c r="C6874" t="str">
        <f>IFERROR(__xludf.DUMMYFUNCTION("""COMPUTED_VALUE"""),"Hungary")</f>
        <v>Hungary</v>
      </c>
      <c r="D6874">
        <f>IFERROR(__xludf.DUMMYFUNCTION("""COMPUTED_VALUE"""),1995.0)</f>
        <v>1995</v>
      </c>
      <c r="E6874">
        <f>IFERROR(__xludf.DUMMYFUNCTION("""COMPUTED_VALUE"""),1.0349838E7)</f>
        <v>10349838</v>
      </c>
    </row>
    <row r="6875">
      <c r="A6875" t="str">
        <f t="shared" si="1"/>
        <v>hun#1996</v>
      </c>
      <c r="B6875" t="str">
        <f>IFERROR(__xludf.DUMMYFUNCTION("""COMPUTED_VALUE"""),"hun")</f>
        <v>hun</v>
      </c>
      <c r="C6875" t="str">
        <f>IFERROR(__xludf.DUMMYFUNCTION("""COMPUTED_VALUE"""),"Hungary")</f>
        <v>Hungary</v>
      </c>
      <c r="D6875">
        <f>IFERROR(__xludf.DUMMYFUNCTION("""COMPUTED_VALUE"""),1996.0)</f>
        <v>1996</v>
      </c>
      <c r="E6875">
        <f>IFERROR(__xludf.DUMMYFUNCTION("""COMPUTED_VALUE"""),1.0332989E7)</f>
        <v>10332989</v>
      </c>
    </row>
    <row r="6876">
      <c r="A6876" t="str">
        <f t="shared" si="1"/>
        <v>hun#1997</v>
      </c>
      <c r="B6876" t="str">
        <f>IFERROR(__xludf.DUMMYFUNCTION("""COMPUTED_VALUE"""),"hun")</f>
        <v>hun</v>
      </c>
      <c r="C6876" t="str">
        <f>IFERROR(__xludf.DUMMYFUNCTION("""COMPUTED_VALUE"""),"Hungary")</f>
        <v>Hungary</v>
      </c>
      <c r="D6876">
        <f>IFERROR(__xludf.DUMMYFUNCTION("""COMPUTED_VALUE"""),1997.0)</f>
        <v>1997</v>
      </c>
      <c r="E6876">
        <f>IFERROR(__xludf.DUMMYFUNCTION("""COMPUTED_VALUE"""),1.0309022E7)</f>
        <v>10309022</v>
      </c>
    </row>
    <row r="6877">
      <c r="A6877" t="str">
        <f t="shared" si="1"/>
        <v>hun#1998</v>
      </c>
      <c r="B6877" t="str">
        <f>IFERROR(__xludf.DUMMYFUNCTION("""COMPUTED_VALUE"""),"hun")</f>
        <v>hun</v>
      </c>
      <c r="C6877" t="str">
        <f>IFERROR(__xludf.DUMMYFUNCTION("""COMPUTED_VALUE"""),"Hungary")</f>
        <v>Hungary</v>
      </c>
      <c r="D6877">
        <f>IFERROR(__xludf.DUMMYFUNCTION("""COMPUTED_VALUE"""),1998.0)</f>
        <v>1998</v>
      </c>
      <c r="E6877">
        <f>IFERROR(__xludf.DUMMYFUNCTION("""COMPUTED_VALUE"""),1.0280145E7)</f>
        <v>10280145</v>
      </c>
    </row>
    <row r="6878">
      <c r="A6878" t="str">
        <f t="shared" si="1"/>
        <v>hun#1999</v>
      </c>
      <c r="B6878" t="str">
        <f>IFERROR(__xludf.DUMMYFUNCTION("""COMPUTED_VALUE"""),"hun")</f>
        <v>hun</v>
      </c>
      <c r="C6878" t="str">
        <f>IFERROR(__xludf.DUMMYFUNCTION("""COMPUTED_VALUE"""),"Hungary")</f>
        <v>Hungary</v>
      </c>
      <c r="D6878">
        <f>IFERROR(__xludf.DUMMYFUNCTION("""COMPUTED_VALUE"""),1999.0)</f>
        <v>1999</v>
      </c>
      <c r="E6878">
        <f>IFERROR(__xludf.DUMMYFUNCTION("""COMPUTED_VALUE"""),1.0249959E7)</f>
        <v>10249959</v>
      </c>
    </row>
    <row r="6879">
      <c r="A6879" t="str">
        <f t="shared" si="1"/>
        <v>hun#2000</v>
      </c>
      <c r="B6879" t="str">
        <f>IFERROR(__xludf.DUMMYFUNCTION("""COMPUTED_VALUE"""),"hun")</f>
        <v>hun</v>
      </c>
      <c r="C6879" t="str">
        <f>IFERROR(__xludf.DUMMYFUNCTION("""COMPUTED_VALUE"""),"Hungary")</f>
        <v>Hungary</v>
      </c>
      <c r="D6879">
        <f>IFERROR(__xludf.DUMMYFUNCTION("""COMPUTED_VALUE"""),2000.0)</f>
        <v>2000</v>
      </c>
      <c r="E6879">
        <f>IFERROR(__xludf.DUMMYFUNCTION("""COMPUTED_VALUE"""),1.0221051E7)</f>
        <v>10221051</v>
      </c>
    </row>
    <row r="6880">
      <c r="A6880" t="str">
        <f t="shared" si="1"/>
        <v>hun#2001</v>
      </c>
      <c r="B6880" t="str">
        <f>IFERROR(__xludf.DUMMYFUNCTION("""COMPUTED_VALUE"""),"hun")</f>
        <v>hun</v>
      </c>
      <c r="C6880" t="str">
        <f>IFERROR(__xludf.DUMMYFUNCTION("""COMPUTED_VALUE"""),"Hungary")</f>
        <v>Hungary</v>
      </c>
      <c r="D6880">
        <f>IFERROR(__xludf.DUMMYFUNCTION("""COMPUTED_VALUE"""),2001.0)</f>
        <v>2001</v>
      </c>
      <c r="E6880">
        <f>IFERROR(__xludf.DUMMYFUNCTION("""COMPUTED_VALUE"""),1.0194005E7)</f>
        <v>10194005</v>
      </c>
    </row>
    <row r="6881">
      <c r="A6881" t="str">
        <f t="shared" si="1"/>
        <v>hun#2002</v>
      </c>
      <c r="B6881" t="str">
        <f>IFERROR(__xludf.DUMMYFUNCTION("""COMPUTED_VALUE"""),"hun")</f>
        <v>hun</v>
      </c>
      <c r="C6881" t="str">
        <f>IFERROR(__xludf.DUMMYFUNCTION("""COMPUTED_VALUE"""),"Hungary")</f>
        <v>Hungary</v>
      </c>
      <c r="D6881">
        <f>IFERROR(__xludf.DUMMYFUNCTION("""COMPUTED_VALUE"""),2002.0)</f>
        <v>2002</v>
      </c>
      <c r="E6881">
        <f>IFERROR(__xludf.DUMMYFUNCTION("""COMPUTED_VALUE"""),1.0167872E7)</f>
        <v>10167872</v>
      </c>
    </row>
    <row r="6882">
      <c r="A6882" t="str">
        <f t="shared" si="1"/>
        <v>hun#2003</v>
      </c>
      <c r="B6882" t="str">
        <f>IFERROR(__xludf.DUMMYFUNCTION("""COMPUTED_VALUE"""),"hun")</f>
        <v>hun</v>
      </c>
      <c r="C6882" t="str">
        <f>IFERROR(__xludf.DUMMYFUNCTION("""COMPUTED_VALUE"""),"Hungary")</f>
        <v>Hungary</v>
      </c>
      <c r="D6882">
        <f>IFERROR(__xludf.DUMMYFUNCTION("""COMPUTED_VALUE"""),2003.0)</f>
        <v>2003</v>
      </c>
      <c r="E6882">
        <f>IFERROR(__xludf.DUMMYFUNCTION("""COMPUTED_VALUE"""),1.0141956E7)</f>
        <v>10141956</v>
      </c>
    </row>
    <row r="6883">
      <c r="A6883" t="str">
        <f t="shared" si="1"/>
        <v>hun#2004</v>
      </c>
      <c r="B6883" t="str">
        <f>IFERROR(__xludf.DUMMYFUNCTION("""COMPUTED_VALUE"""),"hun")</f>
        <v>hun</v>
      </c>
      <c r="C6883" t="str">
        <f>IFERROR(__xludf.DUMMYFUNCTION("""COMPUTED_VALUE"""),"Hungary")</f>
        <v>Hungary</v>
      </c>
      <c r="D6883">
        <f>IFERROR(__xludf.DUMMYFUNCTION("""COMPUTED_VALUE"""),2004.0)</f>
        <v>2004</v>
      </c>
      <c r="E6883">
        <f>IFERROR(__xludf.DUMMYFUNCTION("""COMPUTED_VALUE"""),1.0115081E7)</f>
        <v>10115081</v>
      </c>
    </row>
    <row r="6884">
      <c r="A6884" t="str">
        <f t="shared" si="1"/>
        <v>hun#2005</v>
      </c>
      <c r="B6884" t="str">
        <f>IFERROR(__xludf.DUMMYFUNCTION("""COMPUTED_VALUE"""),"hun")</f>
        <v>hun</v>
      </c>
      <c r="C6884" t="str">
        <f>IFERROR(__xludf.DUMMYFUNCTION("""COMPUTED_VALUE"""),"Hungary")</f>
        <v>Hungary</v>
      </c>
      <c r="D6884">
        <f>IFERROR(__xludf.DUMMYFUNCTION("""COMPUTED_VALUE"""),2005.0)</f>
        <v>2005</v>
      </c>
      <c r="E6884">
        <f>IFERROR(__xludf.DUMMYFUNCTION("""COMPUTED_VALUE"""),1.0086465E7)</f>
        <v>10086465</v>
      </c>
    </row>
    <row r="6885">
      <c r="A6885" t="str">
        <f t="shared" si="1"/>
        <v>hun#2006</v>
      </c>
      <c r="B6885" t="str">
        <f>IFERROR(__xludf.DUMMYFUNCTION("""COMPUTED_VALUE"""),"hun")</f>
        <v>hun</v>
      </c>
      <c r="C6885" t="str">
        <f>IFERROR(__xludf.DUMMYFUNCTION("""COMPUTED_VALUE"""),"Hungary")</f>
        <v>Hungary</v>
      </c>
      <c r="D6885">
        <f>IFERROR(__xludf.DUMMYFUNCTION("""COMPUTED_VALUE"""),2006.0)</f>
        <v>2006</v>
      </c>
      <c r="E6885">
        <f>IFERROR(__xludf.DUMMYFUNCTION("""COMPUTED_VALUE"""),1.0055897E7)</f>
        <v>10055897</v>
      </c>
    </row>
    <row r="6886">
      <c r="A6886" t="str">
        <f t="shared" si="1"/>
        <v>hun#2007</v>
      </c>
      <c r="B6886" t="str">
        <f>IFERROR(__xludf.DUMMYFUNCTION("""COMPUTED_VALUE"""),"hun")</f>
        <v>hun</v>
      </c>
      <c r="C6886" t="str">
        <f>IFERROR(__xludf.DUMMYFUNCTION("""COMPUTED_VALUE"""),"Hungary")</f>
        <v>Hungary</v>
      </c>
      <c r="D6886">
        <f>IFERROR(__xludf.DUMMYFUNCTION("""COMPUTED_VALUE"""),2007.0)</f>
        <v>2007</v>
      </c>
      <c r="E6886">
        <f>IFERROR(__xludf.DUMMYFUNCTION("""COMPUTED_VALUE"""),1.0023887E7)</f>
        <v>10023887</v>
      </c>
    </row>
    <row r="6887">
      <c r="A6887" t="str">
        <f t="shared" si="1"/>
        <v>hun#2008</v>
      </c>
      <c r="B6887" t="str">
        <f>IFERROR(__xludf.DUMMYFUNCTION("""COMPUTED_VALUE"""),"hun")</f>
        <v>hun</v>
      </c>
      <c r="C6887" t="str">
        <f>IFERROR(__xludf.DUMMYFUNCTION("""COMPUTED_VALUE"""),"Hungary")</f>
        <v>Hungary</v>
      </c>
      <c r="D6887">
        <f>IFERROR(__xludf.DUMMYFUNCTION("""COMPUTED_VALUE"""),2008.0)</f>
        <v>2008</v>
      </c>
      <c r="E6887">
        <f>IFERROR(__xludf.DUMMYFUNCTION("""COMPUTED_VALUE"""),9991201.0)</f>
        <v>9991201</v>
      </c>
    </row>
    <row r="6888">
      <c r="A6888" t="str">
        <f t="shared" si="1"/>
        <v>hun#2009</v>
      </c>
      <c r="B6888" t="str">
        <f>IFERROR(__xludf.DUMMYFUNCTION("""COMPUTED_VALUE"""),"hun")</f>
        <v>hun</v>
      </c>
      <c r="C6888" t="str">
        <f>IFERROR(__xludf.DUMMYFUNCTION("""COMPUTED_VALUE"""),"Hungary")</f>
        <v>Hungary</v>
      </c>
      <c r="D6888">
        <f>IFERROR(__xludf.DUMMYFUNCTION("""COMPUTED_VALUE"""),2009.0)</f>
        <v>2009</v>
      </c>
      <c r="E6888">
        <f>IFERROR(__xludf.DUMMYFUNCTION("""COMPUTED_VALUE"""),9958942.0)</f>
        <v>9958942</v>
      </c>
    </row>
    <row r="6889">
      <c r="A6889" t="str">
        <f t="shared" si="1"/>
        <v>hun#2010</v>
      </c>
      <c r="B6889" t="str">
        <f>IFERROR(__xludf.DUMMYFUNCTION("""COMPUTED_VALUE"""),"hun")</f>
        <v>hun</v>
      </c>
      <c r="C6889" t="str">
        <f>IFERROR(__xludf.DUMMYFUNCTION("""COMPUTED_VALUE"""),"Hungary")</f>
        <v>Hungary</v>
      </c>
      <c r="D6889">
        <f>IFERROR(__xludf.DUMMYFUNCTION("""COMPUTED_VALUE"""),2010.0)</f>
        <v>2010</v>
      </c>
      <c r="E6889">
        <f>IFERROR(__xludf.DUMMYFUNCTION("""COMPUTED_VALUE"""),9927840.0)</f>
        <v>9927840</v>
      </c>
    </row>
    <row r="6890">
      <c r="A6890" t="str">
        <f t="shared" si="1"/>
        <v>hun#2011</v>
      </c>
      <c r="B6890" t="str">
        <f>IFERROR(__xludf.DUMMYFUNCTION("""COMPUTED_VALUE"""),"hun")</f>
        <v>hun</v>
      </c>
      <c r="C6890" t="str">
        <f>IFERROR(__xludf.DUMMYFUNCTION("""COMPUTED_VALUE"""),"Hungary")</f>
        <v>Hungary</v>
      </c>
      <c r="D6890">
        <f>IFERROR(__xludf.DUMMYFUNCTION("""COMPUTED_VALUE"""),2011.0)</f>
        <v>2011</v>
      </c>
      <c r="E6890">
        <f>IFERROR(__xludf.DUMMYFUNCTION("""COMPUTED_VALUE"""),9898204.0)</f>
        <v>9898204</v>
      </c>
    </row>
    <row r="6891">
      <c r="A6891" t="str">
        <f t="shared" si="1"/>
        <v>hun#2012</v>
      </c>
      <c r="B6891" t="str">
        <f>IFERROR(__xludf.DUMMYFUNCTION("""COMPUTED_VALUE"""),"hun")</f>
        <v>hun</v>
      </c>
      <c r="C6891" t="str">
        <f>IFERROR(__xludf.DUMMYFUNCTION("""COMPUTED_VALUE"""),"Hungary")</f>
        <v>Hungary</v>
      </c>
      <c r="D6891">
        <f>IFERROR(__xludf.DUMMYFUNCTION("""COMPUTED_VALUE"""),2012.0)</f>
        <v>2012</v>
      </c>
      <c r="E6891">
        <f>IFERROR(__xludf.DUMMYFUNCTION("""COMPUTED_VALUE"""),9869684.0)</f>
        <v>9869684</v>
      </c>
    </row>
    <row r="6892">
      <c r="A6892" t="str">
        <f t="shared" si="1"/>
        <v>hun#2013</v>
      </c>
      <c r="B6892" t="str">
        <f>IFERROR(__xludf.DUMMYFUNCTION("""COMPUTED_VALUE"""),"hun")</f>
        <v>hun</v>
      </c>
      <c r="C6892" t="str">
        <f>IFERROR(__xludf.DUMMYFUNCTION("""COMPUTED_VALUE"""),"Hungary")</f>
        <v>Hungary</v>
      </c>
      <c r="D6892">
        <f>IFERROR(__xludf.DUMMYFUNCTION("""COMPUTED_VALUE"""),2013.0)</f>
        <v>2013</v>
      </c>
      <c r="E6892">
        <f>IFERROR(__xludf.DUMMYFUNCTION("""COMPUTED_VALUE"""),9841697.0)</f>
        <v>9841697</v>
      </c>
    </row>
    <row r="6893">
      <c r="A6893" t="str">
        <f t="shared" si="1"/>
        <v>hun#2014</v>
      </c>
      <c r="B6893" t="str">
        <f>IFERROR(__xludf.DUMMYFUNCTION("""COMPUTED_VALUE"""),"hun")</f>
        <v>hun</v>
      </c>
      <c r="C6893" t="str">
        <f>IFERROR(__xludf.DUMMYFUNCTION("""COMPUTED_VALUE"""),"Hungary")</f>
        <v>Hungary</v>
      </c>
      <c r="D6893">
        <f>IFERROR(__xludf.DUMMYFUNCTION("""COMPUTED_VALUE"""),2014.0)</f>
        <v>2014</v>
      </c>
      <c r="E6893">
        <f>IFERROR(__xludf.DUMMYFUNCTION("""COMPUTED_VALUE"""),9813335.0)</f>
        <v>9813335</v>
      </c>
    </row>
    <row r="6894">
      <c r="A6894" t="str">
        <f t="shared" si="1"/>
        <v>hun#2015</v>
      </c>
      <c r="B6894" t="str">
        <f>IFERROR(__xludf.DUMMYFUNCTION("""COMPUTED_VALUE"""),"hun")</f>
        <v>hun</v>
      </c>
      <c r="C6894" t="str">
        <f>IFERROR(__xludf.DUMMYFUNCTION("""COMPUTED_VALUE"""),"Hungary")</f>
        <v>Hungary</v>
      </c>
      <c r="D6894">
        <f>IFERROR(__xludf.DUMMYFUNCTION("""COMPUTED_VALUE"""),2015.0)</f>
        <v>2015</v>
      </c>
      <c r="E6894">
        <f>IFERROR(__xludf.DUMMYFUNCTION("""COMPUTED_VALUE"""),9783925.0)</f>
        <v>9783925</v>
      </c>
    </row>
    <row r="6895">
      <c r="A6895" t="str">
        <f t="shared" si="1"/>
        <v>hun#2016</v>
      </c>
      <c r="B6895" t="str">
        <f>IFERROR(__xludf.DUMMYFUNCTION("""COMPUTED_VALUE"""),"hun")</f>
        <v>hun</v>
      </c>
      <c r="C6895" t="str">
        <f>IFERROR(__xludf.DUMMYFUNCTION("""COMPUTED_VALUE"""),"Hungary")</f>
        <v>Hungary</v>
      </c>
      <c r="D6895">
        <f>IFERROR(__xludf.DUMMYFUNCTION("""COMPUTED_VALUE"""),2016.0)</f>
        <v>2016</v>
      </c>
      <c r="E6895">
        <f>IFERROR(__xludf.DUMMYFUNCTION("""COMPUTED_VALUE"""),9753281.0)</f>
        <v>9753281</v>
      </c>
    </row>
    <row r="6896">
      <c r="A6896" t="str">
        <f t="shared" si="1"/>
        <v>hun#2017</v>
      </c>
      <c r="B6896" t="str">
        <f>IFERROR(__xludf.DUMMYFUNCTION("""COMPUTED_VALUE"""),"hun")</f>
        <v>hun</v>
      </c>
      <c r="C6896" t="str">
        <f>IFERROR(__xludf.DUMMYFUNCTION("""COMPUTED_VALUE"""),"Hungary")</f>
        <v>Hungary</v>
      </c>
      <c r="D6896">
        <f>IFERROR(__xludf.DUMMYFUNCTION("""COMPUTED_VALUE"""),2017.0)</f>
        <v>2017</v>
      </c>
      <c r="E6896">
        <f>IFERROR(__xludf.DUMMYFUNCTION("""COMPUTED_VALUE"""),9721559.0)</f>
        <v>9721559</v>
      </c>
    </row>
    <row r="6897">
      <c r="A6897" t="str">
        <f t="shared" si="1"/>
        <v>hun#2018</v>
      </c>
      <c r="B6897" t="str">
        <f>IFERROR(__xludf.DUMMYFUNCTION("""COMPUTED_VALUE"""),"hun")</f>
        <v>hun</v>
      </c>
      <c r="C6897" t="str">
        <f>IFERROR(__xludf.DUMMYFUNCTION("""COMPUTED_VALUE"""),"Hungary")</f>
        <v>Hungary</v>
      </c>
      <c r="D6897">
        <f>IFERROR(__xludf.DUMMYFUNCTION("""COMPUTED_VALUE"""),2018.0)</f>
        <v>2018</v>
      </c>
      <c r="E6897">
        <f>IFERROR(__xludf.DUMMYFUNCTION("""COMPUTED_VALUE"""),9688847.0)</f>
        <v>9688847</v>
      </c>
    </row>
    <row r="6898">
      <c r="A6898" t="str">
        <f t="shared" si="1"/>
        <v>hun#2019</v>
      </c>
      <c r="B6898" t="str">
        <f>IFERROR(__xludf.DUMMYFUNCTION("""COMPUTED_VALUE"""),"hun")</f>
        <v>hun</v>
      </c>
      <c r="C6898" t="str">
        <f>IFERROR(__xludf.DUMMYFUNCTION("""COMPUTED_VALUE"""),"Hungary")</f>
        <v>Hungary</v>
      </c>
      <c r="D6898">
        <f>IFERROR(__xludf.DUMMYFUNCTION("""COMPUTED_VALUE"""),2019.0)</f>
        <v>2019</v>
      </c>
      <c r="E6898">
        <f>IFERROR(__xludf.DUMMYFUNCTION("""COMPUTED_VALUE"""),9655361.0)</f>
        <v>9655361</v>
      </c>
    </row>
    <row r="6899">
      <c r="A6899" t="str">
        <f t="shared" si="1"/>
        <v>hun#2020</v>
      </c>
      <c r="B6899" t="str">
        <f>IFERROR(__xludf.DUMMYFUNCTION("""COMPUTED_VALUE"""),"hun")</f>
        <v>hun</v>
      </c>
      <c r="C6899" t="str">
        <f>IFERROR(__xludf.DUMMYFUNCTION("""COMPUTED_VALUE"""),"Hungary")</f>
        <v>Hungary</v>
      </c>
      <c r="D6899">
        <f>IFERROR(__xludf.DUMMYFUNCTION("""COMPUTED_VALUE"""),2020.0)</f>
        <v>2020</v>
      </c>
      <c r="E6899">
        <f>IFERROR(__xludf.DUMMYFUNCTION("""COMPUTED_VALUE"""),9621254.0)</f>
        <v>9621254</v>
      </c>
    </row>
    <row r="6900">
      <c r="A6900" t="str">
        <f t="shared" si="1"/>
        <v>hun#2021</v>
      </c>
      <c r="B6900" t="str">
        <f>IFERROR(__xludf.DUMMYFUNCTION("""COMPUTED_VALUE"""),"hun")</f>
        <v>hun</v>
      </c>
      <c r="C6900" t="str">
        <f>IFERROR(__xludf.DUMMYFUNCTION("""COMPUTED_VALUE"""),"Hungary")</f>
        <v>Hungary</v>
      </c>
      <c r="D6900">
        <f>IFERROR(__xludf.DUMMYFUNCTION("""COMPUTED_VALUE"""),2021.0)</f>
        <v>2021</v>
      </c>
      <c r="E6900">
        <f>IFERROR(__xludf.DUMMYFUNCTION("""COMPUTED_VALUE"""),9586483.0)</f>
        <v>9586483</v>
      </c>
    </row>
    <row r="6901">
      <c r="A6901" t="str">
        <f t="shared" si="1"/>
        <v>hun#2022</v>
      </c>
      <c r="B6901" t="str">
        <f>IFERROR(__xludf.DUMMYFUNCTION("""COMPUTED_VALUE"""),"hun")</f>
        <v>hun</v>
      </c>
      <c r="C6901" t="str">
        <f>IFERROR(__xludf.DUMMYFUNCTION("""COMPUTED_VALUE"""),"Hungary")</f>
        <v>Hungary</v>
      </c>
      <c r="D6901">
        <f>IFERROR(__xludf.DUMMYFUNCTION("""COMPUTED_VALUE"""),2022.0)</f>
        <v>2022</v>
      </c>
      <c r="E6901">
        <f>IFERROR(__xludf.DUMMYFUNCTION("""COMPUTED_VALUE"""),9550949.0)</f>
        <v>9550949</v>
      </c>
    </row>
    <row r="6902">
      <c r="A6902" t="str">
        <f t="shared" si="1"/>
        <v>hun#2023</v>
      </c>
      <c r="B6902" t="str">
        <f>IFERROR(__xludf.DUMMYFUNCTION("""COMPUTED_VALUE"""),"hun")</f>
        <v>hun</v>
      </c>
      <c r="C6902" t="str">
        <f>IFERROR(__xludf.DUMMYFUNCTION("""COMPUTED_VALUE"""),"Hungary")</f>
        <v>Hungary</v>
      </c>
      <c r="D6902">
        <f>IFERROR(__xludf.DUMMYFUNCTION("""COMPUTED_VALUE"""),2023.0)</f>
        <v>2023</v>
      </c>
      <c r="E6902">
        <f>IFERROR(__xludf.DUMMYFUNCTION("""COMPUTED_VALUE"""),9514618.0)</f>
        <v>9514618</v>
      </c>
    </row>
    <row r="6903">
      <c r="A6903" t="str">
        <f t="shared" si="1"/>
        <v>hun#2024</v>
      </c>
      <c r="B6903" t="str">
        <f>IFERROR(__xludf.DUMMYFUNCTION("""COMPUTED_VALUE"""),"hun")</f>
        <v>hun</v>
      </c>
      <c r="C6903" t="str">
        <f>IFERROR(__xludf.DUMMYFUNCTION("""COMPUTED_VALUE"""),"Hungary")</f>
        <v>Hungary</v>
      </c>
      <c r="D6903">
        <f>IFERROR(__xludf.DUMMYFUNCTION("""COMPUTED_VALUE"""),2024.0)</f>
        <v>2024</v>
      </c>
      <c r="E6903">
        <f>IFERROR(__xludf.DUMMYFUNCTION("""COMPUTED_VALUE"""),9477472.0)</f>
        <v>9477472</v>
      </c>
    </row>
    <row r="6904">
      <c r="A6904" t="str">
        <f t="shared" si="1"/>
        <v>hun#2025</v>
      </c>
      <c r="B6904" t="str">
        <f>IFERROR(__xludf.DUMMYFUNCTION("""COMPUTED_VALUE"""),"hun")</f>
        <v>hun</v>
      </c>
      <c r="C6904" t="str">
        <f>IFERROR(__xludf.DUMMYFUNCTION("""COMPUTED_VALUE"""),"Hungary")</f>
        <v>Hungary</v>
      </c>
      <c r="D6904">
        <f>IFERROR(__xludf.DUMMYFUNCTION("""COMPUTED_VALUE"""),2025.0)</f>
        <v>2025</v>
      </c>
      <c r="E6904">
        <f>IFERROR(__xludf.DUMMYFUNCTION("""COMPUTED_VALUE"""),9439465.0)</f>
        <v>9439465</v>
      </c>
    </row>
    <row r="6905">
      <c r="A6905" t="str">
        <f t="shared" si="1"/>
        <v>hun#2026</v>
      </c>
      <c r="B6905" t="str">
        <f>IFERROR(__xludf.DUMMYFUNCTION("""COMPUTED_VALUE"""),"hun")</f>
        <v>hun</v>
      </c>
      <c r="C6905" t="str">
        <f>IFERROR(__xludf.DUMMYFUNCTION("""COMPUTED_VALUE"""),"Hungary")</f>
        <v>Hungary</v>
      </c>
      <c r="D6905">
        <f>IFERROR(__xludf.DUMMYFUNCTION("""COMPUTED_VALUE"""),2026.0)</f>
        <v>2026</v>
      </c>
      <c r="E6905">
        <f>IFERROR(__xludf.DUMMYFUNCTION("""COMPUTED_VALUE"""),9400611.0)</f>
        <v>9400611</v>
      </c>
    </row>
    <row r="6906">
      <c r="A6906" t="str">
        <f t="shared" si="1"/>
        <v>hun#2027</v>
      </c>
      <c r="B6906" t="str">
        <f>IFERROR(__xludf.DUMMYFUNCTION("""COMPUTED_VALUE"""),"hun")</f>
        <v>hun</v>
      </c>
      <c r="C6906" t="str">
        <f>IFERROR(__xludf.DUMMYFUNCTION("""COMPUTED_VALUE"""),"Hungary")</f>
        <v>Hungary</v>
      </c>
      <c r="D6906">
        <f>IFERROR(__xludf.DUMMYFUNCTION("""COMPUTED_VALUE"""),2027.0)</f>
        <v>2027</v>
      </c>
      <c r="E6906">
        <f>IFERROR(__xludf.DUMMYFUNCTION("""COMPUTED_VALUE"""),9360911.0)</f>
        <v>9360911</v>
      </c>
    </row>
    <row r="6907">
      <c r="A6907" t="str">
        <f t="shared" si="1"/>
        <v>hun#2028</v>
      </c>
      <c r="B6907" t="str">
        <f>IFERROR(__xludf.DUMMYFUNCTION("""COMPUTED_VALUE"""),"hun")</f>
        <v>hun</v>
      </c>
      <c r="C6907" t="str">
        <f>IFERROR(__xludf.DUMMYFUNCTION("""COMPUTED_VALUE"""),"Hungary")</f>
        <v>Hungary</v>
      </c>
      <c r="D6907">
        <f>IFERROR(__xludf.DUMMYFUNCTION("""COMPUTED_VALUE"""),2028.0)</f>
        <v>2028</v>
      </c>
      <c r="E6907">
        <f>IFERROR(__xludf.DUMMYFUNCTION("""COMPUTED_VALUE"""),9320240.0)</f>
        <v>9320240</v>
      </c>
    </row>
    <row r="6908">
      <c r="A6908" t="str">
        <f t="shared" si="1"/>
        <v>hun#2029</v>
      </c>
      <c r="B6908" t="str">
        <f>IFERROR(__xludf.DUMMYFUNCTION("""COMPUTED_VALUE"""),"hun")</f>
        <v>hun</v>
      </c>
      <c r="C6908" t="str">
        <f>IFERROR(__xludf.DUMMYFUNCTION("""COMPUTED_VALUE"""),"Hungary")</f>
        <v>Hungary</v>
      </c>
      <c r="D6908">
        <f>IFERROR(__xludf.DUMMYFUNCTION("""COMPUTED_VALUE"""),2029.0)</f>
        <v>2029</v>
      </c>
      <c r="E6908">
        <f>IFERROR(__xludf.DUMMYFUNCTION("""COMPUTED_VALUE"""),9278442.0)</f>
        <v>9278442</v>
      </c>
    </row>
    <row r="6909">
      <c r="A6909" t="str">
        <f t="shared" si="1"/>
        <v>hun#2030</v>
      </c>
      <c r="B6909" t="str">
        <f>IFERROR(__xludf.DUMMYFUNCTION("""COMPUTED_VALUE"""),"hun")</f>
        <v>hun</v>
      </c>
      <c r="C6909" t="str">
        <f>IFERROR(__xludf.DUMMYFUNCTION("""COMPUTED_VALUE"""),"Hungary")</f>
        <v>Hungary</v>
      </c>
      <c r="D6909">
        <f>IFERROR(__xludf.DUMMYFUNCTION("""COMPUTED_VALUE"""),2030.0)</f>
        <v>2030</v>
      </c>
      <c r="E6909">
        <f>IFERROR(__xludf.DUMMYFUNCTION("""COMPUTED_VALUE"""),9235459.0)</f>
        <v>9235459</v>
      </c>
    </row>
    <row r="6910">
      <c r="A6910" t="str">
        <f t="shared" si="1"/>
        <v>hun#2031</v>
      </c>
      <c r="B6910" t="str">
        <f>IFERROR(__xludf.DUMMYFUNCTION("""COMPUTED_VALUE"""),"hun")</f>
        <v>hun</v>
      </c>
      <c r="C6910" t="str">
        <f>IFERROR(__xludf.DUMMYFUNCTION("""COMPUTED_VALUE"""),"Hungary")</f>
        <v>Hungary</v>
      </c>
      <c r="D6910">
        <f>IFERROR(__xludf.DUMMYFUNCTION("""COMPUTED_VALUE"""),2031.0)</f>
        <v>2031</v>
      </c>
      <c r="E6910">
        <f>IFERROR(__xludf.DUMMYFUNCTION("""COMPUTED_VALUE"""),9191264.0)</f>
        <v>9191264</v>
      </c>
    </row>
    <row r="6911">
      <c r="A6911" t="str">
        <f t="shared" si="1"/>
        <v>hun#2032</v>
      </c>
      <c r="B6911" t="str">
        <f>IFERROR(__xludf.DUMMYFUNCTION("""COMPUTED_VALUE"""),"hun")</f>
        <v>hun</v>
      </c>
      <c r="C6911" t="str">
        <f>IFERROR(__xludf.DUMMYFUNCTION("""COMPUTED_VALUE"""),"Hungary")</f>
        <v>Hungary</v>
      </c>
      <c r="D6911">
        <f>IFERROR(__xludf.DUMMYFUNCTION("""COMPUTED_VALUE"""),2032.0)</f>
        <v>2032</v>
      </c>
      <c r="E6911">
        <f>IFERROR(__xludf.DUMMYFUNCTION("""COMPUTED_VALUE"""),9145936.0)</f>
        <v>9145936</v>
      </c>
    </row>
    <row r="6912">
      <c r="A6912" t="str">
        <f t="shared" si="1"/>
        <v>hun#2033</v>
      </c>
      <c r="B6912" t="str">
        <f>IFERROR(__xludf.DUMMYFUNCTION("""COMPUTED_VALUE"""),"hun")</f>
        <v>hun</v>
      </c>
      <c r="C6912" t="str">
        <f>IFERROR(__xludf.DUMMYFUNCTION("""COMPUTED_VALUE"""),"Hungary")</f>
        <v>Hungary</v>
      </c>
      <c r="D6912">
        <f>IFERROR(__xludf.DUMMYFUNCTION("""COMPUTED_VALUE"""),2033.0)</f>
        <v>2033</v>
      </c>
      <c r="E6912">
        <f>IFERROR(__xludf.DUMMYFUNCTION("""COMPUTED_VALUE"""),9099592.0)</f>
        <v>9099592</v>
      </c>
    </row>
    <row r="6913">
      <c r="A6913" t="str">
        <f t="shared" si="1"/>
        <v>hun#2034</v>
      </c>
      <c r="B6913" t="str">
        <f>IFERROR(__xludf.DUMMYFUNCTION("""COMPUTED_VALUE"""),"hun")</f>
        <v>hun</v>
      </c>
      <c r="C6913" t="str">
        <f>IFERROR(__xludf.DUMMYFUNCTION("""COMPUTED_VALUE"""),"Hungary")</f>
        <v>Hungary</v>
      </c>
      <c r="D6913">
        <f>IFERROR(__xludf.DUMMYFUNCTION("""COMPUTED_VALUE"""),2034.0)</f>
        <v>2034</v>
      </c>
      <c r="E6913">
        <f>IFERROR(__xludf.DUMMYFUNCTION("""COMPUTED_VALUE"""),9052386.0)</f>
        <v>9052386</v>
      </c>
    </row>
    <row r="6914">
      <c r="A6914" t="str">
        <f t="shared" si="1"/>
        <v>hun#2035</v>
      </c>
      <c r="B6914" t="str">
        <f>IFERROR(__xludf.DUMMYFUNCTION("""COMPUTED_VALUE"""),"hun")</f>
        <v>hun</v>
      </c>
      <c r="C6914" t="str">
        <f>IFERROR(__xludf.DUMMYFUNCTION("""COMPUTED_VALUE"""),"Hungary")</f>
        <v>Hungary</v>
      </c>
      <c r="D6914">
        <f>IFERROR(__xludf.DUMMYFUNCTION("""COMPUTED_VALUE"""),2035.0)</f>
        <v>2035</v>
      </c>
      <c r="E6914">
        <f>IFERROR(__xludf.DUMMYFUNCTION("""COMPUTED_VALUE"""),9004466.0)</f>
        <v>9004466</v>
      </c>
    </row>
    <row r="6915">
      <c r="A6915" t="str">
        <f t="shared" si="1"/>
        <v>hun#2036</v>
      </c>
      <c r="B6915" t="str">
        <f>IFERROR(__xludf.DUMMYFUNCTION("""COMPUTED_VALUE"""),"hun")</f>
        <v>hun</v>
      </c>
      <c r="C6915" t="str">
        <f>IFERROR(__xludf.DUMMYFUNCTION("""COMPUTED_VALUE"""),"Hungary")</f>
        <v>Hungary</v>
      </c>
      <c r="D6915">
        <f>IFERROR(__xludf.DUMMYFUNCTION("""COMPUTED_VALUE"""),2036.0)</f>
        <v>2036</v>
      </c>
      <c r="E6915">
        <f>IFERROR(__xludf.DUMMYFUNCTION("""COMPUTED_VALUE"""),8955891.0)</f>
        <v>8955891</v>
      </c>
    </row>
    <row r="6916">
      <c r="A6916" t="str">
        <f t="shared" si="1"/>
        <v>hun#2037</v>
      </c>
      <c r="B6916" t="str">
        <f>IFERROR(__xludf.DUMMYFUNCTION("""COMPUTED_VALUE"""),"hun")</f>
        <v>hun</v>
      </c>
      <c r="C6916" t="str">
        <f>IFERROR(__xludf.DUMMYFUNCTION("""COMPUTED_VALUE"""),"Hungary")</f>
        <v>Hungary</v>
      </c>
      <c r="D6916">
        <f>IFERROR(__xludf.DUMMYFUNCTION("""COMPUTED_VALUE"""),2037.0)</f>
        <v>2037</v>
      </c>
      <c r="E6916">
        <f>IFERROR(__xludf.DUMMYFUNCTION("""COMPUTED_VALUE"""),8906747.0)</f>
        <v>8906747</v>
      </c>
    </row>
    <row r="6917">
      <c r="A6917" t="str">
        <f t="shared" si="1"/>
        <v>hun#2038</v>
      </c>
      <c r="B6917" t="str">
        <f>IFERROR(__xludf.DUMMYFUNCTION("""COMPUTED_VALUE"""),"hun")</f>
        <v>hun</v>
      </c>
      <c r="C6917" t="str">
        <f>IFERROR(__xludf.DUMMYFUNCTION("""COMPUTED_VALUE"""),"Hungary")</f>
        <v>Hungary</v>
      </c>
      <c r="D6917">
        <f>IFERROR(__xludf.DUMMYFUNCTION("""COMPUTED_VALUE"""),2038.0)</f>
        <v>2038</v>
      </c>
      <c r="E6917">
        <f>IFERROR(__xludf.DUMMYFUNCTION("""COMPUTED_VALUE"""),8857218.0)</f>
        <v>8857218</v>
      </c>
    </row>
    <row r="6918">
      <c r="A6918" t="str">
        <f t="shared" si="1"/>
        <v>hun#2039</v>
      </c>
      <c r="B6918" t="str">
        <f>IFERROR(__xludf.DUMMYFUNCTION("""COMPUTED_VALUE"""),"hun")</f>
        <v>hun</v>
      </c>
      <c r="C6918" t="str">
        <f>IFERROR(__xludf.DUMMYFUNCTION("""COMPUTED_VALUE"""),"Hungary")</f>
        <v>Hungary</v>
      </c>
      <c r="D6918">
        <f>IFERROR(__xludf.DUMMYFUNCTION("""COMPUTED_VALUE"""),2039.0)</f>
        <v>2039</v>
      </c>
      <c r="E6918">
        <f>IFERROR(__xludf.DUMMYFUNCTION("""COMPUTED_VALUE"""),8807516.0)</f>
        <v>8807516</v>
      </c>
    </row>
    <row r="6919">
      <c r="A6919" t="str">
        <f t="shared" si="1"/>
        <v>hun#2040</v>
      </c>
      <c r="B6919" t="str">
        <f>IFERROR(__xludf.DUMMYFUNCTION("""COMPUTED_VALUE"""),"hun")</f>
        <v>hun</v>
      </c>
      <c r="C6919" t="str">
        <f>IFERROR(__xludf.DUMMYFUNCTION("""COMPUTED_VALUE"""),"Hungary")</f>
        <v>Hungary</v>
      </c>
      <c r="D6919">
        <f>IFERROR(__xludf.DUMMYFUNCTION("""COMPUTED_VALUE"""),2040.0)</f>
        <v>2040</v>
      </c>
      <c r="E6919">
        <f>IFERROR(__xludf.DUMMYFUNCTION("""COMPUTED_VALUE"""),8757846.0)</f>
        <v>8757846</v>
      </c>
    </row>
    <row r="6920">
      <c r="A6920" t="str">
        <f t="shared" si="1"/>
        <v>isl#1950</v>
      </c>
      <c r="B6920" t="str">
        <f>IFERROR(__xludf.DUMMYFUNCTION("""COMPUTED_VALUE"""),"isl")</f>
        <v>isl</v>
      </c>
      <c r="C6920" t="str">
        <f>IFERROR(__xludf.DUMMYFUNCTION("""COMPUTED_VALUE"""),"Iceland")</f>
        <v>Iceland</v>
      </c>
      <c r="D6920">
        <f>IFERROR(__xludf.DUMMYFUNCTION("""COMPUTED_VALUE"""),1950.0)</f>
        <v>1950</v>
      </c>
      <c r="E6920">
        <f>IFERROR(__xludf.DUMMYFUNCTION("""COMPUTED_VALUE"""),142659.0)</f>
        <v>142659</v>
      </c>
    </row>
    <row r="6921">
      <c r="A6921" t="str">
        <f t="shared" si="1"/>
        <v>isl#1951</v>
      </c>
      <c r="B6921" t="str">
        <f>IFERROR(__xludf.DUMMYFUNCTION("""COMPUTED_VALUE"""),"isl")</f>
        <v>isl</v>
      </c>
      <c r="C6921" t="str">
        <f>IFERROR(__xludf.DUMMYFUNCTION("""COMPUTED_VALUE"""),"Iceland")</f>
        <v>Iceland</v>
      </c>
      <c r="D6921">
        <f>IFERROR(__xludf.DUMMYFUNCTION("""COMPUTED_VALUE"""),1951.0)</f>
        <v>1951</v>
      </c>
      <c r="E6921">
        <f>IFERROR(__xludf.DUMMYFUNCTION("""COMPUTED_VALUE"""),144942.0)</f>
        <v>144942</v>
      </c>
    </row>
    <row r="6922">
      <c r="A6922" t="str">
        <f t="shared" si="1"/>
        <v>isl#1952</v>
      </c>
      <c r="B6922" t="str">
        <f>IFERROR(__xludf.DUMMYFUNCTION("""COMPUTED_VALUE"""),"isl")</f>
        <v>isl</v>
      </c>
      <c r="C6922" t="str">
        <f>IFERROR(__xludf.DUMMYFUNCTION("""COMPUTED_VALUE"""),"Iceland")</f>
        <v>Iceland</v>
      </c>
      <c r="D6922">
        <f>IFERROR(__xludf.DUMMYFUNCTION("""COMPUTED_VALUE"""),1952.0)</f>
        <v>1952</v>
      </c>
      <c r="E6922">
        <f>IFERROR(__xludf.DUMMYFUNCTION("""COMPUTED_VALUE"""),147706.0)</f>
        <v>147706</v>
      </c>
    </row>
    <row r="6923">
      <c r="A6923" t="str">
        <f t="shared" si="1"/>
        <v>isl#1953</v>
      </c>
      <c r="B6923" t="str">
        <f>IFERROR(__xludf.DUMMYFUNCTION("""COMPUTED_VALUE"""),"isl")</f>
        <v>isl</v>
      </c>
      <c r="C6923" t="str">
        <f>IFERROR(__xludf.DUMMYFUNCTION("""COMPUTED_VALUE"""),"Iceland")</f>
        <v>Iceland</v>
      </c>
      <c r="D6923">
        <f>IFERROR(__xludf.DUMMYFUNCTION("""COMPUTED_VALUE"""),1953.0)</f>
        <v>1953</v>
      </c>
      <c r="E6923">
        <f>IFERROR(__xludf.DUMMYFUNCTION("""COMPUTED_VALUE"""),150820.0)</f>
        <v>150820</v>
      </c>
    </row>
    <row r="6924">
      <c r="A6924" t="str">
        <f t="shared" si="1"/>
        <v>isl#1954</v>
      </c>
      <c r="B6924" t="str">
        <f>IFERROR(__xludf.DUMMYFUNCTION("""COMPUTED_VALUE"""),"isl")</f>
        <v>isl</v>
      </c>
      <c r="C6924" t="str">
        <f>IFERROR(__xludf.DUMMYFUNCTION("""COMPUTED_VALUE"""),"Iceland")</f>
        <v>Iceland</v>
      </c>
      <c r="D6924">
        <f>IFERROR(__xludf.DUMMYFUNCTION("""COMPUTED_VALUE"""),1954.0)</f>
        <v>1954</v>
      </c>
      <c r="E6924">
        <f>IFERROR(__xludf.DUMMYFUNCTION("""COMPUTED_VALUE"""),154157.0)</f>
        <v>154157</v>
      </c>
    </row>
    <row r="6925">
      <c r="A6925" t="str">
        <f t="shared" si="1"/>
        <v>isl#1955</v>
      </c>
      <c r="B6925" t="str">
        <f>IFERROR(__xludf.DUMMYFUNCTION("""COMPUTED_VALUE"""),"isl")</f>
        <v>isl</v>
      </c>
      <c r="C6925" t="str">
        <f>IFERROR(__xludf.DUMMYFUNCTION("""COMPUTED_VALUE"""),"Iceland")</f>
        <v>Iceland</v>
      </c>
      <c r="D6925">
        <f>IFERROR(__xludf.DUMMYFUNCTION("""COMPUTED_VALUE"""),1955.0)</f>
        <v>1955</v>
      </c>
      <c r="E6925">
        <f>IFERROR(__xludf.DUMMYFUNCTION("""COMPUTED_VALUE"""),157642.0)</f>
        <v>157642</v>
      </c>
    </row>
    <row r="6926">
      <c r="A6926" t="str">
        <f t="shared" si="1"/>
        <v>isl#1956</v>
      </c>
      <c r="B6926" t="str">
        <f>IFERROR(__xludf.DUMMYFUNCTION("""COMPUTED_VALUE"""),"isl")</f>
        <v>isl</v>
      </c>
      <c r="C6926" t="str">
        <f>IFERROR(__xludf.DUMMYFUNCTION("""COMPUTED_VALUE"""),"Iceland")</f>
        <v>Iceland</v>
      </c>
      <c r="D6926">
        <f>IFERROR(__xludf.DUMMYFUNCTION("""COMPUTED_VALUE"""),1956.0)</f>
        <v>1956</v>
      </c>
      <c r="E6926">
        <f>IFERROR(__xludf.DUMMYFUNCTION("""COMPUTED_VALUE"""),161198.0)</f>
        <v>161198</v>
      </c>
    </row>
    <row r="6927">
      <c r="A6927" t="str">
        <f t="shared" si="1"/>
        <v>isl#1957</v>
      </c>
      <c r="B6927" t="str">
        <f>IFERROR(__xludf.DUMMYFUNCTION("""COMPUTED_VALUE"""),"isl")</f>
        <v>isl</v>
      </c>
      <c r="C6927" t="str">
        <f>IFERROR(__xludf.DUMMYFUNCTION("""COMPUTED_VALUE"""),"Iceland")</f>
        <v>Iceland</v>
      </c>
      <c r="D6927">
        <f>IFERROR(__xludf.DUMMYFUNCTION("""COMPUTED_VALUE"""),1957.0)</f>
        <v>1957</v>
      </c>
      <c r="E6927">
        <f>IFERROR(__xludf.DUMMYFUNCTION("""COMPUTED_VALUE"""),164788.0)</f>
        <v>164788</v>
      </c>
    </row>
    <row r="6928">
      <c r="A6928" t="str">
        <f t="shared" si="1"/>
        <v>isl#1958</v>
      </c>
      <c r="B6928" t="str">
        <f>IFERROR(__xludf.DUMMYFUNCTION("""COMPUTED_VALUE"""),"isl")</f>
        <v>isl</v>
      </c>
      <c r="C6928" t="str">
        <f>IFERROR(__xludf.DUMMYFUNCTION("""COMPUTED_VALUE"""),"Iceland")</f>
        <v>Iceland</v>
      </c>
      <c r="D6928">
        <f>IFERROR(__xludf.DUMMYFUNCTION("""COMPUTED_VALUE"""),1958.0)</f>
        <v>1958</v>
      </c>
      <c r="E6928">
        <f>IFERROR(__xludf.DUMMYFUNCTION("""COMPUTED_VALUE"""),168387.0)</f>
        <v>168387</v>
      </c>
    </row>
    <row r="6929">
      <c r="A6929" t="str">
        <f t="shared" si="1"/>
        <v>isl#1959</v>
      </c>
      <c r="B6929" t="str">
        <f>IFERROR(__xludf.DUMMYFUNCTION("""COMPUTED_VALUE"""),"isl")</f>
        <v>isl</v>
      </c>
      <c r="C6929" t="str">
        <f>IFERROR(__xludf.DUMMYFUNCTION("""COMPUTED_VALUE"""),"Iceland")</f>
        <v>Iceland</v>
      </c>
      <c r="D6929">
        <f>IFERROR(__xludf.DUMMYFUNCTION("""COMPUTED_VALUE"""),1959.0)</f>
        <v>1959</v>
      </c>
      <c r="E6929">
        <f>IFERROR(__xludf.DUMMYFUNCTION("""COMPUTED_VALUE"""),171991.0)</f>
        <v>171991</v>
      </c>
    </row>
    <row r="6930">
      <c r="A6930" t="str">
        <f t="shared" si="1"/>
        <v>isl#1960</v>
      </c>
      <c r="B6930" t="str">
        <f>IFERROR(__xludf.DUMMYFUNCTION("""COMPUTED_VALUE"""),"isl")</f>
        <v>isl</v>
      </c>
      <c r="C6930" t="str">
        <f>IFERROR(__xludf.DUMMYFUNCTION("""COMPUTED_VALUE"""),"Iceland")</f>
        <v>Iceland</v>
      </c>
      <c r="D6930">
        <f>IFERROR(__xludf.DUMMYFUNCTION("""COMPUTED_VALUE"""),1960.0)</f>
        <v>1960</v>
      </c>
      <c r="E6930">
        <f>IFERROR(__xludf.DUMMYFUNCTION("""COMPUTED_VALUE"""),175592.0)</f>
        <v>175592</v>
      </c>
    </row>
    <row r="6931">
      <c r="A6931" t="str">
        <f t="shared" si="1"/>
        <v>isl#1961</v>
      </c>
      <c r="B6931" t="str">
        <f>IFERROR(__xludf.DUMMYFUNCTION("""COMPUTED_VALUE"""),"isl")</f>
        <v>isl</v>
      </c>
      <c r="C6931" t="str">
        <f>IFERROR(__xludf.DUMMYFUNCTION("""COMPUTED_VALUE"""),"Iceland")</f>
        <v>Iceland</v>
      </c>
      <c r="D6931">
        <f>IFERROR(__xludf.DUMMYFUNCTION("""COMPUTED_VALUE"""),1961.0)</f>
        <v>1961</v>
      </c>
      <c r="E6931">
        <f>IFERROR(__xludf.DUMMYFUNCTION("""COMPUTED_VALUE"""),179183.0)</f>
        <v>179183</v>
      </c>
    </row>
    <row r="6932">
      <c r="A6932" t="str">
        <f t="shared" si="1"/>
        <v>isl#1962</v>
      </c>
      <c r="B6932" t="str">
        <f>IFERROR(__xludf.DUMMYFUNCTION("""COMPUTED_VALUE"""),"isl")</f>
        <v>isl</v>
      </c>
      <c r="C6932" t="str">
        <f>IFERROR(__xludf.DUMMYFUNCTION("""COMPUTED_VALUE"""),"Iceland")</f>
        <v>Iceland</v>
      </c>
      <c r="D6932">
        <f>IFERROR(__xludf.DUMMYFUNCTION("""COMPUTED_VALUE"""),1962.0)</f>
        <v>1962</v>
      </c>
      <c r="E6932">
        <f>IFERROR(__xludf.DUMMYFUNCTION("""COMPUTED_VALUE"""),182711.0)</f>
        <v>182711</v>
      </c>
    </row>
    <row r="6933">
      <c r="A6933" t="str">
        <f t="shared" si="1"/>
        <v>isl#1963</v>
      </c>
      <c r="B6933" t="str">
        <f>IFERROR(__xludf.DUMMYFUNCTION("""COMPUTED_VALUE"""),"isl")</f>
        <v>isl</v>
      </c>
      <c r="C6933" t="str">
        <f>IFERROR(__xludf.DUMMYFUNCTION("""COMPUTED_VALUE"""),"Iceland")</f>
        <v>Iceland</v>
      </c>
      <c r="D6933">
        <f>IFERROR(__xludf.DUMMYFUNCTION("""COMPUTED_VALUE"""),1963.0)</f>
        <v>1963</v>
      </c>
      <c r="E6933">
        <f>IFERROR(__xludf.DUMMYFUNCTION("""COMPUTED_VALUE"""),186124.0)</f>
        <v>186124</v>
      </c>
    </row>
    <row r="6934">
      <c r="A6934" t="str">
        <f t="shared" si="1"/>
        <v>isl#1964</v>
      </c>
      <c r="B6934" t="str">
        <f>IFERROR(__xludf.DUMMYFUNCTION("""COMPUTED_VALUE"""),"isl")</f>
        <v>isl</v>
      </c>
      <c r="C6934" t="str">
        <f>IFERROR(__xludf.DUMMYFUNCTION("""COMPUTED_VALUE"""),"Iceland")</f>
        <v>Iceland</v>
      </c>
      <c r="D6934">
        <f>IFERROR(__xludf.DUMMYFUNCTION("""COMPUTED_VALUE"""),1964.0)</f>
        <v>1964</v>
      </c>
      <c r="E6934">
        <f>IFERROR(__xludf.DUMMYFUNCTION("""COMPUTED_VALUE"""),189338.0)</f>
        <v>189338</v>
      </c>
    </row>
    <row r="6935">
      <c r="A6935" t="str">
        <f t="shared" si="1"/>
        <v>isl#1965</v>
      </c>
      <c r="B6935" t="str">
        <f>IFERROR(__xludf.DUMMYFUNCTION("""COMPUTED_VALUE"""),"isl")</f>
        <v>isl</v>
      </c>
      <c r="C6935" t="str">
        <f>IFERROR(__xludf.DUMMYFUNCTION("""COMPUTED_VALUE"""),"Iceland")</f>
        <v>Iceland</v>
      </c>
      <c r="D6935">
        <f>IFERROR(__xludf.DUMMYFUNCTION("""COMPUTED_VALUE"""),1965.0)</f>
        <v>1965</v>
      </c>
      <c r="E6935">
        <f>IFERROR(__xludf.DUMMYFUNCTION("""COMPUTED_VALUE"""),192313.0)</f>
        <v>192313</v>
      </c>
    </row>
    <row r="6936">
      <c r="A6936" t="str">
        <f t="shared" si="1"/>
        <v>isl#1966</v>
      </c>
      <c r="B6936" t="str">
        <f>IFERROR(__xludf.DUMMYFUNCTION("""COMPUTED_VALUE"""),"isl")</f>
        <v>isl</v>
      </c>
      <c r="C6936" t="str">
        <f>IFERROR(__xludf.DUMMYFUNCTION("""COMPUTED_VALUE"""),"Iceland")</f>
        <v>Iceland</v>
      </c>
      <c r="D6936">
        <f>IFERROR(__xludf.DUMMYFUNCTION("""COMPUTED_VALUE"""),1966.0)</f>
        <v>1966</v>
      </c>
      <c r="E6936">
        <f>IFERROR(__xludf.DUMMYFUNCTION("""COMPUTED_VALUE"""),194990.0)</f>
        <v>194990</v>
      </c>
    </row>
    <row r="6937">
      <c r="A6937" t="str">
        <f t="shared" si="1"/>
        <v>isl#1967</v>
      </c>
      <c r="B6937" t="str">
        <f>IFERROR(__xludf.DUMMYFUNCTION("""COMPUTED_VALUE"""),"isl")</f>
        <v>isl</v>
      </c>
      <c r="C6937" t="str">
        <f>IFERROR(__xludf.DUMMYFUNCTION("""COMPUTED_VALUE"""),"Iceland")</f>
        <v>Iceland</v>
      </c>
      <c r="D6937">
        <f>IFERROR(__xludf.DUMMYFUNCTION("""COMPUTED_VALUE"""),1967.0)</f>
        <v>1967</v>
      </c>
      <c r="E6937">
        <f>IFERROR(__xludf.DUMMYFUNCTION("""COMPUTED_VALUE"""),197401.0)</f>
        <v>197401</v>
      </c>
    </row>
    <row r="6938">
      <c r="A6938" t="str">
        <f t="shared" si="1"/>
        <v>isl#1968</v>
      </c>
      <c r="B6938" t="str">
        <f>IFERROR(__xludf.DUMMYFUNCTION("""COMPUTED_VALUE"""),"isl")</f>
        <v>isl</v>
      </c>
      <c r="C6938" t="str">
        <f>IFERROR(__xludf.DUMMYFUNCTION("""COMPUTED_VALUE"""),"Iceland")</f>
        <v>Iceland</v>
      </c>
      <c r="D6938">
        <f>IFERROR(__xludf.DUMMYFUNCTION("""COMPUTED_VALUE"""),1968.0)</f>
        <v>1968</v>
      </c>
      <c r="E6938">
        <f>IFERROR(__xludf.DUMMYFUNCTION("""COMPUTED_VALUE"""),199669.0)</f>
        <v>199669</v>
      </c>
    </row>
    <row r="6939">
      <c r="A6939" t="str">
        <f t="shared" si="1"/>
        <v>isl#1969</v>
      </c>
      <c r="B6939" t="str">
        <f>IFERROR(__xludf.DUMMYFUNCTION("""COMPUTED_VALUE"""),"isl")</f>
        <v>isl</v>
      </c>
      <c r="C6939" t="str">
        <f>IFERROR(__xludf.DUMMYFUNCTION("""COMPUTED_VALUE"""),"Iceland")</f>
        <v>Iceland</v>
      </c>
      <c r="D6939">
        <f>IFERROR(__xludf.DUMMYFUNCTION("""COMPUTED_VALUE"""),1969.0)</f>
        <v>1969</v>
      </c>
      <c r="E6939">
        <f>IFERROR(__xludf.DUMMYFUNCTION("""COMPUTED_VALUE"""),201974.0)</f>
        <v>201974</v>
      </c>
    </row>
    <row r="6940">
      <c r="A6940" t="str">
        <f t="shared" si="1"/>
        <v>isl#1970</v>
      </c>
      <c r="B6940" t="str">
        <f>IFERROR(__xludf.DUMMYFUNCTION("""COMPUTED_VALUE"""),"isl")</f>
        <v>isl</v>
      </c>
      <c r="C6940" t="str">
        <f>IFERROR(__xludf.DUMMYFUNCTION("""COMPUTED_VALUE"""),"Iceland")</f>
        <v>Iceland</v>
      </c>
      <c r="D6940">
        <f>IFERROR(__xludf.DUMMYFUNCTION("""COMPUTED_VALUE"""),1970.0)</f>
        <v>1970</v>
      </c>
      <c r="E6940">
        <f>IFERROR(__xludf.DUMMYFUNCTION("""COMPUTED_VALUE"""),204426.0)</f>
        <v>204426</v>
      </c>
    </row>
    <row r="6941">
      <c r="A6941" t="str">
        <f t="shared" si="1"/>
        <v>isl#1971</v>
      </c>
      <c r="B6941" t="str">
        <f>IFERROR(__xludf.DUMMYFUNCTION("""COMPUTED_VALUE"""),"isl")</f>
        <v>isl</v>
      </c>
      <c r="C6941" t="str">
        <f>IFERROR(__xludf.DUMMYFUNCTION("""COMPUTED_VALUE"""),"Iceland")</f>
        <v>Iceland</v>
      </c>
      <c r="D6941">
        <f>IFERROR(__xludf.DUMMYFUNCTION("""COMPUTED_VALUE"""),1971.0)</f>
        <v>1971</v>
      </c>
      <c r="E6941">
        <f>IFERROR(__xludf.DUMMYFUNCTION("""COMPUTED_VALUE"""),207088.0)</f>
        <v>207088</v>
      </c>
    </row>
    <row r="6942">
      <c r="A6942" t="str">
        <f t="shared" si="1"/>
        <v>isl#1972</v>
      </c>
      <c r="B6942" t="str">
        <f>IFERROR(__xludf.DUMMYFUNCTION("""COMPUTED_VALUE"""),"isl")</f>
        <v>isl</v>
      </c>
      <c r="C6942" t="str">
        <f>IFERROR(__xludf.DUMMYFUNCTION("""COMPUTED_VALUE"""),"Iceland")</f>
        <v>Iceland</v>
      </c>
      <c r="D6942">
        <f>IFERROR(__xludf.DUMMYFUNCTION("""COMPUTED_VALUE"""),1972.0)</f>
        <v>1972</v>
      </c>
      <c r="E6942">
        <f>IFERROR(__xludf.DUMMYFUNCTION("""COMPUTED_VALUE"""),209929.0)</f>
        <v>209929</v>
      </c>
    </row>
    <row r="6943">
      <c r="A6943" t="str">
        <f t="shared" si="1"/>
        <v>isl#1973</v>
      </c>
      <c r="B6943" t="str">
        <f>IFERROR(__xludf.DUMMYFUNCTION("""COMPUTED_VALUE"""),"isl")</f>
        <v>isl</v>
      </c>
      <c r="C6943" t="str">
        <f>IFERROR(__xludf.DUMMYFUNCTION("""COMPUTED_VALUE"""),"Iceland")</f>
        <v>Iceland</v>
      </c>
      <c r="D6943">
        <f>IFERROR(__xludf.DUMMYFUNCTION("""COMPUTED_VALUE"""),1973.0)</f>
        <v>1973</v>
      </c>
      <c r="E6943">
        <f>IFERROR(__xludf.DUMMYFUNCTION("""COMPUTED_VALUE"""),212814.0)</f>
        <v>212814</v>
      </c>
    </row>
    <row r="6944">
      <c r="A6944" t="str">
        <f t="shared" si="1"/>
        <v>isl#1974</v>
      </c>
      <c r="B6944" t="str">
        <f>IFERROR(__xludf.DUMMYFUNCTION("""COMPUTED_VALUE"""),"isl")</f>
        <v>isl</v>
      </c>
      <c r="C6944" t="str">
        <f>IFERROR(__xludf.DUMMYFUNCTION("""COMPUTED_VALUE"""),"Iceland")</f>
        <v>Iceland</v>
      </c>
      <c r="D6944">
        <f>IFERROR(__xludf.DUMMYFUNCTION("""COMPUTED_VALUE"""),1974.0)</f>
        <v>1974</v>
      </c>
      <c r="E6944">
        <f>IFERROR(__xludf.DUMMYFUNCTION("""COMPUTED_VALUE"""),215563.0)</f>
        <v>215563</v>
      </c>
    </row>
    <row r="6945">
      <c r="A6945" t="str">
        <f t="shared" si="1"/>
        <v>isl#1975</v>
      </c>
      <c r="B6945" t="str">
        <f>IFERROR(__xludf.DUMMYFUNCTION("""COMPUTED_VALUE"""),"isl")</f>
        <v>isl</v>
      </c>
      <c r="C6945" t="str">
        <f>IFERROR(__xludf.DUMMYFUNCTION("""COMPUTED_VALUE"""),"Iceland")</f>
        <v>Iceland</v>
      </c>
      <c r="D6945">
        <f>IFERROR(__xludf.DUMMYFUNCTION("""COMPUTED_VALUE"""),1975.0)</f>
        <v>1975</v>
      </c>
      <c r="E6945">
        <f>IFERROR(__xludf.DUMMYFUNCTION("""COMPUTED_VALUE"""),218070.0)</f>
        <v>218070</v>
      </c>
    </row>
    <row r="6946">
      <c r="A6946" t="str">
        <f t="shared" si="1"/>
        <v>isl#1976</v>
      </c>
      <c r="B6946" t="str">
        <f>IFERROR(__xludf.DUMMYFUNCTION("""COMPUTED_VALUE"""),"isl")</f>
        <v>isl</v>
      </c>
      <c r="C6946" t="str">
        <f>IFERROR(__xludf.DUMMYFUNCTION("""COMPUTED_VALUE"""),"Iceland")</f>
        <v>Iceland</v>
      </c>
      <c r="D6946">
        <f>IFERROR(__xludf.DUMMYFUNCTION("""COMPUTED_VALUE"""),1976.0)</f>
        <v>1976</v>
      </c>
      <c r="E6946">
        <f>IFERROR(__xludf.DUMMYFUNCTION("""COMPUTED_VALUE"""),220291.0)</f>
        <v>220291</v>
      </c>
    </row>
    <row r="6947">
      <c r="A6947" t="str">
        <f t="shared" si="1"/>
        <v>isl#1977</v>
      </c>
      <c r="B6947" t="str">
        <f>IFERROR(__xludf.DUMMYFUNCTION("""COMPUTED_VALUE"""),"isl")</f>
        <v>isl</v>
      </c>
      <c r="C6947" t="str">
        <f>IFERROR(__xludf.DUMMYFUNCTION("""COMPUTED_VALUE"""),"Iceland")</f>
        <v>Iceland</v>
      </c>
      <c r="D6947">
        <f>IFERROR(__xludf.DUMMYFUNCTION("""COMPUTED_VALUE"""),1977.0)</f>
        <v>1977</v>
      </c>
      <c r="E6947">
        <f>IFERROR(__xludf.DUMMYFUNCTION("""COMPUTED_VALUE"""),222266.0)</f>
        <v>222266</v>
      </c>
    </row>
    <row r="6948">
      <c r="A6948" t="str">
        <f t="shared" si="1"/>
        <v>isl#1978</v>
      </c>
      <c r="B6948" t="str">
        <f>IFERROR(__xludf.DUMMYFUNCTION("""COMPUTED_VALUE"""),"isl")</f>
        <v>isl</v>
      </c>
      <c r="C6948" t="str">
        <f>IFERROR(__xludf.DUMMYFUNCTION("""COMPUTED_VALUE"""),"Iceland")</f>
        <v>Iceland</v>
      </c>
      <c r="D6948">
        <f>IFERROR(__xludf.DUMMYFUNCTION("""COMPUTED_VALUE"""),1978.0)</f>
        <v>1978</v>
      </c>
      <c r="E6948">
        <f>IFERROR(__xludf.DUMMYFUNCTION("""COMPUTED_VALUE"""),224150.0)</f>
        <v>224150</v>
      </c>
    </row>
    <row r="6949">
      <c r="A6949" t="str">
        <f t="shared" si="1"/>
        <v>isl#1979</v>
      </c>
      <c r="B6949" t="str">
        <f>IFERROR(__xludf.DUMMYFUNCTION("""COMPUTED_VALUE"""),"isl")</f>
        <v>isl</v>
      </c>
      <c r="C6949" t="str">
        <f>IFERROR(__xludf.DUMMYFUNCTION("""COMPUTED_VALUE"""),"Iceland")</f>
        <v>Iceland</v>
      </c>
      <c r="D6949">
        <f>IFERROR(__xludf.DUMMYFUNCTION("""COMPUTED_VALUE"""),1979.0)</f>
        <v>1979</v>
      </c>
      <c r="E6949">
        <f>IFERROR(__xludf.DUMMYFUNCTION("""COMPUTED_VALUE"""),226103.0)</f>
        <v>226103</v>
      </c>
    </row>
    <row r="6950">
      <c r="A6950" t="str">
        <f t="shared" si="1"/>
        <v>isl#1980</v>
      </c>
      <c r="B6950" t="str">
        <f>IFERROR(__xludf.DUMMYFUNCTION("""COMPUTED_VALUE"""),"isl")</f>
        <v>isl</v>
      </c>
      <c r="C6950" t="str">
        <f>IFERROR(__xludf.DUMMYFUNCTION("""COMPUTED_VALUE"""),"Iceland")</f>
        <v>Iceland</v>
      </c>
      <c r="D6950">
        <f>IFERROR(__xludf.DUMMYFUNCTION("""COMPUTED_VALUE"""),1980.0)</f>
        <v>1980</v>
      </c>
      <c r="E6950">
        <f>IFERROR(__xludf.DUMMYFUNCTION("""COMPUTED_VALUE"""),228262.0)</f>
        <v>228262</v>
      </c>
    </row>
    <row r="6951">
      <c r="A6951" t="str">
        <f t="shared" si="1"/>
        <v>isl#1981</v>
      </c>
      <c r="B6951" t="str">
        <f>IFERROR(__xludf.DUMMYFUNCTION("""COMPUTED_VALUE"""),"isl")</f>
        <v>isl</v>
      </c>
      <c r="C6951" t="str">
        <f>IFERROR(__xludf.DUMMYFUNCTION("""COMPUTED_VALUE"""),"Iceland")</f>
        <v>Iceland</v>
      </c>
      <c r="D6951">
        <f>IFERROR(__xludf.DUMMYFUNCTION("""COMPUTED_VALUE"""),1981.0)</f>
        <v>1981</v>
      </c>
      <c r="E6951">
        <f>IFERROR(__xludf.DUMMYFUNCTION("""COMPUTED_VALUE"""),230664.0)</f>
        <v>230664</v>
      </c>
    </row>
    <row r="6952">
      <c r="A6952" t="str">
        <f t="shared" si="1"/>
        <v>isl#1982</v>
      </c>
      <c r="B6952" t="str">
        <f>IFERROR(__xludf.DUMMYFUNCTION("""COMPUTED_VALUE"""),"isl")</f>
        <v>isl</v>
      </c>
      <c r="C6952" t="str">
        <f>IFERROR(__xludf.DUMMYFUNCTION("""COMPUTED_VALUE"""),"Iceland")</f>
        <v>Iceland</v>
      </c>
      <c r="D6952">
        <f>IFERROR(__xludf.DUMMYFUNCTION("""COMPUTED_VALUE"""),1982.0)</f>
        <v>1982</v>
      </c>
      <c r="E6952">
        <f>IFERROR(__xludf.DUMMYFUNCTION("""COMPUTED_VALUE"""),233269.0)</f>
        <v>233269</v>
      </c>
    </row>
    <row r="6953">
      <c r="A6953" t="str">
        <f t="shared" si="1"/>
        <v>isl#1983</v>
      </c>
      <c r="B6953" t="str">
        <f>IFERROR(__xludf.DUMMYFUNCTION("""COMPUTED_VALUE"""),"isl")</f>
        <v>isl</v>
      </c>
      <c r="C6953" t="str">
        <f>IFERROR(__xludf.DUMMYFUNCTION("""COMPUTED_VALUE"""),"Iceland")</f>
        <v>Iceland</v>
      </c>
      <c r="D6953">
        <f>IFERROR(__xludf.DUMMYFUNCTION("""COMPUTED_VALUE"""),1983.0)</f>
        <v>1983</v>
      </c>
      <c r="E6953">
        <f>IFERROR(__xludf.DUMMYFUNCTION("""COMPUTED_VALUE"""),236019.0)</f>
        <v>236019</v>
      </c>
    </row>
    <row r="6954">
      <c r="A6954" t="str">
        <f t="shared" si="1"/>
        <v>isl#1984</v>
      </c>
      <c r="B6954" t="str">
        <f>IFERROR(__xludf.DUMMYFUNCTION("""COMPUTED_VALUE"""),"isl")</f>
        <v>isl</v>
      </c>
      <c r="C6954" t="str">
        <f>IFERROR(__xludf.DUMMYFUNCTION("""COMPUTED_VALUE"""),"Iceland")</f>
        <v>Iceland</v>
      </c>
      <c r="D6954">
        <f>IFERROR(__xludf.DUMMYFUNCTION("""COMPUTED_VALUE"""),1984.0)</f>
        <v>1984</v>
      </c>
      <c r="E6954">
        <f>IFERROR(__xludf.DUMMYFUNCTION("""COMPUTED_VALUE"""),238808.0)</f>
        <v>238808</v>
      </c>
    </row>
    <row r="6955">
      <c r="A6955" t="str">
        <f t="shared" si="1"/>
        <v>isl#1985</v>
      </c>
      <c r="B6955" t="str">
        <f>IFERROR(__xludf.DUMMYFUNCTION("""COMPUTED_VALUE"""),"isl")</f>
        <v>isl</v>
      </c>
      <c r="C6955" t="str">
        <f>IFERROR(__xludf.DUMMYFUNCTION("""COMPUTED_VALUE"""),"Iceland")</f>
        <v>Iceland</v>
      </c>
      <c r="D6955">
        <f>IFERROR(__xludf.DUMMYFUNCTION("""COMPUTED_VALUE"""),1985.0)</f>
        <v>1985</v>
      </c>
      <c r="E6955">
        <f>IFERROR(__xludf.DUMMYFUNCTION("""COMPUTED_VALUE"""),241582.0)</f>
        <v>241582</v>
      </c>
    </row>
    <row r="6956">
      <c r="A6956" t="str">
        <f t="shared" si="1"/>
        <v>isl#1986</v>
      </c>
      <c r="B6956" t="str">
        <f>IFERROR(__xludf.DUMMYFUNCTION("""COMPUTED_VALUE"""),"isl")</f>
        <v>isl</v>
      </c>
      <c r="C6956" t="str">
        <f>IFERROR(__xludf.DUMMYFUNCTION("""COMPUTED_VALUE"""),"Iceland")</f>
        <v>Iceland</v>
      </c>
      <c r="D6956">
        <f>IFERROR(__xludf.DUMMYFUNCTION("""COMPUTED_VALUE"""),1986.0)</f>
        <v>1986</v>
      </c>
      <c r="E6956">
        <f>IFERROR(__xludf.DUMMYFUNCTION("""COMPUTED_VALUE"""),244331.0)</f>
        <v>244331</v>
      </c>
    </row>
    <row r="6957">
      <c r="A6957" t="str">
        <f t="shared" si="1"/>
        <v>isl#1987</v>
      </c>
      <c r="B6957" t="str">
        <f>IFERROR(__xludf.DUMMYFUNCTION("""COMPUTED_VALUE"""),"isl")</f>
        <v>isl</v>
      </c>
      <c r="C6957" t="str">
        <f>IFERROR(__xludf.DUMMYFUNCTION("""COMPUTED_VALUE"""),"Iceland")</f>
        <v>Iceland</v>
      </c>
      <c r="D6957">
        <f>IFERROR(__xludf.DUMMYFUNCTION("""COMPUTED_VALUE"""),1987.0)</f>
        <v>1987</v>
      </c>
      <c r="E6957">
        <f>IFERROR(__xludf.DUMMYFUNCTION("""COMPUTED_VALUE"""),247056.0)</f>
        <v>247056</v>
      </c>
    </row>
    <row r="6958">
      <c r="A6958" t="str">
        <f t="shared" si="1"/>
        <v>isl#1988</v>
      </c>
      <c r="B6958" t="str">
        <f>IFERROR(__xludf.DUMMYFUNCTION("""COMPUTED_VALUE"""),"isl")</f>
        <v>isl</v>
      </c>
      <c r="C6958" t="str">
        <f>IFERROR(__xludf.DUMMYFUNCTION("""COMPUTED_VALUE"""),"Iceland")</f>
        <v>Iceland</v>
      </c>
      <c r="D6958">
        <f>IFERROR(__xludf.DUMMYFUNCTION("""COMPUTED_VALUE"""),1988.0)</f>
        <v>1988</v>
      </c>
      <c r="E6958">
        <f>IFERROR(__xludf.DUMMYFUNCTION("""COMPUTED_VALUE"""),249756.0)</f>
        <v>249756</v>
      </c>
    </row>
    <row r="6959">
      <c r="A6959" t="str">
        <f t="shared" si="1"/>
        <v>isl#1989</v>
      </c>
      <c r="B6959" t="str">
        <f>IFERROR(__xludf.DUMMYFUNCTION("""COMPUTED_VALUE"""),"isl")</f>
        <v>isl</v>
      </c>
      <c r="C6959" t="str">
        <f>IFERROR(__xludf.DUMMYFUNCTION("""COMPUTED_VALUE"""),"Iceland")</f>
        <v>Iceland</v>
      </c>
      <c r="D6959">
        <f>IFERROR(__xludf.DUMMYFUNCTION("""COMPUTED_VALUE"""),1989.0)</f>
        <v>1989</v>
      </c>
      <c r="E6959">
        <f>IFERROR(__xludf.DUMMYFUNCTION("""COMPUTED_VALUE"""),252413.0)</f>
        <v>252413</v>
      </c>
    </row>
    <row r="6960">
      <c r="A6960" t="str">
        <f t="shared" si="1"/>
        <v>isl#1990</v>
      </c>
      <c r="B6960" t="str">
        <f>IFERROR(__xludf.DUMMYFUNCTION("""COMPUTED_VALUE"""),"isl")</f>
        <v>isl</v>
      </c>
      <c r="C6960" t="str">
        <f>IFERROR(__xludf.DUMMYFUNCTION("""COMPUTED_VALUE"""),"Iceland")</f>
        <v>Iceland</v>
      </c>
      <c r="D6960">
        <f>IFERROR(__xludf.DUMMYFUNCTION("""COMPUTED_VALUE"""),1990.0)</f>
        <v>1990</v>
      </c>
      <c r="E6960">
        <f>IFERROR(__xludf.DUMMYFUNCTION("""COMPUTED_VALUE"""),255043.0)</f>
        <v>255043</v>
      </c>
    </row>
    <row r="6961">
      <c r="A6961" t="str">
        <f t="shared" si="1"/>
        <v>isl#1991</v>
      </c>
      <c r="B6961" t="str">
        <f>IFERROR(__xludf.DUMMYFUNCTION("""COMPUTED_VALUE"""),"isl")</f>
        <v>isl</v>
      </c>
      <c r="C6961" t="str">
        <f>IFERROR(__xludf.DUMMYFUNCTION("""COMPUTED_VALUE"""),"Iceland")</f>
        <v>Iceland</v>
      </c>
      <c r="D6961">
        <f>IFERROR(__xludf.DUMMYFUNCTION("""COMPUTED_VALUE"""),1991.0)</f>
        <v>1991</v>
      </c>
      <c r="E6961">
        <f>IFERROR(__xludf.DUMMYFUNCTION("""COMPUTED_VALUE"""),257624.0)</f>
        <v>257624</v>
      </c>
    </row>
    <row r="6962">
      <c r="A6962" t="str">
        <f t="shared" si="1"/>
        <v>isl#1992</v>
      </c>
      <c r="B6962" t="str">
        <f>IFERROR(__xludf.DUMMYFUNCTION("""COMPUTED_VALUE"""),"isl")</f>
        <v>isl</v>
      </c>
      <c r="C6962" t="str">
        <f>IFERROR(__xludf.DUMMYFUNCTION("""COMPUTED_VALUE"""),"Iceland")</f>
        <v>Iceland</v>
      </c>
      <c r="D6962">
        <f>IFERROR(__xludf.DUMMYFUNCTION("""COMPUTED_VALUE"""),1992.0)</f>
        <v>1992</v>
      </c>
      <c r="E6962">
        <f>IFERROR(__xludf.DUMMYFUNCTION("""COMPUTED_VALUE"""),260151.0)</f>
        <v>260151</v>
      </c>
    </row>
    <row r="6963">
      <c r="A6963" t="str">
        <f t="shared" si="1"/>
        <v>isl#1993</v>
      </c>
      <c r="B6963" t="str">
        <f>IFERROR(__xludf.DUMMYFUNCTION("""COMPUTED_VALUE"""),"isl")</f>
        <v>isl</v>
      </c>
      <c r="C6963" t="str">
        <f>IFERROR(__xludf.DUMMYFUNCTION("""COMPUTED_VALUE"""),"Iceland")</f>
        <v>Iceland</v>
      </c>
      <c r="D6963">
        <f>IFERROR(__xludf.DUMMYFUNCTION("""COMPUTED_VALUE"""),1993.0)</f>
        <v>1993</v>
      </c>
      <c r="E6963">
        <f>IFERROR(__xludf.DUMMYFUNCTION("""COMPUTED_VALUE"""),262656.0)</f>
        <v>262656</v>
      </c>
    </row>
    <row r="6964">
      <c r="A6964" t="str">
        <f t="shared" si="1"/>
        <v>isl#1994</v>
      </c>
      <c r="B6964" t="str">
        <f>IFERROR(__xludf.DUMMYFUNCTION("""COMPUTED_VALUE"""),"isl")</f>
        <v>isl</v>
      </c>
      <c r="C6964" t="str">
        <f>IFERROR(__xludf.DUMMYFUNCTION("""COMPUTED_VALUE"""),"Iceland")</f>
        <v>Iceland</v>
      </c>
      <c r="D6964">
        <f>IFERROR(__xludf.DUMMYFUNCTION("""COMPUTED_VALUE"""),1994.0)</f>
        <v>1994</v>
      </c>
      <c r="E6964">
        <f>IFERROR(__xludf.DUMMYFUNCTION("""COMPUTED_VALUE"""),265138.0)</f>
        <v>265138</v>
      </c>
    </row>
    <row r="6965">
      <c r="A6965" t="str">
        <f t="shared" si="1"/>
        <v>isl#1995</v>
      </c>
      <c r="B6965" t="str">
        <f>IFERROR(__xludf.DUMMYFUNCTION("""COMPUTED_VALUE"""),"isl")</f>
        <v>isl</v>
      </c>
      <c r="C6965" t="str">
        <f>IFERROR(__xludf.DUMMYFUNCTION("""COMPUTED_VALUE"""),"Iceland")</f>
        <v>Iceland</v>
      </c>
      <c r="D6965">
        <f>IFERROR(__xludf.DUMMYFUNCTION("""COMPUTED_VALUE"""),1995.0)</f>
        <v>1995</v>
      </c>
      <c r="E6965">
        <f>IFERROR(__xludf.DUMMYFUNCTION("""COMPUTED_VALUE"""),267629.0)</f>
        <v>267629</v>
      </c>
    </row>
    <row r="6966">
      <c r="A6966" t="str">
        <f t="shared" si="1"/>
        <v>isl#1996</v>
      </c>
      <c r="B6966" t="str">
        <f>IFERROR(__xludf.DUMMYFUNCTION("""COMPUTED_VALUE"""),"isl")</f>
        <v>isl</v>
      </c>
      <c r="C6966" t="str">
        <f>IFERROR(__xludf.DUMMYFUNCTION("""COMPUTED_VALUE"""),"Iceland")</f>
        <v>Iceland</v>
      </c>
      <c r="D6966">
        <f>IFERROR(__xludf.DUMMYFUNCTION("""COMPUTED_VALUE"""),1996.0)</f>
        <v>1996</v>
      </c>
      <c r="E6966">
        <f>IFERROR(__xludf.DUMMYFUNCTION("""COMPUTED_VALUE"""),270150.0)</f>
        <v>270150</v>
      </c>
    </row>
    <row r="6967">
      <c r="A6967" t="str">
        <f t="shared" si="1"/>
        <v>isl#1997</v>
      </c>
      <c r="B6967" t="str">
        <f>IFERROR(__xludf.DUMMYFUNCTION("""COMPUTED_VALUE"""),"isl")</f>
        <v>isl</v>
      </c>
      <c r="C6967" t="str">
        <f>IFERROR(__xludf.DUMMYFUNCTION("""COMPUTED_VALUE"""),"Iceland")</f>
        <v>Iceland</v>
      </c>
      <c r="D6967">
        <f>IFERROR(__xludf.DUMMYFUNCTION("""COMPUTED_VALUE"""),1997.0)</f>
        <v>1997</v>
      </c>
      <c r="E6967">
        <f>IFERROR(__xludf.DUMMYFUNCTION("""COMPUTED_VALUE"""),272709.0)</f>
        <v>272709</v>
      </c>
    </row>
    <row r="6968">
      <c r="A6968" t="str">
        <f t="shared" si="1"/>
        <v>isl#1998</v>
      </c>
      <c r="B6968" t="str">
        <f>IFERROR(__xludf.DUMMYFUNCTION("""COMPUTED_VALUE"""),"isl")</f>
        <v>isl</v>
      </c>
      <c r="C6968" t="str">
        <f>IFERROR(__xludf.DUMMYFUNCTION("""COMPUTED_VALUE"""),"Iceland")</f>
        <v>Iceland</v>
      </c>
      <c r="D6968">
        <f>IFERROR(__xludf.DUMMYFUNCTION("""COMPUTED_VALUE"""),1998.0)</f>
        <v>1998</v>
      </c>
      <c r="E6968">
        <f>IFERROR(__xludf.DUMMYFUNCTION("""COMPUTED_VALUE"""),275296.0)</f>
        <v>275296</v>
      </c>
    </row>
    <row r="6969">
      <c r="A6969" t="str">
        <f t="shared" si="1"/>
        <v>isl#1999</v>
      </c>
      <c r="B6969" t="str">
        <f>IFERROR(__xludf.DUMMYFUNCTION("""COMPUTED_VALUE"""),"isl")</f>
        <v>isl</v>
      </c>
      <c r="C6969" t="str">
        <f>IFERROR(__xludf.DUMMYFUNCTION("""COMPUTED_VALUE"""),"Iceland")</f>
        <v>Iceland</v>
      </c>
      <c r="D6969">
        <f>IFERROR(__xludf.DUMMYFUNCTION("""COMPUTED_VALUE"""),1999.0)</f>
        <v>1999</v>
      </c>
      <c r="E6969">
        <f>IFERROR(__xludf.DUMMYFUNCTION("""COMPUTED_VALUE"""),277870.0)</f>
        <v>277870</v>
      </c>
    </row>
    <row r="6970">
      <c r="A6970" t="str">
        <f t="shared" si="1"/>
        <v>isl#2000</v>
      </c>
      <c r="B6970" t="str">
        <f>IFERROR(__xludf.DUMMYFUNCTION("""COMPUTED_VALUE"""),"isl")</f>
        <v>isl</v>
      </c>
      <c r="C6970" t="str">
        <f>IFERROR(__xludf.DUMMYFUNCTION("""COMPUTED_VALUE"""),"Iceland")</f>
        <v>Iceland</v>
      </c>
      <c r="D6970">
        <f>IFERROR(__xludf.DUMMYFUNCTION("""COMPUTED_VALUE"""),2000.0)</f>
        <v>2000</v>
      </c>
      <c r="E6970">
        <f>IFERROR(__xludf.DUMMYFUNCTION("""COMPUTED_VALUE"""),280435.0)</f>
        <v>280435</v>
      </c>
    </row>
    <row r="6971">
      <c r="A6971" t="str">
        <f t="shared" si="1"/>
        <v>isl#2001</v>
      </c>
      <c r="B6971" t="str">
        <f>IFERROR(__xludf.DUMMYFUNCTION("""COMPUTED_VALUE"""),"isl")</f>
        <v>isl</v>
      </c>
      <c r="C6971" t="str">
        <f>IFERROR(__xludf.DUMMYFUNCTION("""COMPUTED_VALUE"""),"Iceland")</f>
        <v>Iceland</v>
      </c>
      <c r="D6971">
        <f>IFERROR(__xludf.DUMMYFUNCTION("""COMPUTED_VALUE"""),2001.0)</f>
        <v>2001</v>
      </c>
      <c r="E6971">
        <f>IFERROR(__xludf.DUMMYFUNCTION("""COMPUTED_VALUE"""),282907.0)</f>
        <v>282907</v>
      </c>
    </row>
    <row r="6972">
      <c r="A6972" t="str">
        <f t="shared" si="1"/>
        <v>isl#2002</v>
      </c>
      <c r="B6972" t="str">
        <f>IFERROR(__xludf.DUMMYFUNCTION("""COMPUTED_VALUE"""),"isl")</f>
        <v>isl</v>
      </c>
      <c r="C6972" t="str">
        <f>IFERROR(__xludf.DUMMYFUNCTION("""COMPUTED_VALUE"""),"Iceland")</f>
        <v>Iceland</v>
      </c>
      <c r="D6972">
        <f>IFERROR(__xludf.DUMMYFUNCTION("""COMPUTED_VALUE"""),2002.0)</f>
        <v>2002</v>
      </c>
      <c r="E6972">
        <f>IFERROR(__xludf.DUMMYFUNCTION("""COMPUTED_VALUE"""),285329.0)</f>
        <v>285329</v>
      </c>
    </row>
    <row r="6973">
      <c r="A6973" t="str">
        <f t="shared" si="1"/>
        <v>isl#2003</v>
      </c>
      <c r="B6973" t="str">
        <f>IFERROR(__xludf.DUMMYFUNCTION("""COMPUTED_VALUE"""),"isl")</f>
        <v>isl</v>
      </c>
      <c r="C6973" t="str">
        <f>IFERROR(__xludf.DUMMYFUNCTION("""COMPUTED_VALUE"""),"Iceland")</f>
        <v>Iceland</v>
      </c>
      <c r="D6973">
        <f>IFERROR(__xludf.DUMMYFUNCTION("""COMPUTED_VALUE"""),2003.0)</f>
        <v>2003</v>
      </c>
      <c r="E6973">
        <f>IFERROR(__xludf.DUMMYFUNCTION("""COMPUTED_VALUE"""),287952.0)</f>
        <v>287952</v>
      </c>
    </row>
    <row r="6974">
      <c r="A6974" t="str">
        <f t="shared" si="1"/>
        <v>isl#2004</v>
      </c>
      <c r="B6974" t="str">
        <f>IFERROR(__xludf.DUMMYFUNCTION("""COMPUTED_VALUE"""),"isl")</f>
        <v>isl</v>
      </c>
      <c r="C6974" t="str">
        <f>IFERROR(__xludf.DUMMYFUNCTION("""COMPUTED_VALUE"""),"Iceland")</f>
        <v>Iceland</v>
      </c>
      <c r="D6974">
        <f>IFERROR(__xludf.DUMMYFUNCTION("""COMPUTED_VALUE"""),2004.0)</f>
        <v>2004</v>
      </c>
      <c r="E6974">
        <f>IFERROR(__xludf.DUMMYFUNCTION("""COMPUTED_VALUE"""),291104.0)</f>
        <v>291104</v>
      </c>
    </row>
    <row r="6975">
      <c r="A6975" t="str">
        <f t="shared" si="1"/>
        <v>isl#2005</v>
      </c>
      <c r="B6975" t="str">
        <f>IFERROR(__xludf.DUMMYFUNCTION("""COMPUTED_VALUE"""),"isl")</f>
        <v>isl</v>
      </c>
      <c r="C6975" t="str">
        <f>IFERROR(__xludf.DUMMYFUNCTION("""COMPUTED_VALUE"""),"Iceland")</f>
        <v>Iceland</v>
      </c>
      <c r="D6975">
        <f>IFERROR(__xludf.DUMMYFUNCTION("""COMPUTED_VALUE"""),2005.0)</f>
        <v>2005</v>
      </c>
      <c r="E6975">
        <f>IFERROR(__xludf.DUMMYFUNCTION("""COMPUTED_VALUE"""),294979.0)</f>
        <v>294979</v>
      </c>
    </row>
    <row r="6976">
      <c r="A6976" t="str">
        <f t="shared" si="1"/>
        <v>isl#2006</v>
      </c>
      <c r="B6976" t="str">
        <f>IFERROR(__xludf.DUMMYFUNCTION("""COMPUTED_VALUE"""),"isl")</f>
        <v>isl</v>
      </c>
      <c r="C6976" t="str">
        <f>IFERROR(__xludf.DUMMYFUNCTION("""COMPUTED_VALUE"""),"Iceland")</f>
        <v>Iceland</v>
      </c>
      <c r="D6976">
        <f>IFERROR(__xludf.DUMMYFUNCTION("""COMPUTED_VALUE"""),2006.0)</f>
        <v>2006</v>
      </c>
      <c r="E6976">
        <f>IFERROR(__xludf.DUMMYFUNCTION("""COMPUTED_VALUE"""),299728.0)</f>
        <v>299728</v>
      </c>
    </row>
    <row r="6977">
      <c r="A6977" t="str">
        <f t="shared" si="1"/>
        <v>isl#2007</v>
      </c>
      <c r="B6977" t="str">
        <f>IFERROR(__xludf.DUMMYFUNCTION("""COMPUTED_VALUE"""),"isl")</f>
        <v>isl</v>
      </c>
      <c r="C6977" t="str">
        <f>IFERROR(__xludf.DUMMYFUNCTION("""COMPUTED_VALUE"""),"Iceland")</f>
        <v>Iceland</v>
      </c>
      <c r="D6977">
        <f>IFERROR(__xludf.DUMMYFUNCTION("""COMPUTED_VALUE"""),2007.0)</f>
        <v>2007</v>
      </c>
      <c r="E6977">
        <f>IFERROR(__xludf.DUMMYFUNCTION("""COMPUTED_VALUE"""),305200.0)</f>
        <v>305200</v>
      </c>
    </row>
    <row r="6978">
      <c r="A6978" t="str">
        <f t="shared" si="1"/>
        <v>isl#2008</v>
      </c>
      <c r="B6978" t="str">
        <f>IFERROR(__xludf.DUMMYFUNCTION("""COMPUTED_VALUE"""),"isl")</f>
        <v>isl</v>
      </c>
      <c r="C6978" t="str">
        <f>IFERROR(__xludf.DUMMYFUNCTION("""COMPUTED_VALUE"""),"Iceland")</f>
        <v>Iceland</v>
      </c>
      <c r="D6978">
        <f>IFERROR(__xludf.DUMMYFUNCTION("""COMPUTED_VALUE"""),2008.0)</f>
        <v>2008</v>
      </c>
      <c r="E6978">
        <f>IFERROR(__xludf.DUMMYFUNCTION("""COMPUTED_VALUE"""),310884.0)</f>
        <v>310884</v>
      </c>
    </row>
    <row r="6979">
      <c r="A6979" t="str">
        <f t="shared" si="1"/>
        <v>isl#2009</v>
      </c>
      <c r="B6979" t="str">
        <f>IFERROR(__xludf.DUMMYFUNCTION("""COMPUTED_VALUE"""),"isl")</f>
        <v>isl</v>
      </c>
      <c r="C6979" t="str">
        <f>IFERROR(__xludf.DUMMYFUNCTION("""COMPUTED_VALUE"""),"Iceland")</f>
        <v>Iceland</v>
      </c>
      <c r="D6979">
        <f>IFERROR(__xludf.DUMMYFUNCTION("""COMPUTED_VALUE"""),2009.0)</f>
        <v>2009</v>
      </c>
      <c r="E6979">
        <f>IFERROR(__xludf.DUMMYFUNCTION("""COMPUTED_VALUE"""),316086.0)</f>
        <v>316086</v>
      </c>
    </row>
    <row r="6980">
      <c r="A6980" t="str">
        <f t="shared" si="1"/>
        <v>isl#2010</v>
      </c>
      <c r="B6980" t="str">
        <f>IFERROR(__xludf.DUMMYFUNCTION("""COMPUTED_VALUE"""),"isl")</f>
        <v>isl</v>
      </c>
      <c r="C6980" t="str">
        <f>IFERROR(__xludf.DUMMYFUNCTION("""COMPUTED_VALUE"""),"Iceland")</f>
        <v>Iceland</v>
      </c>
      <c r="D6980">
        <f>IFERROR(__xludf.DUMMYFUNCTION("""COMPUTED_VALUE"""),2010.0)</f>
        <v>2010</v>
      </c>
      <c r="E6980">
        <f>IFERROR(__xludf.DUMMYFUNCTION("""COMPUTED_VALUE"""),320328.0)</f>
        <v>320328</v>
      </c>
    </row>
    <row r="6981">
      <c r="A6981" t="str">
        <f t="shared" si="1"/>
        <v>isl#2011</v>
      </c>
      <c r="B6981" t="str">
        <f>IFERROR(__xludf.DUMMYFUNCTION("""COMPUTED_VALUE"""),"isl")</f>
        <v>isl</v>
      </c>
      <c r="C6981" t="str">
        <f>IFERROR(__xludf.DUMMYFUNCTION("""COMPUTED_VALUE"""),"Iceland")</f>
        <v>Iceland</v>
      </c>
      <c r="D6981">
        <f>IFERROR(__xludf.DUMMYFUNCTION("""COMPUTED_VALUE"""),2011.0)</f>
        <v>2011</v>
      </c>
      <c r="E6981">
        <f>IFERROR(__xludf.DUMMYFUNCTION("""COMPUTED_VALUE"""),323418.0)</f>
        <v>323418</v>
      </c>
    </row>
    <row r="6982">
      <c r="A6982" t="str">
        <f t="shared" si="1"/>
        <v>isl#2012</v>
      </c>
      <c r="B6982" t="str">
        <f>IFERROR(__xludf.DUMMYFUNCTION("""COMPUTED_VALUE"""),"isl")</f>
        <v>isl</v>
      </c>
      <c r="C6982" t="str">
        <f>IFERROR(__xludf.DUMMYFUNCTION("""COMPUTED_VALUE"""),"Iceland")</f>
        <v>Iceland</v>
      </c>
      <c r="D6982">
        <f>IFERROR(__xludf.DUMMYFUNCTION("""COMPUTED_VALUE"""),2012.0)</f>
        <v>2012</v>
      </c>
      <c r="E6982">
        <f>IFERROR(__xludf.DUMMYFUNCTION("""COMPUTED_VALUE"""),325526.0)</f>
        <v>325526</v>
      </c>
    </row>
    <row r="6983">
      <c r="A6983" t="str">
        <f t="shared" si="1"/>
        <v>isl#2013</v>
      </c>
      <c r="B6983" t="str">
        <f>IFERROR(__xludf.DUMMYFUNCTION("""COMPUTED_VALUE"""),"isl")</f>
        <v>isl</v>
      </c>
      <c r="C6983" t="str">
        <f>IFERROR(__xludf.DUMMYFUNCTION("""COMPUTED_VALUE"""),"Iceland")</f>
        <v>Iceland</v>
      </c>
      <c r="D6983">
        <f>IFERROR(__xludf.DUMMYFUNCTION("""COMPUTED_VALUE"""),2013.0)</f>
        <v>2013</v>
      </c>
      <c r="E6983">
        <f>IFERROR(__xludf.DUMMYFUNCTION("""COMPUTED_VALUE"""),327029.0)</f>
        <v>327029</v>
      </c>
    </row>
    <row r="6984">
      <c r="A6984" t="str">
        <f t="shared" si="1"/>
        <v>isl#2014</v>
      </c>
      <c r="B6984" t="str">
        <f>IFERROR(__xludf.DUMMYFUNCTION("""COMPUTED_VALUE"""),"isl")</f>
        <v>isl</v>
      </c>
      <c r="C6984" t="str">
        <f>IFERROR(__xludf.DUMMYFUNCTION("""COMPUTED_VALUE"""),"Iceland")</f>
        <v>Iceland</v>
      </c>
      <c r="D6984">
        <f>IFERROR(__xludf.DUMMYFUNCTION("""COMPUTED_VALUE"""),2014.0)</f>
        <v>2014</v>
      </c>
      <c r="E6984">
        <f>IFERROR(__xludf.DUMMYFUNCTION("""COMPUTED_VALUE"""),328459.0)</f>
        <v>328459</v>
      </c>
    </row>
    <row r="6985">
      <c r="A6985" t="str">
        <f t="shared" si="1"/>
        <v>isl#2015</v>
      </c>
      <c r="B6985" t="str">
        <f>IFERROR(__xludf.DUMMYFUNCTION("""COMPUTED_VALUE"""),"isl")</f>
        <v>isl</v>
      </c>
      <c r="C6985" t="str">
        <f>IFERROR(__xludf.DUMMYFUNCTION("""COMPUTED_VALUE"""),"Iceland")</f>
        <v>Iceland</v>
      </c>
      <c r="D6985">
        <f>IFERROR(__xludf.DUMMYFUNCTION("""COMPUTED_VALUE"""),2015.0)</f>
        <v>2015</v>
      </c>
      <c r="E6985">
        <f>IFERROR(__xludf.DUMMYFUNCTION("""COMPUTED_VALUE"""),330243.0)</f>
        <v>330243</v>
      </c>
    </row>
    <row r="6986">
      <c r="A6986" t="str">
        <f t="shared" si="1"/>
        <v>isl#2016</v>
      </c>
      <c r="B6986" t="str">
        <f>IFERROR(__xludf.DUMMYFUNCTION("""COMPUTED_VALUE"""),"isl")</f>
        <v>isl</v>
      </c>
      <c r="C6986" t="str">
        <f>IFERROR(__xludf.DUMMYFUNCTION("""COMPUTED_VALUE"""),"Iceland")</f>
        <v>Iceland</v>
      </c>
      <c r="D6986">
        <f>IFERROR(__xludf.DUMMYFUNCTION("""COMPUTED_VALUE"""),2016.0)</f>
        <v>2016</v>
      </c>
      <c r="E6986">
        <f>IFERROR(__xludf.DUMMYFUNCTION("""COMPUTED_VALUE"""),332474.0)</f>
        <v>332474</v>
      </c>
    </row>
    <row r="6987">
      <c r="A6987" t="str">
        <f t="shared" si="1"/>
        <v>isl#2017</v>
      </c>
      <c r="B6987" t="str">
        <f>IFERROR(__xludf.DUMMYFUNCTION("""COMPUTED_VALUE"""),"isl")</f>
        <v>isl</v>
      </c>
      <c r="C6987" t="str">
        <f>IFERROR(__xludf.DUMMYFUNCTION("""COMPUTED_VALUE"""),"Iceland")</f>
        <v>Iceland</v>
      </c>
      <c r="D6987">
        <f>IFERROR(__xludf.DUMMYFUNCTION("""COMPUTED_VALUE"""),2017.0)</f>
        <v>2017</v>
      </c>
      <c r="E6987">
        <f>IFERROR(__xludf.DUMMYFUNCTION("""COMPUTED_VALUE"""),335025.0)</f>
        <v>335025</v>
      </c>
    </row>
    <row r="6988">
      <c r="A6988" t="str">
        <f t="shared" si="1"/>
        <v>isl#2018</v>
      </c>
      <c r="B6988" t="str">
        <f>IFERROR(__xludf.DUMMYFUNCTION("""COMPUTED_VALUE"""),"isl")</f>
        <v>isl</v>
      </c>
      <c r="C6988" t="str">
        <f>IFERROR(__xludf.DUMMYFUNCTION("""COMPUTED_VALUE"""),"Iceland")</f>
        <v>Iceland</v>
      </c>
      <c r="D6988">
        <f>IFERROR(__xludf.DUMMYFUNCTION("""COMPUTED_VALUE"""),2018.0)</f>
        <v>2018</v>
      </c>
      <c r="E6988">
        <f>IFERROR(__xludf.DUMMYFUNCTION("""COMPUTED_VALUE"""),337780.0)</f>
        <v>337780</v>
      </c>
    </row>
    <row r="6989">
      <c r="A6989" t="str">
        <f t="shared" si="1"/>
        <v>isl#2019</v>
      </c>
      <c r="B6989" t="str">
        <f>IFERROR(__xludf.DUMMYFUNCTION("""COMPUTED_VALUE"""),"isl")</f>
        <v>isl</v>
      </c>
      <c r="C6989" t="str">
        <f>IFERROR(__xludf.DUMMYFUNCTION("""COMPUTED_VALUE"""),"Iceland")</f>
        <v>Iceland</v>
      </c>
      <c r="D6989">
        <f>IFERROR(__xludf.DUMMYFUNCTION("""COMPUTED_VALUE"""),2019.0)</f>
        <v>2019</v>
      </c>
      <c r="E6989">
        <f>IFERROR(__xludf.DUMMYFUNCTION("""COMPUTED_VALUE"""),340566.0)</f>
        <v>340566</v>
      </c>
    </row>
    <row r="6990">
      <c r="A6990" t="str">
        <f t="shared" si="1"/>
        <v>isl#2020</v>
      </c>
      <c r="B6990" t="str">
        <f>IFERROR(__xludf.DUMMYFUNCTION("""COMPUTED_VALUE"""),"isl")</f>
        <v>isl</v>
      </c>
      <c r="C6990" t="str">
        <f>IFERROR(__xludf.DUMMYFUNCTION("""COMPUTED_VALUE"""),"Iceland")</f>
        <v>Iceland</v>
      </c>
      <c r="D6990">
        <f>IFERROR(__xludf.DUMMYFUNCTION("""COMPUTED_VALUE"""),2020.0)</f>
        <v>2020</v>
      </c>
      <c r="E6990">
        <f>IFERROR(__xludf.DUMMYFUNCTION("""COMPUTED_VALUE"""),343228.0)</f>
        <v>343228</v>
      </c>
    </row>
    <row r="6991">
      <c r="A6991" t="str">
        <f t="shared" si="1"/>
        <v>isl#2021</v>
      </c>
      <c r="B6991" t="str">
        <f>IFERROR(__xludf.DUMMYFUNCTION("""COMPUTED_VALUE"""),"isl")</f>
        <v>isl</v>
      </c>
      <c r="C6991" t="str">
        <f>IFERROR(__xludf.DUMMYFUNCTION("""COMPUTED_VALUE"""),"Iceland")</f>
        <v>Iceland</v>
      </c>
      <c r="D6991">
        <f>IFERROR(__xludf.DUMMYFUNCTION("""COMPUTED_VALUE"""),2021.0)</f>
        <v>2021</v>
      </c>
      <c r="E6991">
        <f>IFERROR(__xludf.DUMMYFUNCTION("""COMPUTED_VALUE"""),345764.0)</f>
        <v>345764</v>
      </c>
    </row>
    <row r="6992">
      <c r="A6992" t="str">
        <f t="shared" si="1"/>
        <v>isl#2022</v>
      </c>
      <c r="B6992" t="str">
        <f>IFERROR(__xludf.DUMMYFUNCTION("""COMPUTED_VALUE"""),"isl")</f>
        <v>isl</v>
      </c>
      <c r="C6992" t="str">
        <f>IFERROR(__xludf.DUMMYFUNCTION("""COMPUTED_VALUE"""),"Iceland")</f>
        <v>Iceland</v>
      </c>
      <c r="D6992">
        <f>IFERROR(__xludf.DUMMYFUNCTION("""COMPUTED_VALUE"""),2022.0)</f>
        <v>2022</v>
      </c>
      <c r="E6992">
        <f>IFERROR(__xludf.DUMMYFUNCTION("""COMPUTED_VALUE"""),348218.0)</f>
        <v>348218</v>
      </c>
    </row>
    <row r="6993">
      <c r="A6993" t="str">
        <f t="shared" si="1"/>
        <v>isl#2023</v>
      </c>
      <c r="B6993" t="str">
        <f>IFERROR(__xludf.DUMMYFUNCTION("""COMPUTED_VALUE"""),"isl")</f>
        <v>isl</v>
      </c>
      <c r="C6993" t="str">
        <f>IFERROR(__xludf.DUMMYFUNCTION("""COMPUTED_VALUE"""),"Iceland")</f>
        <v>Iceland</v>
      </c>
      <c r="D6993">
        <f>IFERROR(__xludf.DUMMYFUNCTION("""COMPUTED_VALUE"""),2023.0)</f>
        <v>2023</v>
      </c>
      <c r="E6993">
        <f>IFERROR(__xludf.DUMMYFUNCTION("""COMPUTED_VALUE"""),350597.0)</f>
        <v>350597</v>
      </c>
    </row>
    <row r="6994">
      <c r="A6994" t="str">
        <f t="shared" si="1"/>
        <v>isl#2024</v>
      </c>
      <c r="B6994" t="str">
        <f>IFERROR(__xludf.DUMMYFUNCTION("""COMPUTED_VALUE"""),"isl")</f>
        <v>isl</v>
      </c>
      <c r="C6994" t="str">
        <f>IFERROR(__xludf.DUMMYFUNCTION("""COMPUTED_VALUE"""),"Iceland")</f>
        <v>Iceland</v>
      </c>
      <c r="D6994">
        <f>IFERROR(__xludf.DUMMYFUNCTION("""COMPUTED_VALUE"""),2024.0)</f>
        <v>2024</v>
      </c>
      <c r="E6994">
        <f>IFERROR(__xludf.DUMMYFUNCTION("""COMPUTED_VALUE"""),352910.0)</f>
        <v>352910</v>
      </c>
    </row>
    <row r="6995">
      <c r="A6995" t="str">
        <f t="shared" si="1"/>
        <v>isl#2025</v>
      </c>
      <c r="B6995" t="str">
        <f>IFERROR(__xludf.DUMMYFUNCTION("""COMPUTED_VALUE"""),"isl")</f>
        <v>isl</v>
      </c>
      <c r="C6995" t="str">
        <f>IFERROR(__xludf.DUMMYFUNCTION("""COMPUTED_VALUE"""),"Iceland")</f>
        <v>Iceland</v>
      </c>
      <c r="D6995">
        <f>IFERROR(__xludf.DUMMYFUNCTION("""COMPUTED_VALUE"""),2025.0)</f>
        <v>2025</v>
      </c>
      <c r="E6995">
        <f>IFERROR(__xludf.DUMMYFUNCTION("""COMPUTED_VALUE"""),355184.0)</f>
        <v>355184</v>
      </c>
    </row>
    <row r="6996">
      <c r="A6996" t="str">
        <f t="shared" si="1"/>
        <v>isl#2026</v>
      </c>
      <c r="B6996" t="str">
        <f>IFERROR(__xludf.DUMMYFUNCTION("""COMPUTED_VALUE"""),"isl")</f>
        <v>isl</v>
      </c>
      <c r="C6996" t="str">
        <f>IFERROR(__xludf.DUMMYFUNCTION("""COMPUTED_VALUE"""),"Iceland")</f>
        <v>Iceland</v>
      </c>
      <c r="D6996">
        <f>IFERROR(__xludf.DUMMYFUNCTION("""COMPUTED_VALUE"""),2026.0)</f>
        <v>2026</v>
      </c>
      <c r="E6996">
        <f>IFERROR(__xludf.DUMMYFUNCTION("""COMPUTED_VALUE"""),357410.0)</f>
        <v>357410</v>
      </c>
    </row>
    <row r="6997">
      <c r="A6997" t="str">
        <f t="shared" si="1"/>
        <v>isl#2027</v>
      </c>
      <c r="B6997" t="str">
        <f>IFERROR(__xludf.DUMMYFUNCTION("""COMPUTED_VALUE"""),"isl")</f>
        <v>isl</v>
      </c>
      <c r="C6997" t="str">
        <f>IFERROR(__xludf.DUMMYFUNCTION("""COMPUTED_VALUE"""),"Iceland")</f>
        <v>Iceland</v>
      </c>
      <c r="D6997">
        <f>IFERROR(__xludf.DUMMYFUNCTION("""COMPUTED_VALUE"""),2027.0)</f>
        <v>2027</v>
      </c>
      <c r="E6997">
        <f>IFERROR(__xludf.DUMMYFUNCTION("""COMPUTED_VALUE"""),359573.0)</f>
        <v>359573</v>
      </c>
    </row>
    <row r="6998">
      <c r="A6998" t="str">
        <f t="shared" si="1"/>
        <v>isl#2028</v>
      </c>
      <c r="B6998" t="str">
        <f>IFERROR(__xludf.DUMMYFUNCTION("""COMPUTED_VALUE"""),"isl")</f>
        <v>isl</v>
      </c>
      <c r="C6998" t="str">
        <f>IFERROR(__xludf.DUMMYFUNCTION("""COMPUTED_VALUE"""),"Iceland")</f>
        <v>Iceland</v>
      </c>
      <c r="D6998">
        <f>IFERROR(__xludf.DUMMYFUNCTION("""COMPUTED_VALUE"""),2028.0)</f>
        <v>2028</v>
      </c>
      <c r="E6998">
        <f>IFERROR(__xludf.DUMMYFUNCTION("""COMPUTED_VALUE"""),361662.0)</f>
        <v>361662</v>
      </c>
    </row>
    <row r="6999">
      <c r="A6999" t="str">
        <f t="shared" si="1"/>
        <v>isl#2029</v>
      </c>
      <c r="B6999" t="str">
        <f>IFERROR(__xludf.DUMMYFUNCTION("""COMPUTED_VALUE"""),"isl")</f>
        <v>isl</v>
      </c>
      <c r="C6999" t="str">
        <f>IFERROR(__xludf.DUMMYFUNCTION("""COMPUTED_VALUE"""),"Iceland")</f>
        <v>Iceland</v>
      </c>
      <c r="D6999">
        <f>IFERROR(__xludf.DUMMYFUNCTION("""COMPUTED_VALUE"""),2029.0)</f>
        <v>2029</v>
      </c>
      <c r="E6999">
        <f>IFERROR(__xludf.DUMMYFUNCTION("""COMPUTED_VALUE"""),363692.0)</f>
        <v>363692</v>
      </c>
    </row>
    <row r="7000">
      <c r="A7000" t="str">
        <f t="shared" si="1"/>
        <v>isl#2030</v>
      </c>
      <c r="B7000" t="str">
        <f>IFERROR(__xludf.DUMMYFUNCTION("""COMPUTED_VALUE"""),"isl")</f>
        <v>isl</v>
      </c>
      <c r="C7000" t="str">
        <f>IFERROR(__xludf.DUMMYFUNCTION("""COMPUTED_VALUE"""),"Iceland")</f>
        <v>Iceland</v>
      </c>
      <c r="D7000">
        <f>IFERROR(__xludf.DUMMYFUNCTION("""COMPUTED_VALUE"""),2030.0)</f>
        <v>2030</v>
      </c>
      <c r="E7000">
        <f>IFERROR(__xludf.DUMMYFUNCTION("""COMPUTED_VALUE"""),365646.0)</f>
        <v>365646</v>
      </c>
    </row>
    <row r="7001">
      <c r="A7001" t="str">
        <f t="shared" si="1"/>
        <v>isl#2031</v>
      </c>
      <c r="B7001" t="str">
        <f>IFERROR(__xludf.DUMMYFUNCTION("""COMPUTED_VALUE"""),"isl")</f>
        <v>isl</v>
      </c>
      <c r="C7001" t="str">
        <f>IFERROR(__xludf.DUMMYFUNCTION("""COMPUTED_VALUE"""),"Iceland")</f>
        <v>Iceland</v>
      </c>
      <c r="D7001">
        <f>IFERROR(__xludf.DUMMYFUNCTION("""COMPUTED_VALUE"""),2031.0)</f>
        <v>2031</v>
      </c>
      <c r="E7001">
        <f>IFERROR(__xludf.DUMMYFUNCTION("""COMPUTED_VALUE"""),367521.0)</f>
        <v>367521</v>
      </c>
    </row>
    <row r="7002">
      <c r="A7002" t="str">
        <f t="shared" si="1"/>
        <v>isl#2032</v>
      </c>
      <c r="B7002" t="str">
        <f>IFERROR(__xludf.DUMMYFUNCTION("""COMPUTED_VALUE"""),"isl")</f>
        <v>isl</v>
      </c>
      <c r="C7002" t="str">
        <f>IFERROR(__xludf.DUMMYFUNCTION("""COMPUTED_VALUE"""),"Iceland")</f>
        <v>Iceland</v>
      </c>
      <c r="D7002">
        <f>IFERROR(__xludf.DUMMYFUNCTION("""COMPUTED_VALUE"""),2032.0)</f>
        <v>2032</v>
      </c>
      <c r="E7002">
        <f>IFERROR(__xludf.DUMMYFUNCTION("""COMPUTED_VALUE"""),369325.0)</f>
        <v>369325</v>
      </c>
    </row>
    <row r="7003">
      <c r="A7003" t="str">
        <f t="shared" si="1"/>
        <v>isl#2033</v>
      </c>
      <c r="B7003" t="str">
        <f>IFERROR(__xludf.DUMMYFUNCTION("""COMPUTED_VALUE"""),"isl")</f>
        <v>isl</v>
      </c>
      <c r="C7003" t="str">
        <f>IFERROR(__xludf.DUMMYFUNCTION("""COMPUTED_VALUE"""),"Iceland")</f>
        <v>Iceland</v>
      </c>
      <c r="D7003">
        <f>IFERROR(__xludf.DUMMYFUNCTION("""COMPUTED_VALUE"""),2033.0)</f>
        <v>2033</v>
      </c>
      <c r="E7003">
        <f>IFERROR(__xludf.DUMMYFUNCTION("""COMPUTED_VALUE"""),371060.0)</f>
        <v>371060</v>
      </c>
    </row>
    <row r="7004">
      <c r="A7004" t="str">
        <f t="shared" si="1"/>
        <v>isl#2034</v>
      </c>
      <c r="B7004" t="str">
        <f>IFERROR(__xludf.DUMMYFUNCTION("""COMPUTED_VALUE"""),"isl")</f>
        <v>isl</v>
      </c>
      <c r="C7004" t="str">
        <f>IFERROR(__xludf.DUMMYFUNCTION("""COMPUTED_VALUE"""),"Iceland")</f>
        <v>Iceland</v>
      </c>
      <c r="D7004">
        <f>IFERROR(__xludf.DUMMYFUNCTION("""COMPUTED_VALUE"""),2034.0)</f>
        <v>2034</v>
      </c>
      <c r="E7004">
        <f>IFERROR(__xludf.DUMMYFUNCTION("""COMPUTED_VALUE"""),372716.0)</f>
        <v>372716</v>
      </c>
    </row>
    <row r="7005">
      <c r="A7005" t="str">
        <f t="shared" si="1"/>
        <v>isl#2035</v>
      </c>
      <c r="B7005" t="str">
        <f>IFERROR(__xludf.DUMMYFUNCTION("""COMPUTED_VALUE"""),"isl")</f>
        <v>isl</v>
      </c>
      <c r="C7005" t="str">
        <f>IFERROR(__xludf.DUMMYFUNCTION("""COMPUTED_VALUE"""),"Iceland")</f>
        <v>Iceland</v>
      </c>
      <c r="D7005">
        <f>IFERROR(__xludf.DUMMYFUNCTION("""COMPUTED_VALUE"""),2035.0)</f>
        <v>2035</v>
      </c>
      <c r="E7005">
        <f>IFERROR(__xludf.DUMMYFUNCTION("""COMPUTED_VALUE"""),374297.0)</f>
        <v>374297</v>
      </c>
    </row>
    <row r="7006">
      <c r="A7006" t="str">
        <f t="shared" si="1"/>
        <v>isl#2036</v>
      </c>
      <c r="B7006" t="str">
        <f>IFERROR(__xludf.DUMMYFUNCTION("""COMPUTED_VALUE"""),"isl")</f>
        <v>isl</v>
      </c>
      <c r="C7006" t="str">
        <f>IFERROR(__xludf.DUMMYFUNCTION("""COMPUTED_VALUE"""),"Iceland")</f>
        <v>Iceland</v>
      </c>
      <c r="D7006">
        <f>IFERROR(__xludf.DUMMYFUNCTION("""COMPUTED_VALUE"""),2036.0)</f>
        <v>2036</v>
      </c>
      <c r="E7006">
        <f>IFERROR(__xludf.DUMMYFUNCTION("""COMPUTED_VALUE"""),375809.0)</f>
        <v>375809</v>
      </c>
    </row>
    <row r="7007">
      <c r="A7007" t="str">
        <f t="shared" si="1"/>
        <v>isl#2037</v>
      </c>
      <c r="B7007" t="str">
        <f>IFERROR(__xludf.DUMMYFUNCTION("""COMPUTED_VALUE"""),"isl")</f>
        <v>isl</v>
      </c>
      <c r="C7007" t="str">
        <f>IFERROR(__xludf.DUMMYFUNCTION("""COMPUTED_VALUE"""),"Iceland")</f>
        <v>Iceland</v>
      </c>
      <c r="D7007">
        <f>IFERROR(__xludf.DUMMYFUNCTION("""COMPUTED_VALUE"""),2037.0)</f>
        <v>2037</v>
      </c>
      <c r="E7007">
        <f>IFERROR(__xludf.DUMMYFUNCTION("""COMPUTED_VALUE"""),377255.0)</f>
        <v>377255</v>
      </c>
    </row>
    <row r="7008">
      <c r="A7008" t="str">
        <f t="shared" si="1"/>
        <v>isl#2038</v>
      </c>
      <c r="B7008" t="str">
        <f>IFERROR(__xludf.DUMMYFUNCTION("""COMPUTED_VALUE"""),"isl")</f>
        <v>isl</v>
      </c>
      <c r="C7008" t="str">
        <f>IFERROR(__xludf.DUMMYFUNCTION("""COMPUTED_VALUE"""),"Iceland")</f>
        <v>Iceland</v>
      </c>
      <c r="D7008">
        <f>IFERROR(__xludf.DUMMYFUNCTION("""COMPUTED_VALUE"""),2038.0)</f>
        <v>2038</v>
      </c>
      <c r="E7008">
        <f>IFERROR(__xludf.DUMMYFUNCTION("""COMPUTED_VALUE"""),378616.0)</f>
        <v>378616</v>
      </c>
    </row>
    <row r="7009">
      <c r="A7009" t="str">
        <f t="shared" si="1"/>
        <v>isl#2039</v>
      </c>
      <c r="B7009" t="str">
        <f>IFERROR(__xludf.DUMMYFUNCTION("""COMPUTED_VALUE"""),"isl")</f>
        <v>isl</v>
      </c>
      <c r="C7009" t="str">
        <f>IFERROR(__xludf.DUMMYFUNCTION("""COMPUTED_VALUE"""),"Iceland")</f>
        <v>Iceland</v>
      </c>
      <c r="D7009">
        <f>IFERROR(__xludf.DUMMYFUNCTION("""COMPUTED_VALUE"""),2039.0)</f>
        <v>2039</v>
      </c>
      <c r="E7009">
        <f>IFERROR(__xludf.DUMMYFUNCTION("""COMPUTED_VALUE"""),379919.0)</f>
        <v>379919</v>
      </c>
    </row>
    <row r="7010">
      <c r="A7010" t="str">
        <f t="shared" si="1"/>
        <v>isl#2040</v>
      </c>
      <c r="B7010" t="str">
        <f>IFERROR(__xludf.DUMMYFUNCTION("""COMPUTED_VALUE"""),"isl")</f>
        <v>isl</v>
      </c>
      <c r="C7010" t="str">
        <f>IFERROR(__xludf.DUMMYFUNCTION("""COMPUTED_VALUE"""),"Iceland")</f>
        <v>Iceland</v>
      </c>
      <c r="D7010">
        <f>IFERROR(__xludf.DUMMYFUNCTION("""COMPUTED_VALUE"""),2040.0)</f>
        <v>2040</v>
      </c>
      <c r="E7010">
        <f>IFERROR(__xludf.DUMMYFUNCTION("""COMPUTED_VALUE"""),381151.0)</f>
        <v>381151</v>
      </c>
    </row>
    <row r="7011">
      <c r="A7011" t="str">
        <f t="shared" si="1"/>
        <v>ind#1950</v>
      </c>
      <c r="B7011" t="str">
        <f>IFERROR(__xludf.DUMMYFUNCTION("""COMPUTED_VALUE"""),"ind")</f>
        <v>ind</v>
      </c>
      <c r="C7011" t="str">
        <f>IFERROR(__xludf.DUMMYFUNCTION("""COMPUTED_VALUE"""),"India")</f>
        <v>India</v>
      </c>
      <c r="D7011">
        <f>IFERROR(__xludf.DUMMYFUNCTION("""COMPUTED_VALUE"""),1950.0)</f>
        <v>1950</v>
      </c>
      <c r="E7011">
        <f>IFERROR(__xludf.DUMMYFUNCTION("""COMPUTED_VALUE"""),3.763252E8)</f>
        <v>376325200</v>
      </c>
    </row>
    <row r="7012">
      <c r="A7012" t="str">
        <f t="shared" si="1"/>
        <v>ind#1951</v>
      </c>
      <c r="B7012" t="str">
        <f>IFERROR(__xludf.DUMMYFUNCTION("""COMPUTED_VALUE"""),"ind")</f>
        <v>ind</v>
      </c>
      <c r="C7012" t="str">
        <f>IFERROR(__xludf.DUMMYFUNCTION("""COMPUTED_VALUE"""),"India")</f>
        <v>India</v>
      </c>
      <c r="D7012">
        <f>IFERROR(__xludf.DUMMYFUNCTION("""COMPUTED_VALUE"""),1951.0)</f>
        <v>1951</v>
      </c>
      <c r="E7012">
        <f>IFERROR(__xludf.DUMMYFUNCTION("""COMPUTED_VALUE"""),3.82245303E8)</f>
        <v>382245303</v>
      </c>
    </row>
    <row r="7013">
      <c r="A7013" t="str">
        <f t="shared" si="1"/>
        <v>ind#1952</v>
      </c>
      <c r="B7013" t="str">
        <f>IFERROR(__xludf.DUMMYFUNCTION("""COMPUTED_VALUE"""),"ind")</f>
        <v>ind</v>
      </c>
      <c r="C7013" t="str">
        <f>IFERROR(__xludf.DUMMYFUNCTION("""COMPUTED_VALUE"""),"India")</f>
        <v>India</v>
      </c>
      <c r="D7013">
        <f>IFERROR(__xludf.DUMMYFUNCTION("""COMPUTED_VALUE"""),1952.0)</f>
        <v>1952</v>
      </c>
      <c r="E7013">
        <f>IFERROR(__xludf.DUMMYFUNCTION("""COMPUTED_VALUE"""),3.8853862E8)</f>
        <v>388538620</v>
      </c>
    </row>
    <row r="7014">
      <c r="A7014" t="str">
        <f t="shared" si="1"/>
        <v>ind#1953</v>
      </c>
      <c r="B7014" t="str">
        <f>IFERROR(__xludf.DUMMYFUNCTION("""COMPUTED_VALUE"""),"ind")</f>
        <v>ind</v>
      </c>
      <c r="C7014" t="str">
        <f>IFERROR(__xludf.DUMMYFUNCTION("""COMPUTED_VALUE"""),"India")</f>
        <v>India</v>
      </c>
      <c r="D7014">
        <f>IFERROR(__xludf.DUMMYFUNCTION("""COMPUTED_VALUE"""),1953.0)</f>
        <v>1953</v>
      </c>
      <c r="E7014">
        <f>IFERROR(__xludf.DUMMYFUNCTION("""COMPUTED_VALUE"""),3.95160091E8)</f>
        <v>395160091</v>
      </c>
    </row>
    <row r="7015">
      <c r="A7015" t="str">
        <f t="shared" si="1"/>
        <v>ind#1954</v>
      </c>
      <c r="B7015" t="str">
        <f>IFERROR(__xludf.DUMMYFUNCTION("""COMPUTED_VALUE"""),"ind")</f>
        <v>ind</v>
      </c>
      <c r="C7015" t="str">
        <f>IFERROR(__xludf.DUMMYFUNCTION("""COMPUTED_VALUE"""),"India")</f>
        <v>India</v>
      </c>
      <c r="D7015">
        <f>IFERROR(__xludf.DUMMYFUNCTION("""COMPUTED_VALUE"""),1954.0)</f>
        <v>1954</v>
      </c>
      <c r="E7015">
        <f>IFERROR(__xludf.DUMMYFUNCTION("""COMPUTED_VALUE"""),4.02077026E8)</f>
        <v>402077026</v>
      </c>
    </row>
    <row r="7016">
      <c r="A7016" t="str">
        <f t="shared" si="1"/>
        <v>ind#1955</v>
      </c>
      <c r="B7016" t="str">
        <f>IFERROR(__xludf.DUMMYFUNCTION("""COMPUTED_VALUE"""),"ind")</f>
        <v>ind</v>
      </c>
      <c r="C7016" t="str">
        <f>IFERROR(__xludf.DUMMYFUNCTION("""COMPUTED_VALUE"""),"India")</f>
        <v>India</v>
      </c>
      <c r="D7016">
        <f>IFERROR(__xludf.DUMMYFUNCTION("""COMPUTED_VALUE"""),1955.0)</f>
        <v>1955</v>
      </c>
      <c r="E7016">
        <f>IFERROR(__xludf.DUMMYFUNCTION("""COMPUTED_VALUE"""),4.09269055E8)</f>
        <v>409269055</v>
      </c>
    </row>
    <row r="7017">
      <c r="A7017" t="str">
        <f t="shared" si="1"/>
        <v>ind#1956</v>
      </c>
      <c r="B7017" t="str">
        <f>IFERROR(__xludf.DUMMYFUNCTION("""COMPUTED_VALUE"""),"ind")</f>
        <v>ind</v>
      </c>
      <c r="C7017" t="str">
        <f>IFERROR(__xludf.DUMMYFUNCTION("""COMPUTED_VALUE"""),"India")</f>
        <v>India</v>
      </c>
      <c r="D7017">
        <f>IFERROR(__xludf.DUMMYFUNCTION("""COMPUTED_VALUE"""),1956.0)</f>
        <v>1956</v>
      </c>
      <c r="E7017">
        <f>IFERROR(__xludf.DUMMYFUNCTION("""COMPUTED_VALUE"""),4.16728771E8)</f>
        <v>416728771</v>
      </c>
    </row>
    <row r="7018">
      <c r="A7018" t="str">
        <f t="shared" si="1"/>
        <v>ind#1957</v>
      </c>
      <c r="B7018" t="str">
        <f>IFERROR(__xludf.DUMMYFUNCTION("""COMPUTED_VALUE"""),"ind")</f>
        <v>ind</v>
      </c>
      <c r="C7018" t="str">
        <f>IFERROR(__xludf.DUMMYFUNCTION("""COMPUTED_VALUE"""),"India")</f>
        <v>India</v>
      </c>
      <c r="D7018">
        <f>IFERROR(__xludf.DUMMYFUNCTION("""COMPUTED_VALUE"""),1957.0)</f>
        <v>1957</v>
      </c>
      <c r="E7018">
        <f>IFERROR(__xludf.DUMMYFUNCTION("""COMPUTED_VALUE"""),4.24461108E8)</f>
        <v>424461108</v>
      </c>
    </row>
    <row r="7019">
      <c r="A7019" t="str">
        <f t="shared" si="1"/>
        <v>ind#1958</v>
      </c>
      <c r="B7019" t="str">
        <f>IFERROR(__xludf.DUMMYFUNCTION("""COMPUTED_VALUE"""),"ind")</f>
        <v>ind</v>
      </c>
      <c r="C7019" t="str">
        <f>IFERROR(__xludf.DUMMYFUNCTION("""COMPUTED_VALUE"""),"India")</f>
        <v>India</v>
      </c>
      <c r="D7019">
        <f>IFERROR(__xludf.DUMMYFUNCTION("""COMPUTED_VALUE"""),1958.0)</f>
        <v>1958</v>
      </c>
      <c r="E7019">
        <f>IFERROR(__xludf.DUMMYFUNCTION("""COMPUTED_VALUE"""),4.32481663E8)</f>
        <v>432481663</v>
      </c>
    </row>
    <row r="7020">
      <c r="A7020" t="str">
        <f t="shared" si="1"/>
        <v>ind#1959</v>
      </c>
      <c r="B7020" t="str">
        <f>IFERROR(__xludf.DUMMYFUNCTION("""COMPUTED_VALUE"""),"ind")</f>
        <v>ind</v>
      </c>
      <c r="C7020" t="str">
        <f>IFERROR(__xludf.DUMMYFUNCTION("""COMPUTED_VALUE"""),"India")</f>
        <v>India</v>
      </c>
      <c r="D7020">
        <f>IFERROR(__xludf.DUMMYFUNCTION("""COMPUTED_VALUE"""),1959.0)</f>
        <v>1959</v>
      </c>
      <c r="E7020">
        <f>IFERROR(__xludf.DUMMYFUNCTION("""COMPUTED_VALUE"""),4.40813896E8)</f>
        <v>440813896</v>
      </c>
    </row>
    <row r="7021">
      <c r="A7021" t="str">
        <f t="shared" si="1"/>
        <v>ind#1960</v>
      </c>
      <c r="B7021" t="str">
        <f>IFERROR(__xludf.DUMMYFUNCTION("""COMPUTED_VALUE"""),"ind")</f>
        <v>ind</v>
      </c>
      <c r="C7021" t="str">
        <f>IFERROR(__xludf.DUMMYFUNCTION("""COMPUTED_VALUE"""),"India")</f>
        <v>India</v>
      </c>
      <c r="D7021">
        <f>IFERROR(__xludf.DUMMYFUNCTION("""COMPUTED_VALUE"""),1960.0)</f>
        <v>1960</v>
      </c>
      <c r="E7021">
        <f>IFERROR(__xludf.DUMMYFUNCTION("""COMPUTED_VALUE"""),4.49480608E8)</f>
        <v>449480608</v>
      </c>
    </row>
    <row r="7022">
      <c r="A7022" t="str">
        <f t="shared" si="1"/>
        <v>ind#1961</v>
      </c>
      <c r="B7022" t="str">
        <f>IFERROR(__xludf.DUMMYFUNCTION("""COMPUTED_VALUE"""),"ind")</f>
        <v>ind</v>
      </c>
      <c r="C7022" t="str">
        <f>IFERROR(__xludf.DUMMYFUNCTION("""COMPUTED_VALUE"""),"India")</f>
        <v>India</v>
      </c>
      <c r="D7022">
        <f>IFERROR(__xludf.DUMMYFUNCTION("""COMPUTED_VALUE"""),1961.0)</f>
        <v>1961</v>
      </c>
      <c r="E7022">
        <f>IFERROR(__xludf.DUMMYFUNCTION("""COMPUTED_VALUE"""),4.58494963E8)</f>
        <v>458494963</v>
      </c>
    </row>
    <row r="7023">
      <c r="A7023" t="str">
        <f t="shared" si="1"/>
        <v>ind#1962</v>
      </c>
      <c r="B7023" t="str">
        <f>IFERROR(__xludf.DUMMYFUNCTION("""COMPUTED_VALUE"""),"ind")</f>
        <v>ind</v>
      </c>
      <c r="C7023" t="str">
        <f>IFERROR(__xludf.DUMMYFUNCTION("""COMPUTED_VALUE"""),"India")</f>
        <v>India</v>
      </c>
      <c r="D7023">
        <f>IFERROR(__xludf.DUMMYFUNCTION("""COMPUTED_VALUE"""),1962.0)</f>
        <v>1962</v>
      </c>
      <c r="E7023">
        <f>IFERROR(__xludf.DUMMYFUNCTION("""COMPUTED_VALUE"""),4.67852537E8)</f>
        <v>467852537</v>
      </c>
    </row>
    <row r="7024">
      <c r="A7024" t="str">
        <f t="shared" si="1"/>
        <v>ind#1963</v>
      </c>
      <c r="B7024" t="str">
        <f>IFERROR(__xludf.DUMMYFUNCTION("""COMPUTED_VALUE"""),"ind")</f>
        <v>ind</v>
      </c>
      <c r="C7024" t="str">
        <f>IFERROR(__xludf.DUMMYFUNCTION("""COMPUTED_VALUE"""),"India")</f>
        <v>India</v>
      </c>
      <c r="D7024">
        <f>IFERROR(__xludf.DUMMYFUNCTION("""COMPUTED_VALUE"""),1963.0)</f>
        <v>1963</v>
      </c>
      <c r="E7024">
        <f>IFERROR(__xludf.DUMMYFUNCTION("""COMPUTED_VALUE"""),4.7752797E8)</f>
        <v>477527970</v>
      </c>
    </row>
    <row r="7025">
      <c r="A7025" t="str">
        <f t="shared" si="1"/>
        <v>ind#1964</v>
      </c>
      <c r="B7025" t="str">
        <f>IFERROR(__xludf.DUMMYFUNCTION("""COMPUTED_VALUE"""),"ind")</f>
        <v>ind</v>
      </c>
      <c r="C7025" t="str">
        <f>IFERROR(__xludf.DUMMYFUNCTION("""COMPUTED_VALUE"""),"India")</f>
        <v>India</v>
      </c>
      <c r="D7025">
        <f>IFERROR(__xludf.DUMMYFUNCTION("""COMPUTED_VALUE"""),1964.0)</f>
        <v>1964</v>
      </c>
      <c r="E7025">
        <f>IFERROR(__xludf.DUMMYFUNCTION("""COMPUTED_VALUE"""),4.87484535E8)</f>
        <v>487484535</v>
      </c>
    </row>
    <row r="7026">
      <c r="A7026" t="str">
        <f t="shared" si="1"/>
        <v>ind#1965</v>
      </c>
      <c r="B7026" t="str">
        <f>IFERROR(__xludf.DUMMYFUNCTION("""COMPUTED_VALUE"""),"ind")</f>
        <v>ind</v>
      </c>
      <c r="C7026" t="str">
        <f>IFERROR(__xludf.DUMMYFUNCTION("""COMPUTED_VALUE"""),"India")</f>
        <v>India</v>
      </c>
      <c r="D7026">
        <f>IFERROR(__xludf.DUMMYFUNCTION("""COMPUTED_VALUE"""),1965.0)</f>
        <v>1965</v>
      </c>
      <c r="E7026">
        <f>IFERROR(__xludf.DUMMYFUNCTION("""COMPUTED_VALUE"""),4.97702365E8)</f>
        <v>497702365</v>
      </c>
    </row>
    <row r="7027">
      <c r="A7027" t="str">
        <f t="shared" si="1"/>
        <v>ind#1966</v>
      </c>
      <c r="B7027" t="str">
        <f>IFERROR(__xludf.DUMMYFUNCTION("""COMPUTED_VALUE"""),"ind")</f>
        <v>ind</v>
      </c>
      <c r="C7027" t="str">
        <f>IFERROR(__xludf.DUMMYFUNCTION("""COMPUTED_VALUE"""),"India")</f>
        <v>India</v>
      </c>
      <c r="D7027">
        <f>IFERROR(__xludf.DUMMYFUNCTION("""COMPUTED_VALUE"""),1966.0)</f>
        <v>1966</v>
      </c>
      <c r="E7027">
        <f>IFERROR(__xludf.DUMMYFUNCTION("""COMPUTED_VALUE"""),5.08161935E8)</f>
        <v>508161935</v>
      </c>
    </row>
    <row r="7028">
      <c r="A7028" t="str">
        <f t="shared" si="1"/>
        <v>ind#1967</v>
      </c>
      <c r="B7028" t="str">
        <f>IFERROR(__xludf.DUMMYFUNCTION("""COMPUTED_VALUE"""),"ind")</f>
        <v>ind</v>
      </c>
      <c r="C7028" t="str">
        <f>IFERROR(__xludf.DUMMYFUNCTION("""COMPUTED_VALUE"""),"India")</f>
        <v>India</v>
      </c>
      <c r="D7028">
        <f>IFERROR(__xludf.DUMMYFUNCTION("""COMPUTED_VALUE"""),1967.0)</f>
        <v>1967</v>
      </c>
      <c r="E7028">
        <f>IFERROR(__xludf.DUMMYFUNCTION("""COMPUTED_VALUE"""),5.18889779E8)</f>
        <v>518889779</v>
      </c>
    </row>
    <row r="7029">
      <c r="A7029" t="str">
        <f t="shared" si="1"/>
        <v>ind#1968</v>
      </c>
      <c r="B7029" t="str">
        <f>IFERROR(__xludf.DUMMYFUNCTION("""COMPUTED_VALUE"""),"ind")</f>
        <v>ind</v>
      </c>
      <c r="C7029" t="str">
        <f>IFERROR(__xludf.DUMMYFUNCTION("""COMPUTED_VALUE"""),"India")</f>
        <v>India</v>
      </c>
      <c r="D7029">
        <f>IFERROR(__xludf.DUMMYFUNCTION("""COMPUTED_VALUE"""),1968.0)</f>
        <v>1968</v>
      </c>
      <c r="E7029">
        <f>IFERROR(__xludf.DUMMYFUNCTION("""COMPUTED_VALUE"""),5.29967317E8)</f>
        <v>529967317</v>
      </c>
    </row>
    <row r="7030">
      <c r="A7030" t="str">
        <f t="shared" si="1"/>
        <v>ind#1969</v>
      </c>
      <c r="B7030" t="str">
        <f>IFERROR(__xludf.DUMMYFUNCTION("""COMPUTED_VALUE"""),"ind")</f>
        <v>ind</v>
      </c>
      <c r="C7030" t="str">
        <f>IFERROR(__xludf.DUMMYFUNCTION("""COMPUTED_VALUE"""),"India")</f>
        <v>India</v>
      </c>
      <c r="D7030">
        <f>IFERROR(__xludf.DUMMYFUNCTION("""COMPUTED_VALUE"""),1969.0)</f>
        <v>1969</v>
      </c>
      <c r="E7030">
        <f>IFERROR(__xludf.DUMMYFUNCTION("""COMPUTED_VALUE"""),5.41505076E8)</f>
        <v>541505076</v>
      </c>
    </row>
    <row r="7031">
      <c r="A7031" t="str">
        <f t="shared" si="1"/>
        <v>ind#1970</v>
      </c>
      <c r="B7031" t="str">
        <f>IFERROR(__xludf.DUMMYFUNCTION("""COMPUTED_VALUE"""),"ind")</f>
        <v>ind</v>
      </c>
      <c r="C7031" t="str">
        <f>IFERROR(__xludf.DUMMYFUNCTION("""COMPUTED_VALUE"""),"India")</f>
        <v>India</v>
      </c>
      <c r="D7031">
        <f>IFERROR(__xludf.DUMMYFUNCTION("""COMPUTED_VALUE"""),1970.0)</f>
        <v>1970</v>
      </c>
      <c r="E7031">
        <f>IFERROR(__xludf.DUMMYFUNCTION("""COMPUTED_VALUE"""),5.53578513E8)</f>
        <v>553578513</v>
      </c>
    </row>
    <row r="7032">
      <c r="A7032" t="str">
        <f t="shared" si="1"/>
        <v>ind#1971</v>
      </c>
      <c r="B7032" t="str">
        <f>IFERROR(__xludf.DUMMYFUNCTION("""COMPUTED_VALUE"""),"ind")</f>
        <v>ind</v>
      </c>
      <c r="C7032" t="str">
        <f>IFERROR(__xludf.DUMMYFUNCTION("""COMPUTED_VALUE"""),"India")</f>
        <v>India</v>
      </c>
      <c r="D7032">
        <f>IFERROR(__xludf.DUMMYFUNCTION("""COMPUTED_VALUE"""),1971.0)</f>
        <v>1971</v>
      </c>
      <c r="E7032">
        <f>IFERROR(__xludf.DUMMYFUNCTION("""COMPUTED_VALUE"""),5.66224812E8)</f>
        <v>566224812</v>
      </c>
    </row>
    <row r="7033">
      <c r="A7033" t="str">
        <f t="shared" si="1"/>
        <v>ind#1972</v>
      </c>
      <c r="B7033" t="str">
        <f>IFERROR(__xludf.DUMMYFUNCTION("""COMPUTED_VALUE"""),"ind")</f>
        <v>ind</v>
      </c>
      <c r="C7033" t="str">
        <f>IFERROR(__xludf.DUMMYFUNCTION("""COMPUTED_VALUE"""),"India")</f>
        <v>India</v>
      </c>
      <c r="D7033">
        <f>IFERROR(__xludf.DUMMYFUNCTION("""COMPUTED_VALUE"""),1972.0)</f>
        <v>1972</v>
      </c>
      <c r="E7033">
        <f>IFERROR(__xludf.DUMMYFUNCTION("""COMPUTED_VALUE"""),5.79411513E8)</f>
        <v>579411513</v>
      </c>
    </row>
    <row r="7034">
      <c r="A7034" t="str">
        <f t="shared" si="1"/>
        <v>ind#1973</v>
      </c>
      <c r="B7034" t="str">
        <f>IFERROR(__xludf.DUMMYFUNCTION("""COMPUTED_VALUE"""),"ind")</f>
        <v>ind</v>
      </c>
      <c r="C7034" t="str">
        <f>IFERROR(__xludf.DUMMYFUNCTION("""COMPUTED_VALUE"""),"India")</f>
        <v>India</v>
      </c>
      <c r="D7034">
        <f>IFERROR(__xludf.DUMMYFUNCTION("""COMPUTED_VALUE"""),1973.0)</f>
        <v>1973</v>
      </c>
      <c r="E7034">
        <f>IFERROR(__xludf.DUMMYFUNCTION("""COMPUTED_VALUE"""),5.93058926E8)</f>
        <v>593058926</v>
      </c>
    </row>
    <row r="7035">
      <c r="A7035" t="str">
        <f t="shared" si="1"/>
        <v>ind#1974</v>
      </c>
      <c r="B7035" t="str">
        <f>IFERROR(__xludf.DUMMYFUNCTION("""COMPUTED_VALUE"""),"ind")</f>
        <v>ind</v>
      </c>
      <c r="C7035" t="str">
        <f>IFERROR(__xludf.DUMMYFUNCTION("""COMPUTED_VALUE"""),"India")</f>
        <v>India</v>
      </c>
      <c r="D7035">
        <f>IFERROR(__xludf.DUMMYFUNCTION("""COMPUTED_VALUE"""),1974.0)</f>
        <v>1974</v>
      </c>
      <c r="E7035">
        <f>IFERROR(__xludf.DUMMYFUNCTION("""COMPUTED_VALUE"""),6.07050255E8)</f>
        <v>607050255</v>
      </c>
    </row>
    <row r="7036">
      <c r="A7036" t="str">
        <f t="shared" si="1"/>
        <v>ind#1975</v>
      </c>
      <c r="B7036" t="str">
        <f>IFERROR(__xludf.DUMMYFUNCTION("""COMPUTED_VALUE"""),"ind")</f>
        <v>ind</v>
      </c>
      <c r="C7036" t="str">
        <f>IFERROR(__xludf.DUMMYFUNCTION("""COMPUTED_VALUE"""),"India")</f>
        <v>India</v>
      </c>
      <c r="D7036">
        <f>IFERROR(__xludf.DUMMYFUNCTION("""COMPUTED_VALUE"""),1975.0)</f>
        <v>1975</v>
      </c>
      <c r="E7036">
        <f>IFERROR(__xludf.DUMMYFUNCTION("""COMPUTED_VALUE"""),6.2130172E8)</f>
        <v>621301720</v>
      </c>
    </row>
    <row r="7037">
      <c r="A7037" t="str">
        <f t="shared" si="1"/>
        <v>ind#1976</v>
      </c>
      <c r="B7037" t="str">
        <f>IFERROR(__xludf.DUMMYFUNCTION("""COMPUTED_VALUE"""),"ind")</f>
        <v>ind</v>
      </c>
      <c r="C7037" t="str">
        <f>IFERROR(__xludf.DUMMYFUNCTION("""COMPUTED_VALUE"""),"India")</f>
        <v>India</v>
      </c>
      <c r="D7037">
        <f>IFERROR(__xludf.DUMMYFUNCTION("""COMPUTED_VALUE"""),1976.0)</f>
        <v>1976</v>
      </c>
      <c r="E7037">
        <f>IFERROR(__xludf.DUMMYFUNCTION("""COMPUTED_VALUE"""),6.35771734E8)</f>
        <v>635771734</v>
      </c>
    </row>
    <row r="7038">
      <c r="A7038" t="str">
        <f t="shared" si="1"/>
        <v>ind#1977</v>
      </c>
      <c r="B7038" t="str">
        <f>IFERROR(__xludf.DUMMYFUNCTION("""COMPUTED_VALUE"""),"ind")</f>
        <v>ind</v>
      </c>
      <c r="C7038" t="str">
        <f>IFERROR(__xludf.DUMMYFUNCTION("""COMPUTED_VALUE"""),"India")</f>
        <v>India</v>
      </c>
      <c r="D7038">
        <f>IFERROR(__xludf.DUMMYFUNCTION("""COMPUTED_VALUE"""),1977.0)</f>
        <v>1977</v>
      </c>
      <c r="E7038">
        <f>IFERROR(__xludf.DUMMYFUNCTION("""COMPUTED_VALUE"""),6.5048503E8)</f>
        <v>650485030</v>
      </c>
    </row>
    <row r="7039">
      <c r="A7039" t="str">
        <f t="shared" si="1"/>
        <v>ind#1978</v>
      </c>
      <c r="B7039" t="str">
        <f>IFERROR(__xludf.DUMMYFUNCTION("""COMPUTED_VALUE"""),"ind")</f>
        <v>ind</v>
      </c>
      <c r="C7039" t="str">
        <f>IFERROR(__xludf.DUMMYFUNCTION("""COMPUTED_VALUE"""),"India")</f>
        <v>India</v>
      </c>
      <c r="D7039">
        <f>IFERROR(__xludf.DUMMYFUNCTION("""COMPUTED_VALUE"""),1978.0)</f>
        <v>1978</v>
      </c>
      <c r="E7039">
        <f>IFERROR(__xludf.DUMMYFUNCTION("""COMPUTED_VALUE"""),6.65502284E8)</f>
        <v>665502284</v>
      </c>
    </row>
    <row r="7040">
      <c r="A7040" t="str">
        <f t="shared" si="1"/>
        <v>ind#1979</v>
      </c>
      <c r="B7040" t="str">
        <f>IFERROR(__xludf.DUMMYFUNCTION("""COMPUTED_VALUE"""),"ind")</f>
        <v>ind</v>
      </c>
      <c r="C7040" t="str">
        <f>IFERROR(__xludf.DUMMYFUNCTION("""COMPUTED_VALUE"""),"India")</f>
        <v>India</v>
      </c>
      <c r="D7040">
        <f>IFERROR(__xludf.DUMMYFUNCTION("""COMPUTED_VALUE"""),1979.0)</f>
        <v>1979</v>
      </c>
      <c r="E7040">
        <f>IFERROR(__xludf.DUMMYFUNCTION("""COMPUTED_VALUE"""),6.80915804E8)</f>
        <v>680915804</v>
      </c>
    </row>
    <row r="7041">
      <c r="A7041" t="str">
        <f t="shared" si="1"/>
        <v>ind#1980</v>
      </c>
      <c r="B7041" t="str">
        <f>IFERROR(__xludf.DUMMYFUNCTION("""COMPUTED_VALUE"""),"ind")</f>
        <v>ind</v>
      </c>
      <c r="C7041" t="str">
        <f>IFERROR(__xludf.DUMMYFUNCTION("""COMPUTED_VALUE"""),"India")</f>
        <v>India</v>
      </c>
      <c r="D7041">
        <f>IFERROR(__xludf.DUMMYFUNCTION("""COMPUTED_VALUE"""),1980.0)</f>
        <v>1980</v>
      </c>
      <c r="E7041">
        <f>IFERROR(__xludf.DUMMYFUNCTION("""COMPUTED_VALUE"""),6.96783517E8)</f>
        <v>696783517</v>
      </c>
    </row>
    <row r="7042">
      <c r="A7042" t="str">
        <f t="shared" si="1"/>
        <v>ind#1981</v>
      </c>
      <c r="B7042" t="str">
        <f>IFERROR(__xludf.DUMMYFUNCTION("""COMPUTED_VALUE"""),"ind")</f>
        <v>ind</v>
      </c>
      <c r="C7042" t="str">
        <f>IFERROR(__xludf.DUMMYFUNCTION("""COMPUTED_VALUE"""),"India")</f>
        <v>India</v>
      </c>
      <c r="D7042">
        <f>IFERROR(__xludf.DUMMYFUNCTION("""COMPUTED_VALUE"""),1981.0)</f>
        <v>1981</v>
      </c>
      <c r="E7042">
        <f>IFERROR(__xludf.DUMMYFUNCTION("""COMPUTED_VALUE"""),7.13118032E8)</f>
        <v>713118032</v>
      </c>
    </row>
    <row r="7043">
      <c r="A7043" t="str">
        <f t="shared" si="1"/>
        <v>ind#1982</v>
      </c>
      <c r="B7043" t="str">
        <f>IFERROR(__xludf.DUMMYFUNCTION("""COMPUTED_VALUE"""),"ind")</f>
        <v>ind</v>
      </c>
      <c r="C7043" t="str">
        <f>IFERROR(__xludf.DUMMYFUNCTION("""COMPUTED_VALUE"""),"India")</f>
        <v>India</v>
      </c>
      <c r="D7043">
        <f>IFERROR(__xludf.DUMMYFUNCTION("""COMPUTED_VALUE"""),1982.0)</f>
        <v>1982</v>
      </c>
      <c r="E7043">
        <f>IFERROR(__xludf.DUMMYFUNCTION("""COMPUTED_VALUE"""),7.29868013E8)</f>
        <v>729868013</v>
      </c>
    </row>
    <row r="7044">
      <c r="A7044" t="str">
        <f t="shared" si="1"/>
        <v>ind#1983</v>
      </c>
      <c r="B7044" t="str">
        <f>IFERROR(__xludf.DUMMYFUNCTION("""COMPUTED_VALUE"""),"ind")</f>
        <v>ind</v>
      </c>
      <c r="C7044" t="str">
        <f>IFERROR(__xludf.DUMMYFUNCTION("""COMPUTED_VALUE"""),"India")</f>
        <v>India</v>
      </c>
      <c r="D7044">
        <f>IFERROR(__xludf.DUMMYFUNCTION("""COMPUTED_VALUE"""),1983.0)</f>
        <v>1983</v>
      </c>
      <c r="E7044">
        <f>IFERROR(__xludf.DUMMYFUNCTION("""COMPUTED_VALUE"""),7.46949067E8)</f>
        <v>746949067</v>
      </c>
    </row>
    <row r="7045">
      <c r="A7045" t="str">
        <f t="shared" si="1"/>
        <v>ind#1984</v>
      </c>
      <c r="B7045" t="str">
        <f>IFERROR(__xludf.DUMMYFUNCTION("""COMPUTED_VALUE"""),"ind")</f>
        <v>ind</v>
      </c>
      <c r="C7045" t="str">
        <f>IFERROR(__xludf.DUMMYFUNCTION("""COMPUTED_VALUE"""),"India")</f>
        <v>India</v>
      </c>
      <c r="D7045">
        <f>IFERROR(__xludf.DUMMYFUNCTION("""COMPUTED_VALUE"""),1984.0)</f>
        <v>1984</v>
      </c>
      <c r="E7045">
        <f>IFERROR(__xludf.DUMMYFUNCTION("""COMPUTED_VALUE"""),7.64245202E8)</f>
        <v>764245202</v>
      </c>
    </row>
    <row r="7046">
      <c r="A7046" t="str">
        <f t="shared" si="1"/>
        <v>ind#1985</v>
      </c>
      <c r="B7046" t="str">
        <f>IFERROR(__xludf.DUMMYFUNCTION("""COMPUTED_VALUE"""),"ind")</f>
        <v>ind</v>
      </c>
      <c r="C7046" t="str">
        <f>IFERROR(__xludf.DUMMYFUNCTION("""COMPUTED_VALUE"""),"India")</f>
        <v>India</v>
      </c>
      <c r="D7046">
        <f>IFERROR(__xludf.DUMMYFUNCTION("""COMPUTED_VALUE"""),1985.0)</f>
        <v>1985</v>
      </c>
      <c r="E7046">
        <f>IFERROR(__xludf.DUMMYFUNCTION("""COMPUTED_VALUE"""),7.81666671E8)</f>
        <v>781666671</v>
      </c>
    </row>
    <row r="7047">
      <c r="A7047" t="str">
        <f t="shared" si="1"/>
        <v>ind#1986</v>
      </c>
      <c r="B7047" t="str">
        <f>IFERROR(__xludf.DUMMYFUNCTION("""COMPUTED_VALUE"""),"ind")</f>
        <v>ind</v>
      </c>
      <c r="C7047" t="str">
        <f>IFERROR(__xludf.DUMMYFUNCTION("""COMPUTED_VALUE"""),"India")</f>
        <v>India</v>
      </c>
      <c r="D7047">
        <f>IFERROR(__xludf.DUMMYFUNCTION("""COMPUTED_VALUE"""),1986.0)</f>
        <v>1986</v>
      </c>
      <c r="E7047">
        <f>IFERROR(__xludf.DUMMYFUNCTION("""COMPUTED_VALUE"""),7.99181436E8)</f>
        <v>799181436</v>
      </c>
    </row>
    <row r="7048">
      <c r="A7048" t="str">
        <f t="shared" si="1"/>
        <v>ind#1987</v>
      </c>
      <c r="B7048" t="str">
        <f>IFERROR(__xludf.DUMMYFUNCTION("""COMPUTED_VALUE"""),"ind")</f>
        <v>ind</v>
      </c>
      <c r="C7048" t="str">
        <f>IFERROR(__xludf.DUMMYFUNCTION("""COMPUTED_VALUE"""),"India")</f>
        <v>India</v>
      </c>
      <c r="D7048">
        <f>IFERROR(__xludf.DUMMYFUNCTION("""COMPUTED_VALUE"""),1987.0)</f>
        <v>1987</v>
      </c>
      <c r="E7048">
        <f>IFERROR(__xludf.DUMMYFUNCTION("""COMPUTED_VALUE"""),8.16792741E8)</f>
        <v>816792741</v>
      </c>
    </row>
    <row r="7049">
      <c r="A7049" t="str">
        <f t="shared" si="1"/>
        <v>ind#1988</v>
      </c>
      <c r="B7049" t="str">
        <f>IFERROR(__xludf.DUMMYFUNCTION("""COMPUTED_VALUE"""),"ind")</f>
        <v>ind</v>
      </c>
      <c r="C7049" t="str">
        <f>IFERROR(__xludf.DUMMYFUNCTION("""COMPUTED_VALUE"""),"India")</f>
        <v>India</v>
      </c>
      <c r="D7049">
        <f>IFERROR(__xludf.DUMMYFUNCTION("""COMPUTED_VALUE"""),1988.0)</f>
        <v>1988</v>
      </c>
      <c r="E7049">
        <f>IFERROR(__xludf.DUMMYFUNCTION("""COMPUTED_VALUE"""),8.34489322E8)</f>
        <v>834489322</v>
      </c>
    </row>
    <row r="7050">
      <c r="A7050" t="str">
        <f t="shared" si="1"/>
        <v>ind#1989</v>
      </c>
      <c r="B7050" t="str">
        <f>IFERROR(__xludf.DUMMYFUNCTION("""COMPUTED_VALUE"""),"ind")</f>
        <v>ind</v>
      </c>
      <c r="C7050" t="str">
        <f>IFERROR(__xludf.DUMMYFUNCTION("""COMPUTED_VALUE"""),"India")</f>
        <v>India</v>
      </c>
      <c r="D7050">
        <f>IFERROR(__xludf.DUMMYFUNCTION("""COMPUTED_VALUE"""),1989.0)</f>
        <v>1989</v>
      </c>
      <c r="E7050">
        <f>IFERROR(__xludf.DUMMYFUNCTION("""COMPUTED_VALUE"""),8.52270034E8)</f>
        <v>852270034</v>
      </c>
    </row>
    <row r="7051">
      <c r="A7051" t="str">
        <f t="shared" si="1"/>
        <v>ind#1990</v>
      </c>
      <c r="B7051" t="str">
        <f>IFERROR(__xludf.DUMMYFUNCTION("""COMPUTED_VALUE"""),"ind")</f>
        <v>ind</v>
      </c>
      <c r="C7051" t="str">
        <f>IFERROR(__xludf.DUMMYFUNCTION("""COMPUTED_VALUE"""),"India")</f>
        <v>India</v>
      </c>
      <c r="D7051">
        <f>IFERROR(__xludf.DUMMYFUNCTION("""COMPUTED_VALUE"""),1990.0)</f>
        <v>1990</v>
      </c>
      <c r="E7051">
        <f>IFERROR(__xludf.DUMMYFUNCTION("""COMPUTED_VALUE"""),8.7013348E8)</f>
        <v>870133480</v>
      </c>
    </row>
    <row r="7052">
      <c r="A7052" t="str">
        <f t="shared" si="1"/>
        <v>ind#1991</v>
      </c>
      <c r="B7052" t="str">
        <f>IFERROR(__xludf.DUMMYFUNCTION("""COMPUTED_VALUE"""),"ind")</f>
        <v>ind</v>
      </c>
      <c r="C7052" t="str">
        <f>IFERROR(__xludf.DUMMYFUNCTION("""COMPUTED_VALUE"""),"India")</f>
        <v>India</v>
      </c>
      <c r="D7052">
        <f>IFERROR(__xludf.DUMMYFUNCTION("""COMPUTED_VALUE"""),1991.0)</f>
        <v>1991</v>
      </c>
      <c r="E7052">
        <f>IFERROR(__xludf.DUMMYFUNCTION("""COMPUTED_VALUE"""),8.88054875E8)</f>
        <v>888054875</v>
      </c>
    </row>
    <row r="7053">
      <c r="A7053" t="str">
        <f t="shared" si="1"/>
        <v>ind#1992</v>
      </c>
      <c r="B7053" t="str">
        <f>IFERROR(__xludf.DUMMYFUNCTION("""COMPUTED_VALUE"""),"ind")</f>
        <v>ind</v>
      </c>
      <c r="C7053" t="str">
        <f>IFERROR(__xludf.DUMMYFUNCTION("""COMPUTED_VALUE"""),"India")</f>
        <v>India</v>
      </c>
      <c r="D7053">
        <f>IFERROR(__xludf.DUMMYFUNCTION("""COMPUTED_VALUE"""),1992.0)</f>
        <v>1992</v>
      </c>
      <c r="E7053">
        <f>IFERROR(__xludf.DUMMYFUNCTION("""COMPUTED_VALUE"""),9.06021106E8)</f>
        <v>906021106</v>
      </c>
    </row>
    <row r="7054">
      <c r="A7054" t="str">
        <f t="shared" si="1"/>
        <v>ind#1993</v>
      </c>
      <c r="B7054" t="str">
        <f>IFERROR(__xludf.DUMMYFUNCTION("""COMPUTED_VALUE"""),"ind")</f>
        <v>ind</v>
      </c>
      <c r="C7054" t="str">
        <f>IFERROR(__xludf.DUMMYFUNCTION("""COMPUTED_VALUE"""),"India")</f>
        <v>India</v>
      </c>
      <c r="D7054">
        <f>IFERROR(__xludf.DUMMYFUNCTION("""COMPUTED_VALUE"""),1993.0)</f>
        <v>1993</v>
      </c>
      <c r="E7054">
        <f>IFERROR(__xludf.DUMMYFUNCTION("""COMPUTED_VALUE"""),9.24057817E8)</f>
        <v>924057817</v>
      </c>
    </row>
    <row r="7055">
      <c r="A7055" t="str">
        <f t="shared" si="1"/>
        <v>ind#1994</v>
      </c>
      <c r="B7055" t="str">
        <f>IFERROR(__xludf.DUMMYFUNCTION("""COMPUTED_VALUE"""),"ind")</f>
        <v>ind</v>
      </c>
      <c r="C7055" t="str">
        <f>IFERROR(__xludf.DUMMYFUNCTION("""COMPUTED_VALUE"""),"India")</f>
        <v>India</v>
      </c>
      <c r="D7055">
        <f>IFERROR(__xludf.DUMMYFUNCTION("""COMPUTED_VALUE"""),1994.0)</f>
        <v>1994</v>
      </c>
      <c r="E7055">
        <f>IFERROR(__xludf.DUMMYFUNCTION("""COMPUTED_VALUE"""),9.42204249E8)</f>
        <v>942204249</v>
      </c>
    </row>
    <row r="7056">
      <c r="A7056" t="str">
        <f t="shared" si="1"/>
        <v>ind#1995</v>
      </c>
      <c r="B7056" t="str">
        <f>IFERROR(__xludf.DUMMYFUNCTION("""COMPUTED_VALUE"""),"ind")</f>
        <v>ind</v>
      </c>
      <c r="C7056" t="str">
        <f>IFERROR(__xludf.DUMMYFUNCTION("""COMPUTED_VALUE"""),"India")</f>
        <v>India</v>
      </c>
      <c r="D7056">
        <f>IFERROR(__xludf.DUMMYFUNCTION("""COMPUTED_VALUE"""),1995.0)</f>
        <v>1995</v>
      </c>
      <c r="E7056">
        <f>IFERROR(__xludf.DUMMYFUNCTION("""COMPUTED_VALUE"""),9.60482795E8)</f>
        <v>960482795</v>
      </c>
    </row>
    <row r="7057">
      <c r="A7057" t="str">
        <f t="shared" si="1"/>
        <v>ind#1996</v>
      </c>
      <c r="B7057" t="str">
        <f>IFERROR(__xludf.DUMMYFUNCTION("""COMPUTED_VALUE"""),"ind")</f>
        <v>ind</v>
      </c>
      <c r="C7057" t="str">
        <f>IFERROR(__xludf.DUMMYFUNCTION("""COMPUTED_VALUE"""),"India")</f>
        <v>India</v>
      </c>
      <c r="D7057">
        <f>IFERROR(__xludf.DUMMYFUNCTION("""COMPUTED_VALUE"""),1996.0)</f>
        <v>1996</v>
      </c>
      <c r="E7057">
        <f>IFERROR(__xludf.DUMMYFUNCTION("""COMPUTED_VALUE"""),9.78893217E8)</f>
        <v>978893217</v>
      </c>
    </row>
    <row r="7058">
      <c r="A7058" t="str">
        <f t="shared" si="1"/>
        <v>ind#1997</v>
      </c>
      <c r="B7058" t="str">
        <f>IFERROR(__xludf.DUMMYFUNCTION("""COMPUTED_VALUE"""),"ind")</f>
        <v>ind</v>
      </c>
      <c r="C7058" t="str">
        <f>IFERROR(__xludf.DUMMYFUNCTION("""COMPUTED_VALUE"""),"India")</f>
        <v>India</v>
      </c>
      <c r="D7058">
        <f>IFERROR(__xludf.DUMMYFUNCTION("""COMPUTED_VALUE"""),1997.0)</f>
        <v>1997</v>
      </c>
      <c r="E7058">
        <f>IFERROR(__xludf.DUMMYFUNCTION("""COMPUTED_VALUE"""),9.97405318E8)</f>
        <v>997405318</v>
      </c>
    </row>
    <row r="7059">
      <c r="A7059" t="str">
        <f t="shared" si="1"/>
        <v>ind#1998</v>
      </c>
      <c r="B7059" t="str">
        <f>IFERROR(__xludf.DUMMYFUNCTION("""COMPUTED_VALUE"""),"ind")</f>
        <v>ind</v>
      </c>
      <c r="C7059" t="str">
        <f>IFERROR(__xludf.DUMMYFUNCTION("""COMPUTED_VALUE"""),"India")</f>
        <v>India</v>
      </c>
      <c r="D7059">
        <f>IFERROR(__xludf.DUMMYFUNCTION("""COMPUTED_VALUE"""),1998.0)</f>
        <v>1998</v>
      </c>
      <c r="E7059">
        <f>IFERROR(__xludf.DUMMYFUNCTION("""COMPUTED_VALUE"""),1.015974042E9)</f>
        <v>1015974042</v>
      </c>
    </row>
    <row r="7060">
      <c r="A7060" t="str">
        <f t="shared" si="1"/>
        <v>ind#1999</v>
      </c>
      <c r="B7060" t="str">
        <f>IFERROR(__xludf.DUMMYFUNCTION("""COMPUTED_VALUE"""),"ind")</f>
        <v>ind</v>
      </c>
      <c r="C7060" t="str">
        <f>IFERROR(__xludf.DUMMYFUNCTION("""COMPUTED_VALUE"""),"India")</f>
        <v>India</v>
      </c>
      <c r="D7060">
        <f>IFERROR(__xludf.DUMMYFUNCTION("""COMPUTED_VALUE"""),1999.0)</f>
        <v>1999</v>
      </c>
      <c r="E7060">
        <f>IFERROR(__xludf.DUMMYFUNCTION("""COMPUTED_VALUE"""),1.034539214E9)</f>
        <v>1034539214</v>
      </c>
    </row>
    <row r="7061">
      <c r="A7061" t="str">
        <f t="shared" si="1"/>
        <v>ind#2000</v>
      </c>
      <c r="B7061" t="str">
        <f>IFERROR(__xludf.DUMMYFUNCTION("""COMPUTED_VALUE"""),"ind")</f>
        <v>ind</v>
      </c>
      <c r="C7061" t="str">
        <f>IFERROR(__xludf.DUMMYFUNCTION("""COMPUTED_VALUE"""),"India")</f>
        <v>India</v>
      </c>
      <c r="D7061">
        <f>IFERROR(__xludf.DUMMYFUNCTION("""COMPUTED_VALUE"""),2000.0)</f>
        <v>2000</v>
      </c>
      <c r="E7061">
        <f>IFERROR(__xludf.DUMMYFUNCTION("""COMPUTED_VALUE"""),1.053050912E9)</f>
        <v>1053050912</v>
      </c>
    </row>
    <row r="7062">
      <c r="A7062" t="str">
        <f t="shared" si="1"/>
        <v>ind#2001</v>
      </c>
      <c r="B7062" t="str">
        <f>IFERROR(__xludf.DUMMYFUNCTION("""COMPUTED_VALUE"""),"ind")</f>
        <v>ind</v>
      </c>
      <c r="C7062" t="str">
        <f>IFERROR(__xludf.DUMMYFUNCTION("""COMPUTED_VALUE"""),"India")</f>
        <v>India</v>
      </c>
      <c r="D7062">
        <f>IFERROR(__xludf.DUMMYFUNCTION("""COMPUTED_VALUE"""),2001.0)</f>
        <v>2001</v>
      </c>
      <c r="E7062">
        <f>IFERROR(__xludf.DUMMYFUNCTION("""COMPUTED_VALUE"""),1.071477855E9)</f>
        <v>1071477855</v>
      </c>
    </row>
    <row r="7063">
      <c r="A7063" t="str">
        <f t="shared" si="1"/>
        <v>ind#2002</v>
      </c>
      <c r="B7063" t="str">
        <f>IFERROR(__xludf.DUMMYFUNCTION("""COMPUTED_VALUE"""),"ind")</f>
        <v>ind</v>
      </c>
      <c r="C7063" t="str">
        <f>IFERROR(__xludf.DUMMYFUNCTION("""COMPUTED_VALUE"""),"India")</f>
        <v>India</v>
      </c>
      <c r="D7063">
        <f>IFERROR(__xludf.DUMMYFUNCTION("""COMPUTED_VALUE"""),2002.0)</f>
        <v>2002</v>
      </c>
      <c r="E7063">
        <f>IFERROR(__xludf.DUMMYFUNCTION("""COMPUTED_VALUE"""),1.089807112E9)</f>
        <v>1089807112</v>
      </c>
    </row>
    <row r="7064">
      <c r="A7064" t="str">
        <f t="shared" si="1"/>
        <v>ind#2003</v>
      </c>
      <c r="B7064" t="str">
        <f>IFERROR(__xludf.DUMMYFUNCTION("""COMPUTED_VALUE"""),"ind")</f>
        <v>ind</v>
      </c>
      <c r="C7064" t="str">
        <f>IFERROR(__xludf.DUMMYFUNCTION("""COMPUTED_VALUE"""),"India")</f>
        <v>India</v>
      </c>
      <c r="D7064">
        <f>IFERROR(__xludf.DUMMYFUNCTION("""COMPUTED_VALUE"""),2003.0)</f>
        <v>2003</v>
      </c>
      <c r="E7064">
        <f>IFERROR(__xludf.DUMMYFUNCTION("""COMPUTED_VALUE"""),1.108027848E9)</f>
        <v>1108027848</v>
      </c>
    </row>
    <row r="7065">
      <c r="A7065" t="str">
        <f t="shared" si="1"/>
        <v>ind#2004</v>
      </c>
      <c r="B7065" t="str">
        <f>IFERROR(__xludf.DUMMYFUNCTION("""COMPUTED_VALUE"""),"ind")</f>
        <v>ind</v>
      </c>
      <c r="C7065" t="str">
        <f>IFERROR(__xludf.DUMMYFUNCTION("""COMPUTED_VALUE"""),"India")</f>
        <v>India</v>
      </c>
      <c r="D7065">
        <f>IFERROR(__xludf.DUMMYFUNCTION("""COMPUTED_VALUE"""),2004.0)</f>
        <v>2004</v>
      </c>
      <c r="E7065">
        <f>IFERROR(__xludf.DUMMYFUNCTION("""COMPUTED_VALUE"""),1.126135777E9)</f>
        <v>1126135777</v>
      </c>
    </row>
    <row r="7066">
      <c r="A7066" t="str">
        <f t="shared" si="1"/>
        <v>ind#2005</v>
      </c>
      <c r="B7066" t="str">
        <f>IFERROR(__xludf.DUMMYFUNCTION("""COMPUTED_VALUE"""),"ind")</f>
        <v>ind</v>
      </c>
      <c r="C7066" t="str">
        <f>IFERROR(__xludf.DUMMYFUNCTION("""COMPUTED_VALUE"""),"India")</f>
        <v>India</v>
      </c>
      <c r="D7066">
        <f>IFERROR(__xludf.DUMMYFUNCTION("""COMPUTED_VALUE"""),2005.0)</f>
        <v>2005</v>
      </c>
      <c r="E7066">
        <f>IFERROR(__xludf.DUMMYFUNCTION("""COMPUTED_VALUE"""),1.144118674E9)</f>
        <v>1144118674</v>
      </c>
    </row>
    <row r="7067">
      <c r="A7067" t="str">
        <f t="shared" si="1"/>
        <v>ind#2006</v>
      </c>
      <c r="B7067" t="str">
        <f>IFERROR(__xludf.DUMMYFUNCTION("""COMPUTED_VALUE"""),"ind")</f>
        <v>ind</v>
      </c>
      <c r="C7067" t="str">
        <f>IFERROR(__xludf.DUMMYFUNCTION("""COMPUTED_VALUE"""),"India")</f>
        <v>India</v>
      </c>
      <c r="D7067">
        <f>IFERROR(__xludf.DUMMYFUNCTION("""COMPUTED_VALUE"""),2006.0)</f>
        <v>2006</v>
      </c>
      <c r="E7067">
        <f>IFERROR(__xludf.DUMMYFUNCTION("""COMPUTED_VALUE"""),1.161977719E9)</f>
        <v>1161977719</v>
      </c>
    </row>
    <row r="7068">
      <c r="A7068" t="str">
        <f t="shared" si="1"/>
        <v>ind#2007</v>
      </c>
      <c r="B7068" t="str">
        <f>IFERROR(__xludf.DUMMYFUNCTION("""COMPUTED_VALUE"""),"ind")</f>
        <v>ind</v>
      </c>
      <c r="C7068" t="str">
        <f>IFERROR(__xludf.DUMMYFUNCTION("""COMPUTED_VALUE"""),"India")</f>
        <v>India</v>
      </c>
      <c r="D7068">
        <f>IFERROR(__xludf.DUMMYFUNCTION("""COMPUTED_VALUE"""),2007.0)</f>
        <v>2007</v>
      </c>
      <c r="E7068">
        <f>IFERROR(__xludf.DUMMYFUNCTION("""COMPUTED_VALUE"""),1.179681239E9)</f>
        <v>1179681239</v>
      </c>
    </row>
    <row r="7069">
      <c r="A7069" t="str">
        <f t="shared" si="1"/>
        <v>ind#2008</v>
      </c>
      <c r="B7069" t="str">
        <f>IFERROR(__xludf.DUMMYFUNCTION("""COMPUTED_VALUE"""),"ind")</f>
        <v>ind</v>
      </c>
      <c r="C7069" t="str">
        <f>IFERROR(__xludf.DUMMYFUNCTION("""COMPUTED_VALUE"""),"India")</f>
        <v>India</v>
      </c>
      <c r="D7069">
        <f>IFERROR(__xludf.DUMMYFUNCTION("""COMPUTED_VALUE"""),2008.0)</f>
        <v>2008</v>
      </c>
      <c r="E7069">
        <f>IFERROR(__xludf.DUMMYFUNCTION("""COMPUTED_VALUE"""),1.197146906E9)</f>
        <v>1197146906</v>
      </c>
    </row>
    <row r="7070">
      <c r="A7070" t="str">
        <f t="shared" si="1"/>
        <v>ind#2009</v>
      </c>
      <c r="B7070" t="str">
        <f>IFERROR(__xludf.DUMMYFUNCTION("""COMPUTED_VALUE"""),"ind")</f>
        <v>ind</v>
      </c>
      <c r="C7070" t="str">
        <f>IFERROR(__xludf.DUMMYFUNCTION("""COMPUTED_VALUE"""),"India")</f>
        <v>India</v>
      </c>
      <c r="D7070">
        <f>IFERROR(__xludf.DUMMYFUNCTION("""COMPUTED_VALUE"""),2009.0)</f>
        <v>2009</v>
      </c>
      <c r="E7070">
        <f>IFERROR(__xludf.DUMMYFUNCTION("""COMPUTED_VALUE"""),1.214270132E9)</f>
        <v>1214270132</v>
      </c>
    </row>
    <row r="7071">
      <c r="A7071" t="str">
        <f t="shared" si="1"/>
        <v>ind#2010</v>
      </c>
      <c r="B7071" t="str">
        <f>IFERROR(__xludf.DUMMYFUNCTION("""COMPUTED_VALUE"""),"ind")</f>
        <v>ind</v>
      </c>
      <c r="C7071" t="str">
        <f>IFERROR(__xludf.DUMMYFUNCTION("""COMPUTED_VALUE"""),"India")</f>
        <v>India</v>
      </c>
      <c r="D7071">
        <f>IFERROR(__xludf.DUMMYFUNCTION("""COMPUTED_VALUE"""),2010.0)</f>
        <v>2010</v>
      </c>
      <c r="E7071">
        <f>IFERROR(__xludf.DUMMYFUNCTION("""COMPUTED_VALUE"""),1.230980691E9)</f>
        <v>1230980691</v>
      </c>
    </row>
    <row r="7072">
      <c r="A7072" t="str">
        <f t="shared" si="1"/>
        <v>ind#2011</v>
      </c>
      <c r="B7072" t="str">
        <f>IFERROR(__xludf.DUMMYFUNCTION("""COMPUTED_VALUE"""),"ind")</f>
        <v>ind</v>
      </c>
      <c r="C7072" t="str">
        <f>IFERROR(__xludf.DUMMYFUNCTION("""COMPUTED_VALUE"""),"India")</f>
        <v>India</v>
      </c>
      <c r="D7072">
        <f>IFERROR(__xludf.DUMMYFUNCTION("""COMPUTED_VALUE"""),2011.0)</f>
        <v>2011</v>
      </c>
      <c r="E7072">
        <f>IFERROR(__xludf.DUMMYFUNCTION("""COMPUTED_VALUE"""),1.247236029E9)</f>
        <v>1247236029</v>
      </c>
    </row>
    <row r="7073">
      <c r="A7073" t="str">
        <f t="shared" si="1"/>
        <v>ind#2012</v>
      </c>
      <c r="B7073" t="str">
        <f>IFERROR(__xludf.DUMMYFUNCTION("""COMPUTED_VALUE"""),"ind")</f>
        <v>ind</v>
      </c>
      <c r="C7073" t="str">
        <f>IFERROR(__xludf.DUMMYFUNCTION("""COMPUTED_VALUE"""),"India")</f>
        <v>India</v>
      </c>
      <c r="D7073">
        <f>IFERROR(__xludf.DUMMYFUNCTION("""COMPUTED_VALUE"""),2012.0)</f>
        <v>2012</v>
      </c>
      <c r="E7073">
        <f>IFERROR(__xludf.DUMMYFUNCTION("""COMPUTED_VALUE"""),1.263065852E9)</f>
        <v>1263065852</v>
      </c>
    </row>
    <row r="7074">
      <c r="A7074" t="str">
        <f t="shared" si="1"/>
        <v>ind#2013</v>
      </c>
      <c r="B7074" t="str">
        <f>IFERROR(__xludf.DUMMYFUNCTION("""COMPUTED_VALUE"""),"ind")</f>
        <v>ind</v>
      </c>
      <c r="C7074" t="str">
        <f>IFERROR(__xludf.DUMMYFUNCTION("""COMPUTED_VALUE"""),"India")</f>
        <v>India</v>
      </c>
      <c r="D7074">
        <f>IFERROR(__xludf.DUMMYFUNCTION("""COMPUTED_VALUE"""),2013.0)</f>
        <v>2013</v>
      </c>
      <c r="E7074">
        <f>IFERROR(__xludf.DUMMYFUNCTION("""COMPUTED_VALUE"""),1.278562207E9)</f>
        <v>1278562207</v>
      </c>
    </row>
    <row r="7075">
      <c r="A7075" t="str">
        <f t="shared" si="1"/>
        <v>ind#2014</v>
      </c>
      <c r="B7075" t="str">
        <f>IFERROR(__xludf.DUMMYFUNCTION("""COMPUTED_VALUE"""),"ind")</f>
        <v>ind</v>
      </c>
      <c r="C7075" t="str">
        <f>IFERROR(__xludf.DUMMYFUNCTION("""COMPUTED_VALUE"""),"India")</f>
        <v>India</v>
      </c>
      <c r="D7075">
        <f>IFERROR(__xludf.DUMMYFUNCTION("""COMPUTED_VALUE"""),2014.0)</f>
        <v>2014</v>
      </c>
      <c r="E7075">
        <f>IFERROR(__xludf.DUMMYFUNCTION("""COMPUTED_VALUE"""),1.293859294E9)</f>
        <v>1293859294</v>
      </c>
    </row>
    <row r="7076">
      <c r="A7076" t="str">
        <f t="shared" si="1"/>
        <v>ind#2015</v>
      </c>
      <c r="B7076" t="str">
        <f>IFERROR(__xludf.DUMMYFUNCTION("""COMPUTED_VALUE"""),"ind")</f>
        <v>ind</v>
      </c>
      <c r="C7076" t="str">
        <f>IFERROR(__xludf.DUMMYFUNCTION("""COMPUTED_VALUE"""),"India")</f>
        <v>India</v>
      </c>
      <c r="D7076">
        <f>IFERROR(__xludf.DUMMYFUNCTION("""COMPUTED_VALUE"""),2015.0)</f>
        <v>2015</v>
      </c>
      <c r="E7076">
        <f>IFERROR(__xludf.DUMMYFUNCTION("""COMPUTED_VALUE"""),1.30905398E9)</f>
        <v>1309053980</v>
      </c>
    </row>
    <row r="7077">
      <c r="A7077" t="str">
        <f t="shared" si="1"/>
        <v>ind#2016</v>
      </c>
      <c r="B7077" t="str">
        <f>IFERROR(__xludf.DUMMYFUNCTION("""COMPUTED_VALUE"""),"ind")</f>
        <v>ind</v>
      </c>
      <c r="C7077" t="str">
        <f>IFERROR(__xludf.DUMMYFUNCTION("""COMPUTED_VALUE"""),"India")</f>
        <v>India</v>
      </c>
      <c r="D7077">
        <f>IFERROR(__xludf.DUMMYFUNCTION("""COMPUTED_VALUE"""),2016.0)</f>
        <v>2016</v>
      </c>
      <c r="E7077">
        <f>IFERROR(__xludf.DUMMYFUNCTION("""COMPUTED_VALUE"""),1.324171354E9)</f>
        <v>1324171354</v>
      </c>
    </row>
    <row r="7078">
      <c r="A7078" t="str">
        <f t="shared" si="1"/>
        <v>ind#2017</v>
      </c>
      <c r="B7078" t="str">
        <f>IFERROR(__xludf.DUMMYFUNCTION("""COMPUTED_VALUE"""),"ind")</f>
        <v>ind</v>
      </c>
      <c r="C7078" t="str">
        <f>IFERROR(__xludf.DUMMYFUNCTION("""COMPUTED_VALUE"""),"India")</f>
        <v>India</v>
      </c>
      <c r="D7078">
        <f>IFERROR(__xludf.DUMMYFUNCTION("""COMPUTED_VALUE"""),2017.0)</f>
        <v>2017</v>
      </c>
      <c r="E7078">
        <f>IFERROR(__xludf.DUMMYFUNCTION("""COMPUTED_VALUE"""),1.339180127E9)</f>
        <v>1339180127</v>
      </c>
    </row>
    <row r="7079">
      <c r="A7079" t="str">
        <f t="shared" si="1"/>
        <v>ind#2018</v>
      </c>
      <c r="B7079" t="str">
        <f>IFERROR(__xludf.DUMMYFUNCTION("""COMPUTED_VALUE"""),"ind")</f>
        <v>ind</v>
      </c>
      <c r="C7079" t="str">
        <f>IFERROR(__xludf.DUMMYFUNCTION("""COMPUTED_VALUE"""),"India")</f>
        <v>India</v>
      </c>
      <c r="D7079">
        <f>IFERROR(__xludf.DUMMYFUNCTION("""COMPUTED_VALUE"""),2018.0)</f>
        <v>2018</v>
      </c>
      <c r="E7079">
        <f>IFERROR(__xludf.DUMMYFUNCTION("""COMPUTED_VALUE"""),1.354051854E9)</f>
        <v>1354051854</v>
      </c>
    </row>
    <row r="7080">
      <c r="A7080" t="str">
        <f t="shared" si="1"/>
        <v>ind#2019</v>
      </c>
      <c r="B7080" t="str">
        <f>IFERROR(__xludf.DUMMYFUNCTION("""COMPUTED_VALUE"""),"ind")</f>
        <v>ind</v>
      </c>
      <c r="C7080" t="str">
        <f>IFERROR(__xludf.DUMMYFUNCTION("""COMPUTED_VALUE"""),"India")</f>
        <v>India</v>
      </c>
      <c r="D7080">
        <f>IFERROR(__xludf.DUMMYFUNCTION("""COMPUTED_VALUE"""),2019.0)</f>
        <v>2019</v>
      </c>
      <c r="E7080">
        <f>IFERROR(__xludf.DUMMYFUNCTION("""COMPUTED_VALUE"""),1.368737513E9)</f>
        <v>1368737513</v>
      </c>
    </row>
    <row r="7081">
      <c r="A7081" t="str">
        <f t="shared" si="1"/>
        <v>ind#2020</v>
      </c>
      <c r="B7081" t="str">
        <f>IFERROR(__xludf.DUMMYFUNCTION("""COMPUTED_VALUE"""),"ind")</f>
        <v>ind</v>
      </c>
      <c r="C7081" t="str">
        <f>IFERROR(__xludf.DUMMYFUNCTION("""COMPUTED_VALUE"""),"India")</f>
        <v>India</v>
      </c>
      <c r="D7081">
        <f>IFERROR(__xludf.DUMMYFUNCTION("""COMPUTED_VALUE"""),2020.0)</f>
        <v>2020</v>
      </c>
      <c r="E7081">
        <f>IFERROR(__xludf.DUMMYFUNCTION("""COMPUTED_VALUE"""),1.383197753E9)</f>
        <v>1383197753</v>
      </c>
    </row>
    <row r="7082">
      <c r="A7082" t="str">
        <f t="shared" si="1"/>
        <v>ind#2021</v>
      </c>
      <c r="B7082" t="str">
        <f>IFERROR(__xludf.DUMMYFUNCTION("""COMPUTED_VALUE"""),"ind")</f>
        <v>ind</v>
      </c>
      <c r="C7082" t="str">
        <f>IFERROR(__xludf.DUMMYFUNCTION("""COMPUTED_VALUE"""),"India")</f>
        <v>India</v>
      </c>
      <c r="D7082">
        <f>IFERROR(__xludf.DUMMYFUNCTION("""COMPUTED_VALUE"""),2021.0)</f>
        <v>2021</v>
      </c>
      <c r="E7082">
        <f>IFERROR(__xludf.DUMMYFUNCTION("""COMPUTED_VALUE"""),1.397423009E9)</f>
        <v>1397423009</v>
      </c>
    </row>
    <row r="7083">
      <c r="A7083" t="str">
        <f t="shared" si="1"/>
        <v>ind#2022</v>
      </c>
      <c r="B7083" t="str">
        <f>IFERROR(__xludf.DUMMYFUNCTION("""COMPUTED_VALUE"""),"ind")</f>
        <v>ind</v>
      </c>
      <c r="C7083" t="str">
        <f>IFERROR(__xludf.DUMMYFUNCTION("""COMPUTED_VALUE"""),"India")</f>
        <v>India</v>
      </c>
      <c r="D7083">
        <f>IFERROR(__xludf.DUMMYFUNCTION("""COMPUTED_VALUE"""),2022.0)</f>
        <v>2022</v>
      </c>
      <c r="E7083">
        <f>IFERROR(__xludf.DUMMYFUNCTION("""COMPUTED_VALUE"""),1.411415296E9)</f>
        <v>1411415296</v>
      </c>
    </row>
    <row r="7084">
      <c r="A7084" t="str">
        <f t="shared" si="1"/>
        <v>ind#2023</v>
      </c>
      <c r="B7084" t="str">
        <f>IFERROR(__xludf.DUMMYFUNCTION("""COMPUTED_VALUE"""),"ind")</f>
        <v>ind</v>
      </c>
      <c r="C7084" t="str">
        <f>IFERROR(__xludf.DUMMYFUNCTION("""COMPUTED_VALUE"""),"India")</f>
        <v>India</v>
      </c>
      <c r="D7084">
        <f>IFERROR(__xludf.DUMMYFUNCTION("""COMPUTED_VALUE"""),2023.0)</f>
        <v>2023</v>
      </c>
      <c r="E7084">
        <f>IFERROR(__xludf.DUMMYFUNCTION("""COMPUTED_VALUE"""),1.425158481E9)</f>
        <v>1425158481</v>
      </c>
    </row>
    <row r="7085">
      <c r="A7085" t="str">
        <f t="shared" si="1"/>
        <v>ind#2024</v>
      </c>
      <c r="B7085" t="str">
        <f>IFERROR(__xludf.DUMMYFUNCTION("""COMPUTED_VALUE"""),"ind")</f>
        <v>ind</v>
      </c>
      <c r="C7085" t="str">
        <f>IFERROR(__xludf.DUMMYFUNCTION("""COMPUTED_VALUE"""),"India")</f>
        <v>India</v>
      </c>
      <c r="D7085">
        <f>IFERROR(__xludf.DUMMYFUNCTION("""COMPUTED_VALUE"""),2024.0)</f>
        <v>2024</v>
      </c>
      <c r="E7085">
        <f>IFERROR(__xludf.DUMMYFUNCTION("""COMPUTED_VALUE"""),1.438635367E9)</f>
        <v>1438635367</v>
      </c>
    </row>
    <row r="7086">
      <c r="A7086" t="str">
        <f t="shared" si="1"/>
        <v>ind#2025</v>
      </c>
      <c r="B7086" t="str">
        <f>IFERROR(__xludf.DUMMYFUNCTION("""COMPUTED_VALUE"""),"ind")</f>
        <v>ind</v>
      </c>
      <c r="C7086" t="str">
        <f>IFERROR(__xludf.DUMMYFUNCTION("""COMPUTED_VALUE"""),"India")</f>
        <v>India</v>
      </c>
      <c r="D7086">
        <f>IFERROR(__xludf.DUMMYFUNCTION("""COMPUTED_VALUE"""),2025.0)</f>
        <v>2025</v>
      </c>
      <c r="E7086">
        <f>IFERROR(__xludf.DUMMYFUNCTION("""COMPUTED_VALUE"""),1.451829004E9)</f>
        <v>1451829004</v>
      </c>
    </row>
    <row r="7087">
      <c r="A7087" t="str">
        <f t="shared" si="1"/>
        <v>ind#2026</v>
      </c>
      <c r="B7087" t="str">
        <f>IFERROR(__xludf.DUMMYFUNCTION("""COMPUTED_VALUE"""),"ind")</f>
        <v>ind</v>
      </c>
      <c r="C7087" t="str">
        <f>IFERROR(__xludf.DUMMYFUNCTION("""COMPUTED_VALUE"""),"India")</f>
        <v>India</v>
      </c>
      <c r="D7087">
        <f>IFERROR(__xludf.DUMMYFUNCTION("""COMPUTED_VALUE"""),2026.0)</f>
        <v>2026</v>
      </c>
      <c r="E7087">
        <f>IFERROR(__xludf.DUMMYFUNCTION("""COMPUTED_VALUE"""),1.464726099E9)</f>
        <v>1464726099</v>
      </c>
    </row>
    <row r="7088">
      <c r="A7088" t="str">
        <f t="shared" si="1"/>
        <v>ind#2027</v>
      </c>
      <c r="B7088" t="str">
        <f>IFERROR(__xludf.DUMMYFUNCTION("""COMPUTED_VALUE"""),"ind")</f>
        <v>ind</v>
      </c>
      <c r="C7088" t="str">
        <f>IFERROR(__xludf.DUMMYFUNCTION("""COMPUTED_VALUE"""),"India")</f>
        <v>India</v>
      </c>
      <c r="D7088">
        <f>IFERROR(__xludf.DUMMYFUNCTION("""COMPUTED_VALUE"""),2027.0)</f>
        <v>2027</v>
      </c>
      <c r="E7088">
        <f>IFERROR(__xludf.DUMMYFUNCTION("""COMPUTED_VALUE"""),1.47731159E9)</f>
        <v>1477311590</v>
      </c>
    </row>
    <row r="7089">
      <c r="A7089" t="str">
        <f t="shared" si="1"/>
        <v>ind#2028</v>
      </c>
      <c r="B7089" t="str">
        <f>IFERROR(__xludf.DUMMYFUNCTION("""COMPUTED_VALUE"""),"ind")</f>
        <v>ind</v>
      </c>
      <c r="C7089" t="str">
        <f>IFERROR(__xludf.DUMMYFUNCTION("""COMPUTED_VALUE"""),"India")</f>
        <v>India</v>
      </c>
      <c r="D7089">
        <f>IFERROR(__xludf.DUMMYFUNCTION("""COMPUTED_VALUE"""),2028.0)</f>
        <v>2028</v>
      </c>
      <c r="E7089">
        <f>IFERROR(__xludf.DUMMYFUNCTION("""COMPUTED_VALUE"""),1.489564612E9)</f>
        <v>1489564612</v>
      </c>
    </row>
    <row r="7090">
      <c r="A7090" t="str">
        <f t="shared" si="1"/>
        <v>ind#2029</v>
      </c>
      <c r="B7090" t="str">
        <f>IFERROR(__xludf.DUMMYFUNCTION("""COMPUTED_VALUE"""),"ind")</f>
        <v>ind</v>
      </c>
      <c r="C7090" t="str">
        <f>IFERROR(__xludf.DUMMYFUNCTION("""COMPUTED_VALUE"""),"India")</f>
        <v>India</v>
      </c>
      <c r="D7090">
        <f>IFERROR(__xludf.DUMMYFUNCTION("""COMPUTED_VALUE"""),2029.0)</f>
        <v>2029</v>
      </c>
      <c r="E7090">
        <f>IFERROR(__xludf.DUMMYFUNCTION("""COMPUTED_VALUE"""),1.501462374E9)</f>
        <v>1501462374</v>
      </c>
    </row>
    <row r="7091">
      <c r="A7091" t="str">
        <f t="shared" si="1"/>
        <v>ind#2030</v>
      </c>
      <c r="B7091" t="str">
        <f>IFERROR(__xludf.DUMMYFUNCTION("""COMPUTED_VALUE"""),"ind")</f>
        <v>ind</v>
      </c>
      <c r="C7091" t="str">
        <f>IFERROR(__xludf.DUMMYFUNCTION("""COMPUTED_VALUE"""),"India")</f>
        <v>India</v>
      </c>
      <c r="D7091">
        <f>IFERROR(__xludf.DUMMYFUNCTION("""COMPUTED_VALUE"""),2030.0)</f>
        <v>2030</v>
      </c>
      <c r="E7091">
        <f>IFERROR(__xludf.DUMMYFUNCTION("""COMPUTED_VALUE"""),1.512985207E9)</f>
        <v>1512985207</v>
      </c>
    </row>
    <row r="7092">
      <c r="A7092" t="str">
        <f t="shared" si="1"/>
        <v>ind#2031</v>
      </c>
      <c r="B7092" t="str">
        <f>IFERROR(__xludf.DUMMYFUNCTION("""COMPUTED_VALUE"""),"ind")</f>
        <v>ind</v>
      </c>
      <c r="C7092" t="str">
        <f>IFERROR(__xludf.DUMMYFUNCTION("""COMPUTED_VALUE"""),"India")</f>
        <v>India</v>
      </c>
      <c r="D7092">
        <f>IFERROR(__xludf.DUMMYFUNCTION("""COMPUTED_VALUE"""),2031.0)</f>
        <v>2031</v>
      </c>
      <c r="E7092">
        <f>IFERROR(__xludf.DUMMYFUNCTION("""COMPUTED_VALUE"""),1.524123804E9)</f>
        <v>1524123804</v>
      </c>
    </row>
    <row r="7093">
      <c r="A7093" t="str">
        <f t="shared" si="1"/>
        <v>ind#2032</v>
      </c>
      <c r="B7093" t="str">
        <f>IFERROR(__xludf.DUMMYFUNCTION("""COMPUTED_VALUE"""),"ind")</f>
        <v>ind</v>
      </c>
      <c r="C7093" t="str">
        <f>IFERROR(__xludf.DUMMYFUNCTION("""COMPUTED_VALUE"""),"India")</f>
        <v>India</v>
      </c>
      <c r="D7093">
        <f>IFERROR(__xludf.DUMMYFUNCTION("""COMPUTED_VALUE"""),2032.0)</f>
        <v>2032</v>
      </c>
      <c r="E7093">
        <f>IFERROR(__xludf.DUMMYFUNCTION("""COMPUTED_VALUE"""),1.534869174E9)</f>
        <v>1534869174</v>
      </c>
    </row>
    <row r="7094">
      <c r="A7094" t="str">
        <f t="shared" si="1"/>
        <v>ind#2033</v>
      </c>
      <c r="B7094" t="str">
        <f>IFERROR(__xludf.DUMMYFUNCTION("""COMPUTED_VALUE"""),"ind")</f>
        <v>ind</v>
      </c>
      <c r="C7094" t="str">
        <f>IFERROR(__xludf.DUMMYFUNCTION("""COMPUTED_VALUE"""),"India")</f>
        <v>India</v>
      </c>
      <c r="D7094">
        <f>IFERROR(__xludf.DUMMYFUNCTION("""COMPUTED_VALUE"""),2033.0)</f>
        <v>2033</v>
      </c>
      <c r="E7094">
        <f>IFERROR(__xludf.DUMMYFUNCTION("""COMPUTED_VALUE"""),1.545203584E9)</f>
        <v>1545203584</v>
      </c>
    </row>
    <row r="7095">
      <c r="A7095" t="str">
        <f t="shared" si="1"/>
        <v>ind#2034</v>
      </c>
      <c r="B7095" t="str">
        <f>IFERROR(__xludf.DUMMYFUNCTION("""COMPUTED_VALUE"""),"ind")</f>
        <v>ind</v>
      </c>
      <c r="C7095" t="str">
        <f>IFERROR(__xludf.DUMMYFUNCTION("""COMPUTED_VALUE"""),"India")</f>
        <v>India</v>
      </c>
      <c r="D7095">
        <f>IFERROR(__xludf.DUMMYFUNCTION("""COMPUTED_VALUE"""),2034.0)</f>
        <v>2034</v>
      </c>
      <c r="E7095">
        <f>IFERROR(__xludf.DUMMYFUNCTION("""COMPUTED_VALUE"""),1.555108108E9)</f>
        <v>1555108108</v>
      </c>
    </row>
    <row r="7096">
      <c r="A7096" t="str">
        <f t="shared" si="1"/>
        <v>ind#2035</v>
      </c>
      <c r="B7096" t="str">
        <f>IFERROR(__xludf.DUMMYFUNCTION("""COMPUTED_VALUE"""),"ind")</f>
        <v>ind</v>
      </c>
      <c r="C7096" t="str">
        <f>IFERROR(__xludf.DUMMYFUNCTION("""COMPUTED_VALUE"""),"India")</f>
        <v>India</v>
      </c>
      <c r="D7096">
        <f>IFERROR(__xludf.DUMMYFUNCTION("""COMPUTED_VALUE"""),2035.0)</f>
        <v>2035</v>
      </c>
      <c r="E7096">
        <f>IFERROR(__xludf.DUMMYFUNCTION("""COMPUTED_VALUE"""),1.564570223E9)</f>
        <v>1564570223</v>
      </c>
    </row>
    <row r="7097">
      <c r="A7097" t="str">
        <f t="shared" si="1"/>
        <v>ind#2036</v>
      </c>
      <c r="B7097" t="str">
        <f>IFERROR(__xludf.DUMMYFUNCTION("""COMPUTED_VALUE"""),"ind")</f>
        <v>ind</v>
      </c>
      <c r="C7097" t="str">
        <f>IFERROR(__xludf.DUMMYFUNCTION("""COMPUTED_VALUE"""),"India")</f>
        <v>India</v>
      </c>
      <c r="D7097">
        <f>IFERROR(__xludf.DUMMYFUNCTION("""COMPUTED_VALUE"""),2036.0)</f>
        <v>2036</v>
      </c>
      <c r="E7097">
        <f>IFERROR(__xludf.DUMMYFUNCTION("""COMPUTED_VALUE"""),1.573581733E9)</f>
        <v>1573581733</v>
      </c>
    </row>
    <row r="7098">
      <c r="A7098" t="str">
        <f t="shared" si="1"/>
        <v>ind#2037</v>
      </c>
      <c r="B7098" t="str">
        <f>IFERROR(__xludf.DUMMYFUNCTION("""COMPUTED_VALUE"""),"ind")</f>
        <v>ind</v>
      </c>
      <c r="C7098" t="str">
        <f>IFERROR(__xludf.DUMMYFUNCTION("""COMPUTED_VALUE"""),"India")</f>
        <v>India</v>
      </c>
      <c r="D7098">
        <f>IFERROR(__xludf.DUMMYFUNCTION("""COMPUTED_VALUE"""),2037.0)</f>
        <v>2037</v>
      </c>
      <c r="E7098">
        <f>IFERROR(__xludf.DUMMYFUNCTION("""COMPUTED_VALUE"""),1.582146821E9)</f>
        <v>1582146821</v>
      </c>
    </row>
    <row r="7099">
      <c r="A7099" t="str">
        <f t="shared" si="1"/>
        <v>ind#2038</v>
      </c>
      <c r="B7099" t="str">
        <f>IFERROR(__xludf.DUMMYFUNCTION("""COMPUTED_VALUE"""),"ind")</f>
        <v>ind</v>
      </c>
      <c r="C7099" t="str">
        <f>IFERROR(__xludf.DUMMYFUNCTION("""COMPUTED_VALUE"""),"India")</f>
        <v>India</v>
      </c>
      <c r="D7099">
        <f>IFERROR(__xludf.DUMMYFUNCTION("""COMPUTED_VALUE"""),2038.0)</f>
        <v>2038</v>
      </c>
      <c r="E7099">
        <f>IFERROR(__xludf.DUMMYFUNCTION("""COMPUTED_VALUE"""),1.590281887E9)</f>
        <v>1590281887</v>
      </c>
    </row>
    <row r="7100">
      <c r="A7100" t="str">
        <f t="shared" si="1"/>
        <v>ind#2039</v>
      </c>
      <c r="B7100" t="str">
        <f>IFERROR(__xludf.DUMMYFUNCTION("""COMPUTED_VALUE"""),"ind")</f>
        <v>ind</v>
      </c>
      <c r="C7100" t="str">
        <f>IFERROR(__xludf.DUMMYFUNCTION("""COMPUTED_VALUE"""),"India")</f>
        <v>India</v>
      </c>
      <c r="D7100">
        <f>IFERROR(__xludf.DUMMYFUNCTION("""COMPUTED_VALUE"""),2039.0)</f>
        <v>2039</v>
      </c>
      <c r="E7100">
        <f>IFERROR(__xludf.DUMMYFUNCTION("""COMPUTED_VALUE"""),1.598011486E9)</f>
        <v>1598011486</v>
      </c>
    </row>
    <row r="7101">
      <c r="A7101" t="str">
        <f t="shared" si="1"/>
        <v>ind#2040</v>
      </c>
      <c r="B7101" t="str">
        <f>IFERROR(__xludf.DUMMYFUNCTION("""COMPUTED_VALUE"""),"ind")</f>
        <v>ind</v>
      </c>
      <c r="C7101" t="str">
        <f>IFERROR(__xludf.DUMMYFUNCTION("""COMPUTED_VALUE"""),"India")</f>
        <v>India</v>
      </c>
      <c r="D7101">
        <f>IFERROR(__xludf.DUMMYFUNCTION("""COMPUTED_VALUE"""),2040.0)</f>
        <v>2040</v>
      </c>
      <c r="E7101">
        <f>IFERROR(__xludf.DUMMYFUNCTION("""COMPUTED_VALUE"""),1.605355574E9)</f>
        <v>1605355574</v>
      </c>
    </row>
    <row r="7102">
      <c r="A7102" t="str">
        <f t="shared" si="1"/>
        <v>idn#1950</v>
      </c>
      <c r="B7102" t="str">
        <f>IFERROR(__xludf.DUMMYFUNCTION("""COMPUTED_VALUE"""),"idn")</f>
        <v>idn</v>
      </c>
      <c r="C7102" t="str">
        <f>IFERROR(__xludf.DUMMYFUNCTION("""COMPUTED_VALUE"""),"Indonesia")</f>
        <v>Indonesia</v>
      </c>
      <c r="D7102">
        <f>IFERROR(__xludf.DUMMYFUNCTION("""COMPUTED_VALUE"""),1950.0)</f>
        <v>1950</v>
      </c>
      <c r="E7102">
        <f>IFERROR(__xludf.DUMMYFUNCTION("""COMPUTED_VALUE"""),6.9543316E7)</f>
        <v>69543316</v>
      </c>
    </row>
    <row r="7103">
      <c r="A7103" t="str">
        <f t="shared" si="1"/>
        <v>idn#1951</v>
      </c>
      <c r="B7103" t="str">
        <f>IFERROR(__xludf.DUMMYFUNCTION("""COMPUTED_VALUE"""),"idn")</f>
        <v>idn</v>
      </c>
      <c r="C7103" t="str">
        <f>IFERROR(__xludf.DUMMYFUNCTION("""COMPUTED_VALUE"""),"Indonesia")</f>
        <v>Indonesia</v>
      </c>
      <c r="D7103">
        <f>IFERROR(__xludf.DUMMYFUNCTION("""COMPUTED_VALUE"""),1951.0)</f>
        <v>1951</v>
      </c>
      <c r="E7103">
        <f>IFERROR(__xludf.DUMMYFUNCTION("""COMPUTED_VALUE"""),7.0869609E7)</f>
        <v>70869609</v>
      </c>
    </row>
    <row r="7104">
      <c r="A7104" t="str">
        <f t="shared" si="1"/>
        <v>idn#1952</v>
      </c>
      <c r="B7104" t="str">
        <f>IFERROR(__xludf.DUMMYFUNCTION("""COMPUTED_VALUE"""),"idn")</f>
        <v>idn</v>
      </c>
      <c r="C7104" t="str">
        <f>IFERROR(__xludf.DUMMYFUNCTION("""COMPUTED_VALUE"""),"Indonesia")</f>
        <v>Indonesia</v>
      </c>
      <c r="D7104">
        <f>IFERROR(__xludf.DUMMYFUNCTION("""COMPUTED_VALUE"""),1952.0)</f>
        <v>1952</v>
      </c>
      <c r="E7104">
        <f>IFERROR(__xludf.DUMMYFUNCTION("""COMPUTED_VALUE"""),7.23099E7)</f>
        <v>72309900</v>
      </c>
    </row>
    <row r="7105">
      <c r="A7105" t="str">
        <f t="shared" si="1"/>
        <v>idn#1953</v>
      </c>
      <c r="B7105" t="str">
        <f>IFERROR(__xludf.DUMMYFUNCTION("""COMPUTED_VALUE"""),"idn")</f>
        <v>idn</v>
      </c>
      <c r="C7105" t="str">
        <f>IFERROR(__xludf.DUMMYFUNCTION("""COMPUTED_VALUE"""),"Indonesia")</f>
        <v>Indonesia</v>
      </c>
      <c r="D7105">
        <f>IFERROR(__xludf.DUMMYFUNCTION("""COMPUTED_VALUE"""),1953.0)</f>
        <v>1953</v>
      </c>
      <c r="E7105">
        <f>IFERROR(__xludf.DUMMYFUNCTION("""COMPUTED_VALUE"""),7.3866521E7)</f>
        <v>73866521</v>
      </c>
    </row>
    <row r="7106">
      <c r="A7106" t="str">
        <f t="shared" si="1"/>
        <v>idn#1954</v>
      </c>
      <c r="B7106" t="str">
        <f>IFERROR(__xludf.DUMMYFUNCTION("""COMPUTED_VALUE"""),"idn")</f>
        <v>idn</v>
      </c>
      <c r="C7106" t="str">
        <f>IFERROR(__xludf.DUMMYFUNCTION("""COMPUTED_VALUE"""),"Indonesia")</f>
        <v>Indonesia</v>
      </c>
      <c r="D7106">
        <f>IFERROR(__xludf.DUMMYFUNCTION("""COMPUTED_VALUE"""),1954.0)</f>
        <v>1954</v>
      </c>
      <c r="E7106">
        <f>IFERROR(__xludf.DUMMYFUNCTION("""COMPUTED_VALUE"""),7.5539737E7)</f>
        <v>75539737</v>
      </c>
    </row>
    <row r="7107">
      <c r="A7107" t="str">
        <f t="shared" si="1"/>
        <v>idn#1955</v>
      </c>
      <c r="B7107" t="str">
        <f>IFERROR(__xludf.DUMMYFUNCTION("""COMPUTED_VALUE"""),"idn")</f>
        <v>idn</v>
      </c>
      <c r="C7107" t="str">
        <f>IFERROR(__xludf.DUMMYFUNCTION("""COMPUTED_VALUE"""),"Indonesia")</f>
        <v>Indonesia</v>
      </c>
      <c r="D7107">
        <f>IFERROR(__xludf.DUMMYFUNCTION("""COMPUTED_VALUE"""),1955.0)</f>
        <v>1955</v>
      </c>
      <c r="E7107">
        <f>IFERROR(__xludf.DUMMYFUNCTION("""COMPUTED_VALUE"""),7.7327794E7)</f>
        <v>77327794</v>
      </c>
    </row>
    <row r="7108">
      <c r="A7108" t="str">
        <f t="shared" si="1"/>
        <v>idn#1956</v>
      </c>
      <c r="B7108" t="str">
        <f>IFERROR(__xludf.DUMMYFUNCTION("""COMPUTED_VALUE"""),"idn")</f>
        <v>idn</v>
      </c>
      <c r="C7108" t="str">
        <f>IFERROR(__xludf.DUMMYFUNCTION("""COMPUTED_VALUE"""),"Indonesia")</f>
        <v>Indonesia</v>
      </c>
      <c r="D7108">
        <f>IFERROR(__xludf.DUMMYFUNCTION("""COMPUTED_VALUE"""),1956.0)</f>
        <v>1956</v>
      </c>
      <c r="E7108">
        <f>IFERROR(__xludf.DUMMYFUNCTION("""COMPUTED_VALUE"""),7.9226787E7)</f>
        <v>79226787</v>
      </c>
    </row>
    <row r="7109">
      <c r="A7109" t="str">
        <f t="shared" si="1"/>
        <v>idn#1957</v>
      </c>
      <c r="B7109" t="str">
        <f>IFERROR(__xludf.DUMMYFUNCTION("""COMPUTED_VALUE"""),"idn")</f>
        <v>idn</v>
      </c>
      <c r="C7109" t="str">
        <f>IFERROR(__xludf.DUMMYFUNCTION("""COMPUTED_VALUE"""),"Indonesia")</f>
        <v>Indonesia</v>
      </c>
      <c r="D7109">
        <f>IFERROR(__xludf.DUMMYFUNCTION("""COMPUTED_VALUE"""),1957.0)</f>
        <v>1957</v>
      </c>
      <c r="E7109">
        <f>IFERROR(__xludf.DUMMYFUNCTION("""COMPUTED_VALUE"""),8.1230747E7)</f>
        <v>81230747</v>
      </c>
    </row>
    <row r="7110">
      <c r="A7110" t="str">
        <f t="shared" si="1"/>
        <v>idn#1958</v>
      </c>
      <c r="B7110" t="str">
        <f>IFERROR(__xludf.DUMMYFUNCTION("""COMPUTED_VALUE"""),"idn")</f>
        <v>idn</v>
      </c>
      <c r="C7110" t="str">
        <f>IFERROR(__xludf.DUMMYFUNCTION("""COMPUTED_VALUE"""),"Indonesia")</f>
        <v>Indonesia</v>
      </c>
      <c r="D7110">
        <f>IFERROR(__xludf.DUMMYFUNCTION("""COMPUTED_VALUE"""),1958.0)</f>
        <v>1958</v>
      </c>
      <c r="E7110">
        <f>IFERROR(__xludf.DUMMYFUNCTION("""COMPUTED_VALUE"""),8.333205E7)</f>
        <v>83332050</v>
      </c>
    </row>
    <row r="7111">
      <c r="A7111" t="str">
        <f t="shared" si="1"/>
        <v>idn#1959</v>
      </c>
      <c r="B7111" t="str">
        <f>IFERROR(__xludf.DUMMYFUNCTION("""COMPUTED_VALUE"""),"idn")</f>
        <v>idn</v>
      </c>
      <c r="C7111" t="str">
        <f>IFERROR(__xludf.DUMMYFUNCTION("""COMPUTED_VALUE"""),"Indonesia")</f>
        <v>Indonesia</v>
      </c>
      <c r="D7111">
        <f>IFERROR(__xludf.DUMMYFUNCTION("""COMPUTED_VALUE"""),1959.0)</f>
        <v>1959</v>
      </c>
      <c r="E7111">
        <f>IFERROR(__xludf.DUMMYFUNCTION("""COMPUTED_VALUE"""),8.5521979E7)</f>
        <v>85521979</v>
      </c>
    </row>
    <row r="7112">
      <c r="A7112" t="str">
        <f t="shared" si="1"/>
        <v>idn#1960</v>
      </c>
      <c r="B7112" t="str">
        <f>IFERROR(__xludf.DUMMYFUNCTION("""COMPUTED_VALUE"""),"idn")</f>
        <v>idn</v>
      </c>
      <c r="C7112" t="str">
        <f>IFERROR(__xludf.DUMMYFUNCTION("""COMPUTED_VALUE"""),"Indonesia")</f>
        <v>Indonesia</v>
      </c>
      <c r="D7112">
        <f>IFERROR(__xludf.DUMMYFUNCTION("""COMPUTED_VALUE"""),1960.0)</f>
        <v>1960</v>
      </c>
      <c r="E7112">
        <f>IFERROR(__xludf.DUMMYFUNCTION("""COMPUTED_VALUE"""),8.7792515E7)</f>
        <v>87792515</v>
      </c>
    </row>
    <row r="7113">
      <c r="A7113" t="str">
        <f t="shared" si="1"/>
        <v>idn#1961</v>
      </c>
      <c r="B7113" t="str">
        <f>IFERROR(__xludf.DUMMYFUNCTION("""COMPUTED_VALUE"""),"idn")</f>
        <v>idn</v>
      </c>
      <c r="C7113" t="str">
        <f>IFERROR(__xludf.DUMMYFUNCTION("""COMPUTED_VALUE"""),"Indonesia")</f>
        <v>Indonesia</v>
      </c>
      <c r="D7113">
        <f>IFERROR(__xludf.DUMMYFUNCTION("""COMPUTED_VALUE"""),1961.0)</f>
        <v>1961</v>
      </c>
      <c r="E7113">
        <f>IFERROR(__xludf.DUMMYFUNCTION("""COMPUTED_VALUE"""),9.0138235E7)</f>
        <v>90138235</v>
      </c>
    </row>
    <row r="7114">
      <c r="A7114" t="str">
        <f t="shared" si="1"/>
        <v>idn#1962</v>
      </c>
      <c r="B7114" t="str">
        <f>IFERROR(__xludf.DUMMYFUNCTION("""COMPUTED_VALUE"""),"idn")</f>
        <v>idn</v>
      </c>
      <c r="C7114" t="str">
        <f>IFERROR(__xludf.DUMMYFUNCTION("""COMPUTED_VALUE"""),"Indonesia")</f>
        <v>Indonesia</v>
      </c>
      <c r="D7114">
        <f>IFERROR(__xludf.DUMMYFUNCTION("""COMPUTED_VALUE"""),1962.0)</f>
        <v>1962</v>
      </c>
      <c r="E7114">
        <f>IFERROR(__xludf.DUMMYFUNCTION("""COMPUTED_VALUE"""),9.2558005E7)</f>
        <v>92558005</v>
      </c>
    </row>
    <row r="7115">
      <c r="A7115" t="str">
        <f t="shared" si="1"/>
        <v>idn#1963</v>
      </c>
      <c r="B7115" t="str">
        <f>IFERROR(__xludf.DUMMYFUNCTION("""COMPUTED_VALUE"""),"idn")</f>
        <v>idn</v>
      </c>
      <c r="C7115" t="str">
        <f>IFERROR(__xludf.DUMMYFUNCTION("""COMPUTED_VALUE"""),"Indonesia")</f>
        <v>Indonesia</v>
      </c>
      <c r="D7115">
        <f>IFERROR(__xludf.DUMMYFUNCTION("""COMPUTED_VALUE"""),1963.0)</f>
        <v>1963</v>
      </c>
      <c r="E7115">
        <f>IFERROR(__xludf.DUMMYFUNCTION("""COMPUTED_VALUE"""),9.5055665E7)</f>
        <v>95055665</v>
      </c>
    </row>
    <row r="7116">
      <c r="A7116" t="str">
        <f t="shared" si="1"/>
        <v>idn#1964</v>
      </c>
      <c r="B7116" t="str">
        <f>IFERROR(__xludf.DUMMYFUNCTION("""COMPUTED_VALUE"""),"idn")</f>
        <v>idn</v>
      </c>
      <c r="C7116" t="str">
        <f>IFERROR(__xludf.DUMMYFUNCTION("""COMPUTED_VALUE"""),"Indonesia")</f>
        <v>Indonesia</v>
      </c>
      <c r="D7116">
        <f>IFERROR(__xludf.DUMMYFUNCTION("""COMPUTED_VALUE"""),1964.0)</f>
        <v>1964</v>
      </c>
      <c r="E7116">
        <f>IFERROR(__xludf.DUMMYFUNCTION("""COMPUTED_VALUE"""),9.7638029E7)</f>
        <v>97638029</v>
      </c>
    </row>
    <row r="7117">
      <c r="A7117" t="str">
        <f t="shared" si="1"/>
        <v>idn#1965</v>
      </c>
      <c r="B7117" t="str">
        <f>IFERROR(__xludf.DUMMYFUNCTION("""COMPUTED_VALUE"""),"idn")</f>
        <v>idn</v>
      </c>
      <c r="C7117" t="str">
        <f>IFERROR(__xludf.DUMMYFUNCTION("""COMPUTED_VALUE"""),"Indonesia")</f>
        <v>Indonesia</v>
      </c>
      <c r="D7117">
        <f>IFERROR(__xludf.DUMMYFUNCTION("""COMPUTED_VALUE"""),1965.0)</f>
        <v>1965</v>
      </c>
      <c r="E7117">
        <f>IFERROR(__xludf.DUMMYFUNCTION("""COMPUTED_VALUE"""),1.00308894E8)</f>
        <v>100308894</v>
      </c>
    </row>
    <row r="7118">
      <c r="A7118" t="str">
        <f t="shared" si="1"/>
        <v>idn#1966</v>
      </c>
      <c r="B7118" t="str">
        <f>IFERROR(__xludf.DUMMYFUNCTION("""COMPUTED_VALUE"""),"idn")</f>
        <v>idn</v>
      </c>
      <c r="C7118" t="str">
        <f>IFERROR(__xludf.DUMMYFUNCTION("""COMPUTED_VALUE"""),"Indonesia")</f>
        <v>Indonesia</v>
      </c>
      <c r="D7118">
        <f>IFERROR(__xludf.DUMMYFUNCTION("""COMPUTED_VALUE"""),1966.0)</f>
        <v>1966</v>
      </c>
      <c r="E7118">
        <f>IFERROR(__xludf.DUMMYFUNCTION("""COMPUTED_VALUE"""),1.03067354E8)</f>
        <v>103067354</v>
      </c>
    </row>
    <row r="7119">
      <c r="A7119" t="str">
        <f t="shared" si="1"/>
        <v>idn#1967</v>
      </c>
      <c r="B7119" t="str">
        <f>IFERROR(__xludf.DUMMYFUNCTION("""COMPUTED_VALUE"""),"idn")</f>
        <v>idn</v>
      </c>
      <c r="C7119" t="str">
        <f>IFERROR(__xludf.DUMMYFUNCTION("""COMPUTED_VALUE"""),"Indonesia")</f>
        <v>Indonesia</v>
      </c>
      <c r="D7119">
        <f>IFERROR(__xludf.DUMMYFUNCTION("""COMPUTED_VALUE"""),1967.0)</f>
        <v>1967</v>
      </c>
      <c r="E7119">
        <f>IFERROR(__xludf.DUMMYFUNCTION("""COMPUTED_VALUE"""),1.05907403E8)</f>
        <v>105907403</v>
      </c>
    </row>
    <row r="7120">
      <c r="A7120" t="str">
        <f t="shared" si="1"/>
        <v>idn#1968</v>
      </c>
      <c r="B7120" t="str">
        <f>IFERROR(__xludf.DUMMYFUNCTION("""COMPUTED_VALUE"""),"idn")</f>
        <v>idn</v>
      </c>
      <c r="C7120" t="str">
        <f>IFERROR(__xludf.DUMMYFUNCTION("""COMPUTED_VALUE"""),"Indonesia")</f>
        <v>Indonesia</v>
      </c>
      <c r="D7120">
        <f>IFERROR(__xludf.DUMMYFUNCTION("""COMPUTED_VALUE"""),1968.0)</f>
        <v>1968</v>
      </c>
      <c r="E7120">
        <f>IFERROR(__xludf.DUMMYFUNCTION("""COMPUTED_VALUE"""),1.08821564E8)</f>
        <v>108821564</v>
      </c>
    </row>
    <row r="7121">
      <c r="A7121" t="str">
        <f t="shared" si="1"/>
        <v>idn#1969</v>
      </c>
      <c r="B7121" t="str">
        <f>IFERROR(__xludf.DUMMYFUNCTION("""COMPUTED_VALUE"""),"idn")</f>
        <v>idn</v>
      </c>
      <c r="C7121" t="str">
        <f>IFERROR(__xludf.DUMMYFUNCTION("""COMPUTED_VALUE"""),"Indonesia")</f>
        <v>Indonesia</v>
      </c>
      <c r="D7121">
        <f>IFERROR(__xludf.DUMMYFUNCTION("""COMPUTED_VALUE"""),1969.0)</f>
        <v>1969</v>
      </c>
      <c r="E7121">
        <f>IFERROR(__xludf.DUMMYFUNCTION("""COMPUTED_VALUE"""),1.11800091E8)</f>
        <v>111800091</v>
      </c>
    </row>
    <row r="7122">
      <c r="A7122" t="str">
        <f t="shared" si="1"/>
        <v>idn#1970</v>
      </c>
      <c r="B7122" t="str">
        <f>IFERROR(__xludf.DUMMYFUNCTION("""COMPUTED_VALUE"""),"idn")</f>
        <v>idn</v>
      </c>
      <c r="C7122" t="str">
        <f>IFERROR(__xludf.DUMMYFUNCTION("""COMPUTED_VALUE"""),"Indonesia")</f>
        <v>Indonesia</v>
      </c>
      <c r="D7122">
        <f>IFERROR(__xludf.DUMMYFUNCTION("""COMPUTED_VALUE"""),1970.0)</f>
        <v>1970</v>
      </c>
      <c r="E7122">
        <f>IFERROR(__xludf.DUMMYFUNCTION("""COMPUTED_VALUE"""),1.1483478E8)</f>
        <v>114834780</v>
      </c>
    </row>
    <row r="7123">
      <c r="A7123" t="str">
        <f t="shared" si="1"/>
        <v>idn#1971</v>
      </c>
      <c r="B7123" t="str">
        <f>IFERROR(__xludf.DUMMYFUNCTION("""COMPUTED_VALUE"""),"idn")</f>
        <v>idn</v>
      </c>
      <c r="C7123" t="str">
        <f>IFERROR(__xludf.DUMMYFUNCTION("""COMPUTED_VALUE"""),"Indonesia")</f>
        <v>Indonesia</v>
      </c>
      <c r="D7123">
        <f>IFERROR(__xludf.DUMMYFUNCTION("""COMPUTED_VALUE"""),1971.0)</f>
        <v>1971</v>
      </c>
      <c r="E7123">
        <f>IFERROR(__xludf.DUMMYFUNCTION("""COMPUTED_VALUE"""),1.17921998E8)</f>
        <v>117921998</v>
      </c>
    </row>
    <row r="7124">
      <c r="A7124" t="str">
        <f t="shared" si="1"/>
        <v>idn#1972</v>
      </c>
      <c r="B7124" t="str">
        <f>IFERROR(__xludf.DUMMYFUNCTION("""COMPUTED_VALUE"""),"idn")</f>
        <v>idn</v>
      </c>
      <c r="C7124" t="str">
        <f>IFERROR(__xludf.DUMMYFUNCTION("""COMPUTED_VALUE"""),"Indonesia")</f>
        <v>Indonesia</v>
      </c>
      <c r="D7124">
        <f>IFERROR(__xludf.DUMMYFUNCTION("""COMPUTED_VALUE"""),1972.0)</f>
        <v>1972</v>
      </c>
      <c r="E7124">
        <f>IFERROR(__xludf.DUMMYFUNCTION("""COMPUTED_VALUE"""),1.21059513E8)</f>
        <v>121059513</v>
      </c>
    </row>
    <row r="7125">
      <c r="A7125" t="str">
        <f t="shared" si="1"/>
        <v>idn#1973</v>
      </c>
      <c r="B7125" t="str">
        <f>IFERROR(__xludf.DUMMYFUNCTION("""COMPUTED_VALUE"""),"idn")</f>
        <v>idn</v>
      </c>
      <c r="C7125" t="str">
        <f>IFERROR(__xludf.DUMMYFUNCTION("""COMPUTED_VALUE"""),"Indonesia")</f>
        <v>Indonesia</v>
      </c>
      <c r="D7125">
        <f>IFERROR(__xludf.DUMMYFUNCTION("""COMPUTED_VALUE"""),1973.0)</f>
        <v>1973</v>
      </c>
      <c r="E7125">
        <f>IFERROR(__xludf.DUMMYFUNCTION("""COMPUTED_VALUE"""),1.24242298E8)</f>
        <v>124242298</v>
      </c>
    </row>
    <row r="7126">
      <c r="A7126" t="str">
        <f t="shared" si="1"/>
        <v>idn#1974</v>
      </c>
      <c r="B7126" t="str">
        <f>IFERROR(__xludf.DUMMYFUNCTION("""COMPUTED_VALUE"""),"idn")</f>
        <v>idn</v>
      </c>
      <c r="C7126" t="str">
        <f>IFERROR(__xludf.DUMMYFUNCTION("""COMPUTED_VALUE"""),"Indonesia")</f>
        <v>Indonesia</v>
      </c>
      <c r="D7126">
        <f>IFERROR(__xludf.DUMMYFUNCTION("""COMPUTED_VALUE"""),1974.0)</f>
        <v>1974</v>
      </c>
      <c r="E7126">
        <f>IFERROR(__xludf.DUMMYFUNCTION("""COMPUTED_VALUE"""),1.27465231E8)</f>
        <v>127465231</v>
      </c>
    </row>
    <row r="7127">
      <c r="A7127" t="str">
        <f t="shared" si="1"/>
        <v>idn#1975</v>
      </c>
      <c r="B7127" t="str">
        <f>IFERROR(__xludf.DUMMYFUNCTION("""COMPUTED_VALUE"""),"idn")</f>
        <v>idn</v>
      </c>
      <c r="C7127" t="str">
        <f>IFERROR(__xludf.DUMMYFUNCTION("""COMPUTED_VALUE"""),"Indonesia")</f>
        <v>Indonesia</v>
      </c>
      <c r="D7127">
        <f>IFERROR(__xludf.DUMMYFUNCTION("""COMPUTED_VALUE"""),1975.0)</f>
        <v>1975</v>
      </c>
      <c r="E7127">
        <f>IFERROR(__xludf.DUMMYFUNCTION("""COMPUTED_VALUE"""),1.30724115E8)</f>
        <v>130724115</v>
      </c>
    </row>
    <row r="7128">
      <c r="A7128" t="str">
        <f t="shared" si="1"/>
        <v>idn#1976</v>
      </c>
      <c r="B7128" t="str">
        <f>IFERROR(__xludf.DUMMYFUNCTION("""COMPUTED_VALUE"""),"idn")</f>
        <v>idn</v>
      </c>
      <c r="C7128" t="str">
        <f>IFERROR(__xludf.DUMMYFUNCTION("""COMPUTED_VALUE"""),"Indonesia")</f>
        <v>Indonesia</v>
      </c>
      <c r="D7128">
        <f>IFERROR(__xludf.DUMMYFUNCTION("""COMPUTED_VALUE"""),1976.0)</f>
        <v>1976</v>
      </c>
      <c r="E7128">
        <f>IFERROR(__xludf.DUMMYFUNCTION("""COMPUTED_VALUE"""),1.3401069E8)</f>
        <v>134010690</v>
      </c>
    </row>
    <row r="7129">
      <c r="A7129" t="str">
        <f t="shared" si="1"/>
        <v>idn#1977</v>
      </c>
      <c r="B7129" t="str">
        <f>IFERROR(__xludf.DUMMYFUNCTION("""COMPUTED_VALUE"""),"idn")</f>
        <v>idn</v>
      </c>
      <c r="C7129" t="str">
        <f>IFERROR(__xludf.DUMMYFUNCTION("""COMPUTED_VALUE"""),"Indonesia")</f>
        <v>Indonesia</v>
      </c>
      <c r="D7129">
        <f>IFERROR(__xludf.DUMMYFUNCTION("""COMPUTED_VALUE"""),1977.0)</f>
        <v>1977</v>
      </c>
      <c r="E7129">
        <f>IFERROR(__xludf.DUMMYFUNCTION("""COMPUTED_VALUE"""),1.37322118E8)</f>
        <v>137322118</v>
      </c>
    </row>
    <row r="7130">
      <c r="A7130" t="str">
        <f t="shared" si="1"/>
        <v>idn#1978</v>
      </c>
      <c r="B7130" t="str">
        <f>IFERROR(__xludf.DUMMYFUNCTION("""COMPUTED_VALUE"""),"idn")</f>
        <v>idn</v>
      </c>
      <c r="C7130" t="str">
        <f>IFERROR(__xludf.DUMMYFUNCTION("""COMPUTED_VALUE"""),"Indonesia")</f>
        <v>Indonesia</v>
      </c>
      <c r="D7130">
        <f>IFERROR(__xludf.DUMMYFUNCTION("""COMPUTED_VALUE"""),1978.0)</f>
        <v>1978</v>
      </c>
      <c r="E7130">
        <f>IFERROR(__xludf.DUMMYFUNCTION("""COMPUTED_VALUE"""),1.40665856E8)</f>
        <v>140665856</v>
      </c>
    </row>
    <row r="7131">
      <c r="A7131" t="str">
        <f t="shared" si="1"/>
        <v>idn#1979</v>
      </c>
      <c r="B7131" t="str">
        <f>IFERROR(__xludf.DUMMYFUNCTION("""COMPUTED_VALUE"""),"idn")</f>
        <v>idn</v>
      </c>
      <c r="C7131" t="str">
        <f>IFERROR(__xludf.DUMMYFUNCTION("""COMPUTED_VALUE"""),"Indonesia")</f>
        <v>Indonesia</v>
      </c>
      <c r="D7131">
        <f>IFERROR(__xludf.DUMMYFUNCTION("""COMPUTED_VALUE"""),1979.0)</f>
        <v>1979</v>
      </c>
      <c r="E7131">
        <f>IFERROR(__xludf.DUMMYFUNCTION("""COMPUTED_VALUE"""),1.44053518E8)</f>
        <v>144053518</v>
      </c>
    </row>
    <row r="7132">
      <c r="A7132" t="str">
        <f t="shared" si="1"/>
        <v>idn#1980</v>
      </c>
      <c r="B7132" t="str">
        <f>IFERROR(__xludf.DUMMYFUNCTION("""COMPUTED_VALUE"""),"idn")</f>
        <v>idn</v>
      </c>
      <c r="C7132" t="str">
        <f>IFERROR(__xludf.DUMMYFUNCTION("""COMPUTED_VALUE"""),"Indonesia")</f>
        <v>Indonesia</v>
      </c>
      <c r="D7132">
        <f>IFERROR(__xludf.DUMMYFUNCTION("""COMPUTED_VALUE"""),1980.0)</f>
        <v>1980</v>
      </c>
      <c r="E7132">
        <f>IFERROR(__xludf.DUMMYFUNCTION("""COMPUTED_VALUE"""),1.47490365E8)</f>
        <v>147490365</v>
      </c>
    </row>
    <row r="7133">
      <c r="A7133" t="str">
        <f t="shared" si="1"/>
        <v>idn#1981</v>
      </c>
      <c r="B7133" t="str">
        <f>IFERROR(__xludf.DUMMYFUNCTION("""COMPUTED_VALUE"""),"idn")</f>
        <v>idn</v>
      </c>
      <c r="C7133" t="str">
        <f>IFERROR(__xludf.DUMMYFUNCTION("""COMPUTED_VALUE"""),"Indonesia")</f>
        <v>Indonesia</v>
      </c>
      <c r="D7133">
        <f>IFERROR(__xludf.DUMMYFUNCTION("""COMPUTED_VALUE"""),1981.0)</f>
        <v>1981</v>
      </c>
      <c r="E7133">
        <f>IFERROR(__xludf.DUMMYFUNCTION("""COMPUTED_VALUE"""),1.5097884E8)</f>
        <v>150978840</v>
      </c>
    </row>
    <row r="7134">
      <c r="A7134" t="str">
        <f t="shared" si="1"/>
        <v>idn#1982</v>
      </c>
      <c r="B7134" t="str">
        <f>IFERROR(__xludf.DUMMYFUNCTION("""COMPUTED_VALUE"""),"idn")</f>
        <v>idn</v>
      </c>
      <c r="C7134" t="str">
        <f>IFERROR(__xludf.DUMMYFUNCTION("""COMPUTED_VALUE"""),"Indonesia")</f>
        <v>Indonesia</v>
      </c>
      <c r="D7134">
        <f>IFERROR(__xludf.DUMMYFUNCTION("""COMPUTED_VALUE"""),1982.0)</f>
        <v>1982</v>
      </c>
      <c r="E7134">
        <f>IFERROR(__xludf.DUMMYFUNCTION("""COMPUTED_VALUE"""),1.54506265E8)</f>
        <v>154506265</v>
      </c>
    </row>
    <row r="7135">
      <c r="A7135" t="str">
        <f t="shared" si="1"/>
        <v>idn#1983</v>
      </c>
      <c r="B7135" t="str">
        <f>IFERROR(__xludf.DUMMYFUNCTION("""COMPUTED_VALUE"""),"idn")</f>
        <v>idn</v>
      </c>
      <c r="C7135" t="str">
        <f>IFERROR(__xludf.DUMMYFUNCTION("""COMPUTED_VALUE"""),"Indonesia")</f>
        <v>Indonesia</v>
      </c>
      <c r="D7135">
        <f>IFERROR(__xludf.DUMMYFUNCTION("""COMPUTED_VALUE"""),1983.0)</f>
        <v>1983</v>
      </c>
      <c r="E7135">
        <f>IFERROR(__xludf.DUMMYFUNCTION("""COMPUTED_VALUE"""),1.58044343E8)</f>
        <v>158044343</v>
      </c>
    </row>
    <row r="7136">
      <c r="A7136" t="str">
        <f t="shared" si="1"/>
        <v>idn#1984</v>
      </c>
      <c r="B7136" t="str">
        <f>IFERROR(__xludf.DUMMYFUNCTION("""COMPUTED_VALUE"""),"idn")</f>
        <v>idn</v>
      </c>
      <c r="C7136" t="str">
        <f>IFERROR(__xludf.DUMMYFUNCTION("""COMPUTED_VALUE"""),"Indonesia")</f>
        <v>Indonesia</v>
      </c>
      <c r="D7136">
        <f>IFERROR(__xludf.DUMMYFUNCTION("""COMPUTED_VALUE"""),1984.0)</f>
        <v>1984</v>
      </c>
      <c r="E7136">
        <f>IFERROR(__xludf.DUMMYFUNCTION("""COMPUTED_VALUE"""),1.61555583E8)</f>
        <v>161555583</v>
      </c>
    </row>
    <row r="7137">
      <c r="A7137" t="str">
        <f t="shared" si="1"/>
        <v>idn#1985</v>
      </c>
      <c r="B7137" t="str">
        <f>IFERROR(__xludf.DUMMYFUNCTION("""COMPUTED_VALUE"""),"idn")</f>
        <v>idn</v>
      </c>
      <c r="C7137" t="str">
        <f>IFERROR(__xludf.DUMMYFUNCTION("""COMPUTED_VALUE"""),"Indonesia")</f>
        <v>Indonesia</v>
      </c>
      <c r="D7137">
        <f>IFERROR(__xludf.DUMMYFUNCTION("""COMPUTED_VALUE"""),1985.0)</f>
        <v>1985</v>
      </c>
      <c r="E7137">
        <f>IFERROR(__xludf.DUMMYFUNCTION("""COMPUTED_VALUE"""),1.65012196E8)</f>
        <v>165012196</v>
      </c>
    </row>
    <row r="7138">
      <c r="A7138" t="str">
        <f t="shared" si="1"/>
        <v>idn#1986</v>
      </c>
      <c r="B7138" t="str">
        <f>IFERROR(__xludf.DUMMYFUNCTION("""COMPUTED_VALUE"""),"idn")</f>
        <v>idn</v>
      </c>
      <c r="C7138" t="str">
        <f>IFERROR(__xludf.DUMMYFUNCTION("""COMPUTED_VALUE"""),"Indonesia")</f>
        <v>Indonesia</v>
      </c>
      <c r="D7138">
        <f>IFERROR(__xludf.DUMMYFUNCTION("""COMPUTED_VALUE"""),1986.0)</f>
        <v>1986</v>
      </c>
      <c r="E7138">
        <f>IFERROR(__xludf.DUMMYFUNCTION("""COMPUTED_VALUE"""),1.68402025E8)</f>
        <v>168402025</v>
      </c>
    </row>
    <row r="7139">
      <c r="A7139" t="str">
        <f t="shared" si="1"/>
        <v>idn#1987</v>
      </c>
      <c r="B7139" t="str">
        <f>IFERROR(__xludf.DUMMYFUNCTION("""COMPUTED_VALUE"""),"idn")</f>
        <v>idn</v>
      </c>
      <c r="C7139" t="str">
        <f>IFERROR(__xludf.DUMMYFUNCTION("""COMPUTED_VALUE"""),"Indonesia")</f>
        <v>Indonesia</v>
      </c>
      <c r="D7139">
        <f>IFERROR(__xludf.DUMMYFUNCTION("""COMPUTED_VALUE"""),1987.0)</f>
        <v>1987</v>
      </c>
      <c r="E7139">
        <f>IFERROR(__xludf.DUMMYFUNCTION("""COMPUTED_VALUE"""),1.71728917E8)</f>
        <v>171728917</v>
      </c>
    </row>
    <row r="7140">
      <c r="A7140" t="str">
        <f t="shared" si="1"/>
        <v>idn#1988</v>
      </c>
      <c r="B7140" t="str">
        <f>IFERROR(__xludf.DUMMYFUNCTION("""COMPUTED_VALUE"""),"idn")</f>
        <v>idn</v>
      </c>
      <c r="C7140" t="str">
        <f>IFERROR(__xludf.DUMMYFUNCTION("""COMPUTED_VALUE"""),"Indonesia")</f>
        <v>Indonesia</v>
      </c>
      <c r="D7140">
        <f>IFERROR(__xludf.DUMMYFUNCTION("""COMPUTED_VALUE"""),1988.0)</f>
        <v>1988</v>
      </c>
      <c r="E7140">
        <f>IFERROR(__xludf.DUMMYFUNCTION("""COMPUTED_VALUE"""),1.75000916E8)</f>
        <v>175000916</v>
      </c>
    </row>
    <row r="7141">
      <c r="A7141" t="str">
        <f t="shared" si="1"/>
        <v>idn#1989</v>
      </c>
      <c r="B7141" t="str">
        <f>IFERROR(__xludf.DUMMYFUNCTION("""COMPUTED_VALUE"""),"idn")</f>
        <v>idn</v>
      </c>
      <c r="C7141" t="str">
        <f>IFERROR(__xludf.DUMMYFUNCTION("""COMPUTED_VALUE"""),"Indonesia")</f>
        <v>Indonesia</v>
      </c>
      <c r="D7141">
        <f>IFERROR(__xludf.DUMMYFUNCTION("""COMPUTED_VALUE"""),1989.0)</f>
        <v>1989</v>
      </c>
      <c r="E7141">
        <f>IFERROR(__xludf.DUMMYFUNCTION("""COMPUTED_VALUE"""),1.78233223E8)</f>
        <v>178233223</v>
      </c>
    </row>
    <row r="7142">
      <c r="A7142" t="str">
        <f t="shared" si="1"/>
        <v>idn#1990</v>
      </c>
      <c r="B7142" t="str">
        <f>IFERROR(__xludf.DUMMYFUNCTION("""COMPUTED_VALUE"""),"idn")</f>
        <v>idn</v>
      </c>
      <c r="C7142" t="str">
        <f>IFERROR(__xludf.DUMMYFUNCTION("""COMPUTED_VALUE"""),"Indonesia")</f>
        <v>Indonesia</v>
      </c>
      <c r="D7142">
        <f>IFERROR(__xludf.DUMMYFUNCTION("""COMPUTED_VALUE"""),1990.0)</f>
        <v>1990</v>
      </c>
      <c r="E7142">
        <f>IFERROR(__xludf.DUMMYFUNCTION("""COMPUTED_VALUE"""),1.81436821E8)</f>
        <v>181436821</v>
      </c>
    </row>
    <row r="7143">
      <c r="A7143" t="str">
        <f t="shared" si="1"/>
        <v>idn#1991</v>
      </c>
      <c r="B7143" t="str">
        <f>IFERROR(__xludf.DUMMYFUNCTION("""COMPUTED_VALUE"""),"idn")</f>
        <v>idn</v>
      </c>
      <c r="C7143" t="str">
        <f>IFERROR(__xludf.DUMMYFUNCTION("""COMPUTED_VALUE"""),"Indonesia")</f>
        <v>Indonesia</v>
      </c>
      <c r="D7143">
        <f>IFERROR(__xludf.DUMMYFUNCTION("""COMPUTED_VALUE"""),1991.0)</f>
        <v>1991</v>
      </c>
      <c r="E7143">
        <f>IFERROR(__xludf.DUMMYFUNCTION("""COMPUTED_VALUE"""),1.84615979E8)</f>
        <v>184615979</v>
      </c>
    </row>
    <row r="7144">
      <c r="A7144" t="str">
        <f t="shared" si="1"/>
        <v>idn#1992</v>
      </c>
      <c r="B7144" t="str">
        <f>IFERROR(__xludf.DUMMYFUNCTION("""COMPUTED_VALUE"""),"idn")</f>
        <v>idn</v>
      </c>
      <c r="C7144" t="str">
        <f>IFERROR(__xludf.DUMMYFUNCTION("""COMPUTED_VALUE"""),"Indonesia")</f>
        <v>Indonesia</v>
      </c>
      <c r="D7144">
        <f>IFERROR(__xludf.DUMMYFUNCTION("""COMPUTED_VALUE"""),1992.0)</f>
        <v>1992</v>
      </c>
      <c r="E7144">
        <f>IFERROR(__xludf.DUMMYFUNCTION("""COMPUTED_VALUE"""),1.87766086E8)</f>
        <v>187766086</v>
      </c>
    </row>
    <row r="7145">
      <c r="A7145" t="str">
        <f t="shared" si="1"/>
        <v>idn#1993</v>
      </c>
      <c r="B7145" t="str">
        <f>IFERROR(__xludf.DUMMYFUNCTION("""COMPUTED_VALUE"""),"idn")</f>
        <v>idn</v>
      </c>
      <c r="C7145" t="str">
        <f>IFERROR(__xludf.DUMMYFUNCTION("""COMPUTED_VALUE"""),"Indonesia")</f>
        <v>Indonesia</v>
      </c>
      <c r="D7145">
        <f>IFERROR(__xludf.DUMMYFUNCTION("""COMPUTED_VALUE"""),1993.0)</f>
        <v>1993</v>
      </c>
      <c r="E7145">
        <f>IFERROR(__xludf.DUMMYFUNCTION("""COMPUTED_VALUE"""),1.90879523E8)</f>
        <v>190879523</v>
      </c>
    </row>
    <row r="7146">
      <c r="A7146" t="str">
        <f t="shared" si="1"/>
        <v>idn#1994</v>
      </c>
      <c r="B7146" t="str">
        <f>IFERROR(__xludf.DUMMYFUNCTION("""COMPUTED_VALUE"""),"idn")</f>
        <v>idn</v>
      </c>
      <c r="C7146" t="str">
        <f>IFERROR(__xludf.DUMMYFUNCTION("""COMPUTED_VALUE"""),"Indonesia")</f>
        <v>Indonesia</v>
      </c>
      <c r="D7146">
        <f>IFERROR(__xludf.DUMMYFUNCTION("""COMPUTED_VALUE"""),1994.0)</f>
        <v>1994</v>
      </c>
      <c r="E7146">
        <f>IFERROR(__xludf.DUMMYFUNCTION("""COMPUTED_VALUE"""),1.93945272E8)</f>
        <v>193945272</v>
      </c>
    </row>
    <row r="7147">
      <c r="A7147" t="str">
        <f t="shared" si="1"/>
        <v>idn#1995</v>
      </c>
      <c r="B7147" t="str">
        <f>IFERROR(__xludf.DUMMYFUNCTION("""COMPUTED_VALUE"""),"idn")</f>
        <v>idn</v>
      </c>
      <c r="C7147" t="str">
        <f>IFERROR(__xludf.DUMMYFUNCTION("""COMPUTED_VALUE"""),"Indonesia")</f>
        <v>Indonesia</v>
      </c>
      <c r="D7147">
        <f>IFERROR(__xludf.DUMMYFUNCTION("""COMPUTED_VALUE"""),1995.0)</f>
        <v>1995</v>
      </c>
      <c r="E7147">
        <f>IFERROR(__xludf.DUMMYFUNCTION("""COMPUTED_VALUE"""),1.96957849E8)</f>
        <v>196957849</v>
      </c>
    </row>
    <row r="7148">
      <c r="A7148" t="str">
        <f t="shared" si="1"/>
        <v>idn#1996</v>
      </c>
      <c r="B7148" t="str">
        <f>IFERROR(__xludf.DUMMYFUNCTION("""COMPUTED_VALUE"""),"idn")</f>
        <v>idn</v>
      </c>
      <c r="C7148" t="str">
        <f>IFERROR(__xludf.DUMMYFUNCTION("""COMPUTED_VALUE"""),"Indonesia")</f>
        <v>Indonesia</v>
      </c>
      <c r="D7148">
        <f>IFERROR(__xludf.DUMMYFUNCTION("""COMPUTED_VALUE"""),1996.0)</f>
        <v>1996</v>
      </c>
      <c r="E7148">
        <f>IFERROR(__xludf.DUMMYFUNCTION("""COMPUTED_VALUE"""),1.99914831E8)</f>
        <v>199914831</v>
      </c>
    </row>
    <row r="7149">
      <c r="A7149" t="str">
        <f t="shared" si="1"/>
        <v>idn#1997</v>
      </c>
      <c r="B7149" t="str">
        <f>IFERROR(__xludf.DUMMYFUNCTION("""COMPUTED_VALUE"""),"idn")</f>
        <v>idn</v>
      </c>
      <c r="C7149" t="str">
        <f>IFERROR(__xludf.DUMMYFUNCTION("""COMPUTED_VALUE"""),"Indonesia")</f>
        <v>Indonesia</v>
      </c>
      <c r="D7149">
        <f>IFERROR(__xludf.DUMMYFUNCTION("""COMPUTED_VALUE"""),1997.0)</f>
        <v>1997</v>
      </c>
      <c r="E7149">
        <f>IFERROR(__xludf.DUMMYFUNCTION("""COMPUTED_VALUE"""),2.02826465E8)</f>
        <v>202826465</v>
      </c>
    </row>
    <row r="7150">
      <c r="A7150" t="str">
        <f t="shared" si="1"/>
        <v>idn#1998</v>
      </c>
      <c r="B7150" t="str">
        <f>IFERROR(__xludf.DUMMYFUNCTION("""COMPUTED_VALUE"""),"idn")</f>
        <v>idn</v>
      </c>
      <c r="C7150" t="str">
        <f>IFERROR(__xludf.DUMMYFUNCTION("""COMPUTED_VALUE"""),"Indonesia")</f>
        <v>Indonesia</v>
      </c>
      <c r="D7150">
        <f>IFERROR(__xludf.DUMMYFUNCTION("""COMPUTED_VALUE"""),1998.0)</f>
        <v>1998</v>
      </c>
      <c r="E7150">
        <f>IFERROR(__xludf.DUMMYFUNCTION("""COMPUTED_VALUE"""),2.05715544E8)</f>
        <v>205715544</v>
      </c>
    </row>
    <row r="7151">
      <c r="A7151" t="str">
        <f t="shared" si="1"/>
        <v>idn#1999</v>
      </c>
      <c r="B7151" t="str">
        <f>IFERROR(__xludf.DUMMYFUNCTION("""COMPUTED_VALUE"""),"idn")</f>
        <v>idn</v>
      </c>
      <c r="C7151" t="str">
        <f>IFERROR(__xludf.DUMMYFUNCTION("""COMPUTED_VALUE"""),"Indonesia")</f>
        <v>Indonesia</v>
      </c>
      <c r="D7151">
        <f>IFERROR(__xludf.DUMMYFUNCTION("""COMPUTED_VALUE"""),1999.0)</f>
        <v>1999</v>
      </c>
      <c r="E7151">
        <f>IFERROR(__xludf.DUMMYFUNCTION("""COMPUTED_VALUE"""),2.08612556E8)</f>
        <v>208612556</v>
      </c>
    </row>
    <row r="7152">
      <c r="A7152" t="str">
        <f t="shared" si="1"/>
        <v>idn#2000</v>
      </c>
      <c r="B7152" t="str">
        <f>IFERROR(__xludf.DUMMYFUNCTION("""COMPUTED_VALUE"""),"idn")</f>
        <v>idn</v>
      </c>
      <c r="C7152" t="str">
        <f>IFERROR(__xludf.DUMMYFUNCTION("""COMPUTED_VALUE"""),"Indonesia")</f>
        <v>Indonesia</v>
      </c>
      <c r="D7152">
        <f>IFERROR(__xludf.DUMMYFUNCTION("""COMPUTED_VALUE"""),2000.0)</f>
        <v>2000</v>
      </c>
      <c r="E7152">
        <f>IFERROR(__xludf.DUMMYFUNCTION("""COMPUTED_VALUE"""),2.11540429E8)</f>
        <v>211540429</v>
      </c>
    </row>
    <row r="7153">
      <c r="A7153" t="str">
        <f t="shared" si="1"/>
        <v>idn#2001</v>
      </c>
      <c r="B7153" t="str">
        <f>IFERROR(__xludf.DUMMYFUNCTION("""COMPUTED_VALUE"""),"idn")</f>
        <v>idn</v>
      </c>
      <c r="C7153" t="str">
        <f>IFERROR(__xludf.DUMMYFUNCTION("""COMPUTED_VALUE"""),"Indonesia")</f>
        <v>Indonesia</v>
      </c>
      <c r="D7153">
        <f>IFERROR(__xludf.DUMMYFUNCTION("""COMPUTED_VALUE"""),2001.0)</f>
        <v>2001</v>
      </c>
      <c r="E7153">
        <f>IFERROR(__xludf.DUMMYFUNCTION("""COMPUTED_VALUE"""),2.14506502E8)</f>
        <v>214506502</v>
      </c>
    </row>
    <row r="7154">
      <c r="A7154" t="str">
        <f t="shared" si="1"/>
        <v>idn#2002</v>
      </c>
      <c r="B7154" t="str">
        <f>IFERROR(__xludf.DUMMYFUNCTION("""COMPUTED_VALUE"""),"idn")</f>
        <v>idn</v>
      </c>
      <c r="C7154" t="str">
        <f>IFERROR(__xludf.DUMMYFUNCTION("""COMPUTED_VALUE"""),"Indonesia")</f>
        <v>Indonesia</v>
      </c>
      <c r="D7154">
        <f>IFERROR(__xludf.DUMMYFUNCTION("""COMPUTED_VALUE"""),2002.0)</f>
        <v>2002</v>
      </c>
      <c r="E7154">
        <f>IFERROR(__xludf.DUMMYFUNCTION("""COMPUTED_VALUE"""),2.17508059E8)</f>
        <v>217508059</v>
      </c>
    </row>
    <row r="7155">
      <c r="A7155" t="str">
        <f t="shared" si="1"/>
        <v>idn#2003</v>
      </c>
      <c r="B7155" t="str">
        <f>IFERROR(__xludf.DUMMYFUNCTION("""COMPUTED_VALUE"""),"idn")</f>
        <v>idn</v>
      </c>
      <c r="C7155" t="str">
        <f>IFERROR(__xludf.DUMMYFUNCTION("""COMPUTED_VALUE"""),"Indonesia")</f>
        <v>Indonesia</v>
      </c>
      <c r="D7155">
        <f>IFERROR(__xludf.DUMMYFUNCTION("""COMPUTED_VALUE"""),2003.0)</f>
        <v>2003</v>
      </c>
      <c r="E7155">
        <f>IFERROR(__xludf.DUMMYFUNCTION("""COMPUTED_VALUE"""),2.20545214E8)</f>
        <v>220545214</v>
      </c>
    </row>
    <row r="7156">
      <c r="A7156" t="str">
        <f t="shared" si="1"/>
        <v>idn#2004</v>
      </c>
      <c r="B7156" t="str">
        <f>IFERROR(__xludf.DUMMYFUNCTION("""COMPUTED_VALUE"""),"idn")</f>
        <v>idn</v>
      </c>
      <c r="C7156" t="str">
        <f>IFERROR(__xludf.DUMMYFUNCTION("""COMPUTED_VALUE"""),"Indonesia")</f>
        <v>Indonesia</v>
      </c>
      <c r="D7156">
        <f>IFERROR(__xludf.DUMMYFUNCTION("""COMPUTED_VALUE"""),2004.0)</f>
        <v>2004</v>
      </c>
      <c r="E7156">
        <f>IFERROR(__xludf.DUMMYFUNCTION("""COMPUTED_VALUE"""),2.23614649E8)</f>
        <v>223614649</v>
      </c>
    </row>
    <row r="7157">
      <c r="A7157" t="str">
        <f t="shared" si="1"/>
        <v>idn#2005</v>
      </c>
      <c r="B7157" t="str">
        <f>IFERROR(__xludf.DUMMYFUNCTION("""COMPUTED_VALUE"""),"idn")</f>
        <v>idn</v>
      </c>
      <c r="C7157" t="str">
        <f>IFERROR(__xludf.DUMMYFUNCTION("""COMPUTED_VALUE"""),"Indonesia")</f>
        <v>Indonesia</v>
      </c>
      <c r="D7157">
        <f>IFERROR(__xludf.DUMMYFUNCTION("""COMPUTED_VALUE"""),2005.0)</f>
        <v>2005</v>
      </c>
      <c r="E7157">
        <f>IFERROR(__xludf.DUMMYFUNCTION("""COMPUTED_VALUE"""),2.2671273E8)</f>
        <v>226712730</v>
      </c>
    </row>
    <row r="7158">
      <c r="A7158" t="str">
        <f t="shared" si="1"/>
        <v>idn#2006</v>
      </c>
      <c r="B7158" t="str">
        <f>IFERROR(__xludf.DUMMYFUNCTION("""COMPUTED_VALUE"""),"idn")</f>
        <v>idn</v>
      </c>
      <c r="C7158" t="str">
        <f>IFERROR(__xludf.DUMMYFUNCTION("""COMPUTED_VALUE"""),"Indonesia")</f>
        <v>Indonesia</v>
      </c>
      <c r="D7158">
        <f>IFERROR(__xludf.DUMMYFUNCTION("""COMPUTED_VALUE"""),2006.0)</f>
        <v>2006</v>
      </c>
      <c r="E7158">
        <f>IFERROR(__xludf.DUMMYFUNCTION("""COMPUTED_VALUE"""),2.29838202E8)</f>
        <v>229838202</v>
      </c>
    </row>
    <row r="7159">
      <c r="A7159" t="str">
        <f t="shared" si="1"/>
        <v>idn#2007</v>
      </c>
      <c r="B7159" t="str">
        <f>IFERROR(__xludf.DUMMYFUNCTION("""COMPUTED_VALUE"""),"idn")</f>
        <v>idn</v>
      </c>
      <c r="C7159" t="str">
        <f>IFERROR(__xludf.DUMMYFUNCTION("""COMPUTED_VALUE"""),"Indonesia")</f>
        <v>Indonesia</v>
      </c>
      <c r="D7159">
        <f>IFERROR(__xludf.DUMMYFUNCTION("""COMPUTED_VALUE"""),2007.0)</f>
        <v>2007</v>
      </c>
      <c r="E7159">
        <f>IFERROR(__xludf.DUMMYFUNCTION("""COMPUTED_VALUE"""),2.32989141E8)</f>
        <v>232989141</v>
      </c>
    </row>
    <row r="7160">
      <c r="A7160" t="str">
        <f t="shared" si="1"/>
        <v>idn#2008</v>
      </c>
      <c r="B7160" t="str">
        <f>IFERROR(__xludf.DUMMYFUNCTION("""COMPUTED_VALUE"""),"idn")</f>
        <v>idn</v>
      </c>
      <c r="C7160" t="str">
        <f>IFERROR(__xludf.DUMMYFUNCTION("""COMPUTED_VALUE"""),"Indonesia")</f>
        <v>Indonesia</v>
      </c>
      <c r="D7160">
        <f>IFERROR(__xludf.DUMMYFUNCTION("""COMPUTED_VALUE"""),2008.0)</f>
        <v>2008</v>
      </c>
      <c r="E7160">
        <f>IFERROR(__xludf.DUMMYFUNCTION("""COMPUTED_VALUE"""),2.36159276E8)</f>
        <v>236159276</v>
      </c>
    </row>
    <row r="7161">
      <c r="A7161" t="str">
        <f t="shared" si="1"/>
        <v>idn#2009</v>
      </c>
      <c r="B7161" t="str">
        <f>IFERROR(__xludf.DUMMYFUNCTION("""COMPUTED_VALUE"""),"idn")</f>
        <v>idn</v>
      </c>
      <c r="C7161" t="str">
        <f>IFERROR(__xludf.DUMMYFUNCTION("""COMPUTED_VALUE"""),"Indonesia")</f>
        <v>Indonesia</v>
      </c>
      <c r="D7161">
        <f>IFERROR(__xludf.DUMMYFUNCTION("""COMPUTED_VALUE"""),2009.0)</f>
        <v>2009</v>
      </c>
      <c r="E7161">
        <f>IFERROR(__xludf.DUMMYFUNCTION("""COMPUTED_VALUE"""),2.39340478E8)</f>
        <v>239340478</v>
      </c>
    </row>
    <row r="7162">
      <c r="A7162" t="str">
        <f t="shared" si="1"/>
        <v>idn#2010</v>
      </c>
      <c r="B7162" t="str">
        <f>IFERROR(__xludf.DUMMYFUNCTION("""COMPUTED_VALUE"""),"idn")</f>
        <v>idn</v>
      </c>
      <c r="C7162" t="str">
        <f>IFERROR(__xludf.DUMMYFUNCTION("""COMPUTED_VALUE"""),"Indonesia")</f>
        <v>Indonesia</v>
      </c>
      <c r="D7162">
        <f>IFERROR(__xludf.DUMMYFUNCTION("""COMPUTED_VALUE"""),2010.0)</f>
        <v>2010</v>
      </c>
      <c r="E7162">
        <f>IFERROR(__xludf.DUMMYFUNCTION("""COMPUTED_VALUE"""),2.42524123E8)</f>
        <v>242524123</v>
      </c>
    </row>
    <row r="7163">
      <c r="A7163" t="str">
        <f t="shared" si="1"/>
        <v>idn#2011</v>
      </c>
      <c r="B7163" t="str">
        <f>IFERROR(__xludf.DUMMYFUNCTION("""COMPUTED_VALUE"""),"idn")</f>
        <v>idn</v>
      </c>
      <c r="C7163" t="str">
        <f>IFERROR(__xludf.DUMMYFUNCTION("""COMPUTED_VALUE"""),"Indonesia")</f>
        <v>Indonesia</v>
      </c>
      <c r="D7163">
        <f>IFERROR(__xludf.DUMMYFUNCTION("""COMPUTED_VALUE"""),2011.0)</f>
        <v>2011</v>
      </c>
      <c r="E7163">
        <f>IFERROR(__xludf.DUMMYFUNCTION("""COMPUTED_VALUE"""),2.45707511E8)</f>
        <v>245707511</v>
      </c>
    </row>
    <row r="7164">
      <c r="A7164" t="str">
        <f t="shared" si="1"/>
        <v>idn#2012</v>
      </c>
      <c r="B7164" t="str">
        <f>IFERROR(__xludf.DUMMYFUNCTION("""COMPUTED_VALUE"""),"idn")</f>
        <v>idn</v>
      </c>
      <c r="C7164" t="str">
        <f>IFERROR(__xludf.DUMMYFUNCTION("""COMPUTED_VALUE"""),"Indonesia")</f>
        <v>Indonesia</v>
      </c>
      <c r="D7164">
        <f>IFERROR(__xludf.DUMMYFUNCTION("""COMPUTED_VALUE"""),2012.0)</f>
        <v>2012</v>
      </c>
      <c r="E7164">
        <f>IFERROR(__xludf.DUMMYFUNCTION("""COMPUTED_VALUE"""),2.48883232E8)</f>
        <v>248883232</v>
      </c>
    </row>
    <row r="7165">
      <c r="A7165" t="str">
        <f t="shared" si="1"/>
        <v>idn#2013</v>
      </c>
      <c r="B7165" t="str">
        <f>IFERROR(__xludf.DUMMYFUNCTION("""COMPUTED_VALUE"""),"idn")</f>
        <v>idn</v>
      </c>
      <c r="C7165" t="str">
        <f>IFERROR(__xludf.DUMMYFUNCTION("""COMPUTED_VALUE"""),"Indonesia")</f>
        <v>Indonesia</v>
      </c>
      <c r="D7165">
        <f>IFERROR(__xludf.DUMMYFUNCTION("""COMPUTED_VALUE"""),2013.0)</f>
        <v>2013</v>
      </c>
      <c r="E7165">
        <f>IFERROR(__xludf.DUMMYFUNCTION("""COMPUTED_VALUE"""),2.52032263E8)</f>
        <v>252032263</v>
      </c>
    </row>
    <row r="7166">
      <c r="A7166" t="str">
        <f t="shared" si="1"/>
        <v>idn#2014</v>
      </c>
      <c r="B7166" t="str">
        <f>IFERROR(__xludf.DUMMYFUNCTION("""COMPUTED_VALUE"""),"idn")</f>
        <v>idn</v>
      </c>
      <c r="C7166" t="str">
        <f>IFERROR(__xludf.DUMMYFUNCTION("""COMPUTED_VALUE"""),"Indonesia")</f>
        <v>Indonesia</v>
      </c>
      <c r="D7166">
        <f>IFERROR(__xludf.DUMMYFUNCTION("""COMPUTED_VALUE"""),2014.0)</f>
        <v>2014</v>
      </c>
      <c r="E7166">
        <f>IFERROR(__xludf.DUMMYFUNCTION("""COMPUTED_VALUE"""),2.55131116E8)</f>
        <v>255131116</v>
      </c>
    </row>
    <row r="7167">
      <c r="A7167" t="str">
        <f t="shared" si="1"/>
        <v>idn#2015</v>
      </c>
      <c r="B7167" t="str">
        <f>IFERROR(__xludf.DUMMYFUNCTION("""COMPUTED_VALUE"""),"idn")</f>
        <v>idn</v>
      </c>
      <c r="C7167" t="str">
        <f>IFERROR(__xludf.DUMMYFUNCTION("""COMPUTED_VALUE"""),"Indonesia")</f>
        <v>Indonesia</v>
      </c>
      <c r="D7167">
        <f>IFERROR(__xludf.DUMMYFUNCTION("""COMPUTED_VALUE"""),2015.0)</f>
        <v>2015</v>
      </c>
      <c r="E7167">
        <f>IFERROR(__xludf.DUMMYFUNCTION("""COMPUTED_VALUE"""),2.58162113E8)</f>
        <v>258162113</v>
      </c>
    </row>
    <row r="7168">
      <c r="A7168" t="str">
        <f t="shared" si="1"/>
        <v>idn#2016</v>
      </c>
      <c r="B7168" t="str">
        <f>IFERROR(__xludf.DUMMYFUNCTION("""COMPUTED_VALUE"""),"idn")</f>
        <v>idn</v>
      </c>
      <c r="C7168" t="str">
        <f>IFERROR(__xludf.DUMMYFUNCTION("""COMPUTED_VALUE"""),"Indonesia")</f>
        <v>Indonesia</v>
      </c>
      <c r="D7168">
        <f>IFERROR(__xludf.DUMMYFUNCTION("""COMPUTED_VALUE"""),2016.0)</f>
        <v>2016</v>
      </c>
      <c r="E7168">
        <f>IFERROR(__xludf.DUMMYFUNCTION("""COMPUTED_VALUE"""),2.61115456E8)</f>
        <v>261115456</v>
      </c>
    </row>
    <row r="7169">
      <c r="A7169" t="str">
        <f t="shared" si="1"/>
        <v>idn#2017</v>
      </c>
      <c r="B7169" t="str">
        <f>IFERROR(__xludf.DUMMYFUNCTION("""COMPUTED_VALUE"""),"idn")</f>
        <v>idn</v>
      </c>
      <c r="C7169" t="str">
        <f>IFERROR(__xludf.DUMMYFUNCTION("""COMPUTED_VALUE"""),"Indonesia")</f>
        <v>Indonesia</v>
      </c>
      <c r="D7169">
        <f>IFERROR(__xludf.DUMMYFUNCTION("""COMPUTED_VALUE"""),2017.0)</f>
        <v>2017</v>
      </c>
      <c r="E7169">
        <f>IFERROR(__xludf.DUMMYFUNCTION("""COMPUTED_VALUE"""),2.63991379E8)</f>
        <v>263991379</v>
      </c>
    </row>
    <row r="7170">
      <c r="A7170" t="str">
        <f t="shared" si="1"/>
        <v>idn#2018</v>
      </c>
      <c r="B7170" t="str">
        <f>IFERROR(__xludf.DUMMYFUNCTION("""COMPUTED_VALUE"""),"idn")</f>
        <v>idn</v>
      </c>
      <c r="C7170" t="str">
        <f>IFERROR(__xludf.DUMMYFUNCTION("""COMPUTED_VALUE"""),"Indonesia")</f>
        <v>Indonesia</v>
      </c>
      <c r="D7170">
        <f>IFERROR(__xludf.DUMMYFUNCTION("""COMPUTED_VALUE"""),2018.0)</f>
        <v>2018</v>
      </c>
      <c r="E7170">
        <f>IFERROR(__xludf.DUMMYFUNCTION("""COMPUTED_VALUE"""),2.6679498E8)</f>
        <v>266794980</v>
      </c>
    </row>
    <row r="7171">
      <c r="A7171" t="str">
        <f t="shared" si="1"/>
        <v>idn#2019</v>
      </c>
      <c r="B7171" t="str">
        <f>IFERROR(__xludf.DUMMYFUNCTION("""COMPUTED_VALUE"""),"idn")</f>
        <v>idn</v>
      </c>
      <c r="C7171" t="str">
        <f>IFERROR(__xludf.DUMMYFUNCTION("""COMPUTED_VALUE"""),"Indonesia")</f>
        <v>Indonesia</v>
      </c>
      <c r="D7171">
        <f>IFERROR(__xludf.DUMMYFUNCTION("""COMPUTED_VALUE"""),2019.0)</f>
        <v>2019</v>
      </c>
      <c r="E7171">
        <f>IFERROR(__xludf.DUMMYFUNCTION("""COMPUTED_VALUE"""),2.69536482E8)</f>
        <v>269536482</v>
      </c>
    </row>
    <row r="7172">
      <c r="A7172" t="str">
        <f t="shared" si="1"/>
        <v>idn#2020</v>
      </c>
      <c r="B7172" t="str">
        <f>IFERROR(__xludf.DUMMYFUNCTION("""COMPUTED_VALUE"""),"idn")</f>
        <v>idn</v>
      </c>
      <c r="C7172" t="str">
        <f>IFERROR(__xludf.DUMMYFUNCTION("""COMPUTED_VALUE"""),"Indonesia")</f>
        <v>Indonesia</v>
      </c>
      <c r="D7172">
        <f>IFERROR(__xludf.DUMMYFUNCTION("""COMPUTED_VALUE"""),2020.0)</f>
        <v>2020</v>
      </c>
      <c r="E7172">
        <f>IFERROR(__xludf.DUMMYFUNCTION("""COMPUTED_VALUE"""),2.72222987E8)</f>
        <v>272222987</v>
      </c>
    </row>
    <row r="7173">
      <c r="A7173" t="str">
        <f t="shared" si="1"/>
        <v>idn#2021</v>
      </c>
      <c r="B7173" t="str">
        <f>IFERROR(__xludf.DUMMYFUNCTION("""COMPUTED_VALUE"""),"idn")</f>
        <v>idn</v>
      </c>
      <c r="C7173" t="str">
        <f>IFERROR(__xludf.DUMMYFUNCTION("""COMPUTED_VALUE"""),"Indonesia")</f>
        <v>Indonesia</v>
      </c>
      <c r="D7173">
        <f>IFERROR(__xludf.DUMMYFUNCTION("""COMPUTED_VALUE"""),2021.0)</f>
        <v>2021</v>
      </c>
      <c r="E7173">
        <f>IFERROR(__xludf.DUMMYFUNCTION("""COMPUTED_VALUE"""),2.74854187E8)</f>
        <v>274854187</v>
      </c>
    </row>
    <row r="7174">
      <c r="A7174" t="str">
        <f t="shared" si="1"/>
        <v>idn#2022</v>
      </c>
      <c r="B7174" t="str">
        <f>IFERROR(__xludf.DUMMYFUNCTION("""COMPUTED_VALUE"""),"idn")</f>
        <v>idn</v>
      </c>
      <c r="C7174" t="str">
        <f>IFERROR(__xludf.DUMMYFUNCTION("""COMPUTED_VALUE"""),"Indonesia")</f>
        <v>Indonesia</v>
      </c>
      <c r="D7174">
        <f>IFERROR(__xludf.DUMMYFUNCTION("""COMPUTED_VALUE"""),2022.0)</f>
        <v>2022</v>
      </c>
      <c r="E7174">
        <f>IFERROR(__xludf.DUMMYFUNCTION("""COMPUTED_VALUE"""),2.77425269E8)</f>
        <v>277425269</v>
      </c>
    </row>
    <row r="7175">
      <c r="A7175" t="str">
        <f t="shared" si="1"/>
        <v>idn#2023</v>
      </c>
      <c r="B7175" t="str">
        <f>IFERROR(__xludf.DUMMYFUNCTION("""COMPUTED_VALUE"""),"idn")</f>
        <v>idn</v>
      </c>
      <c r="C7175" t="str">
        <f>IFERROR(__xludf.DUMMYFUNCTION("""COMPUTED_VALUE"""),"Indonesia")</f>
        <v>Indonesia</v>
      </c>
      <c r="D7175">
        <f>IFERROR(__xludf.DUMMYFUNCTION("""COMPUTED_VALUE"""),2023.0)</f>
        <v>2023</v>
      </c>
      <c r="E7175">
        <f>IFERROR(__xludf.DUMMYFUNCTION("""COMPUTED_VALUE"""),2.79933839E8)</f>
        <v>279933839</v>
      </c>
    </row>
    <row r="7176">
      <c r="A7176" t="str">
        <f t="shared" si="1"/>
        <v>idn#2024</v>
      </c>
      <c r="B7176" t="str">
        <f>IFERROR(__xludf.DUMMYFUNCTION("""COMPUTED_VALUE"""),"idn")</f>
        <v>idn</v>
      </c>
      <c r="C7176" t="str">
        <f>IFERROR(__xludf.DUMMYFUNCTION("""COMPUTED_VALUE"""),"Indonesia")</f>
        <v>Indonesia</v>
      </c>
      <c r="D7176">
        <f>IFERROR(__xludf.DUMMYFUNCTION("""COMPUTED_VALUE"""),2024.0)</f>
        <v>2024</v>
      </c>
      <c r="E7176">
        <f>IFERROR(__xludf.DUMMYFUNCTION("""COMPUTED_VALUE"""),2.82376577E8)</f>
        <v>282376577</v>
      </c>
    </row>
    <row r="7177">
      <c r="A7177" t="str">
        <f t="shared" si="1"/>
        <v>idn#2025</v>
      </c>
      <c r="B7177" t="str">
        <f>IFERROR(__xludf.DUMMYFUNCTION("""COMPUTED_VALUE"""),"idn")</f>
        <v>idn</v>
      </c>
      <c r="C7177" t="str">
        <f>IFERROR(__xludf.DUMMYFUNCTION("""COMPUTED_VALUE"""),"Indonesia")</f>
        <v>Indonesia</v>
      </c>
      <c r="D7177">
        <f>IFERROR(__xludf.DUMMYFUNCTION("""COMPUTED_VALUE"""),2025.0)</f>
        <v>2025</v>
      </c>
      <c r="E7177">
        <f>IFERROR(__xludf.DUMMYFUNCTION("""COMPUTED_VALUE"""),2.84751045E8)</f>
        <v>284751045</v>
      </c>
    </row>
    <row r="7178">
      <c r="A7178" t="str">
        <f t="shared" si="1"/>
        <v>idn#2026</v>
      </c>
      <c r="B7178" t="str">
        <f>IFERROR(__xludf.DUMMYFUNCTION("""COMPUTED_VALUE"""),"idn")</f>
        <v>idn</v>
      </c>
      <c r="C7178" t="str">
        <f>IFERROR(__xludf.DUMMYFUNCTION("""COMPUTED_VALUE"""),"Indonesia")</f>
        <v>Indonesia</v>
      </c>
      <c r="D7178">
        <f>IFERROR(__xludf.DUMMYFUNCTION("""COMPUTED_VALUE"""),2026.0)</f>
        <v>2026</v>
      </c>
      <c r="E7178">
        <f>IFERROR(__xludf.DUMMYFUNCTION("""COMPUTED_VALUE"""),2.87056004E8)</f>
        <v>287056004</v>
      </c>
    </row>
    <row r="7179">
      <c r="A7179" t="str">
        <f t="shared" si="1"/>
        <v>idn#2027</v>
      </c>
      <c r="B7179" t="str">
        <f>IFERROR(__xludf.DUMMYFUNCTION("""COMPUTED_VALUE"""),"idn")</f>
        <v>idn</v>
      </c>
      <c r="C7179" t="str">
        <f>IFERROR(__xludf.DUMMYFUNCTION("""COMPUTED_VALUE"""),"Indonesia")</f>
        <v>Indonesia</v>
      </c>
      <c r="D7179">
        <f>IFERROR(__xludf.DUMMYFUNCTION("""COMPUTED_VALUE"""),2027.0)</f>
        <v>2027</v>
      </c>
      <c r="E7179">
        <f>IFERROR(__xludf.DUMMYFUNCTION("""COMPUTED_VALUE"""),2.89291764E8)</f>
        <v>289291764</v>
      </c>
    </row>
    <row r="7180">
      <c r="A7180" t="str">
        <f t="shared" si="1"/>
        <v>idn#2028</v>
      </c>
      <c r="B7180" t="str">
        <f>IFERROR(__xludf.DUMMYFUNCTION("""COMPUTED_VALUE"""),"idn")</f>
        <v>idn</v>
      </c>
      <c r="C7180" t="str">
        <f>IFERROR(__xludf.DUMMYFUNCTION("""COMPUTED_VALUE"""),"Indonesia")</f>
        <v>Indonesia</v>
      </c>
      <c r="D7180">
        <f>IFERROR(__xludf.DUMMYFUNCTION("""COMPUTED_VALUE"""),2028.0)</f>
        <v>2028</v>
      </c>
      <c r="E7180">
        <f>IFERROR(__xludf.DUMMYFUNCTION("""COMPUTED_VALUE"""),2.91459262E8)</f>
        <v>291459262</v>
      </c>
    </row>
    <row r="7181">
      <c r="A7181" t="str">
        <f t="shared" si="1"/>
        <v>idn#2029</v>
      </c>
      <c r="B7181" t="str">
        <f>IFERROR(__xludf.DUMMYFUNCTION("""COMPUTED_VALUE"""),"idn")</f>
        <v>idn</v>
      </c>
      <c r="C7181" t="str">
        <f>IFERROR(__xludf.DUMMYFUNCTION("""COMPUTED_VALUE"""),"Indonesia")</f>
        <v>Indonesia</v>
      </c>
      <c r="D7181">
        <f>IFERROR(__xludf.DUMMYFUNCTION("""COMPUTED_VALUE"""),2029.0)</f>
        <v>2029</v>
      </c>
      <c r="E7181">
        <f>IFERROR(__xludf.DUMMYFUNCTION("""COMPUTED_VALUE"""),2.93560094E8)</f>
        <v>293560094</v>
      </c>
    </row>
    <row r="7182">
      <c r="A7182" t="str">
        <f t="shared" si="1"/>
        <v>idn#2030</v>
      </c>
      <c r="B7182" t="str">
        <f>IFERROR(__xludf.DUMMYFUNCTION("""COMPUTED_VALUE"""),"idn")</f>
        <v>idn</v>
      </c>
      <c r="C7182" t="str">
        <f>IFERROR(__xludf.DUMMYFUNCTION("""COMPUTED_VALUE"""),"Indonesia")</f>
        <v>Indonesia</v>
      </c>
      <c r="D7182">
        <f>IFERROR(__xludf.DUMMYFUNCTION("""COMPUTED_VALUE"""),2030.0)</f>
        <v>2030</v>
      </c>
      <c r="E7182">
        <f>IFERROR(__xludf.DUMMYFUNCTION("""COMPUTED_VALUE"""),2.95595234E8)</f>
        <v>295595234</v>
      </c>
    </row>
    <row r="7183">
      <c r="A7183" t="str">
        <f t="shared" si="1"/>
        <v>idn#2031</v>
      </c>
      <c r="B7183" t="str">
        <f>IFERROR(__xludf.DUMMYFUNCTION("""COMPUTED_VALUE"""),"idn")</f>
        <v>idn</v>
      </c>
      <c r="C7183" t="str">
        <f>IFERROR(__xludf.DUMMYFUNCTION("""COMPUTED_VALUE"""),"Indonesia")</f>
        <v>Indonesia</v>
      </c>
      <c r="D7183">
        <f>IFERROR(__xludf.DUMMYFUNCTION("""COMPUTED_VALUE"""),2031.0)</f>
        <v>2031</v>
      </c>
      <c r="E7183">
        <f>IFERROR(__xludf.DUMMYFUNCTION("""COMPUTED_VALUE"""),2.97564832E8)</f>
        <v>297564832</v>
      </c>
    </row>
    <row r="7184">
      <c r="A7184" t="str">
        <f t="shared" si="1"/>
        <v>idn#2032</v>
      </c>
      <c r="B7184" t="str">
        <f>IFERROR(__xludf.DUMMYFUNCTION("""COMPUTED_VALUE"""),"idn")</f>
        <v>idn</v>
      </c>
      <c r="C7184" t="str">
        <f>IFERROR(__xludf.DUMMYFUNCTION("""COMPUTED_VALUE"""),"Indonesia")</f>
        <v>Indonesia</v>
      </c>
      <c r="D7184">
        <f>IFERROR(__xludf.DUMMYFUNCTION("""COMPUTED_VALUE"""),2032.0)</f>
        <v>2032</v>
      </c>
      <c r="E7184">
        <f>IFERROR(__xludf.DUMMYFUNCTION("""COMPUTED_VALUE"""),2.99467795E8)</f>
        <v>299467795</v>
      </c>
    </row>
    <row r="7185">
      <c r="A7185" t="str">
        <f t="shared" si="1"/>
        <v>idn#2033</v>
      </c>
      <c r="B7185" t="str">
        <f>IFERROR(__xludf.DUMMYFUNCTION("""COMPUTED_VALUE"""),"idn")</f>
        <v>idn</v>
      </c>
      <c r="C7185" t="str">
        <f>IFERROR(__xludf.DUMMYFUNCTION("""COMPUTED_VALUE"""),"Indonesia")</f>
        <v>Indonesia</v>
      </c>
      <c r="D7185">
        <f>IFERROR(__xludf.DUMMYFUNCTION("""COMPUTED_VALUE"""),2033.0)</f>
        <v>2033</v>
      </c>
      <c r="E7185">
        <f>IFERROR(__xludf.DUMMYFUNCTION("""COMPUTED_VALUE"""),3.01302463E8)</f>
        <v>301302463</v>
      </c>
    </row>
    <row r="7186">
      <c r="A7186" t="str">
        <f t="shared" si="1"/>
        <v>idn#2034</v>
      </c>
      <c r="B7186" t="str">
        <f>IFERROR(__xludf.DUMMYFUNCTION("""COMPUTED_VALUE"""),"idn")</f>
        <v>idn</v>
      </c>
      <c r="C7186" t="str">
        <f>IFERROR(__xludf.DUMMYFUNCTION("""COMPUTED_VALUE"""),"Indonesia")</f>
        <v>Indonesia</v>
      </c>
      <c r="D7186">
        <f>IFERROR(__xludf.DUMMYFUNCTION("""COMPUTED_VALUE"""),2034.0)</f>
        <v>2034</v>
      </c>
      <c r="E7186">
        <f>IFERROR(__xludf.DUMMYFUNCTION("""COMPUTED_VALUE"""),3.03066623E8)</f>
        <v>303066623</v>
      </c>
    </row>
    <row r="7187">
      <c r="A7187" t="str">
        <f t="shared" si="1"/>
        <v>idn#2035</v>
      </c>
      <c r="B7187" t="str">
        <f>IFERROR(__xludf.DUMMYFUNCTION("""COMPUTED_VALUE"""),"idn")</f>
        <v>idn</v>
      </c>
      <c r="C7187" t="str">
        <f>IFERROR(__xludf.DUMMYFUNCTION("""COMPUTED_VALUE"""),"Indonesia")</f>
        <v>Indonesia</v>
      </c>
      <c r="D7187">
        <f>IFERROR(__xludf.DUMMYFUNCTION("""COMPUTED_VALUE"""),2035.0)</f>
        <v>2035</v>
      </c>
      <c r="E7187">
        <f>IFERROR(__xludf.DUMMYFUNCTION("""COMPUTED_VALUE"""),3.04758627E8)</f>
        <v>304758627</v>
      </c>
    </row>
    <row r="7188">
      <c r="A7188" t="str">
        <f t="shared" si="1"/>
        <v>idn#2036</v>
      </c>
      <c r="B7188" t="str">
        <f>IFERROR(__xludf.DUMMYFUNCTION("""COMPUTED_VALUE"""),"idn")</f>
        <v>idn</v>
      </c>
      <c r="C7188" t="str">
        <f>IFERROR(__xludf.DUMMYFUNCTION("""COMPUTED_VALUE"""),"Indonesia")</f>
        <v>Indonesia</v>
      </c>
      <c r="D7188">
        <f>IFERROR(__xludf.DUMMYFUNCTION("""COMPUTED_VALUE"""),2036.0)</f>
        <v>2036</v>
      </c>
      <c r="E7188">
        <f>IFERROR(__xludf.DUMMYFUNCTION("""COMPUTED_VALUE"""),3.06377782E8)</f>
        <v>306377782</v>
      </c>
    </row>
    <row r="7189">
      <c r="A7189" t="str">
        <f t="shared" si="1"/>
        <v>idn#2037</v>
      </c>
      <c r="B7189" t="str">
        <f>IFERROR(__xludf.DUMMYFUNCTION("""COMPUTED_VALUE"""),"idn")</f>
        <v>idn</v>
      </c>
      <c r="C7189" t="str">
        <f>IFERROR(__xludf.DUMMYFUNCTION("""COMPUTED_VALUE"""),"Indonesia")</f>
        <v>Indonesia</v>
      </c>
      <c r="D7189">
        <f>IFERROR(__xludf.DUMMYFUNCTION("""COMPUTED_VALUE"""),2037.0)</f>
        <v>2037</v>
      </c>
      <c r="E7189">
        <f>IFERROR(__xludf.DUMMYFUNCTION("""COMPUTED_VALUE"""),3.07924332E8)</f>
        <v>307924332</v>
      </c>
    </row>
    <row r="7190">
      <c r="A7190" t="str">
        <f t="shared" si="1"/>
        <v>idn#2038</v>
      </c>
      <c r="B7190" t="str">
        <f>IFERROR(__xludf.DUMMYFUNCTION("""COMPUTED_VALUE"""),"idn")</f>
        <v>idn</v>
      </c>
      <c r="C7190" t="str">
        <f>IFERROR(__xludf.DUMMYFUNCTION("""COMPUTED_VALUE"""),"Indonesia")</f>
        <v>Indonesia</v>
      </c>
      <c r="D7190">
        <f>IFERROR(__xludf.DUMMYFUNCTION("""COMPUTED_VALUE"""),2038.0)</f>
        <v>2038</v>
      </c>
      <c r="E7190">
        <f>IFERROR(__xludf.DUMMYFUNCTION("""COMPUTED_VALUE"""),3.09398715E8)</f>
        <v>309398715</v>
      </c>
    </row>
    <row r="7191">
      <c r="A7191" t="str">
        <f t="shared" si="1"/>
        <v>idn#2039</v>
      </c>
      <c r="B7191" t="str">
        <f>IFERROR(__xludf.DUMMYFUNCTION("""COMPUTED_VALUE"""),"idn")</f>
        <v>idn</v>
      </c>
      <c r="C7191" t="str">
        <f>IFERROR(__xludf.DUMMYFUNCTION("""COMPUTED_VALUE"""),"Indonesia")</f>
        <v>Indonesia</v>
      </c>
      <c r="D7191">
        <f>IFERROR(__xludf.DUMMYFUNCTION("""COMPUTED_VALUE"""),2039.0)</f>
        <v>2039</v>
      </c>
      <c r="E7191">
        <f>IFERROR(__xludf.DUMMYFUNCTION("""COMPUTED_VALUE"""),3.10801798E8)</f>
        <v>310801798</v>
      </c>
    </row>
    <row r="7192">
      <c r="A7192" t="str">
        <f t="shared" si="1"/>
        <v>idn#2040</v>
      </c>
      <c r="B7192" t="str">
        <f>IFERROR(__xludf.DUMMYFUNCTION("""COMPUTED_VALUE"""),"idn")</f>
        <v>idn</v>
      </c>
      <c r="C7192" t="str">
        <f>IFERROR(__xludf.DUMMYFUNCTION("""COMPUTED_VALUE"""),"Indonesia")</f>
        <v>Indonesia</v>
      </c>
      <c r="D7192">
        <f>IFERROR(__xludf.DUMMYFUNCTION("""COMPUTED_VALUE"""),2040.0)</f>
        <v>2040</v>
      </c>
      <c r="E7192">
        <f>IFERROR(__xludf.DUMMYFUNCTION("""COMPUTED_VALUE"""),3.12134188E8)</f>
        <v>312134188</v>
      </c>
    </row>
    <row r="7193">
      <c r="A7193" t="str">
        <f t="shared" si="1"/>
        <v>irn#1950</v>
      </c>
      <c r="B7193" t="str">
        <f>IFERROR(__xludf.DUMMYFUNCTION("""COMPUTED_VALUE"""),"irn")</f>
        <v>irn</v>
      </c>
      <c r="C7193" t="str">
        <f>IFERROR(__xludf.DUMMYFUNCTION("""COMPUTED_VALUE"""),"Iran")</f>
        <v>Iran</v>
      </c>
      <c r="D7193">
        <f>IFERROR(__xludf.DUMMYFUNCTION("""COMPUTED_VALUE"""),1950.0)</f>
        <v>1950</v>
      </c>
      <c r="E7193">
        <f>IFERROR(__xludf.DUMMYFUNCTION("""COMPUTED_VALUE"""),1.7119268E7)</f>
        <v>17119268</v>
      </c>
    </row>
    <row r="7194">
      <c r="A7194" t="str">
        <f t="shared" si="1"/>
        <v>irn#1951</v>
      </c>
      <c r="B7194" t="str">
        <f>IFERROR(__xludf.DUMMYFUNCTION("""COMPUTED_VALUE"""),"irn")</f>
        <v>irn</v>
      </c>
      <c r="C7194" t="str">
        <f>IFERROR(__xludf.DUMMYFUNCTION("""COMPUTED_VALUE"""),"Iran")</f>
        <v>Iran</v>
      </c>
      <c r="D7194">
        <f>IFERROR(__xludf.DUMMYFUNCTION("""COMPUTED_VALUE"""),1951.0)</f>
        <v>1951</v>
      </c>
      <c r="E7194">
        <f>IFERROR(__xludf.DUMMYFUNCTION("""COMPUTED_VALUE"""),1.7516575E7)</f>
        <v>17516575</v>
      </c>
    </row>
    <row r="7195">
      <c r="A7195" t="str">
        <f t="shared" si="1"/>
        <v>irn#1952</v>
      </c>
      <c r="B7195" t="str">
        <f>IFERROR(__xludf.DUMMYFUNCTION("""COMPUTED_VALUE"""),"irn")</f>
        <v>irn</v>
      </c>
      <c r="C7195" t="str">
        <f>IFERROR(__xludf.DUMMYFUNCTION("""COMPUTED_VALUE"""),"Iran")</f>
        <v>Iran</v>
      </c>
      <c r="D7195">
        <f>IFERROR(__xludf.DUMMYFUNCTION("""COMPUTED_VALUE"""),1952.0)</f>
        <v>1952</v>
      </c>
      <c r="E7195">
        <f>IFERROR(__xludf.DUMMYFUNCTION("""COMPUTED_VALUE"""),1.7933356E7)</f>
        <v>17933356</v>
      </c>
    </row>
    <row r="7196">
      <c r="A7196" t="str">
        <f t="shared" si="1"/>
        <v>irn#1953</v>
      </c>
      <c r="B7196" t="str">
        <f>IFERROR(__xludf.DUMMYFUNCTION("""COMPUTED_VALUE"""),"irn")</f>
        <v>irn</v>
      </c>
      <c r="C7196" t="str">
        <f>IFERROR(__xludf.DUMMYFUNCTION("""COMPUTED_VALUE"""),"Iran")</f>
        <v>Iran</v>
      </c>
      <c r="D7196">
        <f>IFERROR(__xludf.DUMMYFUNCTION("""COMPUTED_VALUE"""),1953.0)</f>
        <v>1953</v>
      </c>
      <c r="E7196">
        <f>IFERROR(__xludf.DUMMYFUNCTION("""COMPUTED_VALUE"""),1.8368896E7)</f>
        <v>18368896</v>
      </c>
    </row>
    <row r="7197">
      <c r="A7197" t="str">
        <f t="shared" si="1"/>
        <v>irn#1954</v>
      </c>
      <c r="B7197" t="str">
        <f>IFERROR(__xludf.DUMMYFUNCTION("""COMPUTED_VALUE"""),"irn")</f>
        <v>irn</v>
      </c>
      <c r="C7197" t="str">
        <f>IFERROR(__xludf.DUMMYFUNCTION("""COMPUTED_VALUE"""),"Iran")</f>
        <v>Iran</v>
      </c>
      <c r="D7197">
        <f>IFERROR(__xludf.DUMMYFUNCTION("""COMPUTED_VALUE"""),1954.0)</f>
        <v>1954</v>
      </c>
      <c r="E7197">
        <f>IFERROR(__xludf.DUMMYFUNCTION("""COMPUTED_VALUE"""),1.8822603E7)</f>
        <v>18822603</v>
      </c>
    </row>
    <row r="7198">
      <c r="A7198" t="str">
        <f t="shared" si="1"/>
        <v>irn#1955</v>
      </c>
      <c r="B7198" t="str">
        <f>IFERROR(__xludf.DUMMYFUNCTION("""COMPUTED_VALUE"""),"irn")</f>
        <v>irn</v>
      </c>
      <c r="C7198" t="str">
        <f>IFERROR(__xludf.DUMMYFUNCTION("""COMPUTED_VALUE"""),"Iran")</f>
        <v>Iran</v>
      </c>
      <c r="D7198">
        <f>IFERROR(__xludf.DUMMYFUNCTION("""COMPUTED_VALUE"""),1955.0)</f>
        <v>1955</v>
      </c>
      <c r="E7198">
        <f>IFERROR(__xludf.DUMMYFUNCTION("""COMPUTED_VALUE"""),1.9293999E7)</f>
        <v>19293999</v>
      </c>
    </row>
    <row r="7199">
      <c r="A7199" t="str">
        <f t="shared" si="1"/>
        <v>irn#1956</v>
      </c>
      <c r="B7199" t="str">
        <f>IFERROR(__xludf.DUMMYFUNCTION("""COMPUTED_VALUE"""),"irn")</f>
        <v>irn</v>
      </c>
      <c r="C7199" t="str">
        <f>IFERROR(__xludf.DUMMYFUNCTION("""COMPUTED_VALUE"""),"Iran")</f>
        <v>Iran</v>
      </c>
      <c r="D7199">
        <f>IFERROR(__xludf.DUMMYFUNCTION("""COMPUTED_VALUE"""),1956.0)</f>
        <v>1956</v>
      </c>
      <c r="E7199">
        <f>IFERROR(__xludf.DUMMYFUNCTION("""COMPUTED_VALUE"""),1.9782701E7)</f>
        <v>19782701</v>
      </c>
    </row>
    <row r="7200">
      <c r="A7200" t="str">
        <f t="shared" si="1"/>
        <v>irn#1957</v>
      </c>
      <c r="B7200" t="str">
        <f>IFERROR(__xludf.DUMMYFUNCTION("""COMPUTED_VALUE"""),"irn")</f>
        <v>irn</v>
      </c>
      <c r="C7200" t="str">
        <f>IFERROR(__xludf.DUMMYFUNCTION("""COMPUTED_VALUE"""),"Iran")</f>
        <v>Iran</v>
      </c>
      <c r="D7200">
        <f>IFERROR(__xludf.DUMMYFUNCTION("""COMPUTED_VALUE"""),1957.0)</f>
        <v>1957</v>
      </c>
      <c r="E7200">
        <f>IFERROR(__xludf.DUMMYFUNCTION("""COMPUTED_VALUE"""),2.0288436E7)</f>
        <v>20288436</v>
      </c>
    </row>
    <row r="7201">
      <c r="A7201" t="str">
        <f t="shared" si="1"/>
        <v>irn#1958</v>
      </c>
      <c r="B7201" t="str">
        <f>IFERROR(__xludf.DUMMYFUNCTION("""COMPUTED_VALUE"""),"irn")</f>
        <v>irn</v>
      </c>
      <c r="C7201" t="str">
        <f>IFERROR(__xludf.DUMMYFUNCTION("""COMPUTED_VALUE"""),"Iran")</f>
        <v>Iran</v>
      </c>
      <c r="D7201">
        <f>IFERROR(__xludf.DUMMYFUNCTION("""COMPUTED_VALUE"""),1958.0)</f>
        <v>1958</v>
      </c>
      <c r="E7201">
        <f>IFERROR(__xludf.DUMMYFUNCTION("""COMPUTED_VALUE"""),2.0811061E7)</f>
        <v>20811061</v>
      </c>
    </row>
    <row r="7202">
      <c r="A7202" t="str">
        <f t="shared" si="1"/>
        <v>irn#1959</v>
      </c>
      <c r="B7202" t="str">
        <f>IFERROR(__xludf.DUMMYFUNCTION("""COMPUTED_VALUE"""),"irn")</f>
        <v>irn</v>
      </c>
      <c r="C7202" t="str">
        <f>IFERROR(__xludf.DUMMYFUNCTION("""COMPUTED_VALUE"""),"Iran")</f>
        <v>Iran</v>
      </c>
      <c r="D7202">
        <f>IFERROR(__xludf.DUMMYFUNCTION("""COMPUTED_VALUE"""),1959.0)</f>
        <v>1959</v>
      </c>
      <c r="E7202">
        <f>IFERROR(__xludf.DUMMYFUNCTION("""COMPUTED_VALUE"""),2.1350524E7)</f>
        <v>21350524</v>
      </c>
    </row>
    <row r="7203">
      <c r="A7203" t="str">
        <f t="shared" si="1"/>
        <v>irn#1960</v>
      </c>
      <c r="B7203" t="str">
        <f>IFERROR(__xludf.DUMMYFUNCTION("""COMPUTED_VALUE"""),"irn")</f>
        <v>irn</v>
      </c>
      <c r="C7203" t="str">
        <f>IFERROR(__xludf.DUMMYFUNCTION("""COMPUTED_VALUE"""),"Iran")</f>
        <v>Iran</v>
      </c>
      <c r="D7203">
        <f>IFERROR(__xludf.DUMMYFUNCTION("""COMPUTED_VALUE"""),1960.0)</f>
        <v>1960</v>
      </c>
      <c r="E7203">
        <f>IFERROR(__xludf.DUMMYFUNCTION("""COMPUTED_VALUE"""),2.1906903E7)</f>
        <v>21906903</v>
      </c>
    </row>
    <row r="7204">
      <c r="A7204" t="str">
        <f t="shared" si="1"/>
        <v>irn#1961</v>
      </c>
      <c r="B7204" t="str">
        <f>IFERROR(__xludf.DUMMYFUNCTION("""COMPUTED_VALUE"""),"irn")</f>
        <v>irn</v>
      </c>
      <c r="C7204" t="str">
        <f>IFERROR(__xludf.DUMMYFUNCTION("""COMPUTED_VALUE"""),"Iran")</f>
        <v>Iran</v>
      </c>
      <c r="D7204">
        <f>IFERROR(__xludf.DUMMYFUNCTION("""COMPUTED_VALUE"""),1961.0)</f>
        <v>1961</v>
      </c>
      <c r="E7204">
        <f>IFERROR(__xludf.DUMMYFUNCTION("""COMPUTED_VALUE"""),2.2480418E7)</f>
        <v>22480418</v>
      </c>
    </row>
    <row r="7205">
      <c r="A7205" t="str">
        <f t="shared" si="1"/>
        <v>irn#1962</v>
      </c>
      <c r="B7205" t="str">
        <f>IFERROR(__xludf.DUMMYFUNCTION("""COMPUTED_VALUE"""),"irn")</f>
        <v>irn</v>
      </c>
      <c r="C7205" t="str">
        <f>IFERROR(__xludf.DUMMYFUNCTION("""COMPUTED_VALUE"""),"Iran")</f>
        <v>Iran</v>
      </c>
      <c r="D7205">
        <f>IFERROR(__xludf.DUMMYFUNCTION("""COMPUTED_VALUE"""),1962.0)</f>
        <v>1962</v>
      </c>
      <c r="E7205">
        <f>IFERROR(__xludf.DUMMYFUNCTION("""COMPUTED_VALUE"""),2.3071429E7)</f>
        <v>23071429</v>
      </c>
    </row>
    <row r="7206">
      <c r="A7206" t="str">
        <f t="shared" si="1"/>
        <v>irn#1963</v>
      </c>
      <c r="B7206" t="str">
        <f>IFERROR(__xludf.DUMMYFUNCTION("""COMPUTED_VALUE"""),"irn")</f>
        <v>irn</v>
      </c>
      <c r="C7206" t="str">
        <f>IFERROR(__xludf.DUMMYFUNCTION("""COMPUTED_VALUE"""),"Iran")</f>
        <v>Iran</v>
      </c>
      <c r="D7206">
        <f>IFERROR(__xludf.DUMMYFUNCTION("""COMPUTED_VALUE"""),1963.0)</f>
        <v>1963</v>
      </c>
      <c r="E7206">
        <f>IFERROR(__xludf.DUMMYFUNCTION("""COMPUTED_VALUE"""),2.3680432E7)</f>
        <v>23680432</v>
      </c>
    </row>
    <row r="7207">
      <c r="A7207" t="str">
        <f t="shared" si="1"/>
        <v>irn#1964</v>
      </c>
      <c r="B7207" t="str">
        <f>IFERROR(__xludf.DUMMYFUNCTION("""COMPUTED_VALUE"""),"irn")</f>
        <v>irn</v>
      </c>
      <c r="C7207" t="str">
        <f>IFERROR(__xludf.DUMMYFUNCTION("""COMPUTED_VALUE"""),"Iran")</f>
        <v>Iran</v>
      </c>
      <c r="D7207">
        <f>IFERROR(__xludf.DUMMYFUNCTION("""COMPUTED_VALUE"""),1964.0)</f>
        <v>1964</v>
      </c>
      <c r="E7207">
        <f>IFERROR(__xludf.DUMMYFUNCTION("""COMPUTED_VALUE"""),2.4308085E7)</f>
        <v>24308085</v>
      </c>
    </row>
    <row r="7208">
      <c r="A7208" t="str">
        <f t="shared" si="1"/>
        <v>irn#1965</v>
      </c>
      <c r="B7208" t="str">
        <f>IFERROR(__xludf.DUMMYFUNCTION("""COMPUTED_VALUE"""),"irn")</f>
        <v>irn</v>
      </c>
      <c r="C7208" t="str">
        <f>IFERROR(__xludf.DUMMYFUNCTION("""COMPUTED_VALUE"""),"Iran")</f>
        <v>Iran</v>
      </c>
      <c r="D7208">
        <f>IFERROR(__xludf.DUMMYFUNCTION("""COMPUTED_VALUE"""),1965.0)</f>
        <v>1965</v>
      </c>
      <c r="E7208">
        <f>IFERROR(__xludf.DUMMYFUNCTION("""COMPUTED_VALUE"""),2.4955115E7)</f>
        <v>24955115</v>
      </c>
    </row>
    <row r="7209">
      <c r="A7209" t="str">
        <f t="shared" si="1"/>
        <v>irn#1966</v>
      </c>
      <c r="B7209" t="str">
        <f>IFERROR(__xludf.DUMMYFUNCTION("""COMPUTED_VALUE"""),"irn")</f>
        <v>irn</v>
      </c>
      <c r="C7209" t="str">
        <f>IFERROR(__xludf.DUMMYFUNCTION("""COMPUTED_VALUE"""),"Iran")</f>
        <v>Iran</v>
      </c>
      <c r="D7209">
        <f>IFERROR(__xludf.DUMMYFUNCTION("""COMPUTED_VALUE"""),1966.0)</f>
        <v>1966</v>
      </c>
      <c r="E7209">
        <f>IFERROR(__xludf.DUMMYFUNCTION("""COMPUTED_VALUE"""),2.5624656E7)</f>
        <v>25624656</v>
      </c>
    </row>
    <row r="7210">
      <c r="A7210" t="str">
        <f t="shared" si="1"/>
        <v>irn#1967</v>
      </c>
      <c r="B7210" t="str">
        <f>IFERROR(__xludf.DUMMYFUNCTION("""COMPUTED_VALUE"""),"irn")</f>
        <v>irn</v>
      </c>
      <c r="C7210" t="str">
        <f>IFERROR(__xludf.DUMMYFUNCTION("""COMPUTED_VALUE"""),"Iran")</f>
        <v>Iran</v>
      </c>
      <c r="D7210">
        <f>IFERROR(__xludf.DUMMYFUNCTION("""COMPUTED_VALUE"""),1967.0)</f>
        <v>1967</v>
      </c>
      <c r="E7210">
        <f>IFERROR(__xludf.DUMMYFUNCTION("""COMPUTED_VALUE"""),2.6318119E7)</f>
        <v>26318119</v>
      </c>
    </row>
    <row r="7211">
      <c r="A7211" t="str">
        <f t="shared" si="1"/>
        <v>irn#1968</v>
      </c>
      <c r="B7211" t="str">
        <f>IFERROR(__xludf.DUMMYFUNCTION("""COMPUTED_VALUE"""),"irn")</f>
        <v>irn</v>
      </c>
      <c r="C7211" t="str">
        <f>IFERROR(__xludf.DUMMYFUNCTION("""COMPUTED_VALUE"""),"Iran")</f>
        <v>Iran</v>
      </c>
      <c r="D7211">
        <f>IFERROR(__xludf.DUMMYFUNCTION("""COMPUTED_VALUE"""),1968.0)</f>
        <v>1968</v>
      </c>
      <c r="E7211">
        <f>IFERROR(__xludf.DUMMYFUNCTION("""COMPUTED_VALUE"""),2.7032943E7)</f>
        <v>27032943</v>
      </c>
    </row>
    <row r="7212">
      <c r="A7212" t="str">
        <f t="shared" si="1"/>
        <v>irn#1969</v>
      </c>
      <c r="B7212" t="str">
        <f>IFERROR(__xludf.DUMMYFUNCTION("""COMPUTED_VALUE"""),"irn")</f>
        <v>irn</v>
      </c>
      <c r="C7212" t="str">
        <f>IFERROR(__xludf.DUMMYFUNCTION("""COMPUTED_VALUE"""),"Iran")</f>
        <v>Iran</v>
      </c>
      <c r="D7212">
        <f>IFERROR(__xludf.DUMMYFUNCTION("""COMPUTED_VALUE"""),1969.0)</f>
        <v>1969</v>
      </c>
      <c r="E7212">
        <f>IFERROR(__xludf.DUMMYFUNCTION("""COMPUTED_VALUE"""),2.7765243E7)</f>
        <v>27765243</v>
      </c>
    </row>
    <row r="7213">
      <c r="A7213" t="str">
        <f t="shared" si="1"/>
        <v>irn#1970</v>
      </c>
      <c r="B7213" t="str">
        <f>IFERROR(__xludf.DUMMYFUNCTION("""COMPUTED_VALUE"""),"irn")</f>
        <v>irn</v>
      </c>
      <c r="C7213" t="str">
        <f>IFERROR(__xludf.DUMMYFUNCTION("""COMPUTED_VALUE"""),"Iran")</f>
        <v>Iran</v>
      </c>
      <c r="D7213">
        <f>IFERROR(__xludf.DUMMYFUNCTION("""COMPUTED_VALUE"""),1970.0)</f>
        <v>1970</v>
      </c>
      <c r="E7213">
        <f>IFERROR(__xludf.DUMMYFUNCTION("""COMPUTED_VALUE"""),2.851401E7)</f>
        <v>28514010</v>
      </c>
    </row>
    <row r="7214">
      <c r="A7214" t="str">
        <f t="shared" si="1"/>
        <v>irn#1971</v>
      </c>
      <c r="B7214" t="str">
        <f>IFERROR(__xludf.DUMMYFUNCTION("""COMPUTED_VALUE"""),"irn")</f>
        <v>irn</v>
      </c>
      <c r="C7214" t="str">
        <f>IFERROR(__xludf.DUMMYFUNCTION("""COMPUTED_VALUE"""),"Iran")</f>
        <v>Iran</v>
      </c>
      <c r="D7214">
        <f>IFERROR(__xludf.DUMMYFUNCTION("""COMPUTED_VALUE"""),1971.0)</f>
        <v>1971</v>
      </c>
      <c r="E7214">
        <f>IFERROR(__xludf.DUMMYFUNCTION("""COMPUTED_VALUE"""),2.9281268E7)</f>
        <v>29281268</v>
      </c>
    </row>
    <row r="7215">
      <c r="A7215" t="str">
        <f t="shared" si="1"/>
        <v>irn#1972</v>
      </c>
      <c r="B7215" t="str">
        <f>IFERROR(__xludf.DUMMYFUNCTION("""COMPUTED_VALUE"""),"irn")</f>
        <v>irn</v>
      </c>
      <c r="C7215" t="str">
        <f>IFERROR(__xludf.DUMMYFUNCTION("""COMPUTED_VALUE"""),"Iran")</f>
        <v>Iran</v>
      </c>
      <c r="D7215">
        <f>IFERROR(__xludf.DUMMYFUNCTION("""COMPUTED_VALUE"""),1972.0)</f>
        <v>1972</v>
      </c>
      <c r="E7215">
        <f>IFERROR(__xludf.DUMMYFUNCTION("""COMPUTED_VALUE"""),3.0074298E7)</f>
        <v>30074298</v>
      </c>
    </row>
    <row r="7216">
      <c r="A7216" t="str">
        <f t="shared" si="1"/>
        <v>irn#1973</v>
      </c>
      <c r="B7216" t="str">
        <f>IFERROR(__xludf.DUMMYFUNCTION("""COMPUTED_VALUE"""),"irn")</f>
        <v>irn</v>
      </c>
      <c r="C7216" t="str">
        <f>IFERROR(__xludf.DUMMYFUNCTION("""COMPUTED_VALUE"""),"Iran")</f>
        <v>Iran</v>
      </c>
      <c r="D7216">
        <f>IFERROR(__xludf.DUMMYFUNCTION("""COMPUTED_VALUE"""),1973.0)</f>
        <v>1973</v>
      </c>
      <c r="E7216">
        <f>IFERROR(__xludf.DUMMYFUNCTION("""COMPUTED_VALUE"""),3.0904271E7)</f>
        <v>30904271</v>
      </c>
    </row>
    <row r="7217">
      <c r="A7217" t="str">
        <f t="shared" si="1"/>
        <v>irn#1974</v>
      </c>
      <c r="B7217" t="str">
        <f>IFERROR(__xludf.DUMMYFUNCTION("""COMPUTED_VALUE"""),"irn")</f>
        <v>irn</v>
      </c>
      <c r="C7217" t="str">
        <f>IFERROR(__xludf.DUMMYFUNCTION("""COMPUTED_VALUE"""),"Iran")</f>
        <v>Iran</v>
      </c>
      <c r="D7217">
        <f>IFERROR(__xludf.DUMMYFUNCTION("""COMPUTED_VALUE"""),1974.0)</f>
        <v>1974</v>
      </c>
      <c r="E7217">
        <f>IFERROR(__xludf.DUMMYFUNCTION("""COMPUTED_VALUE"""),3.17855E7)</f>
        <v>31785500</v>
      </c>
    </row>
    <row r="7218">
      <c r="A7218" t="str">
        <f t="shared" si="1"/>
        <v>irn#1975</v>
      </c>
      <c r="B7218" t="str">
        <f>IFERROR(__xludf.DUMMYFUNCTION("""COMPUTED_VALUE"""),"irn")</f>
        <v>irn</v>
      </c>
      <c r="C7218" t="str">
        <f>IFERROR(__xludf.DUMMYFUNCTION("""COMPUTED_VALUE"""),"Iran")</f>
        <v>Iran</v>
      </c>
      <c r="D7218">
        <f>IFERROR(__xludf.DUMMYFUNCTION("""COMPUTED_VALUE"""),1975.0)</f>
        <v>1975</v>
      </c>
      <c r="E7218">
        <f>IFERROR(__xludf.DUMMYFUNCTION("""COMPUTED_VALUE"""),3.2730554E7)</f>
        <v>32730554</v>
      </c>
    </row>
    <row r="7219">
      <c r="A7219" t="str">
        <f t="shared" si="1"/>
        <v>irn#1976</v>
      </c>
      <c r="B7219" t="str">
        <f>IFERROR(__xludf.DUMMYFUNCTION("""COMPUTED_VALUE"""),"irn")</f>
        <v>irn</v>
      </c>
      <c r="C7219" t="str">
        <f>IFERROR(__xludf.DUMMYFUNCTION("""COMPUTED_VALUE"""),"Iran")</f>
        <v>Iran</v>
      </c>
      <c r="D7219">
        <f>IFERROR(__xludf.DUMMYFUNCTION("""COMPUTED_VALUE"""),1976.0)</f>
        <v>1976</v>
      </c>
      <c r="E7219">
        <f>IFERROR(__xludf.DUMMYFUNCTION("""COMPUTED_VALUE"""),3.3737768E7)</f>
        <v>33737768</v>
      </c>
    </row>
    <row r="7220">
      <c r="A7220" t="str">
        <f t="shared" si="1"/>
        <v>irn#1977</v>
      </c>
      <c r="B7220" t="str">
        <f>IFERROR(__xludf.DUMMYFUNCTION("""COMPUTED_VALUE"""),"irn")</f>
        <v>irn</v>
      </c>
      <c r="C7220" t="str">
        <f>IFERROR(__xludf.DUMMYFUNCTION("""COMPUTED_VALUE"""),"Iran")</f>
        <v>Iran</v>
      </c>
      <c r="D7220">
        <f>IFERROR(__xludf.DUMMYFUNCTION("""COMPUTED_VALUE"""),1977.0)</f>
        <v>1977</v>
      </c>
      <c r="E7220">
        <f>IFERROR(__xludf.DUMMYFUNCTION("""COMPUTED_VALUE"""),3.4810723E7)</f>
        <v>34810723</v>
      </c>
    </row>
    <row r="7221">
      <c r="A7221" t="str">
        <f t="shared" si="1"/>
        <v>irn#1978</v>
      </c>
      <c r="B7221" t="str">
        <f>IFERROR(__xludf.DUMMYFUNCTION("""COMPUTED_VALUE"""),"irn")</f>
        <v>irn</v>
      </c>
      <c r="C7221" t="str">
        <f>IFERROR(__xludf.DUMMYFUNCTION("""COMPUTED_VALUE"""),"Iran")</f>
        <v>Iran</v>
      </c>
      <c r="D7221">
        <f>IFERROR(__xludf.DUMMYFUNCTION("""COMPUTED_VALUE"""),1978.0)</f>
        <v>1978</v>
      </c>
      <c r="E7221">
        <f>IFERROR(__xludf.DUMMYFUNCTION("""COMPUTED_VALUE"""),3.5972652E7)</f>
        <v>35972652</v>
      </c>
    </row>
    <row r="7222">
      <c r="A7222" t="str">
        <f t="shared" si="1"/>
        <v>irn#1979</v>
      </c>
      <c r="B7222" t="str">
        <f>IFERROR(__xludf.DUMMYFUNCTION("""COMPUTED_VALUE"""),"irn")</f>
        <v>irn</v>
      </c>
      <c r="C7222" t="str">
        <f>IFERROR(__xludf.DUMMYFUNCTION("""COMPUTED_VALUE"""),"Iran")</f>
        <v>Iran</v>
      </c>
      <c r="D7222">
        <f>IFERROR(__xludf.DUMMYFUNCTION("""COMPUTED_VALUE"""),1979.0)</f>
        <v>1979</v>
      </c>
      <c r="E7222">
        <f>IFERROR(__xludf.DUMMYFUNCTION("""COMPUTED_VALUE"""),3.7252659E7)</f>
        <v>37252659</v>
      </c>
    </row>
    <row r="7223">
      <c r="A7223" t="str">
        <f t="shared" si="1"/>
        <v>irn#1980</v>
      </c>
      <c r="B7223" t="str">
        <f>IFERROR(__xludf.DUMMYFUNCTION("""COMPUTED_VALUE"""),"irn")</f>
        <v>irn</v>
      </c>
      <c r="C7223" t="str">
        <f>IFERROR(__xludf.DUMMYFUNCTION("""COMPUTED_VALUE"""),"Iran")</f>
        <v>Iran</v>
      </c>
      <c r="D7223">
        <f>IFERROR(__xludf.DUMMYFUNCTION("""COMPUTED_VALUE"""),1980.0)</f>
        <v>1980</v>
      </c>
      <c r="E7223">
        <f>IFERROR(__xludf.DUMMYFUNCTION("""COMPUTED_VALUE"""),3.866822E7)</f>
        <v>38668220</v>
      </c>
    </row>
    <row r="7224">
      <c r="A7224" t="str">
        <f t="shared" si="1"/>
        <v>irn#1981</v>
      </c>
      <c r="B7224" t="str">
        <f>IFERROR(__xludf.DUMMYFUNCTION("""COMPUTED_VALUE"""),"irn")</f>
        <v>irn</v>
      </c>
      <c r="C7224" t="str">
        <f>IFERROR(__xludf.DUMMYFUNCTION("""COMPUTED_VALUE"""),"Iran")</f>
        <v>Iran</v>
      </c>
      <c r="D7224">
        <f>IFERROR(__xludf.DUMMYFUNCTION("""COMPUTED_VALUE"""),1981.0)</f>
        <v>1981</v>
      </c>
      <c r="E7224">
        <f>IFERROR(__xludf.DUMMYFUNCTION("""COMPUTED_VALUE"""),4.0217629E7)</f>
        <v>40217629</v>
      </c>
    </row>
    <row r="7225">
      <c r="A7225" t="str">
        <f t="shared" si="1"/>
        <v>irn#1982</v>
      </c>
      <c r="B7225" t="str">
        <f>IFERROR(__xludf.DUMMYFUNCTION("""COMPUTED_VALUE"""),"irn")</f>
        <v>irn</v>
      </c>
      <c r="C7225" t="str">
        <f>IFERROR(__xludf.DUMMYFUNCTION("""COMPUTED_VALUE"""),"Iran")</f>
        <v>Iran</v>
      </c>
      <c r="D7225">
        <f>IFERROR(__xludf.DUMMYFUNCTION("""COMPUTED_VALUE"""),1982.0)</f>
        <v>1982</v>
      </c>
      <c r="E7225">
        <f>IFERROR(__xludf.DUMMYFUNCTION("""COMPUTED_VALUE"""),4.1883332E7)</f>
        <v>41883332</v>
      </c>
    </row>
    <row r="7226">
      <c r="A7226" t="str">
        <f t="shared" si="1"/>
        <v>irn#1983</v>
      </c>
      <c r="B7226" t="str">
        <f>IFERROR(__xludf.DUMMYFUNCTION("""COMPUTED_VALUE"""),"irn")</f>
        <v>irn</v>
      </c>
      <c r="C7226" t="str">
        <f>IFERROR(__xludf.DUMMYFUNCTION("""COMPUTED_VALUE"""),"Iran")</f>
        <v>Iran</v>
      </c>
      <c r="D7226">
        <f>IFERROR(__xludf.DUMMYFUNCTION("""COMPUTED_VALUE"""),1983.0)</f>
        <v>1983</v>
      </c>
      <c r="E7226">
        <f>IFERROR(__xludf.DUMMYFUNCTION("""COMPUTED_VALUE"""),4.3645092E7)</f>
        <v>43645092</v>
      </c>
    </row>
    <row r="7227">
      <c r="A7227" t="str">
        <f t="shared" si="1"/>
        <v>irn#1984</v>
      </c>
      <c r="B7227" t="str">
        <f>IFERROR(__xludf.DUMMYFUNCTION("""COMPUTED_VALUE"""),"irn")</f>
        <v>irn</v>
      </c>
      <c r="C7227" t="str">
        <f>IFERROR(__xludf.DUMMYFUNCTION("""COMPUTED_VALUE"""),"Iran")</f>
        <v>Iran</v>
      </c>
      <c r="D7227">
        <f>IFERROR(__xludf.DUMMYFUNCTION("""COMPUTED_VALUE"""),1984.0)</f>
        <v>1984</v>
      </c>
      <c r="E7227">
        <f>IFERROR(__xludf.DUMMYFUNCTION("""COMPUTED_VALUE"""),4.5474708E7)</f>
        <v>45474708</v>
      </c>
    </row>
    <row r="7228">
      <c r="A7228" t="str">
        <f t="shared" si="1"/>
        <v>irn#1985</v>
      </c>
      <c r="B7228" t="str">
        <f>IFERROR(__xludf.DUMMYFUNCTION("""COMPUTED_VALUE"""),"irn")</f>
        <v>irn</v>
      </c>
      <c r="C7228" t="str">
        <f>IFERROR(__xludf.DUMMYFUNCTION("""COMPUTED_VALUE"""),"Iran")</f>
        <v>Iran</v>
      </c>
      <c r="D7228">
        <f>IFERROR(__xludf.DUMMYFUNCTION("""COMPUTED_VALUE"""),1985.0)</f>
        <v>1985</v>
      </c>
      <c r="E7228">
        <f>IFERROR(__xludf.DUMMYFUNCTION("""COMPUTED_VALUE"""),4.7342702E7)</f>
        <v>47342702</v>
      </c>
    </row>
    <row r="7229">
      <c r="A7229" t="str">
        <f t="shared" si="1"/>
        <v>irn#1986</v>
      </c>
      <c r="B7229" t="str">
        <f>IFERROR(__xludf.DUMMYFUNCTION("""COMPUTED_VALUE"""),"irn")</f>
        <v>irn</v>
      </c>
      <c r="C7229" t="str">
        <f>IFERROR(__xludf.DUMMYFUNCTION("""COMPUTED_VALUE"""),"Iran")</f>
        <v>Iran</v>
      </c>
      <c r="D7229">
        <f>IFERROR(__xludf.DUMMYFUNCTION("""COMPUTED_VALUE"""),1986.0)</f>
        <v>1986</v>
      </c>
      <c r="E7229">
        <f>IFERROR(__xludf.DUMMYFUNCTION("""COMPUTED_VALUE"""),4.9256842E7)</f>
        <v>49256842</v>
      </c>
    </row>
    <row r="7230">
      <c r="A7230" t="str">
        <f t="shared" si="1"/>
        <v>irn#1987</v>
      </c>
      <c r="B7230" t="str">
        <f>IFERROR(__xludf.DUMMYFUNCTION("""COMPUTED_VALUE"""),"irn")</f>
        <v>irn</v>
      </c>
      <c r="C7230" t="str">
        <f>IFERROR(__xludf.DUMMYFUNCTION("""COMPUTED_VALUE"""),"Iran")</f>
        <v>Iran</v>
      </c>
      <c r="D7230">
        <f>IFERROR(__xludf.DUMMYFUNCTION("""COMPUTED_VALUE"""),1987.0)</f>
        <v>1987</v>
      </c>
      <c r="E7230">
        <f>IFERROR(__xludf.DUMMYFUNCTION("""COMPUTED_VALUE"""),5.1197482E7)</f>
        <v>51197482</v>
      </c>
    </row>
    <row r="7231">
      <c r="A7231" t="str">
        <f t="shared" si="1"/>
        <v>irn#1988</v>
      </c>
      <c r="B7231" t="str">
        <f>IFERROR(__xludf.DUMMYFUNCTION("""COMPUTED_VALUE"""),"irn")</f>
        <v>irn</v>
      </c>
      <c r="C7231" t="str">
        <f>IFERROR(__xludf.DUMMYFUNCTION("""COMPUTED_VALUE"""),"Iran")</f>
        <v>Iran</v>
      </c>
      <c r="D7231">
        <f>IFERROR(__xludf.DUMMYFUNCTION("""COMPUTED_VALUE"""),1988.0)</f>
        <v>1988</v>
      </c>
      <c r="E7231">
        <f>IFERROR(__xludf.DUMMYFUNCTION("""COMPUTED_VALUE"""),5.3075618E7)</f>
        <v>53075618</v>
      </c>
    </row>
    <row r="7232">
      <c r="A7232" t="str">
        <f t="shared" si="1"/>
        <v>irn#1989</v>
      </c>
      <c r="B7232" t="str">
        <f>IFERROR(__xludf.DUMMYFUNCTION("""COMPUTED_VALUE"""),"irn")</f>
        <v>irn</v>
      </c>
      <c r="C7232" t="str">
        <f>IFERROR(__xludf.DUMMYFUNCTION("""COMPUTED_VALUE"""),"Iran")</f>
        <v>Iran</v>
      </c>
      <c r="D7232">
        <f>IFERROR(__xludf.DUMMYFUNCTION("""COMPUTED_VALUE"""),1989.0)</f>
        <v>1989</v>
      </c>
      <c r="E7232">
        <f>IFERROR(__xludf.DUMMYFUNCTION("""COMPUTED_VALUE"""),5.4777114E7)</f>
        <v>54777114</v>
      </c>
    </row>
    <row r="7233">
      <c r="A7233" t="str">
        <f t="shared" si="1"/>
        <v>irn#1990</v>
      </c>
      <c r="B7233" t="str">
        <f>IFERROR(__xludf.DUMMYFUNCTION("""COMPUTED_VALUE"""),"irn")</f>
        <v>irn</v>
      </c>
      <c r="C7233" t="str">
        <f>IFERROR(__xludf.DUMMYFUNCTION("""COMPUTED_VALUE"""),"Iran")</f>
        <v>Iran</v>
      </c>
      <c r="D7233">
        <f>IFERROR(__xludf.DUMMYFUNCTION("""COMPUTED_VALUE"""),1990.0)</f>
        <v>1990</v>
      </c>
      <c r="E7233">
        <f>IFERROR(__xludf.DUMMYFUNCTION("""COMPUTED_VALUE"""),5.6226185E7)</f>
        <v>56226185</v>
      </c>
    </row>
    <row r="7234">
      <c r="A7234" t="str">
        <f t="shared" si="1"/>
        <v>irn#1991</v>
      </c>
      <c r="B7234" t="str">
        <f>IFERROR(__xludf.DUMMYFUNCTION("""COMPUTED_VALUE"""),"irn")</f>
        <v>irn</v>
      </c>
      <c r="C7234" t="str">
        <f>IFERROR(__xludf.DUMMYFUNCTION("""COMPUTED_VALUE"""),"Iran")</f>
        <v>Iran</v>
      </c>
      <c r="D7234">
        <f>IFERROR(__xludf.DUMMYFUNCTION("""COMPUTED_VALUE"""),1991.0)</f>
        <v>1991</v>
      </c>
      <c r="E7234">
        <f>IFERROR(__xludf.DUMMYFUNCTION("""COMPUTED_VALUE"""),5.7375584E7)</f>
        <v>57375584</v>
      </c>
    </row>
    <row r="7235">
      <c r="A7235" t="str">
        <f t="shared" si="1"/>
        <v>irn#1992</v>
      </c>
      <c r="B7235" t="str">
        <f>IFERROR(__xludf.DUMMYFUNCTION("""COMPUTED_VALUE"""),"irn")</f>
        <v>irn</v>
      </c>
      <c r="C7235" t="str">
        <f>IFERROR(__xludf.DUMMYFUNCTION("""COMPUTED_VALUE"""),"Iran")</f>
        <v>Iran</v>
      </c>
      <c r="D7235">
        <f>IFERROR(__xludf.DUMMYFUNCTION("""COMPUTED_VALUE"""),1992.0)</f>
        <v>1992</v>
      </c>
      <c r="E7235">
        <f>IFERROR(__xludf.DUMMYFUNCTION("""COMPUTED_VALUE"""),5.8260738E7)</f>
        <v>58260738</v>
      </c>
    </row>
    <row r="7236">
      <c r="A7236" t="str">
        <f t="shared" si="1"/>
        <v>irn#1993</v>
      </c>
      <c r="B7236" t="str">
        <f>IFERROR(__xludf.DUMMYFUNCTION("""COMPUTED_VALUE"""),"irn")</f>
        <v>irn</v>
      </c>
      <c r="C7236" t="str">
        <f>IFERROR(__xludf.DUMMYFUNCTION("""COMPUTED_VALUE"""),"Iran")</f>
        <v>Iran</v>
      </c>
      <c r="D7236">
        <f>IFERROR(__xludf.DUMMYFUNCTION("""COMPUTED_VALUE"""),1993.0)</f>
        <v>1993</v>
      </c>
      <c r="E7236">
        <f>IFERROR(__xludf.DUMMYFUNCTION("""COMPUTED_VALUE"""),5.8991218E7)</f>
        <v>58991218</v>
      </c>
    </row>
    <row r="7237">
      <c r="A7237" t="str">
        <f t="shared" si="1"/>
        <v>irn#1994</v>
      </c>
      <c r="B7237" t="str">
        <f>IFERROR(__xludf.DUMMYFUNCTION("""COMPUTED_VALUE"""),"irn")</f>
        <v>irn</v>
      </c>
      <c r="C7237" t="str">
        <f>IFERROR(__xludf.DUMMYFUNCTION("""COMPUTED_VALUE"""),"Iran")</f>
        <v>Iran</v>
      </c>
      <c r="D7237">
        <f>IFERROR(__xludf.DUMMYFUNCTION("""COMPUTED_VALUE"""),1994.0)</f>
        <v>1994</v>
      </c>
      <c r="E7237">
        <f>IFERROR(__xludf.DUMMYFUNCTION("""COMPUTED_VALUE"""),5.9725125E7)</f>
        <v>59725125</v>
      </c>
    </row>
    <row r="7238">
      <c r="A7238" t="str">
        <f t="shared" si="1"/>
        <v>irn#1995</v>
      </c>
      <c r="B7238" t="str">
        <f>IFERROR(__xludf.DUMMYFUNCTION("""COMPUTED_VALUE"""),"irn")</f>
        <v>irn</v>
      </c>
      <c r="C7238" t="str">
        <f>IFERROR(__xludf.DUMMYFUNCTION("""COMPUTED_VALUE"""),"Iran")</f>
        <v>Iran</v>
      </c>
      <c r="D7238">
        <f>IFERROR(__xludf.DUMMYFUNCTION("""COMPUTED_VALUE"""),1995.0)</f>
        <v>1995</v>
      </c>
      <c r="E7238">
        <f>IFERROR(__xludf.DUMMYFUNCTION("""COMPUTED_VALUE"""),6.0575644E7)</f>
        <v>60575644</v>
      </c>
    </row>
    <row r="7239">
      <c r="A7239" t="str">
        <f t="shared" si="1"/>
        <v>irn#1996</v>
      </c>
      <c r="B7239" t="str">
        <f>IFERROR(__xludf.DUMMYFUNCTION("""COMPUTED_VALUE"""),"irn")</f>
        <v>irn</v>
      </c>
      <c r="C7239" t="str">
        <f>IFERROR(__xludf.DUMMYFUNCTION("""COMPUTED_VALUE"""),"Iran")</f>
        <v>Iran</v>
      </c>
      <c r="D7239">
        <f>IFERROR(__xludf.DUMMYFUNCTION("""COMPUTED_VALUE"""),1996.0)</f>
        <v>1996</v>
      </c>
      <c r="E7239">
        <f>IFERROR(__xludf.DUMMYFUNCTION("""COMPUTED_VALUE"""),6.1583089E7)</f>
        <v>61583089</v>
      </c>
    </row>
    <row r="7240">
      <c r="A7240" t="str">
        <f t="shared" si="1"/>
        <v>irn#1997</v>
      </c>
      <c r="B7240" t="str">
        <f>IFERROR(__xludf.DUMMYFUNCTION("""COMPUTED_VALUE"""),"irn")</f>
        <v>irn</v>
      </c>
      <c r="C7240" t="str">
        <f>IFERROR(__xludf.DUMMYFUNCTION("""COMPUTED_VALUE"""),"Iran")</f>
        <v>Iran</v>
      </c>
      <c r="D7240">
        <f>IFERROR(__xludf.DUMMYFUNCTION("""COMPUTED_VALUE"""),1997.0)</f>
        <v>1997</v>
      </c>
      <c r="E7240">
        <f>IFERROR(__xludf.DUMMYFUNCTION("""COMPUTED_VALUE"""),6.2710557E7)</f>
        <v>62710557</v>
      </c>
    </row>
    <row r="7241">
      <c r="A7241" t="str">
        <f t="shared" si="1"/>
        <v>irn#1998</v>
      </c>
      <c r="B7241" t="str">
        <f>IFERROR(__xludf.DUMMYFUNCTION("""COMPUTED_VALUE"""),"irn")</f>
        <v>irn</v>
      </c>
      <c r="C7241" t="str">
        <f>IFERROR(__xludf.DUMMYFUNCTION("""COMPUTED_VALUE"""),"Iran")</f>
        <v>Iran</v>
      </c>
      <c r="D7241">
        <f>IFERROR(__xludf.DUMMYFUNCTION("""COMPUTED_VALUE"""),1998.0)</f>
        <v>1998</v>
      </c>
      <c r="E7241">
        <f>IFERROR(__xludf.DUMMYFUNCTION("""COMPUTED_VALUE"""),6.390063E7)</f>
        <v>63900630</v>
      </c>
    </row>
    <row r="7242">
      <c r="A7242" t="str">
        <f t="shared" si="1"/>
        <v>irn#1999</v>
      </c>
      <c r="B7242" t="str">
        <f>IFERROR(__xludf.DUMMYFUNCTION("""COMPUTED_VALUE"""),"irn")</f>
        <v>irn</v>
      </c>
      <c r="C7242" t="str">
        <f>IFERROR(__xludf.DUMMYFUNCTION("""COMPUTED_VALUE"""),"Iran")</f>
        <v>Iran</v>
      </c>
      <c r="D7242">
        <f>IFERROR(__xludf.DUMMYFUNCTION("""COMPUTED_VALUE"""),1999.0)</f>
        <v>1999</v>
      </c>
      <c r="E7242">
        <f>IFERROR(__xludf.DUMMYFUNCTION("""COMPUTED_VALUE"""),6.506266E7)</f>
        <v>65062660</v>
      </c>
    </row>
    <row r="7243">
      <c r="A7243" t="str">
        <f t="shared" si="1"/>
        <v>irn#2000</v>
      </c>
      <c r="B7243" t="str">
        <f>IFERROR(__xludf.DUMMYFUNCTION("""COMPUTED_VALUE"""),"irn")</f>
        <v>irn</v>
      </c>
      <c r="C7243" t="str">
        <f>IFERROR(__xludf.DUMMYFUNCTION("""COMPUTED_VALUE"""),"Iran")</f>
        <v>Iran</v>
      </c>
      <c r="D7243">
        <f>IFERROR(__xludf.DUMMYFUNCTION("""COMPUTED_VALUE"""),2000.0)</f>
        <v>2000</v>
      </c>
      <c r="E7243">
        <f>IFERROR(__xludf.DUMMYFUNCTION("""COMPUTED_VALUE"""),6.6131854E7)</f>
        <v>66131854</v>
      </c>
    </row>
    <row r="7244">
      <c r="A7244" t="str">
        <f t="shared" si="1"/>
        <v>irn#2001</v>
      </c>
      <c r="B7244" t="str">
        <f>IFERROR(__xludf.DUMMYFUNCTION("""COMPUTED_VALUE"""),"irn")</f>
        <v>irn</v>
      </c>
      <c r="C7244" t="str">
        <f>IFERROR(__xludf.DUMMYFUNCTION("""COMPUTED_VALUE"""),"Iran")</f>
        <v>Iran</v>
      </c>
      <c r="D7244">
        <f>IFERROR(__xludf.DUMMYFUNCTION("""COMPUTED_VALUE"""),2001.0)</f>
        <v>2001</v>
      </c>
      <c r="E7244">
        <f>IFERROR(__xludf.DUMMYFUNCTION("""COMPUTED_VALUE"""),6.7096414E7)</f>
        <v>67096414</v>
      </c>
    </row>
    <row r="7245">
      <c r="A7245" t="str">
        <f t="shared" si="1"/>
        <v>irn#2002</v>
      </c>
      <c r="B7245" t="str">
        <f>IFERROR(__xludf.DUMMYFUNCTION("""COMPUTED_VALUE"""),"irn")</f>
        <v>irn</v>
      </c>
      <c r="C7245" t="str">
        <f>IFERROR(__xludf.DUMMYFUNCTION("""COMPUTED_VALUE"""),"Iran")</f>
        <v>Iran</v>
      </c>
      <c r="D7245">
        <f>IFERROR(__xludf.DUMMYFUNCTION("""COMPUTED_VALUE"""),2002.0)</f>
        <v>2002</v>
      </c>
      <c r="E7245">
        <f>IFERROR(__xludf.DUMMYFUNCTION("""COMPUTED_VALUE"""),6.798333E7)</f>
        <v>67983330</v>
      </c>
    </row>
    <row r="7246">
      <c r="A7246" t="str">
        <f t="shared" si="1"/>
        <v>irn#2003</v>
      </c>
      <c r="B7246" t="str">
        <f>IFERROR(__xludf.DUMMYFUNCTION("""COMPUTED_VALUE"""),"irn")</f>
        <v>irn</v>
      </c>
      <c r="C7246" t="str">
        <f>IFERROR(__xludf.DUMMYFUNCTION("""COMPUTED_VALUE"""),"Iran")</f>
        <v>Iran</v>
      </c>
      <c r="D7246">
        <f>IFERROR(__xludf.DUMMYFUNCTION("""COMPUTED_VALUE"""),2003.0)</f>
        <v>2003</v>
      </c>
      <c r="E7246">
        <f>IFERROR(__xludf.DUMMYFUNCTION("""COMPUTED_VALUE"""),6.8812713E7)</f>
        <v>68812713</v>
      </c>
    </row>
    <row r="7247">
      <c r="A7247" t="str">
        <f t="shared" si="1"/>
        <v>irn#2004</v>
      </c>
      <c r="B7247" t="str">
        <f>IFERROR(__xludf.DUMMYFUNCTION("""COMPUTED_VALUE"""),"irn")</f>
        <v>irn</v>
      </c>
      <c r="C7247" t="str">
        <f>IFERROR(__xludf.DUMMYFUNCTION("""COMPUTED_VALUE"""),"Iran")</f>
        <v>Iran</v>
      </c>
      <c r="D7247">
        <f>IFERROR(__xludf.DUMMYFUNCTION("""COMPUTED_VALUE"""),2004.0)</f>
        <v>2004</v>
      </c>
      <c r="E7247">
        <f>IFERROR(__xludf.DUMMYFUNCTION("""COMPUTED_VALUE"""),6.96171E7)</f>
        <v>69617100</v>
      </c>
    </row>
    <row r="7248">
      <c r="A7248" t="str">
        <f t="shared" si="1"/>
        <v>irn#2005</v>
      </c>
      <c r="B7248" t="str">
        <f>IFERROR(__xludf.DUMMYFUNCTION("""COMPUTED_VALUE"""),"irn")</f>
        <v>irn</v>
      </c>
      <c r="C7248" t="str">
        <f>IFERROR(__xludf.DUMMYFUNCTION("""COMPUTED_VALUE"""),"Iran")</f>
        <v>Iran</v>
      </c>
      <c r="D7248">
        <f>IFERROR(__xludf.DUMMYFUNCTION("""COMPUTED_VALUE"""),2005.0)</f>
        <v>2005</v>
      </c>
      <c r="E7248">
        <f>IFERROR(__xludf.DUMMYFUNCTION("""COMPUTED_VALUE"""),7.0421811E7)</f>
        <v>70421811</v>
      </c>
    </row>
    <row r="7249">
      <c r="A7249" t="str">
        <f t="shared" si="1"/>
        <v>irn#2006</v>
      </c>
      <c r="B7249" t="str">
        <f>IFERROR(__xludf.DUMMYFUNCTION("""COMPUTED_VALUE"""),"irn")</f>
        <v>irn</v>
      </c>
      <c r="C7249" t="str">
        <f>IFERROR(__xludf.DUMMYFUNCTION("""COMPUTED_VALUE"""),"Iran")</f>
        <v>Iran</v>
      </c>
      <c r="D7249">
        <f>IFERROR(__xludf.DUMMYFUNCTION("""COMPUTED_VALUE"""),2006.0)</f>
        <v>2006</v>
      </c>
      <c r="E7249">
        <f>IFERROR(__xludf.DUMMYFUNCTION("""COMPUTED_VALUE"""),7.122788E7)</f>
        <v>71227880</v>
      </c>
    </row>
    <row r="7250">
      <c r="A7250" t="str">
        <f t="shared" si="1"/>
        <v>irn#2007</v>
      </c>
      <c r="B7250" t="str">
        <f>IFERROR(__xludf.DUMMYFUNCTION("""COMPUTED_VALUE"""),"irn")</f>
        <v>irn</v>
      </c>
      <c r="C7250" t="str">
        <f>IFERROR(__xludf.DUMMYFUNCTION("""COMPUTED_VALUE"""),"Iran")</f>
        <v>Iran</v>
      </c>
      <c r="D7250">
        <f>IFERROR(__xludf.DUMMYFUNCTION("""COMPUTED_VALUE"""),2007.0)</f>
        <v>2007</v>
      </c>
      <c r="E7250">
        <f>IFERROR(__xludf.DUMMYFUNCTION("""COMPUTED_VALUE"""),7.2031103E7)</f>
        <v>72031103</v>
      </c>
    </row>
    <row r="7251">
      <c r="A7251" t="str">
        <f t="shared" si="1"/>
        <v>irn#2008</v>
      </c>
      <c r="B7251" t="str">
        <f>IFERROR(__xludf.DUMMYFUNCTION("""COMPUTED_VALUE"""),"irn")</f>
        <v>irn</v>
      </c>
      <c r="C7251" t="str">
        <f>IFERROR(__xludf.DUMMYFUNCTION("""COMPUTED_VALUE"""),"Iran")</f>
        <v>Iran</v>
      </c>
      <c r="D7251">
        <f>IFERROR(__xludf.DUMMYFUNCTION("""COMPUTED_VALUE"""),2008.0)</f>
        <v>2008</v>
      </c>
      <c r="E7251">
        <f>IFERROR(__xludf.DUMMYFUNCTION("""COMPUTED_VALUE"""),7.2845542E7)</f>
        <v>72845542</v>
      </c>
    </row>
    <row r="7252">
      <c r="A7252" t="str">
        <f t="shared" si="1"/>
        <v>irn#2009</v>
      </c>
      <c r="B7252" t="str">
        <f>IFERROR(__xludf.DUMMYFUNCTION("""COMPUTED_VALUE"""),"irn")</f>
        <v>irn</v>
      </c>
      <c r="C7252" t="str">
        <f>IFERROR(__xludf.DUMMYFUNCTION("""COMPUTED_VALUE"""),"Iran")</f>
        <v>Iran</v>
      </c>
      <c r="D7252">
        <f>IFERROR(__xludf.DUMMYFUNCTION("""COMPUTED_VALUE"""),2009.0)</f>
        <v>2009</v>
      </c>
      <c r="E7252">
        <f>IFERROR(__xludf.DUMMYFUNCTION("""COMPUTED_VALUE"""),7.3687565E7)</f>
        <v>73687565</v>
      </c>
    </row>
    <row r="7253">
      <c r="A7253" t="str">
        <f t="shared" si="1"/>
        <v>irn#2010</v>
      </c>
      <c r="B7253" t="str">
        <f>IFERROR(__xludf.DUMMYFUNCTION("""COMPUTED_VALUE"""),"irn")</f>
        <v>irn</v>
      </c>
      <c r="C7253" t="str">
        <f>IFERROR(__xludf.DUMMYFUNCTION("""COMPUTED_VALUE"""),"Iran")</f>
        <v>Iran</v>
      </c>
      <c r="D7253">
        <f>IFERROR(__xludf.DUMMYFUNCTION("""COMPUTED_VALUE"""),2010.0)</f>
        <v>2010</v>
      </c>
      <c r="E7253">
        <f>IFERROR(__xludf.DUMMYFUNCTION("""COMPUTED_VALUE"""),7.4567511E7)</f>
        <v>74567511</v>
      </c>
    </row>
    <row r="7254">
      <c r="A7254" t="str">
        <f t="shared" si="1"/>
        <v>irn#2011</v>
      </c>
      <c r="B7254" t="str">
        <f>IFERROR(__xludf.DUMMYFUNCTION("""COMPUTED_VALUE"""),"irn")</f>
        <v>irn</v>
      </c>
      <c r="C7254" t="str">
        <f>IFERROR(__xludf.DUMMYFUNCTION("""COMPUTED_VALUE"""),"Iran")</f>
        <v>Iran</v>
      </c>
      <c r="D7254">
        <f>IFERROR(__xludf.DUMMYFUNCTION("""COMPUTED_VALUE"""),2011.0)</f>
        <v>2011</v>
      </c>
      <c r="E7254">
        <f>IFERROR(__xludf.DUMMYFUNCTION("""COMPUTED_VALUE"""),7.5491582E7)</f>
        <v>75491582</v>
      </c>
    </row>
    <row r="7255">
      <c r="A7255" t="str">
        <f t="shared" si="1"/>
        <v>irn#2012</v>
      </c>
      <c r="B7255" t="str">
        <f>IFERROR(__xludf.DUMMYFUNCTION("""COMPUTED_VALUE"""),"irn")</f>
        <v>irn</v>
      </c>
      <c r="C7255" t="str">
        <f>IFERROR(__xludf.DUMMYFUNCTION("""COMPUTED_VALUE"""),"Iran")</f>
        <v>Iran</v>
      </c>
      <c r="D7255">
        <f>IFERROR(__xludf.DUMMYFUNCTION("""COMPUTED_VALUE"""),2012.0)</f>
        <v>2012</v>
      </c>
      <c r="E7255">
        <f>IFERROR(__xludf.DUMMYFUNCTION("""COMPUTED_VALUE"""),7.6453574E7)</f>
        <v>76453574</v>
      </c>
    </row>
    <row r="7256">
      <c r="A7256" t="str">
        <f t="shared" si="1"/>
        <v>irn#2013</v>
      </c>
      <c r="B7256" t="str">
        <f>IFERROR(__xludf.DUMMYFUNCTION("""COMPUTED_VALUE"""),"irn")</f>
        <v>irn</v>
      </c>
      <c r="C7256" t="str">
        <f>IFERROR(__xludf.DUMMYFUNCTION("""COMPUTED_VALUE"""),"Iran")</f>
        <v>Iran</v>
      </c>
      <c r="D7256">
        <f>IFERROR(__xludf.DUMMYFUNCTION("""COMPUTED_VALUE"""),2013.0)</f>
        <v>2013</v>
      </c>
      <c r="E7256">
        <f>IFERROR(__xludf.DUMMYFUNCTION("""COMPUTED_VALUE"""),7.7435384E7)</f>
        <v>77435384</v>
      </c>
    </row>
    <row r="7257">
      <c r="A7257" t="str">
        <f t="shared" si="1"/>
        <v>irn#2014</v>
      </c>
      <c r="B7257" t="str">
        <f>IFERROR(__xludf.DUMMYFUNCTION("""COMPUTED_VALUE"""),"irn")</f>
        <v>irn</v>
      </c>
      <c r="C7257" t="str">
        <f>IFERROR(__xludf.DUMMYFUNCTION("""COMPUTED_VALUE"""),"Iran")</f>
        <v>Iran</v>
      </c>
      <c r="D7257">
        <f>IFERROR(__xludf.DUMMYFUNCTION("""COMPUTED_VALUE"""),2014.0)</f>
        <v>2014</v>
      </c>
      <c r="E7257">
        <f>IFERROR(__xludf.DUMMYFUNCTION("""COMPUTED_VALUE"""),7.8411092E7)</f>
        <v>78411092</v>
      </c>
    </row>
    <row r="7258">
      <c r="A7258" t="str">
        <f t="shared" si="1"/>
        <v>irn#2015</v>
      </c>
      <c r="B7258" t="str">
        <f>IFERROR(__xludf.DUMMYFUNCTION("""COMPUTED_VALUE"""),"irn")</f>
        <v>irn</v>
      </c>
      <c r="C7258" t="str">
        <f>IFERROR(__xludf.DUMMYFUNCTION("""COMPUTED_VALUE"""),"Iran")</f>
        <v>Iran</v>
      </c>
      <c r="D7258">
        <f>IFERROR(__xludf.DUMMYFUNCTION("""COMPUTED_VALUE"""),2015.0)</f>
        <v>2015</v>
      </c>
      <c r="E7258">
        <f>IFERROR(__xludf.DUMMYFUNCTION("""COMPUTED_VALUE"""),7.9360487E7)</f>
        <v>79360487</v>
      </c>
    </row>
    <row r="7259">
      <c r="A7259" t="str">
        <f t="shared" si="1"/>
        <v>irn#2016</v>
      </c>
      <c r="B7259" t="str">
        <f>IFERROR(__xludf.DUMMYFUNCTION("""COMPUTED_VALUE"""),"irn")</f>
        <v>irn</v>
      </c>
      <c r="C7259" t="str">
        <f>IFERROR(__xludf.DUMMYFUNCTION("""COMPUTED_VALUE"""),"Iran")</f>
        <v>Iran</v>
      </c>
      <c r="D7259">
        <f>IFERROR(__xludf.DUMMYFUNCTION("""COMPUTED_VALUE"""),2016.0)</f>
        <v>2016</v>
      </c>
      <c r="E7259">
        <f>IFERROR(__xludf.DUMMYFUNCTION("""COMPUTED_VALUE"""),8.0277428E7)</f>
        <v>80277428</v>
      </c>
    </row>
    <row r="7260">
      <c r="A7260" t="str">
        <f t="shared" si="1"/>
        <v>irn#2017</v>
      </c>
      <c r="B7260" t="str">
        <f>IFERROR(__xludf.DUMMYFUNCTION("""COMPUTED_VALUE"""),"irn")</f>
        <v>irn</v>
      </c>
      <c r="C7260" t="str">
        <f>IFERROR(__xludf.DUMMYFUNCTION("""COMPUTED_VALUE"""),"Iran")</f>
        <v>Iran</v>
      </c>
      <c r="D7260">
        <f>IFERROR(__xludf.DUMMYFUNCTION("""COMPUTED_VALUE"""),2017.0)</f>
        <v>2017</v>
      </c>
      <c r="E7260">
        <f>IFERROR(__xludf.DUMMYFUNCTION("""COMPUTED_VALUE"""),8.1162788E7)</f>
        <v>81162788</v>
      </c>
    </row>
    <row r="7261">
      <c r="A7261" t="str">
        <f t="shared" si="1"/>
        <v>irn#2018</v>
      </c>
      <c r="B7261" t="str">
        <f>IFERROR(__xludf.DUMMYFUNCTION("""COMPUTED_VALUE"""),"irn")</f>
        <v>irn</v>
      </c>
      <c r="C7261" t="str">
        <f>IFERROR(__xludf.DUMMYFUNCTION("""COMPUTED_VALUE"""),"Iran")</f>
        <v>Iran</v>
      </c>
      <c r="D7261">
        <f>IFERROR(__xludf.DUMMYFUNCTION("""COMPUTED_VALUE"""),2018.0)</f>
        <v>2018</v>
      </c>
      <c r="E7261">
        <f>IFERROR(__xludf.DUMMYFUNCTION("""COMPUTED_VALUE"""),8.2011735E7)</f>
        <v>82011735</v>
      </c>
    </row>
    <row r="7262">
      <c r="A7262" t="str">
        <f t="shared" si="1"/>
        <v>irn#2019</v>
      </c>
      <c r="B7262" t="str">
        <f>IFERROR(__xludf.DUMMYFUNCTION("""COMPUTED_VALUE"""),"irn")</f>
        <v>irn</v>
      </c>
      <c r="C7262" t="str">
        <f>IFERROR(__xludf.DUMMYFUNCTION("""COMPUTED_VALUE"""),"Iran")</f>
        <v>Iran</v>
      </c>
      <c r="D7262">
        <f>IFERROR(__xludf.DUMMYFUNCTION("""COMPUTED_VALUE"""),2019.0)</f>
        <v>2019</v>
      </c>
      <c r="E7262">
        <f>IFERROR(__xludf.DUMMYFUNCTION("""COMPUTED_VALUE"""),8.2820766E7)</f>
        <v>82820766</v>
      </c>
    </row>
    <row r="7263">
      <c r="A7263" t="str">
        <f t="shared" si="1"/>
        <v>irn#2020</v>
      </c>
      <c r="B7263" t="str">
        <f>IFERROR(__xludf.DUMMYFUNCTION("""COMPUTED_VALUE"""),"irn")</f>
        <v>irn</v>
      </c>
      <c r="C7263" t="str">
        <f>IFERROR(__xludf.DUMMYFUNCTION("""COMPUTED_VALUE"""),"Iran")</f>
        <v>Iran</v>
      </c>
      <c r="D7263">
        <f>IFERROR(__xludf.DUMMYFUNCTION("""COMPUTED_VALUE"""),2020.0)</f>
        <v>2020</v>
      </c>
      <c r="E7263">
        <f>IFERROR(__xludf.DUMMYFUNCTION("""COMPUTED_VALUE"""),8.3587129E7)</f>
        <v>83587129</v>
      </c>
    </row>
    <row r="7264">
      <c r="A7264" t="str">
        <f t="shared" si="1"/>
        <v>irn#2021</v>
      </c>
      <c r="B7264" t="str">
        <f>IFERROR(__xludf.DUMMYFUNCTION("""COMPUTED_VALUE"""),"irn")</f>
        <v>irn</v>
      </c>
      <c r="C7264" t="str">
        <f>IFERROR(__xludf.DUMMYFUNCTION("""COMPUTED_VALUE"""),"Iran")</f>
        <v>Iran</v>
      </c>
      <c r="D7264">
        <f>IFERROR(__xludf.DUMMYFUNCTION("""COMPUTED_VALUE"""),2021.0)</f>
        <v>2021</v>
      </c>
      <c r="E7264">
        <f>IFERROR(__xludf.DUMMYFUNCTION("""COMPUTED_VALUE"""),8.4308039E7)</f>
        <v>84308039</v>
      </c>
    </row>
    <row r="7265">
      <c r="A7265" t="str">
        <f t="shared" si="1"/>
        <v>irn#2022</v>
      </c>
      <c r="B7265" t="str">
        <f>IFERROR(__xludf.DUMMYFUNCTION("""COMPUTED_VALUE"""),"irn")</f>
        <v>irn</v>
      </c>
      <c r="C7265" t="str">
        <f>IFERROR(__xludf.DUMMYFUNCTION("""COMPUTED_VALUE"""),"Iran")</f>
        <v>Iran</v>
      </c>
      <c r="D7265">
        <f>IFERROR(__xludf.DUMMYFUNCTION("""COMPUTED_VALUE"""),2022.0)</f>
        <v>2022</v>
      </c>
      <c r="E7265">
        <f>IFERROR(__xludf.DUMMYFUNCTION("""COMPUTED_VALUE"""),8.4981814E7)</f>
        <v>84981814</v>
      </c>
    </row>
    <row r="7266">
      <c r="A7266" t="str">
        <f t="shared" si="1"/>
        <v>irn#2023</v>
      </c>
      <c r="B7266" t="str">
        <f>IFERROR(__xludf.DUMMYFUNCTION("""COMPUTED_VALUE"""),"irn")</f>
        <v>irn</v>
      </c>
      <c r="C7266" t="str">
        <f>IFERROR(__xludf.DUMMYFUNCTION("""COMPUTED_VALUE"""),"Iran")</f>
        <v>Iran</v>
      </c>
      <c r="D7266">
        <f>IFERROR(__xludf.DUMMYFUNCTION("""COMPUTED_VALUE"""),2023.0)</f>
        <v>2023</v>
      </c>
      <c r="E7266">
        <f>IFERROR(__xludf.DUMMYFUNCTION("""COMPUTED_VALUE"""),8.5608868E7)</f>
        <v>85608868</v>
      </c>
    </row>
    <row r="7267">
      <c r="A7267" t="str">
        <f t="shared" si="1"/>
        <v>irn#2024</v>
      </c>
      <c r="B7267" t="str">
        <f>IFERROR(__xludf.DUMMYFUNCTION("""COMPUTED_VALUE"""),"irn")</f>
        <v>irn</v>
      </c>
      <c r="C7267" t="str">
        <f>IFERROR(__xludf.DUMMYFUNCTION("""COMPUTED_VALUE"""),"Iran")</f>
        <v>Iran</v>
      </c>
      <c r="D7267">
        <f>IFERROR(__xludf.DUMMYFUNCTION("""COMPUTED_VALUE"""),2024.0)</f>
        <v>2024</v>
      </c>
      <c r="E7267">
        <f>IFERROR(__xludf.DUMMYFUNCTION("""COMPUTED_VALUE"""),8.6190846E7)</f>
        <v>86190846</v>
      </c>
    </row>
    <row r="7268">
      <c r="A7268" t="str">
        <f t="shared" si="1"/>
        <v>irn#2025</v>
      </c>
      <c r="B7268" t="str">
        <f>IFERROR(__xludf.DUMMYFUNCTION("""COMPUTED_VALUE"""),"irn")</f>
        <v>irn</v>
      </c>
      <c r="C7268" t="str">
        <f>IFERROR(__xludf.DUMMYFUNCTION("""COMPUTED_VALUE"""),"Iran")</f>
        <v>Iran</v>
      </c>
      <c r="D7268">
        <f>IFERROR(__xludf.DUMMYFUNCTION("""COMPUTED_VALUE"""),2025.0)</f>
        <v>2025</v>
      </c>
      <c r="E7268">
        <f>IFERROR(__xludf.DUMMYFUNCTION("""COMPUTED_VALUE"""),8.6729781E7)</f>
        <v>86729781</v>
      </c>
    </row>
    <row r="7269">
      <c r="A7269" t="str">
        <f t="shared" si="1"/>
        <v>irn#2026</v>
      </c>
      <c r="B7269" t="str">
        <f>IFERROR(__xludf.DUMMYFUNCTION("""COMPUTED_VALUE"""),"irn")</f>
        <v>irn</v>
      </c>
      <c r="C7269" t="str">
        <f>IFERROR(__xludf.DUMMYFUNCTION("""COMPUTED_VALUE"""),"Iran")</f>
        <v>Iran</v>
      </c>
      <c r="D7269">
        <f>IFERROR(__xludf.DUMMYFUNCTION("""COMPUTED_VALUE"""),2026.0)</f>
        <v>2026</v>
      </c>
      <c r="E7269">
        <f>IFERROR(__xludf.DUMMYFUNCTION("""COMPUTED_VALUE"""),8.722592E7)</f>
        <v>87225920</v>
      </c>
    </row>
    <row r="7270">
      <c r="A7270" t="str">
        <f t="shared" si="1"/>
        <v>irn#2027</v>
      </c>
      <c r="B7270" t="str">
        <f>IFERROR(__xludf.DUMMYFUNCTION("""COMPUTED_VALUE"""),"irn")</f>
        <v>irn</v>
      </c>
      <c r="C7270" t="str">
        <f>IFERROR(__xludf.DUMMYFUNCTION("""COMPUTED_VALUE"""),"Iran")</f>
        <v>Iran</v>
      </c>
      <c r="D7270">
        <f>IFERROR(__xludf.DUMMYFUNCTION("""COMPUTED_VALUE"""),2027.0)</f>
        <v>2027</v>
      </c>
      <c r="E7270">
        <f>IFERROR(__xludf.DUMMYFUNCTION("""COMPUTED_VALUE"""),8.7681034E7)</f>
        <v>87681034</v>
      </c>
    </row>
    <row r="7271">
      <c r="A7271" t="str">
        <f t="shared" si="1"/>
        <v>irn#2028</v>
      </c>
      <c r="B7271" t="str">
        <f>IFERROR(__xludf.DUMMYFUNCTION("""COMPUTED_VALUE"""),"irn")</f>
        <v>irn</v>
      </c>
      <c r="C7271" t="str">
        <f>IFERROR(__xludf.DUMMYFUNCTION("""COMPUTED_VALUE"""),"Iran")</f>
        <v>Iran</v>
      </c>
      <c r="D7271">
        <f>IFERROR(__xludf.DUMMYFUNCTION("""COMPUTED_VALUE"""),2028.0)</f>
        <v>2028</v>
      </c>
      <c r="E7271">
        <f>IFERROR(__xludf.DUMMYFUNCTION("""COMPUTED_VALUE"""),8.8100893E7)</f>
        <v>88100893</v>
      </c>
    </row>
    <row r="7272">
      <c r="A7272" t="str">
        <f t="shared" si="1"/>
        <v>irn#2029</v>
      </c>
      <c r="B7272" t="str">
        <f>IFERROR(__xludf.DUMMYFUNCTION("""COMPUTED_VALUE"""),"irn")</f>
        <v>irn</v>
      </c>
      <c r="C7272" t="str">
        <f>IFERROR(__xludf.DUMMYFUNCTION("""COMPUTED_VALUE"""),"Iran")</f>
        <v>Iran</v>
      </c>
      <c r="D7272">
        <f>IFERROR(__xludf.DUMMYFUNCTION("""COMPUTED_VALUE"""),2029.0)</f>
        <v>2029</v>
      </c>
      <c r="E7272">
        <f>IFERROR(__xludf.DUMMYFUNCTION("""COMPUTED_VALUE"""),8.8492921E7)</f>
        <v>88492921</v>
      </c>
    </row>
    <row r="7273">
      <c r="A7273" t="str">
        <f t="shared" si="1"/>
        <v>irn#2030</v>
      </c>
      <c r="B7273" t="str">
        <f>IFERROR(__xludf.DUMMYFUNCTION("""COMPUTED_VALUE"""),"irn")</f>
        <v>irn</v>
      </c>
      <c r="C7273" t="str">
        <f>IFERROR(__xludf.DUMMYFUNCTION("""COMPUTED_VALUE"""),"Iran")</f>
        <v>Iran</v>
      </c>
      <c r="D7273">
        <f>IFERROR(__xludf.DUMMYFUNCTION("""COMPUTED_VALUE"""),2030.0)</f>
        <v>2030</v>
      </c>
      <c r="E7273">
        <f>IFERROR(__xludf.DUMMYFUNCTION("""COMPUTED_VALUE"""),8.8863308E7)</f>
        <v>88863308</v>
      </c>
    </row>
    <row r="7274">
      <c r="A7274" t="str">
        <f t="shared" si="1"/>
        <v>irn#2031</v>
      </c>
      <c r="B7274" t="str">
        <f>IFERROR(__xludf.DUMMYFUNCTION("""COMPUTED_VALUE"""),"irn")</f>
        <v>irn</v>
      </c>
      <c r="C7274" t="str">
        <f>IFERROR(__xludf.DUMMYFUNCTION("""COMPUTED_VALUE"""),"Iran")</f>
        <v>Iran</v>
      </c>
      <c r="D7274">
        <f>IFERROR(__xludf.DUMMYFUNCTION("""COMPUTED_VALUE"""),2031.0)</f>
        <v>2031</v>
      </c>
      <c r="E7274">
        <f>IFERROR(__xludf.DUMMYFUNCTION("""COMPUTED_VALUE"""),8.9214452E7)</f>
        <v>89214452</v>
      </c>
    </row>
    <row r="7275">
      <c r="A7275" t="str">
        <f t="shared" si="1"/>
        <v>irn#2032</v>
      </c>
      <c r="B7275" t="str">
        <f>IFERROR(__xludf.DUMMYFUNCTION("""COMPUTED_VALUE"""),"irn")</f>
        <v>irn</v>
      </c>
      <c r="C7275" t="str">
        <f>IFERROR(__xludf.DUMMYFUNCTION("""COMPUTED_VALUE"""),"Iran")</f>
        <v>Iran</v>
      </c>
      <c r="D7275">
        <f>IFERROR(__xludf.DUMMYFUNCTION("""COMPUTED_VALUE"""),2032.0)</f>
        <v>2032</v>
      </c>
      <c r="E7275">
        <f>IFERROR(__xludf.DUMMYFUNCTION("""COMPUTED_VALUE"""),8.9547756E7)</f>
        <v>89547756</v>
      </c>
    </row>
    <row r="7276">
      <c r="A7276" t="str">
        <f t="shared" si="1"/>
        <v>irn#2033</v>
      </c>
      <c r="B7276" t="str">
        <f>IFERROR(__xludf.DUMMYFUNCTION("""COMPUTED_VALUE"""),"irn")</f>
        <v>irn</v>
      </c>
      <c r="C7276" t="str">
        <f>IFERROR(__xludf.DUMMYFUNCTION("""COMPUTED_VALUE"""),"Iran")</f>
        <v>Iran</v>
      </c>
      <c r="D7276">
        <f>IFERROR(__xludf.DUMMYFUNCTION("""COMPUTED_VALUE"""),2033.0)</f>
        <v>2033</v>
      </c>
      <c r="E7276">
        <f>IFERROR(__xludf.DUMMYFUNCTION("""COMPUTED_VALUE"""),8.9867078E7)</f>
        <v>89867078</v>
      </c>
    </row>
    <row r="7277">
      <c r="A7277" t="str">
        <f t="shared" si="1"/>
        <v>irn#2034</v>
      </c>
      <c r="B7277" t="str">
        <f>IFERROR(__xludf.DUMMYFUNCTION("""COMPUTED_VALUE"""),"irn")</f>
        <v>irn</v>
      </c>
      <c r="C7277" t="str">
        <f>IFERROR(__xludf.DUMMYFUNCTION("""COMPUTED_VALUE"""),"Iran")</f>
        <v>Iran</v>
      </c>
      <c r="D7277">
        <f>IFERROR(__xludf.DUMMYFUNCTION("""COMPUTED_VALUE"""),2034.0)</f>
        <v>2034</v>
      </c>
      <c r="E7277">
        <f>IFERROR(__xludf.DUMMYFUNCTION("""COMPUTED_VALUE"""),9.0176445E7)</f>
        <v>90176445</v>
      </c>
    </row>
    <row r="7278">
      <c r="A7278" t="str">
        <f t="shared" si="1"/>
        <v>irn#2035</v>
      </c>
      <c r="B7278" t="str">
        <f>IFERROR(__xludf.DUMMYFUNCTION("""COMPUTED_VALUE"""),"irn")</f>
        <v>irn</v>
      </c>
      <c r="C7278" t="str">
        <f>IFERROR(__xludf.DUMMYFUNCTION("""COMPUTED_VALUE"""),"Iran")</f>
        <v>Iran</v>
      </c>
      <c r="D7278">
        <f>IFERROR(__xludf.DUMMYFUNCTION("""COMPUTED_VALUE"""),2035.0)</f>
        <v>2035</v>
      </c>
      <c r="E7278">
        <f>IFERROR(__xludf.DUMMYFUNCTION("""COMPUTED_VALUE"""),9.0478779E7)</f>
        <v>90478779</v>
      </c>
    </row>
    <row r="7279">
      <c r="A7279" t="str">
        <f t="shared" si="1"/>
        <v>irn#2036</v>
      </c>
      <c r="B7279" t="str">
        <f>IFERROR(__xludf.DUMMYFUNCTION("""COMPUTED_VALUE"""),"irn")</f>
        <v>irn</v>
      </c>
      <c r="C7279" t="str">
        <f>IFERROR(__xludf.DUMMYFUNCTION("""COMPUTED_VALUE"""),"Iran")</f>
        <v>Iran</v>
      </c>
      <c r="D7279">
        <f>IFERROR(__xludf.DUMMYFUNCTION("""COMPUTED_VALUE"""),2036.0)</f>
        <v>2036</v>
      </c>
      <c r="E7279">
        <f>IFERROR(__xludf.DUMMYFUNCTION("""COMPUTED_VALUE"""),9.0775584E7)</f>
        <v>90775584</v>
      </c>
    </row>
    <row r="7280">
      <c r="A7280" t="str">
        <f t="shared" si="1"/>
        <v>irn#2037</v>
      </c>
      <c r="B7280" t="str">
        <f>IFERROR(__xludf.DUMMYFUNCTION("""COMPUTED_VALUE"""),"irn")</f>
        <v>irn</v>
      </c>
      <c r="C7280" t="str">
        <f>IFERROR(__xludf.DUMMYFUNCTION("""COMPUTED_VALUE"""),"Iran")</f>
        <v>Iran</v>
      </c>
      <c r="D7280">
        <f>IFERROR(__xludf.DUMMYFUNCTION("""COMPUTED_VALUE"""),2037.0)</f>
        <v>2037</v>
      </c>
      <c r="E7280">
        <f>IFERROR(__xludf.DUMMYFUNCTION("""COMPUTED_VALUE"""),9.1066938E7)</f>
        <v>91066938</v>
      </c>
    </row>
    <row r="7281">
      <c r="A7281" t="str">
        <f t="shared" si="1"/>
        <v>irn#2038</v>
      </c>
      <c r="B7281" t="str">
        <f>IFERROR(__xludf.DUMMYFUNCTION("""COMPUTED_VALUE"""),"irn")</f>
        <v>irn</v>
      </c>
      <c r="C7281" t="str">
        <f>IFERROR(__xludf.DUMMYFUNCTION("""COMPUTED_VALUE"""),"Iran")</f>
        <v>Iran</v>
      </c>
      <c r="D7281">
        <f>IFERROR(__xludf.DUMMYFUNCTION("""COMPUTED_VALUE"""),2038.0)</f>
        <v>2038</v>
      </c>
      <c r="E7281">
        <f>IFERROR(__xludf.DUMMYFUNCTION("""COMPUTED_VALUE"""),9.1352328E7)</f>
        <v>91352328</v>
      </c>
    </row>
    <row r="7282">
      <c r="A7282" t="str">
        <f t="shared" si="1"/>
        <v>irn#2039</v>
      </c>
      <c r="B7282" t="str">
        <f>IFERROR(__xludf.DUMMYFUNCTION("""COMPUTED_VALUE"""),"irn")</f>
        <v>irn</v>
      </c>
      <c r="C7282" t="str">
        <f>IFERROR(__xludf.DUMMYFUNCTION("""COMPUTED_VALUE"""),"Iran")</f>
        <v>Iran</v>
      </c>
      <c r="D7282">
        <f>IFERROR(__xludf.DUMMYFUNCTION("""COMPUTED_VALUE"""),2039.0)</f>
        <v>2039</v>
      </c>
      <c r="E7282">
        <f>IFERROR(__xludf.DUMMYFUNCTION("""COMPUTED_VALUE"""),9.1630373E7)</f>
        <v>91630373</v>
      </c>
    </row>
    <row r="7283">
      <c r="A7283" t="str">
        <f t="shared" si="1"/>
        <v>irn#2040</v>
      </c>
      <c r="B7283" t="str">
        <f>IFERROR(__xludf.DUMMYFUNCTION("""COMPUTED_VALUE"""),"irn")</f>
        <v>irn</v>
      </c>
      <c r="C7283" t="str">
        <f>IFERROR(__xludf.DUMMYFUNCTION("""COMPUTED_VALUE"""),"Iran")</f>
        <v>Iran</v>
      </c>
      <c r="D7283">
        <f>IFERROR(__xludf.DUMMYFUNCTION("""COMPUTED_VALUE"""),2040.0)</f>
        <v>2040</v>
      </c>
      <c r="E7283">
        <f>IFERROR(__xludf.DUMMYFUNCTION("""COMPUTED_VALUE"""),9.1899463E7)</f>
        <v>91899463</v>
      </c>
    </row>
    <row r="7284">
      <c r="A7284" t="str">
        <f t="shared" si="1"/>
        <v>irq#1950</v>
      </c>
      <c r="B7284" t="str">
        <f>IFERROR(__xludf.DUMMYFUNCTION("""COMPUTED_VALUE"""),"irq")</f>
        <v>irq</v>
      </c>
      <c r="C7284" t="str">
        <f>IFERROR(__xludf.DUMMYFUNCTION("""COMPUTED_VALUE"""),"Iraq")</f>
        <v>Iraq</v>
      </c>
      <c r="D7284">
        <f>IFERROR(__xludf.DUMMYFUNCTION("""COMPUTED_VALUE"""),1950.0)</f>
        <v>1950</v>
      </c>
      <c r="E7284">
        <f>IFERROR(__xludf.DUMMYFUNCTION("""COMPUTED_VALUE"""),5719192.0)</f>
        <v>5719192</v>
      </c>
    </row>
    <row r="7285">
      <c r="A7285" t="str">
        <f t="shared" si="1"/>
        <v>irq#1951</v>
      </c>
      <c r="B7285" t="str">
        <f>IFERROR(__xludf.DUMMYFUNCTION("""COMPUTED_VALUE"""),"irq")</f>
        <v>irq</v>
      </c>
      <c r="C7285" t="str">
        <f>IFERROR(__xludf.DUMMYFUNCTION("""COMPUTED_VALUE"""),"Iraq")</f>
        <v>Iraq</v>
      </c>
      <c r="D7285">
        <f>IFERROR(__xludf.DUMMYFUNCTION("""COMPUTED_VALUE"""),1951.0)</f>
        <v>1951</v>
      </c>
      <c r="E7285">
        <f>IFERROR(__xludf.DUMMYFUNCTION("""COMPUTED_VALUE"""),5901505.0)</f>
        <v>5901505</v>
      </c>
    </row>
    <row r="7286">
      <c r="A7286" t="str">
        <f t="shared" si="1"/>
        <v>irq#1952</v>
      </c>
      <c r="B7286" t="str">
        <f>IFERROR(__xludf.DUMMYFUNCTION("""COMPUTED_VALUE"""),"irq")</f>
        <v>irq</v>
      </c>
      <c r="C7286" t="str">
        <f>IFERROR(__xludf.DUMMYFUNCTION("""COMPUTED_VALUE"""),"Iraq")</f>
        <v>Iraq</v>
      </c>
      <c r="D7286">
        <f>IFERROR(__xludf.DUMMYFUNCTION("""COMPUTED_VALUE"""),1952.0)</f>
        <v>1952</v>
      </c>
      <c r="E7286">
        <f>IFERROR(__xludf.DUMMYFUNCTION("""COMPUTED_VALUE"""),6065010.0)</f>
        <v>6065010</v>
      </c>
    </row>
    <row r="7287">
      <c r="A7287" t="str">
        <f t="shared" si="1"/>
        <v>irq#1953</v>
      </c>
      <c r="B7287" t="str">
        <f>IFERROR(__xludf.DUMMYFUNCTION("""COMPUTED_VALUE"""),"irq")</f>
        <v>irq</v>
      </c>
      <c r="C7287" t="str">
        <f>IFERROR(__xludf.DUMMYFUNCTION("""COMPUTED_VALUE"""),"Iraq")</f>
        <v>Iraq</v>
      </c>
      <c r="D7287">
        <f>IFERROR(__xludf.DUMMYFUNCTION("""COMPUTED_VALUE"""),1953.0)</f>
        <v>1953</v>
      </c>
      <c r="E7287">
        <f>IFERROR(__xludf.DUMMYFUNCTION("""COMPUTED_VALUE"""),6216131.0)</f>
        <v>6216131</v>
      </c>
    </row>
    <row r="7288">
      <c r="A7288" t="str">
        <f t="shared" si="1"/>
        <v>irq#1954</v>
      </c>
      <c r="B7288" t="str">
        <f>IFERROR(__xludf.DUMMYFUNCTION("""COMPUTED_VALUE"""),"irq")</f>
        <v>irq</v>
      </c>
      <c r="C7288" t="str">
        <f>IFERROR(__xludf.DUMMYFUNCTION("""COMPUTED_VALUE"""),"Iraq")</f>
        <v>Iraq</v>
      </c>
      <c r="D7288">
        <f>IFERROR(__xludf.DUMMYFUNCTION("""COMPUTED_VALUE"""),1954.0)</f>
        <v>1954</v>
      </c>
      <c r="E7288">
        <f>IFERROR(__xludf.DUMMYFUNCTION("""COMPUTED_VALUE"""),6360439.0)</f>
        <v>6360439</v>
      </c>
    </row>
    <row r="7289">
      <c r="A7289" t="str">
        <f t="shared" si="1"/>
        <v>irq#1955</v>
      </c>
      <c r="B7289" t="str">
        <f>IFERROR(__xludf.DUMMYFUNCTION("""COMPUTED_VALUE"""),"irq")</f>
        <v>irq</v>
      </c>
      <c r="C7289" t="str">
        <f>IFERROR(__xludf.DUMMYFUNCTION("""COMPUTED_VALUE"""),"Iraq")</f>
        <v>Iraq</v>
      </c>
      <c r="D7289">
        <f>IFERROR(__xludf.DUMMYFUNCTION("""COMPUTED_VALUE"""),1955.0)</f>
        <v>1955</v>
      </c>
      <c r="E7289">
        <f>IFERROR(__xludf.DUMMYFUNCTION("""COMPUTED_VALUE"""),6502657.0)</f>
        <v>6502657</v>
      </c>
    </row>
    <row r="7290">
      <c r="A7290" t="str">
        <f t="shared" si="1"/>
        <v>irq#1956</v>
      </c>
      <c r="B7290" t="str">
        <f>IFERROR(__xludf.DUMMYFUNCTION("""COMPUTED_VALUE"""),"irq")</f>
        <v>irq</v>
      </c>
      <c r="C7290" t="str">
        <f>IFERROR(__xludf.DUMMYFUNCTION("""COMPUTED_VALUE"""),"Iraq")</f>
        <v>Iraq</v>
      </c>
      <c r="D7290">
        <f>IFERROR(__xludf.DUMMYFUNCTION("""COMPUTED_VALUE"""),1956.0)</f>
        <v>1956</v>
      </c>
      <c r="E7290">
        <f>IFERROR(__xludf.DUMMYFUNCTION("""COMPUTED_VALUE"""),6646643.0)</f>
        <v>6646643</v>
      </c>
    </row>
    <row r="7291">
      <c r="A7291" t="str">
        <f t="shared" si="1"/>
        <v>irq#1957</v>
      </c>
      <c r="B7291" t="str">
        <f>IFERROR(__xludf.DUMMYFUNCTION("""COMPUTED_VALUE"""),"irq")</f>
        <v>irq</v>
      </c>
      <c r="C7291" t="str">
        <f>IFERROR(__xludf.DUMMYFUNCTION("""COMPUTED_VALUE"""),"Iraq")</f>
        <v>Iraq</v>
      </c>
      <c r="D7291">
        <f>IFERROR(__xludf.DUMMYFUNCTION("""COMPUTED_VALUE"""),1957.0)</f>
        <v>1957</v>
      </c>
      <c r="E7291">
        <f>IFERROR(__xludf.DUMMYFUNCTION("""COMPUTED_VALUE"""),6795397.0)</f>
        <v>6795397</v>
      </c>
    </row>
    <row r="7292">
      <c r="A7292" t="str">
        <f t="shared" si="1"/>
        <v>irq#1958</v>
      </c>
      <c r="B7292" t="str">
        <f>IFERROR(__xludf.DUMMYFUNCTION("""COMPUTED_VALUE"""),"irq")</f>
        <v>irq</v>
      </c>
      <c r="C7292" t="str">
        <f>IFERROR(__xludf.DUMMYFUNCTION("""COMPUTED_VALUE"""),"Iraq")</f>
        <v>Iraq</v>
      </c>
      <c r="D7292">
        <f>IFERROR(__xludf.DUMMYFUNCTION("""COMPUTED_VALUE"""),1958.0)</f>
        <v>1958</v>
      </c>
      <c r="E7292">
        <f>IFERROR(__xludf.DUMMYFUNCTION("""COMPUTED_VALUE"""),6951161.0)</f>
        <v>6951161</v>
      </c>
    </row>
    <row r="7293">
      <c r="A7293" t="str">
        <f t="shared" si="1"/>
        <v>irq#1959</v>
      </c>
      <c r="B7293" t="str">
        <f>IFERROR(__xludf.DUMMYFUNCTION("""COMPUTED_VALUE"""),"irq")</f>
        <v>irq</v>
      </c>
      <c r="C7293" t="str">
        <f>IFERROR(__xludf.DUMMYFUNCTION("""COMPUTED_VALUE"""),"Iraq")</f>
        <v>Iraq</v>
      </c>
      <c r="D7293">
        <f>IFERROR(__xludf.DUMMYFUNCTION("""COMPUTED_VALUE"""),1959.0)</f>
        <v>1959</v>
      </c>
      <c r="E7293">
        <f>IFERROR(__xludf.DUMMYFUNCTION("""COMPUTED_VALUE"""),7115511.0)</f>
        <v>7115511</v>
      </c>
    </row>
    <row r="7294">
      <c r="A7294" t="str">
        <f t="shared" si="1"/>
        <v>irq#1960</v>
      </c>
      <c r="B7294" t="str">
        <f>IFERROR(__xludf.DUMMYFUNCTION("""COMPUTED_VALUE"""),"irq")</f>
        <v>irq</v>
      </c>
      <c r="C7294" t="str">
        <f>IFERROR(__xludf.DUMMYFUNCTION("""COMPUTED_VALUE"""),"Iraq")</f>
        <v>Iraq</v>
      </c>
      <c r="D7294">
        <f>IFERROR(__xludf.DUMMYFUNCTION("""COMPUTED_VALUE"""),1960.0)</f>
        <v>1960</v>
      </c>
      <c r="E7294">
        <f>IFERROR(__xludf.DUMMYFUNCTION("""COMPUTED_VALUE"""),7289761.0)</f>
        <v>7289761</v>
      </c>
    </row>
    <row r="7295">
      <c r="A7295" t="str">
        <f t="shared" si="1"/>
        <v>irq#1961</v>
      </c>
      <c r="B7295" t="str">
        <f>IFERROR(__xludf.DUMMYFUNCTION("""COMPUTED_VALUE"""),"irq")</f>
        <v>irq</v>
      </c>
      <c r="C7295" t="str">
        <f>IFERROR(__xludf.DUMMYFUNCTION("""COMPUTED_VALUE"""),"Iraq")</f>
        <v>Iraq</v>
      </c>
      <c r="D7295">
        <f>IFERROR(__xludf.DUMMYFUNCTION("""COMPUTED_VALUE"""),1961.0)</f>
        <v>1961</v>
      </c>
      <c r="E7295">
        <f>IFERROR(__xludf.DUMMYFUNCTION("""COMPUTED_VALUE"""),7475352.0)</f>
        <v>7475352</v>
      </c>
    </row>
    <row r="7296">
      <c r="A7296" t="str">
        <f t="shared" si="1"/>
        <v>irq#1962</v>
      </c>
      <c r="B7296" t="str">
        <f>IFERROR(__xludf.DUMMYFUNCTION("""COMPUTED_VALUE"""),"irq")</f>
        <v>irq</v>
      </c>
      <c r="C7296" t="str">
        <f>IFERROR(__xludf.DUMMYFUNCTION("""COMPUTED_VALUE"""),"Iraq")</f>
        <v>Iraq</v>
      </c>
      <c r="D7296">
        <f>IFERROR(__xludf.DUMMYFUNCTION("""COMPUTED_VALUE"""),1962.0)</f>
        <v>1962</v>
      </c>
      <c r="E7296">
        <f>IFERROR(__xludf.DUMMYFUNCTION("""COMPUTED_VALUE"""),7674223.0)</f>
        <v>7674223</v>
      </c>
    </row>
    <row r="7297">
      <c r="A7297" t="str">
        <f t="shared" si="1"/>
        <v>irq#1963</v>
      </c>
      <c r="B7297" t="str">
        <f>IFERROR(__xludf.DUMMYFUNCTION("""COMPUTED_VALUE"""),"irq")</f>
        <v>irq</v>
      </c>
      <c r="C7297" t="str">
        <f>IFERROR(__xludf.DUMMYFUNCTION("""COMPUTED_VALUE"""),"Iraq")</f>
        <v>Iraq</v>
      </c>
      <c r="D7297">
        <f>IFERROR(__xludf.DUMMYFUNCTION("""COMPUTED_VALUE"""),1963.0)</f>
        <v>1963</v>
      </c>
      <c r="E7297">
        <f>IFERROR(__xludf.DUMMYFUNCTION("""COMPUTED_VALUE"""),7888914.0)</f>
        <v>7888914</v>
      </c>
    </row>
    <row r="7298">
      <c r="A7298" t="str">
        <f t="shared" si="1"/>
        <v>irq#1964</v>
      </c>
      <c r="B7298" t="str">
        <f>IFERROR(__xludf.DUMMYFUNCTION("""COMPUTED_VALUE"""),"irq")</f>
        <v>irq</v>
      </c>
      <c r="C7298" t="str">
        <f>IFERROR(__xludf.DUMMYFUNCTION("""COMPUTED_VALUE"""),"Iraq")</f>
        <v>Iraq</v>
      </c>
      <c r="D7298">
        <f>IFERROR(__xludf.DUMMYFUNCTION("""COMPUTED_VALUE"""),1964.0)</f>
        <v>1964</v>
      </c>
      <c r="E7298">
        <f>IFERROR(__xludf.DUMMYFUNCTION("""COMPUTED_VALUE"""),8122199.0)</f>
        <v>8122199</v>
      </c>
    </row>
    <row r="7299">
      <c r="A7299" t="str">
        <f t="shared" si="1"/>
        <v>irq#1965</v>
      </c>
      <c r="B7299" t="str">
        <f>IFERROR(__xludf.DUMMYFUNCTION("""COMPUTED_VALUE"""),"irq")</f>
        <v>irq</v>
      </c>
      <c r="C7299" t="str">
        <f>IFERROR(__xludf.DUMMYFUNCTION("""COMPUTED_VALUE"""),"Iraq")</f>
        <v>Iraq</v>
      </c>
      <c r="D7299">
        <f>IFERROR(__xludf.DUMMYFUNCTION("""COMPUTED_VALUE"""),1965.0)</f>
        <v>1965</v>
      </c>
      <c r="E7299">
        <f>IFERROR(__xludf.DUMMYFUNCTION("""COMPUTED_VALUE"""),8375793.0)</f>
        <v>8375793</v>
      </c>
    </row>
    <row r="7300">
      <c r="A7300" t="str">
        <f t="shared" si="1"/>
        <v>irq#1966</v>
      </c>
      <c r="B7300" t="str">
        <f>IFERROR(__xludf.DUMMYFUNCTION("""COMPUTED_VALUE"""),"irq")</f>
        <v>irq</v>
      </c>
      <c r="C7300" t="str">
        <f>IFERROR(__xludf.DUMMYFUNCTION("""COMPUTED_VALUE"""),"Iraq")</f>
        <v>Iraq</v>
      </c>
      <c r="D7300">
        <f>IFERROR(__xludf.DUMMYFUNCTION("""COMPUTED_VALUE"""),1966.0)</f>
        <v>1966</v>
      </c>
      <c r="E7300">
        <f>IFERROR(__xludf.DUMMYFUNCTION("""COMPUTED_VALUE"""),8651164.0)</f>
        <v>8651164</v>
      </c>
    </row>
    <row r="7301">
      <c r="A7301" t="str">
        <f t="shared" si="1"/>
        <v>irq#1967</v>
      </c>
      <c r="B7301" t="str">
        <f>IFERROR(__xludf.DUMMYFUNCTION("""COMPUTED_VALUE"""),"irq")</f>
        <v>irq</v>
      </c>
      <c r="C7301" t="str">
        <f>IFERROR(__xludf.DUMMYFUNCTION("""COMPUTED_VALUE"""),"Iraq")</f>
        <v>Iraq</v>
      </c>
      <c r="D7301">
        <f>IFERROR(__xludf.DUMMYFUNCTION("""COMPUTED_VALUE"""),1967.0)</f>
        <v>1967</v>
      </c>
      <c r="E7301">
        <f>IFERROR(__xludf.DUMMYFUNCTION("""COMPUTED_VALUE"""),8947404.0)</f>
        <v>8947404</v>
      </c>
    </row>
    <row r="7302">
      <c r="A7302" t="str">
        <f t="shared" si="1"/>
        <v>irq#1968</v>
      </c>
      <c r="B7302" t="str">
        <f>IFERROR(__xludf.DUMMYFUNCTION("""COMPUTED_VALUE"""),"irq")</f>
        <v>irq</v>
      </c>
      <c r="C7302" t="str">
        <f>IFERROR(__xludf.DUMMYFUNCTION("""COMPUTED_VALUE"""),"Iraq")</f>
        <v>Iraq</v>
      </c>
      <c r="D7302">
        <f>IFERROR(__xludf.DUMMYFUNCTION("""COMPUTED_VALUE"""),1968.0)</f>
        <v>1968</v>
      </c>
      <c r="E7302">
        <f>IFERROR(__xludf.DUMMYFUNCTION("""COMPUTED_VALUE"""),9260682.0)</f>
        <v>9260682</v>
      </c>
    </row>
    <row r="7303">
      <c r="A7303" t="str">
        <f t="shared" si="1"/>
        <v>irq#1969</v>
      </c>
      <c r="B7303" t="str">
        <f>IFERROR(__xludf.DUMMYFUNCTION("""COMPUTED_VALUE"""),"irq")</f>
        <v>irq</v>
      </c>
      <c r="C7303" t="str">
        <f>IFERROR(__xludf.DUMMYFUNCTION("""COMPUTED_VALUE"""),"Iraq")</f>
        <v>Iraq</v>
      </c>
      <c r="D7303">
        <f>IFERROR(__xludf.DUMMYFUNCTION("""COMPUTED_VALUE"""),1969.0)</f>
        <v>1969</v>
      </c>
      <c r="E7303">
        <f>IFERROR(__xludf.DUMMYFUNCTION("""COMPUTED_VALUE"""),9585576.0)</f>
        <v>9585576</v>
      </c>
    </row>
    <row r="7304">
      <c r="A7304" t="str">
        <f t="shared" si="1"/>
        <v>irq#1970</v>
      </c>
      <c r="B7304" t="str">
        <f>IFERROR(__xludf.DUMMYFUNCTION("""COMPUTED_VALUE"""),"irq")</f>
        <v>irq</v>
      </c>
      <c r="C7304" t="str">
        <f>IFERROR(__xludf.DUMMYFUNCTION("""COMPUTED_VALUE"""),"Iraq")</f>
        <v>Iraq</v>
      </c>
      <c r="D7304">
        <f>IFERROR(__xludf.DUMMYFUNCTION("""COMPUTED_VALUE"""),1970.0)</f>
        <v>1970</v>
      </c>
      <c r="E7304">
        <f>IFERROR(__xludf.DUMMYFUNCTION("""COMPUTED_VALUE"""),9917983.0)</f>
        <v>9917983</v>
      </c>
    </row>
    <row r="7305">
      <c r="A7305" t="str">
        <f t="shared" si="1"/>
        <v>irq#1971</v>
      </c>
      <c r="B7305" t="str">
        <f>IFERROR(__xludf.DUMMYFUNCTION("""COMPUTED_VALUE"""),"irq")</f>
        <v>irq</v>
      </c>
      <c r="C7305" t="str">
        <f>IFERROR(__xludf.DUMMYFUNCTION("""COMPUTED_VALUE"""),"Iraq")</f>
        <v>Iraq</v>
      </c>
      <c r="D7305">
        <f>IFERROR(__xludf.DUMMYFUNCTION("""COMPUTED_VALUE"""),1971.0)</f>
        <v>1971</v>
      </c>
      <c r="E7305">
        <f>IFERROR(__xludf.DUMMYFUNCTION("""COMPUTED_VALUE"""),1.0255903E7)</f>
        <v>10255903</v>
      </c>
    </row>
    <row r="7306">
      <c r="A7306" t="str">
        <f t="shared" si="1"/>
        <v>irq#1972</v>
      </c>
      <c r="B7306" t="str">
        <f>IFERROR(__xludf.DUMMYFUNCTION("""COMPUTED_VALUE"""),"irq")</f>
        <v>irq</v>
      </c>
      <c r="C7306" t="str">
        <f>IFERROR(__xludf.DUMMYFUNCTION("""COMPUTED_VALUE"""),"Iraq")</f>
        <v>Iraq</v>
      </c>
      <c r="D7306">
        <f>IFERROR(__xludf.DUMMYFUNCTION("""COMPUTED_VALUE"""),1972.0)</f>
        <v>1972</v>
      </c>
      <c r="E7306">
        <f>IFERROR(__xludf.DUMMYFUNCTION("""COMPUTED_VALUE"""),1.0599845E7)</f>
        <v>10599845</v>
      </c>
    </row>
    <row r="7307">
      <c r="A7307" t="str">
        <f t="shared" si="1"/>
        <v>irq#1973</v>
      </c>
      <c r="B7307" t="str">
        <f>IFERROR(__xludf.DUMMYFUNCTION("""COMPUTED_VALUE"""),"irq")</f>
        <v>irq</v>
      </c>
      <c r="C7307" t="str">
        <f>IFERROR(__xludf.DUMMYFUNCTION("""COMPUTED_VALUE"""),"Iraq")</f>
        <v>Iraq</v>
      </c>
      <c r="D7307">
        <f>IFERROR(__xludf.DUMMYFUNCTION("""COMPUTED_VALUE"""),1973.0)</f>
        <v>1973</v>
      </c>
      <c r="E7307">
        <f>IFERROR(__xludf.DUMMYFUNCTION("""COMPUTED_VALUE"""),1.0951166E7)</f>
        <v>10951166</v>
      </c>
    </row>
    <row r="7308">
      <c r="A7308" t="str">
        <f t="shared" si="1"/>
        <v>irq#1974</v>
      </c>
      <c r="B7308" t="str">
        <f>IFERROR(__xludf.DUMMYFUNCTION("""COMPUTED_VALUE"""),"irq")</f>
        <v>irq</v>
      </c>
      <c r="C7308" t="str">
        <f>IFERROR(__xludf.DUMMYFUNCTION("""COMPUTED_VALUE"""),"Iraq")</f>
        <v>Iraq</v>
      </c>
      <c r="D7308">
        <f>IFERROR(__xludf.DUMMYFUNCTION("""COMPUTED_VALUE"""),1974.0)</f>
        <v>1974</v>
      </c>
      <c r="E7308">
        <f>IFERROR(__xludf.DUMMYFUNCTION("""COMPUTED_VALUE"""),1.1312305E7)</f>
        <v>11312305</v>
      </c>
    </row>
    <row r="7309">
      <c r="A7309" t="str">
        <f t="shared" si="1"/>
        <v>irq#1975</v>
      </c>
      <c r="B7309" t="str">
        <f>IFERROR(__xludf.DUMMYFUNCTION("""COMPUTED_VALUE"""),"irq")</f>
        <v>irq</v>
      </c>
      <c r="C7309" t="str">
        <f>IFERROR(__xludf.DUMMYFUNCTION("""COMPUTED_VALUE"""),"Iraq")</f>
        <v>Iraq</v>
      </c>
      <c r="D7309">
        <f>IFERROR(__xludf.DUMMYFUNCTION("""COMPUTED_VALUE"""),1975.0)</f>
        <v>1975</v>
      </c>
      <c r="E7309">
        <f>IFERROR(__xludf.DUMMYFUNCTION("""COMPUTED_VALUE"""),1.1684589E7)</f>
        <v>11684589</v>
      </c>
    </row>
    <row r="7310">
      <c r="A7310" t="str">
        <f t="shared" si="1"/>
        <v>irq#1976</v>
      </c>
      <c r="B7310" t="str">
        <f>IFERROR(__xludf.DUMMYFUNCTION("""COMPUTED_VALUE"""),"irq")</f>
        <v>irq</v>
      </c>
      <c r="C7310" t="str">
        <f>IFERROR(__xludf.DUMMYFUNCTION("""COMPUTED_VALUE"""),"Iraq")</f>
        <v>Iraq</v>
      </c>
      <c r="D7310">
        <f>IFERROR(__xludf.DUMMYFUNCTION("""COMPUTED_VALUE"""),1976.0)</f>
        <v>1976</v>
      </c>
      <c r="E7310">
        <f>IFERROR(__xludf.DUMMYFUNCTION("""COMPUTED_VALUE"""),1.2068168E7)</f>
        <v>12068168</v>
      </c>
    </row>
    <row r="7311">
      <c r="A7311" t="str">
        <f t="shared" si="1"/>
        <v>irq#1977</v>
      </c>
      <c r="B7311" t="str">
        <f>IFERROR(__xludf.DUMMYFUNCTION("""COMPUTED_VALUE"""),"irq")</f>
        <v>irq</v>
      </c>
      <c r="C7311" t="str">
        <f>IFERROR(__xludf.DUMMYFUNCTION("""COMPUTED_VALUE"""),"Iraq")</f>
        <v>Iraq</v>
      </c>
      <c r="D7311">
        <f>IFERROR(__xludf.DUMMYFUNCTION("""COMPUTED_VALUE"""),1977.0)</f>
        <v>1977</v>
      </c>
      <c r="E7311">
        <f>IFERROR(__xludf.DUMMYFUNCTION("""COMPUTED_VALUE"""),1.2460914E7)</f>
        <v>12460914</v>
      </c>
    </row>
    <row r="7312">
      <c r="A7312" t="str">
        <f t="shared" si="1"/>
        <v>irq#1978</v>
      </c>
      <c r="B7312" t="str">
        <f>IFERROR(__xludf.DUMMYFUNCTION("""COMPUTED_VALUE"""),"irq")</f>
        <v>irq</v>
      </c>
      <c r="C7312" t="str">
        <f>IFERROR(__xludf.DUMMYFUNCTION("""COMPUTED_VALUE"""),"Iraq")</f>
        <v>Iraq</v>
      </c>
      <c r="D7312">
        <f>IFERROR(__xludf.DUMMYFUNCTION("""COMPUTED_VALUE"""),1978.0)</f>
        <v>1978</v>
      </c>
      <c r="E7312">
        <f>IFERROR(__xludf.DUMMYFUNCTION("""COMPUTED_VALUE"""),1.2859094E7)</f>
        <v>12859094</v>
      </c>
    </row>
    <row r="7313">
      <c r="A7313" t="str">
        <f t="shared" si="1"/>
        <v>irq#1979</v>
      </c>
      <c r="B7313" t="str">
        <f>IFERROR(__xludf.DUMMYFUNCTION("""COMPUTED_VALUE"""),"irq")</f>
        <v>irq</v>
      </c>
      <c r="C7313" t="str">
        <f>IFERROR(__xludf.DUMMYFUNCTION("""COMPUTED_VALUE"""),"Iraq")</f>
        <v>Iraq</v>
      </c>
      <c r="D7313">
        <f>IFERROR(__xludf.DUMMYFUNCTION("""COMPUTED_VALUE"""),1979.0)</f>
        <v>1979</v>
      </c>
      <c r="E7313">
        <f>IFERROR(__xludf.DUMMYFUNCTION("""COMPUTED_VALUE"""),1.3257799E7)</f>
        <v>13257799</v>
      </c>
    </row>
    <row r="7314">
      <c r="A7314" t="str">
        <f t="shared" si="1"/>
        <v>irq#1980</v>
      </c>
      <c r="B7314" t="str">
        <f>IFERROR(__xludf.DUMMYFUNCTION("""COMPUTED_VALUE"""),"irq")</f>
        <v>irq</v>
      </c>
      <c r="C7314" t="str">
        <f>IFERROR(__xludf.DUMMYFUNCTION("""COMPUTED_VALUE"""),"Iraq")</f>
        <v>Iraq</v>
      </c>
      <c r="D7314">
        <f>IFERROR(__xludf.DUMMYFUNCTION("""COMPUTED_VALUE"""),1980.0)</f>
        <v>1980</v>
      </c>
      <c r="E7314">
        <f>IFERROR(__xludf.DUMMYFUNCTION("""COMPUTED_VALUE"""),1.3653356E7)</f>
        <v>13653356</v>
      </c>
    </row>
    <row r="7315">
      <c r="A7315" t="str">
        <f t="shared" si="1"/>
        <v>irq#1981</v>
      </c>
      <c r="B7315" t="str">
        <f>IFERROR(__xludf.DUMMYFUNCTION("""COMPUTED_VALUE"""),"irq")</f>
        <v>irq</v>
      </c>
      <c r="C7315" t="str">
        <f>IFERROR(__xludf.DUMMYFUNCTION("""COMPUTED_VALUE"""),"Iraq")</f>
        <v>Iraq</v>
      </c>
      <c r="D7315">
        <f>IFERROR(__xludf.DUMMYFUNCTION("""COMPUTED_VALUE"""),1981.0)</f>
        <v>1981</v>
      </c>
      <c r="E7315">
        <f>IFERROR(__xludf.DUMMYFUNCTION("""COMPUTED_VALUE"""),1.404654E7)</f>
        <v>14046540</v>
      </c>
    </row>
    <row r="7316">
      <c r="A7316" t="str">
        <f t="shared" si="1"/>
        <v>irq#1982</v>
      </c>
      <c r="B7316" t="str">
        <f>IFERROR(__xludf.DUMMYFUNCTION("""COMPUTED_VALUE"""),"irq")</f>
        <v>irq</v>
      </c>
      <c r="C7316" t="str">
        <f>IFERROR(__xludf.DUMMYFUNCTION("""COMPUTED_VALUE"""),"Iraq")</f>
        <v>Iraq</v>
      </c>
      <c r="D7316">
        <f>IFERROR(__xludf.DUMMYFUNCTION("""COMPUTED_VALUE"""),1982.0)</f>
        <v>1982</v>
      </c>
      <c r="E7316">
        <f>IFERROR(__xludf.DUMMYFUNCTION("""COMPUTED_VALUE"""),1.4438309E7)</f>
        <v>14438309</v>
      </c>
    </row>
    <row r="7317">
      <c r="A7317" t="str">
        <f t="shared" si="1"/>
        <v>irq#1983</v>
      </c>
      <c r="B7317" t="str">
        <f>IFERROR(__xludf.DUMMYFUNCTION("""COMPUTED_VALUE"""),"irq")</f>
        <v>irq</v>
      </c>
      <c r="C7317" t="str">
        <f>IFERROR(__xludf.DUMMYFUNCTION("""COMPUTED_VALUE"""),"Iraq")</f>
        <v>Iraq</v>
      </c>
      <c r="D7317">
        <f>IFERROR(__xludf.DUMMYFUNCTION("""COMPUTED_VALUE"""),1983.0)</f>
        <v>1983</v>
      </c>
      <c r="E7317">
        <f>IFERROR(__xludf.DUMMYFUNCTION("""COMPUTED_VALUE"""),1.4825789E7)</f>
        <v>14825789</v>
      </c>
    </row>
    <row r="7318">
      <c r="A7318" t="str">
        <f t="shared" si="1"/>
        <v>irq#1984</v>
      </c>
      <c r="B7318" t="str">
        <f>IFERROR(__xludf.DUMMYFUNCTION("""COMPUTED_VALUE"""),"irq")</f>
        <v>irq</v>
      </c>
      <c r="C7318" t="str">
        <f>IFERROR(__xludf.DUMMYFUNCTION("""COMPUTED_VALUE"""),"Iraq")</f>
        <v>Iraq</v>
      </c>
      <c r="D7318">
        <f>IFERROR(__xludf.DUMMYFUNCTION("""COMPUTED_VALUE"""),1984.0)</f>
        <v>1984</v>
      </c>
      <c r="E7318">
        <f>IFERROR(__xludf.DUMMYFUNCTION("""COMPUTED_VALUE"""),1.5205501E7)</f>
        <v>15205501</v>
      </c>
    </row>
    <row r="7319">
      <c r="A7319" t="str">
        <f t="shared" si="1"/>
        <v>irq#1985</v>
      </c>
      <c r="B7319" t="str">
        <f>IFERROR(__xludf.DUMMYFUNCTION("""COMPUTED_VALUE"""),"irq")</f>
        <v>irq</v>
      </c>
      <c r="C7319" t="str">
        <f>IFERROR(__xludf.DUMMYFUNCTION("""COMPUTED_VALUE"""),"Iraq")</f>
        <v>Iraq</v>
      </c>
      <c r="D7319">
        <f>IFERROR(__xludf.DUMMYFUNCTION("""COMPUTED_VALUE"""),1985.0)</f>
        <v>1985</v>
      </c>
      <c r="E7319">
        <f>IFERROR(__xludf.DUMMYFUNCTION("""COMPUTED_VALUE"""),1.5576395E7)</f>
        <v>15576395</v>
      </c>
    </row>
    <row r="7320">
      <c r="A7320" t="str">
        <f t="shared" si="1"/>
        <v>irq#1986</v>
      </c>
      <c r="B7320" t="str">
        <f>IFERROR(__xludf.DUMMYFUNCTION("""COMPUTED_VALUE"""),"irq")</f>
        <v>irq</v>
      </c>
      <c r="C7320" t="str">
        <f>IFERROR(__xludf.DUMMYFUNCTION("""COMPUTED_VALUE"""),"Iraq")</f>
        <v>Iraq</v>
      </c>
      <c r="D7320">
        <f>IFERROR(__xludf.DUMMYFUNCTION("""COMPUTED_VALUE"""),1986.0)</f>
        <v>1986</v>
      </c>
      <c r="E7320">
        <f>IFERROR(__xludf.DUMMYFUNCTION("""COMPUTED_VALUE"""),1.5936375E7)</f>
        <v>15936375</v>
      </c>
    </row>
    <row r="7321">
      <c r="A7321" t="str">
        <f t="shared" si="1"/>
        <v>irq#1987</v>
      </c>
      <c r="B7321" t="str">
        <f>IFERROR(__xludf.DUMMYFUNCTION("""COMPUTED_VALUE"""),"irq")</f>
        <v>irq</v>
      </c>
      <c r="C7321" t="str">
        <f>IFERROR(__xludf.DUMMYFUNCTION("""COMPUTED_VALUE"""),"Iraq")</f>
        <v>Iraq</v>
      </c>
      <c r="D7321">
        <f>IFERROR(__xludf.DUMMYFUNCTION("""COMPUTED_VALUE"""),1987.0)</f>
        <v>1987</v>
      </c>
      <c r="E7321">
        <f>IFERROR(__xludf.DUMMYFUNCTION("""COMPUTED_VALUE"""),1.6290149E7)</f>
        <v>16290149</v>
      </c>
    </row>
    <row r="7322">
      <c r="A7322" t="str">
        <f t="shared" si="1"/>
        <v>irq#1988</v>
      </c>
      <c r="B7322" t="str">
        <f>IFERROR(__xludf.DUMMYFUNCTION("""COMPUTED_VALUE"""),"irq")</f>
        <v>irq</v>
      </c>
      <c r="C7322" t="str">
        <f>IFERROR(__xludf.DUMMYFUNCTION("""COMPUTED_VALUE"""),"Iraq")</f>
        <v>Iraq</v>
      </c>
      <c r="D7322">
        <f>IFERROR(__xludf.DUMMYFUNCTION("""COMPUTED_VALUE"""),1988.0)</f>
        <v>1988</v>
      </c>
      <c r="E7322">
        <f>IFERROR(__xludf.DUMMYFUNCTION("""COMPUTED_VALUE"""),1.6651807E7)</f>
        <v>16651807</v>
      </c>
    </row>
    <row r="7323">
      <c r="A7323" t="str">
        <f t="shared" si="1"/>
        <v>irq#1989</v>
      </c>
      <c r="B7323" t="str">
        <f>IFERROR(__xludf.DUMMYFUNCTION("""COMPUTED_VALUE"""),"irq")</f>
        <v>irq</v>
      </c>
      <c r="C7323" t="str">
        <f>IFERROR(__xludf.DUMMYFUNCTION("""COMPUTED_VALUE"""),"Iraq")</f>
        <v>Iraq</v>
      </c>
      <c r="D7323">
        <f>IFERROR(__xludf.DUMMYFUNCTION("""COMPUTED_VALUE"""),1989.0)</f>
        <v>1989</v>
      </c>
      <c r="E7323">
        <f>IFERROR(__xludf.DUMMYFUNCTION("""COMPUTED_VALUE"""),1.704019E7)</f>
        <v>17040190</v>
      </c>
    </row>
    <row r="7324">
      <c r="A7324" t="str">
        <f t="shared" si="1"/>
        <v>irq#1990</v>
      </c>
      <c r="B7324" t="str">
        <f>IFERROR(__xludf.DUMMYFUNCTION("""COMPUTED_VALUE"""),"irq")</f>
        <v>irq</v>
      </c>
      <c r="C7324" t="str">
        <f>IFERROR(__xludf.DUMMYFUNCTION("""COMPUTED_VALUE"""),"Iraq")</f>
        <v>Iraq</v>
      </c>
      <c r="D7324">
        <f>IFERROR(__xludf.DUMMYFUNCTION("""COMPUTED_VALUE"""),1990.0)</f>
        <v>1990</v>
      </c>
      <c r="E7324">
        <f>IFERROR(__xludf.DUMMYFUNCTION("""COMPUTED_VALUE"""),1.7469005E7)</f>
        <v>17469005</v>
      </c>
    </row>
    <row r="7325">
      <c r="A7325" t="str">
        <f t="shared" si="1"/>
        <v>irq#1991</v>
      </c>
      <c r="B7325" t="str">
        <f>IFERROR(__xludf.DUMMYFUNCTION("""COMPUTED_VALUE"""),"irq")</f>
        <v>irq</v>
      </c>
      <c r="C7325" t="str">
        <f>IFERROR(__xludf.DUMMYFUNCTION("""COMPUTED_VALUE"""),"Iraq")</f>
        <v>Iraq</v>
      </c>
      <c r="D7325">
        <f>IFERROR(__xludf.DUMMYFUNCTION("""COMPUTED_VALUE"""),1991.0)</f>
        <v>1991</v>
      </c>
      <c r="E7325">
        <f>IFERROR(__xludf.DUMMYFUNCTION("""COMPUTED_VALUE"""),1.7942715E7)</f>
        <v>17942715</v>
      </c>
    </row>
    <row r="7326">
      <c r="A7326" t="str">
        <f t="shared" si="1"/>
        <v>irq#1992</v>
      </c>
      <c r="B7326" t="str">
        <f>IFERROR(__xludf.DUMMYFUNCTION("""COMPUTED_VALUE"""),"irq")</f>
        <v>irq</v>
      </c>
      <c r="C7326" t="str">
        <f>IFERROR(__xludf.DUMMYFUNCTION("""COMPUTED_VALUE"""),"Iraq")</f>
        <v>Iraq</v>
      </c>
      <c r="D7326">
        <f>IFERROR(__xludf.DUMMYFUNCTION("""COMPUTED_VALUE"""),1992.0)</f>
        <v>1992</v>
      </c>
      <c r="E7326">
        <f>IFERROR(__xludf.DUMMYFUNCTION("""COMPUTED_VALUE"""),1.8458187E7)</f>
        <v>18458187</v>
      </c>
    </row>
    <row r="7327">
      <c r="A7327" t="str">
        <f t="shared" si="1"/>
        <v>irq#1993</v>
      </c>
      <c r="B7327" t="str">
        <f>IFERROR(__xludf.DUMMYFUNCTION("""COMPUTED_VALUE"""),"irq")</f>
        <v>irq</v>
      </c>
      <c r="C7327" t="str">
        <f>IFERROR(__xludf.DUMMYFUNCTION("""COMPUTED_VALUE"""),"Iraq")</f>
        <v>Iraq</v>
      </c>
      <c r="D7327">
        <f>IFERROR(__xludf.DUMMYFUNCTION("""COMPUTED_VALUE"""),1993.0)</f>
        <v>1993</v>
      </c>
      <c r="E7327">
        <f>IFERROR(__xludf.DUMMYFUNCTION("""COMPUTED_VALUE"""),1.9011917E7)</f>
        <v>19011917</v>
      </c>
    </row>
    <row r="7328">
      <c r="A7328" t="str">
        <f t="shared" si="1"/>
        <v>irq#1994</v>
      </c>
      <c r="B7328" t="str">
        <f>IFERROR(__xludf.DUMMYFUNCTION("""COMPUTED_VALUE"""),"irq")</f>
        <v>irq</v>
      </c>
      <c r="C7328" t="str">
        <f>IFERROR(__xludf.DUMMYFUNCTION("""COMPUTED_VALUE"""),"Iraq")</f>
        <v>Iraq</v>
      </c>
      <c r="D7328">
        <f>IFERROR(__xludf.DUMMYFUNCTION("""COMPUTED_VALUE"""),1994.0)</f>
        <v>1994</v>
      </c>
      <c r="E7328">
        <f>IFERROR(__xludf.DUMMYFUNCTION("""COMPUTED_VALUE"""),1.9597239E7)</f>
        <v>19597239</v>
      </c>
    </row>
    <row r="7329">
      <c r="A7329" t="str">
        <f t="shared" si="1"/>
        <v>irq#1995</v>
      </c>
      <c r="B7329" t="str">
        <f>IFERROR(__xludf.DUMMYFUNCTION("""COMPUTED_VALUE"""),"irq")</f>
        <v>irq</v>
      </c>
      <c r="C7329" t="str">
        <f>IFERROR(__xludf.DUMMYFUNCTION("""COMPUTED_VALUE"""),"Iraq")</f>
        <v>Iraq</v>
      </c>
      <c r="D7329">
        <f>IFERROR(__xludf.DUMMYFUNCTION("""COMPUTED_VALUE"""),1995.0)</f>
        <v>1995</v>
      </c>
      <c r="E7329">
        <f>IFERROR(__xludf.DUMMYFUNCTION("""COMPUTED_VALUE"""),2.0208387E7)</f>
        <v>20208387</v>
      </c>
    </row>
    <row r="7330">
      <c r="A7330" t="str">
        <f t="shared" si="1"/>
        <v>irq#1996</v>
      </c>
      <c r="B7330" t="str">
        <f>IFERROR(__xludf.DUMMYFUNCTION("""COMPUTED_VALUE"""),"irq")</f>
        <v>irq</v>
      </c>
      <c r="C7330" t="str">
        <f>IFERROR(__xludf.DUMMYFUNCTION("""COMPUTED_VALUE"""),"Iraq")</f>
        <v>Iraq</v>
      </c>
      <c r="D7330">
        <f>IFERROR(__xludf.DUMMYFUNCTION("""COMPUTED_VALUE"""),1996.0)</f>
        <v>1996</v>
      </c>
      <c r="E7330">
        <f>IFERROR(__xludf.DUMMYFUNCTION("""COMPUTED_VALUE"""),2.0845893E7)</f>
        <v>20845893</v>
      </c>
    </row>
    <row r="7331">
      <c r="A7331" t="str">
        <f t="shared" si="1"/>
        <v>irq#1997</v>
      </c>
      <c r="B7331" t="str">
        <f>IFERROR(__xludf.DUMMYFUNCTION("""COMPUTED_VALUE"""),"irq")</f>
        <v>irq</v>
      </c>
      <c r="C7331" t="str">
        <f>IFERROR(__xludf.DUMMYFUNCTION("""COMPUTED_VALUE"""),"Iraq")</f>
        <v>Iraq</v>
      </c>
      <c r="D7331">
        <f>IFERROR(__xludf.DUMMYFUNCTION("""COMPUTED_VALUE"""),1997.0)</f>
        <v>1997</v>
      </c>
      <c r="E7331">
        <f>IFERROR(__xludf.DUMMYFUNCTION("""COMPUTED_VALUE"""),2.1509291E7)</f>
        <v>21509291</v>
      </c>
    </row>
    <row r="7332">
      <c r="A7332" t="str">
        <f t="shared" si="1"/>
        <v>irq#1998</v>
      </c>
      <c r="B7332" t="str">
        <f>IFERROR(__xludf.DUMMYFUNCTION("""COMPUTED_VALUE"""),"irq")</f>
        <v>irq</v>
      </c>
      <c r="C7332" t="str">
        <f>IFERROR(__xludf.DUMMYFUNCTION("""COMPUTED_VALUE"""),"Iraq")</f>
        <v>Iraq</v>
      </c>
      <c r="D7332">
        <f>IFERROR(__xludf.DUMMYFUNCTION("""COMPUTED_VALUE"""),1998.0)</f>
        <v>1998</v>
      </c>
      <c r="E7332">
        <f>IFERROR(__xludf.DUMMYFUNCTION("""COMPUTED_VALUE"""),2.219025E7)</f>
        <v>22190250</v>
      </c>
    </row>
    <row r="7333">
      <c r="A7333" t="str">
        <f t="shared" si="1"/>
        <v>irq#1999</v>
      </c>
      <c r="B7333" t="str">
        <f>IFERROR(__xludf.DUMMYFUNCTION("""COMPUTED_VALUE"""),"irq")</f>
        <v>irq</v>
      </c>
      <c r="C7333" t="str">
        <f>IFERROR(__xludf.DUMMYFUNCTION("""COMPUTED_VALUE"""),"Iraq")</f>
        <v>Iraq</v>
      </c>
      <c r="D7333">
        <f>IFERROR(__xludf.DUMMYFUNCTION("""COMPUTED_VALUE"""),1999.0)</f>
        <v>1999</v>
      </c>
      <c r="E7333">
        <f>IFERROR(__xludf.DUMMYFUNCTION("""COMPUTED_VALUE"""),2.2878156E7)</f>
        <v>22878156</v>
      </c>
    </row>
    <row r="7334">
      <c r="A7334" t="str">
        <f t="shared" si="1"/>
        <v>irq#2000</v>
      </c>
      <c r="B7334" t="str">
        <f>IFERROR(__xludf.DUMMYFUNCTION("""COMPUTED_VALUE"""),"irq")</f>
        <v>irq</v>
      </c>
      <c r="C7334" t="str">
        <f>IFERROR(__xludf.DUMMYFUNCTION("""COMPUTED_VALUE"""),"Iraq")</f>
        <v>Iraq</v>
      </c>
      <c r="D7334">
        <f>IFERROR(__xludf.DUMMYFUNCTION("""COMPUTED_VALUE"""),2000.0)</f>
        <v>2000</v>
      </c>
      <c r="E7334">
        <f>IFERROR(__xludf.DUMMYFUNCTION("""COMPUTED_VALUE"""),2.3565413E7)</f>
        <v>23565413</v>
      </c>
    </row>
    <row r="7335">
      <c r="A7335" t="str">
        <f t="shared" si="1"/>
        <v>irq#2001</v>
      </c>
      <c r="B7335" t="str">
        <f>IFERROR(__xludf.DUMMYFUNCTION("""COMPUTED_VALUE"""),"irq")</f>
        <v>irq</v>
      </c>
      <c r="C7335" t="str">
        <f>IFERROR(__xludf.DUMMYFUNCTION("""COMPUTED_VALUE"""),"Iraq")</f>
        <v>Iraq</v>
      </c>
      <c r="D7335">
        <f>IFERROR(__xludf.DUMMYFUNCTION("""COMPUTED_VALUE"""),2001.0)</f>
        <v>2001</v>
      </c>
      <c r="E7335">
        <f>IFERROR(__xludf.DUMMYFUNCTION("""COMPUTED_VALUE"""),2.4251649E7)</f>
        <v>24251649</v>
      </c>
    </row>
    <row r="7336">
      <c r="A7336" t="str">
        <f t="shared" si="1"/>
        <v>irq#2002</v>
      </c>
      <c r="B7336" t="str">
        <f>IFERROR(__xludf.DUMMYFUNCTION("""COMPUTED_VALUE"""),"irq")</f>
        <v>irq</v>
      </c>
      <c r="C7336" t="str">
        <f>IFERROR(__xludf.DUMMYFUNCTION("""COMPUTED_VALUE"""),"Iraq")</f>
        <v>Iraq</v>
      </c>
      <c r="D7336">
        <f>IFERROR(__xludf.DUMMYFUNCTION("""COMPUTED_VALUE"""),2002.0)</f>
        <v>2002</v>
      </c>
      <c r="E7336">
        <f>IFERROR(__xludf.DUMMYFUNCTION("""COMPUTED_VALUE"""),2.4939299E7)</f>
        <v>24939299</v>
      </c>
    </row>
    <row r="7337">
      <c r="A7337" t="str">
        <f t="shared" si="1"/>
        <v>irq#2003</v>
      </c>
      <c r="B7337" t="str">
        <f>IFERROR(__xludf.DUMMYFUNCTION("""COMPUTED_VALUE"""),"irq")</f>
        <v>irq</v>
      </c>
      <c r="C7337" t="str">
        <f>IFERROR(__xludf.DUMMYFUNCTION("""COMPUTED_VALUE"""),"Iraq")</f>
        <v>Iraq</v>
      </c>
      <c r="D7337">
        <f>IFERROR(__xludf.DUMMYFUNCTION("""COMPUTED_VALUE"""),2003.0)</f>
        <v>2003</v>
      </c>
      <c r="E7337">
        <f>IFERROR(__xludf.DUMMYFUNCTION("""COMPUTED_VALUE"""),2.5627626E7)</f>
        <v>25627626</v>
      </c>
    </row>
    <row r="7338">
      <c r="A7338" t="str">
        <f t="shared" si="1"/>
        <v>irq#2004</v>
      </c>
      <c r="B7338" t="str">
        <f>IFERROR(__xludf.DUMMYFUNCTION("""COMPUTED_VALUE"""),"irq")</f>
        <v>irq</v>
      </c>
      <c r="C7338" t="str">
        <f>IFERROR(__xludf.DUMMYFUNCTION("""COMPUTED_VALUE"""),"Iraq")</f>
        <v>Iraq</v>
      </c>
      <c r="D7338">
        <f>IFERROR(__xludf.DUMMYFUNCTION("""COMPUTED_VALUE"""),2004.0)</f>
        <v>2004</v>
      </c>
      <c r="E7338">
        <f>IFERROR(__xludf.DUMMYFUNCTION("""COMPUTED_VALUE"""),2.6316609E7)</f>
        <v>26316609</v>
      </c>
    </row>
    <row r="7339">
      <c r="A7339" t="str">
        <f t="shared" si="1"/>
        <v>irq#2005</v>
      </c>
      <c r="B7339" t="str">
        <f>IFERROR(__xludf.DUMMYFUNCTION("""COMPUTED_VALUE"""),"irq")</f>
        <v>irq</v>
      </c>
      <c r="C7339" t="str">
        <f>IFERROR(__xludf.DUMMYFUNCTION("""COMPUTED_VALUE"""),"Iraq")</f>
        <v>Iraq</v>
      </c>
      <c r="D7339">
        <f>IFERROR(__xludf.DUMMYFUNCTION("""COMPUTED_VALUE"""),2005.0)</f>
        <v>2005</v>
      </c>
      <c r="E7339">
        <f>IFERROR(__xludf.DUMMYFUNCTION("""COMPUTED_VALUE"""),2.7008426E7)</f>
        <v>27008426</v>
      </c>
    </row>
    <row r="7340">
      <c r="A7340" t="str">
        <f t="shared" si="1"/>
        <v>irq#2006</v>
      </c>
      <c r="B7340" t="str">
        <f>IFERROR(__xludf.DUMMYFUNCTION("""COMPUTED_VALUE"""),"irq")</f>
        <v>irq</v>
      </c>
      <c r="C7340" t="str">
        <f>IFERROR(__xludf.DUMMYFUNCTION("""COMPUTED_VALUE"""),"Iraq")</f>
        <v>Iraq</v>
      </c>
      <c r="D7340">
        <f>IFERROR(__xludf.DUMMYFUNCTION("""COMPUTED_VALUE"""),2006.0)</f>
        <v>2006</v>
      </c>
      <c r="E7340">
        <f>IFERROR(__xludf.DUMMYFUNCTION("""COMPUTED_VALUE"""),2.7697912E7)</f>
        <v>27697912</v>
      </c>
    </row>
    <row r="7341">
      <c r="A7341" t="str">
        <f t="shared" si="1"/>
        <v>irq#2007</v>
      </c>
      <c r="B7341" t="str">
        <f>IFERROR(__xludf.DUMMYFUNCTION("""COMPUTED_VALUE"""),"irq")</f>
        <v>irq</v>
      </c>
      <c r="C7341" t="str">
        <f>IFERROR(__xludf.DUMMYFUNCTION("""COMPUTED_VALUE"""),"Iraq")</f>
        <v>Iraq</v>
      </c>
      <c r="D7341">
        <f>IFERROR(__xludf.DUMMYFUNCTION("""COMPUTED_VALUE"""),2007.0)</f>
        <v>2007</v>
      </c>
      <c r="E7341">
        <f>IFERROR(__xludf.DUMMYFUNCTION("""COMPUTED_VALUE"""),2.8390433E7)</f>
        <v>28390433</v>
      </c>
    </row>
    <row r="7342">
      <c r="A7342" t="str">
        <f t="shared" si="1"/>
        <v>irq#2008</v>
      </c>
      <c r="B7342" t="str">
        <f>IFERROR(__xludf.DUMMYFUNCTION("""COMPUTED_VALUE"""),"irq")</f>
        <v>irq</v>
      </c>
      <c r="C7342" t="str">
        <f>IFERROR(__xludf.DUMMYFUNCTION("""COMPUTED_VALUE"""),"Iraq")</f>
        <v>Iraq</v>
      </c>
      <c r="D7342">
        <f>IFERROR(__xludf.DUMMYFUNCTION("""COMPUTED_VALUE"""),2008.0)</f>
        <v>2008</v>
      </c>
      <c r="E7342">
        <f>IFERROR(__xludf.DUMMYFUNCTION("""COMPUTED_VALUE"""),2.9111417E7)</f>
        <v>29111417</v>
      </c>
    </row>
    <row r="7343">
      <c r="A7343" t="str">
        <f t="shared" si="1"/>
        <v>irq#2009</v>
      </c>
      <c r="B7343" t="str">
        <f>IFERROR(__xludf.DUMMYFUNCTION("""COMPUTED_VALUE"""),"irq")</f>
        <v>irq</v>
      </c>
      <c r="C7343" t="str">
        <f>IFERROR(__xludf.DUMMYFUNCTION("""COMPUTED_VALUE"""),"Iraq")</f>
        <v>Iraq</v>
      </c>
      <c r="D7343">
        <f>IFERROR(__xludf.DUMMYFUNCTION("""COMPUTED_VALUE"""),2009.0)</f>
        <v>2009</v>
      </c>
      <c r="E7343">
        <f>IFERROR(__xludf.DUMMYFUNCTION("""COMPUTED_VALUE"""),2.9894652E7)</f>
        <v>29894652</v>
      </c>
    </row>
    <row r="7344">
      <c r="A7344" t="str">
        <f t="shared" si="1"/>
        <v>irq#2010</v>
      </c>
      <c r="B7344" t="str">
        <f>IFERROR(__xludf.DUMMYFUNCTION("""COMPUTED_VALUE"""),"irq")</f>
        <v>irq</v>
      </c>
      <c r="C7344" t="str">
        <f>IFERROR(__xludf.DUMMYFUNCTION("""COMPUTED_VALUE"""),"Iraq")</f>
        <v>Iraq</v>
      </c>
      <c r="D7344">
        <f>IFERROR(__xludf.DUMMYFUNCTION("""COMPUTED_VALUE"""),2010.0)</f>
        <v>2010</v>
      </c>
      <c r="E7344">
        <f>IFERROR(__xludf.DUMMYFUNCTION("""COMPUTED_VALUE"""),3.0762701E7)</f>
        <v>30762701</v>
      </c>
    </row>
    <row r="7345">
      <c r="A7345" t="str">
        <f t="shared" si="1"/>
        <v>irq#2011</v>
      </c>
      <c r="B7345" t="str">
        <f>IFERROR(__xludf.DUMMYFUNCTION("""COMPUTED_VALUE"""),"irq")</f>
        <v>irq</v>
      </c>
      <c r="C7345" t="str">
        <f>IFERROR(__xludf.DUMMYFUNCTION("""COMPUTED_VALUE"""),"Iraq")</f>
        <v>Iraq</v>
      </c>
      <c r="D7345">
        <f>IFERROR(__xludf.DUMMYFUNCTION("""COMPUTED_VALUE"""),2011.0)</f>
        <v>2011</v>
      </c>
      <c r="E7345">
        <f>IFERROR(__xludf.DUMMYFUNCTION("""COMPUTED_VALUE"""),3.1727053E7)</f>
        <v>31727053</v>
      </c>
    </row>
    <row r="7346">
      <c r="A7346" t="str">
        <f t="shared" si="1"/>
        <v>irq#2012</v>
      </c>
      <c r="B7346" t="str">
        <f>IFERROR(__xludf.DUMMYFUNCTION("""COMPUTED_VALUE"""),"irq")</f>
        <v>irq</v>
      </c>
      <c r="C7346" t="str">
        <f>IFERROR(__xludf.DUMMYFUNCTION("""COMPUTED_VALUE"""),"Iraq")</f>
        <v>Iraq</v>
      </c>
      <c r="D7346">
        <f>IFERROR(__xludf.DUMMYFUNCTION("""COMPUTED_VALUE"""),2012.0)</f>
        <v>2012</v>
      </c>
      <c r="E7346">
        <f>IFERROR(__xludf.DUMMYFUNCTION("""COMPUTED_VALUE"""),3.2776571E7)</f>
        <v>32776571</v>
      </c>
    </row>
    <row r="7347">
      <c r="A7347" t="str">
        <f t="shared" si="1"/>
        <v>irq#2013</v>
      </c>
      <c r="B7347" t="str">
        <f>IFERROR(__xludf.DUMMYFUNCTION("""COMPUTED_VALUE"""),"irq")</f>
        <v>irq</v>
      </c>
      <c r="C7347" t="str">
        <f>IFERROR(__xludf.DUMMYFUNCTION("""COMPUTED_VALUE"""),"Iraq")</f>
        <v>Iraq</v>
      </c>
      <c r="D7347">
        <f>IFERROR(__xludf.DUMMYFUNCTION("""COMPUTED_VALUE"""),2013.0)</f>
        <v>2013</v>
      </c>
      <c r="E7347">
        <f>IFERROR(__xludf.DUMMYFUNCTION("""COMPUTED_VALUE"""),3.3883145E7)</f>
        <v>33883145</v>
      </c>
    </row>
    <row r="7348">
      <c r="A7348" t="str">
        <f t="shared" si="1"/>
        <v>irq#2014</v>
      </c>
      <c r="B7348" t="str">
        <f>IFERROR(__xludf.DUMMYFUNCTION("""COMPUTED_VALUE"""),"irq")</f>
        <v>irq</v>
      </c>
      <c r="C7348" t="str">
        <f>IFERROR(__xludf.DUMMYFUNCTION("""COMPUTED_VALUE"""),"Iraq")</f>
        <v>Iraq</v>
      </c>
      <c r="D7348">
        <f>IFERROR(__xludf.DUMMYFUNCTION("""COMPUTED_VALUE"""),2014.0)</f>
        <v>2014</v>
      </c>
      <c r="E7348">
        <f>IFERROR(__xludf.DUMMYFUNCTION("""COMPUTED_VALUE"""),3.500608E7)</f>
        <v>35006080</v>
      </c>
    </row>
    <row r="7349">
      <c r="A7349" t="str">
        <f t="shared" si="1"/>
        <v>irq#2015</v>
      </c>
      <c r="B7349" t="str">
        <f>IFERROR(__xludf.DUMMYFUNCTION("""COMPUTED_VALUE"""),"irq")</f>
        <v>irq</v>
      </c>
      <c r="C7349" t="str">
        <f>IFERROR(__xludf.DUMMYFUNCTION("""COMPUTED_VALUE"""),"Iraq")</f>
        <v>Iraq</v>
      </c>
      <c r="D7349">
        <f>IFERROR(__xludf.DUMMYFUNCTION("""COMPUTED_VALUE"""),2015.0)</f>
        <v>2015</v>
      </c>
      <c r="E7349">
        <f>IFERROR(__xludf.DUMMYFUNCTION("""COMPUTED_VALUE"""),3.6115649E7)</f>
        <v>36115649</v>
      </c>
    </row>
    <row r="7350">
      <c r="A7350" t="str">
        <f t="shared" si="1"/>
        <v>irq#2016</v>
      </c>
      <c r="B7350" t="str">
        <f>IFERROR(__xludf.DUMMYFUNCTION("""COMPUTED_VALUE"""),"irq")</f>
        <v>irq</v>
      </c>
      <c r="C7350" t="str">
        <f>IFERROR(__xludf.DUMMYFUNCTION("""COMPUTED_VALUE"""),"Iraq")</f>
        <v>Iraq</v>
      </c>
      <c r="D7350">
        <f>IFERROR(__xludf.DUMMYFUNCTION("""COMPUTED_VALUE"""),2016.0)</f>
        <v>2016</v>
      </c>
      <c r="E7350">
        <f>IFERROR(__xludf.DUMMYFUNCTION("""COMPUTED_VALUE"""),3.7202572E7)</f>
        <v>37202572</v>
      </c>
    </row>
    <row r="7351">
      <c r="A7351" t="str">
        <f t="shared" si="1"/>
        <v>irq#2017</v>
      </c>
      <c r="B7351" t="str">
        <f>IFERROR(__xludf.DUMMYFUNCTION("""COMPUTED_VALUE"""),"irq")</f>
        <v>irq</v>
      </c>
      <c r="C7351" t="str">
        <f>IFERROR(__xludf.DUMMYFUNCTION("""COMPUTED_VALUE"""),"Iraq")</f>
        <v>Iraq</v>
      </c>
      <c r="D7351">
        <f>IFERROR(__xludf.DUMMYFUNCTION("""COMPUTED_VALUE"""),2017.0)</f>
        <v>2017</v>
      </c>
      <c r="E7351">
        <f>IFERROR(__xludf.DUMMYFUNCTION("""COMPUTED_VALUE"""),3.8274618E7)</f>
        <v>38274618</v>
      </c>
    </row>
    <row r="7352">
      <c r="A7352" t="str">
        <f t="shared" si="1"/>
        <v>irq#2018</v>
      </c>
      <c r="B7352" t="str">
        <f>IFERROR(__xludf.DUMMYFUNCTION("""COMPUTED_VALUE"""),"irq")</f>
        <v>irq</v>
      </c>
      <c r="C7352" t="str">
        <f>IFERROR(__xludf.DUMMYFUNCTION("""COMPUTED_VALUE"""),"Iraq")</f>
        <v>Iraq</v>
      </c>
      <c r="D7352">
        <f>IFERROR(__xludf.DUMMYFUNCTION("""COMPUTED_VALUE"""),2018.0)</f>
        <v>2018</v>
      </c>
      <c r="E7352">
        <f>IFERROR(__xludf.DUMMYFUNCTION("""COMPUTED_VALUE"""),3.9339753E7)</f>
        <v>39339753</v>
      </c>
    </row>
    <row r="7353">
      <c r="A7353" t="str">
        <f t="shared" si="1"/>
        <v>irq#2019</v>
      </c>
      <c r="B7353" t="str">
        <f>IFERROR(__xludf.DUMMYFUNCTION("""COMPUTED_VALUE"""),"irq")</f>
        <v>irq</v>
      </c>
      <c r="C7353" t="str">
        <f>IFERROR(__xludf.DUMMYFUNCTION("""COMPUTED_VALUE"""),"Iraq")</f>
        <v>Iraq</v>
      </c>
      <c r="D7353">
        <f>IFERROR(__xludf.DUMMYFUNCTION("""COMPUTED_VALUE"""),2019.0)</f>
        <v>2019</v>
      </c>
      <c r="E7353">
        <f>IFERROR(__xludf.DUMMYFUNCTION("""COMPUTED_VALUE"""),4.0412299E7)</f>
        <v>40412299</v>
      </c>
    </row>
    <row r="7354">
      <c r="A7354" t="str">
        <f t="shared" si="1"/>
        <v>irq#2020</v>
      </c>
      <c r="B7354" t="str">
        <f>IFERROR(__xludf.DUMMYFUNCTION("""COMPUTED_VALUE"""),"irq")</f>
        <v>irq</v>
      </c>
      <c r="C7354" t="str">
        <f>IFERROR(__xludf.DUMMYFUNCTION("""COMPUTED_VALUE"""),"Iraq")</f>
        <v>Iraq</v>
      </c>
      <c r="D7354">
        <f>IFERROR(__xludf.DUMMYFUNCTION("""COMPUTED_VALUE"""),2020.0)</f>
        <v>2020</v>
      </c>
      <c r="E7354">
        <f>IFERROR(__xludf.DUMMYFUNCTION("""COMPUTED_VALUE"""),4.1502885E7)</f>
        <v>41502885</v>
      </c>
    </row>
    <row r="7355">
      <c r="A7355" t="str">
        <f t="shared" si="1"/>
        <v>irq#2021</v>
      </c>
      <c r="B7355" t="str">
        <f>IFERROR(__xludf.DUMMYFUNCTION("""COMPUTED_VALUE"""),"irq")</f>
        <v>irq</v>
      </c>
      <c r="C7355" t="str">
        <f>IFERROR(__xludf.DUMMYFUNCTION("""COMPUTED_VALUE"""),"Iraq")</f>
        <v>Iraq</v>
      </c>
      <c r="D7355">
        <f>IFERROR(__xludf.DUMMYFUNCTION("""COMPUTED_VALUE"""),2021.0)</f>
        <v>2021</v>
      </c>
      <c r="E7355">
        <f>IFERROR(__xludf.DUMMYFUNCTION("""COMPUTED_VALUE"""),4.261221E7)</f>
        <v>42612210</v>
      </c>
    </row>
    <row r="7356">
      <c r="A7356" t="str">
        <f t="shared" si="1"/>
        <v>irq#2022</v>
      </c>
      <c r="B7356" t="str">
        <f>IFERROR(__xludf.DUMMYFUNCTION("""COMPUTED_VALUE"""),"irq")</f>
        <v>irq</v>
      </c>
      <c r="C7356" t="str">
        <f>IFERROR(__xludf.DUMMYFUNCTION("""COMPUTED_VALUE"""),"Iraq")</f>
        <v>Iraq</v>
      </c>
      <c r="D7356">
        <f>IFERROR(__xludf.DUMMYFUNCTION("""COMPUTED_VALUE"""),2022.0)</f>
        <v>2022</v>
      </c>
      <c r="E7356">
        <f>IFERROR(__xludf.DUMMYFUNCTION("""COMPUTED_VALUE"""),4.3736205E7)</f>
        <v>43736205</v>
      </c>
    </row>
    <row r="7357">
      <c r="A7357" t="str">
        <f t="shared" si="1"/>
        <v>irq#2023</v>
      </c>
      <c r="B7357" t="str">
        <f>IFERROR(__xludf.DUMMYFUNCTION("""COMPUTED_VALUE"""),"irq")</f>
        <v>irq</v>
      </c>
      <c r="C7357" t="str">
        <f>IFERROR(__xludf.DUMMYFUNCTION("""COMPUTED_VALUE"""),"Iraq")</f>
        <v>Iraq</v>
      </c>
      <c r="D7357">
        <f>IFERROR(__xludf.DUMMYFUNCTION("""COMPUTED_VALUE"""),2023.0)</f>
        <v>2023</v>
      </c>
      <c r="E7357">
        <f>IFERROR(__xludf.DUMMYFUNCTION("""COMPUTED_VALUE"""),4.4875406E7)</f>
        <v>44875406</v>
      </c>
    </row>
    <row r="7358">
      <c r="A7358" t="str">
        <f t="shared" si="1"/>
        <v>irq#2024</v>
      </c>
      <c r="B7358" t="str">
        <f>IFERROR(__xludf.DUMMYFUNCTION("""COMPUTED_VALUE"""),"irq")</f>
        <v>irq</v>
      </c>
      <c r="C7358" t="str">
        <f>IFERROR(__xludf.DUMMYFUNCTION("""COMPUTED_VALUE"""),"Iraq")</f>
        <v>Iraq</v>
      </c>
      <c r="D7358">
        <f>IFERROR(__xludf.DUMMYFUNCTION("""COMPUTED_VALUE"""),2024.0)</f>
        <v>2024</v>
      </c>
      <c r="E7358">
        <f>IFERROR(__xludf.DUMMYFUNCTION("""COMPUTED_VALUE"""),4.6029845E7)</f>
        <v>46029845</v>
      </c>
    </row>
    <row r="7359">
      <c r="A7359" t="str">
        <f t="shared" si="1"/>
        <v>irq#2025</v>
      </c>
      <c r="B7359" t="str">
        <f>IFERROR(__xludf.DUMMYFUNCTION("""COMPUTED_VALUE"""),"irq")</f>
        <v>irq</v>
      </c>
      <c r="C7359" t="str">
        <f>IFERROR(__xludf.DUMMYFUNCTION("""COMPUTED_VALUE"""),"Iraq")</f>
        <v>Iraq</v>
      </c>
      <c r="D7359">
        <f>IFERROR(__xludf.DUMMYFUNCTION("""COMPUTED_VALUE"""),2025.0)</f>
        <v>2025</v>
      </c>
      <c r="E7359">
        <f>IFERROR(__xludf.DUMMYFUNCTION("""COMPUTED_VALUE"""),4.7199653E7)</f>
        <v>47199653</v>
      </c>
    </row>
    <row r="7360">
      <c r="A7360" t="str">
        <f t="shared" si="1"/>
        <v>irq#2026</v>
      </c>
      <c r="B7360" t="str">
        <f>IFERROR(__xludf.DUMMYFUNCTION("""COMPUTED_VALUE"""),"irq")</f>
        <v>irq</v>
      </c>
      <c r="C7360" t="str">
        <f>IFERROR(__xludf.DUMMYFUNCTION("""COMPUTED_VALUE"""),"Iraq")</f>
        <v>Iraq</v>
      </c>
      <c r="D7360">
        <f>IFERROR(__xludf.DUMMYFUNCTION("""COMPUTED_VALUE"""),2026.0)</f>
        <v>2026</v>
      </c>
      <c r="E7360">
        <f>IFERROR(__xludf.DUMMYFUNCTION("""COMPUTED_VALUE"""),4.8385486E7)</f>
        <v>48385486</v>
      </c>
    </row>
    <row r="7361">
      <c r="A7361" t="str">
        <f t="shared" si="1"/>
        <v>irq#2027</v>
      </c>
      <c r="B7361" t="str">
        <f>IFERROR(__xludf.DUMMYFUNCTION("""COMPUTED_VALUE"""),"irq")</f>
        <v>irq</v>
      </c>
      <c r="C7361" t="str">
        <f>IFERROR(__xludf.DUMMYFUNCTION("""COMPUTED_VALUE"""),"Iraq")</f>
        <v>Iraq</v>
      </c>
      <c r="D7361">
        <f>IFERROR(__xludf.DUMMYFUNCTION("""COMPUTED_VALUE"""),2027.0)</f>
        <v>2027</v>
      </c>
      <c r="E7361">
        <f>IFERROR(__xludf.DUMMYFUNCTION("""COMPUTED_VALUE"""),4.9588073E7)</f>
        <v>49588073</v>
      </c>
    </row>
    <row r="7362">
      <c r="A7362" t="str">
        <f t="shared" si="1"/>
        <v>irq#2028</v>
      </c>
      <c r="B7362" t="str">
        <f>IFERROR(__xludf.DUMMYFUNCTION("""COMPUTED_VALUE"""),"irq")</f>
        <v>irq</v>
      </c>
      <c r="C7362" t="str">
        <f>IFERROR(__xludf.DUMMYFUNCTION("""COMPUTED_VALUE"""),"Iraq")</f>
        <v>Iraq</v>
      </c>
      <c r="D7362">
        <f>IFERROR(__xludf.DUMMYFUNCTION("""COMPUTED_VALUE"""),2028.0)</f>
        <v>2028</v>
      </c>
      <c r="E7362">
        <f>IFERROR(__xludf.DUMMYFUNCTION("""COMPUTED_VALUE"""),5.080761E7)</f>
        <v>50807610</v>
      </c>
    </row>
    <row r="7363">
      <c r="A7363" t="str">
        <f t="shared" si="1"/>
        <v>irq#2029</v>
      </c>
      <c r="B7363" t="str">
        <f>IFERROR(__xludf.DUMMYFUNCTION("""COMPUTED_VALUE"""),"irq")</f>
        <v>irq</v>
      </c>
      <c r="C7363" t="str">
        <f>IFERROR(__xludf.DUMMYFUNCTION("""COMPUTED_VALUE"""),"Iraq")</f>
        <v>Iraq</v>
      </c>
      <c r="D7363">
        <f>IFERROR(__xludf.DUMMYFUNCTION("""COMPUTED_VALUE"""),2029.0)</f>
        <v>2029</v>
      </c>
      <c r="E7363">
        <f>IFERROR(__xludf.DUMMYFUNCTION("""COMPUTED_VALUE"""),5.2044137E7)</f>
        <v>52044137</v>
      </c>
    </row>
    <row r="7364">
      <c r="A7364" t="str">
        <f t="shared" si="1"/>
        <v>irq#2030</v>
      </c>
      <c r="B7364" t="str">
        <f>IFERROR(__xludf.DUMMYFUNCTION("""COMPUTED_VALUE"""),"irq")</f>
        <v>irq</v>
      </c>
      <c r="C7364" t="str">
        <f>IFERROR(__xludf.DUMMYFUNCTION("""COMPUTED_VALUE"""),"Iraq")</f>
        <v>Iraq</v>
      </c>
      <c r="D7364">
        <f>IFERROR(__xludf.DUMMYFUNCTION("""COMPUTED_VALUE"""),2030.0)</f>
        <v>2030</v>
      </c>
      <c r="E7364">
        <f>IFERROR(__xludf.DUMMYFUNCTION("""COMPUTED_VALUE"""),5.3297666E7)</f>
        <v>53297666</v>
      </c>
    </row>
    <row r="7365">
      <c r="A7365" t="str">
        <f t="shared" si="1"/>
        <v>irq#2031</v>
      </c>
      <c r="B7365" t="str">
        <f>IFERROR(__xludf.DUMMYFUNCTION("""COMPUTED_VALUE"""),"irq")</f>
        <v>irq</v>
      </c>
      <c r="C7365" t="str">
        <f>IFERROR(__xludf.DUMMYFUNCTION("""COMPUTED_VALUE"""),"Iraq")</f>
        <v>Iraq</v>
      </c>
      <c r="D7365">
        <f>IFERROR(__xludf.DUMMYFUNCTION("""COMPUTED_VALUE"""),2031.0)</f>
        <v>2031</v>
      </c>
      <c r="E7365">
        <f>IFERROR(__xludf.DUMMYFUNCTION("""COMPUTED_VALUE"""),5.4568209E7)</f>
        <v>54568209</v>
      </c>
    </row>
    <row r="7366">
      <c r="A7366" t="str">
        <f t="shared" si="1"/>
        <v>irq#2032</v>
      </c>
      <c r="B7366" t="str">
        <f>IFERROR(__xludf.DUMMYFUNCTION("""COMPUTED_VALUE"""),"irq")</f>
        <v>irq</v>
      </c>
      <c r="C7366" t="str">
        <f>IFERROR(__xludf.DUMMYFUNCTION("""COMPUTED_VALUE"""),"Iraq")</f>
        <v>Iraq</v>
      </c>
      <c r="D7366">
        <f>IFERROR(__xludf.DUMMYFUNCTION("""COMPUTED_VALUE"""),2032.0)</f>
        <v>2032</v>
      </c>
      <c r="E7366">
        <f>IFERROR(__xludf.DUMMYFUNCTION("""COMPUTED_VALUE"""),5.5855801E7)</f>
        <v>55855801</v>
      </c>
    </row>
    <row r="7367">
      <c r="A7367" t="str">
        <f t="shared" si="1"/>
        <v>irq#2033</v>
      </c>
      <c r="B7367" t="str">
        <f>IFERROR(__xludf.DUMMYFUNCTION("""COMPUTED_VALUE"""),"irq")</f>
        <v>irq</v>
      </c>
      <c r="C7367" t="str">
        <f>IFERROR(__xludf.DUMMYFUNCTION("""COMPUTED_VALUE"""),"Iraq")</f>
        <v>Iraq</v>
      </c>
      <c r="D7367">
        <f>IFERROR(__xludf.DUMMYFUNCTION("""COMPUTED_VALUE"""),2033.0)</f>
        <v>2033</v>
      </c>
      <c r="E7367">
        <f>IFERROR(__xludf.DUMMYFUNCTION("""COMPUTED_VALUE"""),5.7160479E7)</f>
        <v>57160479</v>
      </c>
    </row>
    <row r="7368">
      <c r="A7368" t="str">
        <f t="shared" si="1"/>
        <v>irq#2034</v>
      </c>
      <c r="B7368" t="str">
        <f>IFERROR(__xludf.DUMMYFUNCTION("""COMPUTED_VALUE"""),"irq")</f>
        <v>irq</v>
      </c>
      <c r="C7368" t="str">
        <f>IFERROR(__xludf.DUMMYFUNCTION("""COMPUTED_VALUE"""),"Iraq")</f>
        <v>Iraq</v>
      </c>
      <c r="D7368">
        <f>IFERROR(__xludf.DUMMYFUNCTION("""COMPUTED_VALUE"""),2034.0)</f>
        <v>2034</v>
      </c>
      <c r="E7368">
        <f>IFERROR(__xludf.DUMMYFUNCTION("""COMPUTED_VALUE"""),5.8482253E7)</f>
        <v>58482253</v>
      </c>
    </row>
    <row r="7369">
      <c r="A7369" t="str">
        <f t="shared" si="1"/>
        <v>irq#2035</v>
      </c>
      <c r="B7369" t="str">
        <f>IFERROR(__xludf.DUMMYFUNCTION("""COMPUTED_VALUE"""),"irq")</f>
        <v>irq</v>
      </c>
      <c r="C7369" t="str">
        <f>IFERROR(__xludf.DUMMYFUNCTION("""COMPUTED_VALUE"""),"Iraq")</f>
        <v>Iraq</v>
      </c>
      <c r="D7369">
        <f>IFERROR(__xludf.DUMMYFUNCTION("""COMPUTED_VALUE"""),2035.0)</f>
        <v>2035</v>
      </c>
      <c r="E7369">
        <f>IFERROR(__xludf.DUMMYFUNCTION("""COMPUTED_VALUE"""),5.9820984E7)</f>
        <v>59820984</v>
      </c>
    </row>
    <row r="7370">
      <c r="A7370" t="str">
        <f t="shared" si="1"/>
        <v>irq#2036</v>
      </c>
      <c r="B7370" t="str">
        <f>IFERROR(__xludf.DUMMYFUNCTION("""COMPUTED_VALUE"""),"irq")</f>
        <v>irq</v>
      </c>
      <c r="C7370" t="str">
        <f>IFERROR(__xludf.DUMMYFUNCTION("""COMPUTED_VALUE"""),"Iraq")</f>
        <v>Iraq</v>
      </c>
      <c r="D7370">
        <f>IFERROR(__xludf.DUMMYFUNCTION("""COMPUTED_VALUE"""),2036.0)</f>
        <v>2036</v>
      </c>
      <c r="E7370">
        <f>IFERROR(__xludf.DUMMYFUNCTION("""COMPUTED_VALUE"""),6.1176441E7)</f>
        <v>61176441</v>
      </c>
    </row>
    <row r="7371">
      <c r="A7371" t="str">
        <f t="shared" si="1"/>
        <v>irq#2037</v>
      </c>
      <c r="B7371" t="str">
        <f>IFERROR(__xludf.DUMMYFUNCTION("""COMPUTED_VALUE"""),"irq")</f>
        <v>irq</v>
      </c>
      <c r="C7371" t="str">
        <f>IFERROR(__xludf.DUMMYFUNCTION("""COMPUTED_VALUE"""),"Iraq")</f>
        <v>Iraq</v>
      </c>
      <c r="D7371">
        <f>IFERROR(__xludf.DUMMYFUNCTION("""COMPUTED_VALUE"""),2037.0)</f>
        <v>2037</v>
      </c>
      <c r="E7371">
        <f>IFERROR(__xludf.DUMMYFUNCTION("""COMPUTED_VALUE"""),6.2548132E7)</f>
        <v>62548132</v>
      </c>
    </row>
    <row r="7372">
      <c r="A7372" t="str">
        <f t="shared" si="1"/>
        <v>irq#2038</v>
      </c>
      <c r="B7372" t="str">
        <f>IFERROR(__xludf.DUMMYFUNCTION("""COMPUTED_VALUE"""),"irq")</f>
        <v>irq</v>
      </c>
      <c r="C7372" t="str">
        <f>IFERROR(__xludf.DUMMYFUNCTION("""COMPUTED_VALUE"""),"Iraq")</f>
        <v>Iraq</v>
      </c>
      <c r="D7372">
        <f>IFERROR(__xludf.DUMMYFUNCTION("""COMPUTED_VALUE"""),2038.0)</f>
        <v>2038</v>
      </c>
      <c r="E7372">
        <f>IFERROR(__xludf.DUMMYFUNCTION("""COMPUTED_VALUE"""),6.3935269E7)</f>
        <v>63935269</v>
      </c>
    </row>
    <row r="7373">
      <c r="A7373" t="str">
        <f t="shared" si="1"/>
        <v>irq#2039</v>
      </c>
      <c r="B7373" t="str">
        <f>IFERROR(__xludf.DUMMYFUNCTION("""COMPUTED_VALUE"""),"irq")</f>
        <v>irq</v>
      </c>
      <c r="C7373" t="str">
        <f>IFERROR(__xludf.DUMMYFUNCTION("""COMPUTED_VALUE"""),"Iraq")</f>
        <v>Iraq</v>
      </c>
      <c r="D7373">
        <f>IFERROR(__xludf.DUMMYFUNCTION("""COMPUTED_VALUE"""),2039.0)</f>
        <v>2039</v>
      </c>
      <c r="E7373">
        <f>IFERROR(__xludf.DUMMYFUNCTION("""COMPUTED_VALUE"""),6.5336862E7)</f>
        <v>65336862</v>
      </c>
    </row>
    <row r="7374">
      <c r="A7374" t="str">
        <f t="shared" si="1"/>
        <v>irq#2040</v>
      </c>
      <c r="B7374" t="str">
        <f>IFERROR(__xludf.DUMMYFUNCTION("""COMPUTED_VALUE"""),"irq")</f>
        <v>irq</v>
      </c>
      <c r="C7374" t="str">
        <f>IFERROR(__xludf.DUMMYFUNCTION("""COMPUTED_VALUE"""),"Iraq")</f>
        <v>Iraq</v>
      </c>
      <c r="D7374">
        <f>IFERROR(__xludf.DUMMYFUNCTION("""COMPUTED_VALUE"""),2040.0)</f>
        <v>2040</v>
      </c>
      <c r="E7374">
        <f>IFERROR(__xludf.DUMMYFUNCTION("""COMPUTED_VALUE"""),6.6751984E7)</f>
        <v>66751984</v>
      </c>
    </row>
    <row r="7375">
      <c r="A7375" t="str">
        <f t="shared" si="1"/>
        <v>irl#1950</v>
      </c>
      <c r="B7375" t="str">
        <f>IFERROR(__xludf.DUMMYFUNCTION("""COMPUTED_VALUE"""),"irl")</f>
        <v>irl</v>
      </c>
      <c r="C7375" t="str">
        <f>IFERROR(__xludf.DUMMYFUNCTION("""COMPUTED_VALUE"""),"Ireland")</f>
        <v>Ireland</v>
      </c>
      <c r="D7375">
        <f>IFERROR(__xludf.DUMMYFUNCTION("""COMPUTED_VALUE"""),1950.0)</f>
        <v>1950</v>
      </c>
      <c r="E7375">
        <f>IFERROR(__xludf.DUMMYFUNCTION("""COMPUTED_VALUE"""),2913093.0)</f>
        <v>2913093</v>
      </c>
    </row>
    <row r="7376">
      <c r="A7376" t="str">
        <f t="shared" si="1"/>
        <v>irl#1951</v>
      </c>
      <c r="B7376" t="str">
        <f>IFERROR(__xludf.DUMMYFUNCTION("""COMPUTED_VALUE"""),"irl")</f>
        <v>irl</v>
      </c>
      <c r="C7376" t="str">
        <f>IFERROR(__xludf.DUMMYFUNCTION("""COMPUTED_VALUE"""),"Ireland")</f>
        <v>Ireland</v>
      </c>
      <c r="D7376">
        <f>IFERROR(__xludf.DUMMYFUNCTION("""COMPUTED_VALUE"""),1951.0)</f>
        <v>1951</v>
      </c>
      <c r="E7376">
        <f>IFERROR(__xludf.DUMMYFUNCTION("""COMPUTED_VALUE"""),2921109.0)</f>
        <v>2921109</v>
      </c>
    </row>
    <row r="7377">
      <c r="A7377" t="str">
        <f t="shared" si="1"/>
        <v>irl#1952</v>
      </c>
      <c r="B7377" t="str">
        <f>IFERROR(__xludf.DUMMYFUNCTION("""COMPUTED_VALUE"""),"irl")</f>
        <v>irl</v>
      </c>
      <c r="C7377" t="str">
        <f>IFERROR(__xludf.DUMMYFUNCTION("""COMPUTED_VALUE"""),"Ireland")</f>
        <v>Ireland</v>
      </c>
      <c r="D7377">
        <f>IFERROR(__xludf.DUMMYFUNCTION("""COMPUTED_VALUE"""),1952.0)</f>
        <v>1952</v>
      </c>
      <c r="E7377">
        <f>IFERROR(__xludf.DUMMYFUNCTION("""COMPUTED_VALUE"""),2924054.0)</f>
        <v>2924054</v>
      </c>
    </row>
    <row r="7378">
      <c r="A7378" t="str">
        <f t="shared" si="1"/>
        <v>irl#1953</v>
      </c>
      <c r="B7378" t="str">
        <f>IFERROR(__xludf.DUMMYFUNCTION("""COMPUTED_VALUE"""),"irl")</f>
        <v>irl</v>
      </c>
      <c r="C7378" t="str">
        <f>IFERROR(__xludf.DUMMYFUNCTION("""COMPUTED_VALUE"""),"Ireland")</f>
        <v>Ireland</v>
      </c>
      <c r="D7378">
        <f>IFERROR(__xludf.DUMMYFUNCTION("""COMPUTED_VALUE"""),1953.0)</f>
        <v>1953</v>
      </c>
      <c r="E7378">
        <f>IFERROR(__xludf.DUMMYFUNCTION("""COMPUTED_VALUE"""),2921355.0)</f>
        <v>2921355</v>
      </c>
    </row>
    <row r="7379">
      <c r="A7379" t="str">
        <f t="shared" si="1"/>
        <v>irl#1954</v>
      </c>
      <c r="B7379" t="str">
        <f>IFERROR(__xludf.DUMMYFUNCTION("""COMPUTED_VALUE"""),"irl")</f>
        <v>irl</v>
      </c>
      <c r="C7379" t="str">
        <f>IFERROR(__xludf.DUMMYFUNCTION("""COMPUTED_VALUE"""),"Ireland")</f>
        <v>Ireland</v>
      </c>
      <c r="D7379">
        <f>IFERROR(__xludf.DUMMYFUNCTION("""COMPUTED_VALUE"""),1954.0)</f>
        <v>1954</v>
      </c>
      <c r="E7379">
        <f>IFERROR(__xludf.DUMMYFUNCTION("""COMPUTED_VALUE"""),2913045.0)</f>
        <v>2913045</v>
      </c>
    </row>
    <row r="7380">
      <c r="A7380" t="str">
        <f t="shared" si="1"/>
        <v>irl#1955</v>
      </c>
      <c r="B7380" t="str">
        <f>IFERROR(__xludf.DUMMYFUNCTION("""COMPUTED_VALUE"""),"irl")</f>
        <v>irl</v>
      </c>
      <c r="C7380" t="str">
        <f>IFERROR(__xludf.DUMMYFUNCTION("""COMPUTED_VALUE"""),"Ireland")</f>
        <v>Ireland</v>
      </c>
      <c r="D7380">
        <f>IFERROR(__xludf.DUMMYFUNCTION("""COMPUTED_VALUE"""),1955.0)</f>
        <v>1955</v>
      </c>
      <c r="E7380">
        <f>IFERROR(__xludf.DUMMYFUNCTION("""COMPUTED_VALUE"""),2899784.0)</f>
        <v>2899784</v>
      </c>
    </row>
    <row r="7381">
      <c r="A7381" t="str">
        <f t="shared" si="1"/>
        <v>irl#1956</v>
      </c>
      <c r="B7381" t="str">
        <f>IFERROR(__xludf.DUMMYFUNCTION("""COMPUTED_VALUE"""),"irl")</f>
        <v>irl</v>
      </c>
      <c r="C7381" t="str">
        <f>IFERROR(__xludf.DUMMYFUNCTION("""COMPUTED_VALUE"""),"Ireland")</f>
        <v>Ireland</v>
      </c>
      <c r="D7381">
        <f>IFERROR(__xludf.DUMMYFUNCTION("""COMPUTED_VALUE"""),1956.0)</f>
        <v>1956</v>
      </c>
      <c r="E7381">
        <f>IFERROR(__xludf.DUMMYFUNCTION("""COMPUTED_VALUE"""),2882846.0)</f>
        <v>2882846</v>
      </c>
    </row>
    <row r="7382">
      <c r="A7382" t="str">
        <f t="shared" si="1"/>
        <v>irl#1957</v>
      </c>
      <c r="B7382" t="str">
        <f>IFERROR(__xludf.DUMMYFUNCTION("""COMPUTED_VALUE"""),"irl")</f>
        <v>irl</v>
      </c>
      <c r="C7382" t="str">
        <f>IFERROR(__xludf.DUMMYFUNCTION("""COMPUTED_VALUE"""),"Ireland")</f>
        <v>Ireland</v>
      </c>
      <c r="D7382">
        <f>IFERROR(__xludf.DUMMYFUNCTION("""COMPUTED_VALUE"""),1957.0)</f>
        <v>1957</v>
      </c>
      <c r="E7382">
        <f>IFERROR(__xludf.DUMMYFUNCTION("""COMPUTED_VALUE"""),2864140.0)</f>
        <v>2864140</v>
      </c>
    </row>
    <row r="7383">
      <c r="A7383" t="str">
        <f t="shared" si="1"/>
        <v>irl#1958</v>
      </c>
      <c r="B7383" t="str">
        <f>IFERROR(__xludf.DUMMYFUNCTION("""COMPUTED_VALUE"""),"irl")</f>
        <v>irl</v>
      </c>
      <c r="C7383" t="str">
        <f>IFERROR(__xludf.DUMMYFUNCTION("""COMPUTED_VALUE"""),"Ireland")</f>
        <v>Ireland</v>
      </c>
      <c r="D7383">
        <f>IFERROR(__xludf.DUMMYFUNCTION("""COMPUTED_VALUE"""),1958.0)</f>
        <v>1958</v>
      </c>
      <c r="E7383">
        <f>IFERROR(__xludf.DUMMYFUNCTION("""COMPUTED_VALUE"""),2846055.0)</f>
        <v>2846055</v>
      </c>
    </row>
    <row r="7384">
      <c r="A7384" t="str">
        <f t="shared" si="1"/>
        <v>irl#1959</v>
      </c>
      <c r="B7384" t="str">
        <f>IFERROR(__xludf.DUMMYFUNCTION("""COMPUTED_VALUE"""),"irl")</f>
        <v>irl</v>
      </c>
      <c r="C7384" t="str">
        <f>IFERROR(__xludf.DUMMYFUNCTION("""COMPUTED_VALUE"""),"Ireland")</f>
        <v>Ireland</v>
      </c>
      <c r="D7384">
        <f>IFERROR(__xludf.DUMMYFUNCTION("""COMPUTED_VALUE"""),1959.0)</f>
        <v>1959</v>
      </c>
      <c r="E7384">
        <f>IFERROR(__xludf.DUMMYFUNCTION("""COMPUTED_VALUE"""),2831252.0)</f>
        <v>2831252</v>
      </c>
    </row>
    <row r="7385">
      <c r="A7385" t="str">
        <f t="shared" si="1"/>
        <v>irl#1960</v>
      </c>
      <c r="B7385" t="str">
        <f>IFERROR(__xludf.DUMMYFUNCTION("""COMPUTED_VALUE"""),"irl")</f>
        <v>irl</v>
      </c>
      <c r="C7385" t="str">
        <f>IFERROR(__xludf.DUMMYFUNCTION("""COMPUTED_VALUE"""),"Ireland")</f>
        <v>Ireland</v>
      </c>
      <c r="D7385">
        <f>IFERROR(__xludf.DUMMYFUNCTION("""COMPUTED_VALUE"""),1960.0)</f>
        <v>1960</v>
      </c>
      <c r="E7385">
        <f>IFERROR(__xludf.DUMMYFUNCTION("""COMPUTED_VALUE"""),2822110.0)</f>
        <v>2822110</v>
      </c>
    </row>
    <row r="7386">
      <c r="A7386" t="str">
        <f t="shared" si="1"/>
        <v>irl#1961</v>
      </c>
      <c r="B7386" t="str">
        <f>IFERROR(__xludf.DUMMYFUNCTION("""COMPUTED_VALUE"""),"irl")</f>
        <v>irl</v>
      </c>
      <c r="C7386" t="str">
        <f>IFERROR(__xludf.DUMMYFUNCTION("""COMPUTED_VALUE"""),"Ireland")</f>
        <v>Ireland</v>
      </c>
      <c r="D7386">
        <f>IFERROR(__xludf.DUMMYFUNCTION("""COMPUTED_VALUE"""),1961.0)</f>
        <v>1961</v>
      </c>
      <c r="E7386">
        <f>IFERROR(__xludf.DUMMYFUNCTION("""COMPUTED_VALUE"""),2820038.0)</f>
        <v>2820038</v>
      </c>
    </row>
    <row r="7387">
      <c r="A7387" t="str">
        <f t="shared" si="1"/>
        <v>irl#1962</v>
      </c>
      <c r="B7387" t="str">
        <f>IFERROR(__xludf.DUMMYFUNCTION("""COMPUTED_VALUE"""),"irl")</f>
        <v>irl</v>
      </c>
      <c r="C7387" t="str">
        <f>IFERROR(__xludf.DUMMYFUNCTION("""COMPUTED_VALUE"""),"Ireland")</f>
        <v>Ireland</v>
      </c>
      <c r="D7387">
        <f>IFERROR(__xludf.DUMMYFUNCTION("""COMPUTED_VALUE"""),1962.0)</f>
        <v>1962</v>
      </c>
      <c r="E7387">
        <f>IFERROR(__xludf.DUMMYFUNCTION("""COMPUTED_VALUE"""),2824948.0)</f>
        <v>2824948</v>
      </c>
    </row>
    <row r="7388">
      <c r="A7388" t="str">
        <f t="shared" si="1"/>
        <v>irl#1963</v>
      </c>
      <c r="B7388" t="str">
        <f>IFERROR(__xludf.DUMMYFUNCTION("""COMPUTED_VALUE"""),"irl")</f>
        <v>irl</v>
      </c>
      <c r="C7388" t="str">
        <f>IFERROR(__xludf.DUMMYFUNCTION("""COMPUTED_VALUE"""),"Ireland")</f>
        <v>Ireland</v>
      </c>
      <c r="D7388">
        <f>IFERROR(__xludf.DUMMYFUNCTION("""COMPUTED_VALUE"""),1963.0)</f>
        <v>1963</v>
      </c>
      <c r="E7388">
        <f>IFERROR(__xludf.DUMMYFUNCTION("""COMPUTED_VALUE"""),2835019.0)</f>
        <v>2835019</v>
      </c>
    </row>
    <row r="7389">
      <c r="A7389" t="str">
        <f t="shared" si="1"/>
        <v>irl#1964</v>
      </c>
      <c r="B7389" t="str">
        <f>IFERROR(__xludf.DUMMYFUNCTION("""COMPUTED_VALUE"""),"irl")</f>
        <v>irl</v>
      </c>
      <c r="C7389" t="str">
        <f>IFERROR(__xludf.DUMMYFUNCTION("""COMPUTED_VALUE"""),"Ireland")</f>
        <v>Ireland</v>
      </c>
      <c r="D7389">
        <f>IFERROR(__xludf.DUMMYFUNCTION("""COMPUTED_VALUE"""),1964.0)</f>
        <v>1964</v>
      </c>
      <c r="E7389">
        <f>IFERROR(__xludf.DUMMYFUNCTION("""COMPUTED_VALUE"""),2847340.0)</f>
        <v>2847340</v>
      </c>
    </row>
    <row r="7390">
      <c r="A7390" t="str">
        <f t="shared" si="1"/>
        <v>irl#1965</v>
      </c>
      <c r="B7390" t="str">
        <f>IFERROR(__xludf.DUMMYFUNCTION("""COMPUTED_VALUE"""),"irl")</f>
        <v>irl</v>
      </c>
      <c r="C7390" t="str">
        <f>IFERROR(__xludf.DUMMYFUNCTION("""COMPUTED_VALUE"""),"Ireland")</f>
        <v>Ireland</v>
      </c>
      <c r="D7390">
        <f>IFERROR(__xludf.DUMMYFUNCTION("""COMPUTED_VALUE"""),1965.0)</f>
        <v>1965</v>
      </c>
      <c r="E7390">
        <f>IFERROR(__xludf.DUMMYFUNCTION("""COMPUTED_VALUE"""),2859955.0)</f>
        <v>2859955</v>
      </c>
    </row>
    <row r="7391">
      <c r="A7391" t="str">
        <f t="shared" si="1"/>
        <v>irl#1966</v>
      </c>
      <c r="B7391" t="str">
        <f>IFERROR(__xludf.DUMMYFUNCTION("""COMPUTED_VALUE"""),"irl")</f>
        <v>irl</v>
      </c>
      <c r="C7391" t="str">
        <f>IFERROR(__xludf.DUMMYFUNCTION("""COMPUTED_VALUE"""),"Ireland")</f>
        <v>Ireland</v>
      </c>
      <c r="D7391">
        <f>IFERROR(__xludf.DUMMYFUNCTION("""COMPUTED_VALUE"""),1966.0)</f>
        <v>1966</v>
      </c>
      <c r="E7391">
        <f>IFERROR(__xludf.DUMMYFUNCTION("""COMPUTED_VALUE"""),2872071.0)</f>
        <v>2872071</v>
      </c>
    </row>
    <row r="7392">
      <c r="A7392" t="str">
        <f t="shared" si="1"/>
        <v>irl#1967</v>
      </c>
      <c r="B7392" t="str">
        <f>IFERROR(__xludf.DUMMYFUNCTION("""COMPUTED_VALUE"""),"irl")</f>
        <v>irl</v>
      </c>
      <c r="C7392" t="str">
        <f>IFERROR(__xludf.DUMMYFUNCTION("""COMPUTED_VALUE"""),"Ireland")</f>
        <v>Ireland</v>
      </c>
      <c r="D7392">
        <f>IFERROR(__xludf.DUMMYFUNCTION("""COMPUTED_VALUE"""),1967.0)</f>
        <v>1967</v>
      </c>
      <c r="E7392">
        <f>IFERROR(__xludf.DUMMYFUNCTION("""COMPUTED_VALUE"""),2884783.0)</f>
        <v>2884783</v>
      </c>
    </row>
    <row r="7393">
      <c r="A7393" t="str">
        <f t="shared" si="1"/>
        <v>irl#1968</v>
      </c>
      <c r="B7393" t="str">
        <f>IFERROR(__xludf.DUMMYFUNCTION("""COMPUTED_VALUE"""),"irl")</f>
        <v>irl</v>
      </c>
      <c r="C7393" t="str">
        <f>IFERROR(__xludf.DUMMYFUNCTION("""COMPUTED_VALUE"""),"Ireland")</f>
        <v>Ireland</v>
      </c>
      <c r="D7393">
        <f>IFERROR(__xludf.DUMMYFUNCTION("""COMPUTED_VALUE"""),1968.0)</f>
        <v>1968</v>
      </c>
      <c r="E7393">
        <f>IFERROR(__xludf.DUMMYFUNCTION("""COMPUTED_VALUE"""),2900184.0)</f>
        <v>2900184</v>
      </c>
    </row>
    <row r="7394">
      <c r="A7394" t="str">
        <f t="shared" si="1"/>
        <v>irl#1969</v>
      </c>
      <c r="B7394" t="str">
        <f>IFERROR(__xludf.DUMMYFUNCTION("""COMPUTED_VALUE"""),"irl")</f>
        <v>irl</v>
      </c>
      <c r="C7394" t="str">
        <f>IFERROR(__xludf.DUMMYFUNCTION("""COMPUTED_VALUE"""),"Ireland")</f>
        <v>Ireland</v>
      </c>
      <c r="D7394">
        <f>IFERROR(__xludf.DUMMYFUNCTION("""COMPUTED_VALUE"""),1969.0)</f>
        <v>1969</v>
      </c>
      <c r="E7394">
        <f>IFERROR(__xludf.DUMMYFUNCTION("""COMPUTED_VALUE"""),2921259.0)</f>
        <v>2921259</v>
      </c>
    </row>
    <row r="7395">
      <c r="A7395" t="str">
        <f t="shared" si="1"/>
        <v>irl#1970</v>
      </c>
      <c r="B7395" t="str">
        <f>IFERROR(__xludf.DUMMYFUNCTION("""COMPUTED_VALUE"""),"irl")</f>
        <v>irl</v>
      </c>
      <c r="C7395" t="str">
        <f>IFERROR(__xludf.DUMMYFUNCTION("""COMPUTED_VALUE"""),"Ireland")</f>
        <v>Ireland</v>
      </c>
      <c r="D7395">
        <f>IFERROR(__xludf.DUMMYFUNCTION("""COMPUTED_VALUE"""),1970.0)</f>
        <v>1970</v>
      </c>
      <c r="E7395">
        <f>IFERROR(__xludf.DUMMYFUNCTION("""COMPUTED_VALUE"""),2949998.0)</f>
        <v>2949998</v>
      </c>
    </row>
    <row r="7396">
      <c r="A7396" t="str">
        <f t="shared" si="1"/>
        <v>irl#1971</v>
      </c>
      <c r="B7396" t="str">
        <f>IFERROR(__xludf.DUMMYFUNCTION("""COMPUTED_VALUE"""),"irl")</f>
        <v>irl</v>
      </c>
      <c r="C7396" t="str">
        <f>IFERROR(__xludf.DUMMYFUNCTION("""COMPUTED_VALUE"""),"Ireland")</f>
        <v>Ireland</v>
      </c>
      <c r="D7396">
        <f>IFERROR(__xludf.DUMMYFUNCTION("""COMPUTED_VALUE"""),1971.0)</f>
        <v>1971</v>
      </c>
      <c r="E7396">
        <f>IFERROR(__xludf.DUMMYFUNCTION("""COMPUTED_VALUE"""),2986783.0)</f>
        <v>2986783</v>
      </c>
    </row>
    <row r="7397">
      <c r="A7397" t="str">
        <f t="shared" si="1"/>
        <v>irl#1972</v>
      </c>
      <c r="B7397" t="str">
        <f>IFERROR(__xludf.DUMMYFUNCTION("""COMPUTED_VALUE"""),"irl")</f>
        <v>irl</v>
      </c>
      <c r="C7397" t="str">
        <f>IFERROR(__xludf.DUMMYFUNCTION("""COMPUTED_VALUE"""),"Ireland")</f>
        <v>Ireland</v>
      </c>
      <c r="D7397">
        <f>IFERROR(__xludf.DUMMYFUNCTION("""COMPUTED_VALUE"""),1972.0)</f>
        <v>1972</v>
      </c>
      <c r="E7397">
        <f>IFERROR(__xludf.DUMMYFUNCTION("""COMPUTED_VALUE"""),3030395.0)</f>
        <v>3030395</v>
      </c>
    </row>
    <row r="7398">
      <c r="A7398" t="str">
        <f t="shared" si="1"/>
        <v>irl#1973</v>
      </c>
      <c r="B7398" t="str">
        <f>IFERROR(__xludf.DUMMYFUNCTION("""COMPUTED_VALUE"""),"irl")</f>
        <v>irl</v>
      </c>
      <c r="C7398" t="str">
        <f>IFERROR(__xludf.DUMMYFUNCTION("""COMPUTED_VALUE"""),"Ireland")</f>
        <v>Ireland</v>
      </c>
      <c r="D7398">
        <f>IFERROR(__xludf.DUMMYFUNCTION("""COMPUTED_VALUE"""),1973.0)</f>
        <v>1973</v>
      </c>
      <c r="E7398">
        <f>IFERROR(__xludf.DUMMYFUNCTION("""COMPUTED_VALUE"""),3079295.0)</f>
        <v>3079295</v>
      </c>
    </row>
    <row r="7399">
      <c r="A7399" t="str">
        <f t="shared" si="1"/>
        <v>irl#1974</v>
      </c>
      <c r="B7399" t="str">
        <f>IFERROR(__xludf.DUMMYFUNCTION("""COMPUTED_VALUE"""),"irl")</f>
        <v>irl</v>
      </c>
      <c r="C7399" t="str">
        <f>IFERROR(__xludf.DUMMYFUNCTION("""COMPUTED_VALUE"""),"Ireland")</f>
        <v>Ireland</v>
      </c>
      <c r="D7399">
        <f>IFERROR(__xludf.DUMMYFUNCTION("""COMPUTED_VALUE"""),1974.0)</f>
        <v>1974</v>
      </c>
      <c r="E7399">
        <f>IFERROR(__xludf.DUMMYFUNCTION("""COMPUTED_VALUE"""),3131175.0)</f>
        <v>3131175</v>
      </c>
    </row>
    <row r="7400">
      <c r="A7400" t="str">
        <f t="shared" si="1"/>
        <v>irl#1975</v>
      </c>
      <c r="B7400" t="str">
        <f>IFERROR(__xludf.DUMMYFUNCTION("""COMPUTED_VALUE"""),"irl")</f>
        <v>irl</v>
      </c>
      <c r="C7400" t="str">
        <f>IFERROR(__xludf.DUMMYFUNCTION("""COMPUTED_VALUE"""),"Ireland")</f>
        <v>Ireland</v>
      </c>
      <c r="D7400">
        <f>IFERROR(__xludf.DUMMYFUNCTION("""COMPUTED_VALUE"""),1975.0)</f>
        <v>1975</v>
      </c>
      <c r="E7400">
        <f>IFERROR(__xludf.DUMMYFUNCTION("""COMPUTED_VALUE"""),3184126.0)</f>
        <v>3184126</v>
      </c>
    </row>
    <row r="7401">
      <c r="A7401" t="str">
        <f t="shared" si="1"/>
        <v>irl#1976</v>
      </c>
      <c r="B7401" t="str">
        <f>IFERROR(__xludf.DUMMYFUNCTION("""COMPUTED_VALUE"""),"irl")</f>
        <v>irl</v>
      </c>
      <c r="C7401" t="str">
        <f>IFERROR(__xludf.DUMMYFUNCTION("""COMPUTED_VALUE"""),"Ireland")</f>
        <v>Ireland</v>
      </c>
      <c r="D7401">
        <f>IFERROR(__xludf.DUMMYFUNCTION("""COMPUTED_VALUE"""),1976.0)</f>
        <v>1976</v>
      </c>
      <c r="E7401">
        <f>IFERROR(__xludf.DUMMYFUNCTION("""COMPUTED_VALUE"""),3237594.0)</f>
        <v>3237594</v>
      </c>
    </row>
    <row r="7402">
      <c r="A7402" t="str">
        <f t="shared" si="1"/>
        <v>irl#1977</v>
      </c>
      <c r="B7402" t="str">
        <f>IFERROR(__xludf.DUMMYFUNCTION("""COMPUTED_VALUE"""),"irl")</f>
        <v>irl</v>
      </c>
      <c r="C7402" t="str">
        <f>IFERROR(__xludf.DUMMYFUNCTION("""COMPUTED_VALUE"""),"Ireland")</f>
        <v>Ireland</v>
      </c>
      <c r="D7402">
        <f>IFERROR(__xludf.DUMMYFUNCTION("""COMPUTED_VALUE"""),1977.0)</f>
        <v>1977</v>
      </c>
      <c r="E7402">
        <f>IFERROR(__xludf.DUMMYFUNCTION("""COMPUTED_VALUE"""),3291170.0)</f>
        <v>3291170</v>
      </c>
    </row>
    <row r="7403">
      <c r="A7403" t="str">
        <f t="shared" si="1"/>
        <v>irl#1978</v>
      </c>
      <c r="B7403" t="str">
        <f>IFERROR(__xludf.DUMMYFUNCTION("""COMPUTED_VALUE"""),"irl")</f>
        <v>irl</v>
      </c>
      <c r="C7403" t="str">
        <f>IFERROR(__xludf.DUMMYFUNCTION("""COMPUTED_VALUE"""),"Ireland")</f>
        <v>Ireland</v>
      </c>
      <c r="D7403">
        <f>IFERROR(__xludf.DUMMYFUNCTION("""COMPUTED_VALUE"""),1978.0)</f>
        <v>1978</v>
      </c>
      <c r="E7403">
        <f>IFERROR(__xludf.DUMMYFUNCTION("""COMPUTED_VALUE"""),3343147.0)</f>
        <v>3343147</v>
      </c>
    </row>
    <row r="7404">
      <c r="A7404" t="str">
        <f t="shared" si="1"/>
        <v>irl#1979</v>
      </c>
      <c r="B7404" t="str">
        <f>IFERROR(__xludf.DUMMYFUNCTION("""COMPUTED_VALUE"""),"irl")</f>
        <v>irl</v>
      </c>
      <c r="C7404" t="str">
        <f>IFERROR(__xludf.DUMMYFUNCTION("""COMPUTED_VALUE"""),"Ireland")</f>
        <v>Ireland</v>
      </c>
      <c r="D7404">
        <f>IFERROR(__xludf.DUMMYFUNCTION("""COMPUTED_VALUE"""),1979.0)</f>
        <v>1979</v>
      </c>
      <c r="E7404">
        <f>IFERROR(__xludf.DUMMYFUNCTION("""COMPUTED_VALUE"""),3391580.0)</f>
        <v>3391580</v>
      </c>
    </row>
    <row r="7405">
      <c r="A7405" t="str">
        <f t="shared" si="1"/>
        <v>irl#1980</v>
      </c>
      <c r="B7405" t="str">
        <f>IFERROR(__xludf.DUMMYFUNCTION("""COMPUTED_VALUE"""),"irl")</f>
        <v>irl</v>
      </c>
      <c r="C7405" t="str">
        <f>IFERROR(__xludf.DUMMYFUNCTION("""COMPUTED_VALUE"""),"Ireland")</f>
        <v>Ireland</v>
      </c>
      <c r="D7405">
        <f>IFERROR(__xludf.DUMMYFUNCTION("""COMPUTED_VALUE"""),1980.0)</f>
        <v>1980</v>
      </c>
      <c r="E7405">
        <f>IFERROR(__xludf.DUMMYFUNCTION("""COMPUTED_VALUE"""),3434953.0)</f>
        <v>3434953</v>
      </c>
    </row>
    <row r="7406">
      <c r="A7406" t="str">
        <f t="shared" si="1"/>
        <v>irl#1981</v>
      </c>
      <c r="B7406" t="str">
        <f>IFERROR(__xludf.DUMMYFUNCTION("""COMPUTED_VALUE"""),"irl")</f>
        <v>irl</v>
      </c>
      <c r="C7406" t="str">
        <f>IFERROR(__xludf.DUMMYFUNCTION("""COMPUTED_VALUE"""),"Ireland")</f>
        <v>Ireland</v>
      </c>
      <c r="D7406">
        <f>IFERROR(__xludf.DUMMYFUNCTION("""COMPUTED_VALUE"""),1981.0)</f>
        <v>1981</v>
      </c>
      <c r="E7406">
        <f>IFERROR(__xludf.DUMMYFUNCTION("""COMPUTED_VALUE"""),3472888.0)</f>
        <v>3472888</v>
      </c>
    </row>
    <row r="7407">
      <c r="A7407" t="str">
        <f t="shared" si="1"/>
        <v>irl#1982</v>
      </c>
      <c r="B7407" t="str">
        <f>IFERROR(__xludf.DUMMYFUNCTION("""COMPUTED_VALUE"""),"irl")</f>
        <v>irl</v>
      </c>
      <c r="C7407" t="str">
        <f>IFERROR(__xludf.DUMMYFUNCTION("""COMPUTED_VALUE"""),"Ireland")</f>
        <v>Ireland</v>
      </c>
      <c r="D7407">
        <f>IFERROR(__xludf.DUMMYFUNCTION("""COMPUTED_VALUE"""),1982.0)</f>
        <v>1982</v>
      </c>
      <c r="E7407">
        <f>IFERROR(__xludf.DUMMYFUNCTION("""COMPUTED_VALUE"""),3505360.0)</f>
        <v>3505360</v>
      </c>
    </row>
    <row r="7408">
      <c r="A7408" t="str">
        <f t="shared" si="1"/>
        <v>irl#1983</v>
      </c>
      <c r="B7408" t="str">
        <f>IFERROR(__xludf.DUMMYFUNCTION("""COMPUTED_VALUE"""),"irl")</f>
        <v>irl</v>
      </c>
      <c r="C7408" t="str">
        <f>IFERROR(__xludf.DUMMYFUNCTION("""COMPUTED_VALUE"""),"Ireland")</f>
        <v>Ireland</v>
      </c>
      <c r="D7408">
        <f>IFERROR(__xludf.DUMMYFUNCTION("""COMPUTED_VALUE"""),1983.0)</f>
        <v>1983</v>
      </c>
      <c r="E7408">
        <f>IFERROR(__xludf.DUMMYFUNCTION("""COMPUTED_VALUE"""),3531776.0)</f>
        <v>3531776</v>
      </c>
    </row>
    <row r="7409">
      <c r="A7409" t="str">
        <f t="shared" si="1"/>
        <v>irl#1984</v>
      </c>
      <c r="B7409" t="str">
        <f>IFERROR(__xludf.DUMMYFUNCTION("""COMPUTED_VALUE"""),"irl")</f>
        <v>irl</v>
      </c>
      <c r="C7409" t="str">
        <f>IFERROR(__xludf.DUMMYFUNCTION("""COMPUTED_VALUE"""),"Ireland")</f>
        <v>Ireland</v>
      </c>
      <c r="D7409">
        <f>IFERROR(__xludf.DUMMYFUNCTION("""COMPUTED_VALUE"""),1984.0)</f>
        <v>1984</v>
      </c>
      <c r="E7409">
        <f>IFERROR(__xludf.DUMMYFUNCTION("""COMPUTED_VALUE"""),3551654.0)</f>
        <v>3551654</v>
      </c>
    </row>
    <row r="7410">
      <c r="A7410" t="str">
        <f t="shared" si="1"/>
        <v>irl#1985</v>
      </c>
      <c r="B7410" t="str">
        <f>IFERROR(__xludf.DUMMYFUNCTION("""COMPUTED_VALUE"""),"irl")</f>
        <v>irl</v>
      </c>
      <c r="C7410" t="str">
        <f>IFERROR(__xludf.DUMMYFUNCTION("""COMPUTED_VALUE"""),"Ireland")</f>
        <v>Ireland</v>
      </c>
      <c r="D7410">
        <f>IFERROR(__xludf.DUMMYFUNCTION("""COMPUTED_VALUE"""),1985.0)</f>
        <v>1985</v>
      </c>
      <c r="E7410">
        <f>IFERROR(__xludf.DUMMYFUNCTION("""COMPUTED_VALUE"""),3564959.0)</f>
        <v>3564959</v>
      </c>
    </row>
    <row r="7411">
      <c r="A7411" t="str">
        <f t="shared" si="1"/>
        <v>irl#1986</v>
      </c>
      <c r="B7411" t="str">
        <f>IFERROR(__xludf.DUMMYFUNCTION("""COMPUTED_VALUE"""),"irl")</f>
        <v>irl</v>
      </c>
      <c r="C7411" t="str">
        <f>IFERROR(__xludf.DUMMYFUNCTION("""COMPUTED_VALUE"""),"Ireland")</f>
        <v>Ireland</v>
      </c>
      <c r="D7411">
        <f>IFERROR(__xludf.DUMMYFUNCTION("""COMPUTED_VALUE"""),1986.0)</f>
        <v>1986</v>
      </c>
      <c r="E7411">
        <f>IFERROR(__xludf.DUMMYFUNCTION("""COMPUTED_VALUE"""),3571346.0)</f>
        <v>3571346</v>
      </c>
    </row>
    <row r="7412">
      <c r="A7412" t="str">
        <f t="shared" si="1"/>
        <v>irl#1987</v>
      </c>
      <c r="B7412" t="str">
        <f>IFERROR(__xludf.DUMMYFUNCTION("""COMPUTED_VALUE"""),"irl")</f>
        <v>irl</v>
      </c>
      <c r="C7412" t="str">
        <f>IFERROR(__xludf.DUMMYFUNCTION("""COMPUTED_VALUE"""),"Ireland")</f>
        <v>Ireland</v>
      </c>
      <c r="D7412">
        <f>IFERROR(__xludf.DUMMYFUNCTION("""COMPUTED_VALUE"""),1987.0)</f>
        <v>1987</v>
      </c>
      <c r="E7412">
        <f>IFERROR(__xludf.DUMMYFUNCTION("""COMPUTED_VALUE"""),3571760.0)</f>
        <v>3571760</v>
      </c>
    </row>
    <row r="7413">
      <c r="A7413" t="str">
        <f t="shared" si="1"/>
        <v>irl#1988</v>
      </c>
      <c r="B7413" t="str">
        <f>IFERROR(__xludf.DUMMYFUNCTION("""COMPUTED_VALUE"""),"irl")</f>
        <v>irl</v>
      </c>
      <c r="C7413" t="str">
        <f>IFERROR(__xludf.DUMMYFUNCTION("""COMPUTED_VALUE"""),"Ireland")</f>
        <v>Ireland</v>
      </c>
      <c r="D7413">
        <f>IFERROR(__xludf.DUMMYFUNCTION("""COMPUTED_VALUE"""),1988.0)</f>
        <v>1988</v>
      </c>
      <c r="E7413">
        <f>IFERROR(__xludf.DUMMYFUNCTION("""COMPUTED_VALUE"""),3569112.0)</f>
        <v>3569112</v>
      </c>
    </row>
    <row r="7414">
      <c r="A7414" t="str">
        <f t="shared" si="1"/>
        <v>irl#1989</v>
      </c>
      <c r="B7414" t="str">
        <f>IFERROR(__xludf.DUMMYFUNCTION("""COMPUTED_VALUE"""),"irl")</f>
        <v>irl</v>
      </c>
      <c r="C7414" t="str">
        <f>IFERROR(__xludf.DUMMYFUNCTION("""COMPUTED_VALUE"""),"Ireland")</f>
        <v>Ireland</v>
      </c>
      <c r="D7414">
        <f>IFERROR(__xludf.DUMMYFUNCTION("""COMPUTED_VALUE"""),1989.0)</f>
        <v>1989</v>
      </c>
      <c r="E7414">
        <f>IFERROR(__xludf.DUMMYFUNCTION("""COMPUTED_VALUE"""),3567289.0)</f>
        <v>3567289</v>
      </c>
    </row>
    <row r="7415">
      <c r="A7415" t="str">
        <f t="shared" si="1"/>
        <v>irl#1990</v>
      </c>
      <c r="B7415" t="str">
        <f>IFERROR(__xludf.DUMMYFUNCTION("""COMPUTED_VALUE"""),"irl")</f>
        <v>irl</v>
      </c>
      <c r="C7415" t="str">
        <f>IFERROR(__xludf.DUMMYFUNCTION("""COMPUTED_VALUE"""),"Ireland")</f>
        <v>Ireland</v>
      </c>
      <c r="D7415">
        <f>IFERROR(__xludf.DUMMYFUNCTION("""COMPUTED_VALUE"""),1990.0)</f>
        <v>1990</v>
      </c>
      <c r="E7415">
        <f>IFERROR(__xludf.DUMMYFUNCTION("""COMPUTED_VALUE"""),3569257.0)</f>
        <v>3569257</v>
      </c>
    </row>
    <row r="7416">
      <c r="A7416" t="str">
        <f t="shared" si="1"/>
        <v>irl#1991</v>
      </c>
      <c r="B7416" t="str">
        <f>IFERROR(__xludf.DUMMYFUNCTION("""COMPUTED_VALUE"""),"irl")</f>
        <v>irl</v>
      </c>
      <c r="C7416" t="str">
        <f>IFERROR(__xludf.DUMMYFUNCTION("""COMPUTED_VALUE"""),"Ireland")</f>
        <v>Ireland</v>
      </c>
      <c r="D7416">
        <f>IFERROR(__xludf.DUMMYFUNCTION("""COMPUTED_VALUE"""),1991.0)</f>
        <v>1991</v>
      </c>
      <c r="E7416">
        <f>IFERROR(__xludf.DUMMYFUNCTION("""COMPUTED_VALUE"""),3576375.0)</f>
        <v>3576375</v>
      </c>
    </row>
    <row r="7417">
      <c r="A7417" t="str">
        <f t="shared" si="1"/>
        <v>irl#1992</v>
      </c>
      <c r="B7417" t="str">
        <f>IFERROR(__xludf.DUMMYFUNCTION("""COMPUTED_VALUE"""),"irl")</f>
        <v>irl</v>
      </c>
      <c r="C7417" t="str">
        <f>IFERROR(__xludf.DUMMYFUNCTION("""COMPUTED_VALUE"""),"Ireland")</f>
        <v>Ireland</v>
      </c>
      <c r="D7417">
        <f>IFERROR(__xludf.DUMMYFUNCTION("""COMPUTED_VALUE"""),1992.0)</f>
        <v>1992</v>
      </c>
      <c r="E7417">
        <f>IFERROR(__xludf.DUMMYFUNCTION("""COMPUTED_VALUE"""),3588594.0)</f>
        <v>3588594</v>
      </c>
    </row>
    <row r="7418">
      <c r="A7418" t="str">
        <f t="shared" si="1"/>
        <v>irl#1993</v>
      </c>
      <c r="B7418" t="str">
        <f>IFERROR(__xludf.DUMMYFUNCTION("""COMPUTED_VALUE"""),"irl")</f>
        <v>irl</v>
      </c>
      <c r="C7418" t="str">
        <f>IFERROR(__xludf.DUMMYFUNCTION("""COMPUTED_VALUE"""),"Ireland")</f>
        <v>Ireland</v>
      </c>
      <c r="D7418">
        <f>IFERROR(__xludf.DUMMYFUNCTION("""COMPUTED_VALUE"""),1993.0)</f>
        <v>1993</v>
      </c>
      <c r="E7418">
        <f>IFERROR(__xludf.DUMMYFUNCTION("""COMPUTED_VALUE"""),3605665.0)</f>
        <v>3605665</v>
      </c>
    </row>
    <row r="7419">
      <c r="A7419" t="str">
        <f t="shared" si="1"/>
        <v>irl#1994</v>
      </c>
      <c r="B7419" t="str">
        <f>IFERROR(__xludf.DUMMYFUNCTION("""COMPUTED_VALUE"""),"irl")</f>
        <v>irl</v>
      </c>
      <c r="C7419" t="str">
        <f>IFERROR(__xludf.DUMMYFUNCTION("""COMPUTED_VALUE"""),"Ireland")</f>
        <v>Ireland</v>
      </c>
      <c r="D7419">
        <f>IFERROR(__xludf.DUMMYFUNCTION("""COMPUTED_VALUE"""),1994.0)</f>
        <v>1994</v>
      </c>
      <c r="E7419">
        <f>IFERROR(__xludf.DUMMYFUNCTION("""COMPUTED_VALUE"""),3626799.0)</f>
        <v>3626799</v>
      </c>
    </row>
    <row r="7420">
      <c r="A7420" t="str">
        <f t="shared" si="1"/>
        <v>irl#1995</v>
      </c>
      <c r="B7420" t="str">
        <f>IFERROR(__xludf.DUMMYFUNCTION("""COMPUTED_VALUE"""),"irl")</f>
        <v>irl</v>
      </c>
      <c r="C7420" t="str">
        <f>IFERROR(__xludf.DUMMYFUNCTION("""COMPUTED_VALUE"""),"Ireland")</f>
        <v>Ireland</v>
      </c>
      <c r="D7420">
        <f>IFERROR(__xludf.DUMMYFUNCTION("""COMPUTED_VALUE"""),1995.0)</f>
        <v>1995</v>
      </c>
      <c r="E7420">
        <f>IFERROR(__xludf.DUMMYFUNCTION("""COMPUTED_VALUE"""),3651545.0)</f>
        <v>3651545</v>
      </c>
    </row>
    <row r="7421">
      <c r="A7421" t="str">
        <f t="shared" si="1"/>
        <v>irl#1996</v>
      </c>
      <c r="B7421" t="str">
        <f>IFERROR(__xludf.DUMMYFUNCTION("""COMPUTED_VALUE"""),"irl")</f>
        <v>irl</v>
      </c>
      <c r="C7421" t="str">
        <f>IFERROR(__xludf.DUMMYFUNCTION("""COMPUTED_VALUE"""),"Ireland")</f>
        <v>Ireland</v>
      </c>
      <c r="D7421">
        <f>IFERROR(__xludf.DUMMYFUNCTION("""COMPUTED_VALUE"""),1996.0)</f>
        <v>1996</v>
      </c>
      <c r="E7421">
        <f>IFERROR(__xludf.DUMMYFUNCTION("""COMPUTED_VALUE"""),3679849.0)</f>
        <v>3679849</v>
      </c>
    </row>
    <row r="7422">
      <c r="A7422" t="str">
        <f t="shared" si="1"/>
        <v>irl#1997</v>
      </c>
      <c r="B7422" t="str">
        <f>IFERROR(__xludf.DUMMYFUNCTION("""COMPUTED_VALUE"""),"irl")</f>
        <v>irl</v>
      </c>
      <c r="C7422" t="str">
        <f>IFERROR(__xludf.DUMMYFUNCTION("""COMPUTED_VALUE"""),"Ireland")</f>
        <v>Ireland</v>
      </c>
      <c r="D7422">
        <f>IFERROR(__xludf.DUMMYFUNCTION("""COMPUTED_VALUE"""),1997.0)</f>
        <v>1997</v>
      </c>
      <c r="E7422">
        <f>IFERROR(__xludf.DUMMYFUNCTION("""COMPUTED_VALUE"""),3712464.0)</f>
        <v>3712464</v>
      </c>
    </row>
    <row r="7423">
      <c r="A7423" t="str">
        <f t="shared" si="1"/>
        <v>irl#1998</v>
      </c>
      <c r="B7423" t="str">
        <f>IFERROR(__xludf.DUMMYFUNCTION("""COMPUTED_VALUE"""),"irl")</f>
        <v>irl</v>
      </c>
      <c r="C7423" t="str">
        <f>IFERROR(__xludf.DUMMYFUNCTION("""COMPUTED_VALUE"""),"Ireland")</f>
        <v>Ireland</v>
      </c>
      <c r="D7423">
        <f>IFERROR(__xludf.DUMMYFUNCTION("""COMPUTED_VALUE"""),1998.0)</f>
        <v>1998</v>
      </c>
      <c r="E7423">
        <f>IFERROR(__xludf.DUMMYFUNCTION("""COMPUTED_VALUE"""),3750570.0)</f>
        <v>3750570</v>
      </c>
    </row>
    <row r="7424">
      <c r="A7424" t="str">
        <f t="shared" si="1"/>
        <v>irl#1999</v>
      </c>
      <c r="B7424" t="str">
        <f>IFERROR(__xludf.DUMMYFUNCTION("""COMPUTED_VALUE"""),"irl")</f>
        <v>irl</v>
      </c>
      <c r="C7424" t="str">
        <f>IFERROR(__xludf.DUMMYFUNCTION("""COMPUTED_VALUE"""),"Ireland")</f>
        <v>Ireland</v>
      </c>
      <c r="D7424">
        <f>IFERROR(__xludf.DUMMYFUNCTION("""COMPUTED_VALUE"""),1999.0)</f>
        <v>1999</v>
      </c>
      <c r="E7424">
        <f>IFERROR(__xludf.DUMMYFUNCTION("""COMPUTED_VALUE"""),3795699.0)</f>
        <v>3795699</v>
      </c>
    </row>
    <row r="7425">
      <c r="A7425" t="str">
        <f t="shared" si="1"/>
        <v>irl#2000</v>
      </c>
      <c r="B7425" t="str">
        <f>IFERROR(__xludf.DUMMYFUNCTION("""COMPUTED_VALUE"""),"irl")</f>
        <v>irl</v>
      </c>
      <c r="C7425" t="str">
        <f>IFERROR(__xludf.DUMMYFUNCTION("""COMPUTED_VALUE"""),"Ireland")</f>
        <v>Ireland</v>
      </c>
      <c r="D7425">
        <f>IFERROR(__xludf.DUMMYFUNCTION("""COMPUTED_VALUE"""),2000.0)</f>
        <v>2000</v>
      </c>
      <c r="E7425">
        <f>IFERROR(__xludf.DUMMYFUNCTION("""COMPUTED_VALUE"""),3848776.0)</f>
        <v>3848776</v>
      </c>
    </row>
    <row r="7426">
      <c r="A7426" t="str">
        <f t="shared" si="1"/>
        <v>irl#2001</v>
      </c>
      <c r="B7426" t="str">
        <f>IFERROR(__xludf.DUMMYFUNCTION("""COMPUTED_VALUE"""),"irl")</f>
        <v>irl</v>
      </c>
      <c r="C7426" t="str">
        <f>IFERROR(__xludf.DUMMYFUNCTION("""COMPUTED_VALUE"""),"Ireland")</f>
        <v>Ireland</v>
      </c>
      <c r="D7426">
        <f>IFERROR(__xludf.DUMMYFUNCTION("""COMPUTED_VALUE"""),2001.0)</f>
        <v>2001</v>
      </c>
      <c r="E7426">
        <f>IFERROR(__xludf.DUMMYFUNCTION("""COMPUTED_VALUE"""),3909293.0)</f>
        <v>3909293</v>
      </c>
    </row>
    <row r="7427">
      <c r="A7427" t="str">
        <f t="shared" si="1"/>
        <v>irl#2002</v>
      </c>
      <c r="B7427" t="str">
        <f>IFERROR(__xludf.DUMMYFUNCTION("""COMPUTED_VALUE"""),"irl")</f>
        <v>irl</v>
      </c>
      <c r="C7427" t="str">
        <f>IFERROR(__xludf.DUMMYFUNCTION("""COMPUTED_VALUE"""),"Ireland")</f>
        <v>Ireland</v>
      </c>
      <c r="D7427">
        <f>IFERROR(__xludf.DUMMYFUNCTION("""COMPUTED_VALUE"""),2002.0)</f>
        <v>2002</v>
      </c>
      <c r="E7427">
        <f>IFERROR(__xludf.DUMMYFUNCTION("""COMPUTED_VALUE"""),3976288.0)</f>
        <v>3976288</v>
      </c>
    </row>
    <row r="7428">
      <c r="A7428" t="str">
        <f t="shared" si="1"/>
        <v>irl#2003</v>
      </c>
      <c r="B7428" t="str">
        <f>IFERROR(__xludf.DUMMYFUNCTION("""COMPUTED_VALUE"""),"irl")</f>
        <v>irl</v>
      </c>
      <c r="C7428" t="str">
        <f>IFERROR(__xludf.DUMMYFUNCTION("""COMPUTED_VALUE"""),"Ireland")</f>
        <v>Ireland</v>
      </c>
      <c r="D7428">
        <f>IFERROR(__xludf.DUMMYFUNCTION("""COMPUTED_VALUE"""),2003.0)</f>
        <v>2003</v>
      </c>
      <c r="E7428">
        <f>IFERROR(__xludf.DUMMYFUNCTION("""COMPUTED_VALUE"""),4049547.0)</f>
        <v>4049547</v>
      </c>
    </row>
    <row r="7429">
      <c r="A7429" t="str">
        <f t="shared" si="1"/>
        <v>irl#2004</v>
      </c>
      <c r="B7429" t="str">
        <f>IFERROR(__xludf.DUMMYFUNCTION("""COMPUTED_VALUE"""),"irl")</f>
        <v>irl</v>
      </c>
      <c r="C7429" t="str">
        <f>IFERROR(__xludf.DUMMYFUNCTION("""COMPUTED_VALUE"""),"Ireland")</f>
        <v>Ireland</v>
      </c>
      <c r="D7429">
        <f>IFERROR(__xludf.DUMMYFUNCTION("""COMPUTED_VALUE"""),2004.0)</f>
        <v>2004</v>
      </c>
      <c r="E7429">
        <f>IFERROR(__xludf.DUMMYFUNCTION("""COMPUTED_VALUE"""),4128749.0)</f>
        <v>4128749</v>
      </c>
    </row>
    <row r="7430">
      <c r="A7430" t="str">
        <f t="shared" si="1"/>
        <v>irl#2005</v>
      </c>
      <c r="B7430" t="str">
        <f>IFERROR(__xludf.DUMMYFUNCTION("""COMPUTED_VALUE"""),"irl")</f>
        <v>irl</v>
      </c>
      <c r="C7430" t="str">
        <f>IFERROR(__xludf.DUMMYFUNCTION("""COMPUTED_VALUE"""),"Ireland")</f>
        <v>Ireland</v>
      </c>
      <c r="D7430">
        <f>IFERROR(__xludf.DUMMYFUNCTION("""COMPUTED_VALUE"""),2005.0)</f>
        <v>2005</v>
      </c>
      <c r="E7430">
        <f>IFERROR(__xludf.DUMMYFUNCTION("""COMPUTED_VALUE"""),4212977.0)</f>
        <v>4212977</v>
      </c>
    </row>
    <row r="7431">
      <c r="A7431" t="str">
        <f t="shared" si="1"/>
        <v>irl#2006</v>
      </c>
      <c r="B7431" t="str">
        <f>IFERROR(__xludf.DUMMYFUNCTION("""COMPUTED_VALUE"""),"irl")</f>
        <v>irl</v>
      </c>
      <c r="C7431" t="str">
        <f>IFERROR(__xludf.DUMMYFUNCTION("""COMPUTED_VALUE"""),"Ireland")</f>
        <v>Ireland</v>
      </c>
      <c r="D7431">
        <f>IFERROR(__xludf.DUMMYFUNCTION("""COMPUTED_VALUE"""),2006.0)</f>
        <v>2006</v>
      </c>
      <c r="E7431">
        <f>IFERROR(__xludf.DUMMYFUNCTION("""COMPUTED_VALUE"""),4303370.0)</f>
        <v>4303370</v>
      </c>
    </row>
    <row r="7432">
      <c r="A7432" t="str">
        <f t="shared" si="1"/>
        <v>irl#2007</v>
      </c>
      <c r="B7432" t="str">
        <f>IFERROR(__xludf.DUMMYFUNCTION("""COMPUTED_VALUE"""),"irl")</f>
        <v>irl</v>
      </c>
      <c r="C7432" t="str">
        <f>IFERROR(__xludf.DUMMYFUNCTION("""COMPUTED_VALUE"""),"Ireland")</f>
        <v>Ireland</v>
      </c>
      <c r="D7432">
        <f>IFERROR(__xludf.DUMMYFUNCTION("""COMPUTED_VALUE"""),2007.0)</f>
        <v>2007</v>
      </c>
      <c r="E7432">
        <f>IFERROR(__xludf.DUMMYFUNCTION("""COMPUTED_VALUE"""),4398073.0)</f>
        <v>4398073</v>
      </c>
    </row>
    <row r="7433">
      <c r="A7433" t="str">
        <f t="shared" si="1"/>
        <v>irl#2008</v>
      </c>
      <c r="B7433" t="str">
        <f>IFERROR(__xludf.DUMMYFUNCTION("""COMPUTED_VALUE"""),"irl")</f>
        <v>irl</v>
      </c>
      <c r="C7433" t="str">
        <f>IFERROR(__xludf.DUMMYFUNCTION("""COMPUTED_VALUE"""),"Ireland")</f>
        <v>Ireland</v>
      </c>
      <c r="D7433">
        <f>IFERROR(__xludf.DUMMYFUNCTION("""COMPUTED_VALUE"""),2008.0)</f>
        <v>2008</v>
      </c>
      <c r="E7433">
        <f>IFERROR(__xludf.DUMMYFUNCTION("""COMPUTED_VALUE"""),4489589.0)</f>
        <v>4489589</v>
      </c>
    </row>
    <row r="7434">
      <c r="A7434" t="str">
        <f t="shared" si="1"/>
        <v>irl#2009</v>
      </c>
      <c r="B7434" t="str">
        <f>IFERROR(__xludf.DUMMYFUNCTION("""COMPUTED_VALUE"""),"irl")</f>
        <v>irl</v>
      </c>
      <c r="C7434" t="str">
        <f>IFERROR(__xludf.DUMMYFUNCTION("""COMPUTED_VALUE"""),"Ireland")</f>
        <v>Ireland</v>
      </c>
      <c r="D7434">
        <f>IFERROR(__xludf.DUMMYFUNCTION("""COMPUTED_VALUE"""),2009.0)</f>
        <v>2009</v>
      </c>
      <c r="E7434">
        <f>IFERROR(__xludf.DUMMYFUNCTION("""COMPUTED_VALUE"""),4568064.0)</f>
        <v>4568064</v>
      </c>
    </row>
    <row r="7435">
      <c r="A7435" t="str">
        <f t="shared" si="1"/>
        <v>irl#2010</v>
      </c>
      <c r="B7435" t="str">
        <f>IFERROR(__xludf.DUMMYFUNCTION("""COMPUTED_VALUE"""),"irl")</f>
        <v>irl</v>
      </c>
      <c r="C7435" t="str">
        <f>IFERROR(__xludf.DUMMYFUNCTION("""COMPUTED_VALUE"""),"Ireland")</f>
        <v>Ireland</v>
      </c>
      <c r="D7435">
        <f>IFERROR(__xludf.DUMMYFUNCTION("""COMPUTED_VALUE"""),2010.0)</f>
        <v>2010</v>
      </c>
      <c r="E7435">
        <f>IFERROR(__xludf.DUMMYFUNCTION("""COMPUTED_VALUE"""),4626928.0)</f>
        <v>4626928</v>
      </c>
    </row>
    <row r="7436">
      <c r="A7436" t="str">
        <f t="shared" si="1"/>
        <v>irl#2011</v>
      </c>
      <c r="B7436" t="str">
        <f>IFERROR(__xludf.DUMMYFUNCTION("""COMPUTED_VALUE"""),"irl")</f>
        <v>irl</v>
      </c>
      <c r="C7436" t="str">
        <f>IFERROR(__xludf.DUMMYFUNCTION("""COMPUTED_VALUE"""),"Ireland")</f>
        <v>Ireland</v>
      </c>
      <c r="D7436">
        <f>IFERROR(__xludf.DUMMYFUNCTION("""COMPUTED_VALUE"""),2011.0)</f>
        <v>2011</v>
      </c>
      <c r="E7436">
        <f>IFERROR(__xludf.DUMMYFUNCTION("""COMPUTED_VALUE"""),4662579.0)</f>
        <v>4662579</v>
      </c>
    </row>
    <row r="7437">
      <c r="A7437" t="str">
        <f t="shared" si="1"/>
        <v>irl#2012</v>
      </c>
      <c r="B7437" t="str">
        <f>IFERROR(__xludf.DUMMYFUNCTION("""COMPUTED_VALUE"""),"irl")</f>
        <v>irl</v>
      </c>
      <c r="C7437" t="str">
        <f>IFERROR(__xludf.DUMMYFUNCTION("""COMPUTED_VALUE"""),"Ireland")</f>
        <v>Ireland</v>
      </c>
      <c r="D7437">
        <f>IFERROR(__xludf.DUMMYFUNCTION("""COMPUTED_VALUE"""),2012.0)</f>
        <v>2012</v>
      </c>
      <c r="E7437">
        <f>IFERROR(__xludf.DUMMYFUNCTION("""COMPUTED_VALUE"""),4678117.0)</f>
        <v>4678117</v>
      </c>
    </row>
    <row r="7438">
      <c r="A7438" t="str">
        <f t="shared" si="1"/>
        <v>irl#2013</v>
      </c>
      <c r="B7438" t="str">
        <f>IFERROR(__xludf.DUMMYFUNCTION("""COMPUTED_VALUE"""),"irl")</f>
        <v>irl</v>
      </c>
      <c r="C7438" t="str">
        <f>IFERROR(__xludf.DUMMYFUNCTION("""COMPUTED_VALUE"""),"Ireland")</f>
        <v>Ireland</v>
      </c>
      <c r="D7438">
        <f>IFERROR(__xludf.DUMMYFUNCTION("""COMPUTED_VALUE"""),2013.0)</f>
        <v>2013</v>
      </c>
      <c r="E7438">
        <f>IFERROR(__xludf.DUMMYFUNCTION("""COMPUTED_VALUE"""),4681967.0)</f>
        <v>4681967</v>
      </c>
    </row>
    <row r="7439">
      <c r="A7439" t="str">
        <f t="shared" si="1"/>
        <v>irl#2014</v>
      </c>
      <c r="B7439" t="str">
        <f>IFERROR(__xludf.DUMMYFUNCTION("""COMPUTED_VALUE"""),"irl")</f>
        <v>irl</v>
      </c>
      <c r="C7439" t="str">
        <f>IFERROR(__xludf.DUMMYFUNCTION("""COMPUTED_VALUE"""),"Ireland")</f>
        <v>Ireland</v>
      </c>
      <c r="D7439">
        <f>IFERROR(__xludf.DUMMYFUNCTION("""COMPUTED_VALUE"""),2014.0)</f>
        <v>2014</v>
      </c>
      <c r="E7439">
        <f>IFERROR(__xludf.DUMMYFUNCTION("""COMPUTED_VALUE"""),4686347.0)</f>
        <v>4686347</v>
      </c>
    </row>
    <row r="7440">
      <c r="A7440" t="str">
        <f t="shared" si="1"/>
        <v>irl#2015</v>
      </c>
      <c r="B7440" t="str">
        <f>IFERROR(__xludf.DUMMYFUNCTION("""COMPUTED_VALUE"""),"irl")</f>
        <v>irl</v>
      </c>
      <c r="C7440" t="str">
        <f>IFERROR(__xludf.DUMMYFUNCTION("""COMPUTED_VALUE"""),"Ireland")</f>
        <v>Ireland</v>
      </c>
      <c r="D7440">
        <f>IFERROR(__xludf.DUMMYFUNCTION("""COMPUTED_VALUE"""),2015.0)</f>
        <v>2015</v>
      </c>
      <c r="E7440">
        <f>IFERROR(__xludf.DUMMYFUNCTION("""COMPUTED_VALUE"""),4700107.0)</f>
        <v>4700107</v>
      </c>
    </row>
    <row r="7441">
      <c r="A7441" t="str">
        <f t="shared" si="1"/>
        <v>irl#2016</v>
      </c>
      <c r="B7441" t="str">
        <f>IFERROR(__xludf.DUMMYFUNCTION("""COMPUTED_VALUE"""),"irl")</f>
        <v>irl</v>
      </c>
      <c r="C7441" t="str">
        <f>IFERROR(__xludf.DUMMYFUNCTION("""COMPUTED_VALUE"""),"Ireland")</f>
        <v>Ireland</v>
      </c>
      <c r="D7441">
        <f>IFERROR(__xludf.DUMMYFUNCTION("""COMPUTED_VALUE"""),2016.0)</f>
        <v>2016</v>
      </c>
      <c r="E7441">
        <f>IFERROR(__xludf.DUMMYFUNCTION("""COMPUTED_VALUE"""),4726078.0)</f>
        <v>4726078</v>
      </c>
    </row>
    <row r="7442">
      <c r="A7442" t="str">
        <f t="shared" si="1"/>
        <v>irl#2017</v>
      </c>
      <c r="B7442" t="str">
        <f>IFERROR(__xludf.DUMMYFUNCTION("""COMPUTED_VALUE"""),"irl")</f>
        <v>irl</v>
      </c>
      <c r="C7442" t="str">
        <f>IFERROR(__xludf.DUMMYFUNCTION("""COMPUTED_VALUE"""),"Ireland")</f>
        <v>Ireland</v>
      </c>
      <c r="D7442">
        <f>IFERROR(__xludf.DUMMYFUNCTION("""COMPUTED_VALUE"""),2017.0)</f>
        <v>2017</v>
      </c>
      <c r="E7442">
        <f>IFERROR(__xludf.DUMMYFUNCTION("""COMPUTED_VALUE"""),4761657.0)</f>
        <v>4761657</v>
      </c>
    </row>
    <row r="7443">
      <c r="A7443" t="str">
        <f t="shared" si="1"/>
        <v>irl#2018</v>
      </c>
      <c r="B7443" t="str">
        <f>IFERROR(__xludf.DUMMYFUNCTION("""COMPUTED_VALUE"""),"irl")</f>
        <v>irl</v>
      </c>
      <c r="C7443" t="str">
        <f>IFERROR(__xludf.DUMMYFUNCTION("""COMPUTED_VALUE"""),"Ireland")</f>
        <v>Ireland</v>
      </c>
      <c r="D7443">
        <f>IFERROR(__xludf.DUMMYFUNCTION("""COMPUTED_VALUE"""),2018.0)</f>
        <v>2018</v>
      </c>
      <c r="E7443">
        <f>IFERROR(__xludf.DUMMYFUNCTION("""COMPUTED_VALUE"""),4803748.0)</f>
        <v>4803748</v>
      </c>
    </row>
    <row r="7444">
      <c r="A7444" t="str">
        <f t="shared" si="1"/>
        <v>irl#2019</v>
      </c>
      <c r="B7444" t="str">
        <f>IFERROR(__xludf.DUMMYFUNCTION("""COMPUTED_VALUE"""),"irl")</f>
        <v>irl</v>
      </c>
      <c r="C7444" t="str">
        <f>IFERROR(__xludf.DUMMYFUNCTION("""COMPUTED_VALUE"""),"Ireland")</f>
        <v>Ireland</v>
      </c>
      <c r="D7444">
        <f>IFERROR(__xludf.DUMMYFUNCTION("""COMPUTED_VALUE"""),2019.0)</f>
        <v>2019</v>
      </c>
      <c r="E7444">
        <f>IFERROR(__xludf.DUMMYFUNCTION("""COMPUTED_VALUE"""),4847139.0)</f>
        <v>4847139</v>
      </c>
    </row>
    <row r="7445">
      <c r="A7445" t="str">
        <f t="shared" si="1"/>
        <v>irl#2020</v>
      </c>
      <c r="B7445" t="str">
        <f>IFERROR(__xludf.DUMMYFUNCTION("""COMPUTED_VALUE"""),"irl")</f>
        <v>irl</v>
      </c>
      <c r="C7445" t="str">
        <f>IFERROR(__xludf.DUMMYFUNCTION("""COMPUTED_VALUE"""),"Ireland")</f>
        <v>Ireland</v>
      </c>
      <c r="D7445">
        <f>IFERROR(__xludf.DUMMYFUNCTION("""COMPUTED_VALUE"""),2020.0)</f>
        <v>2020</v>
      </c>
      <c r="E7445">
        <f>IFERROR(__xludf.DUMMYFUNCTION("""COMPUTED_VALUE"""),4887992.0)</f>
        <v>4887992</v>
      </c>
    </row>
    <row r="7446">
      <c r="A7446" t="str">
        <f t="shared" si="1"/>
        <v>irl#2021</v>
      </c>
      <c r="B7446" t="str">
        <f>IFERROR(__xludf.DUMMYFUNCTION("""COMPUTED_VALUE"""),"irl")</f>
        <v>irl</v>
      </c>
      <c r="C7446" t="str">
        <f>IFERROR(__xludf.DUMMYFUNCTION("""COMPUTED_VALUE"""),"Ireland")</f>
        <v>Ireland</v>
      </c>
      <c r="D7446">
        <f>IFERROR(__xludf.DUMMYFUNCTION("""COMPUTED_VALUE"""),2021.0)</f>
        <v>2021</v>
      </c>
      <c r="E7446">
        <f>IFERROR(__xludf.DUMMYFUNCTION("""COMPUTED_VALUE"""),4925839.0)</f>
        <v>4925839</v>
      </c>
    </row>
    <row r="7447">
      <c r="A7447" t="str">
        <f t="shared" si="1"/>
        <v>irl#2022</v>
      </c>
      <c r="B7447" t="str">
        <f>IFERROR(__xludf.DUMMYFUNCTION("""COMPUTED_VALUE"""),"irl")</f>
        <v>irl</v>
      </c>
      <c r="C7447" t="str">
        <f>IFERROR(__xludf.DUMMYFUNCTION("""COMPUTED_VALUE"""),"Ireland")</f>
        <v>Ireland</v>
      </c>
      <c r="D7447">
        <f>IFERROR(__xludf.DUMMYFUNCTION("""COMPUTED_VALUE"""),2022.0)</f>
        <v>2022</v>
      </c>
      <c r="E7447">
        <f>IFERROR(__xludf.DUMMYFUNCTION("""COMPUTED_VALUE"""),4962074.0)</f>
        <v>4962074</v>
      </c>
    </row>
    <row r="7448">
      <c r="A7448" t="str">
        <f t="shared" si="1"/>
        <v>irl#2023</v>
      </c>
      <c r="B7448" t="str">
        <f>IFERROR(__xludf.DUMMYFUNCTION("""COMPUTED_VALUE"""),"irl")</f>
        <v>irl</v>
      </c>
      <c r="C7448" t="str">
        <f>IFERROR(__xludf.DUMMYFUNCTION("""COMPUTED_VALUE"""),"Ireland")</f>
        <v>Ireland</v>
      </c>
      <c r="D7448">
        <f>IFERROR(__xludf.DUMMYFUNCTION("""COMPUTED_VALUE"""),2023.0)</f>
        <v>2023</v>
      </c>
      <c r="E7448">
        <f>IFERROR(__xludf.DUMMYFUNCTION("""COMPUTED_VALUE"""),4996848.0)</f>
        <v>4996848</v>
      </c>
    </row>
    <row r="7449">
      <c r="A7449" t="str">
        <f t="shared" si="1"/>
        <v>irl#2024</v>
      </c>
      <c r="B7449" t="str">
        <f>IFERROR(__xludf.DUMMYFUNCTION("""COMPUTED_VALUE"""),"irl")</f>
        <v>irl</v>
      </c>
      <c r="C7449" t="str">
        <f>IFERROR(__xludf.DUMMYFUNCTION("""COMPUTED_VALUE"""),"Ireland")</f>
        <v>Ireland</v>
      </c>
      <c r="D7449">
        <f>IFERROR(__xludf.DUMMYFUNCTION("""COMPUTED_VALUE"""),2024.0)</f>
        <v>2024</v>
      </c>
      <c r="E7449">
        <f>IFERROR(__xludf.DUMMYFUNCTION("""COMPUTED_VALUE"""),5030660.0)</f>
        <v>5030660</v>
      </c>
    </row>
    <row r="7450">
      <c r="A7450" t="str">
        <f t="shared" si="1"/>
        <v>irl#2025</v>
      </c>
      <c r="B7450" t="str">
        <f>IFERROR(__xludf.DUMMYFUNCTION("""COMPUTED_VALUE"""),"irl")</f>
        <v>irl</v>
      </c>
      <c r="C7450" t="str">
        <f>IFERROR(__xludf.DUMMYFUNCTION("""COMPUTED_VALUE"""),"Ireland")</f>
        <v>Ireland</v>
      </c>
      <c r="D7450">
        <f>IFERROR(__xludf.DUMMYFUNCTION("""COMPUTED_VALUE"""),2025.0)</f>
        <v>2025</v>
      </c>
      <c r="E7450">
        <f>IFERROR(__xludf.DUMMYFUNCTION("""COMPUTED_VALUE"""),5063876.0)</f>
        <v>5063876</v>
      </c>
    </row>
    <row r="7451">
      <c r="A7451" t="str">
        <f t="shared" si="1"/>
        <v>irl#2026</v>
      </c>
      <c r="B7451" t="str">
        <f>IFERROR(__xludf.DUMMYFUNCTION("""COMPUTED_VALUE"""),"irl")</f>
        <v>irl</v>
      </c>
      <c r="C7451" t="str">
        <f>IFERROR(__xludf.DUMMYFUNCTION("""COMPUTED_VALUE"""),"Ireland")</f>
        <v>Ireland</v>
      </c>
      <c r="D7451">
        <f>IFERROR(__xludf.DUMMYFUNCTION("""COMPUTED_VALUE"""),2026.0)</f>
        <v>2026</v>
      </c>
      <c r="E7451">
        <f>IFERROR(__xludf.DUMMYFUNCTION("""COMPUTED_VALUE"""),5096360.0)</f>
        <v>5096360</v>
      </c>
    </row>
    <row r="7452">
      <c r="A7452" t="str">
        <f t="shared" si="1"/>
        <v>irl#2027</v>
      </c>
      <c r="B7452" t="str">
        <f>IFERROR(__xludf.DUMMYFUNCTION("""COMPUTED_VALUE"""),"irl")</f>
        <v>irl</v>
      </c>
      <c r="C7452" t="str">
        <f>IFERROR(__xludf.DUMMYFUNCTION("""COMPUTED_VALUE"""),"Ireland")</f>
        <v>Ireland</v>
      </c>
      <c r="D7452">
        <f>IFERROR(__xludf.DUMMYFUNCTION("""COMPUTED_VALUE"""),2027.0)</f>
        <v>2027</v>
      </c>
      <c r="E7452">
        <f>IFERROR(__xludf.DUMMYFUNCTION("""COMPUTED_VALUE"""),5127897.0)</f>
        <v>5127897</v>
      </c>
    </row>
    <row r="7453">
      <c r="A7453" t="str">
        <f t="shared" si="1"/>
        <v>irl#2028</v>
      </c>
      <c r="B7453" t="str">
        <f>IFERROR(__xludf.DUMMYFUNCTION("""COMPUTED_VALUE"""),"irl")</f>
        <v>irl</v>
      </c>
      <c r="C7453" t="str">
        <f>IFERROR(__xludf.DUMMYFUNCTION("""COMPUTED_VALUE"""),"Ireland")</f>
        <v>Ireland</v>
      </c>
      <c r="D7453">
        <f>IFERROR(__xludf.DUMMYFUNCTION("""COMPUTED_VALUE"""),2028.0)</f>
        <v>2028</v>
      </c>
      <c r="E7453">
        <f>IFERROR(__xludf.DUMMYFUNCTION("""COMPUTED_VALUE"""),5158765.0)</f>
        <v>5158765</v>
      </c>
    </row>
    <row r="7454">
      <c r="A7454" t="str">
        <f t="shared" si="1"/>
        <v>irl#2029</v>
      </c>
      <c r="B7454" t="str">
        <f>IFERROR(__xludf.DUMMYFUNCTION("""COMPUTED_VALUE"""),"irl")</f>
        <v>irl</v>
      </c>
      <c r="C7454" t="str">
        <f>IFERROR(__xludf.DUMMYFUNCTION("""COMPUTED_VALUE"""),"Ireland")</f>
        <v>Ireland</v>
      </c>
      <c r="D7454">
        <f>IFERROR(__xludf.DUMMYFUNCTION("""COMPUTED_VALUE"""),2029.0)</f>
        <v>2029</v>
      </c>
      <c r="E7454">
        <f>IFERROR(__xludf.DUMMYFUNCTION("""COMPUTED_VALUE"""),5189347.0)</f>
        <v>5189347</v>
      </c>
    </row>
    <row r="7455">
      <c r="A7455" t="str">
        <f t="shared" si="1"/>
        <v>irl#2030</v>
      </c>
      <c r="B7455" t="str">
        <f>IFERROR(__xludf.DUMMYFUNCTION("""COMPUTED_VALUE"""),"irl")</f>
        <v>irl</v>
      </c>
      <c r="C7455" t="str">
        <f>IFERROR(__xludf.DUMMYFUNCTION("""COMPUTED_VALUE"""),"Ireland")</f>
        <v>Ireland</v>
      </c>
      <c r="D7455">
        <f>IFERROR(__xludf.DUMMYFUNCTION("""COMPUTED_VALUE"""),2030.0)</f>
        <v>2030</v>
      </c>
      <c r="E7455">
        <f>IFERROR(__xludf.DUMMYFUNCTION("""COMPUTED_VALUE"""),5219951.0)</f>
        <v>5219951</v>
      </c>
    </row>
    <row r="7456">
      <c r="A7456" t="str">
        <f t="shared" si="1"/>
        <v>irl#2031</v>
      </c>
      <c r="B7456" t="str">
        <f>IFERROR(__xludf.DUMMYFUNCTION("""COMPUTED_VALUE"""),"irl")</f>
        <v>irl</v>
      </c>
      <c r="C7456" t="str">
        <f>IFERROR(__xludf.DUMMYFUNCTION("""COMPUTED_VALUE"""),"Ireland")</f>
        <v>Ireland</v>
      </c>
      <c r="D7456">
        <f>IFERROR(__xludf.DUMMYFUNCTION("""COMPUTED_VALUE"""),2031.0)</f>
        <v>2031</v>
      </c>
      <c r="E7456">
        <f>IFERROR(__xludf.DUMMYFUNCTION("""COMPUTED_VALUE"""),5250643.0)</f>
        <v>5250643</v>
      </c>
    </row>
    <row r="7457">
      <c r="A7457" t="str">
        <f t="shared" si="1"/>
        <v>irl#2032</v>
      </c>
      <c r="B7457" t="str">
        <f>IFERROR(__xludf.DUMMYFUNCTION("""COMPUTED_VALUE"""),"irl")</f>
        <v>irl</v>
      </c>
      <c r="C7457" t="str">
        <f>IFERROR(__xludf.DUMMYFUNCTION("""COMPUTED_VALUE"""),"Ireland")</f>
        <v>Ireland</v>
      </c>
      <c r="D7457">
        <f>IFERROR(__xludf.DUMMYFUNCTION("""COMPUTED_VALUE"""),2032.0)</f>
        <v>2032</v>
      </c>
      <c r="E7457">
        <f>IFERROR(__xludf.DUMMYFUNCTION("""COMPUTED_VALUE"""),5281387.0)</f>
        <v>5281387</v>
      </c>
    </row>
    <row r="7458">
      <c r="A7458" t="str">
        <f t="shared" si="1"/>
        <v>irl#2033</v>
      </c>
      <c r="B7458" t="str">
        <f>IFERROR(__xludf.DUMMYFUNCTION("""COMPUTED_VALUE"""),"irl")</f>
        <v>irl</v>
      </c>
      <c r="C7458" t="str">
        <f>IFERROR(__xludf.DUMMYFUNCTION("""COMPUTED_VALUE"""),"Ireland")</f>
        <v>Ireland</v>
      </c>
      <c r="D7458">
        <f>IFERROR(__xludf.DUMMYFUNCTION("""COMPUTED_VALUE"""),2033.0)</f>
        <v>2033</v>
      </c>
      <c r="E7458">
        <f>IFERROR(__xludf.DUMMYFUNCTION("""COMPUTED_VALUE"""),5312233.0)</f>
        <v>5312233</v>
      </c>
    </row>
    <row r="7459">
      <c r="A7459" t="str">
        <f t="shared" si="1"/>
        <v>irl#2034</v>
      </c>
      <c r="B7459" t="str">
        <f>IFERROR(__xludf.DUMMYFUNCTION("""COMPUTED_VALUE"""),"irl")</f>
        <v>irl</v>
      </c>
      <c r="C7459" t="str">
        <f>IFERROR(__xludf.DUMMYFUNCTION("""COMPUTED_VALUE"""),"Ireland")</f>
        <v>Ireland</v>
      </c>
      <c r="D7459">
        <f>IFERROR(__xludf.DUMMYFUNCTION("""COMPUTED_VALUE"""),2034.0)</f>
        <v>2034</v>
      </c>
      <c r="E7459">
        <f>IFERROR(__xludf.DUMMYFUNCTION("""COMPUTED_VALUE"""),5343214.0)</f>
        <v>5343214</v>
      </c>
    </row>
    <row r="7460">
      <c r="A7460" t="str">
        <f t="shared" si="1"/>
        <v>irl#2035</v>
      </c>
      <c r="B7460" t="str">
        <f>IFERROR(__xludf.DUMMYFUNCTION("""COMPUTED_VALUE"""),"irl")</f>
        <v>irl</v>
      </c>
      <c r="C7460" t="str">
        <f>IFERROR(__xludf.DUMMYFUNCTION("""COMPUTED_VALUE"""),"Ireland")</f>
        <v>Ireland</v>
      </c>
      <c r="D7460">
        <f>IFERROR(__xludf.DUMMYFUNCTION("""COMPUTED_VALUE"""),2035.0)</f>
        <v>2035</v>
      </c>
      <c r="E7460">
        <f>IFERROR(__xludf.DUMMYFUNCTION("""COMPUTED_VALUE"""),5374338.0)</f>
        <v>5374338</v>
      </c>
    </row>
    <row r="7461">
      <c r="A7461" t="str">
        <f t="shared" si="1"/>
        <v>irl#2036</v>
      </c>
      <c r="B7461" t="str">
        <f>IFERROR(__xludf.DUMMYFUNCTION("""COMPUTED_VALUE"""),"irl")</f>
        <v>irl</v>
      </c>
      <c r="C7461" t="str">
        <f>IFERROR(__xludf.DUMMYFUNCTION("""COMPUTED_VALUE"""),"Ireland")</f>
        <v>Ireland</v>
      </c>
      <c r="D7461">
        <f>IFERROR(__xludf.DUMMYFUNCTION("""COMPUTED_VALUE"""),2036.0)</f>
        <v>2036</v>
      </c>
      <c r="E7461">
        <f>IFERROR(__xludf.DUMMYFUNCTION("""COMPUTED_VALUE"""),5405605.0)</f>
        <v>5405605</v>
      </c>
    </row>
    <row r="7462">
      <c r="A7462" t="str">
        <f t="shared" si="1"/>
        <v>irl#2037</v>
      </c>
      <c r="B7462" t="str">
        <f>IFERROR(__xludf.DUMMYFUNCTION("""COMPUTED_VALUE"""),"irl")</f>
        <v>irl</v>
      </c>
      <c r="C7462" t="str">
        <f>IFERROR(__xludf.DUMMYFUNCTION("""COMPUTED_VALUE"""),"Ireland")</f>
        <v>Ireland</v>
      </c>
      <c r="D7462">
        <f>IFERROR(__xludf.DUMMYFUNCTION("""COMPUTED_VALUE"""),2037.0)</f>
        <v>2037</v>
      </c>
      <c r="E7462">
        <f>IFERROR(__xludf.DUMMYFUNCTION("""COMPUTED_VALUE"""),5436991.0)</f>
        <v>5436991</v>
      </c>
    </row>
    <row r="7463">
      <c r="A7463" t="str">
        <f t="shared" si="1"/>
        <v>irl#2038</v>
      </c>
      <c r="B7463" t="str">
        <f>IFERROR(__xludf.DUMMYFUNCTION("""COMPUTED_VALUE"""),"irl")</f>
        <v>irl</v>
      </c>
      <c r="C7463" t="str">
        <f>IFERROR(__xludf.DUMMYFUNCTION("""COMPUTED_VALUE"""),"Ireland")</f>
        <v>Ireland</v>
      </c>
      <c r="D7463">
        <f>IFERROR(__xludf.DUMMYFUNCTION("""COMPUTED_VALUE"""),2038.0)</f>
        <v>2038</v>
      </c>
      <c r="E7463">
        <f>IFERROR(__xludf.DUMMYFUNCTION("""COMPUTED_VALUE"""),5468386.0)</f>
        <v>5468386</v>
      </c>
    </row>
    <row r="7464">
      <c r="A7464" t="str">
        <f t="shared" si="1"/>
        <v>irl#2039</v>
      </c>
      <c r="B7464" t="str">
        <f>IFERROR(__xludf.DUMMYFUNCTION("""COMPUTED_VALUE"""),"irl")</f>
        <v>irl</v>
      </c>
      <c r="C7464" t="str">
        <f>IFERROR(__xludf.DUMMYFUNCTION("""COMPUTED_VALUE"""),"Ireland")</f>
        <v>Ireland</v>
      </c>
      <c r="D7464">
        <f>IFERROR(__xludf.DUMMYFUNCTION("""COMPUTED_VALUE"""),2039.0)</f>
        <v>2039</v>
      </c>
      <c r="E7464">
        <f>IFERROR(__xludf.DUMMYFUNCTION("""COMPUTED_VALUE"""),5499612.0)</f>
        <v>5499612</v>
      </c>
    </row>
    <row r="7465">
      <c r="A7465" t="str">
        <f t="shared" si="1"/>
        <v>irl#2040</v>
      </c>
      <c r="B7465" t="str">
        <f>IFERROR(__xludf.DUMMYFUNCTION("""COMPUTED_VALUE"""),"irl")</f>
        <v>irl</v>
      </c>
      <c r="C7465" t="str">
        <f>IFERROR(__xludf.DUMMYFUNCTION("""COMPUTED_VALUE"""),"Ireland")</f>
        <v>Ireland</v>
      </c>
      <c r="D7465">
        <f>IFERROR(__xludf.DUMMYFUNCTION("""COMPUTED_VALUE"""),2040.0)</f>
        <v>2040</v>
      </c>
      <c r="E7465">
        <f>IFERROR(__xludf.DUMMYFUNCTION("""COMPUTED_VALUE"""),5530561.0)</f>
        <v>5530561</v>
      </c>
    </row>
    <row r="7466">
      <c r="A7466" t="str">
        <f t="shared" si="1"/>
        <v>isr#1950</v>
      </c>
      <c r="B7466" t="str">
        <f>IFERROR(__xludf.DUMMYFUNCTION("""COMPUTED_VALUE"""),"isr")</f>
        <v>isr</v>
      </c>
      <c r="C7466" t="str">
        <f>IFERROR(__xludf.DUMMYFUNCTION("""COMPUTED_VALUE"""),"Israel")</f>
        <v>Israel</v>
      </c>
      <c r="D7466">
        <f>IFERROR(__xludf.DUMMYFUNCTION("""COMPUTED_VALUE"""),1950.0)</f>
        <v>1950</v>
      </c>
      <c r="E7466">
        <f>IFERROR(__xludf.DUMMYFUNCTION("""COMPUTED_VALUE"""),1257971.0)</f>
        <v>1257971</v>
      </c>
    </row>
    <row r="7467">
      <c r="A7467" t="str">
        <f t="shared" si="1"/>
        <v>isr#1951</v>
      </c>
      <c r="B7467" t="str">
        <f>IFERROR(__xludf.DUMMYFUNCTION("""COMPUTED_VALUE"""),"isr")</f>
        <v>isr</v>
      </c>
      <c r="C7467" t="str">
        <f>IFERROR(__xludf.DUMMYFUNCTION("""COMPUTED_VALUE"""),"Israel")</f>
        <v>Israel</v>
      </c>
      <c r="D7467">
        <f>IFERROR(__xludf.DUMMYFUNCTION("""COMPUTED_VALUE"""),1951.0)</f>
        <v>1951</v>
      </c>
      <c r="E7467">
        <f>IFERROR(__xludf.DUMMYFUNCTION("""COMPUTED_VALUE"""),1354097.0)</f>
        <v>1354097</v>
      </c>
    </row>
    <row r="7468">
      <c r="A7468" t="str">
        <f t="shared" si="1"/>
        <v>isr#1952</v>
      </c>
      <c r="B7468" t="str">
        <f>IFERROR(__xludf.DUMMYFUNCTION("""COMPUTED_VALUE"""),"isr")</f>
        <v>isr</v>
      </c>
      <c r="C7468" t="str">
        <f>IFERROR(__xludf.DUMMYFUNCTION("""COMPUTED_VALUE"""),"Israel")</f>
        <v>Israel</v>
      </c>
      <c r="D7468">
        <f>IFERROR(__xludf.DUMMYFUNCTION("""COMPUTED_VALUE"""),1952.0)</f>
        <v>1952</v>
      </c>
      <c r="E7468">
        <f>IFERROR(__xludf.DUMMYFUNCTION("""COMPUTED_VALUE"""),1451490.0)</f>
        <v>1451490</v>
      </c>
    </row>
    <row r="7469">
      <c r="A7469" t="str">
        <f t="shared" si="1"/>
        <v>isr#1953</v>
      </c>
      <c r="B7469" t="str">
        <f>IFERROR(__xludf.DUMMYFUNCTION("""COMPUTED_VALUE"""),"isr")</f>
        <v>isr</v>
      </c>
      <c r="C7469" t="str">
        <f>IFERROR(__xludf.DUMMYFUNCTION("""COMPUTED_VALUE"""),"Israel")</f>
        <v>Israel</v>
      </c>
      <c r="D7469">
        <f>IFERROR(__xludf.DUMMYFUNCTION("""COMPUTED_VALUE"""),1953.0)</f>
        <v>1953</v>
      </c>
      <c r="E7469">
        <f>IFERROR(__xludf.DUMMYFUNCTION("""COMPUTED_VALUE"""),1546238.0)</f>
        <v>1546238</v>
      </c>
    </row>
    <row r="7470">
      <c r="A7470" t="str">
        <f t="shared" si="1"/>
        <v>isr#1954</v>
      </c>
      <c r="B7470" t="str">
        <f>IFERROR(__xludf.DUMMYFUNCTION("""COMPUTED_VALUE"""),"isr")</f>
        <v>isr</v>
      </c>
      <c r="C7470" t="str">
        <f>IFERROR(__xludf.DUMMYFUNCTION("""COMPUTED_VALUE"""),"Israel")</f>
        <v>Israel</v>
      </c>
      <c r="D7470">
        <f>IFERROR(__xludf.DUMMYFUNCTION("""COMPUTED_VALUE"""),1954.0)</f>
        <v>1954</v>
      </c>
      <c r="E7470">
        <f>IFERROR(__xludf.DUMMYFUNCTION("""COMPUTED_VALUE"""),1635781.0)</f>
        <v>1635781</v>
      </c>
    </row>
    <row r="7471">
      <c r="A7471" t="str">
        <f t="shared" si="1"/>
        <v>isr#1955</v>
      </c>
      <c r="B7471" t="str">
        <f>IFERROR(__xludf.DUMMYFUNCTION("""COMPUTED_VALUE"""),"isr")</f>
        <v>isr</v>
      </c>
      <c r="C7471" t="str">
        <f>IFERROR(__xludf.DUMMYFUNCTION("""COMPUTED_VALUE"""),"Israel")</f>
        <v>Israel</v>
      </c>
      <c r="D7471">
        <f>IFERROR(__xludf.DUMMYFUNCTION("""COMPUTED_VALUE"""),1955.0)</f>
        <v>1955</v>
      </c>
      <c r="E7471">
        <f>IFERROR(__xludf.DUMMYFUNCTION("""COMPUTED_VALUE"""),1718958.0)</f>
        <v>1718958</v>
      </c>
    </row>
    <row r="7472">
      <c r="A7472" t="str">
        <f t="shared" si="1"/>
        <v>isr#1956</v>
      </c>
      <c r="B7472" t="str">
        <f>IFERROR(__xludf.DUMMYFUNCTION("""COMPUTED_VALUE"""),"isr")</f>
        <v>isr</v>
      </c>
      <c r="C7472" t="str">
        <f>IFERROR(__xludf.DUMMYFUNCTION("""COMPUTED_VALUE"""),"Israel")</f>
        <v>Israel</v>
      </c>
      <c r="D7472">
        <f>IFERROR(__xludf.DUMMYFUNCTION("""COMPUTED_VALUE"""),1956.0)</f>
        <v>1956</v>
      </c>
      <c r="E7472">
        <f>IFERROR(__xludf.DUMMYFUNCTION("""COMPUTED_VALUE"""),1796010.0)</f>
        <v>1796010</v>
      </c>
    </row>
    <row r="7473">
      <c r="A7473" t="str">
        <f t="shared" si="1"/>
        <v>isr#1957</v>
      </c>
      <c r="B7473" t="str">
        <f>IFERROR(__xludf.DUMMYFUNCTION("""COMPUTED_VALUE"""),"isr")</f>
        <v>isr</v>
      </c>
      <c r="C7473" t="str">
        <f>IFERROR(__xludf.DUMMYFUNCTION("""COMPUTED_VALUE"""),"Israel")</f>
        <v>Israel</v>
      </c>
      <c r="D7473">
        <f>IFERROR(__xludf.DUMMYFUNCTION("""COMPUTED_VALUE"""),1957.0)</f>
        <v>1957</v>
      </c>
      <c r="E7473">
        <f>IFERROR(__xludf.DUMMYFUNCTION("""COMPUTED_VALUE"""),1868581.0)</f>
        <v>1868581</v>
      </c>
    </row>
    <row r="7474">
      <c r="A7474" t="str">
        <f t="shared" si="1"/>
        <v>isr#1958</v>
      </c>
      <c r="B7474" t="str">
        <f>IFERROR(__xludf.DUMMYFUNCTION("""COMPUTED_VALUE"""),"isr")</f>
        <v>isr</v>
      </c>
      <c r="C7474" t="str">
        <f>IFERROR(__xludf.DUMMYFUNCTION("""COMPUTED_VALUE"""),"Israel")</f>
        <v>Israel</v>
      </c>
      <c r="D7474">
        <f>IFERROR(__xludf.DUMMYFUNCTION("""COMPUTED_VALUE"""),1958.0)</f>
        <v>1958</v>
      </c>
      <c r="E7474">
        <f>IFERROR(__xludf.DUMMYFUNCTION("""COMPUTED_VALUE"""),1939451.0)</f>
        <v>1939451</v>
      </c>
    </row>
    <row r="7475">
      <c r="A7475" t="str">
        <f t="shared" si="1"/>
        <v>isr#1959</v>
      </c>
      <c r="B7475" t="str">
        <f>IFERROR(__xludf.DUMMYFUNCTION("""COMPUTED_VALUE"""),"isr")</f>
        <v>isr</v>
      </c>
      <c r="C7475" t="str">
        <f>IFERROR(__xludf.DUMMYFUNCTION("""COMPUTED_VALUE"""),"Israel")</f>
        <v>Israel</v>
      </c>
      <c r="D7475">
        <f>IFERROR(__xludf.DUMMYFUNCTION("""COMPUTED_VALUE"""),1959.0)</f>
        <v>1959</v>
      </c>
      <c r="E7475">
        <f>IFERROR(__xludf.DUMMYFUNCTION("""COMPUTED_VALUE"""),2012150.0)</f>
        <v>2012150</v>
      </c>
    </row>
    <row r="7476">
      <c r="A7476" t="str">
        <f t="shared" si="1"/>
        <v>isr#1960</v>
      </c>
      <c r="B7476" t="str">
        <f>IFERROR(__xludf.DUMMYFUNCTION("""COMPUTED_VALUE"""),"isr")</f>
        <v>isr</v>
      </c>
      <c r="C7476" t="str">
        <f>IFERROR(__xludf.DUMMYFUNCTION("""COMPUTED_VALUE"""),"Israel")</f>
        <v>Israel</v>
      </c>
      <c r="D7476">
        <f>IFERROR(__xludf.DUMMYFUNCTION("""COMPUTED_VALUE"""),1960.0)</f>
        <v>1960</v>
      </c>
      <c r="E7476">
        <f>IFERROR(__xludf.DUMMYFUNCTION("""COMPUTED_VALUE"""),2089889.0)</f>
        <v>2089889</v>
      </c>
    </row>
    <row r="7477">
      <c r="A7477" t="str">
        <f t="shared" si="1"/>
        <v>isr#1961</v>
      </c>
      <c r="B7477" t="str">
        <f>IFERROR(__xludf.DUMMYFUNCTION("""COMPUTED_VALUE"""),"isr")</f>
        <v>isr</v>
      </c>
      <c r="C7477" t="str">
        <f>IFERROR(__xludf.DUMMYFUNCTION("""COMPUTED_VALUE"""),"Israel")</f>
        <v>Israel</v>
      </c>
      <c r="D7477">
        <f>IFERROR(__xludf.DUMMYFUNCTION("""COMPUTED_VALUE"""),1961.0)</f>
        <v>1961</v>
      </c>
      <c r="E7477">
        <f>IFERROR(__xludf.DUMMYFUNCTION("""COMPUTED_VALUE"""),2174267.0)</f>
        <v>2174267</v>
      </c>
    </row>
    <row r="7478">
      <c r="A7478" t="str">
        <f t="shared" si="1"/>
        <v>isr#1962</v>
      </c>
      <c r="B7478" t="str">
        <f>IFERROR(__xludf.DUMMYFUNCTION("""COMPUTED_VALUE"""),"isr")</f>
        <v>isr</v>
      </c>
      <c r="C7478" t="str">
        <f>IFERROR(__xludf.DUMMYFUNCTION("""COMPUTED_VALUE"""),"Israel")</f>
        <v>Israel</v>
      </c>
      <c r="D7478">
        <f>IFERROR(__xludf.DUMMYFUNCTION("""COMPUTED_VALUE"""),1962.0)</f>
        <v>1962</v>
      </c>
      <c r="E7478">
        <f>IFERROR(__xludf.DUMMYFUNCTION("""COMPUTED_VALUE"""),2264309.0)</f>
        <v>2264309</v>
      </c>
    </row>
    <row r="7479">
      <c r="A7479" t="str">
        <f t="shared" si="1"/>
        <v>isr#1963</v>
      </c>
      <c r="B7479" t="str">
        <f>IFERROR(__xludf.DUMMYFUNCTION("""COMPUTED_VALUE"""),"isr")</f>
        <v>isr</v>
      </c>
      <c r="C7479" t="str">
        <f>IFERROR(__xludf.DUMMYFUNCTION("""COMPUTED_VALUE"""),"Israel")</f>
        <v>Israel</v>
      </c>
      <c r="D7479">
        <f>IFERROR(__xludf.DUMMYFUNCTION("""COMPUTED_VALUE"""),1963.0)</f>
        <v>1963</v>
      </c>
      <c r="E7479">
        <f>IFERROR(__xludf.DUMMYFUNCTION("""COMPUTED_VALUE"""),2355932.0)</f>
        <v>2355932</v>
      </c>
    </row>
    <row r="7480">
      <c r="A7480" t="str">
        <f t="shared" si="1"/>
        <v>isr#1964</v>
      </c>
      <c r="B7480" t="str">
        <f>IFERROR(__xludf.DUMMYFUNCTION("""COMPUTED_VALUE"""),"isr")</f>
        <v>isr</v>
      </c>
      <c r="C7480" t="str">
        <f>IFERROR(__xludf.DUMMYFUNCTION("""COMPUTED_VALUE"""),"Israel")</f>
        <v>Israel</v>
      </c>
      <c r="D7480">
        <f>IFERROR(__xludf.DUMMYFUNCTION("""COMPUTED_VALUE"""),1964.0)</f>
        <v>1964</v>
      </c>
      <c r="E7480">
        <f>IFERROR(__xludf.DUMMYFUNCTION("""COMPUTED_VALUE"""),2443298.0)</f>
        <v>2443298</v>
      </c>
    </row>
    <row r="7481">
      <c r="A7481" t="str">
        <f t="shared" si="1"/>
        <v>isr#1965</v>
      </c>
      <c r="B7481" t="str">
        <f>IFERROR(__xludf.DUMMYFUNCTION("""COMPUTED_VALUE"""),"isr")</f>
        <v>isr</v>
      </c>
      <c r="C7481" t="str">
        <f>IFERROR(__xludf.DUMMYFUNCTION("""COMPUTED_VALUE"""),"Israel")</f>
        <v>Israel</v>
      </c>
      <c r="D7481">
        <f>IFERROR(__xludf.DUMMYFUNCTION("""COMPUTED_VALUE"""),1965.0)</f>
        <v>1965</v>
      </c>
      <c r="E7481">
        <f>IFERROR(__xludf.DUMMYFUNCTION("""COMPUTED_VALUE"""),2522530.0)</f>
        <v>2522530</v>
      </c>
    </row>
    <row r="7482">
      <c r="A7482" t="str">
        <f t="shared" si="1"/>
        <v>isr#1966</v>
      </c>
      <c r="B7482" t="str">
        <f>IFERROR(__xludf.DUMMYFUNCTION("""COMPUTED_VALUE"""),"isr")</f>
        <v>isr</v>
      </c>
      <c r="C7482" t="str">
        <f>IFERROR(__xludf.DUMMYFUNCTION("""COMPUTED_VALUE"""),"Israel")</f>
        <v>Israel</v>
      </c>
      <c r="D7482">
        <f>IFERROR(__xludf.DUMMYFUNCTION("""COMPUTED_VALUE"""),1966.0)</f>
        <v>1966</v>
      </c>
      <c r="E7482">
        <f>IFERROR(__xludf.DUMMYFUNCTION("""COMPUTED_VALUE"""),2591594.0)</f>
        <v>2591594</v>
      </c>
    </row>
    <row r="7483">
      <c r="A7483" t="str">
        <f t="shared" si="1"/>
        <v>isr#1967</v>
      </c>
      <c r="B7483" t="str">
        <f>IFERROR(__xludf.DUMMYFUNCTION("""COMPUTED_VALUE"""),"isr")</f>
        <v>isr</v>
      </c>
      <c r="C7483" t="str">
        <f>IFERROR(__xludf.DUMMYFUNCTION("""COMPUTED_VALUE"""),"Israel")</f>
        <v>Israel</v>
      </c>
      <c r="D7483">
        <f>IFERROR(__xludf.DUMMYFUNCTION("""COMPUTED_VALUE"""),1967.0)</f>
        <v>1967</v>
      </c>
      <c r="E7483">
        <f>IFERROR(__xludf.DUMMYFUNCTION("""COMPUTED_VALUE"""),2652697.0)</f>
        <v>2652697</v>
      </c>
    </row>
    <row r="7484">
      <c r="A7484" t="str">
        <f t="shared" si="1"/>
        <v>isr#1968</v>
      </c>
      <c r="B7484" t="str">
        <f>IFERROR(__xludf.DUMMYFUNCTION("""COMPUTED_VALUE"""),"isr")</f>
        <v>isr</v>
      </c>
      <c r="C7484" t="str">
        <f>IFERROR(__xludf.DUMMYFUNCTION("""COMPUTED_VALUE"""),"Israel")</f>
        <v>Israel</v>
      </c>
      <c r="D7484">
        <f>IFERROR(__xludf.DUMMYFUNCTION("""COMPUTED_VALUE"""),1968.0)</f>
        <v>1968</v>
      </c>
      <c r="E7484">
        <f>IFERROR(__xludf.DUMMYFUNCTION("""COMPUTED_VALUE"""),2711300.0)</f>
        <v>2711300</v>
      </c>
    </row>
    <row r="7485">
      <c r="A7485" t="str">
        <f t="shared" si="1"/>
        <v>isr#1969</v>
      </c>
      <c r="B7485" t="str">
        <f>IFERROR(__xludf.DUMMYFUNCTION("""COMPUTED_VALUE"""),"isr")</f>
        <v>isr</v>
      </c>
      <c r="C7485" t="str">
        <f>IFERROR(__xludf.DUMMYFUNCTION("""COMPUTED_VALUE"""),"Israel")</f>
        <v>Israel</v>
      </c>
      <c r="D7485">
        <f>IFERROR(__xludf.DUMMYFUNCTION("""COMPUTED_VALUE"""),1969.0)</f>
        <v>1969</v>
      </c>
      <c r="E7485">
        <f>IFERROR(__xludf.DUMMYFUNCTION("""COMPUTED_VALUE"""),2775162.0)</f>
        <v>2775162</v>
      </c>
    </row>
    <row r="7486">
      <c r="A7486" t="str">
        <f t="shared" si="1"/>
        <v>isr#1970</v>
      </c>
      <c r="B7486" t="str">
        <f>IFERROR(__xludf.DUMMYFUNCTION("""COMPUTED_VALUE"""),"isr")</f>
        <v>isr</v>
      </c>
      <c r="C7486" t="str">
        <f>IFERROR(__xludf.DUMMYFUNCTION("""COMPUTED_VALUE"""),"Israel")</f>
        <v>Israel</v>
      </c>
      <c r="D7486">
        <f>IFERROR(__xludf.DUMMYFUNCTION("""COMPUTED_VALUE"""),1970.0)</f>
        <v>1970</v>
      </c>
      <c r="E7486">
        <f>IFERROR(__xludf.DUMMYFUNCTION("""COMPUTED_VALUE"""),2849622.0)</f>
        <v>2849622</v>
      </c>
    </row>
    <row r="7487">
      <c r="A7487" t="str">
        <f t="shared" si="1"/>
        <v>isr#1971</v>
      </c>
      <c r="B7487" t="str">
        <f>IFERROR(__xludf.DUMMYFUNCTION("""COMPUTED_VALUE"""),"isr")</f>
        <v>isr</v>
      </c>
      <c r="C7487" t="str">
        <f>IFERROR(__xludf.DUMMYFUNCTION("""COMPUTED_VALUE"""),"Israel")</f>
        <v>Israel</v>
      </c>
      <c r="D7487">
        <f>IFERROR(__xludf.DUMMYFUNCTION("""COMPUTED_VALUE"""),1971.0)</f>
        <v>1971</v>
      </c>
      <c r="E7487">
        <f>IFERROR(__xludf.DUMMYFUNCTION("""COMPUTED_VALUE"""),2936668.0)</f>
        <v>2936668</v>
      </c>
    </row>
    <row r="7488">
      <c r="A7488" t="str">
        <f t="shared" si="1"/>
        <v>isr#1972</v>
      </c>
      <c r="B7488" t="str">
        <f>IFERROR(__xludf.DUMMYFUNCTION("""COMPUTED_VALUE"""),"isr")</f>
        <v>isr</v>
      </c>
      <c r="C7488" t="str">
        <f>IFERROR(__xludf.DUMMYFUNCTION("""COMPUTED_VALUE"""),"Israel")</f>
        <v>Israel</v>
      </c>
      <c r="D7488">
        <f>IFERROR(__xludf.DUMMYFUNCTION("""COMPUTED_VALUE"""),1972.0)</f>
        <v>1972</v>
      </c>
      <c r="E7488">
        <f>IFERROR(__xludf.DUMMYFUNCTION("""COMPUTED_VALUE"""),3033922.0)</f>
        <v>3033922</v>
      </c>
    </row>
    <row r="7489">
      <c r="A7489" t="str">
        <f t="shared" si="1"/>
        <v>isr#1973</v>
      </c>
      <c r="B7489" t="str">
        <f>IFERROR(__xludf.DUMMYFUNCTION("""COMPUTED_VALUE"""),"isr")</f>
        <v>isr</v>
      </c>
      <c r="C7489" t="str">
        <f>IFERROR(__xludf.DUMMYFUNCTION("""COMPUTED_VALUE"""),"Israel")</f>
        <v>Israel</v>
      </c>
      <c r="D7489">
        <f>IFERROR(__xludf.DUMMYFUNCTION("""COMPUTED_VALUE"""),1973.0)</f>
        <v>1973</v>
      </c>
      <c r="E7489">
        <f>IFERROR(__xludf.DUMMYFUNCTION("""COMPUTED_VALUE"""),3137033.0)</f>
        <v>3137033</v>
      </c>
    </row>
    <row r="7490">
      <c r="A7490" t="str">
        <f t="shared" si="1"/>
        <v>isr#1974</v>
      </c>
      <c r="B7490" t="str">
        <f>IFERROR(__xludf.DUMMYFUNCTION("""COMPUTED_VALUE"""),"isr")</f>
        <v>isr</v>
      </c>
      <c r="C7490" t="str">
        <f>IFERROR(__xludf.DUMMYFUNCTION("""COMPUTED_VALUE"""),"Israel")</f>
        <v>Israel</v>
      </c>
      <c r="D7490">
        <f>IFERROR(__xludf.DUMMYFUNCTION("""COMPUTED_VALUE"""),1974.0)</f>
        <v>1974</v>
      </c>
      <c r="E7490">
        <f>IFERROR(__xludf.DUMMYFUNCTION("""COMPUTED_VALUE"""),3239563.0)</f>
        <v>3239563</v>
      </c>
    </row>
    <row r="7491">
      <c r="A7491" t="str">
        <f t="shared" si="1"/>
        <v>isr#1975</v>
      </c>
      <c r="B7491" t="str">
        <f>IFERROR(__xludf.DUMMYFUNCTION("""COMPUTED_VALUE"""),"isr")</f>
        <v>isr</v>
      </c>
      <c r="C7491" t="str">
        <f>IFERROR(__xludf.DUMMYFUNCTION("""COMPUTED_VALUE"""),"Israel")</f>
        <v>Israel</v>
      </c>
      <c r="D7491">
        <f>IFERROR(__xludf.DUMMYFUNCTION("""COMPUTED_VALUE"""),1975.0)</f>
        <v>1975</v>
      </c>
      <c r="E7491">
        <f>IFERROR(__xludf.DUMMYFUNCTION("""COMPUTED_VALUE"""),3336760.0)</f>
        <v>3336760</v>
      </c>
    </row>
    <row r="7492">
      <c r="A7492" t="str">
        <f t="shared" si="1"/>
        <v>isr#1976</v>
      </c>
      <c r="B7492" t="str">
        <f>IFERROR(__xludf.DUMMYFUNCTION("""COMPUTED_VALUE"""),"isr")</f>
        <v>isr</v>
      </c>
      <c r="C7492" t="str">
        <f>IFERROR(__xludf.DUMMYFUNCTION("""COMPUTED_VALUE"""),"Israel")</f>
        <v>Israel</v>
      </c>
      <c r="D7492">
        <f>IFERROR(__xludf.DUMMYFUNCTION("""COMPUTED_VALUE"""),1976.0)</f>
        <v>1976</v>
      </c>
      <c r="E7492">
        <f>IFERROR(__xludf.DUMMYFUNCTION("""COMPUTED_VALUE"""),3427664.0)</f>
        <v>3427664</v>
      </c>
    </row>
    <row r="7493">
      <c r="A7493" t="str">
        <f t="shared" si="1"/>
        <v>isr#1977</v>
      </c>
      <c r="B7493" t="str">
        <f>IFERROR(__xludf.DUMMYFUNCTION("""COMPUTED_VALUE"""),"isr")</f>
        <v>isr</v>
      </c>
      <c r="C7493" t="str">
        <f>IFERROR(__xludf.DUMMYFUNCTION("""COMPUTED_VALUE"""),"Israel")</f>
        <v>Israel</v>
      </c>
      <c r="D7493">
        <f>IFERROR(__xludf.DUMMYFUNCTION("""COMPUTED_VALUE"""),1977.0)</f>
        <v>1977</v>
      </c>
      <c r="E7493">
        <f>IFERROR(__xludf.DUMMYFUNCTION("""COMPUTED_VALUE"""),3513529.0)</f>
        <v>3513529</v>
      </c>
    </row>
    <row r="7494">
      <c r="A7494" t="str">
        <f t="shared" si="1"/>
        <v>isr#1978</v>
      </c>
      <c r="B7494" t="str">
        <f>IFERROR(__xludf.DUMMYFUNCTION("""COMPUTED_VALUE"""),"isr")</f>
        <v>isr</v>
      </c>
      <c r="C7494" t="str">
        <f>IFERROR(__xludf.DUMMYFUNCTION("""COMPUTED_VALUE"""),"Israel")</f>
        <v>Israel</v>
      </c>
      <c r="D7494">
        <f>IFERROR(__xludf.DUMMYFUNCTION("""COMPUTED_VALUE"""),1978.0)</f>
        <v>1978</v>
      </c>
      <c r="E7494">
        <f>IFERROR(__xludf.DUMMYFUNCTION("""COMPUTED_VALUE"""),3594488.0)</f>
        <v>3594488</v>
      </c>
    </row>
    <row r="7495">
      <c r="A7495" t="str">
        <f t="shared" si="1"/>
        <v>isr#1979</v>
      </c>
      <c r="B7495" t="str">
        <f>IFERROR(__xludf.DUMMYFUNCTION("""COMPUTED_VALUE"""),"isr")</f>
        <v>isr</v>
      </c>
      <c r="C7495" t="str">
        <f>IFERROR(__xludf.DUMMYFUNCTION("""COMPUTED_VALUE"""),"Israel")</f>
        <v>Israel</v>
      </c>
      <c r="D7495">
        <f>IFERROR(__xludf.DUMMYFUNCTION("""COMPUTED_VALUE"""),1979.0)</f>
        <v>1979</v>
      </c>
      <c r="E7495">
        <f>IFERROR(__xludf.DUMMYFUNCTION("""COMPUTED_VALUE"""),3671282.0)</f>
        <v>3671282</v>
      </c>
    </row>
    <row r="7496">
      <c r="A7496" t="str">
        <f t="shared" si="1"/>
        <v>isr#1980</v>
      </c>
      <c r="B7496" t="str">
        <f>IFERROR(__xludf.DUMMYFUNCTION("""COMPUTED_VALUE"""),"isr")</f>
        <v>isr</v>
      </c>
      <c r="C7496" t="str">
        <f>IFERROR(__xludf.DUMMYFUNCTION("""COMPUTED_VALUE"""),"Israel")</f>
        <v>Israel</v>
      </c>
      <c r="D7496">
        <f>IFERROR(__xludf.DUMMYFUNCTION("""COMPUTED_VALUE"""),1980.0)</f>
        <v>1980</v>
      </c>
      <c r="E7496">
        <f>IFERROR(__xludf.DUMMYFUNCTION("""COMPUTED_VALUE"""),3744667.0)</f>
        <v>3744667</v>
      </c>
    </row>
    <row r="7497">
      <c r="A7497" t="str">
        <f t="shared" si="1"/>
        <v>isr#1981</v>
      </c>
      <c r="B7497" t="str">
        <f>IFERROR(__xludf.DUMMYFUNCTION("""COMPUTED_VALUE"""),"isr")</f>
        <v>isr</v>
      </c>
      <c r="C7497" t="str">
        <f>IFERROR(__xludf.DUMMYFUNCTION("""COMPUTED_VALUE"""),"Israel")</f>
        <v>Israel</v>
      </c>
      <c r="D7497">
        <f>IFERROR(__xludf.DUMMYFUNCTION("""COMPUTED_VALUE"""),1981.0)</f>
        <v>1981</v>
      </c>
      <c r="E7497">
        <f>IFERROR(__xludf.DUMMYFUNCTION("""COMPUTED_VALUE"""),3815232.0)</f>
        <v>3815232</v>
      </c>
    </row>
    <row r="7498">
      <c r="A7498" t="str">
        <f t="shared" si="1"/>
        <v>isr#1982</v>
      </c>
      <c r="B7498" t="str">
        <f>IFERROR(__xludf.DUMMYFUNCTION("""COMPUTED_VALUE"""),"isr")</f>
        <v>isr</v>
      </c>
      <c r="C7498" t="str">
        <f>IFERROR(__xludf.DUMMYFUNCTION("""COMPUTED_VALUE"""),"Israel")</f>
        <v>Israel</v>
      </c>
      <c r="D7498">
        <f>IFERROR(__xludf.DUMMYFUNCTION("""COMPUTED_VALUE"""),1982.0)</f>
        <v>1982</v>
      </c>
      <c r="E7498">
        <f>IFERROR(__xludf.DUMMYFUNCTION("""COMPUTED_VALUE"""),3883467.0)</f>
        <v>3883467</v>
      </c>
    </row>
    <row r="7499">
      <c r="A7499" t="str">
        <f t="shared" si="1"/>
        <v>isr#1983</v>
      </c>
      <c r="B7499" t="str">
        <f>IFERROR(__xludf.DUMMYFUNCTION("""COMPUTED_VALUE"""),"isr")</f>
        <v>isr</v>
      </c>
      <c r="C7499" t="str">
        <f>IFERROR(__xludf.DUMMYFUNCTION("""COMPUTED_VALUE"""),"Israel")</f>
        <v>Israel</v>
      </c>
      <c r="D7499">
        <f>IFERROR(__xludf.DUMMYFUNCTION("""COMPUTED_VALUE"""),1983.0)</f>
        <v>1983</v>
      </c>
      <c r="E7499">
        <f>IFERROR(__xludf.DUMMYFUNCTION("""COMPUTED_VALUE"""),3950123.0)</f>
        <v>3950123</v>
      </c>
    </row>
    <row r="7500">
      <c r="A7500" t="str">
        <f t="shared" si="1"/>
        <v>isr#1984</v>
      </c>
      <c r="B7500" t="str">
        <f>IFERROR(__xludf.DUMMYFUNCTION("""COMPUTED_VALUE"""),"isr")</f>
        <v>isr</v>
      </c>
      <c r="C7500" t="str">
        <f>IFERROR(__xludf.DUMMYFUNCTION("""COMPUTED_VALUE"""),"Israel")</f>
        <v>Israel</v>
      </c>
      <c r="D7500">
        <f>IFERROR(__xludf.DUMMYFUNCTION("""COMPUTED_VALUE"""),1984.0)</f>
        <v>1984</v>
      </c>
      <c r="E7500">
        <f>IFERROR(__xludf.DUMMYFUNCTION("""COMPUTED_VALUE"""),4016130.0)</f>
        <v>4016130</v>
      </c>
    </row>
    <row r="7501">
      <c r="A7501" t="str">
        <f t="shared" si="1"/>
        <v>isr#1985</v>
      </c>
      <c r="B7501" t="str">
        <f>IFERROR(__xludf.DUMMYFUNCTION("""COMPUTED_VALUE"""),"isr")</f>
        <v>isr</v>
      </c>
      <c r="C7501" t="str">
        <f>IFERROR(__xludf.DUMMYFUNCTION("""COMPUTED_VALUE"""),"Israel")</f>
        <v>Israel</v>
      </c>
      <c r="D7501">
        <f>IFERROR(__xludf.DUMMYFUNCTION("""COMPUTED_VALUE"""),1985.0)</f>
        <v>1985</v>
      </c>
      <c r="E7501">
        <f>IFERROR(__xludf.DUMMYFUNCTION("""COMPUTED_VALUE"""),4082787.0)</f>
        <v>4082787</v>
      </c>
    </row>
    <row r="7502">
      <c r="A7502" t="str">
        <f t="shared" si="1"/>
        <v>isr#1986</v>
      </c>
      <c r="B7502" t="str">
        <f>IFERROR(__xludf.DUMMYFUNCTION("""COMPUTED_VALUE"""),"isr")</f>
        <v>isr</v>
      </c>
      <c r="C7502" t="str">
        <f>IFERROR(__xludf.DUMMYFUNCTION("""COMPUTED_VALUE"""),"Israel")</f>
        <v>Israel</v>
      </c>
      <c r="D7502">
        <f>IFERROR(__xludf.DUMMYFUNCTION("""COMPUTED_VALUE"""),1986.0)</f>
        <v>1986</v>
      </c>
      <c r="E7502">
        <f>IFERROR(__xludf.DUMMYFUNCTION("""COMPUTED_VALUE"""),4148946.0)</f>
        <v>4148946</v>
      </c>
    </row>
    <row r="7503">
      <c r="A7503" t="str">
        <f t="shared" si="1"/>
        <v>isr#1987</v>
      </c>
      <c r="B7503" t="str">
        <f>IFERROR(__xludf.DUMMYFUNCTION("""COMPUTED_VALUE"""),"isr")</f>
        <v>isr</v>
      </c>
      <c r="C7503" t="str">
        <f>IFERROR(__xludf.DUMMYFUNCTION("""COMPUTED_VALUE"""),"Israel")</f>
        <v>Israel</v>
      </c>
      <c r="D7503">
        <f>IFERROR(__xludf.DUMMYFUNCTION("""COMPUTED_VALUE"""),1987.0)</f>
        <v>1987</v>
      </c>
      <c r="E7503">
        <f>IFERROR(__xludf.DUMMYFUNCTION("""COMPUTED_VALUE"""),4216179.0)</f>
        <v>4216179</v>
      </c>
    </row>
    <row r="7504">
      <c r="A7504" t="str">
        <f t="shared" si="1"/>
        <v>isr#1988</v>
      </c>
      <c r="B7504" t="str">
        <f>IFERROR(__xludf.DUMMYFUNCTION("""COMPUTED_VALUE"""),"isr")</f>
        <v>isr</v>
      </c>
      <c r="C7504" t="str">
        <f>IFERROR(__xludf.DUMMYFUNCTION("""COMPUTED_VALUE"""),"Israel")</f>
        <v>Israel</v>
      </c>
      <c r="D7504">
        <f>IFERROR(__xludf.DUMMYFUNCTION("""COMPUTED_VALUE"""),1988.0)</f>
        <v>1988</v>
      </c>
      <c r="E7504">
        <f>IFERROR(__xludf.DUMMYFUNCTION("""COMPUTED_VALUE"""),4291576.0)</f>
        <v>4291576</v>
      </c>
    </row>
    <row r="7505">
      <c r="A7505" t="str">
        <f t="shared" si="1"/>
        <v>isr#1989</v>
      </c>
      <c r="B7505" t="str">
        <f>IFERROR(__xludf.DUMMYFUNCTION("""COMPUTED_VALUE"""),"isr")</f>
        <v>isr</v>
      </c>
      <c r="C7505" t="str">
        <f>IFERROR(__xludf.DUMMYFUNCTION("""COMPUTED_VALUE"""),"Israel")</f>
        <v>Israel</v>
      </c>
      <c r="D7505">
        <f>IFERROR(__xludf.DUMMYFUNCTION("""COMPUTED_VALUE"""),1989.0)</f>
        <v>1989</v>
      </c>
      <c r="E7505">
        <f>IFERROR(__xludf.DUMMYFUNCTION("""COMPUTED_VALUE"""),4384355.0)</f>
        <v>4384355</v>
      </c>
    </row>
    <row r="7506">
      <c r="A7506" t="str">
        <f t="shared" si="1"/>
        <v>isr#1990</v>
      </c>
      <c r="B7506" t="str">
        <f>IFERROR(__xludf.DUMMYFUNCTION("""COMPUTED_VALUE"""),"isr")</f>
        <v>isr</v>
      </c>
      <c r="C7506" t="str">
        <f>IFERROR(__xludf.DUMMYFUNCTION("""COMPUTED_VALUE"""),"Israel")</f>
        <v>Israel</v>
      </c>
      <c r="D7506">
        <f>IFERROR(__xludf.DUMMYFUNCTION("""COMPUTED_VALUE"""),1990.0)</f>
        <v>1990</v>
      </c>
      <c r="E7506">
        <f>IFERROR(__xludf.DUMMYFUNCTION("""COMPUTED_VALUE"""),4500475.0)</f>
        <v>4500475</v>
      </c>
    </row>
    <row r="7507">
      <c r="A7507" t="str">
        <f t="shared" si="1"/>
        <v>isr#1991</v>
      </c>
      <c r="B7507" t="str">
        <f>IFERROR(__xludf.DUMMYFUNCTION("""COMPUTED_VALUE"""),"isr")</f>
        <v>isr</v>
      </c>
      <c r="C7507" t="str">
        <f>IFERROR(__xludf.DUMMYFUNCTION("""COMPUTED_VALUE"""),"Israel")</f>
        <v>Israel</v>
      </c>
      <c r="D7507">
        <f>IFERROR(__xludf.DUMMYFUNCTION("""COMPUTED_VALUE"""),1991.0)</f>
        <v>1991</v>
      </c>
      <c r="E7507">
        <f>IFERROR(__xludf.DUMMYFUNCTION("""COMPUTED_VALUE"""),4643198.0)</f>
        <v>4643198</v>
      </c>
    </row>
    <row r="7508">
      <c r="A7508" t="str">
        <f t="shared" si="1"/>
        <v>isr#1992</v>
      </c>
      <c r="B7508" t="str">
        <f>IFERROR(__xludf.DUMMYFUNCTION("""COMPUTED_VALUE"""),"isr")</f>
        <v>isr</v>
      </c>
      <c r="C7508" t="str">
        <f>IFERROR(__xludf.DUMMYFUNCTION("""COMPUTED_VALUE"""),"Israel")</f>
        <v>Israel</v>
      </c>
      <c r="D7508">
        <f>IFERROR(__xludf.DUMMYFUNCTION("""COMPUTED_VALUE"""),1992.0)</f>
        <v>1992</v>
      </c>
      <c r="E7508">
        <f>IFERROR(__xludf.DUMMYFUNCTION("""COMPUTED_VALUE"""),4808858.0)</f>
        <v>4808858</v>
      </c>
    </row>
    <row r="7509">
      <c r="A7509" t="str">
        <f t="shared" si="1"/>
        <v>isr#1993</v>
      </c>
      <c r="B7509" t="str">
        <f>IFERROR(__xludf.DUMMYFUNCTION("""COMPUTED_VALUE"""),"isr")</f>
        <v>isr</v>
      </c>
      <c r="C7509" t="str">
        <f>IFERROR(__xludf.DUMMYFUNCTION("""COMPUTED_VALUE"""),"Israel")</f>
        <v>Israel</v>
      </c>
      <c r="D7509">
        <f>IFERROR(__xludf.DUMMYFUNCTION("""COMPUTED_VALUE"""),1993.0)</f>
        <v>1993</v>
      </c>
      <c r="E7509">
        <f>IFERROR(__xludf.DUMMYFUNCTION("""COMPUTED_VALUE"""),4987730.0)</f>
        <v>4987730</v>
      </c>
    </row>
    <row r="7510">
      <c r="A7510" t="str">
        <f t="shared" si="1"/>
        <v>isr#1994</v>
      </c>
      <c r="B7510" t="str">
        <f>IFERROR(__xludf.DUMMYFUNCTION("""COMPUTED_VALUE"""),"isr")</f>
        <v>isr</v>
      </c>
      <c r="C7510" t="str">
        <f>IFERROR(__xludf.DUMMYFUNCTION("""COMPUTED_VALUE"""),"Israel")</f>
        <v>Israel</v>
      </c>
      <c r="D7510">
        <f>IFERROR(__xludf.DUMMYFUNCTION("""COMPUTED_VALUE"""),1994.0)</f>
        <v>1994</v>
      </c>
      <c r="E7510">
        <f>IFERROR(__xludf.DUMMYFUNCTION("""COMPUTED_VALUE"""),5166072.0)</f>
        <v>5166072</v>
      </c>
    </row>
    <row r="7511">
      <c r="A7511" t="str">
        <f t="shared" si="1"/>
        <v>isr#1995</v>
      </c>
      <c r="B7511" t="str">
        <f>IFERROR(__xludf.DUMMYFUNCTION("""COMPUTED_VALUE"""),"isr")</f>
        <v>isr</v>
      </c>
      <c r="C7511" t="str">
        <f>IFERROR(__xludf.DUMMYFUNCTION("""COMPUTED_VALUE"""),"Israel")</f>
        <v>Israel</v>
      </c>
      <c r="D7511">
        <f>IFERROR(__xludf.DUMMYFUNCTION("""COMPUTED_VALUE"""),1995.0)</f>
        <v>1995</v>
      </c>
      <c r="E7511">
        <f>IFERROR(__xludf.DUMMYFUNCTION("""COMPUTED_VALUE"""),5333719.0)</f>
        <v>5333719</v>
      </c>
    </row>
    <row r="7512">
      <c r="A7512" t="str">
        <f t="shared" si="1"/>
        <v>isr#1996</v>
      </c>
      <c r="B7512" t="str">
        <f>IFERROR(__xludf.DUMMYFUNCTION("""COMPUTED_VALUE"""),"isr")</f>
        <v>isr</v>
      </c>
      <c r="C7512" t="str">
        <f>IFERROR(__xludf.DUMMYFUNCTION("""COMPUTED_VALUE"""),"Israel")</f>
        <v>Israel</v>
      </c>
      <c r="D7512">
        <f>IFERROR(__xludf.DUMMYFUNCTION("""COMPUTED_VALUE"""),1996.0)</f>
        <v>1996</v>
      </c>
      <c r="E7512">
        <f>IFERROR(__xludf.DUMMYFUNCTION("""COMPUTED_VALUE"""),5488077.0)</f>
        <v>5488077</v>
      </c>
    </row>
    <row r="7513">
      <c r="A7513" t="str">
        <f t="shared" si="1"/>
        <v>isr#1997</v>
      </c>
      <c r="B7513" t="str">
        <f>IFERROR(__xludf.DUMMYFUNCTION("""COMPUTED_VALUE"""),"isr")</f>
        <v>isr</v>
      </c>
      <c r="C7513" t="str">
        <f>IFERROR(__xludf.DUMMYFUNCTION("""COMPUTED_VALUE"""),"Israel")</f>
        <v>Israel</v>
      </c>
      <c r="D7513">
        <f>IFERROR(__xludf.DUMMYFUNCTION("""COMPUTED_VALUE"""),1997.0)</f>
        <v>1997</v>
      </c>
      <c r="E7513">
        <f>IFERROR(__xludf.DUMMYFUNCTION("""COMPUTED_VALUE"""),5631544.0)</f>
        <v>5631544</v>
      </c>
    </row>
    <row r="7514">
      <c r="A7514" t="str">
        <f t="shared" si="1"/>
        <v>isr#1998</v>
      </c>
      <c r="B7514" t="str">
        <f>IFERROR(__xludf.DUMMYFUNCTION("""COMPUTED_VALUE"""),"isr")</f>
        <v>isr</v>
      </c>
      <c r="C7514" t="str">
        <f>IFERROR(__xludf.DUMMYFUNCTION("""COMPUTED_VALUE"""),"Israel")</f>
        <v>Israel</v>
      </c>
      <c r="D7514">
        <f>IFERROR(__xludf.DUMMYFUNCTION("""COMPUTED_VALUE"""),1998.0)</f>
        <v>1998</v>
      </c>
      <c r="E7514">
        <f>IFERROR(__xludf.DUMMYFUNCTION("""COMPUTED_VALUE"""),5765210.0)</f>
        <v>5765210</v>
      </c>
    </row>
    <row r="7515">
      <c r="A7515" t="str">
        <f t="shared" si="1"/>
        <v>isr#1999</v>
      </c>
      <c r="B7515" t="str">
        <f>IFERROR(__xludf.DUMMYFUNCTION("""COMPUTED_VALUE"""),"isr")</f>
        <v>isr</v>
      </c>
      <c r="C7515" t="str">
        <f>IFERROR(__xludf.DUMMYFUNCTION("""COMPUTED_VALUE"""),"Israel")</f>
        <v>Israel</v>
      </c>
      <c r="D7515">
        <f>IFERROR(__xludf.DUMMYFUNCTION("""COMPUTED_VALUE"""),1999.0)</f>
        <v>1999</v>
      </c>
      <c r="E7515">
        <f>IFERROR(__xludf.DUMMYFUNCTION("""COMPUTED_VALUE"""),5891770.0)</f>
        <v>5891770</v>
      </c>
    </row>
    <row r="7516">
      <c r="A7516" t="str">
        <f t="shared" si="1"/>
        <v>isr#2000</v>
      </c>
      <c r="B7516" t="str">
        <f>IFERROR(__xludf.DUMMYFUNCTION("""COMPUTED_VALUE"""),"isr")</f>
        <v>isr</v>
      </c>
      <c r="C7516" t="str">
        <f>IFERROR(__xludf.DUMMYFUNCTION("""COMPUTED_VALUE"""),"Israel")</f>
        <v>Israel</v>
      </c>
      <c r="D7516">
        <f>IFERROR(__xludf.DUMMYFUNCTION("""COMPUTED_VALUE"""),2000.0)</f>
        <v>2000</v>
      </c>
      <c r="E7516">
        <f>IFERROR(__xludf.DUMMYFUNCTION("""COMPUTED_VALUE"""),6013741.0)</f>
        <v>6013741</v>
      </c>
    </row>
    <row r="7517">
      <c r="A7517" t="str">
        <f t="shared" si="1"/>
        <v>isr#2001</v>
      </c>
      <c r="B7517" t="str">
        <f>IFERROR(__xludf.DUMMYFUNCTION("""COMPUTED_VALUE"""),"isr")</f>
        <v>isr</v>
      </c>
      <c r="C7517" t="str">
        <f>IFERROR(__xludf.DUMMYFUNCTION("""COMPUTED_VALUE"""),"Israel")</f>
        <v>Israel</v>
      </c>
      <c r="D7517">
        <f>IFERROR(__xludf.DUMMYFUNCTION("""COMPUTED_VALUE"""),2001.0)</f>
        <v>2001</v>
      </c>
      <c r="E7517">
        <f>IFERROR(__xludf.DUMMYFUNCTION("""COMPUTED_VALUE"""),6129530.0)</f>
        <v>6129530</v>
      </c>
    </row>
    <row r="7518">
      <c r="A7518" t="str">
        <f t="shared" si="1"/>
        <v>isr#2002</v>
      </c>
      <c r="B7518" t="str">
        <f>IFERROR(__xludf.DUMMYFUNCTION("""COMPUTED_VALUE"""),"isr")</f>
        <v>isr</v>
      </c>
      <c r="C7518" t="str">
        <f>IFERROR(__xludf.DUMMYFUNCTION("""COMPUTED_VALUE"""),"Israel")</f>
        <v>Israel</v>
      </c>
      <c r="D7518">
        <f>IFERROR(__xludf.DUMMYFUNCTION("""COMPUTED_VALUE"""),2002.0)</f>
        <v>2002</v>
      </c>
      <c r="E7518">
        <f>IFERROR(__xludf.DUMMYFUNCTION("""COMPUTED_VALUE"""),6239285.0)</f>
        <v>6239285</v>
      </c>
    </row>
    <row r="7519">
      <c r="A7519" t="str">
        <f t="shared" si="1"/>
        <v>isr#2003</v>
      </c>
      <c r="B7519" t="str">
        <f>IFERROR(__xludf.DUMMYFUNCTION("""COMPUTED_VALUE"""),"isr")</f>
        <v>isr</v>
      </c>
      <c r="C7519" t="str">
        <f>IFERROR(__xludf.DUMMYFUNCTION("""COMPUTED_VALUE"""),"Israel")</f>
        <v>Israel</v>
      </c>
      <c r="D7519">
        <f>IFERROR(__xludf.DUMMYFUNCTION("""COMPUTED_VALUE"""),2003.0)</f>
        <v>2003</v>
      </c>
      <c r="E7519">
        <f>IFERROR(__xludf.DUMMYFUNCTION("""COMPUTED_VALUE"""),6349519.0)</f>
        <v>6349519</v>
      </c>
    </row>
    <row r="7520">
      <c r="A7520" t="str">
        <f t="shared" si="1"/>
        <v>isr#2004</v>
      </c>
      <c r="B7520" t="str">
        <f>IFERROR(__xludf.DUMMYFUNCTION("""COMPUTED_VALUE"""),"isr")</f>
        <v>isr</v>
      </c>
      <c r="C7520" t="str">
        <f>IFERROR(__xludf.DUMMYFUNCTION("""COMPUTED_VALUE"""),"Israel")</f>
        <v>Israel</v>
      </c>
      <c r="D7520">
        <f>IFERROR(__xludf.DUMMYFUNCTION("""COMPUTED_VALUE"""),2004.0)</f>
        <v>2004</v>
      </c>
      <c r="E7520">
        <f>IFERROR(__xludf.DUMMYFUNCTION("""COMPUTED_VALUE"""),6468827.0)</f>
        <v>6468827</v>
      </c>
    </row>
    <row r="7521">
      <c r="A7521" t="str">
        <f t="shared" si="1"/>
        <v>isr#2005</v>
      </c>
      <c r="B7521" t="str">
        <f>IFERROR(__xludf.DUMMYFUNCTION("""COMPUTED_VALUE"""),"isr")</f>
        <v>isr</v>
      </c>
      <c r="C7521" t="str">
        <f>IFERROR(__xludf.DUMMYFUNCTION("""COMPUTED_VALUE"""),"Israel")</f>
        <v>Israel</v>
      </c>
      <c r="D7521">
        <f>IFERROR(__xludf.DUMMYFUNCTION("""COMPUTED_VALUE"""),2005.0)</f>
        <v>2005</v>
      </c>
      <c r="E7521">
        <f>IFERROR(__xludf.DUMMYFUNCTION("""COMPUTED_VALUE"""),6602970.0)</f>
        <v>6602970</v>
      </c>
    </row>
    <row r="7522">
      <c r="A7522" t="str">
        <f t="shared" si="1"/>
        <v>isr#2006</v>
      </c>
      <c r="B7522" t="str">
        <f>IFERROR(__xludf.DUMMYFUNCTION("""COMPUTED_VALUE"""),"isr")</f>
        <v>isr</v>
      </c>
      <c r="C7522" t="str">
        <f>IFERROR(__xludf.DUMMYFUNCTION("""COMPUTED_VALUE"""),"Israel")</f>
        <v>Israel</v>
      </c>
      <c r="D7522">
        <f>IFERROR(__xludf.DUMMYFUNCTION("""COMPUTED_VALUE"""),2006.0)</f>
        <v>2006</v>
      </c>
      <c r="E7522">
        <f>IFERROR(__xludf.DUMMYFUNCTION("""COMPUTED_VALUE"""),6755211.0)</f>
        <v>6755211</v>
      </c>
    </row>
    <row r="7523">
      <c r="A7523" t="str">
        <f t="shared" si="1"/>
        <v>isr#2007</v>
      </c>
      <c r="B7523" t="str">
        <f>IFERROR(__xludf.DUMMYFUNCTION("""COMPUTED_VALUE"""),"isr")</f>
        <v>isr</v>
      </c>
      <c r="C7523" t="str">
        <f>IFERROR(__xludf.DUMMYFUNCTION("""COMPUTED_VALUE"""),"Israel")</f>
        <v>Israel</v>
      </c>
      <c r="D7523">
        <f>IFERROR(__xludf.DUMMYFUNCTION("""COMPUTED_VALUE"""),2007.0)</f>
        <v>2007</v>
      </c>
      <c r="E7523">
        <f>IFERROR(__xludf.DUMMYFUNCTION("""COMPUTED_VALUE"""),6922685.0)</f>
        <v>6922685</v>
      </c>
    </row>
    <row r="7524">
      <c r="A7524" t="str">
        <f t="shared" si="1"/>
        <v>isr#2008</v>
      </c>
      <c r="B7524" t="str">
        <f>IFERROR(__xludf.DUMMYFUNCTION("""COMPUTED_VALUE"""),"isr")</f>
        <v>isr</v>
      </c>
      <c r="C7524" t="str">
        <f>IFERROR(__xludf.DUMMYFUNCTION("""COMPUTED_VALUE"""),"Israel")</f>
        <v>Israel</v>
      </c>
      <c r="D7524">
        <f>IFERROR(__xludf.DUMMYFUNCTION("""COMPUTED_VALUE"""),2008.0)</f>
        <v>2008</v>
      </c>
      <c r="E7524">
        <f>IFERROR(__xludf.DUMMYFUNCTION("""COMPUTED_VALUE"""),7097410.0)</f>
        <v>7097410</v>
      </c>
    </row>
    <row r="7525">
      <c r="A7525" t="str">
        <f t="shared" si="1"/>
        <v>isr#2009</v>
      </c>
      <c r="B7525" t="str">
        <f>IFERROR(__xludf.DUMMYFUNCTION("""COMPUTED_VALUE"""),"isr")</f>
        <v>isr</v>
      </c>
      <c r="C7525" t="str">
        <f>IFERROR(__xludf.DUMMYFUNCTION("""COMPUTED_VALUE"""),"Israel")</f>
        <v>Israel</v>
      </c>
      <c r="D7525">
        <f>IFERROR(__xludf.DUMMYFUNCTION("""COMPUTED_VALUE"""),2009.0)</f>
        <v>2009</v>
      </c>
      <c r="E7525">
        <f>IFERROR(__xludf.DUMMYFUNCTION("""COMPUTED_VALUE"""),7267895.0)</f>
        <v>7267895</v>
      </c>
    </row>
    <row r="7526">
      <c r="A7526" t="str">
        <f t="shared" si="1"/>
        <v>isr#2010</v>
      </c>
      <c r="B7526" t="str">
        <f>IFERROR(__xludf.DUMMYFUNCTION("""COMPUTED_VALUE"""),"isr")</f>
        <v>isr</v>
      </c>
      <c r="C7526" t="str">
        <f>IFERROR(__xludf.DUMMYFUNCTION("""COMPUTED_VALUE"""),"Israel")</f>
        <v>Israel</v>
      </c>
      <c r="D7526">
        <f>IFERROR(__xludf.DUMMYFUNCTION("""COMPUTED_VALUE"""),2010.0)</f>
        <v>2010</v>
      </c>
      <c r="E7526">
        <f>IFERROR(__xludf.DUMMYFUNCTION("""COMPUTED_VALUE"""),7425959.0)</f>
        <v>7425959</v>
      </c>
    </row>
    <row r="7527">
      <c r="A7527" t="str">
        <f t="shared" si="1"/>
        <v>isr#2011</v>
      </c>
      <c r="B7527" t="str">
        <f>IFERROR(__xludf.DUMMYFUNCTION("""COMPUTED_VALUE"""),"isr")</f>
        <v>isr</v>
      </c>
      <c r="C7527" t="str">
        <f>IFERROR(__xludf.DUMMYFUNCTION("""COMPUTED_VALUE"""),"Israel")</f>
        <v>Israel</v>
      </c>
      <c r="D7527">
        <f>IFERROR(__xludf.DUMMYFUNCTION("""COMPUTED_VALUE"""),2011.0)</f>
        <v>2011</v>
      </c>
      <c r="E7527">
        <f>IFERROR(__xludf.DUMMYFUNCTION("""COMPUTED_VALUE"""),7568774.0)</f>
        <v>7568774</v>
      </c>
    </row>
    <row r="7528">
      <c r="A7528" t="str">
        <f t="shared" si="1"/>
        <v>isr#2012</v>
      </c>
      <c r="B7528" t="str">
        <f>IFERROR(__xludf.DUMMYFUNCTION("""COMPUTED_VALUE"""),"isr")</f>
        <v>isr</v>
      </c>
      <c r="C7528" t="str">
        <f>IFERROR(__xludf.DUMMYFUNCTION("""COMPUTED_VALUE"""),"Israel")</f>
        <v>Israel</v>
      </c>
      <c r="D7528">
        <f>IFERROR(__xludf.DUMMYFUNCTION("""COMPUTED_VALUE"""),2012.0)</f>
        <v>2012</v>
      </c>
      <c r="E7528">
        <f>IFERROR(__xludf.DUMMYFUNCTION("""COMPUTED_VALUE"""),7699105.0)</f>
        <v>7699105</v>
      </c>
    </row>
    <row r="7529">
      <c r="A7529" t="str">
        <f t="shared" si="1"/>
        <v>isr#2013</v>
      </c>
      <c r="B7529" t="str">
        <f>IFERROR(__xludf.DUMMYFUNCTION("""COMPUTED_VALUE"""),"isr")</f>
        <v>isr</v>
      </c>
      <c r="C7529" t="str">
        <f>IFERROR(__xludf.DUMMYFUNCTION("""COMPUTED_VALUE"""),"Israel")</f>
        <v>Israel</v>
      </c>
      <c r="D7529">
        <f>IFERROR(__xludf.DUMMYFUNCTION("""COMPUTED_VALUE"""),2013.0)</f>
        <v>2013</v>
      </c>
      <c r="E7529">
        <f>IFERROR(__xludf.DUMMYFUNCTION("""COMPUTED_VALUE"""),7821105.0)</f>
        <v>7821105</v>
      </c>
    </row>
    <row r="7530">
      <c r="A7530" t="str">
        <f t="shared" si="1"/>
        <v>isr#2014</v>
      </c>
      <c r="B7530" t="str">
        <f>IFERROR(__xludf.DUMMYFUNCTION("""COMPUTED_VALUE"""),"isr")</f>
        <v>isr</v>
      </c>
      <c r="C7530" t="str">
        <f>IFERROR(__xludf.DUMMYFUNCTION("""COMPUTED_VALUE"""),"Israel")</f>
        <v>Israel</v>
      </c>
      <c r="D7530">
        <f>IFERROR(__xludf.DUMMYFUNCTION("""COMPUTED_VALUE"""),2014.0)</f>
        <v>2014</v>
      </c>
      <c r="E7530">
        <f>IFERROR(__xludf.DUMMYFUNCTION("""COMPUTED_VALUE"""),7941329.0)</f>
        <v>7941329</v>
      </c>
    </row>
    <row r="7531">
      <c r="A7531" t="str">
        <f t="shared" si="1"/>
        <v>isr#2015</v>
      </c>
      <c r="B7531" t="str">
        <f>IFERROR(__xludf.DUMMYFUNCTION("""COMPUTED_VALUE"""),"isr")</f>
        <v>isr</v>
      </c>
      <c r="C7531" t="str">
        <f>IFERROR(__xludf.DUMMYFUNCTION("""COMPUTED_VALUE"""),"Israel")</f>
        <v>Israel</v>
      </c>
      <c r="D7531">
        <f>IFERROR(__xludf.DUMMYFUNCTION("""COMPUTED_VALUE"""),2015.0)</f>
        <v>2015</v>
      </c>
      <c r="E7531">
        <f>IFERROR(__xludf.DUMMYFUNCTION("""COMPUTED_VALUE"""),8064547.0)</f>
        <v>8064547</v>
      </c>
    </row>
    <row r="7532">
      <c r="A7532" t="str">
        <f t="shared" si="1"/>
        <v>isr#2016</v>
      </c>
      <c r="B7532" t="str">
        <f>IFERROR(__xludf.DUMMYFUNCTION("""COMPUTED_VALUE"""),"isr")</f>
        <v>isr</v>
      </c>
      <c r="C7532" t="str">
        <f>IFERROR(__xludf.DUMMYFUNCTION("""COMPUTED_VALUE"""),"Israel")</f>
        <v>Israel</v>
      </c>
      <c r="D7532">
        <f>IFERROR(__xludf.DUMMYFUNCTION("""COMPUTED_VALUE"""),2016.0)</f>
        <v>2016</v>
      </c>
      <c r="E7532">
        <f>IFERROR(__xludf.DUMMYFUNCTION("""COMPUTED_VALUE"""),8191828.0)</f>
        <v>8191828</v>
      </c>
    </row>
    <row r="7533">
      <c r="A7533" t="str">
        <f t="shared" si="1"/>
        <v>isr#2017</v>
      </c>
      <c r="B7533" t="str">
        <f>IFERROR(__xludf.DUMMYFUNCTION("""COMPUTED_VALUE"""),"isr")</f>
        <v>isr</v>
      </c>
      <c r="C7533" t="str">
        <f>IFERROR(__xludf.DUMMYFUNCTION("""COMPUTED_VALUE"""),"Israel")</f>
        <v>Israel</v>
      </c>
      <c r="D7533">
        <f>IFERROR(__xludf.DUMMYFUNCTION("""COMPUTED_VALUE"""),2017.0)</f>
        <v>2017</v>
      </c>
      <c r="E7533">
        <f>IFERROR(__xludf.DUMMYFUNCTION("""COMPUTED_VALUE"""),8321570.0)</f>
        <v>8321570</v>
      </c>
    </row>
    <row r="7534">
      <c r="A7534" t="str">
        <f t="shared" si="1"/>
        <v>isr#2018</v>
      </c>
      <c r="B7534" t="str">
        <f>IFERROR(__xludf.DUMMYFUNCTION("""COMPUTED_VALUE"""),"isr")</f>
        <v>isr</v>
      </c>
      <c r="C7534" t="str">
        <f>IFERROR(__xludf.DUMMYFUNCTION("""COMPUTED_VALUE"""),"Israel")</f>
        <v>Israel</v>
      </c>
      <c r="D7534">
        <f>IFERROR(__xludf.DUMMYFUNCTION("""COMPUTED_VALUE"""),2018.0)</f>
        <v>2018</v>
      </c>
      <c r="E7534">
        <f>IFERROR(__xludf.DUMMYFUNCTION("""COMPUTED_VALUE"""),8452841.0)</f>
        <v>8452841</v>
      </c>
    </row>
    <row r="7535">
      <c r="A7535" t="str">
        <f t="shared" si="1"/>
        <v>isr#2019</v>
      </c>
      <c r="B7535" t="str">
        <f>IFERROR(__xludf.DUMMYFUNCTION("""COMPUTED_VALUE"""),"isr")</f>
        <v>isr</v>
      </c>
      <c r="C7535" t="str">
        <f>IFERROR(__xludf.DUMMYFUNCTION("""COMPUTED_VALUE"""),"Israel")</f>
        <v>Israel</v>
      </c>
      <c r="D7535">
        <f>IFERROR(__xludf.DUMMYFUNCTION("""COMPUTED_VALUE"""),2019.0)</f>
        <v>2019</v>
      </c>
      <c r="E7535">
        <f>IFERROR(__xludf.DUMMYFUNCTION("""COMPUTED_VALUE"""),8583916.0)</f>
        <v>8583916</v>
      </c>
    </row>
    <row r="7536">
      <c r="A7536" t="str">
        <f t="shared" si="1"/>
        <v>isr#2020</v>
      </c>
      <c r="B7536" t="str">
        <f>IFERROR(__xludf.DUMMYFUNCTION("""COMPUTED_VALUE"""),"isr")</f>
        <v>isr</v>
      </c>
      <c r="C7536" t="str">
        <f>IFERROR(__xludf.DUMMYFUNCTION("""COMPUTED_VALUE"""),"Israel")</f>
        <v>Israel</v>
      </c>
      <c r="D7536">
        <f>IFERROR(__xludf.DUMMYFUNCTION("""COMPUTED_VALUE"""),2020.0)</f>
        <v>2020</v>
      </c>
      <c r="E7536">
        <f>IFERROR(__xludf.DUMMYFUNCTION("""COMPUTED_VALUE"""),8713559.0)</f>
        <v>8713559</v>
      </c>
    </row>
    <row r="7537">
      <c r="A7537" t="str">
        <f t="shared" si="1"/>
        <v>isr#2021</v>
      </c>
      <c r="B7537" t="str">
        <f>IFERROR(__xludf.DUMMYFUNCTION("""COMPUTED_VALUE"""),"isr")</f>
        <v>isr</v>
      </c>
      <c r="C7537" t="str">
        <f>IFERROR(__xludf.DUMMYFUNCTION("""COMPUTED_VALUE"""),"Israel")</f>
        <v>Israel</v>
      </c>
      <c r="D7537">
        <f>IFERROR(__xludf.DUMMYFUNCTION("""COMPUTED_VALUE"""),2021.0)</f>
        <v>2021</v>
      </c>
      <c r="E7537">
        <f>IFERROR(__xludf.DUMMYFUNCTION("""COMPUTED_VALUE"""),8841736.0)</f>
        <v>8841736</v>
      </c>
    </row>
    <row r="7538">
      <c r="A7538" t="str">
        <f t="shared" si="1"/>
        <v>isr#2022</v>
      </c>
      <c r="B7538" t="str">
        <f>IFERROR(__xludf.DUMMYFUNCTION("""COMPUTED_VALUE"""),"isr")</f>
        <v>isr</v>
      </c>
      <c r="C7538" t="str">
        <f>IFERROR(__xludf.DUMMYFUNCTION("""COMPUTED_VALUE"""),"Israel")</f>
        <v>Israel</v>
      </c>
      <c r="D7538">
        <f>IFERROR(__xludf.DUMMYFUNCTION("""COMPUTED_VALUE"""),2022.0)</f>
        <v>2022</v>
      </c>
      <c r="E7538">
        <f>IFERROR(__xludf.DUMMYFUNCTION("""COMPUTED_VALUE"""),8969106.0)</f>
        <v>8969106</v>
      </c>
    </row>
    <row r="7539">
      <c r="A7539" t="str">
        <f t="shared" si="1"/>
        <v>isr#2023</v>
      </c>
      <c r="B7539" t="str">
        <f>IFERROR(__xludf.DUMMYFUNCTION("""COMPUTED_VALUE"""),"isr")</f>
        <v>isr</v>
      </c>
      <c r="C7539" t="str">
        <f>IFERROR(__xludf.DUMMYFUNCTION("""COMPUTED_VALUE"""),"Israel")</f>
        <v>Israel</v>
      </c>
      <c r="D7539">
        <f>IFERROR(__xludf.DUMMYFUNCTION("""COMPUTED_VALUE"""),2023.0)</f>
        <v>2023</v>
      </c>
      <c r="E7539">
        <f>IFERROR(__xludf.DUMMYFUNCTION("""COMPUTED_VALUE"""),9095883.0)</f>
        <v>9095883</v>
      </c>
    </row>
    <row r="7540">
      <c r="A7540" t="str">
        <f t="shared" si="1"/>
        <v>isr#2024</v>
      </c>
      <c r="B7540" t="str">
        <f>IFERROR(__xludf.DUMMYFUNCTION("""COMPUTED_VALUE"""),"isr")</f>
        <v>isr</v>
      </c>
      <c r="C7540" t="str">
        <f>IFERROR(__xludf.DUMMYFUNCTION("""COMPUTED_VALUE"""),"Israel")</f>
        <v>Israel</v>
      </c>
      <c r="D7540">
        <f>IFERROR(__xludf.DUMMYFUNCTION("""COMPUTED_VALUE"""),2024.0)</f>
        <v>2024</v>
      </c>
      <c r="E7540">
        <f>IFERROR(__xludf.DUMMYFUNCTION("""COMPUTED_VALUE"""),9222417.0)</f>
        <v>9222417</v>
      </c>
    </row>
    <row r="7541">
      <c r="A7541" t="str">
        <f t="shared" si="1"/>
        <v>isr#2025</v>
      </c>
      <c r="B7541" t="str">
        <f>IFERROR(__xludf.DUMMYFUNCTION("""COMPUTED_VALUE"""),"isr")</f>
        <v>isr</v>
      </c>
      <c r="C7541" t="str">
        <f>IFERROR(__xludf.DUMMYFUNCTION("""COMPUTED_VALUE"""),"Israel")</f>
        <v>Israel</v>
      </c>
      <c r="D7541">
        <f>IFERROR(__xludf.DUMMYFUNCTION("""COMPUTED_VALUE"""),2025.0)</f>
        <v>2025</v>
      </c>
      <c r="E7541">
        <f>IFERROR(__xludf.DUMMYFUNCTION("""COMPUTED_VALUE"""),9348954.0)</f>
        <v>9348954</v>
      </c>
    </row>
    <row r="7542">
      <c r="A7542" t="str">
        <f t="shared" si="1"/>
        <v>isr#2026</v>
      </c>
      <c r="B7542" t="str">
        <f>IFERROR(__xludf.DUMMYFUNCTION("""COMPUTED_VALUE"""),"isr")</f>
        <v>isr</v>
      </c>
      <c r="C7542" t="str">
        <f>IFERROR(__xludf.DUMMYFUNCTION("""COMPUTED_VALUE"""),"Israel")</f>
        <v>Israel</v>
      </c>
      <c r="D7542">
        <f>IFERROR(__xludf.DUMMYFUNCTION("""COMPUTED_VALUE"""),2026.0)</f>
        <v>2026</v>
      </c>
      <c r="E7542">
        <f>IFERROR(__xludf.DUMMYFUNCTION("""COMPUTED_VALUE"""),9475555.0)</f>
        <v>9475555</v>
      </c>
    </row>
    <row r="7543">
      <c r="A7543" t="str">
        <f t="shared" si="1"/>
        <v>isr#2027</v>
      </c>
      <c r="B7543" t="str">
        <f>IFERROR(__xludf.DUMMYFUNCTION("""COMPUTED_VALUE"""),"isr")</f>
        <v>isr</v>
      </c>
      <c r="C7543" t="str">
        <f>IFERROR(__xludf.DUMMYFUNCTION("""COMPUTED_VALUE"""),"Israel")</f>
        <v>Israel</v>
      </c>
      <c r="D7543">
        <f>IFERROR(__xludf.DUMMYFUNCTION("""COMPUTED_VALUE"""),2027.0)</f>
        <v>2027</v>
      </c>
      <c r="E7543">
        <f>IFERROR(__xludf.DUMMYFUNCTION("""COMPUTED_VALUE"""),9602198.0)</f>
        <v>9602198</v>
      </c>
    </row>
    <row r="7544">
      <c r="A7544" t="str">
        <f t="shared" si="1"/>
        <v>isr#2028</v>
      </c>
      <c r="B7544" t="str">
        <f>IFERROR(__xludf.DUMMYFUNCTION("""COMPUTED_VALUE"""),"isr")</f>
        <v>isr</v>
      </c>
      <c r="C7544" t="str">
        <f>IFERROR(__xludf.DUMMYFUNCTION("""COMPUTED_VALUE"""),"Israel")</f>
        <v>Israel</v>
      </c>
      <c r="D7544">
        <f>IFERROR(__xludf.DUMMYFUNCTION("""COMPUTED_VALUE"""),2028.0)</f>
        <v>2028</v>
      </c>
      <c r="E7544">
        <f>IFERROR(__xludf.DUMMYFUNCTION("""COMPUTED_VALUE"""),9729014.0)</f>
        <v>9729014</v>
      </c>
    </row>
    <row r="7545">
      <c r="A7545" t="str">
        <f t="shared" si="1"/>
        <v>isr#2029</v>
      </c>
      <c r="B7545" t="str">
        <f>IFERROR(__xludf.DUMMYFUNCTION("""COMPUTED_VALUE"""),"isr")</f>
        <v>isr</v>
      </c>
      <c r="C7545" t="str">
        <f>IFERROR(__xludf.DUMMYFUNCTION("""COMPUTED_VALUE"""),"Israel")</f>
        <v>Israel</v>
      </c>
      <c r="D7545">
        <f>IFERROR(__xludf.DUMMYFUNCTION("""COMPUTED_VALUE"""),2029.0)</f>
        <v>2029</v>
      </c>
      <c r="E7545">
        <f>IFERROR(__xludf.DUMMYFUNCTION("""COMPUTED_VALUE"""),9856129.0)</f>
        <v>9856129</v>
      </c>
    </row>
    <row r="7546">
      <c r="A7546" t="str">
        <f t="shared" si="1"/>
        <v>isr#2030</v>
      </c>
      <c r="B7546" t="str">
        <f>IFERROR(__xludf.DUMMYFUNCTION("""COMPUTED_VALUE"""),"isr")</f>
        <v>isr</v>
      </c>
      <c r="C7546" t="str">
        <f>IFERROR(__xludf.DUMMYFUNCTION("""COMPUTED_VALUE"""),"Israel")</f>
        <v>Israel</v>
      </c>
      <c r="D7546">
        <f>IFERROR(__xludf.DUMMYFUNCTION("""COMPUTED_VALUE"""),2030.0)</f>
        <v>2030</v>
      </c>
      <c r="E7546">
        <f>IFERROR(__xludf.DUMMYFUNCTION("""COMPUTED_VALUE"""),9983645.0)</f>
        <v>9983645</v>
      </c>
    </row>
    <row r="7547">
      <c r="A7547" t="str">
        <f t="shared" si="1"/>
        <v>isr#2031</v>
      </c>
      <c r="B7547" t="str">
        <f>IFERROR(__xludf.DUMMYFUNCTION("""COMPUTED_VALUE"""),"isr")</f>
        <v>isr</v>
      </c>
      <c r="C7547" t="str">
        <f>IFERROR(__xludf.DUMMYFUNCTION("""COMPUTED_VALUE"""),"Israel")</f>
        <v>Israel</v>
      </c>
      <c r="D7547">
        <f>IFERROR(__xludf.DUMMYFUNCTION("""COMPUTED_VALUE"""),2031.0)</f>
        <v>2031</v>
      </c>
      <c r="E7547">
        <f>IFERROR(__xludf.DUMMYFUNCTION("""COMPUTED_VALUE"""),1.0111605E7)</f>
        <v>10111605</v>
      </c>
    </row>
    <row r="7548">
      <c r="A7548" t="str">
        <f t="shared" si="1"/>
        <v>isr#2032</v>
      </c>
      <c r="B7548" t="str">
        <f>IFERROR(__xludf.DUMMYFUNCTION("""COMPUTED_VALUE"""),"isr")</f>
        <v>isr</v>
      </c>
      <c r="C7548" t="str">
        <f>IFERROR(__xludf.DUMMYFUNCTION("""COMPUTED_VALUE"""),"Israel")</f>
        <v>Israel</v>
      </c>
      <c r="D7548">
        <f>IFERROR(__xludf.DUMMYFUNCTION("""COMPUTED_VALUE"""),2032.0)</f>
        <v>2032</v>
      </c>
      <c r="E7548">
        <f>IFERROR(__xludf.DUMMYFUNCTION("""COMPUTED_VALUE"""),1.0240043E7)</f>
        <v>10240043</v>
      </c>
    </row>
    <row r="7549">
      <c r="A7549" t="str">
        <f t="shared" si="1"/>
        <v>isr#2033</v>
      </c>
      <c r="B7549" t="str">
        <f>IFERROR(__xludf.DUMMYFUNCTION("""COMPUTED_VALUE"""),"isr")</f>
        <v>isr</v>
      </c>
      <c r="C7549" t="str">
        <f>IFERROR(__xludf.DUMMYFUNCTION("""COMPUTED_VALUE"""),"Israel")</f>
        <v>Israel</v>
      </c>
      <c r="D7549">
        <f>IFERROR(__xludf.DUMMYFUNCTION("""COMPUTED_VALUE"""),2033.0)</f>
        <v>2033</v>
      </c>
      <c r="E7549">
        <f>IFERROR(__xludf.DUMMYFUNCTION("""COMPUTED_VALUE"""),1.0368934E7)</f>
        <v>10368934</v>
      </c>
    </row>
    <row r="7550">
      <c r="A7550" t="str">
        <f t="shared" si="1"/>
        <v>isr#2034</v>
      </c>
      <c r="B7550" t="str">
        <f>IFERROR(__xludf.DUMMYFUNCTION("""COMPUTED_VALUE"""),"isr")</f>
        <v>isr</v>
      </c>
      <c r="C7550" t="str">
        <f>IFERROR(__xludf.DUMMYFUNCTION("""COMPUTED_VALUE"""),"Israel")</f>
        <v>Israel</v>
      </c>
      <c r="D7550">
        <f>IFERROR(__xludf.DUMMYFUNCTION("""COMPUTED_VALUE"""),2034.0)</f>
        <v>2034</v>
      </c>
      <c r="E7550">
        <f>IFERROR(__xludf.DUMMYFUNCTION("""COMPUTED_VALUE"""),1.0498267E7)</f>
        <v>10498267</v>
      </c>
    </row>
    <row r="7551">
      <c r="A7551" t="str">
        <f t="shared" si="1"/>
        <v>isr#2035</v>
      </c>
      <c r="B7551" t="str">
        <f>IFERROR(__xludf.DUMMYFUNCTION("""COMPUTED_VALUE"""),"isr")</f>
        <v>isr</v>
      </c>
      <c r="C7551" t="str">
        <f>IFERROR(__xludf.DUMMYFUNCTION("""COMPUTED_VALUE"""),"Israel")</f>
        <v>Israel</v>
      </c>
      <c r="D7551">
        <f>IFERROR(__xludf.DUMMYFUNCTION("""COMPUTED_VALUE"""),2035.0)</f>
        <v>2035</v>
      </c>
      <c r="E7551">
        <f>IFERROR(__xludf.DUMMYFUNCTION("""COMPUTED_VALUE"""),1.0628E7)</f>
        <v>10628000</v>
      </c>
    </row>
    <row r="7552">
      <c r="A7552" t="str">
        <f t="shared" si="1"/>
        <v>isr#2036</v>
      </c>
      <c r="B7552" t="str">
        <f>IFERROR(__xludf.DUMMYFUNCTION("""COMPUTED_VALUE"""),"isr")</f>
        <v>isr</v>
      </c>
      <c r="C7552" t="str">
        <f>IFERROR(__xludf.DUMMYFUNCTION("""COMPUTED_VALUE"""),"Israel")</f>
        <v>Israel</v>
      </c>
      <c r="D7552">
        <f>IFERROR(__xludf.DUMMYFUNCTION("""COMPUTED_VALUE"""),2036.0)</f>
        <v>2036</v>
      </c>
      <c r="E7552">
        <f>IFERROR(__xludf.DUMMYFUNCTION("""COMPUTED_VALUE"""),1.0758097E7)</f>
        <v>10758097</v>
      </c>
    </row>
    <row r="7553">
      <c r="A7553" t="str">
        <f t="shared" si="1"/>
        <v>isr#2037</v>
      </c>
      <c r="B7553" t="str">
        <f>IFERROR(__xludf.DUMMYFUNCTION("""COMPUTED_VALUE"""),"isr")</f>
        <v>isr</v>
      </c>
      <c r="C7553" t="str">
        <f>IFERROR(__xludf.DUMMYFUNCTION("""COMPUTED_VALUE"""),"Israel")</f>
        <v>Israel</v>
      </c>
      <c r="D7553">
        <f>IFERROR(__xludf.DUMMYFUNCTION("""COMPUTED_VALUE"""),2037.0)</f>
        <v>2037</v>
      </c>
      <c r="E7553">
        <f>IFERROR(__xludf.DUMMYFUNCTION("""COMPUTED_VALUE"""),1.0888539E7)</f>
        <v>10888539</v>
      </c>
    </row>
    <row r="7554">
      <c r="A7554" t="str">
        <f t="shared" si="1"/>
        <v>isr#2038</v>
      </c>
      <c r="B7554" t="str">
        <f>IFERROR(__xludf.DUMMYFUNCTION("""COMPUTED_VALUE"""),"isr")</f>
        <v>isr</v>
      </c>
      <c r="C7554" t="str">
        <f>IFERROR(__xludf.DUMMYFUNCTION("""COMPUTED_VALUE"""),"Israel")</f>
        <v>Israel</v>
      </c>
      <c r="D7554">
        <f>IFERROR(__xludf.DUMMYFUNCTION("""COMPUTED_VALUE"""),2038.0)</f>
        <v>2038</v>
      </c>
      <c r="E7554">
        <f>IFERROR(__xludf.DUMMYFUNCTION("""COMPUTED_VALUE"""),1.1019303E7)</f>
        <v>11019303</v>
      </c>
    </row>
    <row r="7555">
      <c r="A7555" t="str">
        <f t="shared" si="1"/>
        <v>isr#2039</v>
      </c>
      <c r="B7555" t="str">
        <f>IFERROR(__xludf.DUMMYFUNCTION("""COMPUTED_VALUE"""),"isr")</f>
        <v>isr</v>
      </c>
      <c r="C7555" t="str">
        <f>IFERROR(__xludf.DUMMYFUNCTION("""COMPUTED_VALUE"""),"Israel")</f>
        <v>Israel</v>
      </c>
      <c r="D7555">
        <f>IFERROR(__xludf.DUMMYFUNCTION("""COMPUTED_VALUE"""),2039.0)</f>
        <v>2039</v>
      </c>
      <c r="E7555">
        <f>IFERROR(__xludf.DUMMYFUNCTION("""COMPUTED_VALUE"""),1.1150331E7)</f>
        <v>11150331</v>
      </c>
    </row>
    <row r="7556">
      <c r="A7556" t="str">
        <f t="shared" si="1"/>
        <v>isr#2040</v>
      </c>
      <c r="B7556" t="str">
        <f>IFERROR(__xludf.DUMMYFUNCTION("""COMPUTED_VALUE"""),"isr")</f>
        <v>isr</v>
      </c>
      <c r="C7556" t="str">
        <f>IFERROR(__xludf.DUMMYFUNCTION("""COMPUTED_VALUE"""),"Israel")</f>
        <v>Israel</v>
      </c>
      <c r="D7556">
        <f>IFERROR(__xludf.DUMMYFUNCTION("""COMPUTED_VALUE"""),2040.0)</f>
        <v>2040</v>
      </c>
      <c r="E7556">
        <f>IFERROR(__xludf.DUMMYFUNCTION("""COMPUTED_VALUE"""),1.1281554E7)</f>
        <v>11281554</v>
      </c>
    </row>
    <row r="7557">
      <c r="A7557" t="str">
        <f t="shared" si="1"/>
        <v>ita#1950</v>
      </c>
      <c r="B7557" t="str">
        <f>IFERROR(__xludf.DUMMYFUNCTION("""COMPUTED_VALUE"""),"ita")</f>
        <v>ita</v>
      </c>
      <c r="C7557" t="str">
        <f>IFERROR(__xludf.DUMMYFUNCTION("""COMPUTED_VALUE"""),"Italy")</f>
        <v>Italy</v>
      </c>
      <c r="D7557">
        <f>IFERROR(__xludf.DUMMYFUNCTION("""COMPUTED_VALUE"""),1950.0)</f>
        <v>1950</v>
      </c>
      <c r="E7557">
        <f>IFERROR(__xludf.DUMMYFUNCTION("""COMPUTED_VALUE"""),4.6598601E7)</f>
        <v>46598601</v>
      </c>
    </row>
    <row r="7558">
      <c r="A7558" t="str">
        <f t="shared" si="1"/>
        <v>ita#1951</v>
      </c>
      <c r="B7558" t="str">
        <f>IFERROR(__xludf.DUMMYFUNCTION("""COMPUTED_VALUE"""),"ita")</f>
        <v>ita</v>
      </c>
      <c r="C7558" t="str">
        <f>IFERROR(__xludf.DUMMYFUNCTION("""COMPUTED_VALUE"""),"Italy")</f>
        <v>Italy</v>
      </c>
      <c r="D7558">
        <f>IFERROR(__xludf.DUMMYFUNCTION("""COMPUTED_VALUE"""),1951.0)</f>
        <v>1951</v>
      </c>
      <c r="E7558">
        <f>IFERROR(__xludf.DUMMYFUNCTION("""COMPUTED_VALUE"""),4.70219E7)</f>
        <v>47021900</v>
      </c>
    </row>
    <row r="7559">
      <c r="A7559" t="str">
        <f t="shared" si="1"/>
        <v>ita#1952</v>
      </c>
      <c r="B7559" t="str">
        <f>IFERROR(__xludf.DUMMYFUNCTION("""COMPUTED_VALUE"""),"ita")</f>
        <v>ita</v>
      </c>
      <c r="C7559" t="str">
        <f>IFERROR(__xludf.DUMMYFUNCTION("""COMPUTED_VALUE"""),"Italy")</f>
        <v>Italy</v>
      </c>
      <c r="D7559">
        <f>IFERROR(__xludf.DUMMYFUNCTION("""COMPUTED_VALUE"""),1952.0)</f>
        <v>1952</v>
      </c>
      <c r="E7559">
        <f>IFERROR(__xludf.DUMMYFUNCTION("""COMPUTED_VALUE"""),4.7411943E7)</f>
        <v>47411943</v>
      </c>
    </row>
    <row r="7560">
      <c r="A7560" t="str">
        <f t="shared" si="1"/>
        <v>ita#1953</v>
      </c>
      <c r="B7560" t="str">
        <f>IFERROR(__xludf.DUMMYFUNCTION("""COMPUTED_VALUE"""),"ita")</f>
        <v>ita</v>
      </c>
      <c r="C7560" t="str">
        <f>IFERROR(__xludf.DUMMYFUNCTION("""COMPUTED_VALUE"""),"Italy")</f>
        <v>Italy</v>
      </c>
      <c r="D7560">
        <f>IFERROR(__xludf.DUMMYFUNCTION("""COMPUTED_VALUE"""),1953.0)</f>
        <v>1953</v>
      </c>
      <c r="E7560">
        <f>IFERROR(__xludf.DUMMYFUNCTION("""COMPUTED_VALUE"""),4.7765978E7)</f>
        <v>47765978</v>
      </c>
    </row>
    <row r="7561">
      <c r="A7561" t="str">
        <f t="shared" si="1"/>
        <v>ita#1954</v>
      </c>
      <c r="B7561" t="str">
        <f>IFERROR(__xludf.DUMMYFUNCTION("""COMPUTED_VALUE"""),"ita")</f>
        <v>ita</v>
      </c>
      <c r="C7561" t="str">
        <f>IFERROR(__xludf.DUMMYFUNCTION("""COMPUTED_VALUE"""),"Italy")</f>
        <v>Italy</v>
      </c>
      <c r="D7561">
        <f>IFERROR(__xludf.DUMMYFUNCTION("""COMPUTED_VALUE"""),1954.0)</f>
        <v>1954</v>
      </c>
      <c r="E7561">
        <f>IFERROR(__xludf.DUMMYFUNCTION("""COMPUTED_VALUE"""),4.8084812E7)</f>
        <v>48084812</v>
      </c>
    </row>
    <row r="7562">
      <c r="A7562" t="str">
        <f t="shared" si="1"/>
        <v>ita#1955</v>
      </c>
      <c r="B7562" t="str">
        <f>IFERROR(__xludf.DUMMYFUNCTION("""COMPUTED_VALUE"""),"ita")</f>
        <v>ita</v>
      </c>
      <c r="C7562" t="str">
        <f>IFERROR(__xludf.DUMMYFUNCTION("""COMPUTED_VALUE"""),"Italy")</f>
        <v>Italy</v>
      </c>
      <c r="D7562">
        <f>IFERROR(__xludf.DUMMYFUNCTION("""COMPUTED_VALUE"""),1955.0)</f>
        <v>1955</v>
      </c>
      <c r="E7562">
        <f>IFERROR(__xludf.DUMMYFUNCTION("""COMPUTED_VALUE"""),4.8372842E7)</f>
        <v>48372842</v>
      </c>
    </row>
    <row r="7563">
      <c r="A7563" t="str">
        <f t="shared" si="1"/>
        <v>ita#1956</v>
      </c>
      <c r="B7563" t="str">
        <f>IFERROR(__xludf.DUMMYFUNCTION("""COMPUTED_VALUE"""),"ita")</f>
        <v>ita</v>
      </c>
      <c r="C7563" t="str">
        <f>IFERROR(__xludf.DUMMYFUNCTION("""COMPUTED_VALUE"""),"Italy")</f>
        <v>Italy</v>
      </c>
      <c r="D7563">
        <f>IFERROR(__xludf.DUMMYFUNCTION("""COMPUTED_VALUE"""),1956.0)</f>
        <v>1956</v>
      </c>
      <c r="E7563">
        <f>IFERROR(__xludf.DUMMYFUNCTION("""COMPUTED_VALUE"""),4.8638297E7)</f>
        <v>48638297</v>
      </c>
    </row>
    <row r="7564">
      <c r="A7564" t="str">
        <f t="shared" si="1"/>
        <v>ita#1957</v>
      </c>
      <c r="B7564" t="str">
        <f>IFERROR(__xludf.DUMMYFUNCTION("""COMPUTED_VALUE"""),"ita")</f>
        <v>ita</v>
      </c>
      <c r="C7564" t="str">
        <f>IFERROR(__xludf.DUMMYFUNCTION("""COMPUTED_VALUE"""),"Italy")</f>
        <v>Italy</v>
      </c>
      <c r="D7564">
        <f>IFERROR(__xludf.DUMMYFUNCTION("""COMPUTED_VALUE"""),1957.0)</f>
        <v>1957</v>
      </c>
      <c r="E7564">
        <f>IFERROR(__xludf.DUMMYFUNCTION("""COMPUTED_VALUE"""),4.8892969E7)</f>
        <v>48892969</v>
      </c>
    </row>
    <row r="7565">
      <c r="A7565" t="str">
        <f t="shared" si="1"/>
        <v>ita#1958</v>
      </c>
      <c r="B7565" t="str">
        <f>IFERROR(__xludf.DUMMYFUNCTION("""COMPUTED_VALUE"""),"ita")</f>
        <v>ita</v>
      </c>
      <c r="C7565" t="str">
        <f>IFERROR(__xludf.DUMMYFUNCTION("""COMPUTED_VALUE"""),"Italy")</f>
        <v>Italy</v>
      </c>
      <c r="D7565">
        <f>IFERROR(__xludf.DUMMYFUNCTION("""COMPUTED_VALUE"""),1958.0)</f>
        <v>1958</v>
      </c>
      <c r="E7565">
        <f>IFERROR(__xludf.DUMMYFUNCTION("""COMPUTED_VALUE"""),4.915147E7)</f>
        <v>49151470</v>
      </c>
    </row>
    <row r="7566">
      <c r="A7566" t="str">
        <f t="shared" si="1"/>
        <v>ita#1959</v>
      </c>
      <c r="B7566" t="str">
        <f>IFERROR(__xludf.DUMMYFUNCTION("""COMPUTED_VALUE"""),"ita")</f>
        <v>ita</v>
      </c>
      <c r="C7566" t="str">
        <f>IFERROR(__xludf.DUMMYFUNCTION("""COMPUTED_VALUE"""),"Italy")</f>
        <v>Italy</v>
      </c>
      <c r="D7566">
        <f>IFERROR(__xludf.DUMMYFUNCTION("""COMPUTED_VALUE"""),1959.0)</f>
        <v>1959</v>
      </c>
      <c r="E7566">
        <f>IFERROR(__xludf.DUMMYFUNCTION("""COMPUTED_VALUE"""),4.9429946E7)</f>
        <v>49429946</v>
      </c>
    </row>
    <row r="7567">
      <c r="A7567" t="str">
        <f t="shared" si="1"/>
        <v>ita#1960</v>
      </c>
      <c r="B7567" t="str">
        <f>IFERROR(__xludf.DUMMYFUNCTION("""COMPUTED_VALUE"""),"ita")</f>
        <v>ita</v>
      </c>
      <c r="C7567" t="str">
        <f>IFERROR(__xludf.DUMMYFUNCTION("""COMPUTED_VALUE"""),"Italy")</f>
        <v>Italy</v>
      </c>
      <c r="D7567">
        <f>IFERROR(__xludf.DUMMYFUNCTION("""COMPUTED_VALUE"""),1960.0)</f>
        <v>1960</v>
      </c>
      <c r="E7567">
        <f>IFERROR(__xludf.DUMMYFUNCTION("""COMPUTED_VALUE"""),4.9742196E7)</f>
        <v>49742196</v>
      </c>
    </row>
    <row r="7568">
      <c r="A7568" t="str">
        <f t="shared" si="1"/>
        <v>ita#1961</v>
      </c>
      <c r="B7568" t="str">
        <f>IFERROR(__xludf.DUMMYFUNCTION("""COMPUTED_VALUE"""),"ita")</f>
        <v>ita</v>
      </c>
      <c r="C7568" t="str">
        <f>IFERROR(__xludf.DUMMYFUNCTION("""COMPUTED_VALUE"""),"Italy")</f>
        <v>Italy</v>
      </c>
      <c r="D7568">
        <f>IFERROR(__xludf.DUMMYFUNCTION("""COMPUTED_VALUE"""),1961.0)</f>
        <v>1961</v>
      </c>
      <c r="E7568">
        <f>IFERROR(__xludf.DUMMYFUNCTION("""COMPUTED_VALUE"""),5.0095597E7)</f>
        <v>50095597</v>
      </c>
    </row>
    <row r="7569">
      <c r="A7569" t="str">
        <f t="shared" si="1"/>
        <v>ita#1962</v>
      </c>
      <c r="B7569" t="str">
        <f>IFERROR(__xludf.DUMMYFUNCTION("""COMPUTED_VALUE"""),"ita")</f>
        <v>ita</v>
      </c>
      <c r="C7569" t="str">
        <f>IFERROR(__xludf.DUMMYFUNCTION("""COMPUTED_VALUE"""),"Italy")</f>
        <v>Italy</v>
      </c>
      <c r="D7569">
        <f>IFERROR(__xludf.DUMMYFUNCTION("""COMPUTED_VALUE"""),1962.0)</f>
        <v>1962</v>
      </c>
      <c r="E7569">
        <f>IFERROR(__xludf.DUMMYFUNCTION("""COMPUTED_VALUE"""),5.0487493E7)</f>
        <v>50487493</v>
      </c>
    </row>
    <row r="7570">
      <c r="A7570" t="str">
        <f t="shared" si="1"/>
        <v>ita#1963</v>
      </c>
      <c r="B7570" t="str">
        <f>IFERROR(__xludf.DUMMYFUNCTION("""COMPUTED_VALUE"""),"ita")</f>
        <v>ita</v>
      </c>
      <c r="C7570" t="str">
        <f>IFERROR(__xludf.DUMMYFUNCTION("""COMPUTED_VALUE"""),"Italy")</f>
        <v>Italy</v>
      </c>
      <c r="D7570">
        <f>IFERROR(__xludf.DUMMYFUNCTION("""COMPUTED_VALUE"""),1963.0)</f>
        <v>1963</v>
      </c>
      <c r="E7570">
        <f>IFERROR(__xludf.DUMMYFUNCTION("""COMPUTED_VALUE"""),5.090366E7)</f>
        <v>50903660</v>
      </c>
    </row>
    <row r="7571">
      <c r="A7571" t="str">
        <f t="shared" si="1"/>
        <v>ita#1964</v>
      </c>
      <c r="B7571" t="str">
        <f>IFERROR(__xludf.DUMMYFUNCTION("""COMPUTED_VALUE"""),"ita")</f>
        <v>ita</v>
      </c>
      <c r="C7571" t="str">
        <f>IFERROR(__xludf.DUMMYFUNCTION("""COMPUTED_VALUE"""),"Italy")</f>
        <v>Italy</v>
      </c>
      <c r="D7571">
        <f>IFERROR(__xludf.DUMMYFUNCTION("""COMPUTED_VALUE"""),1964.0)</f>
        <v>1964</v>
      </c>
      <c r="E7571">
        <f>IFERROR(__xludf.DUMMYFUNCTION("""COMPUTED_VALUE"""),5.1322645E7)</f>
        <v>51322645</v>
      </c>
    </row>
    <row r="7572">
      <c r="A7572" t="str">
        <f t="shared" si="1"/>
        <v>ita#1965</v>
      </c>
      <c r="B7572" t="str">
        <f>IFERROR(__xludf.DUMMYFUNCTION("""COMPUTED_VALUE"""),"ita")</f>
        <v>ita</v>
      </c>
      <c r="C7572" t="str">
        <f>IFERROR(__xludf.DUMMYFUNCTION("""COMPUTED_VALUE"""),"Italy")</f>
        <v>Italy</v>
      </c>
      <c r="D7572">
        <f>IFERROR(__xludf.DUMMYFUNCTION("""COMPUTED_VALUE"""),1965.0)</f>
        <v>1965</v>
      </c>
      <c r="E7572">
        <f>IFERROR(__xludf.DUMMYFUNCTION("""COMPUTED_VALUE"""),5.1728664E7)</f>
        <v>51728664</v>
      </c>
    </row>
    <row r="7573">
      <c r="A7573" t="str">
        <f t="shared" si="1"/>
        <v>ita#1966</v>
      </c>
      <c r="B7573" t="str">
        <f>IFERROR(__xludf.DUMMYFUNCTION("""COMPUTED_VALUE"""),"ita")</f>
        <v>ita</v>
      </c>
      <c r="C7573" t="str">
        <f>IFERROR(__xludf.DUMMYFUNCTION("""COMPUTED_VALUE"""),"Italy")</f>
        <v>Italy</v>
      </c>
      <c r="D7573">
        <f>IFERROR(__xludf.DUMMYFUNCTION("""COMPUTED_VALUE"""),1966.0)</f>
        <v>1966</v>
      </c>
      <c r="E7573">
        <f>IFERROR(__xludf.DUMMYFUNCTION("""COMPUTED_VALUE"""),5.211599E7)</f>
        <v>52115990</v>
      </c>
    </row>
    <row r="7574">
      <c r="A7574" t="str">
        <f t="shared" si="1"/>
        <v>ita#1967</v>
      </c>
      <c r="B7574" t="str">
        <f>IFERROR(__xludf.DUMMYFUNCTION("""COMPUTED_VALUE"""),"ita")</f>
        <v>ita</v>
      </c>
      <c r="C7574" t="str">
        <f>IFERROR(__xludf.DUMMYFUNCTION("""COMPUTED_VALUE"""),"Italy")</f>
        <v>Italy</v>
      </c>
      <c r="D7574">
        <f>IFERROR(__xludf.DUMMYFUNCTION("""COMPUTED_VALUE"""),1967.0)</f>
        <v>1967</v>
      </c>
      <c r="E7574">
        <f>IFERROR(__xludf.DUMMYFUNCTION("""COMPUTED_VALUE"""),5.2488486E7)</f>
        <v>52488486</v>
      </c>
    </row>
    <row r="7575">
      <c r="A7575" t="str">
        <f t="shared" si="1"/>
        <v>ita#1968</v>
      </c>
      <c r="B7575" t="str">
        <f>IFERROR(__xludf.DUMMYFUNCTION("""COMPUTED_VALUE"""),"ita")</f>
        <v>ita</v>
      </c>
      <c r="C7575" t="str">
        <f>IFERROR(__xludf.DUMMYFUNCTION("""COMPUTED_VALUE"""),"Italy")</f>
        <v>Italy</v>
      </c>
      <c r="D7575">
        <f>IFERROR(__xludf.DUMMYFUNCTION("""COMPUTED_VALUE"""),1968.0)</f>
        <v>1968</v>
      </c>
      <c r="E7575">
        <f>IFERROR(__xludf.DUMMYFUNCTION("""COMPUTED_VALUE"""),5.2851203E7)</f>
        <v>52851203</v>
      </c>
    </row>
    <row r="7576">
      <c r="A7576" t="str">
        <f t="shared" si="1"/>
        <v>ita#1969</v>
      </c>
      <c r="B7576" t="str">
        <f>IFERROR(__xludf.DUMMYFUNCTION("""COMPUTED_VALUE"""),"ita")</f>
        <v>ita</v>
      </c>
      <c r="C7576" t="str">
        <f>IFERROR(__xludf.DUMMYFUNCTION("""COMPUTED_VALUE"""),"Italy")</f>
        <v>Italy</v>
      </c>
      <c r="D7576">
        <f>IFERROR(__xludf.DUMMYFUNCTION("""COMPUTED_VALUE"""),1969.0)</f>
        <v>1969</v>
      </c>
      <c r="E7576">
        <f>IFERROR(__xludf.DUMMYFUNCTION("""COMPUTED_VALUE"""),5.321282E7)</f>
        <v>53212820</v>
      </c>
    </row>
    <row r="7577">
      <c r="A7577" t="str">
        <f t="shared" si="1"/>
        <v>ita#1970</v>
      </c>
      <c r="B7577" t="str">
        <f>IFERROR(__xludf.DUMMYFUNCTION("""COMPUTED_VALUE"""),"ita")</f>
        <v>ita</v>
      </c>
      <c r="C7577" t="str">
        <f>IFERROR(__xludf.DUMMYFUNCTION("""COMPUTED_VALUE"""),"Italy")</f>
        <v>Italy</v>
      </c>
      <c r="D7577">
        <f>IFERROR(__xludf.DUMMYFUNCTION("""COMPUTED_VALUE"""),1970.0)</f>
        <v>1970</v>
      </c>
      <c r="E7577">
        <f>IFERROR(__xludf.DUMMYFUNCTION("""COMPUTED_VALUE"""),5.3578683E7)</f>
        <v>53578683</v>
      </c>
    </row>
    <row r="7578">
      <c r="A7578" t="str">
        <f t="shared" si="1"/>
        <v>ita#1971</v>
      </c>
      <c r="B7578" t="str">
        <f>IFERROR(__xludf.DUMMYFUNCTION("""COMPUTED_VALUE"""),"ita")</f>
        <v>ita</v>
      </c>
      <c r="C7578" t="str">
        <f>IFERROR(__xludf.DUMMYFUNCTION("""COMPUTED_VALUE"""),"Italy")</f>
        <v>Italy</v>
      </c>
      <c r="D7578">
        <f>IFERROR(__xludf.DUMMYFUNCTION("""COMPUTED_VALUE"""),1971.0)</f>
        <v>1971</v>
      </c>
      <c r="E7578">
        <f>IFERROR(__xludf.DUMMYFUNCTION("""COMPUTED_VALUE"""),5.394993E7)</f>
        <v>53949930</v>
      </c>
    </row>
    <row r="7579">
      <c r="A7579" t="str">
        <f t="shared" si="1"/>
        <v>ita#1972</v>
      </c>
      <c r="B7579" t="str">
        <f>IFERROR(__xludf.DUMMYFUNCTION("""COMPUTED_VALUE"""),"ita")</f>
        <v>ita</v>
      </c>
      <c r="C7579" t="str">
        <f>IFERROR(__xludf.DUMMYFUNCTION("""COMPUTED_VALUE"""),"Italy")</f>
        <v>Italy</v>
      </c>
      <c r="D7579">
        <f>IFERROR(__xludf.DUMMYFUNCTION("""COMPUTED_VALUE"""),1972.0)</f>
        <v>1972</v>
      </c>
      <c r="E7579">
        <f>IFERROR(__xludf.DUMMYFUNCTION("""COMPUTED_VALUE"""),5.4321016E7)</f>
        <v>54321016</v>
      </c>
    </row>
    <row r="7580">
      <c r="A7580" t="str">
        <f t="shared" si="1"/>
        <v>ita#1973</v>
      </c>
      <c r="B7580" t="str">
        <f>IFERROR(__xludf.DUMMYFUNCTION("""COMPUTED_VALUE"""),"ita")</f>
        <v>ita</v>
      </c>
      <c r="C7580" t="str">
        <f>IFERROR(__xludf.DUMMYFUNCTION("""COMPUTED_VALUE"""),"Italy")</f>
        <v>Italy</v>
      </c>
      <c r="D7580">
        <f>IFERROR(__xludf.DUMMYFUNCTION("""COMPUTED_VALUE"""),1973.0)</f>
        <v>1973</v>
      </c>
      <c r="E7580">
        <f>IFERROR(__xludf.DUMMYFUNCTION("""COMPUTED_VALUE"""),5.4682627E7)</f>
        <v>54682627</v>
      </c>
    </row>
    <row r="7581">
      <c r="A7581" t="str">
        <f t="shared" si="1"/>
        <v>ita#1974</v>
      </c>
      <c r="B7581" t="str">
        <f>IFERROR(__xludf.DUMMYFUNCTION("""COMPUTED_VALUE"""),"ita")</f>
        <v>ita</v>
      </c>
      <c r="C7581" t="str">
        <f>IFERROR(__xludf.DUMMYFUNCTION("""COMPUTED_VALUE"""),"Italy")</f>
        <v>Italy</v>
      </c>
      <c r="D7581">
        <f>IFERROR(__xludf.DUMMYFUNCTION("""COMPUTED_VALUE"""),1974.0)</f>
        <v>1974</v>
      </c>
      <c r="E7581">
        <f>IFERROR(__xludf.DUMMYFUNCTION("""COMPUTED_VALUE"""),5.5022218E7)</f>
        <v>55022218</v>
      </c>
    </row>
    <row r="7582">
      <c r="A7582" t="str">
        <f t="shared" si="1"/>
        <v>ita#1975</v>
      </c>
      <c r="B7582" t="str">
        <f>IFERROR(__xludf.DUMMYFUNCTION("""COMPUTED_VALUE"""),"ita")</f>
        <v>ita</v>
      </c>
      <c r="C7582" t="str">
        <f>IFERROR(__xludf.DUMMYFUNCTION("""COMPUTED_VALUE"""),"Italy")</f>
        <v>Italy</v>
      </c>
      <c r="D7582">
        <f>IFERROR(__xludf.DUMMYFUNCTION("""COMPUTED_VALUE"""),1975.0)</f>
        <v>1975</v>
      </c>
      <c r="E7582">
        <f>IFERROR(__xludf.DUMMYFUNCTION("""COMPUTED_VALUE"""),5.5330694E7)</f>
        <v>55330694</v>
      </c>
    </row>
    <row r="7583">
      <c r="A7583" t="str">
        <f t="shared" si="1"/>
        <v>ita#1976</v>
      </c>
      <c r="B7583" t="str">
        <f>IFERROR(__xludf.DUMMYFUNCTION("""COMPUTED_VALUE"""),"ita")</f>
        <v>ita</v>
      </c>
      <c r="C7583" t="str">
        <f>IFERROR(__xludf.DUMMYFUNCTION("""COMPUTED_VALUE"""),"Italy")</f>
        <v>Italy</v>
      </c>
      <c r="D7583">
        <f>IFERROR(__xludf.DUMMYFUNCTION("""COMPUTED_VALUE"""),1976.0)</f>
        <v>1976</v>
      </c>
      <c r="E7583">
        <f>IFERROR(__xludf.DUMMYFUNCTION("""COMPUTED_VALUE"""),5.5604287E7)</f>
        <v>55604287</v>
      </c>
    </row>
    <row r="7584">
      <c r="A7584" t="str">
        <f t="shared" si="1"/>
        <v>ita#1977</v>
      </c>
      <c r="B7584" t="str">
        <f>IFERROR(__xludf.DUMMYFUNCTION("""COMPUTED_VALUE"""),"ita")</f>
        <v>ita</v>
      </c>
      <c r="C7584" t="str">
        <f>IFERROR(__xludf.DUMMYFUNCTION("""COMPUTED_VALUE"""),"Italy")</f>
        <v>Italy</v>
      </c>
      <c r="D7584">
        <f>IFERROR(__xludf.DUMMYFUNCTION("""COMPUTED_VALUE"""),1977.0)</f>
        <v>1977</v>
      </c>
      <c r="E7584">
        <f>IFERROR(__xludf.DUMMYFUNCTION("""COMPUTED_VALUE"""),5.5845068E7)</f>
        <v>55845068</v>
      </c>
    </row>
    <row r="7585">
      <c r="A7585" t="str">
        <f t="shared" si="1"/>
        <v>ita#1978</v>
      </c>
      <c r="B7585" t="str">
        <f>IFERROR(__xludf.DUMMYFUNCTION("""COMPUTED_VALUE"""),"ita")</f>
        <v>ita</v>
      </c>
      <c r="C7585" t="str">
        <f>IFERROR(__xludf.DUMMYFUNCTION("""COMPUTED_VALUE"""),"Italy")</f>
        <v>Italy</v>
      </c>
      <c r="D7585">
        <f>IFERROR(__xludf.DUMMYFUNCTION("""COMPUTED_VALUE"""),1978.0)</f>
        <v>1978</v>
      </c>
      <c r="E7585">
        <f>IFERROR(__xludf.DUMMYFUNCTION("""COMPUTED_VALUE"""),5.6057025E7)</f>
        <v>56057025</v>
      </c>
    </row>
    <row r="7586">
      <c r="A7586" t="str">
        <f t="shared" si="1"/>
        <v>ita#1979</v>
      </c>
      <c r="B7586" t="str">
        <f>IFERROR(__xludf.DUMMYFUNCTION("""COMPUTED_VALUE"""),"ita")</f>
        <v>ita</v>
      </c>
      <c r="C7586" t="str">
        <f>IFERROR(__xludf.DUMMYFUNCTION("""COMPUTED_VALUE"""),"Italy")</f>
        <v>Italy</v>
      </c>
      <c r="D7586">
        <f>IFERROR(__xludf.DUMMYFUNCTION("""COMPUTED_VALUE"""),1979.0)</f>
        <v>1979</v>
      </c>
      <c r="E7586">
        <f>IFERROR(__xludf.DUMMYFUNCTION("""COMPUTED_VALUE"""),5.62468E7)</f>
        <v>56246800</v>
      </c>
    </row>
    <row r="7587">
      <c r="A7587" t="str">
        <f t="shared" si="1"/>
        <v>ita#1980</v>
      </c>
      <c r="B7587" t="str">
        <f>IFERROR(__xludf.DUMMYFUNCTION("""COMPUTED_VALUE"""),"ita")</f>
        <v>ita</v>
      </c>
      <c r="C7587" t="str">
        <f>IFERROR(__xludf.DUMMYFUNCTION("""COMPUTED_VALUE"""),"Italy")</f>
        <v>Italy</v>
      </c>
      <c r="D7587">
        <f>IFERROR(__xludf.DUMMYFUNCTION("""COMPUTED_VALUE"""),1980.0)</f>
        <v>1980</v>
      </c>
      <c r="E7587">
        <f>IFERROR(__xludf.DUMMYFUNCTION("""COMPUTED_VALUE"""),5.6419278E7)</f>
        <v>56419278</v>
      </c>
    </row>
    <row r="7588">
      <c r="A7588" t="str">
        <f t="shared" si="1"/>
        <v>ita#1981</v>
      </c>
      <c r="B7588" t="str">
        <f>IFERROR(__xludf.DUMMYFUNCTION("""COMPUTED_VALUE"""),"ita")</f>
        <v>ita</v>
      </c>
      <c r="C7588" t="str">
        <f>IFERROR(__xludf.DUMMYFUNCTION("""COMPUTED_VALUE"""),"Italy")</f>
        <v>Italy</v>
      </c>
      <c r="D7588">
        <f>IFERROR(__xludf.DUMMYFUNCTION("""COMPUTED_VALUE"""),1981.0)</f>
        <v>1981</v>
      </c>
      <c r="E7588">
        <f>IFERROR(__xludf.DUMMYFUNCTION("""COMPUTED_VALUE"""),5.6576504E7)</f>
        <v>56576504</v>
      </c>
    </row>
    <row r="7589">
      <c r="A7589" t="str">
        <f t="shared" si="1"/>
        <v>ita#1982</v>
      </c>
      <c r="B7589" t="str">
        <f>IFERROR(__xludf.DUMMYFUNCTION("""COMPUTED_VALUE"""),"ita")</f>
        <v>ita</v>
      </c>
      <c r="C7589" t="str">
        <f>IFERROR(__xludf.DUMMYFUNCTION("""COMPUTED_VALUE"""),"Italy")</f>
        <v>Italy</v>
      </c>
      <c r="D7589">
        <f>IFERROR(__xludf.DUMMYFUNCTION("""COMPUTED_VALUE"""),1982.0)</f>
        <v>1982</v>
      </c>
      <c r="E7589">
        <f>IFERROR(__xludf.DUMMYFUNCTION("""COMPUTED_VALUE"""),5.6717076E7)</f>
        <v>56717076</v>
      </c>
    </row>
    <row r="7590">
      <c r="A7590" t="str">
        <f t="shared" si="1"/>
        <v>ita#1983</v>
      </c>
      <c r="B7590" t="str">
        <f>IFERROR(__xludf.DUMMYFUNCTION("""COMPUTED_VALUE"""),"ita")</f>
        <v>ita</v>
      </c>
      <c r="C7590" t="str">
        <f>IFERROR(__xludf.DUMMYFUNCTION("""COMPUTED_VALUE"""),"Italy")</f>
        <v>Italy</v>
      </c>
      <c r="D7590">
        <f>IFERROR(__xludf.DUMMYFUNCTION("""COMPUTED_VALUE"""),1983.0)</f>
        <v>1983</v>
      </c>
      <c r="E7590">
        <f>IFERROR(__xludf.DUMMYFUNCTION("""COMPUTED_VALUE"""),5.6838675E7)</f>
        <v>56838675</v>
      </c>
    </row>
    <row r="7591">
      <c r="A7591" t="str">
        <f t="shared" si="1"/>
        <v>ita#1984</v>
      </c>
      <c r="B7591" t="str">
        <f>IFERROR(__xludf.DUMMYFUNCTION("""COMPUTED_VALUE"""),"ita")</f>
        <v>ita</v>
      </c>
      <c r="C7591" t="str">
        <f>IFERROR(__xludf.DUMMYFUNCTION("""COMPUTED_VALUE"""),"Italy")</f>
        <v>Italy</v>
      </c>
      <c r="D7591">
        <f>IFERROR(__xludf.DUMMYFUNCTION("""COMPUTED_VALUE"""),1984.0)</f>
        <v>1984</v>
      </c>
      <c r="E7591">
        <f>IFERROR(__xludf.DUMMYFUNCTION("""COMPUTED_VALUE"""),5.6937695E7)</f>
        <v>56937695</v>
      </c>
    </row>
    <row r="7592">
      <c r="A7592" t="str">
        <f t="shared" si="1"/>
        <v>ita#1985</v>
      </c>
      <c r="B7592" t="str">
        <f>IFERROR(__xludf.DUMMYFUNCTION("""COMPUTED_VALUE"""),"ita")</f>
        <v>ita</v>
      </c>
      <c r="C7592" t="str">
        <f>IFERROR(__xludf.DUMMYFUNCTION("""COMPUTED_VALUE"""),"Italy")</f>
        <v>Italy</v>
      </c>
      <c r="D7592">
        <f>IFERROR(__xludf.DUMMYFUNCTION("""COMPUTED_VALUE"""),1985.0)</f>
        <v>1985</v>
      </c>
      <c r="E7592">
        <f>IFERROR(__xludf.DUMMYFUNCTION("""COMPUTED_VALUE"""),5.7012352E7)</f>
        <v>57012352</v>
      </c>
    </row>
    <row r="7593">
      <c r="A7593" t="str">
        <f t="shared" si="1"/>
        <v>ita#1986</v>
      </c>
      <c r="B7593" t="str">
        <f>IFERROR(__xludf.DUMMYFUNCTION("""COMPUTED_VALUE"""),"ita")</f>
        <v>ita</v>
      </c>
      <c r="C7593" t="str">
        <f>IFERROR(__xludf.DUMMYFUNCTION("""COMPUTED_VALUE"""),"Italy")</f>
        <v>Italy</v>
      </c>
      <c r="D7593">
        <f>IFERROR(__xludf.DUMMYFUNCTION("""COMPUTED_VALUE"""),1986.0)</f>
        <v>1986</v>
      </c>
      <c r="E7593">
        <f>IFERROR(__xludf.DUMMYFUNCTION("""COMPUTED_VALUE"""),5.7061781E7)</f>
        <v>57061781</v>
      </c>
    </row>
    <row r="7594">
      <c r="A7594" t="str">
        <f t="shared" si="1"/>
        <v>ita#1987</v>
      </c>
      <c r="B7594" t="str">
        <f>IFERROR(__xludf.DUMMYFUNCTION("""COMPUTED_VALUE"""),"ita")</f>
        <v>ita</v>
      </c>
      <c r="C7594" t="str">
        <f>IFERROR(__xludf.DUMMYFUNCTION("""COMPUTED_VALUE"""),"Italy")</f>
        <v>Italy</v>
      </c>
      <c r="D7594">
        <f>IFERROR(__xludf.DUMMYFUNCTION("""COMPUTED_VALUE"""),1987.0)</f>
        <v>1987</v>
      </c>
      <c r="E7594">
        <f>IFERROR(__xludf.DUMMYFUNCTION("""COMPUTED_VALUE"""),5.7089451E7)</f>
        <v>57089451</v>
      </c>
    </row>
    <row r="7595">
      <c r="A7595" t="str">
        <f t="shared" si="1"/>
        <v>ita#1988</v>
      </c>
      <c r="B7595" t="str">
        <f>IFERROR(__xludf.DUMMYFUNCTION("""COMPUTED_VALUE"""),"ita")</f>
        <v>ita</v>
      </c>
      <c r="C7595" t="str">
        <f>IFERROR(__xludf.DUMMYFUNCTION("""COMPUTED_VALUE"""),"Italy")</f>
        <v>Italy</v>
      </c>
      <c r="D7595">
        <f>IFERROR(__xludf.DUMMYFUNCTION("""COMPUTED_VALUE"""),1988.0)</f>
        <v>1988</v>
      </c>
      <c r="E7595">
        <f>IFERROR(__xludf.DUMMYFUNCTION("""COMPUTED_VALUE"""),5.7103128E7)</f>
        <v>57103128</v>
      </c>
    </row>
    <row r="7596">
      <c r="A7596" t="str">
        <f t="shared" si="1"/>
        <v>ita#1989</v>
      </c>
      <c r="B7596" t="str">
        <f>IFERROR(__xludf.DUMMYFUNCTION("""COMPUTED_VALUE"""),"ita")</f>
        <v>ita</v>
      </c>
      <c r="C7596" t="str">
        <f>IFERROR(__xludf.DUMMYFUNCTION("""COMPUTED_VALUE"""),"Italy")</f>
        <v>Italy</v>
      </c>
      <c r="D7596">
        <f>IFERROR(__xludf.DUMMYFUNCTION("""COMPUTED_VALUE"""),1989.0)</f>
        <v>1989</v>
      </c>
      <c r="E7596">
        <f>IFERROR(__xludf.DUMMYFUNCTION("""COMPUTED_VALUE"""),5.7113159E7)</f>
        <v>57113159</v>
      </c>
    </row>
    <row r="7597">
      <c r="A7597" t="str">
        <f t="shared" si="1"/>
        <v>ita#1990</v>
      </c>
      <c r="B7597" t="str">
        <f>IFERROR(__xludf.DUMMYFUNCTION("""COMPUTED_VALUE"""),"ita")</f>
        <v>ita</v>
      </c>
      <c r="C7597" t="str">
        <f>IFERROR(__xludf.DUMMYFUNCTION("""COMPUTED_VALUE"""),"Italy")</f>
        <v>Italy</v>
      </c>
      <c r="D7597">
        <f>IFERROR(__xludf.DUMMYFUNCTION("""COMPUTED_VALUE"""),1990.0)</f>
        <v>1990</v>
      </c>
      <c r="E7597">
        <f>IFERROR(__xludf.DUMMYFUNCTION("""COMPUTED_VALUE"""),5.712712E7)</f>
        <v>57127120</v>
      </c>
    </row>
    <row r="7598">
      <c r="A7598" t="str">
        <f t="shared" si="1"/>
        <v>ita#1991</v>
      </c>
      <c r="B7598" t="str">
        <f>IFERROR(__xludf.DUMMYFUNCTION("""COMPUTED_VALUE"""),"ita")</f>
        <v>ita</v>
      </c>
      <c r="C7598" t="str">
        <f>IFERROR(__xludf.DUMMYFUNCTION("""COMPUTED_VALUE"""),"Italy")</f>
        <v>Italy</v>
      </c>
      <c r="D7598">
        <f>IFERROR(__xludf.DUMMYFUNCTION("""COMPUTED_VALUE"""),1991.0)</f>
        <v>1991</v>
      </c>
      <c r="E7598">
        <f>IFERROR(__xludf.DUMMYFUNCTION("""COMPUTED_VALUE"""),5.7152516E7)</f>
        <v>57152516</v>
      </c>
    </row>
    <row r="7599">
      <c r="A7599" t="str">
        <f t="shared" si="1"/>
        <v>ita#1992</v>
      </c>
      <c r="B7599" t="str">
        <f>IFERROR(__xludf.DUMMYFUNCTION("""COMPUTED_VALUE"""),"ita")</f>
        <v>ita</v>
      </c>
      <c r="C7599" t="str">
        <f>IFERROR(__xludf.DUMMYFUNCTION("""COMPUTED_VALUE"""),"Italy")</f>
        <v>Italy</v>
      </c>
      <c r="D7599">
        <f>IFERROR(__xludf.DUMMYFUNCTION("""COMPUTED_VALUE"""),1992.0)</f>
        <v>1992</v>
      </c>
      <c r="E7599">
        <f>IFERROR(__xludf.DUMMYFUNCTION("""COMPUTED_VALUE"""),5.7188887E7)</f>
        <v>57188887</v>
      </c>
    </row>
    <row r="7600">
      <c r="A7600" t="str">
        <f t="shared" si="1"/>
        <v>ita#1993</v>
      </c>
      <c r="B7600" t="str">
        <f>IFERROR(__xludf.DUMMYFUNCTION("""COMPUTED_VALUE"""),"ita")</f>
        <v>ita</v>
      </c>
      <c r="C7600" t="str">
        <f>IFERROR(__xludf.DUMMYFUNCTION("""COMPUTED_VALUE"""),"Italy")</f>
        <v>Italy</v>
      </c>
      <c r="D7600">
        <f>IFERROR(__xludf.DUMMYFUNCTION("""COMPUTED_VALUE"""),1993.0)</f>
        <v>1993</v>
      </c>
      <c r="E7600">
        <f>IFERROR(__xludf.DUMMYFUNCTION("""COMPUTED_VALUE"""),5.7226647E7)</f>
        <v>57226647</v>
      </c>
    </row>
    <row r="7601">
      <c r="A7601" t="str">
        <f t="shared" si="1"/>
        <v>ita#1994</v>
      </c>
      <c r="B7601" t="str">
        <f>IFERROR(__xludf.DUMMYFUNCTION("""COMPUTED_VALUE"""),"ita")</f>
        <v>ita</v>
      </c>
      <c r="C7601" t="str">
        <f>IFERROR(__xludf.DUMMYFUNCTION("""COMPUTED_VALUE"""),"Italy")</f>
        <v>Italy</v>
      </c>
      <c r="D7601">
        <f>IFERROR(__xludf.DUMMYFUNCTION("""COMPUTED_VALUE"""),1994.0)</f>
        <v>1994</v>
      </c>
      <c r="E7601">
        <f>IFERROR(__xludf.DUMMYFUNCTION("""COMPUTED_VALUE"""),5.7251367E7)</f>
        <v>57251367</v>
      </c>
    </row>
    <row r="7602">
      <c r="A7602" t="str">
        <f t="shared" si="1"/>
        <v>ita#1995</v>
      </c>
      <c r="B7602" t="str">
        <f>IFERROR(__xludf.DUMMYFUNCTION("""COMPUTED_VALUE"""),"ita")</f>
        <v>ita</v>
      </c>
      <c r="C7602" t="str">
        <f>IFERROR(__xludf.DUMMYFUNCTION("""COMPUTED_VALUE"""),"Italy")</f>
        <v>Italy</v>
      </c>
      <c r="D7602">
        <f>IFERROR(__xludf.DUMMYFUNCTION("""COMPUTED_VALUE"""),1995.0)</f>
        <v>1995</v>
      </c>
      <c r="E7602">
        <f>IFERROR(__xludf.DUMMYFUNCTION("""COMPUTED_VALUE"""),5.7255193E7)</f>
        <v>57255193</v>
      </c>
    </row>
    <row r="7603">
      <c r="A7603" t="str">
        <f t="shared" si="1"/>
        <v>ita#1996</v>
      </c>
      <c r="B7603" t="str">
        <f>IFERROR(__xludf.DUMMYFUNCTION("""COMPUTED_VALUE"""),"ita")</f>
        <v>ita</v>
      </c>
      <c r="C7603" t="str">
        <f>IFERROR(__xludf.DUMMYFUNCTION("""COMPUTED_VALUE"""),"Italy")</f>
        <v>Italy</v>
      </c>
      <c r="D7603">
        <f>IFERROR(__xludf.DUMMYFUNCTION("""COMPUTED_VALUE"""),1996.0)</f>
        <v>1996</v>
      </c>
      <c r="E7603">
        <f>IFERROR(__xludf.DUMMYFUNCTION("""COMPUTED_VALUE"""),5.722967E7)</f>
        <v>57229670</v>
      </c>
    </row>
    <row r="7604">
      <c r="A7604" t="str">
        <f t="shared" si="1"/>
        <v>ita#1997</v>
      </c>
      <c r="B7604" t="str">
        <f>IFERROR(__xludf.DUMMYFUNCTION("""COMPUTED_VALUE"""),"ita")</f>
        <v>ita</v>
      </c>
      <c r="C7604" t="str">
        <f>IFERROR(__xludf.DUMMYFUNCTION("""COMPUTED_VALUE"""),"Italy")</f>
        <v>Italy</v>
      </c>
      <c r="D7604">
        <f>IFERROR(__xludf.DUMMYFUNCTION("""COMPUTED_VALUE"""),1997.0)</f>
        <v>1997</v>
      </c>
      <c r="E7604">
        <f>IFERROR(__xludf.DUMMYFUNCTION("""COMPUTED_VALUE"""),5.7184901E7)</f>
        <v>57184901</v>
      </c>
    </row>
    <row r="7605">
      <c r="A7605" t="str">
        <f t="shared" si="1"/>
        <v>ita#1998</v>
      </c>
      <c r="B7605" t="str">
        <f>IFERROR(__xludf.DUMMYFUNCTION("""COMPUTED_VALUE"""),"ita")</f>
        <v>ita</v>
      </c>
      <c r="C7605" t="str">
        <f>IFERROR(__xludf.DUMMYFUNCTION("""COMPUTED_VALUE"""),"Italy")</f>
        <v>Italy</v>
      </c>
      <c r="D7605">
        <f>IFERROR(__xludf.DUMMYFUNCTION("""COMPUTED_VALUE"""),1998.0)</f>
        <v>1998</v>
      </c>
      <c r="E7605">
        <f>IFERROR(__xludf.DUMMYFUNCTION("""COMPUTED_VALUE"""),5.7153554E7)</f>
        <v>57153554</v>
      </c>
    </row>
    <row r="7606">
      <c r="A7606" t="str">
        <f t="shared" si="1"/>
        <v>ita#1999</v>
      </c>
      <c r="B7606" t="str">
        <f>IFERROR(__xludf.DUMMYFUNCTION("""COMPUTED_VALUE"""),"ita")</f>
        <v>ita</v>
      </c>
      <c r="C7606" t="str">
        <f>IFERROR(__xludf.DUMMYFUNCTION("""COMPUTED_VALUE"""),"Italy")</f>
        <v>Italy</v>
      </c>
      <c r="D7606">
        <f>IFERROR(__xludf.DUMMYFUNCTION("""COMPUTED_VALUE"""),1999.0)</f>
        <v>1999</v>
      </c>
      <c r="E7606">
        <f>IFERROR(__xludf.DUMMYFUNCTION("""COMPUTED_VALUE"""),5.7179989E7)</f>
        <v>57179989</v>
      </c>
    </row>
    <row r="7607">
      <c r="A7607" t="str">
        <f t="shared" si="1"/>
        <v>ita#2000</v>
      </c>
      <c r="B7607" t="str">
        <f>IFERROR(__xludf.DUMMYFUNCTION("""COMPUTED_VALUE"""),"ita")</f>
        <v>ita</v>
      </c>
      <c r="C7607" t="str">
        <f>IFERROR(__xludf.DUMMYFUNCTION("""COMPUTED_VALUE"""),"Italy")</f>
        <v>Italy</v>
      </c>
      <c r="D7607">
        <f>IFERROR(__xludf.DUMMYFUNCTION("""COMPUTED_VALUE"""),2000.0)</f>
        <v>2000</v>
      </c>
      <c r="E7607">
        <f>IFERROR(__xludf.DUMMYFUNCTION("""COMPUTED_VALUE"""),5.7293721E7)</f>
        <v>57293721</v>
      </c>
    </row>
    <row r="7608">
      <c r="A7608" t="str">
        <f t="shared" si="1"/>
        <v>ita#2001</v>
      </c>
      <c r="B7608" t="str">
        <f>IFERROR(__xludf.DUMMYFUNCTION("""COMPUTED_VALUE"""),"ita")</f>
        <v>ita</v>
      </c>
      <c r="C7608" t="str">
        <f>IFERROR(__xludf.DUMMYFUNCTION("""COMPUTED_VALUE"""),"Italy")</f>
        <v>Italy</v>
      </c>
      <c r="D7608">
        <f>IFERROR(__xludf.DUMMYFUNCTION("""COMPUTED_VALUE"""),2001.0)</f>
        <v>2001</v>
      </c>
      <c r="E7608">
        <f>IFERROR(__xludf.DUMMYFUNCTION("""COMPUTED_VALUE"""),5.7506367E7)</f>
        <v>57506367</v>
      </c>
    </row>
    <row r="7609">
      <c r="A7609" t="str">
        <f t="shared" si="1"/>
        <v>ita#2002</v>
      </c>
      <c r="B7609" t="str">
        <f>IFERROR(__xludf.DUMMYFUNCTION("""COMPUTED_VALUE"""),"ita")</f>
        <v>ita</v>
      </c>
      <c r="C7609" t="str">
        <f>IFERROR(__xludf.DUMMYFUNCTION("""COMPUTED_VALUE"""),"Italy")</f>
        <v>Italy</v>
      </c>
      <c r="D7609">
        <f>IFERROR(__xludf.DUMMYFUNCTION("""COMPUTED_VALUE"""),2002.0)</f>
        <v>2002</v>
      </c>
      <c r="E7609">
        <f>IFERROR(__xludf.DUMMYFUNCTION("""COMPUTED_VALUE"""),5.7801763E7)</f>
        <v>57801763</v>
      </c>
    </row>
    <row r="7610">
      <c r="A7610" t="str">
        <f t="shared" si="1"/>
        <v>ita#2003</v>
      </c>
      <c r="B7610" t="str">
        <f>IFERROR(__xludf.DUMMYFUNCTION("""COMPUTED_VALUE"""),"ita")</f>
        <v>ita</v>
      </c>
      <c r="C7610" t="str">
        <f>IFERROR(__xludf.DUMMYFUNCTION("""COMPUTED_VALUE"""),"Italy")</f>
        <v>Italy</v>
      </c>
      <c r="D7610">
        <f>IFERROR(__xludf.DUMMYFUNCTION("""COMPUTED_VALUE"""),2003.0)</f>
        <v>2003</v>
      </c>
      <c r="E7610">
        <f>IFERROR(__xludf.DUMMYFUNCTION("""COMPUTED_VALUE"""),5.8147037E7)</f>
        <v>58147037</v>
      </c>
    </row>
    <row r="7611">
      <c r="A7611" t="str">
        <f t="shared" si="1"/>
        <v>ita#2004</v>
      </c>
      <c r="B7611" t="str">
        <f>IFERROR(__xludf.DUMMYFUNCTION("""COMPUTED_VALUE"""),"ita")</f>
        <v>ita</v>
      </c>
      <c r="C7611" t="str">
        <f>IFERROR(__xludf.DUMMYFUNCTION("""COMPUTED_VALUE"""),"Italy")</f>
        <v>Italy</v>
      </c>
      <c r="D7611">
        <f>IFERROR(__xludf.DUMMYFUNCTION("""COMPUTED_VALUE"""),2004.0)</f>
        <v>2004</v>
      </c>
      <c r="E7611">
        <f>IFERROR(__xludf.DUMMYFUNCTION("""COMPUTED_VALUE"""),5.8494704E7)</f>
        <v>58494704</v>
      </c>
    </row>
    <row r="7612">
      <c r="A7612" t="str">
        <f t="shared" si="1"/>
        <v>ita#2005</v>
      </c>
      <c r="B7612" t="str">
        <f>IFERROR(__xludf.DUMMYFUNCTION("""COMPUTED_VALUE"""),"ita")</f>
        <v>ita</v>
      </c>
      <c r="C7612" t="str">
        <f>IFERROR(__xludf.DUMMYFUNCTION("""COMPUTED_VALUE"""),"Italy")</f>
        <v>Italy</v>
      </c>
      <c r="D7612">
        <f>IFERROR(__xludf.DUMMYFUNCTION("""COMPUTED_VALUE"""),2005.0)</f>
        <v>2005</v>
      </c>
      <c r="E7612">
        <f>IFERROR(__xludf.DUMMYFUNCTION("""COMPUTED_VALUE"""),5.8808483E7)</f>
        <v>58808483</v>
      </c>
    </row>
    <row r="7613">
      <c r="A7613" t="str">
        <f t="shared" si="1"/>
        <v>ita#2006</v>
      </c>
      <c r="B7613" t="str">
        <f>IFERROR(__xludf.DUMMYFUNCTION("""COMPUTED_VALUE"""),"ita")</f>
        <v>ita</v>
      </c>
      <c r="C7613" t="str">
        <f>IFERROR(__xludf.DUMMYFUNCTION("""COMPUTED_VALUE"""),"Italy")</f>
        <v>Italy</v>
      </c>
      <c r="D7613">
        <f>IFERROR(__xludf.DUMMYFUNCTION("""COMPUTED_VALUE"""),2006.0)</f>
        <v>2006</v>
      </c>
      <c r="E7613">
        <f>IFERROR(__xludf.DUMMYFUNCTION("""COMPUTED_VALUE"""),5.9079869E7)</f>
        <v>59079869</v>
      </c>
    </row>
    <row r="7614">
      <c r="A7614" t="str">
        <f t="shared" si="1"/>
        <v>ita#2007</v>
      </c>
      <c r="B7614" t="str">
        <f>IFERROR(__xludf.DUMMYFUNCTION("""COMPUTED_VALUE"""),"ita")</f>
        <v>ita</v>
      </c>
      <c r="C7614" t="str">
        <f>IFERROR(__xludf.DUMMYFUNCTION("""COMPUTED_VALUE"""),"Italy")</f>
        <v>Italy</v>
      </c>
      <c r="D7614">
        <f>IFERROR(__xludf.DUMMYFUNCTION("""COMPUTED_VALUE"""),2007.0)</f>
        <v>2007</v>
      </c>
      <c r="E7614">
        <f>IFERROR(__xludf.DUMMYFUNCTION("""COMPUTED_VALUE"""),5.9313511E7)</f>
        <v>59313511</v>
      </c>
    </row>
    <row r="7615">
      <c r="A7615" t="str">
        <f t="shared" si="1"/>
        <v>ita#2008</v>
      </c>
      <c r="B7615" t="str">
        <f>IFERROR(__xludf.DUMMYFUNCTION("""COMPUTED_VALUE"""),"ita")</f>
        <v>ita</v>
      </c>
      <c r="C7615" t="str">
        <f>IFERROR(__xludf.DUMMYFUNCTION("""COMPUTED_VALUE"""),"Italy")</f>
        <v>Italy</v>
      </c>
      <c r="D7615">
        <f>IFERROR(__xludf.DUMMYFUNCTION("""COMPUTED_VALUE"""),2008.0)</f>
        <v>2008</v>
      </c>
      <c r="E7615">
        <f>IFERROR(__xludf.DUMMYFUNCTION("""COMPUTED_VALUE"""),5.9502385E7)</f>
        <v>59502385</v>
      </c>
    </row>
    <row r="7616">
      <c r="A7616" t="str">
        <f t="shared" si="1"/>
        <v>ita#2009</v>
      </c>
      <c r="B7616" t="str">
        <f>IFERROR(__xludf.DUMMYFUNCTION("""COMPUTED_VALUE"""),"ita")</f>
        <v>ita</v>
      </c>
      <c r="C7616" t="str">
        <f>IFERROR(__xludf.DUMMYFUNCTION("""COMPUTED_VALUE"""),"Italy")</f>
        <v>Italy</v>
      </c>
      <c r="D7616">
        <f>IFERROR(__xludf.DUMMYFUNCTION("""COMPUTED_VALUE"""),2009.0)</f>
        <v>2009</v>
      </c>
      <c r="E7616">
        <f>IFERROR(__xludf.DUMMYFUNCTION("""COMPUTED_VALUE"""),5.9641853E7)</f>
        <v>59641853</v>
      </c>
    </row>
    <row r="7617">
      <c r="A7617" t="str">
        <f t="shared" si="1"/>
        <v>ita#2010</v>
      </c>
      <c r="B7617" t="str">
        <f>IFERROR(__xludf.DUMMYFUNCTION("""COMPUTED_VALUE"""),"ita")</f>
        <v>ita</v>
      </c>
      <c r="C7617" t="str">
        <f>IFERROR(__xludf.DUMMYFUNCTION("""COMPUTED_VALUE"""),"Italy")</f>
        <v>Italy</v>
      </c>
      <c r="D7617">
        <f>IFERROR(__xludf.DUMMYFUNCTION("""COMPUTED_VALUE"""),2010.0)</f>
        <v>2010</v>
      </c>
      <c r="E7617">
        <f>IFERROR(__xludf.DUMMYFUNCTION("""COMPUTED_VALUE"""),5.9729807E7)</f>
        <v>59729807</v>
      </c>
    </row>
    <row r="7618">
      <c r="A7618" t="str">
        <f t="shared" si="1"/>
        <v>ita#2011</v>
      </c>
      <c r="B7618" t="str">
        <f>IFERROR(__xludf.DUMMYFUNCTION("""COMPUTED_VALUE"""),"ita")</f>
        <v>ita</v>
      </c>
      <c r="C7618" t="str">
        <f>IFERROR(__xludf.DUMMYFUNCTION("""COMPUTED_VALUE"""),"Italy")</f>
        <v>Italy</v>
      </c>
      <c r="D7618">
        <f>IFERROR(__xludf.DUMMYFUNCTION("""COMPUTED_VALUE"""),2011.0)</f>
        <v>2011</v>
      </c>
      <c r="E7618">
        <f>IFERROR(__xludf.DUMMYFUNCTION("""COMPUTED_VALUE"""),5.9759929E7)</f>
        <v>59759929</v>
      </c>
    </row>
    <row r="7619">
      <c r="A7619" t="str">
        <f t="shared" si="1"/>
        <v>ita#2012</v>
      </c>
      <c r="B7619" t="str">
        <f>IFERROR(__xludf.DUMMYFUNCTION("""COMPUTED_VALUE"""),"ita")</f>
        <v>ita</v>
      </c>
      <c r="C7619" t="str">
        <f>IFERROR(__xludf.DUMMYFUNCTION("""COMPUTED_VALUE"""),"Italy")</f>
        <v>Italy</v>
      </c>
      <c r="D7619">
        <f>IFERROR(__xludf.DUMMYFUNCTION("""COMPUTED_VALUE"""),2012.0)</f>
        <v>2012</v>
      </c>
      <c r="E7619">
        <f>IFERROR(__xludf.DUMMYFUNCTION("""COMPUTED_VALUE"""),5.9733834E7)</f>
        <v>59733834</v>
      </c>
    </row>
    <row r="7620">
      <c r="A7620" t="str">
        <f t="shared" si="1"/>
        <v>ita#2013</v>
      </c>
      <c r="B7620" t="str">
        <f>IFERROR(__xludf.DUMMYFUNCTION("""COMPUTED_VALUE"""),"ita")</f>
        <v>ita</v>
      </c>
      <c r="C7620" t="str">
        <f>IFERROR(__xludf.DUMMYFUNCTION("""COMPUTED_VALUE"""),"Italy")</f>
        <v>Italy</v>
      </c>
      <c r="D7620">
        <f>IFERROR(__xludf.DUMMYFUNCTION("""COMPUTED_VALUE"""),2013.0)</f>
        <v>2013</v>
      </c>
      <c r="E7620">
        <f>IFERROR(__xludf.DUMMYFUNCTION("""COMPUTED_VALUE"""),5.9668E7)</f>
        <v>59668000</v>
      </c>
    </row>
    <row r="7621">
      <c r="A7621" t="str">
        <f t="shared" si="1"/>
        <v>ita#2014</v>
      </c>
      <c r="B7621" t="str">
        <f>IFERROR(__xludf.DUMMYFUNCTION("""COMPUTED_VALUE"""),"ita")</f>
        <v>ita</v>
      </c>
      <c r="C7621" t="str">
        <f>IFERROR(__xludf.DUMMYFUNCTION("""COMPUTED_VALUE"""),"Italy")</f>
        <v>Italy</v>
      </c>
      <c r="D7621">
        <f>IFERROR(__xludf.DUMMYFUNCTION("""COMPUTED_VALUE"""),2014.0)</f>
        <v>2014</v>
      </c>
      <c r="E7621">
        <f>IFERROR(__xludf.DUMMYFUNCTION("""COMPUTED_VALUE"""),5.9585668E7)</f>
        <v>59585668</v>
      </c>
    </row>
    <row r="7622">
      <c r="A7622" t="str">
        <f t="shared" si="1"/>
        <v>ita#2015</v>
      </c>
      <c r="B7622" t="str">
        <f>IFERROR(__xludf.DUMMYFUNCTION("""COMPUTED_VALUE"""),"ita")</f>
        <v>ita</v>
      </c>
      <c r="C7622" t="str">
        <f>IFERROR(__xludf.DUMMYFUNCTION("""COMPUTED_VALUE"""),"Italy")</f>
        <v>Italy</v>
      </c>
      <c r="D7622">
        <f>IFERROR(__xludf.DUMMYFUNCTION("""COMPUTED_VALUE"""),2015.0)</f>
        <v>2015</v>
      </c>
      <c r="E7622">
        <f>IFERROR(__xludf.DUMMYFUNCTION("""COMPUTED_VALUE"""),5.9504212E7)</f>
        <v>59504212</v>
      </c>
    </row>
    <row r="7623">
      <c r="A7623" t="str">
        <f t="shared" si="1"/>
        <v>ita#2016</v>
      </c>
      <c r="B7623" t="str">
        <f>IFERROR(__xludf.DUMMYFUNCTION("""COMPUTED_VALUE"""),"ita")</f>
        <v>ita</v>
      </c>
      <c r="C7623" t="str">
        <f>IFERROR(__xludf.DUMMYFUNCTION("""COMPUTED_VALUE"""),"Italy")</f>
        <v>Italy</v>
      </c>
      <c r="D7623">
        <f>IFERROR(__xludf.DUMMYFUNCTION("""COMPUTED_VALUE"""),2016.0)</f>
        <v>2016</v>
      </c>
      <c r="E7623">
        <f>IFERROR(__xludf.DUMMYFUNCTION("""COMPUTED_VALUE"""),5.9429938E7)</f>
        <v>59429938</v>
      </c>
    </row>
    <row r="7624">
      <c r="A7624" t="str">
        <f t="shared" si="1"/>
        <v>ita#2017</v>
      </c>
      <c r="B7624" t="str">
        <f>IFERROR(__xludf.DUMMYFUNCTION("""COMPUTED_VALUE"""),"ita")</f>
        <v>ita</v>
      </c>
      <c r="C7624" t="str">
        <f>IFERROR(__xludf.DUMMYFUNCTION("""COMPUTED_VALUE"""),"Italy")</f>
        <v>Italy</v>
      </c>
      <c r="D7624">
        <f>IFERROR(__xludf.DUMMYFUNCTION("""COMPUTED_VALUE"""),2017.0)</f>
        <v>2017</v>
      </c>
      <c r="E7624">
        <f>IFERROR(__xludf.DUMMYFUNCTION("""COMPUTED_VALUE"""),5.93599E7)</f>
        <v>59359900</v>
      </c>
    </row>
    <row r="7625">
      <c r="A7625" t="str">
        <f t="shared" si="1"/>
        <v>ita#2018</v>
      </c>
      <c r="B7625" t="str">
        <f>IFERROR(__xludf.DUMMYFUNCTION("""COMPUTED_VALUE"""),"ita")</f>
        <v>ita</v>
      </c>
      <c r="C7625" t="str">
        <f>IFERROR(__xludf.DUMMYFUNCTION("""COMPUTED_VALUE"""),"Italy")</f>
        <v>Italy</v>
      </c>
      <c r="D7625">
        <f>IFERROR(__xludf.DUMMYFUNCTION("""COMPUTED_VALUE"""),2018.0)</f>
        <v>2018</v>
      </c>
      <c r="E7625">
        <f>IFERROR(__xludf.DUMMYFUNCTION("""COMPUTED_VALUE"""),5.9290969E7)</f>
        <v>59290969</v>
      </c>
    </row>
    <row r="7626">
      <c r="A7626" t="str">
        <f t="shared" si="1"/>
        <v>ita#2019</v>
      </c>
      <c r="B7626" t="str">
        <f>IFERROR(__xludf.DUMMYFUNCTION("""COMPUTED_VALUE"""),"ita")</f>
        <v>ita</v>
      </c>
      <c r="C7626" t="str">
        <f>IFERROR(__xludf.DUMMYFUNCTION("""COMPUTED_VALUE"""),"Italy")</f>
        <v>Italy</v>
      </c>
      <c r="D7626">
        <f>IFERROR(__xludf.DUMMYFUNCTION("""COMPUTED_VALUE"""),2019.0)</f>
        <v>2019</v>
      </c>
      <c r="E7626">
        <f>IFERROR(__xludf.DUMMYFUNCTION("""COMPUTED_VALUE"""),5.9216525E7)</f>
        <v>59216525</v>
      </c>
    </row>
    <row r="7627">
      <c r="A7627" t="str">
        <f t="shared" si="1"/>
        <v>ita#2020</v>
      </c>
      <c r="B7627" t="str">
        <f>IFERROR(__xludf.DUMMYFUNCTION("""COMPUTED_VALUE"""),"ita")</f>
        <v>ita</v>
      </c>
      <c r="C7627" t="str">
        <f>IFERROR(__xludf.DUMMYFUNCTION("""COMPUTED_VALUE"""),"Italy")</f>
        <v>Italy</v>
      </c>
      <c r="D7627">
        <f>IFERROR(__xludf.DUMMYFUNCTION("""COMPUTED_VALUE"""),2020.0)</f>
        <v>2020</v>
      </c>
      <c r="E7627">
        <f>IFERROR(__xludf.DUMMYFUNCTION("""COMPUTED_VALUE"""),5.9132073E7)</f>
        <v>59132073</v>
      </c>
    </row>
    <row r="7628">
      <c r="A7628" t="str">
        <f t="shared" si="1"/>
        <v>ita#2021</v>
      </c>
      <c r="B7628" t="str">
        <f>IFERROR(__xludf.DUMMYFUNCTION("""COMPUTED_VALUE"""),"ita")</f>
        <v>ita</v>
      </c>
      <c r="C7628" t="str">
        <f>IFERROR(__xludf.DUMMYFUNCTION("""COMPUTED_VALUE"""),"Italy")</f>
        <v>Italy</v>
      </c>
      <c r="D7628">
        <f>IFERROR(__xludf.DUMMYFUNCTION("""COMPUTED_VALUE"""),2021.0)</f>
        <v>2021</v>
      </c>
      <c r="E7628">
        <f>IFERROR(__xludf.DUMMYFUNCTION("""COMPUTED_VALUE"""),5.9037893E7)</f>
        <v>59037893</v>
      </c>
    </row>
    <row r="7629">
      <c r="A7629" t="str">
        <f t="shared" si="1"/>
        <v>ita#2022</v>
      </c>
      <c r="B7629" t="str">
        <f>IFERROR(__xludf.DUMMYFUNCTION("""COMPUTED_VALUE"""),"ita")</f>
        <v>ita</v>
      </c>
      <c r="C7629" t="str">
        <f>IFERROR(__xludf.DUMMYFUNCTION("""COMPUTED_VALUE"""),"Italy")</f>
        <v>Italy</v>
      </c>
      <c r="D7629">
        <f>IFERROR(__xludf.DUMMYFUNCTION("""COMPUTED_VALUE"""),2022.0)</f>
        <v>2022</v>
      </c>
      <c r="E7629">
        <f>IFERROR(__xludf.DUMMYFUNCTION("""COMPUTED_VALUE"""),5.8937473E7)</f>
        <v>58937473</v>
      </c>
    </row>
    <row r="7630">
      <c r="A7630" t="str">
        <f t="shared" si="1"/>
        <v>ita#2023</v>
      </c>
      <c r="B7630" t="str">
        <f>IFERROR(__xludf.DUMMYFUNCTION("""COMPUTED_VALUE"""),"ita")</f>
        <v>ita</v>
      </c>
      <c r="C7630" t="str">
        <f>IFERROR(__xludf.DUMMYFUNCTION("""COMPUTED_VALUE"""),"Italy")</f>
        <v>Italy</v>
      </c>
      <c r="D7630">
        <f>IFERROR(__xludf.DUMMYFUNCTION("""COMPUTED_VALUE"""),2023.0)</f>
        <v>2023</v>
      </c>
      <c r="E7630">
        <f>IFERROR(__xludf.DUMMYFUNCTION("""COMPUTED_VALUE"""),5.8833036E7)</f>
        <v>58833036</v>
      </c>
    </row>
    <row r="7631">
      <c r="A7631" t="str">
        <f t="shared" si="1"/>
        <v>ita#2024</v>
      </c>
      <c r="B7631" t="str">
        <f>IFERROR(__xludf.DUMMYFUNCTION("""COMPUTED_VALUE"""),"ita")</f>
        <v>ita</v>
      </c>
      <c r="C7631" t="str">
        <f>IFERROR(__xludf.DUMMYFUNCTION("""COMPUTED_VALUE"""),"Italy")</f>
        <v>Italy</v>
      </c>
      <c r="D7631">
        <f>IFERROR(__xludf.DUMMYFUNCTION("""COMPUTED_VALUE"""),2024.0)</f>
        <v>2024</v>
      </c>
      <c r="E7631">
        <f>IFERROR(__xludf.DUMMYFUNCTION("""COMPUTED_VALUE"""),5.872751E7)</f>
        <v>58727510</v>
      </c>
    </row>
    <row r="7632">
      <c r="A7632" t="str">
        <f t="shared" si="1"/>
        <v>ita#2025</v>
      </c>
      <c r="B7632" t="str">
        <f>IFERROR(__xludf.DUMMYFUNCTION("""COMPUTED_VALUE"""),"ita")</f>
        <v>ita</v>
      </c>
      <c r="C7632" t="str">
        <f>IFERROR(__xludf.DUMMYFUNCTION("""COMPUTED_VALUE"""),"Italy")</f>
        <v>Italy</v>
      </c>
      <c r="D7632">
        <f>IFERROR(__xludf.DUMMYFUNCTION("""COMPUTED_VALUE"""),2025.0)</f>
        <v>2025</v>
      </c>
      <c r="E7632">
        <f>IFERROR(__xludf.DUMMYFUNCTION("""COMPUTED_VALUE"""),5.8623032E7)</f>
        <v>58623032</v>
      </c>
    </row>
    <row r="7633">
      <c r="A7633" t="str">
        <f t="shared" si="1"/>
        <v>ita#2026</v>
      </c>
      <c r="B7633" t="str">
        <f>IFERROR(__xludf.DUMMYFUNCTION("""COMPUTED_VALUE"""),"ita")</f>
        <v>ita</v>
      </c>
      <c r="C7633" t="str">
        <f>IFERROR(__xludf.DUMMYFUNCTION("""COMPUTED_VALUE"""),"Italy")</f>
        <v>Italy</v>
      </c>
      <c r="D7633">
        <f>IFERROR(__xludf.DUMMYFUNCTION("""COMPUTED_VALUE"""),2026.0)</f>
        <v>2026</v>
      </c>
      <c r="E7633">
        <f>IFERROR(__xludf.DUMMYFUNCTION("""COMPUTED_VALUE"""),5.8520455E7)</f>
        <v>58520455</v>
      </c>
    </row>
    <row r="7634">
      <c r="A7634" t="str">
        <f t="shared" si="1"/>
        <v>ita#2027</v>
      </c>
      <c r="B7634" t="str">
        <f>IFERROR(__xludf.DUMMYFUNCTION("""COMPUTED_VALUE"""),"ita")</f>
        <v>ita</v>
      </c>
      <c r="C7634" t="str">
        <f>IFERROR(__xludf.DUMMYFUNCTION("""COMPUTED_VALUE"""),"Italy")</f>
        <v>Italy</v>
      </c>
      <c r="D7634">
        <f>IFERROR(__xludf.DUMMYFUNCTION("""COMPUTED_VALUE"""),2027.0)</f>
        <v>2027</v>
      </c>
      <c r="E7634">
        <f>IFERROR(__xludf.DUMMYFUNCTION("""COMPUTED_VALUE"""),5.841922E7)</f>
        <v>58419220</v>
      </c>
    </row>
    <row r="7635">
      <c r="A7635" t="str">
        <f t="shared" si="1"/>
        <v>ita#2028</v>
      </c>
      <c r="B7635" t="str">
        <f>IFERROR(__xludf.DUMMYFUNCTION("""COMPUTED_VALUE"""),"ita")</f>
        <v>ita</v>
      </c>
      <c r="C7635" t="str">
        <f>IFERROR(__xludf.DUMMYFUNCTION("""COMPUTED_VALUE"""),"Italy")</f>
        <v>Italy</v>
      </c>
      <c r="D7635">
        <f>IFERROR(__xludf.DUMMYFUNCTION("""COMPUTED_VALUE"""),2028.0)</f>
        <v>2028</v>
      </c>
      <c r="E7635">
        <f>IFERROR(__xludf.DUMMYFUNCTION("""COMPUTED_VALUE"""),5.8318194E7)</f>
        <v>58318194</v>
      </c>
    </row>
    <row r="7636">
      <c r="A7636" t="str">
        <f t="shared" si="1"/>
        <v>ita#2029</v>
      </c>
      <c r="B7636" t="str">
        <f>IFERROR(__xludf.DUMMYFUNCTION("""COMPUTED_VALUE"""),"ita")</f>
        <v>ita</v>
      </c>
      <c r="C7636" t="str">
        <f>IFERROR(__xludf.DUMMYFUNCTION("""COMPUTED_VALUE"""),"Italy")</f>
        <v>Italy</v>
      </c>
      <c r="D7636">
        <f>IFERROR(__xludf.DUMMYFUNCTION("""COMPUTED_VALUE"""),2029.0)</f>
        <v>2029</v>
      </c>
      <c r="E7636">
        <f>IFERROR(__xludf.DUMMYFUNCTION("""COMPUTED_VALUE"""),5.8215557E7)</f>
        <v>58215557</v>
      </c>
    </row>
    <row r="7637">
      <c r="A7637" t="str">
        <f t="shared" si="1"/>
        <v>ita#2030</v>
      </c>
      <c r="B7637" t="str">
        <f>IFERROR(__xludf.DUMMYFUNCTION("""COMPUTED_VALUE"""),"ita")</f>
        <v>ita</v>
      </c>
      <c r="C7637" t="str">
        <f>IFERROR(__xludf.DUMMYFUNCTION("""COMPUTED_VALUE"""),"Italy")</f>
        <v>Italy</v>
      </c>
      <c r="D7637">
        <f>IFERROR(__xludf.DUMMYFUNCTION("""COMPUTED_VALUE"""),2030.0)</f>
        <v>2030</v>
      </c>
      <c r="E7637">
        <f>IFERROR(__xludf.DUMMYFUNCTION("""COMPUTED_VALUE"""),5.8109918E7)</f>
        <v>58109918</v>
      </c>
    </row>
    <row r="7638">
      <c r="A7638" t="str">
        <f t="shared" si="1"/>
        <v>ita#2031</v>
      </c>
      <c r="B7638" t="str">
        <f>IFERROR(__xludf.DUMMYFUNCTION("""COMPUTED_VALUE"""),"ita")</f>
        <v>ita</v>
      </c>
      <c r="C7638" t="str">
        <f>IFERROR(__xludf.DUMMYFUNCTION("""COMPUTED_VALUE"""),"Italy")</f>
        <v>Italy</v>
      </c>
      <c r="D7638">
        <f>IFERROR(__xludf.DUMMYFUNCTION("""COMPUTED_VALUE"""),2031.0)</f>
        <v>2031</v>
      </c>
      <c r="E7638">
        <f>IFERROR(__xludf.DUMMYFUNCTION("""COMPUTED_VALUE"""),5.8000903E7)</f>
        <v>58000903</v>
      </c>
    </row>
    <row r="7639">
      <c r="A7639" t="str">
        <f t="shared" si="1"/>
        <v>ita#2032</v>
      </c>
      <c r="B7639" t="str">
        <f>IFERROR(__xludf.DUMMYFUNCTION("""COMPUTED_VALUE"""),"ita")</f>
        <v>ita</v>
      </c>
      <c r="C7639" t="str">
        <f>IFERROR(__xludf.DUMMYFUNCTION("""COMPUTED_VALUE"""),"Italy")</f>
        <v>Italy</v>
      </c>
      <c r="D7639">
        <f>IFERROR(__xludf.DUMMYFUNCTION("""COMPUTED_VALUE"""),2032.0)</f>
        <v>2032</v>
      </c>
      <c r="E7639">
        <f>IFERROR(__xludf.DUMMYFUNCTION("""COMPUTED_VALUE"""),5.7888774E7)</f>
        <v>57888774</v>
      </c>
    </row>
    <row r="7640">
      <c r="A7640" t="str">
        <f t="shared" si="1"/>
        <v>ita#2033</v>
      </c>
      <c r="B7640" t="str">
        <f>IFERROR(__xludf.DUMMYFUNCTION("""COMPUTED_VALUE"""),"ita")</f>
        <v>ita</v>
      </c>
      <c r="C7640" t="str">
        <f>IFERROR(__xludf.DUMMYFUNCTION("""COMPUTED_VALUE"""),"Italy")</f>
        <v>Italy</v>
      </c>
      <c r="D7640">
        <f>IFERROR(__xludf.DUMMYFUNCTION("""COMPUTED_VALUE"""),2033.0)</f>
        <v>2033</v>
      </c>
      <c r="E7640">
        <f>IFERROR(__xludf.DUMMYFUNCTION("""COMPUTED_VALUE"""),5.7773546E7)</f>
        <v>57773546</v>
      </c>
    </row>
    <row r="7641">
      <c r="A7641" t="str">
        <f t="shared" si="1"/>
        <v>ita#2034</v>
      </c>
      <c r="B7641" t="str">
        <f>IFERROR(__xludf.DUMMYFUNCTION("""COMPUTED_VALUE"""),"ita")</f>
        <v>ita</v>
      </c>
      <c r="C7641" t="str">
        <f>IFERROR(__xludf.DUMMYFUNCTION("""COMPUTED_VALUE"""),"Italy")</f>
        <v>Italy</v>
      </c>
      <c r="D7641">
        <f>IFERROR(__xludf.DUMMYFUNCTION("""COMPUTED_VALUE"""),2034.0)</f>
        <v>2034</v>
      </c>
      <c r="E7641">
        <f>IFERROR(__xludf.DUMMYFUNCTION("""COMPUTED_VALUE"""),5.76554E7)</f>
        <v>57655400</v>
      </c>
    </row>
    <row r="7642">
      <c r="A7642" t="str">
        <f t="shared" si="1"/>
        <v>ita#2035</v>
      </c>
      <c r="B7642" t="str">
        <f>IFERROR(__xludf.DUMMYFUNCTION("""COMPUTED_VALUE"""),"ita")</f>
        <v>ita</v>
      </c>
      <c r="C7642" t="str">
        <f>IFERROR(__xludf.DUMMYFUNCTION("""COMPUTED_VALUE"""),"Italy")</f>
        <v>Italy</v>
      </c>
      <c r="D7642">
        <f>IFERROR(__xludf.DUMMYFUNCTION("""COMPUTED_VALUE"""),2035.0)</f>
        <v>2035</v>
      </c>
      <c r="E7642">
        <f>IFERROR(__xludf.DUMMYFUNCTION("""COMPUTED_VALUE"""),5.753436E7)</f>
        <v>57534360</v>
      </c>
    </row>
    <row r="7643">
      <c r="A7643" t="str">
        <f t="shared" si="1"/>
        <v>ita#2036</v>
      </c>
      <c r="B7643" t="str">
        <f>IFERROR(__xludf.DUMMYFUNCTION("""COMPUTED_VALUE"""),"ita")</f>
        <v>ita</v>
      </c>
      <c r="C7643" t="str">
        <f>IFERROR(__xludf.DUMMYFUNCTION("""COMPUTED_VALUE"""),"Italy")</f>
        <v>Italy</v>
      </c>
      <c r="D7643">
        <f>IFERROR(__xludf.DUMMYFUNCTION("""COMPUTED_VALUE"""),2036.0)</f>
        <v>2036</v>
      </c>
      <c r="E7643">
        <f>IFERROR(__xludf.DUMMYFUNCTION("""COMPUTED_VALUE"""),5.7410228E7)</f>
        <v>57410228</v>
      </c>
    </row>
    <row r="7644">
      <c r="A7644" t="str">
        <f t="shared" si="1"/>
        <v>ita#2037</v>
      </c>
      <c r="B7644" t="str">
        <f>IFERROR(__xludf.DUMMYFUNCTION("""COMPUTED_VALUE"""),"ita")</f>
        <v>ita</v>
      </c>
      <c r="C7644" t="str">
        <f>IFERROR(__xludf.DUMMYFUNCTION("""COMPUTED_VALUE"""),"Italy")</f>
        <v>Italy</v>
      </c>
      <c r="D7644">
        <f>IFERROR(__xludf.DUMMYFUNCTION("""COMPUTED_VALUE"""),2037.0)</f>
        <v>2037</v>
      </c>
      <c r="E7644">
        <f>IFERROR(__xludf.DUMMYFUNCTION("""COMPUTED_VALUE"""),5.728252E7)</f>
        <v>57282520</v>
      </c>
    </row>
    <row r="7645">
      <c r="A7645" t="str">
        <f t="shared" si="1"/>
        <v>ita#2038</v>
      </c>
      <c r="B7645" t="str">
        <f>IFERROR(__xludf.DUMMYFUNCTION("""COMPUTED_VALUE"""),"ita")</f>
        <v>ita</v>
      </c>
      <c r="C7645" t="str">
        <f>IFERROR(__xludf.DUMMYFUNCTION("""COMPUTED_VALUE"""),"Italy")</f>
        <v>Italy</v>
      </c>
      <c r="D7645">
        <f>IFERROR(__xludf.DUMMYFUNCTION("""COMPUTED_VALUE"""),2038.0)</f>
        <v>2038</v>
      </c>
      <c r="E7645">
        <f>IFERROR(__xludf.DUMMYFUNCTION("""COMPUTED_VALUE"""),5.7150706E7)</f>
        <v>57150706</v>
      </c>
    </row>
    <row r="7646">
      <c r="A7646" t="str">
        <f t="shared" si="1"/>
        <v>ita#2039</v>
      </c>
      <c r="B7646" t="str">
        <f>IFERROR(__xludf.DUMMYFUNCTION("""COMPUTED_VALUE"""),"ita")</f>
        <v>ita</v>
      </c>
      <c r="C7646" t="str">
        <f>IFERROR(__xludf.DUMMYFUNCTION("""COMPUTED_VALUE"""),"Italy")</f>
        <v>Italy</v>
      </c>
      <c r="D7646">
        <f>IFERROR(__xludf.DUMMYFUNCTION("""COMPUTED_VALUE"""),2039.0)</f>
        <v>2039</v>
      </c>
      <c r="E7646">
        <f>IFERROR(__xludf.DUMMYFUNCTION("""COMPUTED_VALUE"""),5.7014109E7)</f>
        <v>57014109</v>
      </c>
    </row>
    <row r="7647">
      <c r="A7647" t="str">
        <f t="shared" si="1"/>
        <v>ita#2040</v>
      </c>
      <c r="B7647" t="str">
        <f>IFERROR(__xludf.DUMMYFUNCTION("""COMPUTED_VALUE"""),"ita")</f>
        <v>ita</v>
      </c>
      <c r="C7647" t="str">
        <f>IFERROR(__xludf.DUMMYFUNCTION("""COMPUTED_VALUE"""),"Italy")</f>
        <v>Italy</v>
      </c>
      <c r="D7647">
        <f>IFERROR(__xludf.DUMMYFUNCTION("""COMPUTED_VALUE"""),2040.0)</f>
        <v>2040</v>
      </c>
      <c r="E7647">
        <f>IFERROR(__xludf.DUMMYFUNCTION("""COMPUTED_VALUE"""),5.6872174E7)</f>
        <v>56872174</v>
      </c>
    </row>
    <row r="7648">
      <c r="A7648" t="str">
        <f t="shared" si="1"/>
        <v>jam#1950</v>
      </c>
      <c r="B7648" t="str">
        <f>IFERROR(__xludf.DUMMYFUNCTION("""COMPUTED_VALUE"""),"jam")</f>
        <v>jam</v>
      </c>
      <c r="C7648" t="str">
        <f>IFERROR(__xludf.DUMMYFUNCTION("""COMPUTED_VALUE"""),"Jamaica")</f>
        <v>Jamaica</v>
      </c>
      <c r="D7648">
        <f>IFERROR(__xludf.DUMMYFUNCTION("""COMPUTED_VALUE"""),1950.0)</f>
        <v>1950</v>
      </c>
      <c r="E7648">
        <f>IFERROR(__xludf.DUMMYFUNCTION("""COMPUTED_VALUE"""),1402899.0)</f>
        <v>1402899</v>
      </c>
    </row>
    <row r="7649">
      <c r="A7649" t="str">
        <f t="shared" si="1"/>
        <v>jam#1951</v>
      </c>
      <c r="B7649" t="str">
        <f>IFERROR(__xludf.DUMMYFUNCTION("""COMPUTED_VALUE"""),"jam")</f>
        <v>jam</v>
      </c>
      <c r="C7649" t="str">
        <f>IFERROR(__xludf.DUMMYFUNCTION("""COMPUTED_VALUE"""),"Jamaica")</f>
        <v>Jamaica</v>
      </c>
      <c r="D7649">
        <f>IFERROR(__xludf.DUMMYFUNCTION("""COMPUTED_VALUE"""),1951.0)</f>
        <v>1951</v>
      </c>
      <c r="E7649">
        <f>IFERROR(__xludf.DUMMYFUNCTION("""COMPUTED_VALUE"""),1436944.0)</f>
        <v>1436944</v>
      </c>
    </row>
    <row r="7650">
      <c r="A7650" t="str">
        <f t="shared" si="1"/>
        <v>jam#1952</v>
      </c>
      <c r="B7650" t="str">
        <f>IFERROR(__xludf.DUMMYFUNCTION("""COMPUTED_VALUE"""),"jam")</f>
        <v>jam</v>
      </c>
      <c r="C7650" t="str">
        <f>IFERROR(__xludf.DUMMYFUNCTION("""COMPUTED_VALUE"""),"Jamaica")</f>
        <v>Jamaica</v>
      </c>
      <c r="D7650">
        <f>IFERROR(__xludf.DUMMYFUNCTION("""COMPUTED_VALUE"""),1952.0)</f>
        <v>1952</v>
      </c>
      <c r="E7650">
        <f>IFERROR(__xludf.DUMMYFUNCTION("""COMPUTED_VALUE"""),1468018.0)</f>
        <v>1468018</v>
      </c>
    </row>
    <row r="7651">
      <c r="A7651" t="str">
        <f t="shared" si="1"/>
        <v>jam#1953</v>
      </c>
      <c r="B7651" t="str">
        <f>IFERROR(__xludf.DUMMYFUNCTION("""COMPUTED_VALUE"""),"jam")</f>
        <v>jam</v>
      </c>
      <c r="C7651" t="str">
        <f>IFERROR(__xludf.DUMMYFUNCTION("""COMPUTED_VALUE"""),"Jamaica")</f>
        <v>Jamaica</v>
      </c>
      <c r="D7651">
        <f>IFERROR(__xludf.DUMMYFUNCTION("""COMPUTED_VALUE"""),1953.0)</f>
        <v>1953</v>
      </c>
      <c r="E7651">
        <f>IFERROR(__xludf.DUMMYFUNCTION("""COMPUTED_VALUE"""),1495670.0)</f>
        <v>1495670</v>
      </c>
    </row>
    <row r="7652">
      <c r="A7652" t="str">
        <f t="shared" si="1"/>
        <v>jam#1954</v>
      </c>
      <c r="B7652" t="str">
        <f>IFERROR(__xludf.DUMMYFUNCTION("""COMPUTED_VALUE"""),"jam")</f>
        <v>jam</v>
      </c>
      <c r="C7652" t="str">
        <f>IFERROR(__xludf.DUMMYFUNCTION("""COMPUTED_VALUE"""),"Jamaica")</f>
        <v>Jamaica</v>
      </c>
      <c r="D7652">
        <f>IFERROR(__xludf.DUMMYFUNCTION("""COMPUTED_VALUE"""),1954.0)</f>
        <v>1954</v>
      </c>
      <c r="E7652">
        <f>IFERROR(__xludf.DUMMYFUNCTION("""COMPUTED_VALUE"""),1519786.0)</f>
        <v>1519786</v>
      </c>
    </row>
    <row r="7653">
      <c r="A7653" t="str">
        <f t="shared" si="1"/>
        <v>jam#1955</v>
      </c>
      <c r="B7653" t="str">
        <f>IFERROR(__xludf.DUMMYFUNCTION("""COMPUTED_VALUE"""),"jam")</f>
        <v>jam</v>
      </c>
      <c r="C7653" t="str">
        <f>IFERROR(__xludf.DUMMYFUNCTION("""COMPUTED_VALUE"""),"Jamaica")</f>
        <v>Jamaica</v>
      </c>
      <c r="D7653">
        <f>IFERROR(__xludf.DUMMYFUNCTION("""COMPUTED_VALUE"""),1955.0)</f>
        <v>1955</v>
      </c>
      <c r="E7653">
        <f>IFERROR(__xludf.DUMMYFUNCTION("""COMPUTED_VALUE"""),1540623.0)</f>
        <v>1540623</v>
      </c>
    </row>
    <row r="7654">
      <c r="A7654" t="str">
        <f t="shared" si="1"/>
        <v>jam#1956</v>
      </c>
      <c r="B7654" t="str">
        <f>IFERROR(__xludf.DUMMYFUNCTION("""COMPUTED_VALUE"""),"jam")</f>
        <v>jam</v>
      </c>
      <c r="C7654" t="str">
        <f>IFERROR(__xludf.DUMMYFUNCTION("""COMPUTED_VALUE"""),"Jamaica")</f>
        <v>Jamaica</v>
      </c>
      <c r="D7654">
        <f>IFERROR(__xludf.DUMMYFUNCTION("""COMPUTED_VALUE"""),1956.0)</f>
        <v>1956</v>
      </c>
      <c r="E7654">
        <f>IFERROR(__xludf.DUMMYFUNCTION("""COMPUTED_VALUE"""),1558819.0)</f>
        <v>1558819</v>
      </c>
    </row>
    <row r="7655">
      <c r="A7655" t="str">
        <f t="shared" si="1"/>
        <v>jam#1957</v>
      </c>
      <c r="B7655" t="str">
        <f>IFERROR(__xludf.DUMMYFUNCTION("""COMPUTED_VALUE"""),"jam")</f>
        <v>jam</v>
      </c>
      <c r="C7655" t="str">
        <f>IFERROR(__xludf.DUMMYFUNCTION("""COMPUTED_VALUE"""),"Jamaica")</f>
        <v>Jamaica</v>
      </c>
      <c r="D7655">
        <f>IFERROR(__xludf.DUMMYFUNCTION("""COMPUTED_VALUE"""),1957.0)</f>
        <v>1957</v>
      </c>
      <c r="E7655">
        <f>IFERROR(__xludf.DUMMYFUNCTION("""COMPUTED_VALUE"""),1575359.0)</f>
        <v>1575359</v>
      </c>
    </row>
    <row r="7656">
      <c r="A7656" t="str">
        <f t="shared" si="1"/>
        <v>jam#1958</v>
      </c>
      <c r="B7656" t="str">
        <f>IFERROR(__xludf.DUMMYFUNCTION("""COMPUTED_VALUE"""),"jam")</f>
        <v>jam</v>
      </c>
      <c r="C7656" t="str">
        <f>IFERROR(__xludf.DUMMYFUNCTION("""COMPUTED_VALUE"""),"Jamaica")</f>
        <v>Jamaica</v>
      </c>
      <c r="D7656">
        <f>IFERROR(__xludf.DUMMYFUNCTION("""COMPUTED_VALUE"""),1958.0)</f>
        <v>1958</v>
      </c>
      <c r="E7656">
        <f>IFERROR(__xludf.DUMMYFUNCTION("""COMPUTED_VALUE"""),1591514.0)</f>
        <v>1591514</v>
      </c>
    </row>
    <row r="7657">
      <c r="A7657" t="str">
        <f t="shared" si="1"/>
        <v>jam#1959</v>
      </c>
      <c r="B7657" t="str">
        <f>IFERROR(__xludf.DUMMYFUNCTION("""COMPUTED_VALUE"""),"jam")</f>
        <v>jam</v>
      </c>
      <c r="C7657" t="str">
        <f>IFERROR(__xludf.DUMMYFUNCTION("""COMPUTED_VALUE"""),"Jamaica")</f>
        <v>Jamaica</v>
      </c>
      <c r="D7657">
        <f>IFERROR(__xludf.DUMMYFUNCTION("""COMPUTED_VALUE"""),1959.0)</f>
        <v>1959</v>
      </c>
      <c r="E7657">
        <f>IFERROR(__xludf.DUMMYFUNCTION("""COMPUTED_VALUE"""),1608723.0)</f>
        <v>1608723</v>
      </c>
    </row>
    <row r="7658">
      <c r="A7658" t="str">
        <f t="shared" si="1"/>
        <v>jam#1960</v>
      </c>
      <c r="B7658" t="str">
        <f>IFERROR(__xludf.DUMMYFUNCTION("""COMPUTED_VALUE"""),"jam")</f>
        <v>jam</v>
      </c>
      <c r="C7658" t="str">
        <f>IFERROR(__xludf.DUMMYFUNCTION("""COMPUTED_VALUE"""),"Jamaica")</f>
        <v>Jamaica</v>
      </c>
      <c r="D7658">
        <f>IFERROR(__xludf.DUMMYFUNCTION("""COMPUTED_VALUE"""),1960.0)</f>
        <v>1960</v>
      </c>
      <c r="E7658">
        <f>IFERROR(__xludf.DUMMYFUNCTION("""COMPUTED_VALUE"""),1628252.0)</f>
        <v>1628252</v>
      </c>
    </row>
    <row r="7659">
      <c r="A7659" t="str">
        <f t="shared" si="1"/>
        <v>jam#1961</v>
      </c>
      <c r="B7659" t="str">
        <f>IFERROR(__xludf.DUMMYFUNCTION("""COMPUTED_VALUE"""),"jam")</f>
        <v>jam</v>
      </c>
      <c r="C7659" t="str">
        <f>IFERROR(__xludf.DUMMYFUNCTION("""COMPUTED_VALUE"""),"Jamaica")</f>
        <v>Jamaica</v>
      </c>
      <c r="D7659">
        <f>IFERROR(__xludf.DUMMYFUNCTION("""COMPUTED_VALUE"""),1961.0)</f>
        <v>1961</v>
      </c>
      <c r="E7659">
        <f>IFERROR(__xludf.DUMMYFUNCTION("""COMPUTED_VALUE"""),1650806.0)</f>
        <v>1650806</v>
      </c>
    </row>
    <row r="7660">
      <c r="A7660" t="str">
        <f t="shared" si="1"/>
        <v>jam#1962</v>
      </c>
      <c r="B7660" t="str">
        <f>IFERROR(__xludf.DUMMYFUNCTION("""COMPUTED_VALUE"""),"jam")</f>
        <v>jam</v>
      </c>
      <c r="C7660" t="str">
        <f>IFERROR(__xludf.DUMMYFUNCTION("""COMPUTED_VALUE"""),"Jamaica")</f>
        <v>Jamaica</v>
      </c>
      <c r="D7660">
        <f>IFERROR(__xludf.DUMMYFUNCTION("""COMPUTED_VALUE"""),1962.0)</f>
        <v>1962</v>
      </c>
      <c r="E7660">
        <f>IFERROR(__xludf.DUMMYFUNCTION("""COMPUTED_VALUE"""),1676250.0)</f>
        <v>1676250</v>
      </c>
    </row>
    <row r="7661">
      <c r="A7661" t="str">
        <f t="shared" si="1"/>
        <v>jam#1963</v>
      </c>
      <c r="B7661" t="str">
        <f>IFERROR(__xludf.DUMMYFUNCTION("""COMPUTED_VALUE"""),"jam")</f>
        <v>jam</v>
      </c>
      <c r="C7661" t="str">
        <f>IFERROR(__xludf.DUMMYFUNCTION("""COMPUTED_VALUE"""),"Jamaica")</f>
        <v>Jamaica</v>
      </c>
      <c r="D7661">
        <f>IFERROR(__xludf.DUMMYFUNCTION("""COMPUTED_VALUE"""),1963.0)</f>
        <v>1963</v>
      </c>
      <c r="E7661">
        <f>IFERROR(__xludf.DUMMYFUNCTION("""COMPUTED_VALUE"""),1703395.0)</f>
        <v>1703395</v>
      </c>
    </row>
    <row r="7662">
      <c r="A7662" t="str">
        <f t="shared" si="1"/>
        <v>jam#1964</v>
      </c>
      <c r="B7662" t="str">
        <f>IFERROR(__xludf.DUMMYFUNCTION("""COMPUTED_VALUE"""),"jam")</f>
        <v>jam</v>
      </c>
      <c r="C7662" t="str">
        <f>IFERROR(__xludf.DUMMYFUNCTION("""COMPUTED_VALUE"""),"Jamaica")</f>
        <v>Jamaica</v>
      </c>
      <c r="D7662">
        <f>IFERROR(__xludf.DUMMYFUNCTION("""COMPUTED_VALUE"""),1964.0)</f>
        <v>1964</v>
      </c>
      <c r="E7662">
        <f>IFERROR(__xludf.DUMMYFUNCTION("""COMPUTED_VALUE"""),1730486.0)</f>
        <v>1730486</v>
      </c>
    </row>
    <row r="7663">
      <c r="A7663" t="str">
        <f t="shared" si="1"/>
        <v>jam#1965</v>
      </c>
      <c r="B7663" t="str">
        <f>IFERROR(__xludf.DUMMYFUNCTION("""COMPUTED_VALUE"""),"jam")</f>
        <v>jam</v>
      </c>
      <c r="C7663" t="str">
        <f>IFERROR(__xludf.DUMMYFUNCTION("""COMPUTED_VALUE"""),"Jamaica")</f>
        <v>Jamaica</v>
      </c>
      <c r="D7663">
        <f>IFERROR(__xludf.DUMMYFUNCTION("""COMPUTED_VALUE"""),1965.0)</f>
        <v>1965</v>
      </c>
      <c r="E7663">
        <f>IFERROR(__xludf.DUMMYFUNCTION("""COMPUTED_VALUE"""),1756266.0)</f>
        <v>1756266</v>
      </c>
    </row>
    <row r="7664">
      <c r="A7664" t="str">
        <f t="shared" si="1"/>
        <v>jam#1966</v>
      </c>
      <c r="B7664" t="str">
        <f>IFERROR(__xludf.DUMMYFUNCTION("""COMPUTED_VALUE"""),"jam")</f>
        <v>jam</v>
      </c>
      <c r="C7664" t="str">
        <f>IFERROR(__xludf.DUMMYFUNCTION("""COMPUTED_VALUE"""),"Jamaica")</f>
        <v>Jamaica</v>
      </c>
      <c r="D7664">
        <f>IFERROR(__xludf.DUMMYFUNCTION("""COMPUTED_VALUE"""),1966.0)</f>
        <v>1966</v>
      </c>
      <c r="E7664">
        <f>IFERROR(__xludf.DUMMYFUNCTION("""COMPUTED_VALUE"""),1780264.0)</f>
        <v>1780264</v>
      </c>
    </row>
    <row r="7665">
      <c r="A7665" t="str">
        <f t="shared" si="1"/>
        <v>jam#1967</v>
      </c>
      <c r="B7665" t="str">
        <f>IFERROR(__xludf.DUMMYFUNCTION("""COMPUTED_VALUE"""),"jam")</f>
        <v>jam</v>
      </c>
      <c r="C7665" t="str">
        <f>IFERROR(__xludf.DUMMYFUNCTION("""COMPUTED_VALUE"""),"Jamaica")</f>
        <v>Jamaica</v>
      </c>
      <c r="D7665">
        <f>IFERROR(__xludf.DUMMYFUNCTION("""COMPUTED_VALUE"""),1967.0)</f>
        <v>1967</v>
      </c>
      <c r="E7665">
        <f>IFERROR(__xludf.DUMMYFUNCTION("""COMPUTED_VALUE"""),1803064.0)</f>
        <v>1803064</v>
      </c>
    </row>
    <row r="7666">
      <c r="A7666" t="str">
        <f t="shared" si="1"/>
        <v>jam#1968</v>
      </c>
      <c r="B7666" t="str">
        <f>IFERROR(__xludf.DUMMYFUNCTION("""COMPUTED_VALUE"""),"jam")</f>
        <v>jam</v>
      </c>
      <c r="C7666" t="str">
        <f>IFERROR(__xludf.DUMMYFUNCTION("""COMPUTED_VALUE"""),"Jamaica")</f>
        <v>Jamaica</v>
      </c>
      <c r="D7666">
        <f>IFERROR(__xludf.DUMMYFUNCTION("""COMPUTED_VALUE"""),1968.0)</f>
        <v>1968</v>
      </c>
      <c r="E7666">
        <f>IFERROR(__xludf.DUMMYFUNCTION("""COMPUTED_VALUE"""),1825633.0)</f>
        <v>1825633</v>
      </c>
    </row>
    <row r="7667">
      <c r="A7667" t="str">
        <f t="shared" si="1"/>
        <v>jam#1969</v>
      </c>
      <c r="B7667" t="str">
        <f>IFERROR(__xludf.DUMMYFUNCTION("""COMPUTED_VALUE"""),"jam")</f>
        <v>jam</v>
      </c>
      <c r="C7667" t="str">
        <f>IFERROR(__xludf.DUMMYFUNCTION("""COMPUTED_VALUE"""),"Jamaica")</f>
        <v>Jamaica</v>
      </c>
      <c r="D7667">
        <f>IFERROR(__xludf.DUMMYFUNCTION("""COMPUTED_VALUE"""),1969.0)</f>
        <v>1969</v>
      </c>
      <c r="E7667">
        <f>IFERROR(__xludf.DUMMYFUNCTION("""COMPUTED_VALUE"""),1849414.0)</f>
        <v>1849414</v>
      </c>
    </row>
    <row r="7668">
      <c r="A7668" t="str">
        <f t="shared" si="1"/>
        <v>jam#1970</v>
      </c>
      <c r="B7668" t="str">
        <f>IFERROR(__xludf.DUMMYFUNCTION("""COMPUTED_VALUE"""),"jam")</f>
        <v>jam</v>
      </c>
      <c r="C7668" t="str">
        <f>IFERROR(__xludf.DUMMYFUNCTION("""COMPUTED_VALUE"""),"Jamaica")</f>
        <v>Jamaica</v>
      </c>
      <c r="D7668">
        <f>IFERROR(__xludf.DUMMYFUNCTION("""COMPUTED_VALUE"""),1970.0)</f>
        <v>1970</v>
      </c>
      <c r="E7668">
        <f>IFERROR(__xludf.DUMMYFUNCTION("""COMPUTED_VALUE"""),1875381.0)</f>
        <v>1875381</v>
      </c>
    </row>
    <row r="7669">
      <c r="A7669" t="str">
        <f t="shared" si="1"/>
        <v>jam#1971</v>
      </c>
      <c r="B7669" t="str">
        <f>IFERROR(__xludf.DUMMYFUNCTION("""COMPUTED_VALUE"""),"jam")</f>
        <v>jam</v>
      </c>
      <c r="C7669" t="str">
        <f>IFERROR(__xludf.DUMMYFUNCTION("""COMPUTED_VALUE"""),"Jamaica")</f>
        <v>Jamaica</v>
      </c>
      <c r="D7669">
        <f>IFERROR(__xludf.DUMMYFUNCTION("""COMPUTED_VALUE"""),1971.0)</f>
        <v>1971</v>
      </c>
      <c r="E7669">
        <f>IFERROR(__xludf.DUMMYFUNCTION("""COMPUTED_VALUE"""),1904016.0)</f>
        <v>1904016</v>
      </c>
    </row>
    <row r="7670">
      <c r="A7670" t="str">
        <f t="shared" si="1"/>
        <v>jam#1972</v>
      </c>
      <c r="B7670" t="str">
        <f>IFERROR(__xludf.DUMMYFUNCTION("""COMPUTED_VALUE"""),"jam")</f>
        <v>jam</v>
      </c>
      <c r="C7670" t="str">
        <f>IFERROR(__xludf.DUMMYFUNCTION("""COMPUTED_VALUE"""),"Jamaica")</f>
        <v>Jamaica</v>
      </c>
      <c r="D7670">
        <f>IFERROR(__xludf.DUMMYFUNCTION("""COMPUTED_VALUE"""),1972.0)</f>
        <v>1972</v>
      </c>
      <c r="E7670">
        <f>IFERROR(__xludf.DUMMYFUNCTION("""COMPUTED_VALUE"""),1934828.0)</f>
        <v>1934828</v>
      </c>
    </row>
    <row r="7671">
      <c r="A7671" t="str">
        <f t="shared" si="1"/>
        <v>jam#1973</v>
      </c>
      <c r="B7671" t="str">
        <f>IFERROR(__xludf.DUMMYFUNCTION("""COMPUTED_VALUE"""),"jam")</f>
        <v>jam</v>
      </c>
      <c r="C7671" t="str">
        <f>IFERROR(__xludf.DUMMYFUNCTION("""COMPUTED_VALUE"""),"Jamaica")</f>
        <v>Jamaica</v>
      </c>
      <c r="D7671">
        <f>IFERROR(__xludf.DUMMYFUNCTION("""COMPUTED_VALUE"""),1973.0)</f>
        <v>1973</v>
      </c>
      <c r="E7671">
        <f>IFERROR(__xludf.DUMMYFUNCTION("""COMPUTED_VALUE"""),1966700.0)</f>
        <v>1966700</v>
      </c>
    </row>
    <row r="7672">
      <c r="A7672" t="str">
        <f t="shared" si="1"/>
        <v>jam#1974</v>
      </c>
      <c r="B7672" t="str">
        <f>IFERROR(__xludf.DUMMYFUNCTION("""COMPUTED_VALUE"""),"jam")</f>
        <v>jam</v>
      </c>
      <c r="C7672" t="str">
        <f>IFERROR(__xludf.DUMMYFUNCTION("""COMPUTED_VALUE"""),"Jamaica")</f>
        <v>Jamaica</v>
      </c>
      <c r="D7672">
        <f>IFERROR(__xludf.DUMMYFUNCTION("""COMPUTED_VALUE"""),1974.0)</f>
        <v>1974</v>
      </c>
      <c r="E7672">
        <f>IFERROR(__xludf.DUMMYFUNCTION("""COMPUTED_VALUE"""),1998034.0)</f>
        <v>1998034</v>
      </c>
    </row>
    <row r="7673">
      <c r="A7673" t="str">
        <f t="shared" si="1"/>
        <v>jam#1975</v>
      </c>
      <c r="B7673" t="str">
        <f>IFERROR(__xludf.DUMMYFUNCTION("""COMPUTED_VALUE"""),"jam")</f>
        <v>jam</v>
      </c>
      <c r="C7673" t="str">
        <f>IFERROR(__xludf.DUMMYFUNCTION("""COMPUTED_VALUE"""),"Jamaica")</f>
        <v>Jamaica</v>
      </c>
      <c r="D7673">
        <f>IFERROR(__xludf.DUMMYFUNCTION("""COMPUTED_VALUE"""),1975.0)</f>
        <v>1975</v>
      </c>
      <c r="E7673">
        <f>IFERROR(__xludf.DUMMYFUNCTION("""COMPUTED_VALUE"""),2027737.0)</f>
        <v>2027737</v>
      </c>
    </row>
    <row r="7674">
      <c r="A7674" t="str">
        <f t="shared" si="1"/>
        <v>jam#1976</v>
      </c>
      <c r="B7674" t="str">
        <f>IFERROR(__xludf.DUMMYFUNCTION("""COMPUTED_VALUE"""),"jam")</f>
        <v>jam</v>
      </c>
      <c r="C7674" t="str">
        <f>IFERROR(__xludf.DUMMYFUNCTION("""COMPUTED_VALUE"""),"Jamaica")</f>
        <v>Jamaica</v>
      </c>
      <c r="D7674">
        <f>IFERROR(__xludf.DUMMYFUNCTION("""COMPUTED_VALUE"""),1976.0)</f>
        <v>1976</v>
      </c>
      <c r="E7674">
        <f>IFERROR(__xludf.DUMMYFUNCTION("""COMPUTED_VALUE"""),2055085.0)</f>
        <v>2055085</v>
      </c>
    </row>
    <row r="7675">
      <c r="A7675" t="str">
        <f t="shared" si="1"/>
        <v>jam#1977</v>
      </c>
      <c r="B7675" t="str">
        <f>IFERROR(__xludf.DUMMYFUNCTION("""COMPUTED_VALUE"""),"jam")</f>
        <v>jam</v>
      </c>
      <c r="C7675" t="str">
        <f>IFERROR(__xludf.DUMMYFUNCTION("""COMPUTED_VALUE"""),"Jamaica")</f>
        <v>Jamaica</v>
      </c>
      <c r="D7675">
        <f>IFERROR(__xludf.DUMMYFUNCTION("""COMPUTED_VALUE"""),1977.0)</f>
        <v>1977</v>
      </c>
      <c r="E7675">
        <f>IFERROR(__xludf.DUMMYFUNCTION("""COMPUTED_VALUE"""),2080538.0)</f>
        <v>2080538</v>
      </c>
    </row>
    <row r="7676">
      <c r="A7676" t="str">
        <f t="shared" si="1"/>
        <v>jam#1978</v>
      </c>
      <c r="B7676" t="str">
        <f>IFERROR(__xludf.DUMMYFUNCTION("""COMPUTED_VALUE"""),"jam")</f>
        <v>jam</v>
      </c>
      <c r="C7676" t="str">
        <f>IFERROR(__xludf.DUMMYFUNCTION("""COMPUTED_VALUE"""),"Jamaica")</f>
        <v>Jamaica</v>
      </c>
      <c r="D7676">
        <f>IFERROR(__xludf.DUMMYFUNCTION("""COMPUTED_VALUE"""),1978.0)</f>
        <v>1978</v>
      </c>
      <c r="E7676">
        <f>IFERROR(__xludf.DUMMYFUNCTION("""COMPUTED_VALUE"""),2105664.0)</f>
        <v>2105664</v>
      </c>
    </row>
    <row r="7677">
      <c r="A7677" t="str">
        <f t="shared" si="1"/>
        <v>jam#1979</v>
      </c>
      <c r="B7677" t="str">
        <f>IFERROR(__xludf.DUMMYFUNCTION("""COMPUTED_VALUE"""),"jam")</f>
        <v>jam</v>
      </c>
      <c r="C7677" t="str">
        <f>IFERROR(__xludf.DUMMYFUNCTION("""COMPUTED_VALUE"""),"Jamaica")</f>
        <v>Jamaica</v>
      </c>
      <c r="D7677">
        <f>IFERROR(__xludf.DUMMYFUNCTION("""COMPUTED_VALUE"""),1979.0)</f>
        <v>1979</v>
      </c>
      <c r="E7677">
        <f>IFERROR(__xludf.DUMMYFUNCTION("""COMPUTED_VALUE"""),2132690.0)</f>
        <v>2132690</v>
      </c>
    </row>
    <row r="7678">
      <c r="A7678" t="str">
        <f t="shared" si="1"/>
        <v>jam#1980</v>
      </c>
      <c r="B7678" t="str">
        <f>IFERROR(__xludf.DUMMYFUNCTION("""COMPUTED_VALUE"""),"jam")</f>
        <v>jam</v>
      </c>
      <c r="C7678" t="str">
        <f>IFERROR(__xludf.DUMMYFUNCTION("""COMPUTED_VALUE"""),"Jamaica")</f>
        <v>Jamaica</v>
      </c>
      <c r="D7678">
        <f>IFERROR(__xludf.DUMMYFUNCTION("""COMPUTED_VALUE"""),1980.0)</f>
        <v>1980</v>
      </c>
      <c r="E7678">
        <f>IFERROR(__xludf.DUMMYFUNCTION("""COMPUTED_VALUE"""),2163045.0)</f>
        <v>2163045</v>
      </c>
    </row>
    <row r="7679">
      <c r="A7679" t="str">
        <f t="shared" si="1"/>
        <v>jam#1981</v>
      </c>
      <c r="B7679" t="str">
        <f>IFERROR(__xludf.DUMMYFUNCTION("""COMPUTED_VALUE"""),"jam")</f>
        <v>jam</v>
      </c>
      <c r="C7679" t="str">
        <f>IFERROR(__xludf.DUMMYFUNCTION("""COMPUTED_VALUE"""),"Jamaica")</f>
        <v>Jamaica</v>
      </c>
      <c r="D7679">
        <f>IFERROR(__xludf.DUMMYFUNCTION("""COMPUTED_VALUE"""),1981.0)</f>
        <v>1981</v>
      </c>
      <c r="E7679">
        <f>IFERROR(__xludf.DUMMYFUNCTION("""COMPUTED_VALUE"""),2197583.0)</f>
        <v>2197583</v>
      </c>
    </row>
    <row r="7680">
      <c r="A7680" t="str">
        <f t="shared" si="1"/>
        <v>jam#1982</v>
      </c>
      <c r="B7680" t="str">
        <f>IFERROR(__xludf.DUMMYFUNCTION("""COMPUTED_VALUE"""),"jam")</f>
        <v>jam</v>
      </c>
      <c r="C7680" t="str">
        <f>IFERROR(__xludf.DUMMYFUNCTION("""COMPUTED_VALUE"""),"Jamaica")</f>
        <v>Jamaica</v>
      </c>
      <c r="D7680">
        <f>IFERROR(__xludf.DUMMYFUNCTION("""COMPUTED_VALUE"""),1982.0)</f>
        <v>1982</v>
      </c>
      <c r="E7680">
        <f>IFERROR(__xludf.DUMMYFUNCTION("""COMPUTED_VALUE"""),2235327.0)</f>
        <v>2235327</v>
      </c>
    </row>
    <row r="7681">
      <c r="A7681" t="str">
        <f t="shared" si="1"/>
        <v>jam#1983</v>
      </c>
      <c r="B7681" t="str">
        <f>IFERROR(__xludf.DUMMYFUNCTION("""COMPUTED_VALUE"""),"jam")</f>
        <v>jam</v>
      </c>
      <c r="C7681" t="str">
        <f>IFERROR(__xludf.DUMMYFUNCTION("""COMPUTED_VALUE"""),"Jamaica")</f>
        <v>Jamaica</v>
      </c>
      <c r="D7681">
        <f>IFERROR(__xludf.DUMMYFUNCTION("""COMPUTED_VALUE"""),1983.0)</f>
        <v>1983</v>
      </c>
      <c r="E7681">
        <f>IFERROR(__xludf.DUMMYFUNCTION("""COMPUTED_VALUE"""),2273666.0)</f>
        <v>2273666</v>
      </c>
    </row>
    <row r="7682">
      <c r="A7682" t="str">
        <f t="shared" si="1"/>
        <v>jam#1984</v>
      </c>
      <c r="B7682" t="str">
        <f>IFERROR(__xludf.DUMMYFUNCTION("""COMPUTED_VALUE"""),"jam")</f>
        <v>jam</v>
      </c>
      <c r="C7682" t="str">
        <f>IFERROR(__xludf.DUMMYFUNCTION("""COMPUTED_VALUE"""),"Jamaica")</f>
        <v>Jamaica</v>
      </c>
      <c r="D7682">
        <f>IFERROR(__xludf.DUMMYFUNCTION("""COMPUTED_VALUE"""),1984.0)</f>
        <v>1984</v>
      </c>
      <c r="E7682">
        <f>IFERROR(__xludf.DUMMYFUNCTION("""COMPUTED_VALUE"""),2308947.0)</f>
        <v>2308947</v>
      </c>
    </row>
    <row r="7683">
      <c r="A7683" t="str">
        <f t="shared" si="1"/>
        <v>jam#1985</v>
      </c>
      <c r="B7683" t="str">
        <f>IFERROR(__xludf.DUMMYFUNCTION("""COMPUTED_VALUE"""),"jam")</f>
        <v>jam</v>
      </c>
      <c r="C7683" t="str">
        <f>IFERROR(__xludf.DUMMYFUNCTION("""COMPUTED_VALUE"""),"Jamaica")</f>
        <v>Jamaica</v>
      </c>
      <c r="D7683">
        <f>IFERROR(__xludf.DUMMYFUNCTION("""COMPUTED_VALUE"""),1985.0)</f>
        <v>1985</v>
      </c>
      <c r="E7683">
        <f>IFERROR(__xludf.DUMMYFUNCTION("""COMPUTED_VALUE"""),2338638.0)</f>
        <v>2338638</v>
      </c>
    </row>
    <row r="7684">
      <c r="A7684" t="str">
        <f t="shared" si="1"/>
        <v>jam#1986</v>
      </c>
      <c r="B7684" t="str">
        <f>IFERROR(__xludf.DUMMYFUNCTION("""COMPUTED_VALUE"""),"jam")</f>
        <v>jam</v>
      </c>
      <c r="C7684" t="str">
        <f>IFERROR(__xludf.DUMMYFUNCTION("""COMPUTED_VALUE"""),"Jamaica")</f>
        <v>Jamaica</v>
      </c>
      <c r="D7684">
        <f>IFERROR(__xludf.DUMMYFUNCTION("""COMPUTED_VALUE"""),1986.0)</f>
        <v>1986</v>
      </c>
      <c r="E7684">
        <f>IFERROR(__xludf.DUMMYFUNCTION("""COMPUTED_VALUE"""),2361720.0)</f>
        <v>2361720</v>
      </c>
    </row>
    <row r="7685">
      <c r="A7685" t="str">
        <f t="shared" si="1"/>
        <v>jam#1987</v>
      </c>
      <c r="B7685" t="str">
        <f>IFERROR(__xludf.DUMMYFUNCTION("""COMPUTED_VALUE"""),"jam")</f>
        <v>jam</v>
      </c>
      <c r="C7685" t="str">
        <f>IFERROR(__xludf.DUMMYFUNCTION("""COMPUTED_VALUE"""),"Jamaica")</f>
        <v>Jamaica</v>
      </c>
      <c r="D7685">
        <f>IFERROR(__xludf.DUMMYFUNCTION("""COMPUTED_VALUE"""),1987.0)</f>
        <v>1987</v>
      </c>
      <c r="E7685">
        <f>IFERROR(__xludf.DUMMYFUNCTION("""COMPUTED_VALUE"""),2379279.0)</f>
        <v>2379279</v>
      </c>
    </row>
    <row r="7686">
      <c r="A7686" t="str">
        <f t="shared" si="1"/>
        <v>jam#1988</v>
      </c>
      <c r="B7686" t="str">
        <f>IFERROR(__xludf.DUMMYFUNCTION("""COMPUTED_VALUE"""),"jam")</f>
        <v>jam</v>
      </c>
      <c r="C7686" t="str">
        <f>IFERROR(__xludf.DUMMYFUNCTION("""COMPUTED_VALUE"""),"Jamaica")</f>
        <v>Jamaica</v>
      </c>
      <c r="D7686">
        <f>IFERROR(__xludf.DUMMYFUNCTION("""COMPUTED_VALUE"""),1988.0)</f>
        <v>1988</v>
      </c>
      <c r="E7686">
        <f>IFERROR(__xludf.DUMMYFUNCTION("""COMPUTED_VALUE"""),2393534.0)</f>
        <v>2393534</v>
      </c>
    </row>
    <row r="7687">
      <c r="A7687" t="str">
        <f t="shared" si="1"/>
        <v>jam#1989</v>
      </c>
      <c r="B7687" t="str">
        <f>IFERROR(__xludf.DUMMYFUNCTION("""COMPUTED_VALUE"""),"jam")</f>
        <v>jam</v>
      </c>
      <c r="C7687" t="str">
        <f>IFERROR(__xludf.DUMMYFUNCTION("""COMPUTED_VALUE"""),"Jamaica")</f>
        <v>Jamaica</v>
      </c>
      <c r="D7687">
        <f>IFERROR(__xludf.DUMMYFUNCTION("""COMPUTED_VALUE"""),1989.0)</f>
        <v>1989</v>
      </c>
      <c r="E7687">
        <f>IFERROR(__xludf.DUMMYFUNCTION("""COMPUTED_VALUE"""),2407720.0)</f>
        <v>2407720</v>
      </c>
    </row>
    <row r="7688">
      <c r="A7688" t="str">
        <f t="shared" si="1"/>
        <v>jam#1990</v>
      </c>
      <c r="B7688" t="str">
        <f>IFERROR(__xludf.DUMMYFUNCTION("""COMPUTED_VALUE"""),"jam")</f>
        <v>jam</v>
      </c>
      <c r="C7688" t="str">
        <f>IFERROR(__xludf.DUMMYFUNCTION("""COMPUTED_VALUE"""),"Jamaica")</f>
        <v>Jamaica</v>
      </c>
      <c r="D7688">
        <f>IFERROR(__xludf.DUMMYFUNCTION("""COMPUTED_VALUE"""),1990.0)</f>
        <v>1990</v>
      </c>
      <c r="E7688">
        <f>IFERROR(__xludf.DUMMYFUNCTION("""COMPUTED_VALUE"""),2424242.0)</f>
        <v>2424242</v>
      </c>
    </row>
    <row r="7689">
      <c r="A7689" t="str">
        <f t="shared" si="1"/>
        <v>jam#1991</v>
      </c>
      <c r="B7689" t="str">
        <f>IFERROR(__xludf.DUMMYFUNCTION("""COMPUTED_VALUE"""),"jam")</f>
        <v>jam</v>
      </c>
      <c r="C7689" t="str">
        <f>IFERROR(__xludf.DUMMYFUNCTION("""COMPUTED_VALUE"""),"Jamaica")</f>
        <v>Jamaica</v>
      </c>
      <c r="D7689">
        <f>IFERROR(__xludf.DUMMYFUNCTION("""COMPUTED_VALUE"""),1991.0)</f>
        <v>1991</v>
      </c>
      <c r="E7689">
        <f>IFERROR(__xludf.DUMMYFUNCTION("""COMPUTED_VALUE"""),2443689.0)</f>
        <v>2443689</v>
      </c>
    </row>
    <row r="7690">
      <c r="A7690" t="str">
        <f t="shared" si="1"/>
        <v>jam#1992</v>
      </c>
      <c r="B7690" t="str">
        <f>IFERROR(__xludf.DUMMYFUNCTION("""COMPUTED_VALUE"""),"jam")</f>
        <v>jam</v>
      </c>
      <c r="C7690" t="str">
        <f>IFERROR(__xludf.DUMMYFUNCTION("""COMPUTED_VALUE"""),"Jamaica")</f>
        <v>Jamaica</v>
      </c>
      <c r="D7690">
        <f>IFERROR(__xludf.DUMMYFUNCTION("""COMPUTED_VALUE"""),1992.0)</f>
        <v>1992</v>
      </c>
      <c r="E7690">
        <f>IFERROR(__xludf.DUMMYFUNCTION("""COMPUTED_VALUE"""),2465362.0)</f>
        <v>2465362</v>
      </c>
    </row>
    <row r="7691">
      <c r="A7691" t="str">
        <f t="shared" si="1"/>
        <v>jam#1993</v>
      </c>
      <c r="B7691" t="str">
        <f>IFERROR(__xludf.DUMMYFUNCTION("""COMPUTED_VALUE"""),"jam")</f>
        <v>jam</v>
      </c>
      <c r="C7691" t="str">
        <f>IFERROR(__xludf.DUMMYFUNCTION("""COMPUTED_VALUE"""),"Jamaica")</f>
        <v>Jamaica</v>
      </c>
      <c r="D7691">
        <f>IFERROR(__xludf.DUMMYFUNCTION("""COMPUTED_VALUE"""),1993.0)</f>
        <v>1993</v>
      </c>
      <c r="E7691">
        <f>IFERROR(__xludf.DUMMYFUNCTION("""COMPUTED_VALUE"""),2488782.0)</f>
        <v>2488782</v>
      </c>
    </row>
    <row r="7692">
      <c r="A7692" t="str">
        <f t="shared" si="1"/>
        <v>jam#1994</v>
      </c>
      <c r="B7692" t="str">
        <f>IFERROR(__xludf.DUMMYFUNCTION("""COMPUTED_VALUE"""),"jam")</f>
        <v>jam</v>
      </c>
      <c r="C7692" t="str">
        <f>IFERROR(__xludf.DUMMYFUNCTION("""COMPUTED_VALUE"""),"Jamaica")</f>
        <v>Jamaica</v>
      </c>
      <c r="D7692">
        <f>IFERROR(__xludf.DUMMYFUNCTION("""COMPUTED_VALUE"""),1994.0)</f>
        <v>1994</v>
      </c>
      <c r="E7692">
        <f>IFERROR(__xludf.DUMMYFUNCTION("""COMPUTED_VALUE"""),2513049.0)</f>
        <v>2513049</v>
      </c>
    </row>
    <row r="7693">
      <c r="A7693" t="str">
        <f t="shared" si="1"/>
        <v>jam#1995</v>
      </c>
      <c r="B7693" t="str">
        <f>IFERROR(__xludf.DUMMYFUNCTION("""COMPUTED_VALUE"""),"jam")</f>
        <v>jam</v>
      </c>
      <c r="C7693" t="str">
        <f>IFERROR(__xludf.DUMMYFUNCTION("""COMPUTED_VALUE"""),"Jamaica")</f>
        <v>Jamaica</v>
      </c>
      <c r="D7693">
        <f>IFERROR(__xludf.DUMMYFUNCTION("""COMPUTED_VALUE"""),1995.0)</f>
        <v>1995</v>
      </c>
      <c r="E7693">
        <f>IFERROR(__xludf.DUMMYFUNCTION("""COMPUTED_VALUE"""),2537440.0)</f>
        <v>2537440</v>
      </c>
    </row>
    <row r="7694">
      <c r="A7694" t="str">
        <f t="shared" si="1"/>
        <v>jam#1996</v>
      </c>
      <c r="B7694" t="str">
        <f>IFERROR(__xludf.DUMMYFUNCTION("""COMPUTED_VALUE"""),"jam")</f>
        <v>jam</v>
      </c>
      <c r="C7694" t="str">
        <f>IFERROR(__xludf.DUMMYFUNCTION("""COMPUTED_VALUE"""),"Jamaica")</f>
        <v>Jamaica</v>
      </c>
      <c r="D7694">
        <f>IFERROR(__xludf.DUMMYFUNCTION("""COMPUTED_VALUE"""),1996.0)</f>
        <v>1996</v>
      </c>
      <c r="E7694">
        <f>IFERROR(__xludf.DUMMYFUNCTION("""COMPUTED_VALUE"""),2561993.0)</f>
        <v>2561993</v>
      </c>
    </row>
    <row r="7695">
      <c r="A7695" t="str">
        <f t="shared" si="1"/>
        <v>jam#1997</v>
      </c>
      <c r="B7695" t="str">
        <f>IFERROR(__xludf.DUMMYFUNCTION("""COMPUTED_VALUE"""),"jam")</f>
        <v>jam</v>
      </c>
      <c r="C7695" t="str">
        <f>IFERROR(__xludf.DUMMYFUNCTION("""COMPUTED_VALUE"""),"Jamaica")</f>
        <v>Jamaica</v>
      </c>
      <c r="D7695">
        <f>IFERROR(__xludf.DUMMYFUNCTION("""COMPUTED_VALUE"""),1997.0)</f>
        <v>1997</v>
      </c>
      <c r="E7695">
        <f>IFERROR(__xludf.DUMMYFUNCTION("""COMPUTED_VALUE"""),2586827.0)</f>
        <v>2586827</v>
      </c>
    </row>
    <row r="7696">
      <c r="A7696" t="str">
        <f t="shared" si="1"/>
        <v>jam#1998</v>
      </c>
      <c r="B7696" t="str">
        <f>IFERROR(__xludf.DUMMYFUNCTION("""COMPUTED_VALUE"""),"jam")</f>
        <v>jam</v>
      </c>
      <c r="C7696" t="str">
        <f>IFERROR(__xludf.DUMMYFUNCTION("""COMPUTED_VALUE"""),"Jamaica")</f>
        <v>Jamaica</v>
      </c>
      <c r="D7696">
        <f>IFERROR(__xludf.DUMMYFUNCTION("""COMPUTED_VALUE"""),1998.0)</f>
        <v>1998</v>
      </c>
      <c r="E7696">
        <f>IFERROR(__xludf.DUMMYFUNCTION("""COMPUTED_VALUE"""),2611367.0)</f>
        <v>2611367</v>
      </c>
    </row>
    <row r="7697">
      <c r="A7697" t="str">
        <f t="shared" si="1"/>
        <v>jam#1999</v>
      </c>
      <c r="B7697" t="str">
        <f>IFERROR(__xludf.DUMMYFUNCTION("""COMPUTED_VALUE"""),"jam")</f>
        <v>jam</v>
      </c>
      <c r="C7697" t="str">
        <f>IFERROR(__xludf.DUMMYFUNCTION("""COMPUTED_VALUE"""),"Jamaica")</f>
        <v>Jamaica</v>
      </c>
      <c r="D7697">
        <f>IFERROR(__xludf.DUMMYFUNCTION("""COMPUTED_VALUE"""),1999.0)</f>
        <v>1999</v>
      </c>
      <c r="E7697">
        <f>IFERROR(__xludf.DUMMYFUNCTION("""COMPUTED_VALUE"""),2634882.0)</f>
        <v>2634882</v>
      </c>
    </row>
    <row r="7698">
      <c r="A7698" t="str">
        <f t="shared" si="1"/>
        <v>jam#2000</v>
      </c>
      <c r="B7698" t="str">
        <f>IFERROR(__xludf.DUMMYFUNCTION("""COMPUTED_VALUE"""),"jam")</f>
        <v>jam</v>
      </c>
      <c r="C7698" t="str">
        <f>IFERROR(__xludf.DUMMYFUNCTION("""COMPUTED_VALUE"""),"Jamaica")</f>
        <v>Jamaica</v>
      </c>
      <c r="D7698">
        <f>IFERROR(__xludf.DUMMYFUNCTION("""COMPUTED_VALUE"""),2000.0)</f>
        <v>2000</v>
      </c>
      <c r="E7698">
        <f>IFERROR(__xludf.DUMMYFUNCTION("""COMPUTED_VALUE"""),2656864.0)</f>
        <v>2656864</v>
      </c>
    </row>
    <row r="7699">
      <c r="A7699" t="str">
        <f t="shared" si="1"/>
        <v>jam#2001</v>
      </c>
      <c r="B7699" t="str">
        <f>IFERROR(__xludf.DUMMYFUNCTION("""COMPUTED_VALUE"""),"jam")</f>
        <v>jam</v>
      </c>
      <c r="C7699" t="str">
        <f>IFERROR(__xludf.DUMMYFUNCTION("""COMPUTED_VALUE"""),"Jamaica")</f>
        <v>Jamaica</v>
      </c>
      <c r="D7699">
        <f>IFERROR(__xludf.DUMMYFUNCTION("""COMPUTED_VALUE"""),2001.0)</f>
        <v>2001</v>
      </c>
      <c r="E7699">
        <f>IFERROR(__xludf.DUMMYFUNCTION("""COMPUTED_VALUE"""),2677011.0)</f>
        <v>2677011</v>
      </c>
    </row>
    <row r="7700">
      <c r="A7700" t="str">
        <f t="shared" si="1"/>
        <v>jam#2002</v>
      </c>
      <c r="B7700" t="str">
        <f>IFERROR(__xludf.DUMMYFUNCTION("""COMPUTED_VALUE"""),"jam")</f>
        <v>jam</v>
      </c>
      <c r="C7700" t="str">
        <f>IFERROR(__xludf.DUMMYFUNCTION("""COMPUTED_VALUE"""),"Jamaica")</f>
        <v>Jamaica</v>
      </c>
      <c r="D7700">
        <f>IFERROR(__xludf.DUMMYFUNCTION("""COMPUTED_VALUE"""),2002.0)</f>
        <v>2002</v>
      </c>
      <c r="E7700">
        <f>IFERROR(__xludf.DUMMYFUNCTION("""COMPUTED_VALUE"""),2695446.0)</f>
        <v>2695446</v>
      </c>
    </row>
    <row r="7701">
      <c r="A7701" t="str">
        <f t="shared" si="1"/>
        <v>jam#2003</v>
      </c>
      <c r="B7701" t="str">
        <f>IFERROR(__xludf.DUMMYFUNCTION("""COMPUTED_VALUE"""),"jam")</f>
        <v>jam</v>
      </c>
      <c r="C7701" t="str">
        <f>IFERROR(__xludf.DUMMYFUNCTION("""COMPUTED_VALUE"""),"Jamaica")</f>
        <v>Jamaica</v>
      </c>
      <c r="D7701">
        <f>IFERROR(__xludf.DUMMYFUNCTION("""COMPUTED_VALUE"""),2003.0)</f>
        <v>2003</v>
      </c>
      <c r="E7701">
        <f>IFERROR(__xludf.DUMMYFUNCTION("""COMPUTED_VALUE"""),2712511.0)</f>
        <v>2712511</v>
      </c>
    </row>
    <row r="7702">
      <c r="A7702" t="str">
        <f t="shared" si="1"/>
        <v>jam#2004</v>
      </c>
      <c r="B7702" t="str">
        <f>IFERROR(__xludf.DUMMYFUNCTION("""COMPUTED_VALUE"""),"jam")</f>
        <v>jam</v>
      </c>
      <c r="C7702" t="str">
        <f>IFERROR(__xludf.DUMMYFUNCTION("""COMPUTED_VALUE"""),"Jamaica")</f>
        <v>Jamaica</v>
      </c>
      <c r="D7702">
        <f>IFERROR(__xludf.DUMMYFUNCTION("""COMPUTED_VALUE"""),2004.0)</f>
        <v>2004</v>
      </c>
      <c r="E7702">
        <f>IFERROR(__xludf.DUMMYFUNCTION("""COMPUTED_VALUE"""),2728777.0)</f>
        <v>2728777</v>
      </c>
    </row>
    <row r="7703">
      <c r="A7703" t="str">
        <f t="shared" si="1"/>
        <v>jam#2005</v>
      </c>
      <c r="B7703" t="str">
        <f>IFERROR(__xludf.DUMMYFUNCTION("""COMPUTED_VALUE"""),"jam")</f>
        <v>jam</v>
      </c>
      <c r="C7703" t="str">
        <f>IFERROR(__xludf.DUMMYFUNCTION("""COMPUTED_VALUE"""),"Jamaica")</f>
        <v>Jamaica</v>
      </c>
      <c r="D7703">
        <f>IFERROR(__xludf.DUMMYFUNCTION("""COMPUTED_VALUE"""),2005.0)</f>
        <v>2005</v>
      </c>
      <c r="E7703">
        <f>IFERROR(__xludf.DUMMYFUNCTION("""COMPUTED_VALUE"""),2744673.0)</f>
        <v>2744673</v>
      </c>
    </row>
    <row r="7704">
      <c r="A7704" t="str">
        <f t="shared" si="1"/>
        <v>jam#2006</v>
      </c>
      <c r="B7704" t="str">
        <f>IFERROR(__xludf.DUMMYFUNCTION("""COMPUTED_VALUE"""),"jam")</f>
        <v>jam</v>
      </c>
      <c r="C7704" t="str">
        <f>IFERROR(__xludf.DUMMYFUNCTION("""COMPUTED_VALUE"""),"Jamaica")</f>
        <v>Jamaica</v>
      </c>
      <c r="D7704">
        <f>IFERROR(__xludf.DUMMYFUNCTION("""COMPUTED_VALUE"""),2006.0)</f>
        <v>2006</v>
      </c>
      <c r="E7704">
        <f>IFERROR(__xludf.DUMMYFUNCTION("""COMPUTED_VALUE"""),2760279.0)</f>
        <v>2760279</v>
      </c>
    </row>
    <row r="7705">
      <c r="A7705" t="str">
        <f t="shared" si="1"/>
        <v>jam#2007</v>
      </c>
      <c r="B7705" t="str">
        <f>IFERROR(__xludf.DUMMYFUNCTION("""COMPUTED_VALUE"""),"jam")</f>
        <v>jam</v>
      </c>
      <c r="C7705" t="str">
        <f>IFERROR(__xludf.DUMMYFUNCTION("""COMPUTED_VALUE"""),"Jamaica")</f>
        <v>Jamaica</v>
      </c>
      <c r="D7705">
        <f>IFERROR(__xludf.DUMMYFUNCTION("""COMPUTED_VALUE"""),2007.0)</f>
        <v>2007</v>
      </c>
      <c r="E7705">
        <f>IFERROR(__xludf.DUMMYFUNCTION("""COMPUTED_VALUE"""),2775467.0)</f>
        <v>2775467</v>
      </c>
    </row>
    <row r="7706">
      <c r="A7706" t="str">
        <f t="shared" si="1"/>
        <v>jam#2008</v>
      </c>
      <c r="B7706" t="str">
        <f>IFERROR(__xludf.DUMMYFUNCTION("""COMPUTED_VALUE"""),"jam")</f>
        <v>jam</v>
      </c>
      <c r="C7706" t="str">
        <f>IFERROR(__xludf.DUMMYFUNCTION("""COMPUTED_VALUE"""),"Jamaica")</f>
        <v>Jamaica</v>
      </c>
      <c r="D7706">
        <f>IFERROR(__xludf.DUMMYFUNCTION("""COMPUTED_VALUE"""),2008.0)</f>
        <v>2008</v>
      </c>
      <c r="E7706">
        <f>IFERROR(__xludf.DUMMYFUNCTION("""COMPUTED_VALUE"""),2790122.0)</f>
        <v>2790122</v>
      </c>
    </row>
    <row r="7707">
      <c r="A7707" t="str">
        <f t="shared" si="1"/>
        <v>jam#2009</v>
      </c>
      <c r="B7707" t="str">
        <f>IFERROR(__xludf.DUMMYFUNCTION("""COMPUTED_VALUE"""),"jam")</f>
        <v>jam</v>
      </c>
      <c r="C7707" t="str">
        <f>IFERROR(__xludf.DUMMYFUNCTION("""COMPUTED_VALUE"""),"Jamaica")</f>
        <v>Jamaica</v>
      </c>
      <c r="D7707">
        <f>IFERROR(__xludf.DUMMYFUNCTION("""COMPUTED_VALUE"""),2009.0)</f>
        <v>2009</v>
      </c>
      <c r="E7707">
        <f>IFERROR(__xludf.DUMMYFUNCTION("""COMPUTED_VALUE"""),2804082.0)</f>
        <v>2804082</v>
      </c>
    </row>
    <row r="7708">
      <c r="A7708" t="str">
        <f t="shared" si="1"/>
        <v>jam#2010</v>
      </c>
      <c r="B7708" t="str">
        <f>IFERROR(__xludf.DUMMYFUNCTION("""COMPUTED_VALUE"""),"jam")</f>
        <v>jam</v>
      </c>
      <c r="C7708" t="str">
        <f>IFERROR(__xludf.DUMMYFUNCTION("""COMPUTED_VALUE"""),"Jamaica")</f>
        <v>Jamaica</v>
      </c>
      <c r="D7708">
        <f>IFERROR(__xludf.DUMMYFUNCTION("""COMPUTED_VALUE"""),2010.0)</f>
        <v>2010</v>
      </c>
      <c r="E7708">
        <f>IFERROR(__xludf.DUMMYFUNCTION("""COMPUTED_VALUE"""),2817210.0)</f>
        <v>2817210</v>
      </c>
    </row>
    <row r="7709">
      <c r="A7709" t="str">
        <f t="shared" si="1"/>
        <v>jam#2011</v>
      </c>
      <c r="B7709" t="str">
        <f>IFERROR(__xludf.DUMMYFUNCTION("""COMPUTED_VALUE"""),"jam")</f>
        <v>jam</v>
      </c>
      <c r="C7709" t="str">
        <f>IFERROR(__xludf.DUMMYFUNCTION("""COMPUTED_VALUE"""),"Jamaica")</f>
        <v>Jamaica</v>
      </c>
      <c r="D7709">
        <f>IFERROR(__xludf.DUMMYFUNCTION("""COMPUTED_VALUE"""),2011.0)</f>
        <v>2011</v>
      </c>
      <c r="E7709">
        <f>IFERROR(__xludf.DUMMYFUNCTION("""COMPUTED_VALUE"""),2829493.0)</f>
        <v>2829493</v>
      </c>
    </row>
    <row r="7710">
      <c r="A7710" t="str">
        <f t="shared" si="1"/>
        <v>jam#2012</v>
      </c>
      <c r="B7710" t="str">
        <f>IFERROR(__xludf.DUMMYFUNCTION("""COMPUTED_VALUE"""),"jam")</f>
        <v>jam</v>
      </c>
      <c r="C7710" t="str">
        <f>IFERROR(__xludf.DUMMYFUNCTION("""COMPUTED_VALUE"""),"Jamaica")</f>
        <v>Jamaica</v>
      </c>
      <c r="D7710">
        <f>IFERROR(__xludf.DUMMYFUNCTION("""COMPUTED_VALUE"""),2012.0)</f>
        <v>2012</v>
      </c>
      <c r="E7710">
        <f>IFERROR(__xludf.DUMMYFUNCTION("""COMPUTED_VALUE"""),2840992.0)</f>
        <v>2840992</v>
      </c>
    </row>
    <row r="7711">
      <c r="A7711" t="str">
        <f t="shared" si="1"/>
        <v>jam#2013</v>
      </c>
      <c r="B7711" t="str">
        <f>IFERROR(__xludf.DUMMYFUNCTION("""COMPUTED_VALUE"""),"jam")</f>
        <v>jam</v>
      </c>
      <c r="C7711" t="str">
        <f>IFERROR(__xludf.DUMMYFUNCTION("""COMPUTED_VALUE"""),"Jamaica")</f>
        <v>Jamaica</v>
      </c>
      <c r="D7711">
        <f>IFERROR(__xludf.DUMMYFUNCTION("""COMPUTED_VALUE"""),2013.0)</f>
        <v>2013</v>
      </c>
      <c r="E7711">
        <f>IFERROR(__xludf.DUMMYFUNCTION("""COMPUTED_VALUE"""),2851807.0)</f>
        <v>2851807</v>
      </c>
    </row>
    <row r="7712">
      <c r="A7712" t="str">
        <f t="shared" si="1"/>
        <v>jam#2014</v>
      </c>
      <c r="B7712" t="str">
        <f>IFERROR(__xludf.DUMMYFUNCTION("""COMPUTED_VALUE"""),"jam")</f>
        <v>jam</v>
      </c>
      <c r="C7712" t="str">
        <f>IFERROR(__xludf.DUMMYFUNCTION("""COMPUTED_VALUE"""),"Jamaica")</f>
        <v>Jamaica</v>
      </c>
      <c r="D7712">
        <f>IFERROR(__xludf.DUMMYFUNCTION("""COMPUTED_VALUE"""),2014.0)</f>
        <v>2014</v>
      </c>
      <c r="E7712">
        <f>IFERROR(__xludf.DUMMYFUNCTION("""COMPUTED_VALUE"""),2862087.0)</f>
        <v>2862087</v>
      </c>
    </row>
    <row r="7713">
      <c r="A7713" t="str">
        <f t="shared" si="1"/>
        <v>jam#2015</v>
      </c>
      <c r="B7713" t="str">
        <f>IFERROR(__xludf.DUMMYFUNCTION("""COMPUTED_VALUE"""),"jam")</f>
        <v>jam</v>
      </c>
      <c r="C7713" t="str">
        <f>IFERROR(__xludf.DUMMYFUNCTION("""COMPUTED_VALUE"""),"Jamaica")</f>
        <v>Jamaica</v>
      </c>
      <c r="D7713">
        <f>IFERROR(__xludf.DUMMYFUNCTION("""COMPUTED_VALUE"""),2015.0)</f>
        <v>2015</v>
      </c>
      <c r="E7713">
        <f>IFERROR(__xludf.DUMMYFUNCTION("""COMPUTED_VALUE"""),2871934.0)</f>
        <v>2871934</v>
      </c>
    </row>
    <row r="7714">
      <c r="A7714" t="str">
        <f t="shared" si="1"/>
        <v>jam#2016</v>
      </c>
      <c r="B7714" t="str">
        <f>IFERROR(__xludf.DUMMYFUNCTION("""COMPUTED_VALUE"""),"jam")</f>
        <v>jam</v>
      </c>
      <c r="C7714" t="str">
        <f>IFERROR(__xludf.DUMMYFUNCTION("""COMPUTED_VALUE"""),"Jamaica")</f>
        <v>Jamaica</v>
      </c>
      <c r="D7714">
        <f>IFERROR(__xludf.DUMMYFUNCTION("""COMPUTED_VALUE"""),2016.0)</f>
        <v>2016</v>
      </c>
      <c r="E7714">
        <f>IFERROR(__xludf.DUMMYFUNCTION("""COMPUTED_VALUE"""),2881355.0)</f>
        <v>2881355</v>
      </c>
    </row>
    <row r="7715">
      <c r="A7715" t="str">
        <f t="shared" si="1"/>
        <v>jam#2017</v>
      </c>
      <c r="B7715" t="str">
        <f>IFERROR(__xludf.DUMMYFUNCTION("""COMPUTED_VALUE"""),"jam")</f>
        <v>jam</v>
      </c>
      <c r="C7715" t="str">
        <f>IFERROR(__xludf.DUMMYFUNCTION("""COMPUTED_VALUE"""),"Jamaica")</f>
        <v>Jamaica</v>
      </c>
      <c r="D7715">
        <f>IFERROR(__xludf.DUMMYFUNCTION("""COMPUTED_VALUE"""),2017.0)</f>
        <v>2017</v>
      </c>
      <c r="E7715">
        <f>IFERROR(__xludf.DUMMYFUNCTION("""COMPUTED_VALUE"""),2890299.0)</f>
        <v>2890299</v>
      </c>
    </row>
    <row r="7716">
      <c r="A7716" t="str">
        <f t="shared" si="1"/>
        <v>jam#2018</v>
      </c>
      <c r="B7716" t="str">
        <f>IFERROR(__xludf.DUMMYFUNCTION("""COMPUTED_VALUE"""),"jam")</f>
        <v>jam</v>
      </c>
      <c r="C7716" t="str">
        <f>IFERROR(__xludf.DUMMYFUNCTION("""COMPUTED_VALUE"""),"Jamaica")</f>
        <v>Jamaica</v>
      </c>
      <c r="D7716">
        <f>IFERROR(__xludf.DUMMYFUNCTION("""COMPUTED_VALUE"""),2018.0)</f>
        <v>2018</v>
      </c>
      <c r="E7716">
        <f>IFERROR(__xludf.DUMMYFUNCTION("""COMPUTED_VALUE"""),2898677.0)</f>
        <v>2898677</v>
      </c>
    </row>
    <row r="7717">
      <c r="A7717" t="str">
        <f t="shared" si="1"/>
        <v>jam#2019</v>
      </c>
      <c r="B7717" t="str">
        <f>IFERROR(__xludf.DUMMYFUNCTION("""COMPUTED_VALUE"""),"jam")</f>
        <v>jam</v>
      </c>
      <c r="C7717" t="str">
        <f>IFERROR(__xludf.DUMMYFUNCTION("""COMPUTED_VALUE"""),"Jamaica")</f>
        <v>Jamaica</v>
      </c>
      <c r="D7717">
        <f>IFERROR(__xludf.DUMMYFUNCTION("""COMPUTED_VALUE"""),2019.0)</f>
        <v>2019</v>
      </c>
      <c r="E7717">
        <f>IFERROR(__xludf.DUMMYFUNCTION("""COMPUTED_VALUE"""),2906339.0)</f>
        <v>2906339</v>
      </c>
    </row>
    <row r="7718">
      <c r="A7718" t="str">
        <f t="shared" si="1"/>
        <v>jam#2020</v>
      </c>
      <c r="B7718" t="str">
        <f>IFERROR(__xludf.DUMMYFUNCTION("""COMPUTED_VALUE"""),"jam")</f>
        <v>jam</v>
      </c>
      <c r="C7718" t="str">
        <f>IFERROR(__xludf.DUMMYFUNCTION("""COMPUTED_VALUE"""),"Jamaica")</f>
        <v>Jamaica</v>
      </c>
      <c r="D7718">
        <f>IFERROR(__xludf.DUMMYFUNCTION("""COMPUTED_VALUE"""),2020.0)</f>
        <v>2020</v>
      </c>
      <c r="E7718">
        <f>IFERROR(__xludf.DUMMYFUNCTION("""COMPUTED_VALUE"""),2913160.0)</f>
        <v>2913160</v>
      </c>
    </row>
    <row r="7719">
      <c r="A7719" t="str">
        <f t="shared" si="1"/>
        <v>jam#2021</v>
      </c>
      <c r="B7719" t="str">
        <f>IFERROR(__xludf.DUMMYFUNCTION("""COMPUTED_VALUE"""),"jam")</f>
        <v>jam</v>
      </c>
      <c r="C7719" t="str">
        <f>IFERROR(__xludf.DUMMYFUNCTION("""COMPUTED_VALUE"""),"Jamaica")</f>
        <v>Jamaica</v>
      </c>
      <c r="D7719">
        <f>IFERROR(__xludf.DUMMYFUNCTION("""COMPUTED_VALUE"""),2021.0)</f>
        <v>2021</v>
      </c>
      <c r="E7719">
        <f>IFERROR(__xludf.DUMMYFUNCTION("""COMPUTED_VALUE"""),2919128.0)</f>
        <v>2919128</v>
      </c>
    </row>
    <row r="7720">
      <c r="A7720" t="str">
        <f t="shared" si="1"/>
        <v>jam#2022</v>
      </c>
      <c r="B7720" t="str">
        <f>IFERROR(__xludf.DUMMYFUNCTION("""COMPUTED_VALUE"""),"jam")</f>
        <v>jam</v>
      </c>
      <c r="C7720" t="str">
        <f>IFERROR(__xludf.DUMMYFUNCTION("""COMPUTED_VALUE"""),"Jamaica")</f>
        <v>Jamaica</v>
      </c>
      <c r="D7720">
        <f>IFERROR(__xludf.DUMMYFUNCTION("""COMPUTED_VALUE"""),2022.0)</f>
        <v>2022</v>
      </c>
      <c r="E7720">
        <f>IFERROR(__xludf.DUMMYFUNCTION("""COMPUTED_VALUE"""),2924226.0)</f>
        <v>2924226</v>
      </c>
    </row>
    <row r="7721">
      <c r="A7721" t="str">
        <f t="shared" si="1"/>
        <v>jam#2023</v>
      </c>
      <c r="B7721" t="str">
        <f>IFERROR(__xludf.DUMMYFUNCTION("""COMPUTED_VALUE"""),"jam")</f>
        <v>jam</v>
      </c>
      <c r="C7721" t="str">
        <f>IFERROR(__xludf.DUMMYFUNCTION("""COMPUTED_VALUE"""),"Jamaica")</f>
        <v>Jamaica</v>
      </c>
      <c r="D7721">
        <f>IFERROR(__xludf.DUMMYFUNCTION("""COMPUTED_VALUE"""),2023.0)</f>
        <v>2023</v>
      </c>
      <c r="E7721">
        <f>IFERROR(__xludf.DUMMYFUNCTION("""COMPUTED_VALUE"""),2928445.0)</f>
        <v>2928445</v>
      </c>
    </row>
    <row r="7722">
      <c r="A7722" t="str">
        <f t="shared" si="1"/>
        <v>jam#2024</v>
      </c>
      <c r="B7722" t="str">
        <f>IFERROR(__xludf.DUMMYFUNCTION("""COMPUTED_VALUE"""),"jam")</f>
        <v>jam</v>
      </c>
      <c r="C7722" t="str">
        <f>IFERROR(__xludf.DUMMYFUNCTION("""COMPUTED_VALUE"""),"Jamaica")</f>
        <v>Jamaica</v>
      </c>
      <c r="D7722">
        <f>IFERROR(__xludf.DUMMYFUNCTION("""COMPUTED_VALUE"""),2024.0)</f>
        <v>2024</v>
      </c>
      <c r="E7722">
        <f>IFERROR(__xludf.DUMMYFUNCTION("""COMPUTED_VALUE"""),2931784.0)</f>
        <v>2931784</v>
      </c>
    </row>
    <row r="7723">
      <c r="A7723" t="str">
        <f t="shared" si="1"/>
        <v>jam#2025</v>
      </c>
      <c r="B7723" t="str">
        <f>IFERROR(__xludf.DUMMYFUNCTION("""COMPUTED_VALUE"""),"jam")</f>
        <v>jam</v>
      </c>
      <c r="C7723" t="str">
        <f>IFERROR(__xludf.DUMMYFUNCTION("""COMPUTED_VALUE"""),"Jamaica")</f>
        <v>Jamaica</v>
      </c>
      <c r="D7723">
        <f>IFERROR(__xludf.DUMMYFUNCTION("""COMPUTED_VALUE"""),2025.0)</f>
        <v>2025</v>
      </c>
      <c r="E7723">
        <f>IFERROR(__xludf.DUMMYFUNCTION("""COMPUTED_VALUE"""),2934223.0)</f>
        <v>2934223</v>
      </c>
    </row>
    <row r="7724">
      <c r="A7724" t="str">
        <f t="shared" si="1"/>
        <v>jam#2026</v>
      </c>
      <c r="B7724" t="str">
        <f>IFERROR(__xludf.DUMMYFUNCTION("""COMPUTED_VALUE"""),"jam")</f>
        <v>jam</v>
      </c>
      <c r="C7724" t="str">
        <f>IFERROR(__xludf.DUMMYFUNCTION("""COMPUTED_VALUE"""),"Jamaica")</f>
        <v>Jamaica</v>
      </c>
      <c r="D7724">
        <f>IFERROR(__xludf.DUMMYFUNCTION("""COMPUTED_VALUE"""),2026.0)</f>
        <v>2026</v>
      </c>
      <c r="E7724">
        <f>IFERROR(__xludf.DUMMYFUNCTION("""COMPUTED_VALUE"""),2935750.0)</f>
        <v>2935750</v>
      </c>
    </row>
    <row r="7725">
      <c r="A7725" t="str">
        <f t="shared" si="1"/>
        <v>jam#2027</v>
      </c>
      <c r="B7725" t="str">
        <f>IFERROR(__xludf.DUMMYFUNCTION("""COMPUTED_VALUE"""),"jam")</f>
        <v>jam</v>
      </c>
      <c r="C7725" t="str">
        <f>IFERROR(__xludf.DUMMYFUNCTION("""COMPUTED_VALUE"""),"Jamaica")</f>
        <v>Jamaica</v>
      </c>
      <c r="D7725">
        <f>IFERROR(__xludf.DUMMYFUNCTION("""COMPUTED_VALUE"""),2027.0)</f>
        <v>2027</v>
      </c>
      <c r="E7725">
        <f>IFERROR(__xludf.DUMMYFUNCTION("""COMPUTED_VALUE"""),2936344.0)</f>
        <v>2936344</v>
      </c>
    </row>
    <row r="7726">
      <c r="A7726" t="str">
        <f t="shared" si="1"/>
        <v>jam#2028</v>
      </c>
      <c r="B7726" t="str">
        <f>IFERROR(__xludf.DUMMYFUNCTION("""COMPUTED_VALUE"""),"jam")</f>
        <v>jam</v>
      </c>
      <c r="C7726" t="str">
        <f>IFERROR(__xludf.DUMMYFUNCTION("""COMPUTED_VALUE"""),"Jamaica")</f>
        <v>Jamaica</v>
      </c>
      <c r="D7726">
        <f>IFERROR(__xludf.DUMMYFUNCTION("""COMPUTED_VALUE"""),2028.0)</f>
        <v>2028</v>
      </c>
      <c r="E7726">
        <f>IFERROR(__xludf.DUMMYFUNCTION("""COMPUTED_VALUE"""),2935999.0)</f>
        <v>2935999</v>
      </c>
    </row>
    <row r="7727">
      <c r="A7727" t="str">
        <f t="shared" si="1"/>
        <v>jam#2029</v>
      </c>
      <c r="B7727" t="str">
        <f>IFERROR(__xludf.DUMMYFUNCTION("""COMPUTED_VALUE"""),"jam")</f>
        <v>jam</v>
      </c>
      <c r="C7727" t="str">
        <f>IFERROR(__xludf.DUMMYFUNCTION("""COMPUTED_VALUE"""),"Jamaica")</f>
        <v>Jamaica</v>
      </c>
      <c r="D7727">
        <f>IFERROR(__xludf.DUMMYFUNCTION("""COMPUTED_VALUE"""),2029.0)</f>
        <v>2029</v>
      </c>
      <c r="E7727">
        <f>IFERROR(__xludf.DUMMYFUNCTION("""COMPUTED_VALUE"""),2934765.0)</f>
        <v>2934765</v>
      </c>
    </row>
    <row r="7728">
      <c r="A7728" t="str">
        <f t="shared" si="1"/>
        <v>jam#2030</v>
      </c>
      <c r="B7728" t="str">
        <f>IFERROR(__xludf.DUMMYFUNCTION("""COMPUTED_VALUE"""),"jam")</f>
        <v>jam</v>
      </c>
      <c r="C7728" t="str">
        <f>IFERROR(__xludf.DUMMYFUNCTION("""COMPUTED_VALUE"""),"Jamaica")</f>
        <v>Jamaica</v>
      </c>
      <c r="D7728">
        <f>IFERROR(__xludf.DUMMYFUNCTION("""COMPUTED_VALUE"""),2030.0)</f>
        <v>2030</v>
      </c>
      <c r="E7728">
        <f>IFERROR(__xludf.DUMMYFUNCTION("""COMPUTED_VALUE"""),2932629.0)</f>
        <v>2932629</v>
      </c>
    </row>
    <row r="7729">
      <c r="A7729" t="str">
        <f t="shared" si="1"/>
        <v>jam#2031</v>
      </c>
      <c r="B7729" t="str">
        <f>IFERROR(__xludf.DUMMYFUNCTION("""COMPUTED_VALUE"""),"jam")</f>
        <v>jam</v>
      </c>
      <c r="C7729" t="str">
        <f>IFERROR(__xludf.DUMMYFUNCTION("""COMPUTED_VALUE"""),"Jamaica")</f>
        <v>Jamaica</v>
      </c>
      <c r="D7729">
        <f>IFERROR(__xludf.DUMMYFUNCTION("""COMPUTED_VALUE"""),2031.0)</f>
        <v>2031</v>
      </c>
      <c r="E7729">
        <f>IFERROR(__xludf.DUMMYFUNCTION("""COMPUTED_VALUE"""),2929625.0)</f>
        <v>2929625</v>
      </c>
    </row>
    <row r="7730">
      <c r="A7730" t="str">
        <f t="shared" si="1"/>
        <v>jam#2032</v>
      </c>
      <c r="B7730" t="str">
        <f>IFERROR(__xludf.DUMMYFUNCTION("""COMPUTED_VALUE"""),"jam")</f>
        <v>jam</v>
      </c>
      <c r="C7730" t="str">
        <f>IFERROR(__xludf.DUMMYFUNCTION("""COMPUTED_VALUE"""),"Jamaica")</f>
        <v>Jamaica</v>
      </c>
      <c r="D7730">
        <f>IFERROR(__xludf.DUMMYFUNCTION("""COMPUTED_VALUE"""),2032.0)</f>
        <v>2032</v>
      </c>
      <c r="E7730">
        <f>IFERROR(__xludf.DUMMYFUNCTION("""COMPUTED_VALUE"""),2925722.0)</f>
        <v>2925722</v>
      </c>
    </row>
    <row r="7731">
      <c r="A7731" t="str">
        <f t="shared" si="1"/>
        <v>jam#2033</v>
      </c>
      <c r="B7731" t="str">
        <f>IFERROR(__xludf.DUMMYFUNCTION("""COMPUTED_VALUE"""),"jam")</f>
        <v>jam</v>
      </c>
      <c r="C7731" t="str">
        <f>IFERROR(__xludf.DUMMYFUNCTION("""COMPUTED_VALUE"""),"Jamaica")</f>
        <v>Jamaica</v>
      </c>
      <c r="D7731">
        <f>IFERROR(__xludf.DUMMYFUNCTION("""COMPUTED_VALUE"""),2033.0)</f>
        <v>2033</v>
      </c>
      <c r="E7731">
        <f>IFERROR(__xludf.DUMMYFUNCTION("""COMPUTED_VALUE"""),2920875.0)</f>
        <v>2920875</v>
      </c>
    </row>
    <row r="7732">
      <c r="A7732" t="str">
        <f t="shared" si="1"/>
        <v>jam#2034</v>
      </c>
      <c r="B7732" t="str">
        <f>IFERROR(__xludf.DUMMYFUNCTION("""COMPUTED_VALUE"""),"jam")</f>
        <v>jam</v>
      </c>
      <c r="C7732" t="str">
        <f>IFERROR(__xludf.DUMMYFUNCTION("""COMPUTED_VALUE"""),"Jamaica")</f>
        <v>Jamaica</v>
      </c>
      <c r="D7732">
        <f>IFERROR(__xludf.DUMMYFUNCTION("""COMPUTED_VALUE"""),2034.0)</f>
        <v>2034</v>
      </c>
      <c r="E7732">
        <f>IFERROR(__xludf.DUMMYFUNCTION("""COMPUTED_VALUE"""),2915009.0)</f>
        <v>2915009</v>
      </c>
    </row>
    <row r="7733">
      <c r="A7733" t="str">
        <f t="shared" si="1"/>
        <v>jam#2035</v>
      </c>
      <c r="B7733" t="str">
        <f>IFERROR(__xludf.DUMMYFUNCTION("""COMPUTED_VALUE"""),"jam")</f>
        <v>jam</v>
      </c>
      <c r="C7733" t="str">
        <f>IFERROR(__xludf.DUMMYFUNCTION("""COMPUTED_VALUE"""),"Jamaica")</f>
        <v>Jamaica</v>
      </c>
      <c r="D7733">
        <f>IFERROR(__xludf.DUMMYFUNCTION("""COMPUTED_VALUE"""),2035.0)</f>
        <v>2035</v>
      </c>
      <c r="E7733">
        <f>IFERROR(__xludf.DUMMYFUNCTION("""COMPUTED_VALUE"""),2908064.0)</f>
        <v>2908064</v>
      </c>
    </row>
    <row r="7734">
      <c r="A7734" t="str">
        <f t="shared" si="1"/>
        <v>jam#2036</v>
      </c>
      <c r="B7734" t="str">
        <f>IFERROR(__xludf.DUMMYFUNCTION("""COMPUTED_VALUE"""),"jam")</f>
        <v>jam</v>
      </c>
      <c r="C7734" t="str">
        <f>IFERROR(__xludf.DUMMYFUNCTION("""COMPUTED_VALUE"""),"Jamaica")</f>
        <v>Jamaica</v>
      </c>
      <c r="D7734">
        <f>IFERROR(__xludf.DUMMYFUNCTION("""COMPUTED_VALUE"""),2036.0)</f>
        <v>2036</v>
      </c>
      <c r="E7734">
        <f>IFERROR(__xludf.DUMMYFUNCTION("""COMPUTED_VALUE"""),2900048.0)</f>
        <v>2900048</v>
      </c>
    </row>
    <row r="7735">
      <c r="A7735" t="str">
        <f t="shared" si="1"/>
        <v>jam#2037</v>
      </c>
      <c r="B7735" t="str">
        <f>IFERROR(__xludf.DUMMYFUNCTION("""COMPUTED_VALUE"""),"jam")</f>
        <v>jam</v>
      </c>
      <c r="C7735" t="str">
        <f>IFERROR(__xludf.DUMMYFUNCTION("""COMPUTED_VALUE"""),"Jamaica")</f>
        <v>Jamaica</v>
      </c>
      <c r="D7735">
        <f>IFERROR(__xludf.DUMMYFUNCTION("""COMPUTED_VALUE"""),2037.0)</f>
        <v>2037</v>
      </c>
      <c r="E7735">
        <f>IFERROR(__xludf.DUMMYFUNCTION("""COMPUTED_VALUE"""),2890985.0)</f>
        <v>2890985</v>
      </c>
    </row>
    <row r="7736">
      <c r="A7736" t="str">
        <f t="shared" si="1"/>
        <v>jam#2038</v>
      </c>
      <c r="B7736" t="str">
        <f>IFERROR(__xludf.DUMMYFUNCTION("""COMPUTED_VALUE"""),"jam")</f>
        <v>jam</v>
      </c>
      <c r="C7736" t="str">
        <f>IFERROR(__xludf.DUMMYFUNCTION("""COMPUTED_VALUE"""),"Jamaica")</f>
        <v>Jamaica</v>
      </c>
      <c r="D7736">
        <f>IFERROR(__xludf.DUMMYFUNCTION("""COMPUTED_VALUE"""),2038.0)</f>
        <v>2038</v>
      </c>
      <c r="E7736">
        <f>IFERROR(__xludf.DUMMYFUNCTION("""COMPUTED_VALUE"""),2880961.0)</f>
        <v>2880961</v>
      </c>
    </row>
    <row r="7737">
      <c r="A7737" t="str">
        <f t="shared" si="1"/>
        <v>jam#2039</v>
      </c>
      <c r="B7737" t="str">
        <f>IFERROR(__xludf.DUMMYFUNCTION("""COMPUTED_VALUE"""),"jam")</f>
        <v>jam</v>
      </c>
      <c r="C7737" t="str">
        <f>IFERROR(__xludf.DUMMYFUNCTION("""COMPUTED_VALUE"""),"Jamaica")</f>
        <v>Jamaica</v>
      </c>
      <c r="D7737">
        <f>IFERROR(__xludf.DUMMYFUNCTION("""COMPUTED_VALUE"""),2039.0)</f>
        <v>2039</v>
      </c>
      <c r="E7737">
        <f>IFERROR(__xludf.DUMMYFUNCTION("""COMPUTED_VALUE"""),2870061.0)</f>
        <v>2870061</v>
      </c>
    </row>
    <row r="7738">
      <c r="A7738" t="str">
        <f t="shared" si="1"/>
        <v>jam#2040</v>
      </c>
      <c r="B7738" t="str">
        <f>IFERROR(__xludf.DUMMYFUNCTION("""COMPUTED_VALUE"""),"jam")</f>
        <v>jam</v>
      </c>
      <c r="C7738" t="str">
        <f>IFERROR(__xludf.DUMMYFUNCTION("""COMPUTED_VALUE"""),"Jamaica")</f>
        <v>Jamaica</v>
      </c>
      <c r="D7738">
        <f>IFERROR(__xludf.DUMMYFUNCTION("""COMPUTED_VALUE"""),2040.0)</f>
        <v>2040</v>
      </c>
      <c r="E7738">
        <f>IFERROR(__xludf.DUMMYFUNCTION("""COMPUTED_VALUE"""),2858381.0)</f>
        <v>2858381</v>
      </c>
    </row>
    <row r="7739">
      <c r="A7739" t="str">
        <f t="shared" si="1"/>
        <v>jpn#1950</v>
      </c>
      <c r="B7739" t="str">
        <f>IFERROR(__xludf.DUMMYFUNCTION("""COMPUTED_VALUE"""),"jpn")</f>
        <v>jpn</v>
      </c>
      <c r="C7739" t="str">
        <f>IFERROR(__xludf.DUMMYFUNCTION("""COMPUTED_VALUE"""),"Japan")</f>
        <v>Japan</v>
      </c>
      <c r="D7739">
        <f>IFERROR(__xludf.DUMMYFUNCTION("""COMPUTED_VALUE"""),1950.0)</f>
        <v>1950</v>
      </c>
      <c r="E7739">
        <f>IFERROR(__xludf.DUMMYFUNCTION("""COMPUTED_VALUE"""),8.2802084E7)</f>
        <v>82802084</v>
      </c>
    </row>
    <row r="7740">
      <c r="A7740" t="str">
        <f t="shared" si="1"/>
        <v>jpn#1951</v>
      </c>
      <c r="B7740" t="str">
        <f>IFERROR(__xludf.DUMMYFUNCTION("""COMPUTED_VALUE"""),"jpn")</f>
        <v>jpn</v>
      </c>
      <c r="C7740" t="str">
        <f>IFERROR(__xludf.DUMMYFUNCTION("""COMPUTED_VALUE"""),"Japan")</f>
        <v>Japan</v>
      </c>
      <c r="D7740">
        <f>IFERROR(__xludf.DUMMYFUNCTION("""COMPUTED_VALUE"""),1951.0)</f>
        <v>1951</v>
      </c>
      <c r="E7740">
        <f>IFERROR(__xludf.DUMMYFUNCTION("""COMPUTED_VALUE"""),8.4315601E7)</f>
        <v>84315601</v>
      </c>
    </row>
    <row r="7741">
      <c r="A7741" t="str">
        <f t="shared" si="1"/>
        <v>jpn#1952</v>
      </c>
      <c r="B7741" t="str">
        <f>IFERROR(__xludf.DUMMYFUNCTION("""COMPUTED_VALUE"""),"jpn")</f>
        <v>jpn</v>
      </c>
      <c r="C7741" t="str">
        <f>IFERROR(__xludf.DUMMYFUNCTION("""COMPUTED_VALUE"""),"Japan")</f>
        <v>Japan</v>
      </c>
      <c r="D7741">
        <f>IFERROR(__xludf.DUMMYFUNCTION("""COMPUTED_VALUE"""),1952.0)</f>
        <v>1952</v>
      </c>
      <c r="E7741">
        <f>IFERROR(__xludf.DUMMYFUNCTION("""COMPUTED_VALUE"""),8.5658683E7)</f>
        <v>85658683</v>
      </c>
    </row>
    <row r="7742">
      <c r="A7742" t="str">
        <f t="shared" si="1"/>
        <v>jpn#1953</v>
      </c>
      <c r="B7742" t="str">
        <f>IFERROR(__xludf.DUMMYFUNCTION("""COMPUTED_VALUE"""),"jpn")</f>
        <v>jpn</v>
      </c>
      <c r="C7742" t="str">
        <f>IFERROR(__xludf.DUMMYFUNCTION("""COMPUTED_VALUE"""),"Japan")</f>
        <v>Japan</v>
      </c>
      <c r="D7742">
        <f>IFERROR(__xludf.DUMMYFUNCTION("""COMPUTED_VALUE"""),1953.0)</f>
        <v>1953</v>
      </c>
      <c r="E7742">
        <f>IFERROR(__xludf.DUMMYFUNCTION("""COMPUTED_VALUE"""),8.6869425E7)</f>
        <v>86869425</v>
      </c>
    </row>
    <row r="7743">
      <c r="A7743" t="str">
        <f t="shared" si="1"/>
        <v>jpn#1954</v>
      </c>
      <c r="B7743" t="str">
        <f>IFERROR(__xludf.DUMMYFUNCTION("""COMPUTED_VALUE"""),"jpn")</f>
        <v>jpn</v>
      </c>
      <c r="C7743" t="str">
        <f>IFERROR(__xludf.DUMMYFUNCTION("""COMPUTED_VALUE"""),"Japan")</f>
        <v>Japan</v>
      </c>
      <c r="D7743">
        <f>IFERROR(__xludf.DUMMYFUNCTION("""COMPUTED_VALUE"""),1954.0)</f>
        <v>1954</v>
      </c>
      <c r="E7743">
        <f>IFERROR(__xludf.DUMMYFUNCTION("""COMPUTED_VALUE"""),8.7980318E7)</f>
        <v>87980318</v>
      </c>
    </row>
    <row r="7744">
      <c r="A7744" t="str">
        <f t="shared" si="1"/>
        <v>jpn#1955</v>
      </c>
      <c r="B7744" t="str">
        <f>IFERROR(__xludf.DUMMYFUNCTION("""COMPUTED_VALUE"""),"jpn")</f>
        <v>jpn</v>
      </c>
      <c r="C7744" t="str">
        <f>IFERROR(__xludf.DUMMYFUNCTION("""COMPUTED_VALUE"""),"Japan")</f>
        <v>Japan</v>
      </c>
      <c r="D7744">
        <f>IFERROR(__xludf.DUMMYFUNCTION("""COMPUTED_VALUE"""),1955.0)</f>
        <v>1955</v>
      </c>
      <c r="E7744">
        <f>IFERROR(__xludf.DUMMYFUNCTION("""COMPUTED_VALUE"""),8.9018257E7)</f>
        <v>89018257</v>
      </c>
    </row>
    <row r="7745">
      <c r="A7745" t="str">
        <f t="shared" si="1"/>
        <v>jpn#1956</v>
      </c>
      <c r="B7745" t="str">
        <f>IFERROR(__xludf.DUMMYFUNCTION("""COMPUTED_VALUE"""),"jpn")</f>
        <v>jpn</v>
      </c>
      <c r="C7745" t="str">
        <f>IFERROR(__xludf.DUMMYFUNCTION("""COMPUTED_VALUE"""),"Japan")</f>
        <v>Japan</v>
      </c>
      <c r="D7745">
        <f>IFERROR(__xludf.DUMMYFUNCTION("""COMPUTED_VALUE"""),1956.0)</f>
        <v>1956</v>
      </c>
      <c r="E7745">
        <f>IFERROR(__xludf.DUMMYFUNCTION("""COMPUTED_VALUE"""),9.0004313E7)</f>
        <v>90004313</v>
      </c>
    </row>
    <row r="7746">
      <c r="A7746" t="str">
        <f t="shared" si="1"/>
        <v>jpn#1957</v>
      </c>
      <c r="B7746" t="str">
        <f>IFERROR(__xludf.DUMMYFUNCTION("""COMPUTED_VALUE"""),"jpn")</f>
        <v>jpn</v>
      </c>
      <c r="C7746" t="str">
        <f>IFERROR(__xludf.DUMMYFUNCTION("""COMPUTED_VALUE"""),"Japan")</f>
        <v>Japan</v>
      </c>
      <c r="D7746">
        <f>IFERROR(__xludf.DUMMYFUNCTION("""COMPUTED_VALUE"""),1957.0)</f>
        <v>1957</v>
      </c>
      <c r="E7746">
        <f>IFERROR(__xludf.DUMMYFUNCTION("""COMPUTED_VALUE"""),9.0953954E7)</f>
        <v>90953954</v>
      </c>
    </row>
    <row r="7747">
      <c r="A7747" t="str">
        <f t="shared" si="1"/>
        <v>jpn#1958</v>
      </c>
      <c r="B7747" t="str">
        <f>IFERROR(__xludf.DUMMYFUNCTION("""COMPUTED_VALUE"""),"jpn")</f>
        <v>jpn</v>
      </c>
      <c r="C7747" t="str">
        <f>IFERROR(__xludf.DUMMYFUNCTION("""COMPUTED_VALUE"""),"Japan")</f>
        <v>Japan</v>
      </c>
      <c r="D7747">
        <f>IFERROR(__xludf.DUMMYFUNCTION("""COMPUTED_VALUE"""),1958.0)</f>
        <v>1958</v>
      </c>
      <c r="E7747">
        <f>IFERROR(__xludf.DUMMYFUNCTION("""COMPUTED_VALUE"""),9.1877704E7)</f>
        <v>91877704</v>
      </c>
    </row>
    <row r="7748">
      <c r="A7748" t="str">
        <f t="shared" si="1"/>
        <v>jpn#1959</v>
      </c>
      <c r="B7748" t="str">
        <f>IFERROR(__xludf.DUMMYFUNCTION("""COMPUTED_VALUE"""),"jpn")</f>
        <v>jpn</v>
      </c>
      <c r="C7748" t="str">
        <f>IFERROR(__xludf.DUMMYFUNCTION("""COMPUTED_VALUE"""),"Japan")</f>
        <v>Japan</v>
      </c>
      <c r="D7748">
        <f>IFERROR(__xludf.DUMMYFUNCTION("""COMPUTED_VALUE"""),1959.0)</f>
        <v>1959</v>
      </c>
      <c r="E7748">
        <f>IFERROR(__xludf.DUMMYFUNCTION("""COMPUTED_VALUE"""),9.2782224E7)</f>
        <v>92782224</v>
      </c>
    </row>
    <row r="7749">
      <c r="A7749" t="str">
        <f t="shared" si="1"/>
        <v>jpn#1960</v>
      </c>
      <c r="B7749" t="str">
        <f>IFERROR(__xludf.DUMMYFUNCTION("""COMPUTED_VALUE"""),"jpn")</f>
        <v>jpn</v>
      </c>
      <c r="C7749" t="str">
        <f>IFERROR(__xludf.DUMMYFUNCTION("""COMPUTED_VALUE"""),"Japan")</f>
        <v>Japan</v>
      </c>
      <c r="D7749">
        <f>IFERROR(__xludf.DUMMYFUNCTION("""COMPUTED_VALUE"""),1960.0)</f>
        <v>1960</v>
      </c>
      <c r="E7749">
        <f>IFERROR(__xludf.DUMMYFUNCTION("""COMPUTED_VALUE"""),9.3673615E7)</f>
        <v>93673615</v>
      </c>
    </row>
    <row r="7750">
      <c r="A7750" t="str">
        <f t="shared" si="1"/>
        <v>jpn#1961</v>
      </c>
      <c r="B7750" t="str">
        <f>IFERROR(__xludf.DUMMYFUNCTION("""COMPUTED_VALUE"""),"jpn")</f>
        <v>jpn</v>
      </c>
      <c r="C7750" t="str">
        <f>IFERROR(__xludf.DUMMYFUNCTION("""COMPUTED_VALUE"""),"Japan")</f>
        <v>Japan</v>
      </c>
      <c r="D7750">
        <f>IFERROR(__xludf.DUMMYFUNCTION("""COMPUTED_VALUE"""),1961.0)</f>
        <v>1961</v>
      </c>
      <c r="E7750">
        <f>IFERROR(__xludf.DUMMYFUNCTION("""COMPUTED_VALUE"""),9.4560845E7)</f>
        <v>94560845</v>
      </c>
    </row>
    <row r="7751">
      <c r="A7751" t="str">
        <f t="shared" si="1"/>
        <v>jpn#1962</v>
      </c>
      <c r="B7751" t="str">
        <f>IFERROR(__xludf.DUMMYFUNCTION("""COMPUTED_VALUE"""),"jpn")</f>
        <v>jpn</v>
      </c>
      <c r="C7751" t="str">
        <f>IFERROR(__xludf.DUMMYFUNCTION("""COMPUTED_VALUE"""),"Japan")</f>
        <v>Japan</v>
      </c>
      <c r="D7751">
        <f>IFERROR(__xludf.DUMMYFUNCTION("""COMPUTED_VALUE"""),1962.0)</f>
        <v>1962</v>
      </c>
      <c r="E7751">
        <f>IFERROR(__xludf.DUMMYFUNCTION("""COMPUTED_VALUE"""),9.5458881E7)</f>
        <v>95458881</v>
      </c>
    </row>
    <row r="7752">
      <c r="A7752" t="str">
        <f t="shared" si="1"/>
        <v>jpn#1963</v>
      </c>
      <c r="B7752" t="str">
        <f>IFERROR(__xludf.DUMMYFUNCTION("""COMPUTED_VALUE"""),"jpn")</f>
        <v>jpn</v>
      </c>
      <c r="C7752" t="str">
        <f>IFERROR(__xludf.DUMMYFUNCTION("""COMPUTED_VALUE"""),"Japan")</f>
        <v>Japan</v>
      </c>
      <c r="D7752">
        <f>IFERROR(__xludf.DUMMYFUNCTION("""COMPUTED_VALUE"""),1963.0)</f>
        <v>1963</v>
      </c>
      <c r="E7752">
        <f>IFERROR(__xludf.DUMMYFUNCTION("""COMPUTED_VALUE"""),9.6389953E7)</f>
        <v>96389953</v>
      </c>
    </row>
    <row r="7753">
      <c r="A7753" t="str">
        <f t="shared" si="1"/>
        <v>jpn#1964</v>
      </c>
      <c r="B7753" t="str">
        <f>IFERROR(__xludf.DUMMYFUNCTION("""COMPUTED_VALUE"""),"jpn")</f>
        <v>jpn</v>
      </c>
      <c r="C7753" t="str">
        <f>IFERROR(__xludf.DUMMYFUNCTION("""COMPUTED_VALUE"""),"Japan")</f>
        <v>Japan</v>
      </c>
      <c r="D7753">
        <f>IFERROR(__xludf.DUMMYFUNCTION("""COMPUTED_VALUE"""),1964.0)</f>
        <v>1964</v>
      </c>
      <c r="E7753">
        <f>IFERROR(__xludf.DUMMYFUNCTION("""COMPUTED_VALUE"""),9.7379848E7)</f>
        <v>97379848</v>
      </c>
    </row>
    <row r="7754">
      <c r="A7754" t="str">
        <f t="shared" si="1"/>
        <v>jpn#1965</v>
      </c>
      <c r="B7754" t="str">
        <f>IFERROR(__xludf.DUMMYFUNCTION("""COMPUTED_VALUE"""),"jpn")</f>
        <v>jpn</v>
      </c>
      <c r="C7754" t="str">
        <f>IFERROR(__xludf.DUMMYFUNCTION("""COMPUTED_VALUE"""),"Japan")</f>
        <v>Japan</v>
      </c>
      <c r="D7754">
        <f>IFERROR(__xludf.DUMMYFUNCTION("""COMPUTED_VALUE"""),1965.0)</f>
        <v>1965</v>
      </c>
      <c r="E7754">
        <f>IFERROR(__xludf.DUMMYFUNCTION("""COMPUTED_VALUE"""),9.8447002E7)</f>
        <v>98447002</v>
      </c>
    </row>
    <row r="7755">
      <c r="A7755" t="str">
        <f t="shared" si="1"/>
        <v>jpn#1966</v>
      </c>
      <c r="B7755" t="str">
        <f>IFERROR(__xludf.DUMMYFUNCTION("""COMPUTED_VALUE"""),"jpn")</f>
        <v>jpn</v>
      </c>
      <c r="C7755" t="str">
        <f>IFERROR(__xludf.DUMMYFUNCTION("""COMPUTED_VALUE"""),"Japan")</f>
        <v>Japan</v>
      </c>
      <c r="D7755">
        <f>IFERROR(__xludf.DUMMYFUNCTION("""COMPUTED_VALUE"""),1966.0)</f>
        <v>1966</v>
      </c>
      <c r="E7755">
        <f>IFERROR(__xludf.DUMMYFUNCTION("""COMPUTED_VALUE"""),9.9595128E7)</f>
        <v>99595128</v>
      </c>
    </row>
    <row r="7756">
      <c r="A7756" t="str">
        <f t="shared" si="1"/>
        <v>jpn#1967</v>
      </c>
      <c r="B7756" t="str">
        <f>IFERROR(__xludf.DUMMYFUNCTION("""COMPUTED_VALUE"""),"jpn")</f>
        <v>jpn</v>
      </c>
      <c r="C7756" t="str">
        <f>IFERROR(__xludf.DUMMYFUNCTION("""COMPUTED_VALUE"""),"Japan")</f>
        <v>Japan</v>
      </c>
      <c r="D7756">
        <f>IFERROR(__xludf.DUMMYFUNCTION("""COMPUTED_VALUE"""),1967.0)</f>
        <v>1967</v>
      </c>
      <c r="E7756">
        <f>IFERROR(__xludf.DUMMYFUNCTION("""COMPUTED_VALUE"""),1.00820021E8)</f>
        <v>100820021</v>
      </c>
    </row>
    <row r="7757">
      <c r="A7757" t="str">
        <f t="shared" si="1"/>
        <v>jpn#1968</v>
      </c>
      <c r="B7757" t="str">
        <f>IFERROR(__xludf.DUMMYFUNCTION("""COMPUTED_VALUE"""),"jpn")</f>
        <v>jpn</v>
      </c>
      <c r="C7757" t="str">
        <f>IFERROR(__xludf.DUMMYFUNCTION("""COMPUTED_VALUE"""),"Japan")</f>
        <v>Japan</v>
      </c>
      <c r="D7757">
        <f>IFERROR(__xludf.DUMMYFUNCTION("""COMPUTED_VALUE"""),1968.0)</f>
        <v>1968</v>
      </c>
      <c r="E7757">
        <f>IFERROR(__xludf.DUMMYFUNCTION("""COMPUTED_VALUE"""),1.02120482E8)</f>
        <v>102120482</v>
      </c>
    </row>
    <row r="7758">
      <c r="A7758" t="str">
        <f t="shared" si="1"/>
        <v>jpn#1969</v>
      </c>
      <c r="B7758" t="str">
        <f>IFERROR(__xludf.DUMMYFUNCTION("""COMPUTED_VALUE"""),"jpn")</f>
        <v>jpn</v>
      </c>
      <c r="C7758" t="str">
        <f>IFERROR(__xludf.DUMMYFUNCTION("""COMPUTED_VALUE"""),"Japan")</f>
        <v>Japan</v>
      </c>
      <c r="D7758">
        <f>IFERROR(__xludf.DUMMYFUNCTION("""COMPUTED_VALUE"""),1969.0)</f>
        <v>1969</v>
      </c>
      <c r="E7758">
        <f>IFERROR(__xludf.DUMMYFUNCTION("""COMPUTED_VALUE"""),1.0349193E8)</f>
        <v>103491930</v>
      </c>
    </row>
    <row r="7759">
      <c r="A7759" t="str">
        <f t="shared" si="1"/>
        <v>jpn#1970</v>
      </c>
      <c r="B7759" t="str">
        <f>IFERROR(__xludf.DUMMYFUNCTION("""COMPUTED_VALUE"""),"jpn")</f>
        <v>jpn</v>
      </c>
      <c r="C7759" t="str">
        <f>IFERROR(__xludf.DUMMYFUNCTION("""COMPUTED_VALUE"""),"Japan")</f>
        <v>Japan</v>
      </c>
      <c r="D7759">
        <f>IFERROR(__xludf.DUMMYFUNCTION("""COMPUTED_VALUE"""),1970.0)</f>
        <v>1970</v>
      </c>
      <c r="E7759">
        <f>IFERROR(__xludf.DUMMYFUNCTION("""COMPUTED_VALUE"""),1.04925645E8)</f>
        <v>104925645</v>
      </c>
    </row>
    <row r="7760">
      <c r="A7760" t="str">
        <f t="shared" si="1"/>
        <v>jpn#1971</v>
      </c>
      <c r="B7760" t="str">
        <f>IFERROR(__xludf.DUMMYFUNCTION("""COMPUTED_VALUE"""),"jpn")</f>
        <v>jpn</v>
      </c>
      <c r="C7760" t="str">
        <f>IFERROR(__xludf.DUMMYFUNCTION("""COMPUTED_VALUE"""),"Japan")</f>
        <v>Japan</v>
      </c>
      <c r="D7760">
        <f>IFERROR(__xludf.DUMMYFUNCTION("""COMPUTED_VALUE"""),1971.0)</f>
        <v>1971</v>
      </c>
      <c r="E7760">
        <f>IFERROR(__xludf.DUMMYFUNCTION("""COMPUTED_VALUE"""),1.06425269E8)</f>
        <v>106425269</v>
      </c>
    </row>
    <row r="7761">
      <c r="A7761" t="str">
        <f t="shared" si="1"/>
        <v>jpn#1972</v>
      </c>
      <c r="B7761" t="str">
        <f>IFERROR(__xludf.DUMMYFUNCTION("""COMPUTED_VALUE"""),"jpn")</f>
        <v>jpn</v>
      </c>
      <c r="C7761" t="str">
        <f>IFERROR(__xludf.DUMMYFUNCTION("""COMPUTED_VALUE"""),"Japan")</f>
        <v>Japan</v>
      </c>
      <c r="D7761">
        <f>IFERROR(__xludf.DUMMYFUNCTION("""COMPUTED_VALUE"""),1972.0)</f>
        <v>1972</v>
      </c>
      <c r="E7761">
        <f>IFERROR(__xludf.DUMMYFUNCTION("""COMPUTED_VALUE"""),1.07977039E8)</f>
        <v>107977039</v>
      </c>
    </row>
    <row r="7762">
      <c r="A7762" t="str">
        <f t="shared" si="1"/>
        <v>jpn#1973</v>
      </c>
      <c r="B7762" t="str">
        <f>IFERROR(__xludf.DUMMYFUNCTION("""COMPUTED_VALUE"""),"jpn")</f>
        <v>jpn</v>
      </c>
      <c r="C7762" t="str">
        <f>IFERROR(__xludf.DUMMYFUNCTION("""COMPUTED_VALUE"""),"Japan")</f>
        <v>Japan</v>
      </c>
      <c r="D7762">
        <f>IFERROR(__xludf.DUMMYFUNCTION("""COMPUTED_VALUE"""),1973.0)</f>
        <v>1973</v>
      </c>
      <c r="E7762">
        <f>IFERROR(__xludf.DUMMYFUNCTION("""COMPUTED_VALUE"""),1.09532878E8)</f>
        <v>109532878</v>
      </c>
    </row>
    <row r="7763">
      <c r="A7763" t="str">
        <f t="shared" si="1"/>
        <v>jpn#1974</v>
      </c>
      <c r="B7763" t="str">
        <f>IFERROR(__xludf.DUMMYFUNCTION("""COMPUTED_VALUE"""),"jpn")</f>
        <v>jpn</v>
      </c>
      <c r="C7763" t="str">
        <f>IFERROR(__xludf.DUMMYFUNCTION("""COMPUTED_VALUE"""),"Japan")</f>
        <v>Japan</v>
      </c>
      <c r="D7763">
        <f>IFERROR(__xludf.DUMMYFUNCTION("""COMPUTED_VALUE"""),1974.0)</f>
        <v>1974</v>
      </c>
      <c r="E7763">
        <f>IFERROR(__xludf.DUMMYFUNCTION("""COMPUTED_VALUE"""),1.11030141E8)</f>
        <v>111030141</v>
      </c>
    </row>
    <row r="7764">
      <c r="A7764" t="str">
        <f t="shared" si="1"/>
        <v>jpn#1975</v>
      </c>
      <c r="B7764" t="str">
        <f>IFERROR(__xludf.DUMMYFUNCTION("""COMPUTED_VALUE"""),"jpn")</f>
        <v>jpn</v>
      </c>
      <c r="C7764" t="str">
        <f>IFERROR(__xludf.DUMMYFUNCTION("""COMPUTED_VALUE"""),"Japan")</f>
        <v>Japan</v>
      </c>
      <c r="D7764">
        <f>IFERROR(__xludf.DUMMYFUNCTION("""COMPUTED_VALUE"""),1975.0)</f>
        <v>1975</v>
      </c>
      <c r="E7764">
        <f>IFERROR(__xludf.DUMMYFUNCTION("""COMPUTED_VALUE"""),1.12423055E8)</f>
        <v>112423055</v>
      </c>
    </row>
    <row r="7765">
      <c r="A7765" t="str">
        <f t="shared" si="1"/>
        <v>jpn#1976</v>
      </c>
      <c r="B7765" t="str">
        <f>IFERROR(__xludf.DUMMYFUNCTION("""COMPUTED_VALUE"""),"jpn")</f>
        <v>jpn</v>
      </c>
      <c r="C7765" t="str">
        <f>IFERROR(__xludf.DUMMYFUNCTION("""COMPUTED_VALUE"""),"Japan")</f>
        <v>Japan</v>
      </c>
      <c r="D7765">
        <f>IFERROR(__xludf.DUMMYFUNCTION("""COMPUTED_VALUE"""),1976.0)</f>
        <v>1976</v>
      </c>
      <c r="E7765">
        <f>IFERROR(__xludf.DUMMYFUNCTION("""COMPUTED_VALUE"""),1.13690108E8)</f>
        <v>113690108</v>
      </c>
    </row>
    <row r="7766">
      <c r="A7766" t="str">
        <f t="shared" si="1"/>
        <v>jpn#1977</v>
      </c>
      <c r="B7766" t="str">
        <f>IFERROR(__xludf.DUMMYFUNCTION("""COMPUTED_VALUE"""),"jpn")</f>
        <v>jpn</v>
      </c>
      <c r="C7766" t="str">
        <f>IFERROR(__xludf.DUMMYFUNCTION("""COMPUTED_VALUE"""),"Japan")</f>
        <v>Japan</v>
      </c>
      <c r="D7766">
        <f>IFERROR(__xludf.DUMMYFUNCTION("""COMPUTED_VALUE"""),1977.0)</f>
        <v>1977</v>
      </c>
      <c r="E7766">
        <f>IFERROR(__xludf.DUMMYFUNCTION("""COMPUTED_VALUE"""),1.1483912E8)</f>
        <v>114839120</v>
      </c>
    </row>
    <row r="7767">
      <c r="A7767" t="str">
        <f t="shared" si="1"/>
        <v>jpn#1978</v>
      </c>
      <c r="B7767" t="str">
        <f>IFERROR(__xludf.DUMMYFUNCTION("""COMPUTED_VALUE"""),"jpn")</f>
        <v>jpn</v>
      </c>
      <c r="C7767" t="str">
        <f>IFERROR(__xludf.DUMMYFUNCTION("""COMPUTED_VALUE"""),"Japan")</f>
        <v>Japan</v>
      </c>
      <c r="D7767">
        <f>IFERROR(__xludf.DUMMYFUNCTION("""COMPUTED_VALUE"""),1978.0)</f>
        <v>1978</v>
      </c>
      <c r="E7767">
        <f>IFERROR(__xludf.DUMMYFUNCTION("""COMPUTED_VALUE"""),1.15890284E8)</f>
        <v>115890284</v>
      </c>
    </row>
    <row r="7768">
      <c r="A7768" t="str">
        <f t="shared" si="1"/>
        <v>jpn#1979</v>
      </c>
      <c r="B7768" t="str">
        <f>IFERROR(__xludf.DUMMYFUNCTION("""COMPUTED_VALUE"""),"jpn")</f>
        <v>jpn</v>
      </c>
      <c r="C7768" t="str">
        <f>IFERROR(__xludf.DUMMYFUNCTION("""COMPUTED_VALUE"""),"Japan")</f>
        <v>Japan</v>
      </c>
      <c r="D7768">
        <f>IFERROR(__xludf.DUMMYFUNCTION("""COMPUTED_VALUE"""),1979.0)</f>
        <v>1979</v>
      </c>
      <c r="E7768">
        <f>IFERROR(__xludf.DUMMYFUNCTION("""COMPUTED_VALUE"""),1.16878026E8)</f>
        <v>116878026</v>
      </c>
    </row>
    <row r="7769">
      <c r="A7769" t="str">
        <f t="shared" si="1"/>
        <v>jpn#1980</v>
      </c>
      <c r="B7769" t="str">
        <f>IFERROR(__xludf.DUMMYFUNCTION("""COMPUTED_VALUE"""),"jpn")</f>
        <v>jpn</v>
      </c>
      <c r="C7769" t="str">
        <f>IFERROR(__xludf.DUMMYFUNCTION("""COMPUTED_VALUE"""),"Japan")</f>
        <v>Japan</v>
      </c>
      <c r="D7769">
        <f>IFERROR(__xludf.DUMMYFUNCTION("""COMPUTED_VALUE"""),1980.0)</f>
        <v>1980</v>
      </c>
      <c r="E7769">
        <f>IFERROR(__xludf.DUMMYFUNCTION("""COMPUTED_VALUE"""),1.17827355E8)</f>
        <v>117827355</v>
      </c>
    </row>
    <row r="7770">
      <c r="A7770" t="str">
        <f t="shared" si="1"/>
        <v>jpn#1981</v>
      </c>
      <c r="B7770" t="str">
        <f>IFERROR(__xludf.DUMMYFUNCTION("""COMPUTED_VALUE"""),"jpn")</f>
        <v>jpn</v>
      </c>
      <c r="C7770" t="str">
        <f>IFERROR(__xludf.DUMMYFUNCTION("""COMPUTED_VALUE"""),"Japan")</f>
        <v>Japan</v>
      </c>
      <c r="D7770">
        <f>IFERROR(__xludf.DUMMYFUNCTION("""COMPUTED_VALUE"""),1981.0)</f>
        <v>1981</v>
      </c>
      <c r="E7770">
        <f>IFERROR(__xludf.DUMMYFUNCTION("""COMPUTED_VALUE"""),1.1874318E8)</f>
        <v>118743180</v>
      </c>
    </row>
    <row r="7771">
      <c r="A7771" t="str">
        <f t="shared" si="1"/>
        <v>jpn#1982</v>
      </c>
      <c r="B7771" t="str">
        <f>IFERROR(__xludf.DUMMYFUNCTION("""COMPUTED_VALUE"""),"jpn")</f>
        <v>jpn</v>
      </c>
      <c r="C7771" t="str">
        <f>IFERROR(__xludf.DUMMYFUNCTION("""COMPUTED_VALUE"""),"Japan")</f>
        <v>Japan</v>
      </c>
      <c r="D7771">
        <f>IFERROR(__xludf.DUMMYFUNCTION("""COMPUTED_VALUE"""),1982.0)</f>
        <v>1982</v>
      </c>
      <c r="E7771">
        <f>IFERROR(__xludf.DUMMYFUNCTION("""COMPUTED_VALUE"""),1.19615624E8)</f>
        <v>119615624</v>
      </c>
    </row>
    <row r="7772">
      <c r="A7772" t="str">
        <f t="shared" si="1"/>
        <v>jpn#1983</v>
      </c>
      <c r="B7772" t="str">
        <f>IFERROR(__xludf.DUMMYFUNCTION("""COMPUTED_VALUE"""),"jpn")</f>
        <v>jpn</v>
      </c>
      <c r="C7772" t="str">
        <f>IFERROR(__xludf.DUMMYFUNCTION("""COMPUTED_VALUE"""),"Japan")</f>
        <v>Japan</v>
      </c>
      <c r="D7772">
        <f>IFERROR(__xludf.DUMMYFUNCTION("""COMPUTED_VALUE"""),1983.0)</f>
        <v>1983</v>
      </c>
      <c r="E7772">
        <f>IFERROR(__xludf.DUMMYFUNCTION("""COMPUTED_VALUE"""),1.20438087E8)</f>
        <v>120438087</v>
      </c>
    </row>
    <row r="7773">
      <c r="A7773" t="str">
        <f t="shared" si="1"/>
        <v>jpn#1984</v>
      </c>
      <c r="B7773" t="str">
        <f>IFERROR(__xludf.DUMMYFUNCTION("""COMPUTED_VALUE"""),"jpn")</f>
        <v>jpn</v>
      </c>
      <c r="C7773" t="str">
        <f>IFERROR(__xludf.DUMMYFUNCTION("""COMPUTED_VALUE"""),"Japan")</f>
        <v>Japan</v>
      </c>
      <c r="D7773">
        <f>IFERROR(__xludf.DUMMYFUNCTION("""COMPUTED_VALUE"""),1984.0)</f>
        <v>1984</v>
      </c>
      <c r="E7773">
        <f>IFERROR(__xludf.DUMMYFUNCTION("""COMPUTED_VALUE"""),1.21199799E8)</f>
        <v>121199799</v>
      </c>
    </row>
    <row r="7774">
      <c r="A7774" t="str">
        <f t="shared" si="1"/>
        <v>jpn#1985</v>
      </c>
      <c r="B7774" t="str">
        <f>IFERROR(__xludf.DUMMYFUNCTION("""COMPUTED_VALUE"""),"jpn")</f>
        <v>jpn</v>
      </c>
      <c r="C7774" t="str">
        <f>IFERROR(__xludf.DUMMYFUNCTION("""COMPUTED_VALUE"""),"Japan")</f>
        <v>Japan</v>
      </c>
      <c r="D7774">
        <f>IFERROR(__xludf.DUMMYFUNCTION("""COMPUTED_VALUE"""),1985.0)</f>
        <v>1985</v>
      </c>
      <c r="E7774">
        <f>IFERROR(__xludf.DUMMYFUNCTION("""COMPUTED_VALUE"""),1.21894038E8)</f>
        <v>121894038</v>
      </c>
    </row>
    <row r="7775">
      <c r="A7775" t="str">
        <f t="shared" si="1"/>
        <v>jpn#1986</v>
      </c>
      <c r="B7775" t="str">
        <f>IFERROR(__xludf.DUMMYFUNCTION("""COMPUTED_VALUE"""),"jpn")</f>
        <v>jpn</v>
      </c>
      <c r="C7775" t="str">
        <f>IFERROR(__xludf.DUMMYFUNCTION("""COMPUTED_VALUE"""),"Japan")</f>
        <v>Japan</v>
      </c>
      <c r="D7775">
        <f>IFERROR(__xludf.DUMMYFUNCTION("""COMPUTED_VALUE"""),1986.0)</f>
        <v>1986</v>
      </c>
      <c r="E7775">
        <f>IFERROR(__xludf.DUMMYFUNCTION("""COMPUTED_VALUE"""),1.22519652E8)</f>
        <v>122519652</v>
      </c>
    </row>
    <row r="7776">
      <c r="A7776" t="str">
        <f t="shared" si="1"/>
        <v>jpn#1987</v>
      </c>
      <c r="B7776" t="str">
        <f>IFERROR(__xludf.DUMMYFUNCTION("""COMPUTED_VALUE"""),"jpn")</f>
        <v>jpn</v>
      </c>
      <c r="C7776" t="str">
        <f>IFERROR(__xludf.DUMMYFUNCTION("""COMPUTED_VALUE"""),"Japan")</f>
        <v>Japan</v>
      </c>
      <c r="D7776">
        <f>IFERROR(__xludf.DUMMYFUNCTION("""COMPUTED_VALUE"""),1987.0)</f>
        <v>1987</v>
      </c>
      <c r="E7776">
        <f>IFERROR(__xludf.DUMMYFUNCTION("""COMPUTED_VALUE"""),1.23083205E8)</f>
        <v>123083205</v>
      </c>
    </row>
    <row r="7777">
      <c r="A7777" t="str">
        <f t="shared" si="1"/>
        <v>jpn#1988</v>
      </c>
      <c r="B7777" t="str">
        <f>IFERROR(__xludf.DUMMYFUNCTION("""COMPUTED_VALUE"""),"jpn")</f>
        <v>jpn</v>
      </c>
      <c r="C7777" t="str">
        <f>IFERROR(__xludf.DUMMYFUNCTION("""COMPUTED_VALUE"""),"Japan")</f>
        <v>Japan</v>
      </c>
      <c r="D7777">
        <f>IFERROR(__xludf.DUMMYFUNCTION("""COMPUTED_VALUE"""),1988.0)</f>
        <v>1988</v>
      </c>
      <c r="E7777">
        <f>IFERROR(__xludf.DUMMYFUNCTION("""COMPUTED_VALUE"""),1.23594968E8)</f>
        <v>123594968</v>
      </c>
    </row>
    <row r="7778">
      <c r="A7778" t="str">
        <f t="shared" si="1"/>
        <v>jpn#1989</v>
      </c>
      <c r="B7778" t="str">
        <f>IFERROR(__xludf.DUMMYFUNCTION("""COMPUTED_VALUE"""),"jpn")</f>
        <v>jpn</v>
      </c>
      <c r="C7778" t="str">
        <f>IFERROR(__xludf.DUMMYFUNCTION("""COMPUTED_VALUE"""),"Japan")</f>
        <v>Japan</v>
      </c>
      <c r="D7778">
        <f>IFERROR(__xludf.DUMMYFUNCTION("""COMPUTED_VALUE"""),1989.0)</f>
        <v>1989</v>
      </c>
      <c r="E7778">
        <f>IFERROR(__xludf.DUMMYFUNCTION("""COMPUTED_VALUE"""),1.24068903E8)</f>
        <v>124068903</v>
      </c>
    </row>
    <row r="7779">
      <c r="A7779" t="str">
        <f t="shared" si="1"/>
        <v>jpn#1990</v>
      </c>
      <c r="B7779" t="str">
        <f>IFERROR(__xludf.DUMMYFUNCTION("""COMPUTED_VALUE"""),"jpn")</f>
        <v>jpn</v>
      </c>
      <c r="C7779" t="str">
        <f>IFERROR(__xludf.DUMMYFUNCTION("""COMPUTED_VALUE"""),"Japan")</f>
        <v>Japan</v>
      </c>
      <c r="D7779">
        <f>IFERROR(__xludf.DUMMYFUNCTION("""COMPUTED_VALUE"""),1990.0)</f>
        <v>1990</v>
      </c>
      <c r="E7779">
        <f>IFERROR(__xludf.DUMMYFUNCTION("""COMPUTED_VALUE"""),1.24515561E8)</f>
        <v>124515561</v>
      </c>
    </row>
    <row r="7780">
      <c r="A7780" t="str">
        <f t="shared" si="1"/>
        <v>jpn#1991</v>
      </c>
      <c r="B7780" t="str">
        <f>IFERROR(__xludf.DUMMYFUNCTION("""COMPUTED_VALUE"""),"jpn")</f>
        <v>jpn</v>
      </c>
      <c r="C7780" t="str">
        <f>IFERROR(__xludf.DUMMYFUNCTION("""COMPUTED_VALUE"""),"Japan")</f>
        <v>Japan</v>
      </c>
      <c r="D7780">
        <f>IFERROR(__xludf.DUMMYFUNCTION("""COMPUTED_VALUE"""),1991.0)</f>
        <v>1991</v>
      </c>
      <c r="E7780">
        <f>IFERROR(__xludf.DUMMYFUNCTION("""COMPUTED_VALUE"""),1.24940015E8)</f>
        <v>124940015</v>
      </c>
    </row>
    <row r="7781">
      <c r="A7781" t="str">
        <f t="shared" si="1"/>
        <v>jpn#1992</v>
      </c>
      <c r="B7781" t="str">
        <f>IFERROR(__xludf.DUMMYFUNCTION("""COMPUTED_VALUE"""),"jpn")</f>
        <v>jpn</v>
      </c>
      <c r="C7781" t="str">
        <f>IFERROR(__xludf.DUMMYFUNCTION("""COMPUTED_VALUE"""),"Japan")</f>
        <v>Japan</v>
      </c>
      <c r="D7781">
        <f>IFERROR(__xludf.DUMMYFUNCTION("""COMPUTED_VALUE"""),1992.0)</f>
        <v>1992</v>
      </c>
      <c r="E7781">
        <f>IFERROR(__xludf.DUMMYFUNCTION("""COMPUTED_VALUE"""),1.25341476E8)</f>
        <v>125341476</v>
      </c>
    </row>
    <row r="7782">
      <c r="A7782" t="str">
        <f t="shared" si="1"/>
        <v>jpn#1993</v>
      </c>
      <c r="B7782" t="str">
        <f>IFERROR(__xludf.DUMMYFUNCTION("""COMPUTED_VALUE"""),"jpn")</f>
        <v>jpn</v>
      </c>
      <c r="C7782" t="str">
        <f>IFERROR(__xludf.DUMMYFUNCTION("""COMPUTED_VALUE"""),"Japan")</f>
        <v>Japan</v>
      </c>
      <c r="D7782">
        <f>IFERROR(__xludf.DUMMYFUNCTION("""COMPUTED_VALUE"""),1993.0)</f>
        <v>1993</v>
      </c>
      <c r="E7782">
        <f>IFERROR(__xludf.DUMMYFUNCTION("""COMPUTED_VALUE"""),1.25717524E8)</f>
        <v>125717524</v>
      </c>
    </row>
    <row r="7783">
      <c r="A7783" t="str">
        <f t="shared" si="1"/>
        <v>jpn#1994</v>
      </c>
      <c r="B7783" t="str">
        <f>IFERROR(__xludf.DUMMYFUNCTION("""COMPUTED_VALUE"""),"jpn")</f>
        <v>jpn</v>
      </c>
      <c r="C7783" t="str">
        <f>IFERROR(__xludf.DUMMYFUNCTION("""COMPUTED_VALUE"""),"Japan")</f>
        <v>Japan</v>
      </c>
      <c r="D7783">
        <f>IFERROR(__xludf.DUMMYFUNCTION("""COMPUTED_VALUE"""),1994.0)</f>
        <v>1994</v>
      </c>
      <c r="E7783">
        <f>IFERROR(__xludf.DUMMYFUNCTION("""COMPUTED_VALUE"""),1.26063174E8)</f>
        <v>126063174</v>
      </c>
    </row>
    <row r="7784">
      <c r="A7784" t="str">
        <f t="shared" si="1"/>
        <v>jpn#1995</v>
      </c>
      <c r="B7784" t="str">
        <f>IFERROR(__xludf.DUMMYFUNCTION("""COMPUTED_VALUE"""),"jpn")</f>
        <v>jpn</v>
      </c>
      <c r="C7784" t="str">
        <f>IFERROR(__xludf.DUMMYFUNCTION("""COMPUTED_VALUE"""),"Japan")</f>
        <v>Japan</v>
      </c>
      <c r="D7784">
        <f>IFERROR(__xludf.DUMMYFUNCTION("""COMPUTED_VALUE"""),1995.0)</f>
        <v>1995</v>
      </c>
      <c r="E7784">
        <f>IFERROR(__xludf.DUMMYFUNCTION("""COMPUTED_VALUE"""),1.26375466E8)</f>
        <v>126375466</v>
      </c>
    </row>
    <row r="7785">
      <c r="A7785" t="str">
        <f t="shared" si="1"/>
        <v>jpn#1996</v>
      </c>
      <c r="B7785" t="str">
        <f>IFERROR(__xludf.DUMMYFUNCTION("""COMPUTED_VALUE"""),"jpn")</f>
        <v>jpn</v>
      </c>
      <c r="C7785" t="str">
        <f>IFERROR(__xludf.DUMMYFUNCTION("""COMPUTED_VALUE"""),"Japan")</f>
        <v>Japan</v>
      </c>
      <c r="D7785">
        <f>IFERROR(__xludf.DUMMYFUNCTION("""COMPUTED_VALUE"""),1996.0)</f>
        <v>1996</v>
      </c>
      <c r="E7785">
        <f>IFERROR(__xludf.DUMMYFUNCTION("""COMPUTED_VALUE"""),1.26654021E8)</f>
        <v>126654021</v>
      </c>
    </row>
    <row r="7786">
      <c r="A7786" t="str">
        <f t="shared" si="1"/>
        <v>jpn#1997</v>
      </c>
      <c r="B7786" t="str">
        <f>IFERROR(__xludf.DUMMYFUNCTION("""COMPUTED_VALUE"""),"jpn")</f>
        <v>jpn</v>
      </c>
      <c r="C7786" t="str">
        <f>IFERROR(__xludf.DUMMYFUNCTION("""COMPUTED_VALUE"""),"Japan")</f>
        <v>Japan</v>
      </c>
      <c r="D7786">
        <f>IFERROR(__xludf.DUMMYFUNCTION("""COMPUTED_VALUE"""),1997.0)</f>
        <v>1997</v>
      </c>
      <c r="E7786">
        <f>IFERROR(__xludf.DUMMYFUNCTION("""COMPUTED_VALUE"""),1.26902628E8)</f>
        <v>126902628</v>
      </c>
    </row>
    <row r="7787">
      <c r="A7787" t="str">
        <f t="shared" si="1"/>
        <v>jpn#1998</v>
      </c>
      <c r="B7787" t="str">
        <f>IFERROR(__xludf.DUMMYFUNCTION("""COMPUTED_VALUE"""),"jpn")</f>
        <v>jpn</v>
      </c>
      <c r="C7787" t="str">
        <f>IFERROR(__xludf.DUMMYFUNCTION("""COMPUTED_VALUE"""),"Japan")</f>
        <v>Japan</v>
      </c>
      <c r="D7787">
        <f>IFERROR(__xludf.DUMMYFUNCTION("""COMPUTED_VALUE"""),1998.0)</f>
        <v>1998</v>
      </c>
      <c r="E7787">
        <f>IFERROR(__xludf.DUMMYFUNCTION("""COMPUTED_VALUE"""),1.27127265E8)</f>
        <v>127127265</v>
      </c>
    </row>
    <row r="7788">
      <c r="A7788" t="str">
        <f t="shared" si="1"/>
        <v>jpn#1999</v>
      </c>
      <c r="B7788" t="str">
        <f>IFERROR(__xludf.DUMMYFUNCTION("""COMPUTED_VALUE"""),"jpn")</f>
        <v>jpn</v>
      </c>
      <c r="C7788" t="str">
        <f>IFERROR(__xludf.DUMMYFUNCTION("""COMPUTED_VALUE"""),"Japan")</f>
        <v>Japan</v>
      </c>
      <c r="D7788">
        <f>IFERROR(__xludf.DUMMYFUNCTION("""COMPUTED_VALUE"""),1999.0)</f>
        <v>1999</v>
      </c>
      <c r="E7788">
        <f>IFERROR(__xludf.DUMMYFUNCTION("""COMPUTED_VALUE"""),1.27335858E8)</f>
        <v>127335858</v>
      </c>
    </row>
    <row r="7789">
      <c r="A7789" t="str">
        <f t="shared" si="1"/>
        <v>jpn#2000</v>
      </c>
      <c r="B7789" t="str">
        <f>IFERROR(__xludf.DUMMYFUNCTION("""COMPUTED_VALUE"""),"jpn")</f>
        <v>jpn</v>
      </c>
      <c r="C7789" t="str">
        <f>IFERROR(__xludf.DUMMYFUNCTION("""COMPUTED_VALUE"""),"Japan")</f>
        <v>Japan</v>
      </c>
      <c r="D7789">
        <f>IFERROR(__xludf.DUMMYFUNCTION("""COMPUTED_VALUE"""),2000.0)</f>
        <v>2000</v>
      </c>
      <c r="E7789">
        <f>IFERROR(__xludf.DUMMYFUNCTION("""COMPUTED_VALUE"""),1.27533934E8)</f>
        <v>127533934</v>
      </c>
    </row>
    <row r="7790">
      <c r="A7790" t="str">
        <f t="shared" si="1"/>
        <v>jpn#2001</v>
      </c>
      <c r="B7790" t="str">
        <f>IFERROR(__xludf.DUMMYFUNCTION("""COMPUTED_VALUE"""),"jpn")</f>
        <v>jpn</v>
      </c>
      <c r="C7790" t="str">
        <f>IFERROR(__xludf.DUMMYFUNCTION("""COMPUTED_VALUE"""),"Japan")</f>
        <v>Japan</v>
      </c>
      <c r="D7790">
        <f>IFERROR(__xludf.DUMMYFUNCTION("""COMPUTED_VALUE"""),2001.0)</f>
        <v>2001</v>
      </c>
      <c r="E7790">
        <f>IFERROR(__xludf.DUMMYFUNCTION("""COMPUTED_VALUE"""),1.27723513E8)</f>
        <v>127723513</v>
      </c>
    </row>
    <row r="7791">
      <c r="A7791" t="str">
        <f t="shared" si="1"/>
        <v>jpn#2002</v>
      </c>
      <c r="B7791" t="str">
        <f>IFERROR(__xludf.DUMMYFUNCTION("""COMPUTED_VALUE"""),"jpn")</f>
        <v>jpn</v>
      </c>
      <c r="C7791" t="str">
        <f>IFERROR(__xludf.DUMMYFUNCTION("""COMPUTED_VALUE"""),"Japan")</f>
        <v>Japan</v>
      </c>
      <c r="D7791">
        <f>IFERROR(__xludf.DUMMYFUNCTION("""COMPUTED_VALUE"""),2002.0)</f>
        <v>2002</v>
      </c>
      <c r="E7791">
        <f>IFERROR(__xludf.DUMMYFUNCTION("""COMPUTED_VALUE"""),1.27902617E8)</f>
        <v>127902617</v>
      </c>
    </row>
    <row r="7792">
      <c r="A7792" t="str">
        <f t="shared" si="1"/>
        <v>jpn#2003</v>
      </c>
      <c r="B7792" t="str">
        <f>IFERROR(__xludf.DUMMYFUNCTION("""COMPUTED_VALUE"""),"jpn")</f>
        <v>jpn</v>
      </c>
      <c r="C7792" t="str">
        <f>IFERROR(__xludf.DUMMYFUNCTION("""COMPUTED_VALUE"""),"Japan")</f>
        <v>Japan</v>
      </c>
      <c r="D7792">
        <f>IFERROR(__xludf.DUMMYFUNCTION("""COMPUTED_VALUE"""),2003.0)</f>
        <v>2003</v>
      </c>
      <c r="E7792">
        <f>IFERROR(__xludf.DUMMYFUNCTION("""COMPUTED_VALUE"""),1.28067794E8)</f>
        <v>128067794</v>
      </c>
    </row>
    <row r="7793">
      <c r="A7793" t="str">
        <f t="shared" si="1"/>
        <v>jpn#2004</v>
      </c>
      <c r="B7793" t="str">
        <f>IFERROR(__xludf.DUMMYFUNCTION("""COMPUTED_VALUE"""),"jpn")</f>
        <v>jpn</v>
      </c>
      <c r="C7793" t="str">
        <f>IFERROR(__xludf.DUMMYFUNCTION("""COMPUTED_VALUE"""),"Japan")</f>
        <v>Japan</v>
      </c>
      <c r="D7793">
        <f>IFERROR(__xludf.DUMMYFUNCTION("""COMPUTED_VALUE"""),2004.0)</f>
        <v>2004</v>
      </c>
      <c r="E7793">
        <f>IFERROR(__xludf.DUMMYFUNCTION("""COMPUTED_VALUE"""),1.28213632E8)</f>
        <v>128213632</v>
      </c>
    </row>
    <row r="7794">
      <c r="A7794" t="str">
        <f t="shared" si="1"/>
        <v>jpn#2005</v>
      </c>
      <c r="B7794" t="str">
        <f>IFERROR(__xludf.DUMMYFUNCTION("""COMPUTED_VALUE"""),"jpn")</f>
        <v>jpn</v>
      </c>
      <c r="C7794" t="str">
        <f>IFERROR(__xludf.DUMMYFUNCTION("""COMPUTED_VALUE"""),"Japan")</f>
        <v>Japan</v>
      </c>
      <c r="D7794">
        <f>IFERROR(__xludf.DUMMYFUNCTION("""COMPUTED_VALUE"""),2005.0)</f>
        <v>2005</v>
      </c>
      <c r="E7794">
        <f>IFERROR(__xludf.DUMMYFUNCTION("""COMPUTED_VALUE"""),1.28335767E8)</f>
        <v>128335767</v>
      </c>
    </row>
    <row r="7795">
      <c r="A7795" t="str">
        <f t="shared" si="1"/>
        <v>jpn#2006</v>
      </c>
      <c r="B7795" t="str">
        <f>IFERROR(__xludf.DUMMYFUNCTION("""COMPUTED_VALUE"""),"jpn")</f>
        <v>jpn</v>
      </c>
      <c r="C7795" t="str">
        <f>IFERROR(__xludf.DUMMYFUNCTION("""COMPUTED_VALUE"""),"Japan")</f>
        <v>Japan</v>
      </c>
      <c r="D7795">
        <f>IFERROR(__xludf.DUMMYFUNCTION("""COMPUTED_VALUE"""),2006.0)</f>
        <v>2006</v>
      </c>
      <c r="E7795">
        <f>IFERROR(__xludf.DUMMYFUNCTION("""COMPUTED_VALUE"""),1.28432994E8)</f>
        <v>128432994</v>
      </c>
    </row>
    <row r="7796">
      <c r="A7796" t="str">
        <f t="shared" si="1"/>
        <v>jpn#2007</v>
      </c>
      <c r="B7796" t="str">
        <f>IFERROR(__xludf.DUMMYFUNCTION("""COMPUTED_VALUE"""),"jpn")</f>
        <v>jpn</v>
      </c>
      <c r="C7796" t="str">
        <f>IFERROR(__xludf.DUMMYFUNCTION("""COMPUTED_VALUE"""),"Japan")</f>
        <v>Japan</v>
      </c>
      <c r="D7796">
        <f>IFERROR(__xludf.DUMMYFUNCTION("""COMPUTED_VALUE"""),2007.0)</f>
        <v>2007</v>
      </c>
      <c r="E7796">
        <f>IFERROR(__xludf.DUMMYFUNCTION("""COMPUTED_VALUE"""),1.28505251E8)</f>
        <v>128505251</v>
      </c>
    </row>
    <row r="7797">
      <c r="A7797" t="str">
        <f t="shared" si="1"/>
        <v>jpn#2008</v>
      </c>
      <c r="B7797" t="str">
        <f>IFERROR(__xludf.DUMMYFUNCTION("""COMPUTED_VALUE"""),"jpn")</f>
        <v>jpn</v>
      </c>
      <c r="C7797" t="str">
        <f>IFERROR(__xludf.DUMMYFUNCTION("""COMPUTED_VALUE"""),"Japan")</f>
        <v>Japan</v>
      </c>
      <c r="D7797">
        <f>IFERROR(__xludf.DUMMYFUNCTION("""COMPUTED_VALUE"""),2008.0)</f>
        <v>2008</v>
      </c>
      <c r="E7797">
        <f>IFERROR(__xludf.DUMMYFUNCTION("""COMPUTED_VALUE"""),1.28550508E8)</f>
        <v>128550508</v>
      </c>
    </row>
    <row r="7798">
      <c r="A7798" t="str">
        <f t="shared" si="1"/>
        <v>jpn#2009</v>
      </c>
      <c r="B7798" t="str">
        <f>IFERROR(__xludf.DUMMYFUNCTION("""COMPUTED_VALUE"""),"jpn")</f>
        <v>jpn</v>
      </c>
      <c r="C7798" t="str">
        <f>IFERROR(__xludf.DUMMYFUNCTION("""COMPUTED_VALUE"""),"Japan")</f>
        <v>Japan</v>
      </c>
      <c r="D7798">
        <f>IFERROR(__xludf.DUMMYFUNCTION("""COMPUTED_VALUE"""),2009.0)</f>
        <v>2009</v>
      </c>
      <c r="E7798">
        <f>IFERROR(__xludf.DUMMYFUNCTION("""COMPUTED_VALUE"""),1.28566659E8)</f>
        <v>128566659</v>
      </c>
    </row>
    <row r="7799">
      <c r="A7799" t="str">
        <f t="shared" si="1"/>
        <v>jpn#2010</v>
      </c>
      <c r="B7799" t="str">
        <f>IFERROR(__xludf.DUMMYFUNCTION("""COMPUTED_VALUE"""),"jpn")</f>
        <v>jpn</v>
      </c>
      <c r="C7799" t="str">
        <f>IFERROR(__xludf.DUMMYFUNCTION("""COMPUTED_VALUE"""),"Japan")</f>
        <v>Japan</v>
      </c>
      <c r="D7799">
        <f>IFERROR(__xludf.DUMMYFUNCTION("""COMPUTED_VALUE"""),2010.0)</f>
        <v>2010</v>
      </c>
      <c r="E7799">
        <f>IFERROR(__xludf.DUMMYFUNCTION("""COMPUTED_VALUE"""),1.28551873E8)</f>
        <v>128551873</v>
      </c>
    </row>
    <row r="7800">
      <c r="A7800" t="str">
        <f t="shared" si="1"/>
        <v>jpn#2011</v>
      </c>
      <c r="B7800" t="str">
        <f>IFERROR(__xludf.DUMMYFUNCTION("""COMPUTED_VALUE"""),"jpn")</f>
        <v>jpn</v>
      </c>
      <c r="C7800" t="str">
        <f>IFERROR(__xludf.DUMMYFUNCTION("""COMPUTED_VALUE"""),"Japan")</f>
        <v>Japan</v>
      </c>
      <c r="D7800">
        <f>IFERROR(__xludf.DUMMYFUNCTION("""COMPUTED_VALUE"""),2011.0)</f>
        <v>2011</v>
      </c>
      <c r="E7800">
        <f>IFERROR(__xludf.DUMMYFUNCTION("""COMPUTED_VALUE"""),1.28505399E8)</f>
        <v>128505399</v>
      </c>
    </row>
    <row r="7801">
      <c r="A7801" t="str">
        <f t="shared" si="1"/>
        <v>jpn#2012</v>
      </c>
      <c r="B7801" t="str">
        <f>IFERROR(__xludf.DUMMYFUNCTION("""COMPUTED_VALUE"""),"jpn")</f>
        <v>jpn</v>
      </c>
      <c r="C7801" t="str">
        <f>IFERROR(__xludf.DUMMYFUNCTION("""COMPUTED_VALUE"""),"Japan")</f>
        <v>Japan</v>
      </c>
      <c r="D7801">
        <f>IFERROR(__xludf.DUMMYFUNCTION("""COMPUTED_VALUE"""),2012.0)</f>
        <v>2012</v>
      </c>
      <c r="E7801">
        <f>IFERROR(__xludf.DUMMYFUNCTION("""COMPUTED_VALUE"""),1.28426384E8)</f>
        <v>128426384</v>
      </c>
    </row>
    <row r="7802">
      <c r="A7802" t="str">
        <f t="shared" si="1"/>
        <v>jpn#2013</v>
      </c>
      <c r="B7802" t="str">
        <f>IFERROR(__xludf.DUMMYFUNCTION("""COMPUTED_VALUE"""),"jpn")</f>
        <v>jpn</v>
      </c>
      <c r="C7802" t="str">
        <f>IFERROR(__xludf.DUMMYFUNCTION("""COMPUTED_VALUE"""),"Japan")</f>
        <v>Japan</v>
      </c>
      <c r="D7802">
        <f>IFERROR(__xludf.DUMMYFUNCTION("""COMPUTED_VALUE"""),2013.0)</f>
        <v>2013</v>
      </c>
      <c r="E7802">
        <f>IFERROR(__xludf.DUMMYFUNCTION("""COMPUTED_VALUE"""),1.2831292E8)</f>
        <v>128312920</v>
      </c>
    </row>
    <row r="7803">
      <c r="A7803" t="str">
        <f t="shared" si="1"/>
        <v>jpn#2014</v>
      </c>
      <c r="B7803" t="str">
        <f>IFERROR(__xludf.DUMMYFUNCTION("""COMPUTED_VALUE"""),"jpn")</f>
        <v>jpn</v>
      </c>
      <c r="C7803" t="str">
        <f>IFERROR(__xludf.DUMMYFUNCTION("""COMPUTED_VALUE"""),"Japan")</f>
        <v>Japan</v>
      </c>
      <c r="D7803">
        <f>IFERROR(__xludf.DUMMYFUNCTION("""COMPUTED_VALUE"""),2014.0)</f>
        <v>2014</v>
      </c>
      <c r="E7803">
        <f>IFERROR(__xludf.DUMMYFUNCTION("""COMPUTED_VALUE"""),1.28162873E8)</f>
        <v>128162873</v>
      </c>
    </row>
    <row r="7804">
      <c r="A7804" t="str">
        <f t="shared" si="1"/>
        <v>jpn#2015</v>
      </c>
      <c r="B7804" t="str">
        <f>IFERROR(__xludf.DUMMYFUNCTION("""COMPUTED_VALUE"""),"jpn")</f>
        <v>jpn</v>
      </c>
      <c r="C7804" t="str">
        <f>IFERROR(__xludf.DUMMYFUNCTION("""COMPUTED_VALUE"""),"Japan")</f>
        <v>Japan</v>
      </c>
      <c r="D7804">
        <f>IFERROR(__xludf.DUMMYFUNCTION("""COMPUTED_VALUE"""),2015.0)</f>
        <v>2015</v>
      </c>
      <c r="E7804">
        <f>IFERROR(__xludf.DUMMYFUNCTION("""COMPUTED_VALUE"""),1.27974958E8)</f>
        <v>127974958</v>
      </c>
    </row>
    <row r="7805">
      <c r="A7805" t="str">
        <f t="shared" si="1"/>
        <v>jpn#2016</v>
      </c>
      <c r="B7805" t="str">
        <f>IFERROR(__xludf.DUMMYFUNCTION("""COMPUTED_VALUE"""),"jpn")</f>
        <v>jpn</v>
      </c>
      <c r="C7805" t="str">
        <f>IFERROR(__xludf.DUMMYFUNCTION("""COMPUTED_VALUE"""),"Japan")</f>
        <v>Japan</v>
      </c>
      <c r="D7805">
        <f>IFERROR(__xludf.DUMMYFUNCTION("""COMPUTED_VALUE"""),2016.0)</f>
        <v>2016</v>
      </c>
      <c r="E7805">
        <f>IFERROR(__xludf.DUMMYFUNCTION("""COMPUTED_VALUE"""),1.27748513E8)</f>
        <v>127748513</v>
      </c>
    </row>
    <row r="7806">
      <c r="A7806" t="str">
        <f t="shared" si="1"/>
        <v>jpn#2017</v>
      </c>
      <c r="B7806" t="str">
        <f>IFERROR(__xludf.DUMMYFUNCTION("""COMPUTED_VALUE"""),"jpn")</f>
        <v>jpn</v>
      </c>
      <c r="C7806" t="str">
        <f>IFERROR(__xludf.DUMMYFUNCTION("""COMPUTED_VALUE"""),"Japan")</f>
        <v>Japan</v>
      </c>
      <c r="D7806">
        <f>IFERROR(__xludf.DUMMYFUNCTION("""COMPUTED_VALUE"""),2017.0)</f>
        <v>2017</v>
      </c>
      <c r="E7806">
        <f>IFERROR(__xludf.DUMMYFUNCTION("""COMPUTED_VALUE"""),1.2748445E8)</f>
        <v>127484450</v>
      </c>
    </row>
    <row r="7807">
      <c r="A7807" t="str">
        <f t="shared" si="1"/>
        <v>jpn#2018</v>
      </c>
      <c r="B7807" t="str">
        <f>IFERROR(__xludf.DUMMYFUNCTION("""COMPUTED_VALUE"""),"jpn")</f>
        <v>jpn</v>
      </c>
      <c r="C7807" t="str">
        <f>IFERROR(__xludf.DUMMYFUNCTION("""COMPUTED_VALUE"""),"Japan")</f>
        <v>Japan</v>
      </c>
      <c r="D7807">
        <f>IFERROR(__xludf.DUMMYFUNCTION("""COMPUTED_VALUE"""),2018.0)</f>
        <v>2018</v>
      </c>
      <c r="E7807">
        <f>IFERROR(__xludf.DUMMYFUNCTION("""COMPUTED_VALUE"""),1.27185332E8)</f>
        <v>127185332</v>
      </c>
    </row>
    <row r="7808">
      <c r="A7808" t="str">
        <f t="shared" si="1"/>
        <v>jpn#2019</v>
      </c>
      <c r="B7808" t="str">
        <f>IFERROR(__xludf.DUMMYFUNCTION("""COMPUTED_VALUE"""),"jpn")</f>
        <v>jpn</v>
      </c>
      <c r="C7808" t="str">
        <f>IFERROR(__xludf.DUMMYFUNCTION("""COMPUTED_VALUE"""),"Japan")</f>
        <v>Japan</v>
      </c>
      <c r="D7808">
        <f>IFERROR(__xludf.DUMMYFUNCTION("""COMPUTED_VALUE"""),2019.0)</f>
        <v>2019</v>
      </c>
      <c r="E7808">
        <f>IFERROR(__xludf.DUMMYFUNCTION("""COMPUTED_VALUE"""),1.26854745E8)</f>
        <v>126854745</v>
      </c>
    </row>
    <row r="7809">
      <c r="A7809" t="str">
        <f t="shared" si="1"/>
        <v>jpn#2020</v>
      </c>
      <c r="B7809" t="str">
        <f>IFERROR(__xludf.DUMMYFUNCTION("""COMPUTED_VALUE"""),"jpn")</f>
        <v>jpn</v>
      </c>
      <c r="C7809" t="str">
        <f>IFERROR(__xludf.DUMMYFUNCTION("""COMPUTED_VALUE"""),"Japan")</f>
        <v>Japan</v>
      </c>
      <c r="D7809">
        <f>IFERROR(__xludf.DUMMYFUNCTION("""COMPUTED_VALUE"""),2020.0)</f>
        <v>2020</v>
      </c>
      <c r="E7809">
        <f>IFERROR(__xludf.DUMMYFUNCTION("""COMPUTED_VALUE"""),1.26495647E8)</f>
        <v>126495647</v>
      </c>
    </row>
    <row r="7810">
      <c r="A7810" t="str">
        <f t="shared" si="1"/>
        <v>jpn#2021</v>
      </c>
      <c r="B7810" t="str">
        <f>IFERROR(__xludf.DUMMYFUNCTION("""COMPUTED_VALUE"""),"jpn")</f>
        <v>jpn</v>
      </c>
      <c r="C7810" t="str">
        <f>IFERROR(__xludf.DUMMYFUNCTION("""COMPUTED_VALUE"""),"Japan")</f>
        <v>Japan</v>
      </c>
      <c r="D7810">
        <f>IFERROR(__xludf.DUMMYFUNCTION("""COMPUTED_VALUE"""),2021.0)</f>
        <v>2021</v>
      </c>
      <c r="E7810">
        <f>IFERROR(__xludf.DUMMYFUNCTION("""COMPUTED_VALUE"""),1.26109475E8)</f>
        <v>126109475</v>
      </c>
    </row>
    <row r="7811">
      <c r="A7811" t="str">
        <f t="shared" si="1"/>
        <v>jpn#2022</v>
      </c>
      <c r="B7811" t="str">
        <f>IFERROR(__xludf.DUMMYFUNCTION("""COMPUTED_VALUE"""),"jpn")</f>
        <v>jpn</v>
      </c>
      <c r="C7811" t="str">
        <f>IFERROR(__xludf.DUMMYFUNCTION("""COMPUTED_VALUE"""),"Japan")</f>
        <v>Japan</v>
      </c>
      <c r="D7811">
        <f>IFERROR(__xludf.DUMMYFUNCTION("""COMPUTED_VALUE"""),2022.0)</f>
        <v>2022</v>
      </c>
      <c r="E7811">
        <f>IFERROR(__xludf.DUMMYFUNCTION("""COMPUTED_VALUE"""),1.25696763E8)</f>
        <v>125696763</v>
      </c>
    </row>
    <row r="7812">
      <c r="A7812" t="str">
        <f t="shared" si="1"/>
        <v>jpn#2023</v>
      </c>
      <c r="B7812" t="str">
        <f>IFERROR(__xludf.DUMMYFUNCTION("""COMPUTED_VALUE"""),"jpn")</f>
        <v>jpn</v>
      </c>
      <c r="C7812" t="str">
        <f>IFERROR(__xludf.DUMMYFUNCTION("""COMPUTED_VALUE"""),"Japan")</f>
        <v>Japan</v>
      </c>
      <c r="D7812">
        <f>IFERROR(__xludf.DUMMYFUNCTION("""COMPUTED_VALUE"""),2023.0)</f>
        <v>2023</v>
      </c>
      <c r="E7812">
        <f>IFERROR(__xludf.DUMMYFUNCTION("""COMPUTED_VALUE"""),1.252586E8)</f>
        <v>125258600</v>
      </c>
    </row>
    <row r="7813">
      <c r="A7813" t="str">
        <f t="shared" si="1"/>
        <v>jpn#2024</v>
      </c>
      <c r="B7813" t="str">
        <f>IFERROR(__xludf.DUMMYFUNCTION("""COMPUTED_VALUE"""),"jpn")</f>
        <v>jpn</v>
      </c>
      <c r="C7813" t="str">
        <f>IFERROR(__xludf.DUMMYFUNCTION("""COMPUTED_VALUE"""),"Japan")</f>
        <v>Japan</v>
      </c>
      <c r="D7813">
        <f>IFERROR(__xludf.DUMMYFUNCTION("""COMPUTED_VALUE"""),2024.0)</f>
        <v>2024</v>
      </c>
      <c r="E7813">
        <f>IFERROR(__xludf.DUMMYFUNCTION("""COMPUTED_VALUE"""),1.24795916E8)</f>
        <v>124795916</v>
      </c>
    </row>
    <row r="7814">
      <c r="A7814" t="str">
        <f t="shared" si="1"/>
        <v>jpn#2025</v>
      </c>
      <c r="B7814" t="str">
        <f>IFERROR(__xludf.DUMMYFUNCTION("""COMPUTED_VALUE"""),"jpn")</f>
        <v>jpn</v>
      </c>
      <c r="C7814" t="str">
        <f>IFERROR(__xludf.DUMMYFUNCTION("""COMPUTED_VALUE"""),"Japan")</f>
        <v>Japan</v>
      </c>
      <c r="D7814">
        <f>IFERROR(__xludf.DUMMYFUNCTION("""COMPUTED_VALUE"""),2025.0)</f>
        <v>2025</v>
      </c>
      <c r="E7814">
        <f>IFERROR(__xludf.DUMMYFUNCTION("""COMPUTED_VALUE"""),1.24309808E8)</f>
        <v>124309808</v>
      </c>
    </row>
    <row r="7815">
      <c r="A7815" t="str">
        <f t="shared" si="1"/>
        <v>jpn#2026</v>
      </c>
      <c r="B7815" t="str">
        <f>IFERROR(__xludf.DUMMYFUNCTION("""COMPUTED_VALUE"""),"jpn")</f>
        <v>jpn</v>
      </c>
      <c r="C7815" t="str">
        <f>IFERROR(__xludf.DUMMYFUNCTION("""COMPUTED_VALUE"""),"Japan")</f>
        <v>Japan</v>
      </c>
      <c r="D7815">
        <f>IFERROR(__xludf.DUMMYFUNCTION("""COMPUTED_VALUE"""),2026.0)</f>
        <v>2026</v>
      </c>
      <c r="E7815">
        <f>IFERROR(__xludf.DUMMYFUNCTION("""COMPUTED_VALUE"""),1.23801486E8)</f>
        <v>123801486</v>
      </c>
    </row>
    <row r="7816">
      <c r="A7816" t="str">
        <f t="shared" si="1"/>
        <v>jpn#2027</v>
      </c>
      <c r="B7816" t="str">
        <f>IFERROR(__xludf.DUMMYFUNCTION("""COMPUTED_VALUE"""),"jpn")</f>
        <v>jpn</v>
      </c>
      <c r="C7816" t="str">
        <f>IFERROR(__xludf.DUMMYFUNCTION("""COMPUTED_VALUE"""),"Japan")</f>
        <v>Japan</v>
      </c>
      <c r="D7816">
        <f>IFERROR(__xludf.DUMMYFUNCTION("""COMPUTED_VALUE"""),2027.0)</f>
        <v>2027</v>
      </c>
      <c r="E7816">
        <f>IFERROR(__xludf.DUMMYFUNCTION("""COMPUTED_VALUE"""),1.23272528E8)</f>
        <v>123272528</v>
      </c>
    </row>
    <row r="7817">
      <c r="A7817" t="str">
        <f t="shared" si="1"/>
        <v>jpn#2028</v>
      </c>
      <c r="B7817" t="str">
        <f>IFERROR(__xludf.DUMMYFUNCTION("""COMPUTED_VALUE"""),"jpn")</f>
        <v>jpn</v>
      </c>
      <c r="C7817" t="str">
        <f>IFERROR(__xludf.DUMMYFUNCTION("""COMPUTED_VALUE"""),"Japan")</f>
        <v>Japan</v>
      </c>
      <c r="D7817">
        <f>IFERROR(__xludf.DUMMYFUNCTION("""COMPUTED_VALUE"""),2028.0)</f>
        <v>2028</v>
      </c>
      <c r="E7817">
        <f>IFERROR(__xludf.DUMMYFUNCTION("""COMPUTED_VALUE"""),1.22724751E8)</f>
        <v>122724751</v>
      </c>
    </row>
    <row r="7818">
      <c r="A7818" t="str">
        <f t="shared" si="1"/>
        <v>jpn#2029</v>
      </c>
      <c r="B7818" t="str">
        <f>IFERROR(__xludf.DUMMYFUNCTION("""COMPUTED_VALUE"""),"jpn")</f>
        <v>jpn</v>
      </c>
      <c r="C7818" t="str">
        <f>IFERROR(__xludf.DUMMYFUNCTION("""COMPUTED_VALUE"""),"Japan")</f>
        <v>Japan</v>
      </c>
      <c r="D7818">
        <f>IFERROR(__xludf.DUMMYFUNCTION("""COMPUTED_VALUE"""),2029.0)</f>
        <v>2029</v>
      </c>
      <c r="E7818">
        <f>IFERROR(__xludf.DUMMYFUNCTION("""COMPUTED_VALUE"""),1.22160142E8)</f>
        <v>122160142</v>
      </c>
    </row>
    <row r="7819">
      <c r="A7819" t="str">
        <f t="shared" si="1"/>
        <v>jpn#2030</v>
      </c>
      <c r="B7819" t="str">
        <f>IFERROR(__xludf.DUMMYFUNCTION("""COMPUTED_VALUE"""),"jpn")</f>
        <v>jpn</v>
      </c>
      <c r="C7819" t="str">
        <f>IFERROR(__xludf.DUMMYFUNCTION("""COMPUTED_VALUE"""),"Japan")</f>
        <v>Japan</v>
      </c>
      <c r="D7819">
        <f>IFERROR(__xludf.DUMMYFUNCTION("""COMPUTED_VALUE"""),2030.0)</f>
        <v>2030</v>
      </c>
      <c r="E7819">
        <f>IFERROR(__xludf.DUMMYFUNCTION("""COMPUTED_VALUE"""),1.21580505E8)</f>
        <v>121580505</v>
      </c>
    </row>
    <row r="7820">
      <c r="A7820" t="str">
        <f t="shared" si="1"/>
        <v>jpn#2031</v>
      </c>
      <c r="B7820" t="str">
        <f>IFERROR(__xludf.DUMMYFUNCTION("""COMPUTED_VALUE"""),"jpn")</f>
        <v>jpn</v>
      </c>
      <c r="C7820" t="str">
        <f>IFERROR(__xludf.DUMMYFUNCTION("""COMPUTED_VALUE"""),"Japan")</f>
        <v>Japan</v>
      </c>
      <c r="D7820">
        <f>IFERROR(__xludf.DUMMYFUNCTION("""COMPUTED_VALUE"""),2031.0)</f>
        <v>2031</v>
      </c>
      <c r="E7820">
        <f>IFERROR(__xludf.DUMMYFUNCTION("""COMPUTED_VALUE"""),1.20987465E8)</f>
        <v>120987465</v>
      </c>
    </row>
    <row r="7821">
      <c r="A7821" t="str">
        <f t="shared" si="1"/>
        <v>jpn#2032</v>
      </c>
      <c r="B7821" t="str">
        <f>IFERROR(__xludf.DUMMYFUNCTION("""COMPUTED_VALUE"""),"jpn")</f>
        <v>jpn</v>
      </c>
      <c r="C7821" t="str">
        <f>IFERROR(__xludf.DUMMYFUNCTION("""COMPUTED_VALUE"""),"Japan")</f>
        <v>Japan</v>
      </c>
      <c r="D7821">
        <f>IFERROR(__xludf.DUMMYFUNCTION("""COMPUTED_VALUE"""),2032.0)</f>
        <v>2032</v>
      </c>
      <c r="E7821">
        <f>IFERROR(__xludf.DUMMYFUNCTION("""COMPUTED_VALUE"""),1.20382187E8)</f>
        <v>120382187</v>
      </c>
    </row>
    <row r="7822">
      <c r="A7822" t="str">
        <f t="shared" si="1"/>
        <v>jpn#2033</v>
      </c>
      <c r="B7822" t="str">
        <f>IFERROR(__xludf.DUMMYFUNCTION("""COMPUTED_VALUE"""),"jpn")</f>
        <v>jpn</v>
      </c>
      <c r="C7822" t="str">
        <f>IFERROR(__xludf.DUMMYFUNCTION("""COMPUTED_VALUE"""),"Japan")</f>
        <v>Japan</v>
      </c>
      <c r="D7822">
        <f>IFERROR(__xludf.DUMMYFUNCTION("""COMPUTED_VALUE"""),2033.0)</f>
        <v>2033</v>
      </c>
      <c r="E7822">
        <f>IFERROR(__xludf.DUMMYFUNCTION("""COMPUTED_VALUE"""),1.1976544E8)</f>
        <v>119765440</v>
      </c>
    </row>
    <row r="7823">
      <c r="A7823" t="str">
        <f t="shared" si="1"/>
        <v>jpn#2034</v>
      </c>
      <c r="B7823" t="str">
        <f>IFERROR(__xludf.DUMMYFUNCTION("""COMPUTED_VALUE"""),"jpn")</f>
        <v>jpn</v>
      </c>
      <c r="C7823" t="str">
        <f>IFERROR(__xludf.DUMMYFUNCTION("""COMPUTED_VALUE"""),"Japan")</f>
        <v>Japan</v>
      </c>
      <c r="D7823">
        <f>IFERROR(__xludf.DUMMYFUNCTION("""COMPUTED_VALUE"""),2034.0)</f>
        <v>2034</v>
      </c>
      <c r="E7823">
        <f>IFERROR(__xludf.DUMMYFUNCTION("""COMPUTED_VALUE"""),1.19137707E8)</f>
        <v>119137707</v>
      </c>
    </row>
    <row r="7824">
      <c r="A7824" t="str">
        <f t="shared" si="1"/>
        <v>jpn#2035</v>
      </c>
      <c r="B7824" t="str">
        <f>IFERROR(__xludf.DUMMYFUNCTION("""COMPUTED_VALUE"""),"jpn")</f>
        <v>jpn</v>
      </c>
      <c r="C7824" t="str">
        <f>IFERROR(__xludf.DUMMYFUNCTION("""COMPUTED_VALUE"""),"Japan")</f>
        <v>Japan</v>
      </c>
      <c r="D7824">
        <f>IFERROR(__xludf.DUMMYFUNCTION("""COMPUTED_VALUE"""),2035.0)</f>
        <v>2035</v>
      </c>
      <c r="E7824">
        <f>IFERROR(__xludf.DUMMYFUNCTION("""COMPUTED_VALUE"""),1.1849979E8)</f>
        <v>118499790</v>
      </c>
    </row>
    <row r="7825">
      <c r="A7825" t="str">
        <f t="shared" si="1"/>
        <v>jpn#2036</v>
      </c>
      <c r="B7825" t="str">
        <f>IFERROR(__xludf.DUMMYFUNCTION("""COMPUTED_VALUE"""),"jpn")</f>
        <v>jpn</v>
      </c>
      <c r="C7825" t="str">
        <f>IFERROR(__xludf.DUMMYFUNCTION("""COMPUTED_VALUE"""),"Japan")</f>
        <v>Japan</v>
      </c>
      <c r="D7825">
        <f>IFERROR(__xludf.DUMMYFUNCTION("""COMPUTED_VALUE"""),2036.0)</f>
        <v>2036</v>
      </c>
      <c r="E7825">
        <f>IFERROR(__xludf.DUMMYFUNCTION("""COMPUTED_VALUE"""),1.17852825E8)</f>
        <v>117852825</v>
      </c>
    </row>
    <row r="7826">
      <c r="A7826" t="str">
        <f t="shared" si="1"/>
        <v>jpn#2037</v>
      </c>
      <c r="B7826" t="str">
        <f>IFERROR(__xludf.DUMMYFUNCTION("""COMPUTED_VALUE"""),"jpn")</f>
        <v>jpn</v>
      </c>
      <c r="C7826" t="str">
        <f>IFERROR(__xludf.DUMMYFUNCTION("""COMPUTED_VALUE"""),"Japan")</f>
        <v>Japan</v>
      </c>
      <c r="D7826">
        <f>IFERROR(__xludf.DUMMYFUNCTION("""COMPUTED_VALUE"""),2037.0)</f>
        <v>2037</v>
      </c>
      <c r="E7826">
        <f>IFERROR(__xludf.DUMMYFUNCTION("""COMPUTED_VALUE"""),1.17198468E8)</f>
        <v>117198468</v>
      </c>
    </row>
    <row r="7827">
      <c r="A7827" t="str">
        <f t="shared" si="1"/>
        <v>jpn#2038</v>
      </c>
      <c r="B7827" t="str">
        <f>IFERROR(__xludf.DUMMYFUNCTION("""COMPUTED_VALUE"""),"jpn")</f>
        <v>jpn</v>
      </c>
      <c r="C7827" t="str">
        <f>IFERROR(__xludf.DUMMYFUNCTION("""COMPUTED_VALUE"""),"Japan")</f>
        <v>Japan</v>
      </c>
      <c r="D7827">
        <f>IFERROR(__xludf.DUMMYFUNCTION("""COMPUTED_VALUE"""),2038.0)</f>
        <v>2038</v>
      </c>
      <c r="E7827">
        <f>IFERROR(__xludf.DUMMYFUNCTION("""COMPUTED_VALUE"""),1.1653874E8)</f>
        <v>116538740</v>
      </c>
    </row>
    <row r="7828">
      <c r="A7828" t="str">
        <f t="shared" si="1"/>
        <v>jpn#2039</v>
      </c>
      <c r="B7828" t="str">
        <f>IFERROR(__xludf.DUMMYFUNCTION("""COMPUTED_VALUE"""),"jpn")</f>
        <v>jpn</v>
      </c>
      <c r="C7828" t="str">
        <f>IFERROR(__xludf.DUMMYFUNCTION("""COMPUTED_VALUE"""),"Japan")</f>
        <v>Japan</v>
      </c>
      <c r="D7828">
        <f>IFERROR(__xludf.DUMMYFUNCTION("""COMPUTED_VALUE"""),2039.0)</f>
        <v>2039</v>
      </c>
      <c r="E7828">
        <f>IFERROR(__xludf.DUMMYFUNCTION("""COMPUTED_VALUE"""),1.1587593E8)</f>
        <v>115875930</v>
      </c>
    </row>
    <row r="7829">
      <c r="A7829" t="str">
        <f t="shared" si="1"/>
        <v>jpn#2040</v>
      </c>
      <c r="B7829" t="str">
        <f>IFERROR(__xludf.DUMMYFUNCTION("""COMPUTED_VALUE"""),"jpn")</f>
        <v>jpn</v>
      </c>
      <c r="C7829" t="str">
        <f>IFERROR(__xludf.DUMMYFUNCTION("""COMPUTED_VALUE"""),"Japan")</f>
        <v>Japan</v>
      </c>
      <c r="D7829">
        <f>IFERROR(__xludf.DUMMYFUNCTION("""COMPUTED_VALUE"""),2040.0)</f>
        <v>2040</v>
      </c>
      <c r="E7829">
        <f>IFERROR(__xludf.DUMMYFUNCTION("""COMPUTED_VALUE"""),1.15212067E8)</f>
        <v>115212067</v>
      </c>
    </row>
    <row r="7830">
      <c r="A7830" t="str">
        <f t="shared" si="1"/>
        <v>jor#1950</v>
      </c>
      <c r="B7830" t="str">
        <f>IFERROR(__xludf.DUMMYFUNCTION("""COMPUTED_VALUE"""),"jor")</f>
        <v>jor</v>
      </c>
      <c r="C7830" t="str">
        <f>IFERROR(__xludf.DUMMYFUNCTION("""COMPUTED_VALUE"""),"Jordan")</f>
        <v>Jordan</v>
      </c>
      <c r="D7830">
        <f>IFERROR(__xludf.DUMMYFUNCTION("""COMPUTED_VALUE"""),1950.0)</f>
        <v>1950</v>
      </c>
      <c r="E7830">
        <f>IFERROR(__xludf.DUMMYFUNCTION("""COMPUTED_VALUE"""),481321.0)</f>
        <v>481321</v>
      </c>
    </row>
    <row r="7831">
      <c r="A7831" t="str">
        <f t="shared" si="1"/>
        <v>jor#1951</v>
      </c>
      <c r="B7831" t="str">
        <f>IFERROR(__xludf.DUMMYFUNCTION("""COMPUTED_VALUE"""),"jor")</f>
        <v>jor</v>
      </c>
      <c r="C7831" t="str">
        <f>IFERROR(__xludf.DUMMYFUNCTION("""COMPUTED_VALUE"""),"Jordan")</f>
        <v>Jordan</v>
      </c>
      <c r="D7831">
        <f>IFERROR(__xludf.DUMMYFUNCTION("""COMPUTED_VALUE"""),1951.0)</f>
        <v>1951</v>
      </c>
      <c r="E7831">
        <f>IFERROR(__xludf.DUMMYFUNCTION("""COMPUTED_VALUE"""),536446.0)</f>
        <v>536446</v>
      </c>
    </row>
    <row r="7832">
      <c r="A7832" t="str">
        <f t="shared" si="1"/>
        <v>jor#1952</v>
      </c>
      <c r="B7832" t="str">
        <f>IFERROR(__xludf.DUMMYFUNCTION("""COMPUTED_VALUE"""),"jor")</f>
        <v>jor</v>
      </c>
      <c r="C7832" t="str">
        <f>IFERROR(__xludf.DUMMYFUNCTION("""COMPUTED_VALUE"""),"Jordan")</f>
        <v>Jordan</v>
      </c>
      <c r="D7832">
        <f>IFERROR(__xludf.DUMMYFUNCTION("""COMPUTED_VALUE"""),1952.0)</f>
        <v>1952</v>
      </c>
      <c r="E7832">
        <f>IFERROR(__xludf.DUMMYFUNCTION("""COMPUTED_VALUE"""),576367.0)</f>
        <v>576367</v>
      </c>
    </row>
    <row r="7833">
      <c r="A7833" t="str">
        <f t="shared" si="1"/>
        <v>jor#1953</v>
      </c>
      <c r="B7833" t="str">
        <f>IFERROR(__xludf.DUMMYFUNCTION("""COMPUTED_VALUE"""),"jor")</f>
        <v>jor</v>
      </c>
      <c r="C7833" t="str">
        <f>IFERROR(__xludf.DUMMYFUNCTION("""COMPUTED_VALUE"""),"Jordan")</f>
        <v>Jordan</v>
      </c>
      <c r="D7833">
        <f>IFERROR(__xludf.DUMMYFUNCTION("""COMPUTED_VALUE"""),1953.0)</f>
        <v>1953</v>
      </c>
      <c r="E7833">
        <f>IFERROR(__xludf.DUMMYFUNCTION("""COMPUTED_VALUE"""),610079.0)</f>
        <v>610079</v>
      </c>
    </row>
    <row r="7834">
      <c r="A7834" t="str">
        <f t="shared" si="1"/>
        <v>jor#1954</v>
      </c>
      <c r="B7834" t="str">
        <f>IFERROR(__xludf.DUMMYFUNCTION("""COMPUTED_VALUE"""),"jor")</f>
        <v>jor</v>
      </c>
      <c r="C7834" t="str">
        <f>IFERROR(__xludf.DUMMYFUNCTION("""COMPUTED_VALUE"""),"Jordan")</f>
        <v>Jordan</v>
      </c>
      <c r="D7834">
        <f>IFERROR(__xludf.DUMMYFUNCTION("""COMPUTED_VALUE"""),1954.0)</f>
        <v>1954</v>
      </c>
      <c r="E7834">
        <f>IFERROR(__xludf.DUMMYFUNCTION("""COMPUTED_VALUE"""),644196.0)</f>
        <v>644196</v>
      </c>
    </row>
    <row r="7835">
      <c r="A7835" t="str">
        <f t="shared" si="1"/>
        <v>jor#1955</v>
      </c>
      <c r="B7835" t="str">
        <f>IFERROR(__xludf.DUMMYFUNCTION("""COMPUTED_VALUE"""),"jor")</f>
        <v>jor</v>
      </c>
      <c r="C7835" t="str">
        <f>IFERROR(__xludf.DUMMYFUNCTION("""COMPUTED_VALUE"""),"Jordan")</f>
        <v>Jordan</v>
      </c>
      <c r="D7835">
        <f>IFERROR(__xludf.DUMMYFUNCTION("""COMPUTED_VALUE"""),1955.0)</f>
        <v>1955</v>
      </c>
      <c r="E7835">
        <f>IFERROR(__xludf.DUMMYFUNCTION("""COMPUTED_VALUE"""),682952.0)</f>
        <v>682952</v>
      </c>
    </row>
    <row r="7836">
      <c r="A7836" t="str">
        <f t="shared" si="1"/>
        <v>jor#1956</v>
      </c>
      <c r="B7836" t="str">
        <f>IFERROR(__xludf.DUMMYFUNCTION("""COMPUTED_VALUE"""),"jor")</f>
        <v>jor</v>
      </c>
      <c r="C7836" t="str">
        <f>IFERROR(__xludf.DUMMYFUNCTION("""COMPUTED_VALUE"""),"Jordan")</f>
        <v>Jordan</v>
      </c>
      <c r="D7836">
        <f>IFERROR(__xludf.DUMMYFUNCTION("""COMPUTED_VALUE"""),1956.0)</f>
        <v>1956</v>
      </c>
      <c r="E7836">
        <f>IFERROR(__xludf.DUMMYFUNCTION("""COMPUTED_VALUE"""),728040.0)</f>
        <v>728040</v>
      </c>
    </row>
    <row r="7837">
      <c r="A7837" t="str">
        <f t="shared" si="1"/>
        <v>jor#1957</v>
      </c>
      <c r="B7837" t="str">
        <f>IFERROR(__xludf.DUMMYFUNCTION("""COMPUTED_VALUE"""),"jor")</f>
        <v>jor</v>
      </c>
      <c r="C7837" t="str">
        <f>IFERROR(__xludf.DUMMYFUNCTION("""COMPUTED_VALUE"""),"Jordan")</f>
        <v>Jordan</v>
      </c>
      <c r="D7837">
        <f>IFERROR(__xludf.DUMMYFUNCTION("""COMPUTED_VALUE"""),1957.0)</f>
        <v>1957</v>
      </c>
      <c r="E7837">
        <f>IFERROR(__xludf.DUMMYFUNCTION("""COMPUTED_VALUE"""),778771.0)</f>
        <v>778771</v>
      </c>
    </row>
    <row r="7838">
      <c r="A7838" t="str">
        <f t="shared" si="1"/>
        <v>jor#1958</v>
      </c>
      <c r="B7838" t="str">
        <f>IFERROR(__xludf.DUMMYFUNCTION("""COMPUTED_VALUE"""),"jor")</f>
        <v>jor</v>
      </c>
      <c r="C7838" t="str">
        <f>IFERROR(__xludf.DUMMYFUNCTION("""COMPUTED_VALUE"""),"Jordan")</f>
        <v>Jordan</v>
      </c>
      <c r="D7838">
        <f>IFERROR(__xludf.DUMMYFUNCTION("""COMPUTED_VALUE"""),1958.0)</f>
        <v>1958</v>
      </c>
      <c r="E7838">
        <f>IFERROR(__xludf.DUMMYFUNCTION("""COMPUTED_VALUE"""),832428.0)</f>
        <v>832428</v>
      </c>
    </row>
    <row r="7839">
      <c r="A7839" t="str">
        <f t="shared" si="1"/>
        <v>jor#1959</v>
      </c>
      <c r="B7839" t="str">
        <f>IFERROR(__xludf.DUMMYFUNCTION("""COMPUTED_VALUE"""),"jor")</f>
        <v>jor</v>
      </c>
      <c r="C7839" t="str">
        <f>IFERROR(__xludf.DUMMYFUNCTION("""COMPUTED_VALUE"""),"Jordan")</f>
        <v>Jordan</v>
      </c>
      <c r="D7839">
        <f>IFERROR(__xludf.DUMMYFUNCTION("""COMPUTED_VALUE"""),1959.0)</f>
        <v>1959</v>
      </c>
      <c r="E7839">
        <f>IFERROR(__xludf.DUMMYFUNCTION("""COMPUTED_VALUE"""),884864.0)</f>
        <v>884864</v>
      </c>
    </row>
    <row r="7840">
      <c r="A7840" t="str">
        <f t="shared" si="1"/>
        <v>jor#1960</v>
      </c>
      <c r="B7840" t="str">
        <f>IFERROR(__xludf.DUMMYFUNCTION("""COMPUTED_VALUE"""),"jor")</f>
        <v>jor</v>
      </c>
      <c r="C7840" t="str">
        <f>IFERROR(__xludf.DUMMYFUNCTION("""COMPUTED_VALUE"""),"Jordan")</f>
        <v>Jordan</v>
      </c>
      <c r="D7840">
        <f>IFERROR(__xludf.DUMMYFUNCTION("""COMPUTED_VALUE"""),1960.0)</f>
        <v>1960</v>
      </c>
      <c r="E7840">
        <f>IFERROR(__xludf.DUMMYFUNCTION("""COMPUTED_VALUE"""),932257.0)</f>
        <v>932257</v>
      </c>
    </row>
    <row r="7841">
      <c r="A7841" t="str">
        <f t="shared" si="1"/>
        <v>jor#1961</v>
      </c>
      <c r="B7841" t="str">
        <f>IFERROR(__xludf.DUMMYFUNCTION("""COMPUTED_VALUE"""),"jor")</f>
        <v>jor</v>
      </c>
      <c r="C7841" t="str">
        <f>IFERROR(__xludf.DUMMYFUNCTION("""COMPUTED_VALUE"""),"Jordan")</f>
        <v>Jordan</v>
      </c>
      <c r="D7841">
        <f>IFERROR(__xludf.DUMMYFUNCTION("""COMPUTED_VALUE"""),1961.0)</f>
        <v>1961</v>
      </c>
      <c r="E7841">
        <f>IFERROR(__xludf.DUMMYFUNCTION("""COMPUTED_VALUE"""),973083.0)</f>
        <v>973083</v>
      </c>
    </row>
    <row r="7842">
      <c r="A7842" t="str">
        <f t="shared" si="1"/>
        <v>jor#1962</v>
      </c>
      <c r="B7842" t="str">
        <f>IFERROR(__xludf.DUMMYFUNCTION("""COMPUTED_VALUE"""),"jor")</f>
        <v>jor</v>
      </c>
      <c r="C7842" t="str">
        <f>IFERROR(__xludf.DUMMYFUNCTION("""COMPUTED_VALUE"""),"Jordan")</f>
        <v>Jordan</v>
      </c>
      <c r="D7842">
        <f>IFERROR(__xludf.DUMMYFUNCTION("""COMPUTED_VALUE"""),1962.0)</f>
        <v>1962</v>
      </c>
      <c r="E7842">
        <f>IFERROR(__xludf.DUMMYFUNCTION("""COMPUTED_VALUE"""),1009733.0)</f>
        <v>1009733</v>
      </c>
    </row>
    <row r="7843">
      <c r="A7843" t="str">
        <f t="shared" si="1"/>
        <v>jor#1963</v>
      </c>
      <c r="B7843" t="str">
        <f>IFERROR(__xludf.DUMMYFUNCTION("""COMPUTED_VALUE"""),"jor")</f>
        <v>jor</v>
      </c>
      <c r="C7843" t="str">
        <f>IFERROR(__xludf.DUMMYFUNCTION("""COMPUTED_VALUE"""),"Jordan")</f>
        <v>Jordan</v>
      </c>
      <c r="D7843">
        <f>IFERROR(__xludf.DUMMYFUNCTION("""COMPUTED_VALUE"""),1963.0)</f>
        <v>1963</v>
      </c>
      <c r="E7843">
        <f>IFERROR(__xludf.DUMMYFUNCTION("""COMPUTED_VALUE"""),1049302.0)</f>
        <v>1049302</v>
      </c>
    </row>
    <row r="7844">
      <c r="A7844" t="str">
        <f t="shared" si="1"/>
        <v>jor#1964</v>
      </c>
      <c r="B7844" t="str">
        <f>IFERROR(__xludf.DUMMYFUNCTION("""COMPUTED_VALUE"""),"jor")</f>
        <v>jor</v>
      </c>
      <c r="C7844" t="str">
        <f>IFERROR(__xludf.DUMMYFUNCTION("""COMPUTED_VALUE"""),"Jordan")</f>
        <v>Jordan</v>
      </c>
      <c r="D7844">
        <f>IFERROR(__xludf.DUMMYFUNCTION("""COMPUTED_VALUE"""),1964.0)</f>
        <v>1964</v>
      </c>
      <c r="E7844">
        <f>IFERROR(__xludf.DUMMYFUNCTION("""COMPUTED_VALUE"""),1101459.0)</f>
        <v>1101459</v>
      </c>
    </row>
    <row r="7845">
      <c r="A7845" t="str">
        <f t="shared" si="1"/>
        <v>jor#1965</v>
      </c>
      <c r="B7845" t="str">
        <f>IFERROR(__xludf.DUMMYFUNCTION("""COMPUTED_VALUE"""),"jor")</f>
        <v>jor</v>
      </c>
      <c r="C7845" t="str">
        <f>IFERROR(__xludf.DUMMYFUNCTION("""COMPUTED_VALUE"""),"Jordan")</f>
        <v>Jordan</v>
      </c>
      <c r="D7845">
        <f>IFERROR(__xludf.DUMMYFUNCTION("""COMPUTED_VALUE"""),1965.0)</f>
        <v>1965</v>
      </c>
      <c r="E7845">
        <f>IFERROR(__xludf.DUMMYFUNCTION("""COMPUTED_VALUE"""),1172550.0)</f>
        <v>1172550</v>
      </c>
    </row>
    <row r="7846">
      <c r="A7846" t="str">
        <f t="shared" si="1"/>
        <v>jor#1966</v>
      </c>
      <c r="B7846" t="str">
        <f>IFERROR(__xludf.DUMMYFUNCTION("""COMPUTED_VALUE"""),"jor")</f>
        <v>jor</v>
      </c>
      <c r="C7846" t="str">
        <f>IFERROR(__xludf.DUMMYFUNCTION("""COMPUTED_VALUE"""),"Jordan")</f>
        <v>Jordan</v>
      </c>
      <c r="D7846">
        <f>IFERROR(__xludf.DUMMYFUNCTION("""COMPUTED_VALUE"""),1966.0)</f>
        <v>1966</v>
      </c>
      <c r="E7846">
        <f>IFERROR(__xludf.DUMMYFUNCTION("""COMPUTED_VALUE"""),1265806.0)</f>
        <v>1265806</v>
      </c>
    </row>
    <row r="7847">
      <c r="A7847" t="str">
        <f t="shared" si="1"/>
        <v>jor#1967</v>
      </c>
      <c r="B7847" t="str">
        <f>IFERROR(__xludf.DUMMYFUNCTION("""COMPUTED_VALUE"""),"jor")</f>
        <v>jor</v>
      </c>
      <c r="C7847" t="str">
        <f>IFERROR(__xludf.DUMMYFUNCTION("""COMPUTED_VALUE"""),"Jordan")</f>
        <v>Jordan</v>
      </c>
      <c r="D7847">
        <f>IFERROR(__xludf.DUMMYFUNCTION("""COMPUTED_VALUE"""),1967.0)</f>
        <v>1967</v>
      </c>
      <c r="E7847">
        <f>IFERROR(__xludf.DUMMYFUNCTION("""COMPUTED_VALUE"""),1377465.0)</f>
        <v>1377465</v>
      </c>
    </row>
    <row r="7848">
      <c r="A7848" t="str">
        <f t="shared" si="1"/>
        <v>jor#1968</v>
      </c>
      <c r="B7848" t="str">
        <f>IFERROR(__xludf.DUMMYFUNCTION("""COMPUTED_VALUE"""),"jor")</f>
        <v>jor</v>
      </c>
      <c r="C7848" t="str">
        <f>IFERROR(__xludf.DUMMYFUNCTION("""COMPUTED_VALUE"""),"Jordan")</f>
        <v>Jordan</v>
      </c>
      <c r="D7848">
        <f>IFERROR(__xludf.DUMMYFUNCTION("""COMPUTED_VALUE"""),1968.0)</f>
        <v>1968</v>
      </c>
      <c r="E7848">
        <f>IFERROR(__xludf.DUMMYFUNCTION("""COMPUTED_VALUE"""),1498309.0)</f>
        <v>1498309</v>
      </c>
    </row>
    <row r="7849">
      <c r="A7849" t="str">
        <f t="shared" si="1"/>
        <v>jor#1969</v>
      </c>
      <c r="B7849" t="str">
        <f>IFERROR(__xludf.DUMMYFUNCTION("""COMPUTED_VALUE"""),"jor")</f>
        <v>jor</v>
      </c>
      <c r="C7849" t="str">
        <f>IFERROR(__xludf.DUMMYFUNCTION("""COMPUTED_VALUE"""),"Jordan")</f>
        <v>Jordan</v>
      </c>
      <c r="D7849">
        <f>IFERROR(__xludf.DUMMYFUNCTION("""COMPUTED_VALUE"""),1969.0)</f>
        <v>1969</v>
      </c>
      <c r="E7849">
        <f>IFERROR(__xludf.DUMMYFUNCTION("""COMPUTED_VALUE"""),1615277.0)</f>
        <v>1615277</v>
      </c>
    </row>
    <row r="7850">
      <c r="A7850" t="str">
        <f t="shared" si="1"/>
        <v>jor#1970</v>
      </c>
      <c r="B7850" t="str">
        <f>IFERROR(__xludf.DUMMYFUNCTION("""COMPUTED_VALUE"""),"jor")</f>
        <v>jor</v>
      </c>
      <c r="C7850" t="str">
        <f>IFERROR(__xludf.DUMMYFUNCTION("""COMPUTED_VALUE"""),"Jordan")</f>
        <v>Jordan</v>
      </c>
      <c r="D7850">
        <f>IFERROR(__xludf.DUMMYFUNCTION("""COMPUTED_VALUE"""),1970.0)</f>
        <v>1970</v>
      </c>
      <c r="E7850">
        <f>IFERROR(__xludf.DUMMYFUNCTION("""COMPUTED_VALUE"""),1718913.0)</f>
        <v>1718913</v>
      </c>
    </row>
    <row r="7851">
      <c r="A7851" t="str">
        <f t="shared" si="1"/>
        <v>jor#1971</v>
      </c>
      <c r="B7851" t="str">
        <f>IFERROR(__xludf.DUMMYFUNCTION("""COMPUTED_VALUE"""),"jor")</f>
        <v>jor</v>
      </c>
      <c r="C7851" t="str">
        <f>IFERROR(__xludf.DUMMYFUNCTION("""COMPUTED_VALUE"""),"Jordan")</f>
        <v>Jordan</v>
      </c>
      <c r="D7851">
        <f>IFERROR(__xludf.DUMMYFUNCTION("""COMPUTED_VALUE"""),1971.0)</f>
        <v>1971</v>
      </c>
      <c r="E7851">
        <f>IFERROR(__xludf.DUMMYFUNCTION("""COMPUTED_VALUE"""),1806605.0)</f>
        <v>1806605</v>
      </c>
    </row>
    <row r="7852">
      <c r="A7852" t="str">
        <f t="shared" si="1"/>
        <v>jor#1972</v>
      </c>
      <c r="B7852" t="str">
        <f>IFERROR(__xludf.DUMMYFUNCTION("""COMPUTED_VALUE"""),"jor")</f>
        <v>jor</v>
      </c>
      <c r="C7852" t="str">
        <f>IFERROR(__xludf.DUMMYFUNCTION("""COMPUTED_VALUE"""),"Jordan")</f>
        <v>Jordan</v>
      </c>
      <c r="D7852">
        <f>IFERROR(__xludf.DUMMYFUNCTION("""COMPUTED_VALUE"""),1972.0)</f>
        <v>1972</v>
      </c>
      <c r="E7852">
        <f>IFERROR(__xludf.DUMMYFUNCTION("""COMPUTED_VALUE"""),1881214.0)</f>
        <v>1881214</v>
      </c>
    </row>
    <row r="7853">
      <c r="A7853" t="str">
        <f t="shared" si="1"/>
        <v>jor#1973</v>
      </c>
      <c r="B7853" t="str">
        <f>IFERROR(__xludf.DUMMYFUNCTION("""COMPUTED_VALUE"""),"jor")</f>
        <v>jor</v>
      </c>
      <c r="C7853" t="str">
        <f>IFERROR(__xludf.DUMMYFUNCTION("""COMPUTED_VALUE"""),"Jordan")</f>
        <v>Jordan</v>
      </c>
      <c r="D7853">
        <f>IFERROR(__xludf.DUMMYFUNCTION("""COMPUTED_VALUE"""),1973.0)</f>
        <v>1973</v>
      </c>
      <c r="E7853">
        <f>IFERROR(__xludf.DUMMYFUNCTION("""COMPUTED_VALUE"""),1945626.0)</f>
        <v>1945626</v>
      </c>
    </row>
    <row r="7854">
      <c r="A7854" t="str">
        <f t="shared" si="1"/>
        <v>jor#1974</v>
      </c>
      <c r="B7854" t="str">
        <f>IFERROR(__xludf.DUMMYFUNCTION("""COMPUTED_VALUE"""),"jor")</f>
        <v>jor</v>
      </c>
      <c r="C7854" t="str">
        <f>IFERROR(__xludf.DUMMYFUNCTION("""COMPUTED_VALUE"""),"Jordan")</f>
        <v>Jordan</v>
      </c>
      <c r="D7854">
        <f>IFERROR(__xludf.DUMMYFUNCTION("""COMPUTED_VALUE"""),1974.0)</f>
        <v>1974</v>
      </c>
      <c r="E7854">
        <f>IFERROR(__xludf.DUMMYFUNCTION("""COMPUTED_VALUE"""),2004833.0)</f>
        <v>2004833</v>
      </c>
    </row>
    <row r="7855">
      <c r="A7855" t="str">
        <f t="shared" si="1"/>
        <v>jor#1975</v>
      </c>
      <c r="B7855" t="str">
        <f>IFERROR(__xludf.DUMMYFUNCTION("""COMPUTED_VALUE"""),"jor")</f>
        <v>jor</v>
      </c>
      <c r="C7855" t="str">
        <f>IFERROR(__xludf.DUMMYFUNCTION("""COMPUTED_VALUE"""),"Jordan")</f>
        <v>Jordan</v>
      </c>
      <c r="D7855">
        <f>IFERROR(__xludf.DUMMYFUNCTION("""COMPUTED_VALUE"""),1975.0)</f>
        <v>1975</v>
      </c>
      <c r="E7855">
        <f>IFERROR(__xludf.DUMMYFUNCTION("""COMPUTED_VALUE"""),2062918.0)</f>
        <v>2062918</v>
      </c>
    </row>
    <row r="7856">
      <c r="A7856" t="str">
        <f t="shared" si="1"/>
        <v>jor#1976</v>
      </c>
      <c r="B7856" t="str">
        <f>IFERROR(__xludf.DUMMYFUNCTION("""COMPUTED_VALUE"""),"jor")</f>
        <v>jor</v>
      </c>
      <c r="C7856" t="str">
        <f>IFERROR(__xludf.DUMMYFUNCTION("""COMPUTED_VALUE"""),"Jordan")</f>
        <v>Jordan</v>
      </c>
      <c r="D7856">
        <f>IFERROR(__xludf.DUMMYFUNCTION("""COMPUTED_VALUE"""),1976.0)</f>
        <v>1976</v>
      </c>
      <c r="E7856">
        <f>IFERROR(__xludf.DUMMYFUNCTION("""COMPUTED_VALUE"""),2120069.0)</f>
        <v>2120069</v>
      </c>
    </row>
    <row r="7857">
      <c r="A7857" t="str">
        <f t="shared" si="1"/>
        <v>jor#1977</v>
      </c>
      <c r="B7857" t="str">
        <f>IFERROR(__xludf.DUMMYFUNCTION("""COMPUTED_VALUE"""),"jor")</f>
        <v>jor</v>
      </c>
      <c r="C7857" t="str">
        <f>IFERROR(__xludf.DUMMYFUNCTION("""COMPUTED_VALUE"""),"Jordan")</f>
        <v>Jordan</v>
      </c>
      <c r="D7857">
        <f>IFERROR(__xludf.DUMMYFUNCTION("""COMPUTED_VALUE"""),1977.0)</f>
        <v>1977</v>
      </c>
      <c r="E7857">
        <f>IFERROR(__xludf.DUMMYFUNCTION("""COMPUTED_VALUE"""),2176135.0)</f>
        <v>2176135</v>
      </c>
    </row>
    <row r="7858">
      <c r="A7858" t="str">
        <f t="shared" si="1"/>
        <v>jor#1978</v>
      </c>
      <c r="B7858" t="str">
        <f>IFERROR(__xludf.DUMMYFUNCTION("""COMPUTED_VALUE"""),"jor")</f>
        <v>jor</v>
      </c>
      <c r="C7858" t="str">
        <f>IFERROR(__xludf.DUMMYFUNCTION("""COMPUTED_VALUE"""),"Jordan")</f>
        <v>Jordan</v>
      </c>
      <c r="D7858">
        <f>IFERROR(__xludf.DUMMYFUNCTION("""COMPUTED_VALUE"""),1978.0)</f>
        <v>1978</v>
      </c>
      <c r="E7858">
        <f>IFERROR(__xludf.DUMMYFUNCTION("""COMPUTED_VALUE"""),2234594.0)</f>
        <v>2234594</v>
      </c>
    </row>
    <row r="7859">
      <c r="A7859" t="str">
        <f t="shared" si="1"/>
        <v>jor#1979</v>
      </c>
      <c r="B7859" t="str">
        <f>IFERROR(__xludf.DUMMYFUNCTION("""COMPUTED_VALUE"""),"jor")</f>
        <v>jor</v>
      </c>
      <c r="C7859" t="str">
        <f>IFERROR(__xludf.DUMMYFUNCTION("""COMPUTED_VALUE"""),"Jordan")</f>
        <v>Jordan</v>
      </c>
      <c r="D7859">
        <f>IFERROR(__xludf.DUMMYFUNCTION("""COMPUTED_VALUE"""),1979.0)</f>
        <v>1979</v>
      </c>
      <c r="E7859">
        <f>IFERROR(__xludf.DUMMYFUNCTION("""COMPUTED_VALUE"""),2299655.0)</f>
        <v>2299655</v>
      </c>
    </row>
    <row r="7860">
      <c r="A7860" t="str">
        <f t="shared" si="1"/>
        <v>jor#1980</v>
      </c>
      <c r="B7860" t="str">
        <f>IFERROR(__xludf.DUMMYFUNCTION("""COMPUTED_VALUE"""),"jor")</f>
        <v>jor</v>
      </c>
      <c r="C7860" t="str">
        <f>IFERROR(__xludf.DUMMYFUNCTION("""COMPUTED_VALUE"""),"Jordan")</f>
        <v>Jordan</v>
      </c>
      <c r="D7860">
        <f>IFERROR(__xludf.DUMMYFUNCTION("""COMPUTED_VALUE"""),1980.0)</f>
        <v>1980</v>
      </c>
      <c r="E7860">
        <f>IFERROR(__xludf.DUMMYFUNCTION("""COMPUTED_VALUE"""),2374422.0)</f>
        <v>2374422</v>
      </c>
    </row>
    <row r="7861">
      <c r="A7861" t="str">
        <f t="shared" si="1"/>
        <v>jor#1981</v>
      </c>
      <c r="B7861" t="str">
        <f>IFERROR(__xludf.DUMMYFUNCTION("""COMPUTED_VALUE"""),"jor")</f>
        <v>jor</v>
      </c>
      <c r="C7861" t="str">
        <f>IFERROR(__xludf.DUMMYFUNCTION("""COMPUTED_VALUE"""),"Jordan")</f>
        <v>Jordan</v>
      </c>
      <c r="D7861">
        <f>IFERROR(__xludf.DUMMYFUNCTION("""COMPUTED_VALUE"""),1981.0)</f>
        <v>1981</v>
      </c>
      <c r="E7861">
        <f>IFERROR(__xludf.DUMMYFUNCTION("""COMPUTED_VALUE"""),2461193.0)</f>
        <v>2461193</v>
      </c>
    </row>
    <row r="7862">
      <c r="A7862" t="str">
        <f t="shared" si="1"/>
        <v>jor#1982</v>
      </c>
      <c r="B7862" t="str">
        <f>IFERROR(__xludf.DUMMYFUNCTION("""COMPUTED_VALUE"""),"jor")</f>
        <v>jor</v>
      </c>
      <c r="C7862" t="str">
        <f>IFERROR(__xludf.DUMMYFUNCTION("""COMPUTED_VALUE"""),"Jordan")</f>
        <v>Jordan</v>
      </c>
      <c r="D7862">
        <f>IFERROR(__xludf.DUMMYFUNCTION("""COMPUTED_VALUE"""),1982.0)</f>
        <v>1982</v>
      </c>
      <c r="E7862">
        <f>IFERROR(__xludf.DUMMYFUNCTION("""COMPUTED_VALUE"""),2559718.0)</f>
        <v>2559718</v>
      </c>
    </row>
    <row r="7863">
      <c r="A7863" t="str">
        <f t="shared" si="1"/>
        <v>jor#1983</v>
      </c>
      <c r="B7863" t="str">
        <f>IFERROR(__xludf.DUMMYFUNCTION("""COMPUTED_VALUE"""),"jor")</f>
        <v>jor</v>
      </c>
      <c r="C7863" t="str">
        <f>IFERROR(__xludf.DUMMYFUNCTION("""COMPUTED_VALUE"""),"Jordan")</f>
        <v>Jordan</v>
      </c>
      <c r="D7863">
        <f>IFERROR(__xludf.DUMMYFUNCTION("""COMPUTED_VALUE"""),1983.0)</f>
        <v>1983</v>
      </c>
      <c r="E7863">
        <f>IFERROR(__xludf.DUMMYFUNCTION("""COMPUTED_VALUE"""),2667470.0)</f>
        <v>2667470</v>
      </c>
    </row>
    <row r="7864">
      <c r="A7864" t="str">
        <f t="shared" si="1"/>
        <v>jor#1984</v>
      </c>
      <c r="B7864" t="str">
        <f>IFERROR(__xludf.DUMMYFUNCTION("""COMPUTED_VALUE"""),"jor")</f>
        <v>jor</v>
      </c>
      <c r="C7864" t="str">
        <f>IFERROR(__xludf.DUMMYFUNCTION("""COMPUTED_VALUE"""),"Jordan")</f>
        <v>Jordan</v>
      </c>
      <c r="D7864">
        <f>IFERROR(__xludf.DUMMYFUNCTION("""COMPUTED_VALUE"""),1984.0)</f>
        <v>1984</v>
      </c>
      <c r="E7864">
        <f>IFERROR(__xludf.DUMMYFUNCTION("""COMPUTED_VALUE"""),2780428.0)</f>
        <v>2780428</v>
      </c>
    </row>
    <row r="7865">
      <c r="A7865" t="str">
        <f t="shared" si="1"/>
        <v>jor#1985</v>
      </c>
      <c r="B7865" t="str">
        <f>IFERROR(__xludf.DUMMYFUNCTION("""COMPUTED_VALUE"""),"jor")</f>
        <v>jor</v>
      </c>
      <c r="C7865" t="str">
        <f>IFERROR(__xludf.DUMMYFUNCTION("""COMPUTED_VALUE"""),"Jordan")</f>
        <v>Jordan</v>
      </c>
      <c r="D7865">
        <f>IFERROR(__xludf.DUMMYFUNCTION("""COMPUTED_VALUE"""),1985.0)</f>
        <v>1985</v>
      </c>
      <c r="E7865">
        <f>IFERROR(__xludf.DUMMYFUNCTION("""COMPUTED_VALUE"""),2895985.0)</f>
        <v>2895985</v>
      </c>
    </row>
    <row r="7866">
      <c r="A7866" t="str">
        <f t="shared" si="1"/>
        <v>jor#1986</v>
      </c>
      <c r="B7866" t="str">
        <f>IFERROR(__xludf.DUMMYFUNCTION("""COMPUTED_VALUE"""),"jor")</f>
        <v>jor</v>
      </c>
      <c r="C7866" t="str">
        <f>IFERROR(__xludf.DUMMYFUNCTION("""COMPUTED_VALUE"""),"Jordan")</f>
        <v>Jordan</v>
      </c>
      <c r="D7866">
        <f>IFERROR(__xludf.DUMMYFUNCTION("""COMPUTED_VALUE"""),1986.0)</f>
        <v>1986</v>
      </c>
      <c r="E7866">
        <f>IFERROR(__xludf.DUMMYFUNCTION("""COMPUTED_VALUE"""),3011300.0)</f>
        <v>3011300</v>
      </c>
    </row>
    <row r="7867">
      <c r="A7867" t="str">
        <f t="shared" si="1"/>
        <v>jor#1987</v>
      </c>
      <c r="B7867" t="str">
        <f>IFERROR(__xludf.DUMMYFUNCTION("""COMPUTED_VALUE"""),"jor")</f>
        <v>jor</v>
      </c>
      <c r="C7867" t="str">
        <f>IFERROR(__xludf.DUMMYFUNCTION("""COMPUTED_VALUE"""),"Jordan")</f>
        <v>Jordan</v>
      </c>
      <c r="D7867">
        <f>IFERROR(__xludf.DUMMYFUNCTION("""COMPUTED_VALUE"""),1987.0)</f>
        <v>1987</v>
      </c>
      <c r="E7867">
        <f>IFERROR(__xludf.DUMMYFUNCTION("""COMPUTED_VALUE"""),3127917.0)</f>
        <v>3127917</v>
      </c>
    </row>
    <row r="7868">
      <c r="A7868" t="str">
        <f t="shared" si="1"/>
        <v>jor#1988</v>
      </c>
      <c r="B7868" t="str">
        <f>IFERROR(__xludf.DUMMYFUNCTION("""COMPUTED_VALUE"""),"jor")</f>
        <v>jor</v>
      </c>
      <c r="C7868" t="str">
        <f>IFERROR(__xludf.DUMMYFUNCTION("""COMPUTED_VALUE"""),"Jordan")</f>
        <v>Jordan</v>
      </c>
      <c r="D7868">
        <f>IFERROR(__xludf.DUMMYFUNCTION("""COMPUTED_VALUE"""),1988.0)</f>
        <v>1988</v>
      </c>
      <c r="E7868">
        <f>IFERROR(__xludf.DUMMYFUNCTION("""COMPUTED_VALUE"""),3252672.0)</f>
        <v>3252672</v>
      </c>
    </row>
    <row r="7869">
      <c r="A7869" t="str">
        <f t="shared" si="1"/>
        <v>jor#1989</v>
      </c>
      <c r="B7869" t="str">
        <f>IFERROR(__xludf.DUMMYFUNCTION("""COMPUTED_VALUE"""),"jor")</f>
        <v>jor</v>
      </c>
      <c r="C7869" t="str">
        <f>IFERROR(__xludf.DUMMYFUNCTION("""COMPUTED_VALUE"""),"Jordan")</f>
        <v>Jordan</v>
      </c>
      <c r="D7869">
        <f>IFERROR(__xludf.DUMMYFUNCTION("""COMPUTED_VALUE"""),1989.0)</f>
        <v>1989</v>
      </c>
      <c r="E7869">
        <f>IFERROR(__xludf.DUMMYFUNCTION("""COMPUTED_VALUE"""),3395023.0)</f>
        <v>3395023</v>
      </c>
    </row>
    <row r="7870">
      <c r="A7870" t="str">
        <f t="shared" si="1"/>
        <v>jor#1990</v>
      </c>
      <c r="B7870" t="str">
        <f>IFERROR(__xludf.DUMMYFUNCTION("""COMPUTED_VALUE"""),"jor")</f>
        <v>jor</v>
      </c>
      <c r="C7870" t="str">
        <f>IFERROR(__xludf.DUMMYFUNCTION("""COMPUTED_VALUE"""),"Jordan")</f>
        <v>Jordan</v>
      </c>
      <c r="D7870">
        <f>IFERROR(__xludf.DUMMYFUNCTION("""COMPUTED_VALUE"""),1990.0)</f>
        <v>1990</v>
      </c>
      <c r="E7870">
        <f>IFERROR(__xludf.DUMMYFUNCTION("""COMPUTED_VALUE"""),3560582.0)</f>
        <v>3560582</v>
      </c>
    </row>
    <row r="7871">
      <c r="A7871" t="str">
        <f t="shared" si="1"/>
        <v>jor#1991</v>
      </c>
      <c r="B7871" t="str">
        <f>IFERROR(__xludf.DUMMYFUNCTION("""COMPUTED_VALUE"""),"jor")</f>
        <v>jor</v>
      </c>
      <c r="C7871" t="str">
        <f>IFERROR(__xludf.DUMMYFUNCTION("""COMPUTED_VALUE"""),"Jordan")</f>
        <v>Jordan</v>
      </c>
      <c r="D7871">
        <f>IFERROR(__xludf.DUMMYFUNCTION("""COMPUTED_VALUE"""),1991.0)</f>
        <v>1991</v>
      </c>
      <c r="E7871">
        <f>IFERROR(__xludf.DUMMYFUNCTION("""COMPUTED_VALUE"""),3753433.0)</f>
        <v>3753433</v>
      </c>
    </row>
    <row r="7872">
      <c r="A7872" t="str">
        <f t="shared" si="1"/>
        <v>jor#1992</v>
      </c>
      <c r="B7872" t="str">
        <f>IFERROR(__xludf.DUMMYFUNCTION("""COMPUTED_VALUE"""),"jor")</f>
        <v>jor</v>
      </c>
      <c r="C7872" t="str">
        <f>IFERROR(__xludf.DUMMYFUNCTION("""COMPUTED_VALUE"""),"Jordan")</f>
        <v>Jordan</v>
      </c>
      <c r="D7872">
        <f>IFERROR(__xludf.DUMMYFUNCTION("""COMPUTED_VALUE"""),1992.0)</f>
        <v>1992</v>
      </c>
      <c r="E7872">
        <f>IFERROR(__xludf.DUMMYFUNCTION("""COMPUTED_VALUE"""),3968198.0)</f>
        <v>3968198</v>
      </c>
    </row>
    <row r="7873">
      <c r="A7873" t="str">
        <f t="shared" si="1"/>
        <v>jor#1993</v>
      </c>
      <c r="B7873" t="str">
        <f>IFERROR(__xludf.DUMMYFUNCTION("""COMPUTED_VALUE"""),"jor")</f>
        <v>jor</v>
      </c>
      <c r="C7873" t="str">
        <f>IFERROR(__xludf.DUMMYFUNCTION("""COMPUTED_VALUE"""),"Jordan")</f>
        <v>Jordan</v>
      </c>
      <c r="D7873">
        <f>IFERROR(__xludf.DUMMYFUNCTION("""COMPUTED_VALUE"""),1993.0)</f>
        <v>1993</v>
      </c>
      <c r="E7873">
        <f>IFERROR(__xludf.DUMMYFUNCTION("""COMPUTED_VALUE"""),4189431.0)</f>
        <v>4189431</v>
      </c>
    </row>
    <row r="7874">
      <c r="A7874" t="str">
        <f t="shared" si="1"/>
        <v>jor#1994</v>
      </c>
      <c r="B7874" t="str">
        <f>IFERROR(__xludf.DUMMYFUNCTION("""COMPUTED_VALUE"""),"jor")</f>
        <v>jor</v>
      </c>
      <c r="C7874" t="str">
        <f>IFERROR(__xludf.DUMMYFUNCTION("""COMPUTED_VALUE"""),"Jordan")</f>
        <v>Jordan</v>
      </c>
      <c r="D7874">
        <f>IFERROR(__xludf.DUMMYFUNCTION("""COMPUTED_VALUE"""),1994.0)</f>
        <v>1994</v>
      </c>
      <c r="E7874">
        <f>IFERROR(__xludf.DUMMYFUNCTION("""COMPUTED_VALUE"""),4395953.0)</f>
        <v>4395953</v>
      </c>
    </row>
    <row r="7875">
      <c r="A7875" t="str">
        <f t="shared" si="1"/>
        <v>jor#1995</v>
      </c>
      <c r="B7875" t="str">
        <f>IFERROR(__xludf.DUMMYFUNCTION("""COMPUTED_VALUE"""),"jor")</f>
        <v>jor</v>
      </c>
      <c r="C7875" t="str">
        <f>IFERROR(__xludf.DUMMYFUNCTION("""COMPUTED_VALUE"""),"Jordan")</f>
        <v>Jordan</v>
      </c>
      <c r="D7875">
        <f>IFERROR(__xludf.DUMMYFUNCTION("""COMPUTED_VALUE"""),1995.0)</f>
        <v>1995</v>
      </c>
      <c r="E7875">
        <f>IFERROR(__xludf.DUMMYFUNCTION("""COMPUTED_VALUE"""),4572904.0)</f>
        <v>4572904</v>
      </c>
    </row>
    <row r="7876">
      <c r="A7876" t="str">
        <f t="shared" si="1"/>
        <v>jor#1996</v>
      </c>
      <c r="B7876" t="str">
        <f>IFERROR(__xludf.DUMMYFUNCTION("""COMPUTED_VALUE"""),"jor")</f>
        <v>jor</v>
      </c>
      <c r="C7876" t="str">
        <f>IFERROR(__xludf.DUMMYFUNCTION("""COMPUTED_VALUE"""),"Jordan")</f>
        <v>Jordan</v>
      </c>
      <c r="D7876">
        <f>IFERROR(__xludf.DUMMYFUNCTION("""COMPUTED_VALUE"""),1996.0)</f>
        <v>1996</v>
      </c>
      <c r="E7876">
        <f>IFERROR(__xludf.DUMMYFUNCTION("""COMPUTED_VALUE"""),4716373.0)</f>
        <v>4716373</v>
      </c>
    </row>
    <row r="7877">
      <c r="A7877" t="str">
        <f t="shared" si="1"/>
        <v>jor#1997</v>
      </c>
      <c r="B7877" t="str">
        <f>IFERROR(__xludf.DUMMYFUNCTION("""COMPUTED_VALUE"""),"jor")</f>
        <v>jor</v>
      </c>
      <c r="C7877" t="str">
        <f>IFERROR(__xludf.DUMMYFUNCTION("""COMPUTED_VALUE"""),"Jordan")</f>
        <v>Jordan</v>
      </c>
      <c r="D7877">
        <f>IFERROR(__xludf.DUMMYFUNCTION("""COMPUTED_VALUE"""),1997.0)</f>
        <v>1997</v>
      </c>
      <c r="E7877">
        <f>IFERROR(__xludf.DUMMYFUNCTION("""COMPUTED_VALUE"""),4832267.0)</f>
        <v>4832267</v>
      </c>
    </row>
    <row r="7878">
      <c r="A7878" t="str">
        <f t="shared" si="1"/>
        <v>jor#1998</v>
      </c>
      <c r="B7878" t="str">
        <f>IFERROR(__xludf.DUMMYFUNCTION("""COMPUTED_VALUE"""),"jor")</f>
        <v>jor</v>
      </c>
      <c r="C7878" t="str">
        <f>IFERROR(__xludf.DUMMYFUNCTION("""COMPUTED_VALUE"""),"Jordan")</f>
        <v>Jordan</v>
      </c>
      <c r="D7878">
        <f>IFERROR(__xludf.DUMMYFUNCTION("""COMPUTED_VALUE"""),1998.0)</f>
        <v>1998</v>
      </c>
      <c r="E7878">
        <f>IFERROR(__xludf.DUMMYFUNCTION("""COMPUTED_VALUE"""),4927912.0)</f>
        <v>4927912</v>
      </c>
    </row>
    <row r="7879">
      <c r="A7879" t="str">
        <f t="shared" si="1"/>
        <v>jor#1999</v>
      </c>
      <c r="B7879" t="str">
        <f>IFERROR(__xludf.DUMMYFUNCTION("""COMPUTED_VALUE"""),"jor")</f>
        <v>jor</v>
      </c>
      <c r="C7879" t="str">
        <f>IFERROR(__xludf.DUMMYFUNCTION("""COMPUTED_VALUE"""),"Jordan")</f>
        <v>Jordan</v>
      </c>
      <c r="D7879">
        <f>IFERROR(__xludf.DUMMYFUNCTION("""COMPUTED_VALUE"""),1999.0)</f>
        <v>1999</v>
      </c>
      <c r="E7879">
        <f>IFERROR(__xludf.DUMMYFUNCTION("""COMPUTED_VALUE"""),5014899.0)</f>
        <v>5014899</v>
      </c>
    </row>
    <row r="7880">
      <c r="A7880" t="str">
        <f t="shared" si="1"/>
        <v>jor#2000</v>
      </c>
      <c r="B7880" t="str">
        <f>IFERROR(__xludf.DUMMYFUNCTION("""COMPUTED_VALUE"""),"jor")</f>
        <v>jor</v>
      </c>
      <c r="C7880" t="str">
        <f>IFERROR(__xludf.DUMMYFUNCTION("""COMPUTED_VALUE"""),"Jordan")</f>
        <v>Jordan</v>
      </c>
      <c r="D7880">
        <f>IFERROR(__xludf.DUMMYFUNCTION("""COMPUTED_VALUE"""),2000.0)</f>
        <v>2000</v>
      </c>
      <c r="E7880">
        <f>IFERROR(__xludf.DUMMYFUNCTION("""COMPUTED_VALUE"""),5103130.0)</f>
        <v>5103130</v>
      </c>
    </row>
    <row r="7881">
      <c r="A7881" t="str">
        <f t="shared" si="1"/>
        <v>jor#2001</v>
      </c>
      <c r="B7881" t="str">
        <f>IFERROR(__xludf.DUMMYFUNCTION("""COMPUTED_VALUE"""),"jor")</f>
        <v>jor</v>
      </c>
      <c r="C7881" t="str">
        <f>IFERROR(__xludf.DUMMYFUNCTION("""COMPUTED_VALUE"""),"Jordan")</f>
        <v>Jordan</v>
      </c>
      <c r="D7881">
        <f>IFERROR(__xludf.DUMMYFUNCTION("""COMPUTED_VALUE"""),2001.0)</f>
        <v>2001</v>
      </c>
      <c r="E7881">
        <f>IFERROR(__xludf.DUMMYFUNCTION("""COMPUTED_VALUE"""),5193482.0)</f>
        <v>5193482</v>
      </c>
    </row>
    <row r="7882">
      <c r="A7882" t="str">
        <f t="shared" si="1"/>
        <v>jor#2002</v>
      </c>
      <c r="B7882" t="str">
        <f>IFERROR(__xludf.DUMMYFUNCTION("""COMPUTED_VALUE"""),"jor")</f>
        <v>jor</v>
      </c>
      <c r="C7882" t="str">
        <f>IFERROR(__xludf.DUMMYFUNCTION("""COMPUTED_VALUE"""),"Jordan")</f>
        <v>Jordan</v>
      </c>
      <c r="D7882">
        <f>IFERROR(__xludf.DUMMYFUNCTION("""COMPUTED_VALUE"""),2002.0)</f>
        <v>2002</v>
      </c>
      <c r="E7882">
        <f>IFERROR(__xludf.DUMMYFUNCTION("""COMPUTED_VALUE"""),5287488.0)</f>
        <v>5287488</v>
      </c>
    </row>
    <row r="7883">
      <c r="A7883" t="str">
        <f t="shared" si="1"/>
        <v>jor#2003</v>
      </c>
      <c r="B7883" t="str">
        <f>IFERROR(__xludf.DUMMYFUNCTION("""COMPUTED_VALUE"""),"jor")</f>
        <v>jor</v>
      </c>
      <c r="C7883" t="str">
        <f>IFERROR(__xludf.DUMMYFUNCTION("""COMPUTED_VALUE"""),"Jordan")</f>
        <v>Jordan</v>
      </c>
      <c r="D7883">
        <f>IFERROR(__xludf.DUMMYFUNCTION("""COMPUTED_VALUE"""),2003.0)</f>
        <v>2003</v>
      </c>
      <c r="E7883">
        <f>IFERROR(__xludf.DUMMYFUNCTION("""COMPUTED_VALUE"""),5396774.0)</f>
        <v>5396774</v>
      </c>
    </row>
    <row r="7884">
      <c r="A7884" t="str">
        <f t="shared" si="1"/>
        <v>jor#2004</v>
      </c>
      <c r="B7884" t="str">
        <f>IFERROR(__xludf.DUMMYFUNCTION("""COMPUTED_VALUE"""),"jor")</f>
        <v>jor</v>
      </c>
      <c r="C7884" t="str">
        <f>IFERROR(__xludf.DUMMYFUNCTION("""COMPUTED_VALUE"""),"Jordan")</f>
        <v>Jordan</v>
      </c>
      <c r="D7884">
        <f>IFERROR(__xludf.DUMMYFUNCTION("""COMPUTED_VALUE"""),2004.0)</f>
        <v>2004</v>
      </c>
      <c r="E7884">
        <f>IFERROR(__xludf.DUMMYFUNCTION("""COMPUTED_VALUE"""),5535595.0)</f>
        <v>5535595</v>
      </c>
    </row>
    <row r="7885">
      <c r="A7885" t="str">
        <f t="shared" si="1"/>
        <v>jor#2005</v>
      </c>
      <c r="B7885" t="str">
        <f>IFERROR(__xludf.DUMMYFUNCTION("""COMPUTED_VALUE"""),"jor")</f>
        <v>jor</v>
      </c>
      <c r="C7885" t="str">
        <f>IFERROR(__xludf.DUMMYFUNCTION("""COMPUTED_VALUE"""),"Jordan")</f>
        <v>Jordan</v>
      </c>
      <c r="D7885">
        <f>IFERROR(__xludf.DUMMYFUNCTION("""COMPUTED_VALUE"""),2005.0)</f>
        <v>2005</v>
      </c>
      <c r="E7885">
        <f>IFERROR(__xludf.DUMMYFUNCTION("""COMPUTED_VALUE"""),5714111.0)</f>
        <v>5714111</v>
      </c>
    </row>
    <row r="7886">
      <c r="A7886" t="str">
        <f t="shared" si="1"/>
        <v>jor#2006</v>
      </c>
      <c r="B7886" t="str">
        <f>IFERROR(__xludf.DUMMYFUNCTION("""COMPUTED_VALUE"""),"jor")</f>
        <v>jor</v>
      </c>
      <c r="C7886" t="str">
        <f>IFERROR(__xludf.DUMMYFUNCTION("""COMPUTED_VALUE"""),"Jordan")</f>
        <v>Jordan</v>
      </c>
      <c r="D7886">
        <f>IFERROR(__xludf.DUMMYFUNCTION("""COMPUTED_VALUE"""),2006.0)</f>
        <v>2006</v>
      </c>
      <c r="E7886">
        <f>IFERROR(__xludf.DUMMYFUNCTION("""COMPUTED_VALUE"""),5934232.0)</f>
        <v>5934232</v>
      </c>
    </row>
    <row r="7887">
      <c r="A7887" t="str">
        <f t="shared" si="1"/>
        <v>jor#2007</v>
      </c>
      <c r="B7887" t="str">
        <f>IFERROR(__xludf.DUMMYFUNCTION("""COMPUTED_VALUE"""),"jor")</f>
        <v>jor</v>
      </c>
      <c r="C7887" t="str">
        <f>IFERROR(__xludf.DUMMYFUNCTION("""COMPUTED_VALUE"""),"Jordan")</f>
        <v>Jordan</v>
      </c>
      <c r="D7887">
        <f>IFERROR(__xludf.DUMMYFUNCTION("""COMPUTED_VALUE"""),2007.0)</f>
        <v>2007</v>
      </c>
      <c r="E7887">
        <f>IFERROR(__xludf.DUMMYFUNCTION("""COMPUTED_VALUE"""),6193191.0)</f>
        <v>6193191</v>
      </c>
    </row>
    <row r="7888">
      <c r="A7888" t="str">
        <f t="shared" si="1"/>
        <v>jor#2008</v>
      </c>
      <c r="B7888" t="str">
        <f>IFERROR(__xludf.DUMMYFUNCTION("""COMPUTED_VALUE"""),"jor")</f>
        <v>jor</v>
      </c>
      <c r="C7888" t="str">
        <f>IFERROR(__xludf.DUMMYFUNCTION("""COMPUTED_VALUE"""),"Jordan")</f>
        <v>Jordan</v>
      </c>
      <c r="D7888">
        <f>IFERROR(__xludf.DUMMYFUNCTION("""COMPUTED_VALUE"""),2008.0)</f>
        <v>2008</v>
      </c>
      <c r="E7888">
        <f>IFERROR(__xludf.DUMMYFUNCTION("""COMPUTED_VALUE"""),6489822.0)</f>
        <v>6489822</v>
      </c>
    </row>
    <row r="7889">
      <c r="A7889" t="str">
        <f t="shared" si="1"/>
        <v>jor#2009</v>
      </c>
      <c r="B7889" t="str">
        <f>IFERROR(__xludf.DUMMYFUNCTION("""COMPUTED_VALUE"""),"jor")</f>
        <v>jor</v>
      </c>
      <c r="C7889" t="str">
        <f>IFERROR(__xludf.DUMMYFUNCTION("""COMPUTED_VALUE"""),"Jordan")</f>
        <v>Jordan</v>
      </c>
      <c r="D7889">
        <f>IFERROR(__xludf.DUMMYFUNCTION("""COMPUTED_VALUE"""),2009.0)</f>
        <v>2009</v>
      </c>
      <c r="E7889">
        <f>IFERROR(__xludf.DUMMYFUNCTION("""COMPUTED_VALUE"""),6821116.0)</f>
        <v>6821116</v>
      </c>
    </row>
    <row r="7890">
      <c r="A7890" t="str">
        <f t="shared" si="1"/>
        <v>jor#2010</v>
      </c>
      <c r="B7890" t="str">
        <f>IFERROR(__xludf.DUMMYFUNCTION("""COMPUTED_VALUE"""),"jor")</f>
        <v>jor</v>
      </c>
      <c r="C7890" t="str">
        <f>IFERROR(__xludf.DUMMYFUNCTION("""COMPUTED_VALUE"""),"Jordan")</f>
        <v>Jordan</v>
      </c>
      <c r="D7890">
        <f>IFERROR(__xludf.DUMMYFUNCTION("""COMPUTED_VALUE"""),2010.0)</f>
        <v>2010</v>
      </c>
      <c r="E7890">
        <f>IFERROR(__xludf.DUMMYFUNCTION("""COMPUTED_VALUE"""),7182390.0)</f>
        <v>7182390</v>
      </c>
    </row>
    <row r="7891">
      <c r="A7891" t="str">
        <f t="shared" si="1"/>
        <v>jor#2011</v>
      </c>
      <c r="B7891" t="str">
        <f>IFERROR(__xludf.DUMMYFUNCTION("""COMPUTED_VALUE"""),"jor")</f>
        <v>jor</v>
      </c>
      <c r="C7891" t="str">
        <f>IFERROR(__xludf.DUMMYFUNCTION("""COMPUTED_VALUE"""),"Jordan")</f>
        <v>Jordan</v>
      </c>
      <c r="D7891">
        <f>IFERROR(__xludf.DUMMYFUNCTION("""COMPUTED_VALUE"""),2011.0)</f>
        <v>2011</v>
      </c>
      <c r="E7891">
        <f>IFERROR(__xludf.DUMMYFUNCTION("""COMPUTED_VALUE"""),7574943.0)</f>
        <v>7574943</v>
      </c>
    </row>
    <row r="7892">
      <c r="A7892" t="str">
        <f t="shared" si="1"/>
        <v>jor#2012</v>
      </c>
      <c r="B7892" t="str">
        <f>IFERROR(__xludf.DUMMYFUNCTION("""COMPUTED_VALUE"""),"jor")</f>
        <v>jor</v>
      </c>
      <c r="C7892" t="str">
        <f>IFERROR(__xludf.DUMMYFUNCTION("""COMPUTED_VALUE"""),"Jordan")</f>
        <v>Jordan</v>
      </c>
      <c r="D7892">
        <f>IFERROR(__xludf.DUMMYFUNCTION("""COMPUTED_VALUE"""),2012.0)</f>
        <v>2012</v>
      </c>
      <c r="E7892">
        <f>IFERROR(__xludf.DUMMYFUNCTION("""COMPUTED_VALUE"""),7992573.0)</f>
        <v>7992573</v>
      </c>
    </row>
    <row r="7893">
      <c r="A7893" t="str">
        <f t="shared" si="1"/>
        <v>jor#2013</v>
      </c>
      <c r="B7893" t="str">
        <f>IFERROR(__xludf.DUMMYFUNCTION("""COMPUTED_VALUE"""),"jor")</f>
        <v>jor</v>
      </c>
      <c r="C7893" t="str">
        <f>IFERROR(__xludf.DUMMYFUNCTION("""COMPUTED_VALUE"""),"Jordan")</f>
        <v>Jordan</v>
      </c>
      <c r="D7893">
        <f>IFERROR(__xludf.DUMMYFUNCTION("""COMPUTED_VALUE"""),2013.0)</f>
        <v>2013</v>
      </c>
      <c r="E7893">
        <f>IFERROR(__xludf.DUMMYFUNCTION("""COMPUTED_VALUE"""),8413464.0)</f>
        <v>8413464</v>
      </c>
    </row>
    <row r="7894">
      <c r="A7894" t="str">
        <f t="shared" si="1"/>
        <v>jor#2014</v>
      </c>
      <c r="B7894" t="str">
        <f>IFERROR(__xludf.DUMMYFUNCTION("""COMPUTED_VALUE"""),"jor")</f>
        <v>jor</v>
      </c>
      <c r="C7894" t="str">
        <f>IFERROR(__xludf.DUMMYFUNCTION("""COMPUTED_VALUE"""),"Jordan")</f>
        <v>Jordan</v>
      </c>
      <c r="D7894">
        <f>IFERROR(__xludf.DUMMYFUNCTION("""COMPUTED_VALUE"""),2014.0)</f>
        <v>2014</v>
      </c>
      <c r="E7894">
        <f>IFERROR(__xludf.DUMMYFUNCTION("""COMPUTED_VALUE"""),8809306.0)</f>
        <v>8809306</v>
      </c>
    </row>
    <row r="7895">
      <c r="A7895" t="str">
        <f t="shared" si="1"/>
        <v>jor#2015</v>
      </c>
      <c r="B7895" t="str">
        <f>IFERROR(__xludf.DUMMYFUNCTION("""COMPUTED_VALUE"""),"jor")</f>
        <v>jor</v>
      </c>
      <c r="C7895" t="str">
        <f>IFERROR(__xludf.DUMMYFUNCTION("""COMPUTED_VALUE"""),"Jordan")</f>
        <v>Jordan</v>
      </c>
      <c r="D7895">
        <f>IFERROR(__xludf.DUMMYFUNCTION("""COMPUTED_VALUE"""),2015.0)</f>
        <v>2015</v>
      </c>
      <c r="E7895">
        <f>IFERROR(__xludf.DUMMYFUNCTION("""COMPUTED_VALUE"""),9159302.0)</f>
        <v>9159302</v>
      </c>
    </row>
    <row r="7896">
      <c r="A7896" t="str">
        <f t="shared" si="1"/>
        <v>jor#2016</v>
      </c>
      <c r="B7896" t="str">
        <f>IFERROR(__xludf.DUMMYFUNCTION("""COMPUTED_VALUE"""),"jor")</f>
        <v>jor</v>
      </c>
      <c r="C7896" t="str">
        <f>IFERROR(__xludf.DUMMYFUNCTION("""COMPUTED_VALUE"""),"Jordan")</f>
        <v>Jordan</v>
      </c>
      <c r="D7896">
        <f>IFERROR(__xludf.DUMMYFUNCTION("""COMPUTED_VALUE"""),2016.0)</f>
        <v>2016</v>
      </c>
      <c r="E7896">
        <f>IFERROR(__xludf.DUMMYFUNCTION("""COMPUTED_VALUE"""),9455802.0)</f>
        <v>9455802</v>
      </c>
    </row>
    <row r="7897">
      <c r="A7897" t="str">
        <f t="shared" si="1"/>
        <v>jor#2017</v>
      </c>
      <c r="B7897" t="str">
        <f>IFERROR(__xludf.DUMMYFUNCTION("""COMPUTED_VALUE"""),"jor")</f>
        <v>jor</v>
      </c>
      <c r="C7897" t="str">
        <f>IFERROR(__xludf.DUMMYFUNCTION("""COMPUTED_VALUE"""),"Jordan")</f>
        <v>Jordan</v>
      </c>
      <c r="D7897">
        <f>IFERROR(__xludf.DUMMYFUNCTION("""COMPUTED_VALUE"""),2017.0)</f>
        <v>2017</v>
      </c>
      <c r="E7897">
        <f>IFERROR(__xludf.DUMMYFUNCTION("""COMPUTED_VALUE"""),9702353.0)</f>
        <v>9702353</v>
      </c>
    </row>
    <row r="7898">
      <c r="A7898" t="str">
        <f t="shared" si="1"/>
        <v>jor#2018</v>
      </c>
      <c r="B7898" t="str">
        <f>IFERROR(__xludf.DUMMYFUNCTION("""COMPUTED_VALUE"""),"jor")</f>
        <v>jor</v>
      </c>
      <c r="C7898" t="str">
        <f>IFERROR(__xludf.DUMMYFUNCTION("""COMPUTED_VALUE"""),"Jordan")</f>
        <v>Jordan</v>
      </c>
      <c r="D7898">
        <f>IFERROR(__xludf.DUMMYFUNCTION("""COMPUTED_VALUE"""),2018.0)</f>
        <v>2018</v>
      </c>
      <c r="E7898">
        <f>IFERROR(__xludf.DUMMYFUNCTION("""COMPUTED_VALUE"""),9903802.0)</f>
        <v>9903802</v>
      </c>
    </row>
    <row r="7899">
      <c r="A7899" t="str">
        <f t="shared" si="1"/>
        <v>jor#2019</v>
      </c>
      <c r="B7899" t="str">
        <f>IFERROR(__xludf.DUMMYFUNCTION("""COMPUTED_VALUE"""),"jor")</f>
        <v>jor</v>
      </c>
      <c r="C7899" t="str">
        <f>IFERROR(__xludf.DUMMYFUNCTION("""COMPUTED_VALUE"""),"Jordan")</f>
        <v>Jordan</v>
      </c>
      <c r="D7899">
        <f>IFERROR(__xludf.DUMMYFUNCTION("""COMPUTED_VALUE"""),2019.0)</f>
        <v>2019</v>
      </c>
      <c r="E7899">
        <f>IFERROR(__xludf.DUMMYFUNCTION("""COMPUTED_VALUE"""),1.0069794E7)</f>
        <v>10069794</v>
      </c>
    </row>
    <row r="7900">
      <c r="A7900" t="str">
        <f t="shared" si="1"/>
        <v>jor#2020</v>
      </c>
      <c r="B7900" t="str">
        <f>IFERROR(__xludf.DUMMYFUNCTION("""COMPUTED_VALUE"""),"jor")</f>
        <v>jor</v>
      </c>
      <c r="C7900" t="str">
        <f>IFERROR(__xludf.DUMMYFUNCTION("""COMPUTED_VALUE"""),"Jordan")</f>
        <v>Jordan</v>
      </c>
      <c r="D7900">
        <f>IFERROR(__xludf.DUMMYFUNCTION("""COMPUTED_VALUE"""),2020.0)</f>
        <v>2020</v>
      </c>
      <c r="E7900">
        <f>IFERROR(__xludf.DUMMYFUNCTION("""COMPUTED_VALUE"""),1.0208662E7)</f>
        <v>10208662</v>
      </c>
    </row>
    <row r="7901">
      <c r="A7901" t="str">
        <f t="shared" si="1"/>
        <v>jor#2021</v>
      </c>
      <c r="B7901" t="str">
        <f>IFERROR(__xludf.DUMMYFUNCTION("""COMPUTED_VALUE"""),"jor")</f>
        <v>jor</v>
      </c>
      <c r="C7901" t="str">
        <f>IFERROR(__xludf.DUMMYFUNCTION("""COMPUTED_VALUE"""),"Jordan")</f>
        <v>Jordan</v>
      </c>
      <c r="D7901">
        <f>IFERROR(__xludf.DUMMYFUNCTION("""COMPUTED_VALUE"""),2021.0)</f>
        <v>2021</v>
      </c>
      <c r="E7901">
        <f>IFERROR(__xludf.DUMMYFUNCTION("""COMPUTED_VALUE"""),1.0320354E7)</f>
        <v>10320354</v>
      </c>
    </row>
    <row r="7902">
      <c r="A7902" t="str">
        <f t="shared" si="1"/>
        <v>jor#2022</v>
      </c>
      <c r="B7902" t="str">
        <f>IFERROR(__xludf.DUMMYFUNCTION("""COMPUTED_VALUE"""),"jor")</f>
        <v>jor</v>
      </c>
      <c r="C7902" t="str">
        <f>IFERROR(__xludf.DUMMYFUNCTION("""COMPUTED_VALUE"""),"Jordan")</f>
        <v>Jordan</v>
      </c>
      <c r="D7902">
        <f>IFERROR(__xludf.DUMMYFUNCTION("""COMPUTED_VALUE"""),2022.0)</f>
        <v>2022</v>
      </c>
      <c r="E7902">
        <f>IFERROR(__xludf.DUMMYFUNCTION("""COMPUTED_VALUE"""),1.0405374E7)</f>
        <v>10405374</v>
      </c>
    </row>
    <row r="7903">
      <c r="A7903" t="str">
        <f t="shared" si="1"/>
        <v>jor#2023</v>
      </c>
      <c r="B7903" t="str">
        <f>IFERROR(__xludf.DUMMYFUNCTION("""COMPUTED_VALUE"""),"jor")</f>
        <v>jor</v>
      </c>
      <c r="C7903" t="str">
        <f>IFERROR(__xludf.DUMMYFUNCTION("""COMPUTED_VALUE"""),"Jordan")</f>
        <v>Jordan</v>
      </c>
      <c r="D7903">
        <f>IFERROR(__xludf.DUMMYFUNCTION("""COMPUTED_VALUE"""),2023.0)</f>
        <v>2023</v>
      </c>
      <c r="E7903">
        <f>IFERROR(__xludf.DUMMYFUNCTION("""COMPUTED_VALUE"""),1.0473935E7)</f>
        <v>10473935</v>
      </c>
    </row>
    <row r="7904">
      <c r="A7904" t="str">
        <f t="shared" si="1"/>
        <v>jor#2024</v>
      </c>
      <c r="B7904" t="str">
        <f>IFERROR(__xludf.DUMMYFUNCTION("""COMPUTED_VALUE"""),"jor")</f>
        <v>jor</v>
      </c>
      <c r="C7904" t="str">
        <f>IFERROR(__xludf.DUMMYFUNCTION("""COMPUTED_VALUE"""),"Jordan")</f>
        <v>Jordan</v>
      </c>
      <c r="D7904">
        <f>IFERROR(__xludf.DUMMYFUNCTION("""COMPUTED_VALUE"""),2024.0)</f>
        <v>2024</v>
      </c>
      <c r="E7904">
        <f>IFERROR(__xludf.DUMMYFUNCTION("""COMPUTED_VALUE"""),1.0538925E7)</f>
        <v>10538925</v>
      </c>
    </row>
    <row r="7905">
      <c r="A7905" t="str">
        <f t="shared" si="1"/>
        <v>jor#2025</v>
      </c>
      <c r="B7905" t="str">
        <f>IFERROR(__xludf.DUMMYFUNCTION("""COMPUTED_VALUE"""),"jor")</f>
        <v>jor</v>
      </c>
      <c r="C7905" t="str">
        <f>IFERROR(__xludf.DUMMYFUNCTION("""COMPUTED_VALUE"""),"Jordan")</f>
        <v>Jordan</v>
      </c>
      <c r="D7905">
        <f>IFERROR(__xludf.DUMMYFUNCTION("""COMPUTED_VALUE"""),2025.0)</f>
        <v>2025</v>
      </c>
      <c r="E7905">
        <f>IFERROR(__xludf.DUMMYFUNCTION("""COMPUTED_VALUE"""),1.0610246E7)</f>
        <v>10610246</v>
      </c>
    </row>
    <row r="7906">
      <c r="A7906" t="str">
        <f t="shared" si="1"/>
        <v>jor#2026</v>
      </c>
      <c r="B7906" t="str">
        <f>IFERROR(__xludf.DUMMYFUNCTION("""COMPUTED_VALUE"""),"jor")</f>
        <v>jor</v>
      </c>
      <c r="C7906" t="str">
        <f>IFERROR(__xludf.DUMMYFUNCTION("""COMPUTED_VALUE"""),"Jordan")</f>
        <v>Jordan</v>
      </c>
      <c r="D7906">
        <f>IFERROR(__xludf.DUMMYFUNCTION("""COMPUTED_VALUE"""),2026.0)</f>
        <v>2026</v>
      </c>
      <c r="E7906">
        <f>IFERROR(__xludf.DUMMYFUNCTION("""COMPUTED_VALUE"""),1.069247E7)</f>
        <v>10692470</v>
      </c>
    </row>
    <row r="7907">
      <c r="A7907" t="str">
        <f t="shared" si="1"/>
        <v>jor#2027</v>
      </c>
      <c r="B7907" t="str">
        <f>IFERROR(__xludf.DUMMYFUNCTION("""COMPUTED_VALUE"""),"jor")</f>
        <v>jor</v>
      </c>
      <c r="C7907" t="str">
        <f>IFERROR(__xludf.DUMMYFUNCTION("""COMPUTED_VALUE"""),"Jordan")</f>
        <v>Jordan</v>
      </c>
      <c r="D7907">
        <f>IFERROR(__xludf.DUMMYFUNCTION("""COMPUTED_VALUE"""),2027.0)</f>
        <v>2027</v>
      </c>
      <c r="E7907">
        <f>IFERROR(__xludf.DUMMYFUNCTION("""COMPUTED_VALUE"""),1.0785678E7)</f>
        <v>10785678</v>
      </c>
    </row>
    <row r="7908">
      <c r="A7908" t="str">
        <f t="shared" si="1"/>
        <v>jor#2028</v>
      </c>
      <c r="B7908" t="str">
        <f>IFERROR(__xludf.DUMMYFUNCTION("""COMPUTED_VALUE"""),"jor")</f>
        <v>jor</v>
      </c>
      <c r="C7908" t="str">
        <f>IFERROR(__xludf.DUMMYFUNCTION("""COMPUTED_VALUE"""),"Jordan")</f>
        <v>Jordan</v>
      </c>
      <c r="D7908">
        <f>IFERROR(__xludf.DUMMYFUNCTION("""COMPUTED_VALUE"""),2028.0)</f>
        <v>2028</v>
      </c>
      <c r="E7908">
        <f>IFERROR(__xludf.DUMMYFUNCTION("""COMPUTED_VALUE"""),1.0889657E7)</f>
        <v>10889657</v>
      </c>
    </row>
    <row r="7909">
      <c r="A7909" t="str">
        <f t="shared" si="1"/>
        <v>jor#2029</v>
      </c>
      <c r="B7909" t="str">
        <f>IFERROR(__xludf.DUMMYFUNCTION("""COMPUTED_VALUE"""),"jor")</f>
        <v>jor</v>
      </c>
      <c r="C7909" t="str">
        <f>IFERROR(__xludf.DUMMYFUNCTION("""COMPUTED_VALUE"""),"Jordan")</f>
        <v>Jordan</v>
      </c>
      <c r="D7909">
        <f>IFERROR(__xludf.DUMMYFUNCTION("""COMPUTED_VALUE"""),2029.0)</f>
        <v>2029</v>
      </c>
      <c r="E7909">
        <f>IFERROR(__xludf.DUMMYFUNCTION("""COMPUTED_VALUE"""),1.1002309E7)</f>
        <v>11002309</v>
      </c>
    </row>
    <row r="7910">
      <c r="A7910" t="str">
        <f t="shared" si="1"/>
        <v>jor#2030</v>
      </c>
      <c r="B7910" t="str">
        <f>IFERROR(__xludf.DUMMYFUNCTION("""COMPUTED_VALUE"""),"jor")</f>
        <v>jor</v>
      </c>
      <c r="C7910" t="str">
        <f>IFERROR(__xludf.DUMMYFUNCTION("""COMPUTED_VALUE"""),"Jordan")</f>
        <v>Jordan</v>
      </c>
      <c r="D7910">
        <f>IFERROR(__xludf.DUMMYFUNCTION("""COMPUTED_VALUE"""),2030.0)</f>
        <v>2030</v>
      </c>
      <c r="E7910">
        <f>IFERROR(__xludf.DUMMYFUNCTION("""COMPUTED_VALUE"""),1.1122063E7)</f>
        <v>11122063</v>
      </c>
    </row>
    <row r="7911">
      <c r="A7911" t="str">
        <f t="shared" si="1"/>
        <v>jor#2031</v>
      </c>
      <c r="B7911" t="str">
        <f>IFERROR(__xludf.DUMMYFUNCTION("""COMPUTED_VALUE"""),"jor")</f>
        <v>jor</v>
      </c>
      <c r="C7911" t="str">
        <f>IFERROR(__xludf.DUMMYFUNCTION("""COMPUTED_VALUE"""),"Jordan")</f>
        <v>Jordan</v>
      </c>
      <c r="D7911">
        <f>IFERROR(__xludf.DUMMYFUNCTION("""COMPUTED_VALUE"""),2031.0)</f>
        <v>2031</v>
      </c>
      <c r="E7911">
        <f>IFERROR(__xludf.DUMMYFUNCTION("""COMPUTED_VALUE"""),1.124966E7)</f>
        <v>11249660</v>
      </c>
    </row>
    <row r="7912">
      <c r="A7912" t="str">
        <f t="shared" si="1"/>
        <v>jor#2032</v>
      </c>
      <c r="B7912" t="str">
        <f>IFERROR(__xludf.DUMMYFUNCTION("""COMPUTED_VALUE"""),"jor")</f>
        <v>jor</v>
      </c>
      <c r="C7912" t="str">
        <f>IFERROR(__xludf.DUMMYFUNCTION("""COMPUTED_VALUE"""),"Jordan")</f>
        <v>Jordan</v>
      </c>
      <c r="D7912">
        <f>IFERROR(__xludf.DUMMYFUNCTION("""COMPUTED_VALUE"""),2032.0)</f>
        <v>2032</v>
      </c>
      <c r="E7912">
        <f>IFERROR(__xludf.DUMMYFUNCTION("""COMPUTED_VALUE"""),1.138635E7)</f>
        <v>11386350</v>
      </c>
    </row>
    <row r="7913">
      <c r="A7913" t="str">
        <f t="shared" si="1"/>
        <v>jor#2033</v>
      </c>
      <c r="B7913" t="str">
        <f>IFERROR(__xludf.DUMMYFUNCTION("""COMPUTED_VALUE"""),"jor")</f>
        <v>jor</v>
      </c>
      <c r="C7913" t="str">
        <f>IFERROR(__xludf.DUMMYFUNCTION("""COMPUTED_VALUE"""),"Jordan")</f>
        <v>Jordan</v>
      </c>
      <c r="D7913">
        <f>IFERROR(__xludf.DUMMYFUNCTION("""COMPUTED_VALUE"""),2033.0)</f>
        <v>2033</v>
      </c>
      <c r="E7913">
        <f>IFERROR(__xludf.DUMMYFUNCTION("""COMPUTED_VALUE"""),1.1531302E7)</f>
        <v>11531302</v>
      </c>
    </row>
    <row r="7914">
      <c r="A7914" t="str">
        <f t="shared" si="1"/>
        <v>jor#2034</v>
      </c>
      <c r="B7914" t="str">
        <f>IFERROR(__xludf.DUMMYFUNCTION("""COMPUTED_VALUE"""),"jor")</f>
        <v>jor</v>
      </c>
      <c r="C7914" t="str">
        <f>IFERROR(__xludf.DUMMYFUNCTION("""COMPUTED_VALUE"""),"Jordan")</f>
        <v>Jordan</v>
      </c>
      <c r="D7914">
        <f>IFERROR(__xludf.DUMMYFUNCTION("""COMPUTED_VALUE"""),2034.0)</f>
        <v>2034</v>
      </c>
      <c r="E7914">
        <f>IFERROR(__xludf.DUMMYFUNCTION("""COMPUTED_VALUE"""),1.1683198E7)</f>
        <v>11683198</v>
      </c>
    </row>
    <row r="7915">
      <c r="A7915" t="str">
        <f t="shared" si="1"/>
        <v>jor#2035</v>
      </c>
      <c r="B7915" t="str">
        <f>IFERROR(__xludf.DUMMYFUNCTION("""COMPUTED_VALUE"""),"jor")</f>
        <v>jor</v>
      </c>
      <c r="C7915" t="str">
        <f>IFERROR(__xludf.DUMMYFUNCTION("""COMPUTED_VALUE"""),"Jordan")</f>
        <v>Jordan</v>
      </c>
      <c r="D7915">
        <f>IFERROR(__xludf.DUMMYFUNCTION("""COMPUTED_VALUE"""),2035.0)</f>
        <v>2035</v>
      </c>
      <c r="E7915">
        <f>IFERROR(__xludf.DUMMYFUNCTION("""COMPUTED_VALUE"""),1.1840789E7)</f>
        <v>11840789</v>
      </c>
    </row>
    <row r="7916">
      <c r="A7916" t="str">
        <f t="shared" si="1"/>
        <v>jor#2036</v>
      </c>
      <c r="B7916" t="str">
        <f>IFERROR(__xludf.DUMMYFUNCTION("""COMPUTED_VALUE"""),"jor")</f>
        <v>jor</v>
      </c>
      <c r="C7916" t="str">
        <f>IFERROR(__xludf.DUMMYFUNCTION("""COMPUTED_VALUE"""),"Jordan")</f>
        <v>Jordan</v>
      </c>
      <c r="D7916">
        <f>IFERROR(__xludf.DUMMYFUNCTION("""COMPUTED_VALUE"""),2036.0)</f>
        <v>2036</v>
      </c>
      <c r="E7916">
        <f>IFERROR(__xludf.DUMMYFUNCTION("""COMPUTED_VALUE"""),1.2003793E7)</f>
        <v>12003793</v>
      </c>
    </row>
    <row r="7917">
      <c r="A7917" t="str">
        <f t="shared" si="1"/>
        <v>jor#2037</v>
      </c>
      <c r="B7917" t="str">
        <f>IFERROR(__xludf.DUMMYFUNCTION("""COMPUTED_VALUE"""),"jor")</f>
        <v>jor</v>
      </c>
      <c r="C7917" t="str">
        <f>IFERROR(__xludf.DUMMYFUNCTION("""COMPUTED_VALUE"""),"Jordan")</f>
        <v>Jordan</v>
      </c>
      <c r="D7917">
        <f>IFERROR(__xludf.DUMMYFUNCTION("""COMPUTED_VALUE"""),2037.0)</f>
        <v>2037</v>
      </c>
      <c r="E7917">
        <f>IFERROR(__xludf.DUMMYFUNCTION("""COMPUTED_VALUE"""),1.2171512E7)</f>
        <v>12171512</v>
      </c>
    </row>
    <row r="7918">
      <c r="A7918" t="str">
        <f t="shared" si="1"/>
        <v>jor#2038</v>
      </c>
      <c r="B7918" t="str">
        <f>IFERROR(__xludf.DUMMYFUNCTION("""COMPUTED_VALUE"""),"jor")</f>
        <v>jor</v>
      </c>
      <c r="C7918" t="str">
        <f>IFERROR(__xludf.DUMMYFUNCTION("""COMPUTED_VALUE"""),"Jordan")</f>
        <v>Jordan</v>
      </c>
      <c r="D7918">
        <f>IFERROR(__xludf.DUMMYFUNCTION("""COMPUTED_VALUE"""),2038.0)</f>
        <v>2038</v>
      </c>
      <c r="E7918">
        <f>IFERROR(__xludf.DUMMYFUNCTION("""COMPUTED_VALUE"""),1.2341787E7)</f>
        <v>12341787</v>
      </c>
    </row>
    <row r="7919">
      <c r="A7919" t="str">
        <f t="shared" si="1"/>
        <v>jor#2039</v>
      </c>
      <c r="B7919" t="str">
        <f>IFERROR(__xludf.DUMMYFUNCTION("""COMPUTED_VALUE"""),"jor")</f>
        <v>jor</v>
      </c>
      <c r="C7919" t="str">
        <f>IFERROR(__xludf.DUMMYFUNCTION("""COMPUTED_VALUE"""),"Jordan")</f>
        <v>Jordan</v>
      </c>
      <c r="D7919">
        <f>IFERROR(__xludf.DUMMYFUNCTION("""COMPUTED_VALUE"""),2039.0)</f>
        <v>2039</v>
      </c>
      <c r="E7919">
        <f>IFERROR(__xludf.DUMMYFUNCTION("""COMPUTED_VALUE"""),1.2511915E7)</f>
        <v>12511915</v>
      </c>
    </row>
    <row r="7920">
      <c r="A7920" t="str">
        <f t="shared" si="1"/>
        <v>jor#2040</v>
      </c>
      <c r="B7920" t="str">
        <f>IFERROR(__xludf.DUMMYFUNCTION("""COMPUTED_VALUE"""),"jor")</f>
        <v>jor</v>
      </c>
      <c r="C7920" t="str">
        <f>IFERROR(__xludf.DUMMYFUNCTION("""COMPUTED_VALUE"""),"Jordan")</f>
        <v>Jordan</v>
      </c>
      <c r="D7920">
        <f>IFERROR(__xludf.DUMMYFUNCTION("""COMPUTED_VALUE"""),2040.0)</f>
        <v>2040</v>
      </c>
      <c r="E7920">
        <f>IFERROR(__xludf.DUMMYFUNCTION("""COMPUTED_VALUE"""),1.2679815E7)</f>
        <v>12679815</v>
      </c>
    </row>
    <row r="7921">
      <c r="A7921" t="str">
        <f t="shared" si="1"/>
        <v>kaz#1950</v>
      </c>
      <c r="B7921" t="str">
        <f>IFERROR(__xludf.DUMMYFUNCTION("""COMPUTED_VALUE"""),"kaz")</f>
        <v>kaz</v>
      </c>
      <c r="C7921" t="str">
        <f>IFERROR(__xludf.DUMMYFUNCTION("""COMPUTED_VALUE"""),"Kazakhstan")</f>
        <v>Kazakhstan</v>
      </c>
      <c r="D7921">
        <f>IFERROR(__xludf.DUMMYFUNCTION("""COMPUTED_VALUE"""),1950.0)</f>
        <v>1950</v>
      </c>
      <c r="E7921">
        <f>IFERROR(__xludf.DUMMYFUNCTION("""COMPUTED_VALUE"""),6702991.0)</f>
        <v>6702991</v>
      </c>
    </row>
    <row r="7922">
      <c r="A7922" t="str">
        <f t="shared" si="1"/>
        <v>kaz#1951</v>
      </c>
      <c r="B7922" t="str">
        <f>IFERROR(__xludf.DUMMYFUNCTION("""COMPUTED_VALUE"""),"kaz")</f>
        <v>kaz</v>
      </c>
      <c r="C7922" t="str">
        <f>IFERROR(__xludf.DUMMYFUNCTION("""COMPUTED_VALUE"""),"Kazakhstan")</f>
        <v>Kazakhstan</v>
      </c>
      <c r="D7922">
        <f>IFERROR(__xludf.DUMMYFUNCTION("""COMPUTED_VALUE"""),1951.0)</f>
        <v>1951</v>
      </c>
      <c r="E7922">
        <f>IFERROR(__xludf.DUMMYFUNCTION("""COMPUTED_VALUE"""),6831323.0)</f>
        <v>6831323</v>
      </c>
    </row>
    <row r="7923">
      <c r="A7923" t="str">
        <f t="shared" si="1"/>
        <v>kaz#1952</v>
      </c>
      <c r="B7923" t="str">
        <f>IFERROR(__xludf.DUMMYFUNCTION("""COMPUTED_VALUE"""),"kaz")</f>
        <v>kaz</v>
      </c>
      <c r="C7923" t="str">
        <f>IFERROR(__xludf.DUMMYFUNCTION("""COMPUTED_VALUE"""),"Kazakhstan")</f>
        <v>Kazakhstan</v>
      </c>
      <c r="D7923">
        <f>IFERROR(__xludf.DUMMYFUNCTION("""COMPUTED_VALUE"""),1952.0)</f>
        <v>1952</v>
      </c>
      <c r="E7923">
        <f>IFERROR(__xludf.DUMMYFUNCTION("""COMPUTED_VALUE"""),7041797.0)</f>
        <v>7041797</v>
      </c>
    </row>
    <row r="7924">
      <c r="A7924" t="str">
        <f t="shared" si="1"/>
        <v>kaz#1953</v>
      </c>
      <c r="B7924" t="str">
        <f>IFERROR(__xludf.DUMMYFUNCTION("""COMPUTED_VALUE"""),"kaz")</f>
        <v>kaz</v>
      </c>
      <c r="C7924" t="str">
        <f>IFERROR(__xludf.DUMMYFUNCTION("""COMPUTED_VALUE"""),"Kazakhstan")</f>
        <v>Kazakhstan</v>
      </c>
      <c r="D7924">
        <f>IFERROR(__xludf.DUMMYFUNCTION("""COMPUTED_VALUE"""),1953.0)</f>
        <v>1953</v>
      </c>
      <c r="E7924">
        <f>IFERROR(__xludf.DUMMYFUNCTION("""COMPUTED_VALUE"""),7315651.0)</f>
        <v>7315651</v>
      </c>
    </row>
    <row r="7925">
      <c r="A7925" t="str">
        <f t="shared" si="1"/>
        <v>kaz#1954</v>
      </c>
      <c r="B7925" t="str">
        <f>IFERROR(__xludf.DUMMYFUNCTION("""COMPUTED_VALUE"""),"kaz")</f>
        <v>kaz</v>
      </c>
      <c r="C7925" t="str">
        <f>IFERROR(__xludf.DUMMYFUNCTION("""COMPUTED_VALUE"""),"Kazakhstan")</f>
        <v>Kazakhstan</v>
      </c>
      <c r="D7925">
        <f>IFERROR(__xludf.DUMMYFUNCTION("""COMPUTED_VALUE"""),1954.0)</f>
        <v>1954</v>
      </c>
      <c r="E7925">
        <f>IFERROR(__xludf.DUMMYFUNCTION("""COMPUTED_VALUE"""),7636830.0)</f>
        <v>7636830</v>
      </c>
    </row>
    <row r="7926">
      <c r="A7926" t="str">
        <f t="shared" si="1"/>
        <v>kaz#1955</v>
      </c>
      <c r="B7926" t="str">
        <f>IFERROR(__xludf.DUMMYFUNCTION("""COMPUTED_VALUE"""),"kaz")</f>
        <v>kaz</v>
      </c>
      <c r="C7926" t="str">
        <f>IFERROR(__xludf.DUMMYFUNCTION("""COMPUTED_VALUE"""),"Kazakhstan")</f>
        <v>Kazakhstan</v>
      </c>
      <c r="D7926">
        <f>IFERROR(__xludf.DUMMYFUNCTION("""COMPUTED_VALUE"""),1955.0)</f>
        <v>1955</v>
      </c>
      <c r="E7926">
        <f>IFERROR(__xludf.DUMMYFUNCTION("""COMPUTED_VALUE"""),7991998.0)</f>
        <v>7991998</v>
      </c>
    </row>
    <row r="7927">
      <c r="A7927" t="str">
        <f t="shared" si="1"/>
        <v>kaz#1956</v>
      </c>
      <c r="B7927" t="str">
        <f>IFERROR(__xludf.DUMMYFUNCTION("""COMPUTED_VALUE"""),"kaz")</f>
        <v>kaz</v>
      </c>
      <c r="C7927" t="str">
        <f>IFERROR(__xludf.DUMMYFUNCTION("""COMPUTED_VALUE"""),"Kazakhstan")</f>
        <v>Kazakhstan</v>
      </c>
      <c r="D7927">
        <f>IFERROR(__xludf.DUMMYFUNCTION("""COMPUTED_VALUE"""),1956.0)</f>
        <v>1956</v>
      </c>
      <c r="E7927">
        <f>IFERROR(__xludf.DUMMYFUNCTION("""COMPUTED_VALUE"""),8370630.0)</f>
        <v>8370630</v>
      </c>
    </row>
    <row r="7928">
      <c r="A7928" t="str">
        <f t="shared" si="1"/>
        <v>kaz#1957</v>
      </c>
      <c r="B7928" t="str">
        <f>IFERROR(__xludf.DUMMYFUNCTION("""COMPUTED_VALUE"""),"kaz")</f>
        <v>kaz</v>
      </c>
      <c r="C7928" t="str">
        <f>IFERROR(__xludf.DUMMYFUNCTION("""COMPUTED_VALUE"""),"Kazakhstan")</f>
        <v>Kazakhstan</v>
      </c>
      <c r="D7928">
        <f>IFERROR(__xludf.DUMMYFUNCTION("""COMPUTED_VALUE"""),1957.0)</f>
        <v>1957</v>
      </c>
      <c r="E7928">
        <f>IFERROR(__xludf.DUMMYFUNCTION("""COMPUTED_VALUE"""),8764919.0)</f>
        <v>8764919</v>
      </c>
    </row>
    <row r="7929">
      <c r="A7929" t="str">
        <f t="shared" si="1"/>
        <v>kaz#1958</v>
      </c>
      <c r="B7929" t="str">
        <f>IFERROR(__xludf.DUMMYFUNCTION("""COMPUTED_VALUE"""),"kaz")</f>
        <v>kaz</v>
      </c>
      <c r="C7929" t="str">
        <f>IFERROR(__xludf.DUMMYFUNCTION("""COMPUTED_VALUE"""),"Kazakhstan")</f>
        <v>Kazakhstan</v>
      </c>
      <c r="D7929">
        <f>IFERROR(__xludf.DUMMYFUNCTION("""COMPUTED_VALUE"""),1958.0)</f>
        <v>1958</v>
      </c>
      <c r="E7929">
        <f>IFERROR(__xludf.DUMMYFUNCTION("""COMPUTED_VALUE"""),9169454.0)</f>
        <v>9169454</v>
      </c>
    </row>
    <row r="7930">
      <c r="A7930" t="str">
        <f t="shared" si="1"/>
        <v>kaz#1959</v>
      </c>
      <c r="B7930" t="str">
        <f>IFERROR(__xludf.DUMMYFUNCTION("""COMPUTED_VALUE"""),"kaz")</f>
        <v>kaz</v>
      </c>
      <c r="C7930" t="str">
        <f>IFERROR(__xludf.DUMMYFUNCTION("""COMPUTED_VALUE"""),"Kazakhstan")</f>
        <v>Kazakhstan</v>
      </c>
      <c r="D7930">
        <f>IFERROR(__xludf.DUMMYFUNCTION("""COMPUTED_VALUE"""),1959.0)</f>
        <v>1959</v>
      </c>
      <c r="E7930">
        <f>IFERROR(__xludf.DUMMYFUNCTION("""COMPUTED_VALUE"""),9580799.0)</f>
        <v>9580799</v>
      </c>
    </row>
    <row r="7931">
      <c r="A7931" t="str">
        <f t="shared" si="1"/>
        <v>kaz#1960</v>
      </c>
      <c r="B7931" t="str">
        <f>IFERROR(__xludf.DUMMYFUNCTION("""COMPUTED_VALUE"""),"kaz")</f>
        <v>kaz</v>
      </c>
      <c r="C7931" t="str">
        <f>IFERROR(__xludf.DUMMYFUNCTION("""COMPUTED_VALUE"""),"Kazakhstan")</f>
        <v>Kazakhstan</v>
      </c>
      <c r="D7931">
        <f>IFERROR(__xludf.DUMMYFUNCTION("""COMPUTED_VALUE"""),1960.0)</f>
        <v>1960</v>
      </c>
      <c r="E7931">
        <f>IFERROR(__xludf.DUMMYFUNCTION("""COMPUTED_VALUE"""),9996000.0)</f>
        <v>9996000</v>
      </c>
    </row>
    <row r="7932">
      <c r="A7932" t="str">
        <f t="shared" si="1"/>
        <v>kaz#1961</v>
      </c>
      <c r="B7932" t="str">
        <f>IFERROR(__xludf.DUMMYFUNCTION("""COMPUTED_VALUE"""),"kaz")</f>
        <v>kaz</v>
      </c>
      <c r="C7932" t="str">
        <f>IFERROR(__xludf.DUMMYFUNCTION("""COMPUTED_VALUE"""),"Kazakhstan")</f>
        <v>Kazakhstan</v>
      </c>
      <c r="D7932">
        <f>IFERROR(__xludf.DUMMYFUNCTION("""COMPUTED_VALUE"""),1961.0)</f>
        <v>1961</v>
      </c>
      <c r="E7932">
        <f>IFERROR(__xludf.DUMMYFUNCTION("""COMPUTED_VALUE"""),1.0411028E7)</f>
        <v>10411028</v>
      </c>
    </row>
    <row r="7933">
      <c r="A7933" t="str">
        <f t="shared" si="1"/>
        <v>kaz#1962</v>
      </c>
      <c r="B7933" t="str">
        <f>IFERROR(__xludf.DUMMYFUNCTION("""COMPUTED_VALUE"""),"kaz")</f>
        <v>kaz</v>
      </c>
      <c r="C7933" t="str">
        <f>IFERROR(__xludf.DUMMYFUNCTION("""COMPUTED_VALUE"""),"Kazakhstan")</f>
        <v>Kazakhstan</v>
      </c>
      <c r="D7933">
        <f>IFERROR(__xludf.DUMMYFUNCTION("""COMPUTED_VALUE"""),1962.0)</f>
        <v>1962</v>
      </c>
      <c r="E7933">
        <f>IFERROR(__xludf.DUMMYFUNCTION("""COMPUTED_VALUE"""),1.0819457E7)</f>
        <v>10819457</v>
      </c>
    </row>
    <row r="7934">
      <c r="A7934" t="str">
        <f t="shared" si="1"/>
        <v>kaz#1963</v>
      </c>
      <c r="B7934" t="str">
        <f>IFERROR(__xludf.DUMMYFUNCTION("""COMPUTED_VALUE"""),"kaz")</f>
        <v>kaz</v>
      </c>
      <c r="C7934" t="str">
        <f>IFERROR(__xludf.DUMMYFUNCTION("""COMPUTED_VALUE"""),"Kazakhstan")</f>
        <v>Kazakhstan</v>
      </c>
      <c r="D7934">
        <f>IFERROR(__xludf.DUMMYFUNCTION("""COMPUTED_VALUE"""),1963.0)</f>
        <v>1963</v>
      </c>
      <c r="E7934">
        <f>IFERROR(__xludf.DUMMYFUNCTION("""COMPUTED_VALUE"""),1.121186E7)</f>
        <v>11211860</v>
      </c>
    </row>
    <row r="7935">
      <c r="A7935" t="str">
        <f t="shared" si="1"/>
        <v>kaz#1964</v>
      </c>
      <c r="B7935" t="str">
        <f>IFERROR(__xludf.DUMMYFUNCTION("""COMPUTED_VALUE"""),"kaz")</f>
        <v>kaz</v>
      </c>
      <c r="C7935" t="str">
        <f>IFERROR(__xludf.DUMMYFUNCTION("""COMPUTED_VALUE"""),"Kazakhstan")</f>
        <v>Kazakhstan</v>
      </c>
      <c r="D7935">
        <f>IFERROR(__xludf.DUMMYFUNCTION("""COMPUTED_VALUE"""),1964.0)</f>
        <v>1964</v>
      </c>
      <c r="E7935">
        <f>IFERROR(__xludf.DUMMYFUNCTION("""COMPUTED_VALUE"""),1.1577469E7)</f>
        <v>11577469</v>
      </c>
    </row>
    <row r="7936">
      <c r="A7936" t="str">
        <f t="shared" si="1"/>
        <v>kaz#1965</v>
      </c>
      <c r="B7936" t="str">
        <f>IFERROR(__xludf.DUMMYFUNCTION("""COMPUTED_VALUE"""),"kaz")</f>
        <v>kaz</v>
      </c>
      <c r="C7936" t="str">
        <f>IFERROR(__xludf.DUMMYFUNCTION("""COMPUTED_VALUE"""),"Kazakhstan")</f>
        <v>Kazakhstan</v>
      </c>
      <c r="D7936">
        <f>IFERROR(__xludf.DUMMYFUNCTION("""COMPUTED_VALUE"""),1965.0)</f>
        <v>1965</v>
      </c>
      <c r="E7936">
        <f>IFERROR(__xludf.DUMMYFUNCTION("""COMPUTED_VALUE"""),1.1909003E7)</f>
        <v>11909003</v>
      </c>
    </row>
    <row r="7937">
      <c r="A7937" t="str">
        <f t="shared" si="1"/>
        <v>kaz#1966</v>
      </c>
      <c r="B7937" t="str">
        <f>IFERROR(__xludf.DUMMYFUNCTION("""COMPUTED_VALUE"""),"kaz")</f>
        <v>kaz</v>
      </c>
      <c r="C7937" t="str">
        <f>IFERROR(__xludf.DUMMYFUNCTION("""COMPUTED_VALUE"""),"Kazakhstan")</f>
        <v>Kazakhstan</v>
      </c>
      <c r="D7937">
        <f>IFERROR(__xludf.DUMMYFUNCTION("""COMPUTED_VALUE"""),1966.0)</f>
        <v>1966</v>
      </c>
      <c r="E7937">
        <f>IFERROR(__xludf.DUMMYFUNCTION("""COMPUTED_VALUE"""),1.2201038E7)</f>
        <v>12201038</v>
      </c>
    </row>
    <row r="7938">
      <c r="A7938" t="str">
        <f t="shared" si="1"/>
        <v>kaz#1967</v>
      </c>
      <c r="B7938" t="str">
        <f>IFERROR(__xludf.DUMMYFUNCTION("""COMPUTED_VALUE"""),"kaz")</f>
        <v>kaz</v>
      </c>
      <c r="C7938" t="str">
        <f>IFERROR(__xludf.DUMMYFUNCTION("""COMPUTED_VALUE"""),"Kazakhstan")</f>
        <v>Kazakhstan</v>
      </c>
      <c r="D7938">
        <f>IFERROR(__xludf.DUMMYFUNCTION("""COMPUTED_VALUE"""),1967.0)</f>
        <v>1967</v>
      </c>
      <c r="E7938">
        <f>IFERROR(__xludf.DUMMYFUNCTION("""COMPUTED_VALUE"""),1.2455711E7)</f>
        <v>12455711</v>
      </c>
    </row>
    <row r="7939">
      <c r="A7939" t="str">
        <f t="shared" si="1"/>
        <v>kaz#1968</v>
      </c>
      <c r="B7939" t="str">
        <f>IFERROR(__xludf.DUMMYFUNCTION("""COMPUTED_VALUE"""),"kaz")</f>
        <v>kaz</v>
      </c>
      <c r="C7939" t="str">
        <f>IFERROR(__xludf.DUMMYFUNCTION("""COMPUTED_VALUE"""),"Kazakhstan")</f>
        <v>Kazakhstan</v>
      </c>
      <c r="D7939">
        <f>IFERROR(__xludf.DUMMYFUNCTION("""COMPUTED_VALUE"""),1968.0)</f>
        <v>1968</v>
      </c>
      <c r="E7939">
        <f>IFERROR(__xludf.DUMMYFUNCTION("""COMPUTED_VALUE"""),1.2682931E7)</f>
        <v>12682931</v>
      </c>
    </row>
    <row r="7940">
      <c r="A7940" t="str">
        <f t="shared" si="1"/>
        <v>kaz#1969</v>
      </c>
      <c r="B7940" t="str">
        <f>IFERROR(__xludf.DUMMYFUNCTION("""COMPUTED_VALUE"""),"kaz")</f>
        <v>kaz</v>
      </c>
      <c r="C7940" t="str">
        <f>IFERROR(__xludf.DUMMYFUNCTION("""COMPUTED_VALUE"""),"Kazakhstan")</f>
        <v>Kazakhstan</v>
      </c>
      <c r="D7940">
        <f>IFERROR(__xludf.DUMMYFUNCTION("""COMPUTED_VALUE"""),1969.0)</f>
        <v>1969</v>
      </c>
      <c r="E7940">
        <f>IFERROR(__xludf.DUMMYFUNCTION("""COMPUTED_VALUE"""),1.2897413E7)</f>
        <v>12897413</v>
      </c>
    </row>
    <row r="7941">
      <c r="A7941" t="str">
        <f t="shared" si="1"/>
        <v>kaz#1970</v>
      </c>
      <c r="B7941" t="str">
        <f>IFERROR(__xludf.DUMMYFUNCTION("""COMPUTED_VALUE"""),"kaz")</f>
        <v>kaz</v>
      </c>
      <c r="C7941" t="str">
        <f>IFERROR(__xludf.DUMMYFUNCTION("""COMPUTED_VALUE"""),"Kazakhstan")</f>
        <v>Kazakhstan</v>
      </c>
      <c r="D7941">
        <f>IFERROR(__xludf.DUMMYFUNCTION("""COMPUTED_VALUE"""),1970.0)</f>
        <v>1970</v>
      </c>
      <c r="E7941">
        <f>IFERROR(__xludf.DUMMYFUNCTION("""COMPUTED_VALUE"""),1.3109996E7)</f>
        <v>13109996</v>
      </c>
    </row>
    <row r="7942">
      <c r="A7942" t="str">
        <f t="shared" si="1"/>
        <v>kaz#1971</v>
      </c>
      <c r="B7942" t="str">
        <f>IFERROR(__xludf.DUMMYFUNCTION("""COMPUTED_VALUE"""),"kaz")</f>
        <v>kaz</v>
      </c>
      <c r="C7942" t="str">
        <f>IFERROR(__xludf.DUMMYFUNCTION("""COMPUTED_VALUE"""),"Kazakhstan")</f>
        <v>Kazakhstan</v>
      </c>
      <c r="D7942">
        <f>IFERROR(__xludf.DUMMYFUNCTION("""COMPUTED_VALUE"""),1971.0)</f>
        <v>1971</v>
      </c>
      <c r="E7942">
        <f>IFERROR(__xludf.DUMMYFUNCTION("""COMPUTED_VALUE"""),1.332467E7)</f>
        <v>13324670</v>
      </c>
    </row>
    <row r="7943">
      <c r="A7943" t="str">
        <f t="shared" si="1"/>
        <v>kaz#1972</v>
      </c>
      <c r="B7943" t="str">
        <f>IFERROR(__xludf.DUMMYFUNCTION("""COMPUTED_VALUE"""),"kaz")</f>
        <v>kaz</v>
      </c>
      <c r="C7943" t="str">
        <f>IFERROR(__xludf.DUMMYFUNCTION("""COMPUTED_VALUE"""),"Kazakhstan")</f>
        <v>Kazakhstan</v>
      </c>
      <c r="D7943">
        <f>IFERROR(__xludf.DUMMYFUNCTION("""COMPUTED_VALUE"""),1972.0)</f>
        <v>1972</v>
      </c>
      <c r="E7943">
        <f>IFERROR(__xludf.DUMMYFUNCTION("""COMPUTED_VALUE"""),1.3538749E7)</f>
        <v>13538749</v>
      </c>
    </row>
    <row r="7944">
      <c r="A7944" t="str">
        <f t="shared" si="1"/>
        <v>kaz#1973</v>
      </c>
      <c r="B7944" t="str">
        <f>IFERROR(__xludf.DUMMYFUNCTION("""COMPUTED_VALUE"""),"kaz")</f>
        <v>kaz</v>
      </c>
      <c r="C7944" t="str">
        <f>IFERROR(__xludf.DUMMYFUNCTION("""COMPUTED_VALUE"""),"Kazakhstan")</f>
        <v>Kazakhstan</v>
      </c>
      <c r="D7944">
        <f>IFERROR(__xludf.DUMMYFUNCTION("""COMPUTED_VALUE"""),1973.0)</f>
        <v>1973</v>
      </c>
      <c r="E7944">
        <f>IFERROR(__xludf.DUMMYFUNCTION("""COMPUTED_VALUE"""),1.3748319E7)</f>
        <v>13748319</v>
      </c>
    </row>
    <row r="7945">
      <c r="A7945" t="str">
        <f t="shared" si="1"/>
        <v>kaz#1974</v>
      </c>
      <c r="B7945" t="str">
        <f>IFERROR(__xludf.DUMMYFUNCTION("""COMPUTED_VALUE"""),"kaz")</f>
        <v>kaz</v>
      </c>
      <c r="C7945" t="str">
        <f>IFERROR(__xludf.DUMMYFUNCTION("""COMPUTED_VALUE"""),"Kazakhstan")</f>
        <v>Kazakhstan</v>
      </c>
      <c r="D7945">
        <f>IFERROR(__xludf.DUMMYFUNCTION("""COMPUTED_VALUE"""),1974.0)</f>
        <v>1974</v>
      </c>
      <c r="E7945">
        <f>IFERROR(__xludf.DUMMYFUNCTION("""COMPUTED_VALUE"""),1.3946819E7)</f>
        <v>13946819</v>
      </c>
    </row>
    <row r="7946">
      <c r="A7946" t="str">
        <f t="shared" si="1"/>
        <v>kaz#1975</v>
      </c>
      <c r="B7946" t="str">
        <f>IFERROR(__xludf.DUMMYFUNCTION("""COMPUTED_VALUE"""),"kaz")</f>
        <v>kaz</v>
      </c>
      <c r="C7946" t="str">
        <f>IFERROR(__xludf.DUMMYFUNCTION("""COMPUTED_VALUE"""),"Kazakhstan")</f>
        <v>Kazakhstan</v>
      </c>
      <c r="D7946">
        <f>IFERROR(__xludf.DUMMYFUNCTION("""COMPUTED_VALUE"""),1975.0)</f>
        <v>1975</v>
      </c>
      <c r="E7946">
        <f>IFERROR(__xludf.DUMMYFUNCTION("""COMPUTED_VALUE"""),1.4130071E7)</f>
        <v>14130071</v>
      </c>
    </row>
    <row r="7947">
      <c r="A7947" t="str">
        <f t="shared" si="1"/>
        <v>kaz#1976</v>
      </c>
      <c r="B7947" t="str">
        <f>IFERROR(__xludf.DUMMYFUNCTION("""COMPUTED_VALUE"""),"kaz")</f>
        <v>kaz</v>
      </c>
      <c r="C7947" t="str">
        <f>IFERROR(__xludf.DUMMYFUNCTION("""COMPUTED_VALUE"""),"Kazakhstan")</f>
        <v>Kazakhstan</v>
      </c>
      <c r="D7947">
        <f>IFERROR(__xludf.DUMMYFUNCTION("""COMPUTED_VALUE"""),1976.0)</f>
        <v>1976</v>
      </c>
      <c r="E7947">
        <f>IFERROR(__xludf.DUMMYFUNCTION("""COMPUTED_VALUE"""),1.4296769E7)</f>
        <v>14296769</v>
      </c>
    </row>
    <row r="7948">
      <c r="A7948" t="str">
        <f t="shared" si="1"/>
        <v>kaz#1977</v>
      </c>
      <c r="B7948" t="str">
        <f>IFERROR(__xludf.DUMMYFUNCTION("""COMPUTED_VALUE"""),"kaz")</f>
        <v>kaz</v>
      </c>
      <c r="C7948" t="str">
        <f>IFERROR(__xludf.DUMMYFUNCTION("""COMPUTED_VALUE"""),"Kazakhstan")</f>
        <v>Kazakhstan</v>
      </c>
      <c r="D7948">
        <f>IFERROR(__xludf.DUMMYFUNCTION("""COMPUTED_VALUE"""),1977.0)</f>
        <v>1977</v>
      </c>
      <c r="E7948">
        <f>IFERROR(__xludf.DUMMYFUNCTION("""COMPUTED_VALUE"""),1.4450533E7)</f>
        <v>14450533</v>
      </c>
    </row>
    <row r="7949">
      <c r="A7949" t="str">
        <f t="shared" si="1"/>
        <v>kaz#1978</v>
      </c>
      <c r="B7949" t="str">
        <f>IFERROR(__xludf.DUMMYFUNCTION("""COMPUTED_VALUE"""),"kaz")</f>
        <v>kaz</v>
      </c>
      <c r="C7949" t="str">
        <f>IFERROR(__xludf.DUMMYFUNCTION("""COMPUTED_VALUE"""),"Kazakhstan")</f>
        <v>Kazakhstan</v>
      </c>
      <c r="D7949">
        <f>IFERROR(__xludf.DUMMYFUNCTION("""COMPUTED_VALUE"""),1978.0)</f>
        <v>1978</v>
      </c>
      <c r="E7949">
        <f>IFERROR(__xludf.DUMMYFUNCTION("""COMPUTED_VALUE"""),1.4597846E7)</f>
        <v>14597846</v>
      </c>
    </row>
    <row r="7950">
      <c r="A7950" t="str">
        <f t="shared" si="1"/>
        <v>kaz#1979</v>
      </c>
      <c r="B7950" t="str">
        <f>IFERROR(__xludf.DUMMYFUNCTION("""COMPUTED_VALUE"""),"kaz")</f>
        <v>kaz</v>
      </c>
      <c r="C7950" t="str">
        <f>IFERROR(__xludf.DUMMYFUNCTION("""COMPUTED_VALUE"""),"Kazakhstan")</f>
        <v>Kazakhstan</v>
      </c>
      <c r="D7950">
        <f>IFERROR(__xludf.DUMMYFUNCTION("""COMPUTED_VALUE"""),1979.0)</f>
        <v>1979</v>
      </c>
      <c r="E7950">
        <f>IFERROR(__xludf.DUMMYFUNCTION("""COMPUTED_VALUE"""),1.4747561E7)</f>
        <v>14747561</v>
      </c>
    </row>
    <row r="7951">
      <c r="A7951" t="str">
        <f t="shared" si="1"/>
        <v>kaz#1980</v>
      </c>
      <c r="B7951" t="str">
        <f>IFERROR(__xludf.DUMMYFUNCTION("""COMPUTED_VALUE"""),"kaz")</f>
        <v>kaz</v>
      </c>
      <c r="C7951" t="str">
        <f>IFERROR(__xludf.DUMMYFUNCTION("""COMPUTED_VALUE"""),"Kazakhstan")</f>
        <v>Kazakhstan</v>
      </c>
      <c r="D7951">
        <f>IFERROR(__xludf.DUMMYFUNCTION("""COMPUTED_VALUE"""),1980.0)</f>
        <v>1980</v>
      </c>
      <c r="E7951">
        <f>IFERROR(__xludf.DUMMYFUNCTION("""COMPUTED_VALUE"""),1.4905889E7)</f>
        <v>14905889</v>
      </c>
    </row>
    <row r="7952">
      <c r="A7952" t="str">
        <f t="shared" si="1"/>
        <v>kaz#1981</v>
      </c>
      <c r="B7952" t="str">
        <f>IFERROR(__xludf.DUMMYFUNCTION("""COMPUTED_VALUE"""),"kaz")</f>
        <v>kaz</v>
      </c>
      <c r="C7952" t="str">
        <f>IFERROR(__xludf.DUMMYFUNCTION("""COMPUTED_VALUE"""),"Kazakhstan")</f>
        <v>Kazakhstan</v>
      </c>
      <c r="D7952">
        <f>IFERROR(__xludf.DUMMYFUNCTION("""COMPUTED_VALUE"""),1981.0)</f>
        <v>1981</v>
      </c>
      <c r="E7952">
        <f>IFERROR(__xludf.DUMMYFUNCTION("""COMPUTED_VALUE"""),1.5072355E7)</f>
        <v>15072355</v>
      </c>
    </row>
    <row r="7953">
      <c r="A7953" t="str">
        <f t="shared" si="1"/>
        <v>kaz#1982</v>
      </c>
      <c r="B7953" t="str">
        <f>IFERROR(__xludf.DUMMYFUNCTION("""COMPUTED_VALUE"""),"kaz")</f>
        <v>kaz</v>
      </c>
      <c r="C7953" t="str">
        <f>IFERROR(__xludf.DUMMYFUNCTION("""COMPUTED_VALUE"""),"Kazakhstan")</f>
        <v>Kazakhstan</v>
      </c>
      <c r="D7953">
        <f>IFERROR(__xludf.DUMMYFUNCTION("""COMPUTED_VALUE"""),1982.0)</f>
        <v>1982</v>
      </c>
      <c r="E7953">
        <f>IFERROR(__xludf.DUMMYFUNCTION("""COMPUTED_VALUE"""),1.5244045E7)</f>
        <v>15244045</v>
      </c>
    </row>
    <row r="7954">
      <c r="A7954" t="str">
        <f t="shared" si="1"/>
        <v>kaz#1983</v>
      </c>
      <c r="B7954" t="str">
        <f>IFERROR(__xludf.DUMMYFUNCTION("""COMPUTED_VALUE"""),"kaz")</f>
        <v>kaz</v>
      </c>
      <c r="C7954" t="str">
        <f>IFERROR(__xludf.DUMMYFUNCTION("""COMPUTED_VALUE"""),"Kazakhstan")</f>
        <v>Kazakhstan</v>
      </c>
      <c r="D7954">
        <f>IFERROR(__xludf.DUMMYFUNCTION("""COMPUTED_VALUE"""),1983.0)</f>
        <v>1983</v>
      </c>
      <c r="E7954">
        <f>IFERROR(__xludf.DUMMYFUNCTION("""COMPUTED_VALUE"""),1.5421226E7)</f>
        <v>15421226</v>
      </c>
    </row>
    <row r="7955">
      <c r="A7955" t="str">
        <f t="shared" si="1"/>
        <v>kaz#1984</v>
      </c>
      <c r="B7955" t="str">
        <f>IFERROR(__xludf.DUMMYFUNCTION("""COMPUTED_VALUE"""),"kaz")</f>
        <v>kaz</v>
      </c>
      <c r="C7955" t="str">
        <f>IFERROR(__xludf.DUMMYFUNCTION("""COMPUTED_VALUE"""),"Kazakhstan")</f>
        <v>Kazakhstan</v>
      </c>
      <c r="D7955">
        <f>IFERROR(__xludf.DUMMYFUNCTION("""COMPUTED_VALUE"""),1984.0)</f>
        <v>1984</v>
      </c>
      <c r="E7955">
        <f>IFERROR(__xludf.DUMMYFUNCTION("""COMPUTED_VALUE"""),1.560372E7)</f>
        <v>15603720</v>
      </c>
    </row>
    <row r="7956">
      <c r="A7956" t="str">
        <f t="shared" si="1"/>
        <v>kaz#1985</v>
      </c>
      <c r="B7956" t="str">
        <f>IFERROR(__xludf.DUMMYFUNCTION("""COMPUTED_VALUE"""),"kaz")</f>
        <v>kaz</v>
      </c>
      <c r="C7956" t="str">
        <f>IFERROR(__xludf.DUMMYFUNCTION("""COMPUTED_VALUE"""),"Kazakhstan")</f>
        <v>Kazakhstan</v>
      </c>
      <c r="D7956">
        <f>IFERROR(__xludf.DUMMYFUNCTION("""COMPUTED_VALUE"""),1985.0)</f>
        <v>1985</v>
      </c>
      <c r="E7956">
        <f>IFERROR(__xludf.DUMMYFUNCTION("""COMPUTED_VALUE"""),1.5789437E7)</f>
        <v>15789437</v>
      </c>
    </row>
    <row r="7957">
      <c r="A7957" t="str">
        <f t="shared" si="1"/>
        <v>kaz#1986</v>
      </c>
      <c r="B7957" t="str">
        <f>IFERROR(__xludf.DUMMYFUNCTION("""COMPUTED_VALUE"""),"kaz")</f>
        <v>kaz</v>
      </c>
      <c r="C7957" t="str">
        <f>IFERROR(__xludf.DUMMYFUNCTION("""COMPUTED_VALUE"""),"Kazakhstan")</f>
        <v>Kazakhstan</v>
      </c>
      <c r="D7957">
        <f>IFERROR(__xludf.DUMMYFUNCTION("""COMPUTED_VALUE"""),1986.0)</f>
        <v>1986</v>
      </c>
      <c r="E7957">
        <f>IFERROR(__xludf.DUMMYFUNCTION("""COMPUTED_VALUE"""),1.5980988E7)</f>
        <v>15980988</v>
      </c>
    </row>
    <row r="7958">
      <c r="A7958" t="str">
        <f t="shared" si="1"/>
        <v>kaz#1987</v>
      </c>
      <c r="B7958" t="str">
        <f>IFERROR(__xludf.DUMMYFUNCTION("""COMPUTED_VALUE"""),"kaz")</f>
        <v>kaz</v>
      </c>
      <c r="C7958" t="str">
        <f>IFERROR(__xludf.DUMMYFUNCTION("""COMPUTED_VALUE"""),"Kazakhstan")</f>
        <v>Kazakhstan</v>
      </c>
      <c r="D7958">
        <f>IFERROR(__xludf.DUMMYFUNCTION("""COMPUTED_VALUE"""),1987.0)</f>
        <v>1987</v>
      </c>
      <c r="E7958">
        <f>IFERROR(__xludf.DUMMYFUNCTION("""COMPUTED_VALUE"""),1.6173101E7)</f>
        <v>16173101</v>
      </c>
    </row>
    <row r="7959">
      <c r="A7959" t="str">
        <f t="shared" si="1"/>
        <v>kaz#1988</v>
      </c>
      <c r="B7959" t="str">
        <f>IFERROR(__xludf.DUMMYFUNCTION("""COMPUTED_VALUE"""),"kaz")</f>
        <v>kaz</v>
      </c>
      <c r="C7959" t="str">
        <f>IFERROR(__xludf.DUMMYFUNCTION("""COMPUTED_VALUE"""),"Kazakhstan")</f>
        <v>Kazakhstan</v>
      </c>
      <c r="D7959">
        <f>IFERROR(__xludf.DUMMYFUNCTION("""COMPUTED_VALUE"""),1988.0)</f>
        <v>1988</v>
      </c>
      <c r="E7959">
        <f>IFERROR(__xludf.DUMMYFUNCTION("""COMPUTED_VALUE"""),1.6346206E7)</f>
        <v>16346206</v>
      </c>
    </row>
    <row r="7960">
      <c r="A7960" t="str">
        <f t="shared" si="1"/>
        <v>kaz#1989</v>
      </c>
      <c r="B7960" t="str">
        <f>IFERROR(__xludf.DUMMYFUNCTION("""COMPUTED_VALUE"""),"kaz")</f>
        <v>kaz</v>
      </c>
      <c r="C7960" t="str">
        <f>IFERROR(__xludf.DUMMYFUNCTION("""COMPUTED_VALUE"""),"Kazakhstan")</f>
        <v>Kazakhstan</v>
      </c>
      <c r="D7960">
        <f>IFERROR(__xludf.DUMMYFUNCTION("""COMPUTED_VALUE"""),1989.0)</f>
        <v>1989</v>
      </c>
      <c r="E7960">
        <f>IFERROR(__xludf.DUMMYFUNCTION("""COMPUTED_VALUE"""),1.6474563E7)</f>
        <v>16474563</v>
      </c>
    </row>
    <row r="7961">
      <c r="A7961" t="str">
        <f t="shared" si="1"/>
        <v>kaz#1990</v>
      </c>
      <c r="B7961" t="str">
        <f>IFERROR(__xludf.DUMMYFUNCTION("""COMPUTED_VALUE"""),"kaz")</f>
        <v>kaz</v>
      </c>
      <c r="C7961" t="str">
        <f>IFERROR(__xludf.DUMMYFUNCTION("""COMPUTED_VALUE"""),"Kazakhstan")</f>
        <v>Kazakhstan</v>
      </c>
      <c r="D7961">
        <f>IFERROR(__xludf.DUMMYFUNCTION("""COMPUTED_VALUE"""),1990.0)</f>
        <v>1990</v>
      </c>
      <c r="E7961">
        <f>IFERROR(__xludf.DUMMYFUNCTION("""COMPUTED_VALUE"""),1.6540258E7)</f>
        <v>16540258</v>
      </c>
    </row>
    <row r="7962">
      <c r="A7962" t="str">
        <f t="shared" si="1"/>
        <v>kaz#1991</v>
      </c>
      <c r="B7962" t="str">
        <f>IFERROR(__xludf.DUMMYFUNCTION("""COMPUTED_VALUE"""),"kaz")</f>
        <v>kaz</v>
      </c>
      <c r="C7962" t="str">
        <f>IFERROR(__xludf.DUMMYFUNCTION("""COMPUTED_VALUE"""),"Kazakhstan")</f>
        <v>Kazakhstan</v>
      </c>
      <c r="D7962">
        <f>IFERROR(__xludf.DUMMYFUNCTION("""COMPUTED_VALUE"""),1991.0)</f>
        <v>1991</v>
      </c>
      <c r="E7962">
        <f>IFERROR(__xludf.DUMMYFUNCTION("""COMPUTED_VALUE"""),1.6540017E7)</f>
        <v>16540017</v>
      </c>
    </row>
    <row r="7963">
      <c r="A7963" t="str">
        <f t="shared" si="1"/>
        <v>kaz#1992</v>
      </c>
      <c r="B7963" t="str">
        <f>IFERROR(__xludf.DUMMYFUNCTION("""COMPUTED_VALUE"""),"kaz")</f>
        <v>kaz</v>
      </c>
      <c r="C7963" t="str">
        <f>IFERROR(__xludf.DUMMYFUNCTION("""COMPUTED_VALUE"""),"Kazakhstan")</f>
        <v>Kazakhstan</v>
      </c>
      <c r="D7963">
        <f>IFERROR(__xludf.DUMMYFUNCTION("""COMPUTED_VALUE"""),1992.0)</f>
        <v>1992</v>
      </c>
      <c r="E7963">
        <f>IFERROR(__xludf.DUMMYFUNCTION("""COMPUTED_VALUE"""),1.6481113E7)</f>
        <v>16481113</v>
      </c>
    </row>
    <row r="7964">
      <c r="A7964" t="str">
        <f t="shared" si="1"/>
        <v>kaz#1993</v>
      </c>
      <c r="B7964" t="str">
        <f>IFERROR(__xludf.DUMMYFUNCTION("""COMPUTED_VALUE"""),"kaz")</f>
        <v>kaz</v>
      </c>
      <c r="C7964" t="str">
        <f>IFERROR(__xludf.DUMMYFUNCTION("""COMPUTED_VALUE"""),"Kazakhstan")</f>
        <v>Kazakhstan</v>
      </c>
      <c r="D7964">
        <f>IFERROR(__xludf.DUMMYFUNCTION("""COMPUTED_VALUE"""),1993.0)</f>
        <v>1993</v>
      </c>
      <c r="E7964">
        <f>IFERROR(__xludf.DUMMYFUNCTION("""COMPUTED_VALUE"""),1.637E7)</f>
        <v>16370000</v>
      </c>
    </row>
    <row r="7965">
      <c r="A7965" t="str">
        <f t="shared" si="1"/>
        <v>kaz#1994</v>
      </c>
      <c r="B7965" t="str">
        <f>IFERROR(__xludf.DUMMYFUNCTION("""COMPUTED_VALUE"""),"kaz")</f>
        <v>kaz</v>
      </c>
      <c r="C7965" t="str">
        <f>IFERROR(__xludf.DUMMYFUNCTION("""COMPUTED_VALUE"""),"Kazakhstan")</f>
        <v>Kazakhstan</v>
      </c>
      <c r="D7965">
        <f>IFERROR(__xludf.DUMMYFUNCTION("""COMPUTED_VALUE"""),1994.0)</f>
        <v>1994</v>
      </c>
      <c r="E7965">
        <f>IFERROR(__xludf.DUMMYFUNCTION("""COMPUTED_VALUE"""),1.6217491E7)</f>
        <v>16217491</v>
      </c>
    </row>
    <row r="7966">
      <c r="A7966" t="str">
        <f t="shared" si="1"/>
        <v>kaz#1995</v>
      </c>
      <c r="B7966" t="str">
        <f>IFERROR(__xludf.DUMMYFUNCTION("""COMPUTED_VALUE"""),"kaz")</f>
        <v>kaz</v>
      </c>
      <c r="C7966" t="str">
        <f>IFERROR(__xludf.DUMMYFUNCTION("""COMPUTED_VALUE"""),"Kazakhstan")</f>
        <v>Kazakhstan</v>
      </c>
      <c r="D7966">
        <f>IFERROR(__xludf.DUMMYFUNCTION("""COMPUTED_VALUE"""),1995.0)</f>
        <v>1995</v>
      </c>
      <c r="E7966">
        <f>IFERROR(__xludf.DUMMYFUNCTION("""COMPUTED_VALUE"""),1.6034956E7)</f>
        <v>16034956</v>
      </c>
    </row>
    <row r="7967">
      <c r="A7967" t="str">
        <f t="shared" si="1"/>
        <v>kaz#1996</v>
      </c>
      <c r="B7967" t="str">
        <f>IFERROR(__xludf.DUMMYFUNCTION("""COMPUTED_VALUE"""),"kaz")</f>
        <v>kaz</v>
      </c>
      <c r="C7967" t="str">
        <f>IFERROR(__xludf.DUMMYFUNCTION("""COMPUTED_VALUE"""),"Kazakhstan")</f>
        <v>Kazakhstan</v>
      </c>
      <c r="D7967">
        <f>IFERROR(__xludf.DUMMYFUNCTION("""COMPUTED_VALUE"""),1996.0)</f>
        <v>1996</v>
      </c>
      <c r="E7967">
        <f>IFERROR(__xludf.DUMMYFUNCTION("""COMPUTED_VALUE"""),1.5820631E7)</f>
        <v>15820631</v>
      </c>
    </row>
    <row r="7968">
      <c r="A7968" t="str">
        <f t="shared" si="1"/>
        <v>kaz#1997</v>
      </c>
      <c r="B7968" t="str">
        <f>IFERROR(__xludf.DUMMYFUNCTION("""COMPUTED_VALUE"""),"kaz")</f>
        <v>kaz</v>
      </c>
      <c r="C7968" t="str">
        <f>IFERROR(__xludf.DUMMYFUNCTION("""COMPUTED_VALUE"""),"Kazakhstan")</f>
        <v>Kazakhstan</v>
      </c>
      <c r="D7968">
        <f>IFERROR(__xludf.DUMMYFUNCTION("""COMPUTED_VALUE"""),1997.0)</f>
        <v>1997</v>
      </c>
      <c r="E7968">
        <f>IFERROR(__xludf.DUMMYFUNCTION("""COMPUTED_VALUE"""),1.5581752E7)</f>
        <v>15581752</v>
      </c>
    </row>
    <row r="7969">
      <c r="A7969" t="str">
        <f t="shared" si="1"/>
        <v>kaz#1998</v>
      </c>
      <c r="B7969" t="str">
        <f>IFERROR(__xludf.DUMMYFUNCTION("""COMPUTED_VALUE"""),"kaz")</f>
        <v>kaz</v>
      </c>
      <c r="C7969" t="str">
        <f>IFERROR(__xludf.DUMMYFUNCTION("""COMPUTED_VALUE"""),"Kazakhstan")</f>
        <v>Kazakhstan</v>
      </c>
      <c r="D7969">
        <f>IFERROR(__xludf.DUMMYFUNCTION("""COMPUTED_VALUE"""),1998.0)</f>
        <v>1998</v>
      </c>
      <c r="E7969">
        <f>IFERROR(__xludf.DUMMYFUNCTION("""COMPUTED_VALUE"""),1.5349899E7)</f>
        <v>15349899</v>
      </c>
    </row>
    <row r="7970">
      <c r="A7970" t="str">
        <f t="shared" si="1"/>
        <v>kaz#1999</v>
      </c>
      <c r="B7970" t="str">
        <f>IFERROR(__xludf.DUMMYFUNCTION("""COMPUTED_VALUE"""),"kaz")</f>
        <v>kaz</v>
      </c>
      <c r="C7970" t="str">
        <f>IFERROR(__xludf.DUMMYFUNCTION("""COMPUTED_VALUE"""),"Kazakhstan")</f>
        <v>Kazakhstan</v>
      </c>
      <c r="D7970">
        <f>IFERROR(__xludf.DUMMYFUNCTION("""COMPUTED_VALUE"""),1999.0)</f>
        <v>1999</v>
      </c>
      <c r="E7970">
        <f>IFERROR(__xludf.DUMMYFUNCTION("""COMPUTED_VALUE"""),1.5165574E7)</f>
        <v>15165574</v>
      </c>
    </row>
    <row r="7971">
      <c r="A7971" t="str">
        <f t="shared" si="1"/>
        <v>kaz#2000</v>
      </c>
      <c r="B7971" t="str">
        <f>IFERROR(__xludf.DUMMYFUNCTION("""COMPUTED_VALUE"""),"kaz")</f>
        <v>kaz</v>
      </c>
      <c r="C7971" t="str">
        <f>IFERROR(__xludf.DUMMYFUNCTION("""COMPUTED_VALUE"""),"Kazakhstan")</f>
        <v>Kazakhstan</v>
      </c>
      <c r="D7971">
        <f>IFERROR(__xludf.DUMMYFUNCTION("""COMPUTED_VALUE"""),2000.0)</f>
        <v>2000</v>
      </c>
      <c r="E7971">
        <f>IFERROR(__xludf.DUMMYFUNCTION("""COMPUTED_VALUE"""),1.5057363E7)</f>
        <v>15057363</v>
      </c>
    </row>
    <row r="7972">
      <c r="A7972" t="str">
        <f t="shared" si="1"/>
        <v>kaz#2001</v>
      </c>
      <c r="B7972" t="str">
        <f>IFERROR(__xludf.DUMMYFUNCTION("""COMPUTED_VALUE"""),"kaz")</f>
        <v>kaz</v>
      </c>
      <c r="C7972" t="str">
        <f>IFERROR(__xludf.DUMMYFUNCTION("""COMPUTED_VALUE"""),"Kazakhstan")</f>
        <v>Kazakhstan</v>
      </c>
      <c r="D7972">
        <f>IFERROR(__xludf.DUMMYFUNCTION("""COMPUTED_VALUE"""),2001.0)</f>
        <v>2001</v>
      </c>
      <c r="E7972">
        <f>IFERROR(__xludf.DUMMYFUNCTION("""COMPUTED_VALUE"""),1.5039971E7)</f>
        <v>15039971</v>
      </c>
    </row>
    <row r="7973">
      <c r="A7973" t="str">
        <f t="shared" si="1"/>
        <v>kaz#2002</v>
      </c>
      <c r="B7973" t="str">
        <f>IFERROR(__xludf.DUMMYFUNCTION("""COMPUTED_VALUE"""),"kaz")</f>
        <v>kaz</v>
      </c>
      <c r="C7973" t="str">
        <f>IFERROR(__xludf.DUMMYFUNCTION("""COMPUTED_VALUE"""),"Kazakhstan")</f>
        <v>Kazakhstan</v>
      </c>
      <c r="D7973">
        <f>IFERROR(__xludf.DUMMYFUNCTION("""COMPUTED_VALUE"""),2002.0)</f>
        <v>2002</v>
      </c>
      <c r="E7973">
        <f>IFERROR(__xludf.DUMMYFUNCTION("""COMPUTED_VALUE"""),1.5105645E7)</f>
        <v>15105645</v>
      </c>
    </row>
    <row r="7974">
      <c r="A7974" t="str">
        <f t="shared" si="1"/>
        <v>kaz#2003</v>
      </c>
      <c r="B7974" t="str">
        <f>IFERROR(__xludf.DUMMYFUNCTION("""COMPUTED_VALUE"""),"kaz")</f>
        <v>kaz</v>
      </c>
      <c r="C7974" t="str">
        <f>IFERROR(__xludf.DUMMYFUNCTION("""COMPUTED_VALUE"""),"Kazakhstan")</f>
        <v>Kazakhstan</v>
      </c>
      <c r="D7974">
        <f>IFERROR(__xludf.DUMMYFUNCTION("""COMPUTED_VALUE"""),2003.0)</f>
        <v>2003</v>
      </c>
      <c r="E7974">
        <f>IFERROR(__xludf.DUMMYFUNCTION("""COMPUTED_VALUE"""),1.5232325E7)</f>
        <v>15232325</v>
      </c>
    </row>
    <row r="7975">
      <c r="A7975" t="str">
        <f t="shared" si="1"/>
        <v>kaz#2004</v>
      </c>
      <c r="B7975" t="str">
        <f>IFERROR(__xludf.DUMMYFUNCTION("""COMPUTED_VALUE"""),"kaz")</f>
        <v>kaz</v>
      </c>
      <c r="C7975" t="str">
        <f>IFERROR(__xludf.DUMMYFUNCTION("""COMPUTED_VALUE"""),"Kazakhstan")</f>
        <v>Kazakhstan</v>
      </c>
      <c r="D7975">
        <f>IFERROR(__xludf.DUMMYFUNCTION("""COMPUTED_VALUE"""),2004.0)</f>
        <v>2004</v>
      </c>
      <c r="E7975">
        <f>IFERROR(__xludf.DUMMYFUNCTION("""COMPUTED_VALUE"""),1.5385916E7)</f>
        <v>15385916</v>
      </c>
    </row>
    <row r="7976">
      <c r="A7976" t="str">
        <f t="shared" si="1"/>
        <v>kaz#2005</v>
      </c>
      <c r="B7976" t="str">
        <f>IFERROR(__xludf.DUMMYFUNCTION("""COMPUTED_VALUE"""),"kaz")</f>
        <v>kaz</v>
      </c>
      <c r="C7976" t="str">
        <f>IFERROR(__xludf.DUMMYFUNCTION("""COMPUTED_VALUE"""),"Kazakhstan")</f>
        <v>Kazakhstan</v>
      </c>
      <c r="D7976">
        <f>IFERROR(__xludf.DUMMYFUNCTION("""COMPUTED_VALUE"""),2005.0)</f>
        <v>2005</v>
      </c>
      <c r="E7976">
        <f>IFERROR(__xludf.DUMMYFUNCTION("""COMPUTED_VALUE"""),1.5541457E7)</f>
        <v>15541457</v>
      </c>
    </row>
    <row r="7977">
      <c r="A7977" t="str">
        <f t="shared" si="1"/>
        <v>kaz#2006</v>
      </c>
      <c r="B7977" t="str">
        <f>IFERROR(__xludf.DUMMYFUNCTION("""COMPUTED_VALUE"""),"kaz")</f>
        <v>kaz</v>
      </c>
      <c r="C7977" t="str">
        <f>IFERROR(__xludf.DUMMYFUNCTION("""COMPUTED_VALUE"""),"Kazakhstan")</f>
        <v>Kazakhstan</v>
      </c>
      <c r="D7977">
        <f>IFERROR(__xludf.DUMMYFUNCTION("""COMPUTED_VALUE"""),2006.0)</f>
        <v>2006</v>
      </c>
      <c r="E7977">
        <f>IFERROR(__xludf.DUMMYFUNCTION("""COMPUTED_VALUE"""),1.5690861E7)</f>
        <v>15690861</v>
      </c>
    </row>
    <row r="7978">
      <c r="A7978" t="str">
        <f t="shared" si="1"/>
        <v>kaz#2007</v>
      </c>
      <c r="B7978" t="str">
        <f>IFERROR(__xludf.DUMMYFUNCTION("""COMPUTED_VALUE"""),"kaz")</f>
        <v>kaz</v>
      </c>
      <c r="C7978" t="str">
        <f>IFERROR(__xludf.DUMMYFUNCTION("""COMPUTED_VALUE"""),"Kazakhstan")</f>
        <v>Kazakhstan</v>
      </c>
      <c r="D7978">
        <f>IFERROR(__xludf.DUMMYFUNCTION("""COMPUTED_VALUE"""),2007.0)</f>
        <v>2007</v>
      </c>
      <c r="E7978">
        <f>IFERROR(__xludf.DUMMYFUNCTION("""COMPUTED_VALUE"""),1.5841355E7)</f>
        <v>15841355</v>
      </c>
    </row>
    <row r="7979">
      <c r="A7979" t="str">
        <f t="shared" si="1"/>
        <v>kaz#2008</v>
      </c>
      <c r="B7979" t="str">
        <f>IFERROR(__xludf.DUMMYFUNCTION("""COMPUTED_VALUE"""),"kaz")</f>
        <v>kaz</v>
      </c>
      <c r="C7979" t="str">
        <f>IFERROR(__xludf.DUMMYFUNCTION("""COMPUTED_VALUE"""),"Kazakhstan")</f>
        <v>Kazakhstan</v>
      </c>
      <c r="D7979">
        <f>IFERROR(__xludf.DUMMYFUNCTION("""COMPUTED_VALUE"""),2008.0)</f>
        <v>2008</v>
      </c>
      <c r="E7979">
        <f>IFERROR(__xludf.DUMMYFUNCTION("""COMPUTED_VALUE"""),1.6001176E7)</f>
        <v>16001176</v>
      </c>
    </row>
    <row r="7980">
      <c r="A7980" t="str">
        <f t="shared" si="1"/>
        <v>kaz#2009</v>
      </c>
      <c r="B7980" t="str">
        <f>IFERROR(__xludf.DUMMYFUNCTION("""COMPUTED_VALUE"""),"kaz")</f>
        <v>kaz</v>
      </c>
      <c r="C7980" t="str">
        <f>IFERROR(__xludf.DUMMYFUNCTION("""COMPUTED_VALUE"""),"Kazakhstan")</f>
        <v>Kazakhstan</v>
      </c>
      <c r="D7980">
        <f>IFERROR(__xludf.DUMMYFUNCTION("""COMPUTED_VALUE"""),2009.0)</f>
        <v>2009</v>
      </c>
      <c r="E7980">
        <f>IFERROR(__xludf.DUMMYFUNCTION("""COMPUTED_VALUE"""),1.6184163E7)</f>
        <v>16184163</v>
      </c>
    </row>
    <row r="7981">
      <c r="A7981" t="str">
        <f t="shared" si="1"/>
        <v>kaz#2010</v>
      </c>
      <c r="B7981" t="str">
        <f>IFERROR(__xludf.DUMMYFUNCTION("""COMPUTED_VALUE"""),"kaz")</f>
        <v>kaz</v>
      </c>
      <c r="C7981" t="str">
        <f>IFERROR(__xludf.DUMMYFUNCTION("""COMPUTED_VALUE"""),"Kazakhstan")</f>
        <v>Kazakhstan</v>
      </c>
      <c r="D7981">
        <f>IFERROR(__xludf.DUMMYFUNCTION("""COMPUTED_VALUE"""),2010.0)</f>
        <v>2010</v>
      </c>
      <c r="E7981">
        <f>IFERROR(__xludf.DUMMYFUNCTION("""COMPUTED_VALUE"""),1.6398976E7)</f>
        <v>16398976</v>
      </c>
    </row>
    <row r="7982">
      <c r="A7982" t="str">
        <f t="shared" si="1"/>
        <v>kaz#2011</v>
      </c>
      <c r="B7982" t="str">
        <f>IFERROR(__xludf.DUMMYFUNCTION("""COMPUTED_VALUE"""),"kaz")</f>
        <v>kaz</v>
      </c>
      <c r="C7982" t="str">
        <f>IFERROR(__xludf.DUMMYFUNCTION("""COMPUTED_VALUE"""),"Kazakhstan")</f>
        <v>Kazakhstan</v>
      </c>
      <c r="D7982">
        <f>IFERROR(__xludf.DUMMYFUNCTION("""COMPUTED_VALUE"""),2011.0)</f>
        <v>2011</v>
      </c>
      <c r="E7982">
        <f>IFERROR(__xludf.DUMMYFUNCTION("""COMPUTED_VALUE"""),1.664738E7)</f>
        <v>16647380</v>
      </c>
    </row>
    <row r="7983">
      <c r="A7983" t="str">
        <f t="shared" si="1"/>
        <v>kaz#2012</v>
      </c>
      <c r="B7983" t="str">
        <f>IFERROR(__xludf.DUMMYFUNCTION("""COMPUTED_VALUE"""),"kaz")</f>
        <v>kaz</v>
      </c>
      <c r="C7983" t="str">
        <f>IFERROR(__xludf.DUMMYFUNCTION("""COMPUTED_VALUE"""),"Kazakhstan")</f>
        <v>Kazakhstan</v>
      </c>
      <c r="D7983">
        <f>IFERROR(__xludf.DUMMYFUNCTION("""COMPUTED_VALUE"""),2012.0)</f>
        <v>2012</v>
      </c>
      <c r="E7983">
        <f>IFERROR(__xludf.DUMMYFUNCTION("""COMPUTED_VALUE"""),1.6921179E7)</f>
        <v>16921179</v>
      </c>
    </row>
    <row r="7984">
      <c r="A7984" t="str">
        <f t="shared" si="1"/>
        <v>kaz#2013</v>
      </c>
      <c r="B7984" t="str">
        <f>IFERROR(__xludf.DUMMYFUNCTION("""COMPUTED_VALUE"""),"kaz")</f>
        <v>kaz</v>
      </c>
      <c r="C7984" t="str">
        <f>IFERROR(__xludf.DUMMYFUNCTION("""COMPUTED_VALUE"""),"Kazakhstan")</f>
        <v>Kazakhstan</v>
      </c>
      <c r="D7984">
        <f>IFERROR(__xludf.DUMMYFUNCTION("""COMPUTED_VALUE"""),2013.0)</f>
        <v>2013</v>
      </c>
      <c r="E7984">
        <f>IFERROR(__xludf.DUMMYFUNCTION("""COMPUTED_VALUE"""),1.7207257E7)</f>
        <v>17207257</v>
      </c>
    </row>
    <row r="7985">
      <c r="A7985" t="str">
        <f t="shared" si="1"/>
        <v>kaz#2014</v>
      </c>
      <c r="B7985" t="str">
        <f>IFERROR(__xludf.DUMMYFUNCTION("""COMPUTED_VALUE"""),"kaz")</f>
        <v>kaz</v>
      </c>
      <c r="C7985" t="str">
        <f>IFERROR(__xludf.DUMMYFUNCTION("""COMPUTED_VALUE"""),"Kazakhstan")</f>
        <v>Kazakhstan</v>
      </c>
      <c r="D7985">
        <f>IFERROR(__xludf.DUMMYFUNCTION("""COMPUTED_VALUE"""),2014.0)</f>
        <v>2014</v>
      </c>
      <c r="E7985">
        <f>IFERROR(__xludf.DUMMYFUNCTION("""COMPUTED_VALUE"""),1.7487779E7)</f>
        <v>17487779</v>
      </c>
    </row>
    <row r="7986">
      <c r="A7986" t="str">
        <f t="shared" si="1"/>
        <v>kaz#2015</v>
      </c>
      <c r="B7986" t="str">
        <f>IFERROR(__xludf.DUMMYFUNCTION("""COMPUTED_VALUE"""),"kaz")</f>
        <v>kaz</v>
      </c>
      <c r="C7986" t="str">
        <f>IFERROR(__xludf.DUMMYFUNCTION("""COMPUTED_VALUE"""),"Kazakhstan")</f>
        <v>Kazakhstan</v>
      </c>
      <c r="D7986">
        <f>IFERROR(__xludf.DUMMYFUNCTION("""COMPUTED_VALUE"""),2015.0)</f>
        <v>2015</v>
      </c>
      <c r="E7986">
        <f>IFERROR(__xludf.DUMMYFUNCTION("""COMPUTED_VALUE"""),1.7749648E7)</f>
        <v>17749648</v>
      </c>
    </row>
    <row r="7987">
      <c r="A7987" t="str">
        <f t="shared" si="1"/>
        <v>kaz#2016</v>
      </c>
      <c r="B7987" t="str">
        <f>IFERROR(__xludf.DUMMYFUNCTION("""COMPUTED_VALUE"""),"kaz")</f>
        <v>kaz</v>
      </c>
      <c r="C7987" t="str">
        <f>IFERROR(__xludf.DUMMYFUNCTION("""COMPUTED_VALUE"""),"Kazakhstan")</f>
        <v>Kazakhstan</v>
      </c>
      <c r="D7987">
        <f>IFERROR(__xludf.DUMMYFUNCTION("""COMPUTED_VALUE"""),2016.0)</f>
        <v>2016</v>
      </c>
      <c r="E7987">
        <f>IFERROR(__xludf.DUMMYFUNCTION("""COMPUTED_VALUE"""),1.7987736E7)</f>
        <v>17987736</v>
      </c>
    </row>
    <row r="7988">
      <c r="A7988" t="str">
        <f t="shared" si="1"/>
        <v>kaz#2017</v>
      </c>
      <c r="B7988" t="str">
        <f>IFERROR(__xludf.DUMMYFUNCTION("""COMPUTED_VALUE"""),"kaz")</f>
        <v>kaz</v>
      </c>
      <c r="C7988" t="str">
        <f>IFERROR(__xludf.DUMMYFUNCTION("""COMPUTED_VALUE"""),"Kazakhstan")</f>
        <v>Kazakhstan</v>
      </c>
      <c r="D7988">
        <f>IFERROR(__xludf.DUMMYFUNCTION("""COMPUTED_VALUE"""),2017.0)</f>
        <v>2017</v>
      </c>
      <c r="E7988">
        <f>IFERROR(__xludf.DUMMYFUNCTION("""COMPUTED_VALUE"""),1.8204499E7)</f>
        <v>18204499</v>
      </c>
    </row>
    <row r="7989">
      <c r="A7989" t="str">
        <f t="shared" si="1"/>
        <v>kaz#2018</v>
      </c>
      <c r="B7989" t="str">
        <f>IFERROR(__xludf.DUMMYFUNCTION("""COMPUTED_VALUE"""),"kaz")</f>
        <v>kaz</v>
      </c>
      <c r="C7989" t="str">
        <f>IFERROR(__xludf.DUMMYFUNCTION("""COMPUTED_VALUE"""),"Kazakhstan")</f>
        <v>Kazakhstan</v>
      </c>
      <c r="D7989">
        <f>IFERROR(__xludf.DUMMYFUNCTION("""COMPUTED_VALUE"""),2018.0)</f>
        <v>2018</v>
      </c>
      <c r="E7989">
        <f>IFERROR(__xludf.DUMMYFUNCTION("""COMPUTED_VALUE"""),1.840386E7)</f>
        <v>18403860</v>
      </c>
    </row>
    <row r="7990">
      <c r="A7990" t="str">
        <f t="shared" si="1"/>
        <v>kaz#2019</v>
      </c>
      <c r="B7990" t="str">
        <f>IFERROR(__xludf.DUMMYFUNCTION("""COMPUTED_VALUE"""),"kaz")</f>
        <v>kaz</v>
      </c>
      <c r="C7990" t="str">
        <f>IFERROR(__xludf.DUMMYFUNCTION("""COMPUTED_VALUE"""),"Kazakhstan")</f>
        <v>Kazakhstan</v>
      </c>
      <c r="D7990">
        <f>IFERROR(__xludf.DUMMYFUNCTION("""COMPUTED_VALUE"""),2019.0)</f>
        <v>2019</v>
      </c>
      <c r="E7990">
        <f>IFERROR(__xludf.DUMMYFUNCTION("""COMPUTED_VALUE"""),1.859297E7)</f>
        <v>18592970</v>
      </c>
    </row>
    <row r="7991">
      <c r="A7991" t="str">
        <f t="shared" si="1"/>
        <v>kaz#2020</v>
      </c>
      <c r="B7991" t="str">
        <f>IFERROR(__xludf.DUMMYFUNCTION("""COMPUTED_VALUE"""),"kaz")</f>
        <v>kaz</v>
      </c>
      <c r="C7991" t="str">
        <f>IFERROR(__xludf.DUMMYFUNCTION("""COMPUTED_VALUE"""),"Kazakhstan")</f>
        <v>Kazakhstan</v>
      </c>
      <c r="D7991">
        <f>IFERROR(__xludf.DUMMYFUNCTION("""COMPUTED_VALUE"""),2020.0)</f>
        <v>2020</v>
      </c>
      <c r="E7991">
        <f>IFERROR(__xludf.DUMMYFUNCTION("""COMPUTED_VALUE"""),1.8777139E7)</f>
        <v>18777139</v>
      </c>
    </row>
    <row r="7992">
      <c r="A7992" t="str">
        <f t="shared" si="1"/>
        <v>kaz#2021</v>
      </c>
      <c r="B7992" t="str">
        <f>IFERROR(__xludf.DUMMYFUNCTION("""COMPUTED_VALUE"""),"kaz")</f>
        <v>kaz</v>
      </c>
      <c r="C7992" t="str">
        <f>IFERROR(__xludf.DUMMYFUNCTION("""COMPUTED_VALUE"""),"Kazakhstan")</f>
        <v>Kazakhstan</v>
      </c>
      <c r="D7992">
        <f>IFERROR(__xludf.DUMMYFUNCTION("""COMPUTED_VALUE"""),2021.0)</f>
        <v>2021</v>
      </c>
      <c r="E7992">
        <f>IFERROR(__xludf.DUMMYFUNCTION("""COMPUTED_VALUE"""),1.8956868E7)</f>
        <v>18956868</v>
      </c>
    </row>
    <row r="7993">
      <c r="A7993" t="str">
        <f t="shared" si="1"/>
        <v>kaz#2022</v>
      </c>
      <c r="B7993" t="str">
        <f>IFERROR(__xludf.DUMMYFUNCTION("""COMPUTED_VALUE"""),"kaz")</f>
        <v>kaz</v>
      </c>
      <c r="C7993" t="str">
        <f>IFERROR(__xludf.DUMMYFUNCTION("""COMPUTED_VALUE"""),"Kazakhstan")</f>
        <v>Kazakhstan</v>
      </c>
      <c r="D7993">
        <f>IFERROR(__xludf.DUMMYFUNCTION("""COMPUTED_VALUE"""),2022.0)</f>
        <v>2022</v>
      </c>
      <c r="E7993">
        <f>IFERROR(__xludf.DUMMYFUNCTION("""COMPUTED_VALUE"""),1.9130148E7)</f>
        <v>19130148</v>
      </c>
    </row>
    <row r="7994">
      <c r="A7994" t="str">
        <f t="shared" si="1"/>
        <v>kaz#2023</v>
      </c>
      <c r="B7994" t="str">
        <f>IFERROR(__xludf.DUMMYFUNCTION("""COMPUTED_VALUE"""),"kaz")</f>
        <v>kaz</v>
      </c>
      <c r="C7994" t="str">
        <f>IFERROR(__xludf.DUMMYFUNCTION("""COMPUTED_VALUE"""),"Kazakhstan")</f>
        <v>Kazakhstan</v>
      </c>
      <c r="D7994">
        <f>IFERROR(__xludf.DUMMYFUNCTION("""COMPUTED_VALUE"""),2023.0)</f>
        <v>2023</v>
      </c>
      <c r="E7994">
        <f>IFERROR(__xludf.DUMMYFUNCTION("""COMPUTED_VALUE"""),1.9296971E7)</f>
        <v>19296971</v>
      </c>
    </row>
    <row r="7995">
      <c r="A7995" t="str">
        <f t="shared" si="1"/>
        <v>kaz#2024</v>
      </c>
      <c r="B7995" t="str">
        <f>IFERROR(__xludf.DUMMYFUNCTION("""COMPUTED_VALUE"""),"kaz")</f>
        <v>kaz</v>
      </c>
      <c r="C7995" t="str">
        <f>IFERROR(__xludf.DUMMYFUNCTION("""COMPUTED_VALUE"""),"Kazakhstan")</f>
        <v>Kazakhstan</v>
      </c>
      <c r="D7995">
        <f>IFERROR(__xludf.DUMMYFUNCTION("""COMPUTED_VALUE"""),2024.0)</f>
        <v>2024</v>
      </c>
      <c r="E7995">
        <f>IFERROR(__xludf.DUMMYFUNCTION("""COMPUTED_VALUE"""),1.9457023E7)</f>
        <v>19457023</v>
      </c>
    </row>
    <row r="7996">
      <c r="A7996" t="str">
        <f t="shared" si="1"/>
        <v>kaz#2025</v>
      </c>
      <c r="B7996" t="str">
        <f>IFERROR(__xludf.DUMMYFUNCTION("""COMPUTED_VALUE"""),"kaz")</f>
        <v>kaz</v>
      </c>
      <c r="C7996" t="str">
        <f>IFERROR(__xludf.DUMMYFUNCTION("""COMPUTED_VALUE"""),"Kazakhstan")</f>
        <v>Kazakhstan</v>
      </c>
      <c r="D7996">
        <f>IFERROR(__xludf.DUMMYFUNCTION("""COMPUTED_VALUE"""),2025.0)</f>
        <v>2025</v>
      </c>
      <c r="E7996">
        <f>IFERROR(__xludf.DUMMYFUNCTION("""COMPUTED_VALUE"""),1.9610258E7)</f>
        <v>19610258</v>
      </c>
    </row>
    <row r="7997">
      <c r="A7997" t="str">
        <f t="shared" si="1"/>
        <v>kaz#2026</v>
      </c>
      <c r="B7997" t="str">
        <f>IFERROR(__xludf.DUMMYFUNCTION("""COMPUTED_VALUE"""),"kaz")</f>
        <v>kaz</v>
      </c>
      <c r="C7997" t="str">
        <f>IFERROR(__xludf.DUMMYFUNCTION("""COMPUTED_VALUE"""),"Kazakhstan")</f>
        <v>Kazakhstan</v>
      </c>
      <c r="D7997">
        <f>IFERROR(__xludf.DUMMYFUNCTION("""COMPUTED_VALUE"""),2026.0)</f>
        <v>2026</v>
      </c>
      <c r="E7997">
        <f>IFERROR(__xludf.DUMMYFUNCTION("""COMPUTED_VALUE"""),1.9757087E7)</f>
        <v>19757087</v>
      </c>
    </row>
    <row r="7998">
      <c r="A7998" t="str">
        <f t="shared" si="1"/>
        <v>kaz#2027</v>
      </c>
      <c r="B7998" t="str">
        <f>IFERROR(__xludf.DUMMYFUNCTION("""COMPUTED_VALUE"""),"kaz")</f>
        <v>kaz</v>
      </c>
      <c r="C7998" t="str">
        <f>IFERROR(__xludf.DUMMYFUNCTION("""COMPUTED_VALUE"""),"Kazakhstan")</f>
        <v>Kazakhstan</v>
      </c>
      <c r="D7998">
        <f>IFERROR(__xludf.DUMMYFUNCTION("""COMPUTED_VALUE"""),2027.0)</f>
        <v>2027</v>
      </c>
      <c r="E7998">
        <f>IFERROR(__xludf.DUMMYFUNCTION("""COMPUTED_VALUE"""),1.9898462E7)</f>
        <v>19898462</v>
      </c>
    </row>
    <row r="7999">
      <c r="A7999" t="str">
        <f t="shared" si="1"/>
        <v>kaz#2028</v>
      </c>
      <c r="B7999" t="str">
        <f>IFERROR(__xludf.DUMMYFUNCTION("""COMPUTED_VALUE"""),"kaz")</f>
        <v>kaz</v>
      </c>
      <c r="C7999" t="str">
        <f>IFERROR(__xludf.DUMMYFUNCTION("""COMPUTED_VALUE"""),"Kazakhstan")</f>
        <v>Kazakhstan</v>
      </c>
      <c r="D7999">
        <f>IFERROR(__xludf.DUMMYFUNCTION("""COMPUTED_VALUE"""),2028.0)</f>
        <v>2028</v>
      </c>
      <c r="E7999">
        <f>IFERROR(__xludf.DUMMYFUNCTION("""COMPUTED_VALUE"""),2.0035454E7)</f>
        <v>20035454</v>
      </c>
    </row>
    <row r="8000">
      <c r="A8000" t="str">
        <f t="shared" si="1"/>
        <v>kaz#2029</v>
      </c>
      <c r="B8000" t="str">
        <f>IFERROR(__xludf.DUMMYFUNCTION("""COMPUTED_VALUE"""),"kaz")</f>
        <v>kaz</v>
      </c>
      <c r="C8000" t="str">
        <f>IFERROR(__xludf.DUMMYFUNCTION("""COMPUTED_VALUE"""),"Kazakhstan")</f>
        <v>Kazakhstan</v>
      </c>
      <c r="D8000">
        <f>IFERROR(__xludf.DUMMYFUNCTION("""COMPUTED_VALUE"""),2029.0)</f>
        <v>2029</v>
      </c>
      <c r="E8000">
        <f>IFERROR(__xludf.DUMMYFUNCTION("""COMPUTED_VALUE"""),2.0169369E7)</f>
        <v>20169369</v>
      </c>
    </row>
    <row r="8001">
      <c r="A8001" t="str">
        <f t="shared" si="1"/>
        <v>kaz#2030</v>
      </c>
      <c r="B8001" t="str">
        <f>IFERROR(__xludf.DUMMYFUNCTION("""COMPUTED_VALUE"""),"kaz")</f>
        <v>kaz</v>
      </c>
      <c r="C8001" t="str">
        <f>IFERROR(__xludf.DUMMYFUNCTION("""COMPUTED_VALUE"""),"Kazakhstan")</f>
        <v>Kazakhstan</v>
      </c>
      <c r="D8001">
        <f>IFERROR(__xludf.DUMMYFUNCTION("""COMPUTED_VALUE"""),2030.0)</f>
        <v>2030</v>
      </c>
      <c r="E8001">
        <f>IFERROR(__xludf.DUMMYFUNCTION("""COMPUTED_VALUE"""),2.0301322E7)</f>
        <v>20301322</v>
      </c>
    </row>
    <row r="8002">
      <c r="A8002" t="str">
        <f t="shared" si="1"/>
        <v>kaz#2031</v>
      </c>
      <c r="B8002" t="str">
        <f>IFERROR(__xludf.DUMMYFUNCTION("""COMPUTED_VALUE"""),"kaz")</f>
        <v>kaz</v>
      </c>
      <c r="C8002" t="str">
        <f>IFERROR(__xludf.DUMMYFUNCTION("""COMPUTED_VALUE"""),"Kazakhstan")</f>
        <v>Kazakhstan</v>
      </c>
      <c r="D8002">
        <f>IFERROR(__xludf.DUMMYFUNCTION("""COMPUTED_VALUE"""),2031.0)</f>
        <v>2031</v>
      </c>
      <c r="E8002">
        <f>IFERROR(__xludf.DUMMYFUNCTION("""COMPUTED_VALUE"""),2.0431842E7)</f>
        <v>20431842</v>
      </c>
    </row>
    <row r="8003">
      <c r="A8003" t="str">
        <f t="shared" si="1"/>
        <v>kaz#2032</v>
      </c>
      <c r="B8003" t="str">
        <f>IFERROR(__xludf.DUMMYFUNCTION("""COMPUTED_VALUE"""),"kaz")</f>
        <v>kaz</v>
      </c>
      <c r="C8003" t="str">
        <f>IFERROR(__xludf.DUMMYFUNCTION("""COMPUTED_VALUE"""),"Kazakhstan")</f>
        <v>Kazakhstan</v>
      </c>
      <c r="D8003">
        <f>IFERROR(__xludf.DUMMYFUNCTION("""COMPUTED_VALUE"""),2032.0)</f>
        <v>2032</v>
      </c>
      <c r="E8003">
        <f>IFERROR(__xludf.DUMMYFUNCTION("""COMPUTED_VALUE"""),2.0561319E7)</f>
        <v>20561319</v>
      </c>
    </row>
    <row r="8004">
      <c r="A8004" t="str">
        <f t="shared" si="1"/>
        <v>kaz#2033</v>
      </c>
      <c r="B8004" t="str">
        <f>IFERROR(__xludf.DUMMYFUNCTION("""COMPUTED_VALUE"""),"kaz")</f>
        <v>kaz</v>
      </c>
      <c r="C8004" t="str">
        <f>IFERROR(__xludf.DUMMYFUNCTION("""COMPUTED_VALUE"""),"Kazakhstan")</f>
        <v>Kazakhstan</v>
      </c>
      <c r="D8004">
        <f>IFERROR(__xludf.DUMMYFUNCTION("""COMPUTED_VALUE"""),2033.0)</f>
        <v>2033</v>
      </c>
      <c r="E8004">
        <f>IFERROR(__xludf.DUMMYFUNCTION("""COMPUTED_VALUE"""),2.0690459E7)</f>
        <v>20690459</v>
      </c>
    </row>
    <row r="8005">
      <c r="A8005" t="str">
        <f t="shared" si="1"/>
        <v>kaz#2034</v>
      </c>
      <c r="B8005" t="str">
        <f>IFERROR(__xludf.DUMMYFUNCTION("""COMPUTED_VALUE"""),"kaz")</f>
        <v>kaz</v>
      </c>
      <c r="C8005" t="str">
        <f>IFERROR(__xludf.DUMMYFUNCTION("""COMPUTED_VALUE"""),"Kazakhstan")</f>
        <v>Kazakhstan</v>
      </c>
      <c r="D8005">
        <f>IFERROR(__xludf.DUMMYFUNCTION("""COMPUTED_VALUE"""),2034.0)</f>
        <v>2034</v>
      </c>
      <c r="E8005">
        <f>IFERROR(__xludf.DUMMYFUNCTION("""COMPUTED_VALUE"""),2.0819957E7)</f>
        <v>20819957</v>
      </c>
    </row>
    <row r="8006">
      <c r="A8006" t="str">
        <f t="shared" si="1"/>
        <v>kaz#2035</v>
      </c>
      <c r="B8006" t="str">
        <f>IFERROR(__xludf.DUMMYFUNCTION("""COMPUTED_VALUE"""),"kaz")</f>
        <v>kaz</v>
      </c>
      <c r="C8006" t="str">
        <f>IFERROR(__xludf.DUMMYFUNCTION("""COMPUTED_VALUE"""),"Kazakhstan")</f>
        <v>Kazakhstan</v>
      </c>
      <c r="D8006">
        <f>IFERROR(__xludf.DUMMYFUNCTION("""COMPUTED_VALUE"""),2035.0)</f>
        <v>2035</v>
      </c>
      <c r="E8006">
        <f>IFERROR(__xludf.DUMMYFUNCTION("""COMPUTED_VALUE"""),2.095036E7)</f>
        <v>20950360</v>
      </c>
    </row>
    <row r="8007">
      <c r="A8007" t="str">
        <f t="shared" si="1"/>
        <v>kaz#2036</v>
      </c>
      <c r="B8007" t="str">
        <f>IFERROR(__xludf.DUMMYFUNCTION("""COMPUTED_VALUE"""),"kaz")</f>
        <v>kaz</v>
      </c>
      <c r="C8007" t="str">
        <f>IFERROR(__xludf.DUMMYFUNCTION("""COMPUTED_VALUE"""),"Kazakhstan")</f>
        <v>Kazakhstan</v>
      </c>
      <c r="D8007">
        <f>IFERROR(__xludf.DUMMYFUNCTION("""COMPUTED_VALUE"""),2036.0)</f>
        <v>2036</v>
      </c>
      <c r="E8007">
        <f>IFERROR(__xludf.DUMMYFUNCTION("""COMPUTED_VALUE"""),2.1081969E7)</f>
        <v>21081969</v>
      </c>
    </row>
    <row r="8008">
      <c r="A8008" t="str">
        <f t="shared" si="1"/>
        <v>kaz#2037</v>
      </c>
      <c r="B8008" t="str">
        <f>IFERROR(__xludf.DUMMYFUNCTION("""COMPUTED_VALUE"""),"kaz")</f>
        <v>kaz</v>
      </c>
      <c r="C8008" t="str">
        <f>IFERROR(__xludf.DUMMYFUNCTION("""COMPUTED_VALUE"""),"Kazakhstan")</f>
        <v>Kazakhstan</v>
      </c>
      <c r="D8008">
        <f>IFERROR(__xludf.DUMMYFUNCTION("""COMPUTED_VALUE"""),2037.0)</f>
        <v>2037</v>
      </c>
      <c r="E8008">
        <f>IFERROR(__xludf.DUMMYFUNCTION("""COMPUTED_VALUE"""),2.1214885E7)</f>
        <v>21214885</v>
      </c>
    </row>
    <row r="8009">
      <c r="A8009" t="str">
        <f t="shared" si="1"/>
        <v>kaz#2038</v>
      </c>
      <c r="B8009" t="str">
        <f>IFERROR(__xludf.DUMMYFUNCTION("""COMPUTED_VALUE"""),"kaz")</f>
        <v>kaz</v>
      </c>
      <c r="C8009" t="str">
        <f>IFERROR(__xludf.DUMMYFUNCTION("""COMPUTED_VALUE"""),"Kazakhstan")</f>
        <v>Kazakhstan</v>
      </c>
      <c r="D8009">
        <f>IFERROR(__xludf.DUMMYFUNCTION("""COMPUTED_VALUE"""),2038.0)</f>
        <v>2038</v>
      </c>
      <c r="E8009">
        <f>IFERROR(__xludf.DUMMYFUNCTION("""COMPUTED_VALUE"""),2.1349154E7)</f>
        <v>21349154</v>
      </c>
    </row>
    <row r="8010">
      <c r="A8010" t="str">
        <f t="shared" si="1"/>
        <v>kaz#2039</v>
      </c>
      <c r="B8010" t="str">
        <f>IFERROR(__xludf.DUMMYFUNCTION("""COMPUTED_VALUE"""),"kaz")</f>
        <v>kaz</v>
      </c>
      <c r="C8010" t="str">
        <f>IFERROR(__xludf.DUMMYFUNCTION("""COMPUTED_VALUE"""),"Kazakhstan")</f>
        <v>Kazakhstan</v>
      </c>
      <c r="D8010">
        <f>IFERROR(__xludf.DUMMYFUNCTION("""COMPUTED_VALUE"""),2039.0)</f>
        <v>2039</v>
      </c>
      <c r="E8010">
        <f>IFERROR(__xludf.DUMMYFUNCTION("""COMPUTED_VALUE"""),2.1484634E7)</f>
        <v>21484634</v>
      </c>
    </row>
    <row r="8011">
      <c r="A8011" t="str">
        <f t="shared" si="1"/>
        <v>kaz#2040</v>
      </c>
      <c r="B8011" t="str">
        <f>IFERROR(__xludf.DUMMYFUNCTION("""COMPUTED_VALUE"""),"kaz")</f>
        <v>kaz</v>
      </c>
      <c r="C8011" t="str">
        <f>IFERROR(__xludf.DUMMYFUNCTION("""COMPUTED_VALUE"""),"Kazakhstan")</f>
        <v>Kazakhstan</v>
      </c>
      <c r="D8011">
        <f>IFERROR(__xludf.DUMMYFUNCTION("""COMPUTED_VALUE"""),2040.0)</f>
        <v>2040</v>
      </c>
      <c r="E8011">
        <f>IFERROR(__xludf.DUMMYFUNCTION("""COMPUTED_VALUE"""),2.1621166E7)</f>
        <v>21621166</v>
      </c>
    </row>
    <row r="8012">
      <c r="A8012" t="str">
        <f t="shared" si="1"/>
        <v>ken#1950</v>
      </c>
      <c r="B8012" t="str">
        <f>IFERROR(__xludf.DUMMYFUNCTION("""COMPUTED_VALUE"""),"ken")</f>
        <v>ken</v>
      </c>
      <c r="C8012" t="str">
        <f>IFERROR(__xludf.DUMMYFUNCTION("""COMPUTED_VALUE"""),"Kenya")</f>
        <v>Kenya</v>
      </c>
      <c r="D8012">
        <f>IFERROR(__xludf.DUMMYFUNCTION("""COMPUTED_VALUE"""),1950.0)</f>
        <v>1950</v>
      </c>
      <c r="E8012">
        <f>IFERROR(__xludf.DUMMYFUNCTION("""COMPUTED_VALUE"""),6076758.0)</f>
        <v>6076758</v>
      </c>
    </row>
    <row r="8013">
      <c r="A8013" t="str">
        <f t="shared" si="1"/>
        <v>ken#1951</v>
      </c>
      <c r="B8013" t="str">
        <f>IFERROR(__xludf.DUMMYFUNCTION("""COMPUTED_VALUE"""),"ken")</f>
        <v>ken</v>
      </c>
      <c r="C8013" t="str">
        <f>IFERROR(__xludf.DUMMYFUNCTION("""COMPUTED_VALUE"""),"Kenya")</f>
        <v>Kenya</v>
      </c>
      <c r="D8013">
        <f>IFERROR(__xludf.DUMMYFUNCTION("""COMPUTED_VALUE"""),1951.0)</f>
        <v>1951</v>
      </c>
      <c r="E8013">
        <f>IFERROR(__xludf.DUMMYFUNCTION("""COMPUTED_VALUE"""),6240163.0)</f>
        <v>6240163</v>
      </c>
    </row>
    <row r="8014">
      <c r="A8014" t="str">
        <f t="shared" si="1"/>
        <v>ken#1952</v>
      </c>
      <c r="B8014" t="str">
        <f>IFERROR(__xludf.DUMMYFUNCTION("""COMPUTED_VALUE"""),"ken")</f>
        <v>ken</v>
      </c>
      <c r="C8014" t="str">
        <f>IFERROR(__xludf.DUMMYFUNCTION("""COMPUTED_VALUE"""),"Kenya")</f>
        <v>Kenya</v>
      </c>
      <c r="D8014">
        <f>IFERROR(__xludf.DUMMYFUNCTION("""COMPUTED_VALUE"""),1952.0)</f>
        <v>1952</v>
      </c>
      <c r="E8014">
        <f>IFERROR(__xludf.DUMMYFUNCTION("""COMPUTED_VALUE"""),6412363.0)</f>
        <v>6412363</v>
      </c>
    </row>
    <row r="8015">
      <c r="A8015" t="str">
        <f t="shared" si="1"/>
        <v>ken#1953</v>
      </c>
      <c r="B8015" t="str">
        <f>IFERROR(__xludf.DUMMYFUNCTION("""COMPUTED_VALUE"""),"ken")</f>
        <v>ken</v>
      </c>
      <c r="C8015" t="str">
        <f>IFERROR(__xludf.DUMMYFUNCTION("""COMPUTED_VALUE"""),"Kenya")</f>
        <v>Kenya</v>
      </c>
      <c r="D8015">
        <f>IFERROR(__xludf.DUMMYFUNCTION("""COMPUTED_VALUE"""),1953.0)</f>
        <v>1953</v>
      </c>
      <c r="E8015">
        <f>IFERROR(__xludf.DUMMYFUNCTION("""COMPUTED_VALUE"""),6593109.0)</f>
        <v>6593109</v>
      </c>
    </row>
    <row r="8016">
      <c r="A8016" t="str">
        <f t="shared" si="1"/>
        <v>ken#1954</v>
      </c>
      <c r="B8016" t="str">
        <f>IFERROR(__xludf.DUMMYFUNCTION("""COMPUTED_VALUE"""),"ken")</f>
        <v>ken</v>
      </c>
      <c r="C8016" t="str">
        <f>IFERROR(__xludf.DUMMYFUNCTION("""COMPUTED_VALUE"""),"Kenya")</f>
        <v>Kenya</v>
      </c>
      <c r="D8016">
        <f>IFERROR(__xludf.DUMMYFUNCTION("""COMPUTED_VALUE"""),1954.0)</f>
        <v>1954</v>
      </c>
      <c r="E8016">
        <f>IFERROR(__xludf.DUMMYFUNCTION("""COMPUTED_VALUE"""),6782287.0)</f>
        <v>6782287</v>
      </c>
    </row>
    <row r="8017">
      <c r="A8017" t="str">
        <f t="shared" si="1"/>
        <v>ken#1955</v>
      </c>
      <c r="B8017" t="str">
        <f>IFERROR(__xludf.DUMMYFUNCTION("""COMPUTED_VALUE"""),"ken")</f>
        <v>ken</v>
      </c>
      <c r="C8017" t="str">
        <f>IFERROR(__xludf.DUMMYFUNCTION("""COMPUTED_VALUE"""),"Kenya")</f>
        <v>Kenya</v>
      </c>
      <c r="D8017">
        <f>IFERROR(__xludf.DUMMYFUNCTION("""COMPUTED_VALUE"""),1955.0)</f>
        <v>1955</v>
      </c>
      <c r="E8017">
        <f>IFERROR(__xludf.DUMMYFUNCTION("""COMPUTED_VALUE"""),6979931.0)</f>
        <v>6979931</v>
      </c>
    </row>
    <row r="8018">
      <c r="A8018" t="str">
        <f t="shared" si="1"/>
        <v>ken#1956</v>
      </c>
      <c r="B8018" t="str">
        <f>IFERROR(__xludf.DUMMYFUNCTION("""COMPUTED_VALUE"""),"ken")</f>
        <v>ken</v>
      </c>
      <c r="C8018" t="str">
        <f>IFERROR(__xludf.DUMMYFUNCTION("""COMPUTED_VALUE"""),"Kenya")</f>
        <v>Kenya</v>
      </c>
      <c r="D8018">
        <f>IFERROR(__xludf.DUMMYFUNCTION("""COMPUTED_VALUE"""),1956.0)</f>
        <v>1956</v>
      </c>
      <c r="E8018">
        <f>IFERROR(__xludf.DUMMYFUNCTION("""COMPUTED_VALUE"""),7186211.0)</f>
        <v>7186211</v>
      </c>
    </row>
    <row r="8019">
      <c r="A8019" t="str">
        <f t="shared" si="1"/>
        <v>ken#1957</v>
      </c>
      <c r="B8019" t="str">
        <f>IFERROR(__xludf.DUMMYFUNCTION("""COMPUTED_VALUE"""),"ken")</f>
        <v>ken</v>
      </c>
      <c r="C8019" t="str">
        <f>IFERROR(__xludf.DUMMYFUNCTION("""COMPUTED_VALUE"""),"Kenya")</f>
        <v>Kenya</v>
      </c>
      <c r="D8019">
        <f>IFERROR(__xludf.DUMMYFUNCTION("""COMPUTED_VALUE"""),1957.0)</f>
        <v>1957</v>
      </c>
      <c r="E8019">
        <f>IFERROR(__xludf.DUMMYFUNCTION("""COMPUTED_VALUE"""),7401421.0)</f>
        <v>7401421</v>
      </c>
    </row>
    <row r="8020">
      <c r="A8020" t="str">
        <f t="shared" si="1"/>
        <v>ken#1958</v>
      </c>
      <c r="B8020" t="str">
        <f>IFERROR(__xludf.DUMMYFUNCTION("""COMPUTED_VALUE"""),"ken")</f>
        <v>ken</v>
      </c>
      <c r="C8020" t="str">
        <f>IFERROR(__xludf.DUMMYFUNCTION("""COMPUTED_VALUE"""),"Kenya")</f>
        <v>Kenya</v>
      </c>
      <c r="D8020">
        <f>IFERROR(__xludf.DUMMYFUNCTION("""COMPUTED_VALUE"""),1958.0)</f>
        <v>1958</v>
      </c>
      <c r="E8020">
        <f>IFERROR(__xludf.DUMMYFUNCTION("""COMPUTED_VALUE"""),7625995.0)</f>
        <v>7625995</v>
      </c>
    </row>
    <row r="8021">
      <c r="A8021" t="str">
        <f t="shared" si="1"/>
        <v>ken#1959</v>
      </c>
      <c r="B8021" t="str">
        <f>IFERROR(__xludf.DUMMYFUNCTION("""COMPUTED_VALUE"""),"ken")</f>
        <v>ken</v>
      </c>
      <c r="C8021" t="str">
        <f>IFERROR(__xludf.DUMMYFUNCTION("""COMPUTED_VALUE"""),"Kenya")</f>
        <v>Kenya</v>
      </c>
      <c r="D8021">
        <f>IFERROR(__xludf.DUMMYFUNCTION("""COMPUTED_VALUE"""),1959.0)</f>
        <v>1959</v>
      </c>
      <c r="E8021">
        <f>IFERROR(__xludf.DUMMYFUNCTION("""COMPUTED_VALUE"""),7860475.0)</f>
        <v>7860475</v>
      </c>
    </row>
    <row r="8022">
      <c r="A8022" t="str">
        <f t="shared" si="1"/>
        <v>ken#1960</v>
      </c>
      <c r="B8022" t="str">
        <f>IFERROR(__xludf.DUMMYFUNCTION("""COMPUTED_VALUE"""),"ken")</f>
        <v>ken</v>
      </c>
      <c r="C8022" t="str">
        <f>IFERROR(__xludf.DUMMYFUNCTION("""COMPUTED_VALUE"""),"Kenya")</f>
        <v>Kenya</v>
      </c>
      <c r="D8022">
        <f>IFERROR(__xludf.DUMMYFUNCTION("""COMPUTED_VALUE"""),1960.0)</f>
        <v>1960</v>
      </c>
      <c r="E8022">
        <f>IFERROR(__xludf.DUMMYFUNCTION("""COMPUTED_VALUE"""),8105440.0)</f>
        <v>8105440</v>
      </c>
    </row>
    <row r="8023">
      <c r="A8023" t="str">
        <f t="shared" si="1"/>
        <v>ken#1961</v>
      </c>
      <c r="B8023" t="str">
        <f>IFERROR(__xludf.DUMMYFUNCTION("""COMPUTED_VALUE"""),"ken")</f>
        <v>ken</v>
      </c>
      <c r="C8023" t="str">
        <f>IFERROR(__xludf.DUMMYFUNCTION("""COMPUTED_VALUE"""),"Kenya")</f>
        <v>Kenya</v>
      </c>
      <c r="D8023">
        <f>IFERROR(__xludf.DUMMYFUNCTION("""COMPUTED_VALUE"""),1961.0)</f>
        <v>1961</v>
      </c>
      <c r="E8023">
        <f>IFERROR(__xludf.DUMMYFUNCTION("""COMPUTED_VALUE"""),8361441.0)</f>
        <v>8361441</v>
      </c>
    </row>
    <row r="8024">
      <c r="A8024" t="str">
        <f t="shared" si="1"/>
        <v>ken#1962</v>
      </c>
      <c r="B8024" t="str">
        <f>IFERROR(__xludf.DUMMYFUNCTION("""COMPUTED_VALUE"""),"ken")</f>
        <v>ken</v>
      </c>
      <c r="C8024" t="str">
        <f>IFERROR(__xludf.DUMMYFUNCTION("""COMPUTED_VALUE"""),"Kenya")</f>
        <v>Kenya</v>
      </c>
      <c r="D8024">
        <f>IFERROR(__xludf.DUMMYFUNCTION("""COMPUTED_VALUE"""),1962.0)</f>
        <v>1962</v>
      </c>
      <c r="E8024">
        <f>IFERROR(__xludf.DUMMYFUNCTION("""COMPUTED_VALUE"""),8628972.0)</f>
        <v>8628972</v>
      </c>
    </row>
    <row r="8025">
      <c r="A8025" t="str">
        <f t="shared" si="1"/>
        <v>ken#1963</v>
      </c>
      <c r="B8025" t="str">
        <f>IFERROR(__xludf.DUMMYFUNCTION("""COMPUTED_VALUE"""),"ken")</f>
        <v>ken</v>
      </c>
      <c r="C8025" t="str">
        <f>IFERROR(__xludf.DUMMYFUNCTION("""COMPUTED_VALUE"""),"Kenya")</f>
        <v>Kenya</v>
      </c>
      <c r="D8025">
        <f>IFERROR(__xludf.DUMMYFUNCTION("""COMPUTED_VALUE"""),1963.0)</f>
        <v>1963</v>
      </c>
      <c r="E8025">
        <f>IFERROR(__xludf.DUMMYFUNCTION("""COMPUTED_VALUE"""),8908422.0)</f>
        <v>8908422</v>
      </c>
    </row>
    <row r="8026">
      <c r="A8026" t="str">
        <f t="shared" si="1"/>
        <v>ken#1964</v>
      </c>
      <c r="B8026" t="str">
        <f>IFERROR(__xludf.DUMMYFUNCTION("""COMPUTED_VALUE"""),"ken")</f>
        <v>ken</v>
      </c>
      <c r="C8026" t="str">
        <f>IFERROR(__xludf.DUMMYFUNCTION("""COMPUTED_VALUE"""),"Kenya")</f>
        <v>Kenya</v>
      </c>
      <c r="D8026">
        <f>IFERROR(__xludf.DUMMYFUNCTION("""COMPUTED_VALUE"""),1964.0)</f>
        <v>1964</v>
      </c>
      <c r="E8026">
        <f>IFERROR(__xludf.DUMMYFUNCTION("""COMPUTED_VALUE"""),9200157.0)</f>
        <v>9200157</v>
      </c>
    </row>
    <row r="8027">
      <c r="A8027" t="str">
        <f t="shared" si="1"/>
        <v>ken#1965</v>
      </c>
      <c r="B8027" t="str">
        <f>IFERROR(__xludf.DUMMYFUNCTION("""COMPUTED_VALUE"""),"ken")</f>
        <v>ken</v>
      </c>
      <c r="C8027" t="str">
        <f>IFERROR(__xludf.DUMMYFUNCTION("""COMPUTED_VALUE"""),"Kenya")</f>
        <v>Kenya</v>
      </c>
      <c r="D8027">
        <f>IFERROR(__xludf.DUMMYFUNCTION("""COMPUTED_VALUE"""),1965.0)</f>
        <v>1965</v>
      </c>
      <c r="E8027">
        <f>IFERROR(__xludf.DUMMYFUNCTION("""COMPUTED_VALUE"""),9504703.0)</f>
        <v>9504703</v>
      </c>
    </row>
    <row r="8028">
      <c r="A8028" t="str">
        <f t="shared" si="1"/>
        <v>ken#1966</v>
      </c>
      <c r="B8028" t="str">
        <f>IFERROR(__xludf.DUMMYFUNCTION("""COMPUTED_VALUE"""),"ken")</f>
        <v>ken</v>
      </c>
      <c r="C8028" t="str">
        <f>IFERROR(__xludf.DUMMYFUNCTION("""COMPUTED_VALUE"""),"Kenya")</f>
        <v>Kenya</v>
      </c>
      <c r="D8028">
        <f>IFERROR(__xludf.DUMMYFUNCTION("""COMPUTED_VALUE"""),1966.0)</f>
        <v>1966</v>
      </c>
      <c r="E8028">
        <f>IFERROR(__xludf.DUMMYFUNCTION("""COMPUTED_VALUE"""),9822499.0)</f>
        <v>9822499</v>
      </c>
    </row>
    <row r="8029">
      <c r="A8029" t="str">
        <f t="shared" si="1"/>
        <v>ken#1967</v>
      </c>
      <c r="B8029" t="str">
        <f>IFERROR(__xludf.DUMMYFUNCTION("""COMPUTED_VALUE"""),"ken")</f>
        <v>ken</v>
      </c>
      <c r="C8029" t="str">
        <f>IFERROR(__xludf.DUMMYFUNCTION("""COMPUTED_VALUE"""),"Kenya")</f>
        <v>Kenya</v>
      </c>
      <c r="D8029">
        <f>IFERROR(__xludf.DUMMYFUNCTION("""COMPUTED_VALUE"""),1967.0)</f>
        <v>1967</v>
      </c>
      <c r="E8029">
        <f>IFERROR(__xludf.DUMMYFUNCTION("""COMPUTED_VALUE"""),1.0154484E7)</f>
        <v>10154484</v>
      </c>
    </row>
    <row r="8030">
      <c r="A8030" t="str">
        <f t="shared" si="1"/>
        <v>ken#1968</v>
      </c>
      <c r="B8030" t="str">
        <f>IFERROR(__xludf.DUMMYFUNCTION("""COMPUTED_VALUE"""),"ken")</f>
        <v>ken</v>
      </c>
      <c r="C8030" t="str">
        <f>IFERROR(__xludf.DUMMYFUNCTION("""COMPUTED_VALUE"""),"Kenya")</f>
        <v>Kenya</v>
      </c>
      <c r="D8030">
        <f>IFERROR(__xludf.DUMMYFUNCTION("""COMPUTED_VALUE"""),1968.0)</f>
        <v>1968</v>
      </c>
      <c r="E8030">
        <f>IFERROR(__xludf.DUMMYFUNCTION("""COMPUTED_VALUE"""),1.0502245E7)</f>
        <v>10502245</v>
      </c>
    </row>
    <row r="8031">
      <c r="A8031" t="str">
        <f t="shared" si="1"/>
        <v>ken#1969</v>
      </c>
      <c r="B8031" t="str">
        <f>IFERROR(__xludf.DUMMYFUNCTION("""COMPUTED_VALUE"""),"ken")</f>
        <v>ken</v>
      </c>
      <c r="C8031" t="str">
        <f>IFERROR(__xludf.DUMMYFUNCTION("""COMPUTED_VALUE"""),"Kenya")</f>
        <v>Kenya</v>
      </c>
      <c r="D8031">
        <f>IFERROR(__xludf.DUMMYFUNCTION("""COMPUTED_VALUE"""),1969.0)</f>
        <v>1969</v>
      </c>
      <c r="E8031">
        <f>IFERROR(__xludf.DUMMYFUNCTION("""COMPUTED_VALUE"""),1.0867716E7)</f>
        <v>10867716</v>
      </c>
    </row>
    <row r="8032">
      <c r="A8032" t="str">
        <f t="shared" si="1"/>
        <v>ken#1970</v>
      </c>
      <c r="B8032" t="str">
        <f>IFERROR(__xludf.DUMMYFUNCTION("""COMPUTED_VALUE"""),"ken")</f>
        <v>ken</v>
      </c>
      <c r="C8032" t="str">
        <f>IFERROR(__xludf.DUMMYFUNCTION("""COMPUTED_VALUE"""),"Kenya")</f>
        <v>Kenya</v>
      </c>
      <c r="D8032">
        <f>IFERROR(__xludf.DUMMYFUNCTION("""COMPUTED_VALUE"""),1970.0)</f>
        <v>1970</v>
      </c>
      <c r="E8032">
        <f>IFERROR(__xludf.DUMMYFUNCTION("""COMPUTED_VALUE"""),1.1252492E7)</f>
        <v>11252492</v>
      </c>
    </row>
    <row r="8033">
      <c r="A8033" t="str">
        <f t="shared" si="1"/>
        <v>ken#1971</v>
      </c>
      <c r="B8033" t="str">
        <f>IFERROR(__xludf.DUMMYFUNCTION("""COMPUTED_VALUE"""),"ken")</f>
        <v>ken</v>
      </c>
      <c r="C8033" t="str">
        <f>IFERROR(__xludf.DUMMYFUNCTION("""COMPUTED_VALUE"""),"Kenya")</f>
        <v>Kenya</v>
      </c>
      <c r="D8033">
        <f>IFERROR(__xludf.DUMMYFUNCTION("""COMPUTED_VALUE"""),1971.0)</f>
        <v>1971</v>
      </c>
      <c r="E8033">
        <f>IFERROR(__xludf.DUMMYFUNCTION("""COMPUTED_VALUE"""),1.1657514E7)</f>
        <v>11657514</v>
      </c>
    </row>
    <row r="8034">
      <c r="A8034" t="str">
        <f t="shared" si="1"/>
        <v>ken#1972</v>
      </c>
      <c r="B8034" t="str">
        <f>IFERROR(__xludf.DUMMYFUNCTION("""COMPUTED_VALUE"""),"ken")</f>
        <v>ken</v>
      </c>
      <c r="C8034" t="str">
        <f>IFERROR(__xludf.DUMMYFUNCTION("""COMPUTED_VALUE"""),"Kenya")</f>
        <v>Kenya</v>
      </c>
      <c r="D8034">
        <f>IFERROR(__xludf.DUMMYFUNCTION("""COMPUTED_VALUE"""),1972.0)</f>
        <v>1972</v>
      </c>
      <c r="E8034">
        <f>IFERROR(__xludf.DUMMYFUNCTION("""COMPUTED_VALUE"""),1.2083188E7)</f>
        <v>12083188</v>
      </c>
    </row>
    <row r="8035">
      <c r="A8035" t="str">
        <f t="shared" si="1"/>
        <v>ken#1973</v>
      </c>
      <c r="B8035" t="str">
        <f>IFERROR(__xludf.DUMMYFUNCTION("""COMPUTED_VALUE"""),"ken")</f>
        <v>ken</v>
      </c>
      <c r="C8035" t="str">
        <f>IFERROR(__xludf.DUMMYFUNCTION("""COMPUTED_VALUE"""),"Kenya")</f>
        <v>Kenya</v>
      </c>
      <c r="D8035">
        <f>IFERROR(__xludf.DUMMYFUNCTION("""COMPUTED_VALUE"""),1973.0)</f>
        <v>1973</v>
      </c>
      <c r="E8035">
        <f>IFERROR(__xludf.DUMMYFUNCTION("""COMPUTED_VALUE"""),1.2529852E7)</f>
        <v>12529852</v>
      </c>
    </row>
    <row r="8036">
      <c r="A8036" t="str">
        <f t="shared" si="1"/>
        <v>ken#1974</v>
      </c>
      <c r="B8036" t="str">
        <f>IFERROR(__xludf.DUMMYFUNCTION("""COMPUTED_VALUE"""),"ken")</f>
        <v>ken</v>
      </c>
      <c r="C8036" t="str">
        <f>IFERROR(__xludf.DUMMYFUNCTION("""COMPUTED_VALUE"""),"Kenya")</f>
        <v>Kenya</v>
      </c>
      <c r="D8036">
        <f>IFERROR(__xludf.DUMMYFUNCTION("""COMPUTED_VALUE"""),1974.0)</f>
        <v>1974</v>
      </c>
      <c r="E8036">
        <f>IFERROR(__xludf.DUMMYFUNCTION("""COMPUTED_VALUE"""),1.2997595E7)</f>
        <v>12997595</v>
      </c>
    </row>
    <row r="8037">
      <c r="A8037" t="str">
        <f t="shared" si="1"/>
        <v>ken#1975</v>
      </c>
      <c r="B8037" t="str">
        <f>IFERROR(__xludf.DUMMYFUNCTION("""COMPUTED_VALUE"""),"ken")</f>
        <v>ken</v>
      </c>
      <c r="C8037" t="str">
        <f>IFERROR(__xludf.DUMMYFUNCTION("""COMPUTED_VALUE"""),"Kenya")</f>
        <v>Kenya</v>
      </c>
      <c r="D8037">
        <f>IFERROR(__xludf.DUMMYFUNCTION("""COMPUTED_VALUE"""),1975.0)</f>
        <v>1975</v>
      </c>
      <c r="E8037">
        <f>IFERROR(__xludf.DUMMYFUNCTION("""COMPUTED_VALUE"""),1.3486629E7)</f>
        <v>13486629</v>
      </c>
    </row>
    <row r="8038">
      <c r="A8038" t="str">
        <f t="shared" si="1"/>
        <v>ken#1976</v>
      </c>
      <c r="B8038" t="str">
        <f>IFERROR(__xludf.DUMMYFUNCTION("""COMPUTED_VALUE"""),"ken")</f>
        <v>ken</v>
      </c>
      <c r="C8038" t="str">
        <f>IFERROR(__xludf.DUMMYFUNCTION("""COMPUTED_VALUE"""),"Kenya")</f>
        <v>Kenya</v>
      </c>
      <c r="D8038">
        <f>IFERROR(__xludf.DUMMYFUNCTION("""COMPUTED_VALUE"""),1976.0)</f>
        <v>1976</v>
      </c>
      <c r="E8038">
        <f>IFERROR(__xludf.DUMMYFUNCTION("""COMPUTED_VALUE"""),1.3996704E7)</f>
        <v>13996704</v>
      </c>
    </row>
    <row r="8039">
      <c r="A8039" t="str">
        <f t="shared" si="1"/>
        <v>ken#1977</v>
      </c>
      <c r="B8039" t="str">
        <f>IFERROR(__xludf.DUMMYFUNCTION("""COMPUTED_VALUE"""),"ken")</f>
        <v>ken</v>
      </c>
      <c r="C8039" t="str">
        <f>IFERROR(__xludf.DUMMYFUNCTION("""COMPUTED_VALUE"""),"Kenya")</f>
        <v>Kenya</v>
      </c>
      <c r="D8039">
        <f>IFERROR(__xludf.DUMMYFUNCTION("""COMPUTED_VALUE"""),1977.0)</f>
        <v>1977</v>
      </c>
      <c r="E8039">
        <f>IFERROR(__xludf.DUMMYFUNCTION("""COMPUTED_VALUE"""),1.4528293E7)</f>
        <v>14528293</v>
      </c>
    </row>
    <row r="8040">
      <c r="A8040" t="str">
        <f t="shared" si="1"/>
        <v>ken#1978</v>
      </c>
      <c r="B8040" t="str">
        <f>IFERROR(__xludf.DUMMYFUNCTION("""COMPUTED_VALUE"""),"ken")</f>
        <v>ken</v>
      </c>
      <c r="C8040" t="str">
        <f>IFERROR(__xludf.DUMMYFUNCTION("""COMPUTED_VALUE"""),"Kenya")</f>
        <v>Kenya</v>
      </c>
      <c r="D8040">
        <f>IFERROR(__xludf.DUMMYFUNCTION("""COMPUTED_VALUE"""),1978.0)</f>
        <v>1978</v>
      </c>
      <c r="E8040">
        <f>IFERROR(__xludf.DUMMYFUNCTION("""COMPUTED_VALUE"""),1.5082994E7)</f>
        <v>15082994</v>
      </c>
    </row>
    <row r="8041">
      <c r="A8041" t="str">
        <f t="shared" si="1"/>
        <v>ken#1979</v>
      </c>
      <c r="B8041" t="str">
        <f>IFERROR(__xludf.DUMMYFUNCTION("""COMPUTED_VALUE"""),"ken")</f>
        <v>ken</v>
      </c>
      <c r="C8041" t="str">
        <f>IFERROR(__xludf.DUMMYFUNCTION("""COMPUTED_VALUE"""),"Kenya")</f>
        <v>Kenya</v>
      </c>
      <c r="D8041">
        <f>IFERROR(__xludf.DUMMYFUNCTION("""COMPUTED_VALUE"""),1979.0)</f>
        <v>1979</v>
      </c>
      <c r="E8041">
        <f>IFERROR(__xludf.DUMMYFUNCTION("""COMPUTED_VALUE"""),1.5662852E7)</f>
        <v>15662852</v>
      </c>
    </row>
    <row r="8042">
      <c r="A8042" t="str">
        <f t="shared" si="1"/>
        <v>ken#1980</v>
      </c>
      <c r="B8042" t="str">
        <f>IFERROR(__xludf.DUMMYFUNCTION("""COMPUTED_VALUE"""),"ken")</f>
        <v>ken</v>
      </c>
      <c r="C8042" t="str">
        <f>IFERROR(__xludf.DUMMYFUNCTION("""COMPUTED_VALUE"""),"Kenya")</f>
        <v>Kenya</v>
      </c>
      <c r="D8042">
        <f>IFERROR(__xludf.DUMMYFUNCTION("""COMPUTED_VALUE"""),1980.0)</f>
        <v>1980</v>
      </c>
      <c r="E8042">
        <f>IFERROR(__xludf.DUMMYFUNCTION("""COMPUTED_VALUE"""),1.626899E7)</f>
        <v>16268990</v>
      </c>
    </row>
    <row r="8043">
      <c r="A8043" t="str">
        <f t="shared" si="1"/>
        <v>ken#1981</v>
      </c>
      <c r="B8043" t="str">
        <f>IFERROR(__xludf.DUMMYFUNCTION("""COMPUTED_VALUE"""),"ken")</f>
        <v>ken</v>
      </c>
      <c r="C8043" t="str">
        <f>IFERROR(__xludf.DUMMYFUNCTION("""COMPUTED_VALUE"""),"Kenya")</f>
        <v>Kenya</v>
      </c>
      <c r="D8043">
        <f>IFERROR(__xludf.DUMMYFUNCTION("""COMPUTED_VALUE"""),1981.0)</f>
        <v>1981</v>
      </c>
      <c r="E8043">
        <f>IFERROR(__xludf.DUMMYFUNCTION("""COMPUTED_VALUE"""),1.6901677E7)</f>
        <v>16901677</v>
      </c>
    </row>
    <row r="8044">
      <c r="A8044" t="str">
        <f t="shared" si="1"/>
        <v>ken#1982</v>
      </c>
      <c r="B8044" t="str">
        <f>IFERROR(__xludf.DUMMYFUNCTION("""COMPUTED_VALUE"""),"ken")</f>
        <v>ken</v>
      </c>
      <c r="C8044" t="str">
        <f>IFERROR(__xludf.DUMMYFUNCTION("""COMPUTED_VALUE"""),"Kenya")</f>
        <v>Kenya</v>
      </c>
      <c r="D8044">
        <f>IFERROR(__xludf.DUMMYFUNCTION("""COMPUTED_VALUE"""),1982.0)</f>
        <v>1982</v>
      </c>
      <c r="E8044">
        <f>IFERROR(__xludf.DUMMYFUNCTION("""COMPUTED_VALUE"""),1.755943E7)</f>
        <v>17559430</v>
      </c>
    </row>
    <row r="8045">
      <c r="A8045" t="str">
        <f t="shared" si="1"/>
        <v>ken#1983</v>
      </c>
      <c r="B8045" t="str">
        <f>IFERROR(__xludf.DUMMYFUNCTION("""COMPUTED_VALUE"""),"ken")</f>
        <v>ken</v>
      </c>
      <c r="C8045" t="str">
        <f>IFERROR(__xludf.DUMMYFUNCTION("""COMPUTED_VALUE"""),"Kenya")</f>
        <v>Kenya</v>
      </c>
      <c r="D8045">
        <f>IFERROR(__xludf.DUMMYFUNCTION("""COMPUTED_VALUE"""),1983.0)</f>
        <v>1983</v>
      </c>
      <c r="E8045">
        <f>IFERROR(__xludf.DUMMYFUNCTION("""COMPUTED_VALUE"""),1.8239404E7)</f>
        <v>18239404</v>
      </c>
    </row>
    <row r="8046">
      <c r="A8046" t="str">
        <f t="shared" si="1"/>
        <v>ken#1984</v>
      </c>
      <c r="B8046" t="str">
        <f>IFERROR(__xludf.DUMMYFUNCTION("""COMPUTED_VALUE"""),"ken")</f>
        <v>ken</v>
      </c>
      <c r="C8046" t="str">
        <f>IFERROR(__xludf.DUMMYFUNCTION("""COMPUTED_VALUE"""),"Kenya")</f>
        <v>Kenya</v>
      </c>
      <c r="D8046">
        <f>IFERROR(__xludf.DUMMYFUNCTION("""COMPUTED_VALUE"""),1984.0)</f>
        <v>1984</v>
      </c>
      <c r="E8046">
        <f>IFERROR(__xludf.DUMMYFUNCTION("""COMPUTED_VALUE"""),1.8937738E7)</f>
        <v>18937738</v>
      </c>
    </row>
    <row r="8047">
      <c r="A8047" t="str">
        <f t="shared" si="1"/>
        <v>ken#1985</v>
      </c>
      <c r="B8047" t="str">
        <f>IFERROR(__xludf.DUMMYFUNCTION("""COMPUTED_VALUE"""),"ken")</f>
        <v>ken</v>
      </c>
      <c r="C8047" t="str">
        <f>IFERROR(__xludf.DUMMYFUNCTION("""COMPUTED_VALUE"""),"Kenya")</f>
        <v>Kenya</v>
      </c>
      <c r="D8047">
        <f>IFERROR(__xludf.DUMMYFUNCTION("""COMPUTED_VALUE"""),1985.0)</f>
        <v>1985</v>
      </c>
      <c r="E8047">
        <f>IFERROR(__xludf.DUMMYFUNCTION("""COMPUTED_VALUE"""),1.9651225E7)</f>
        <v>19651225</v>
      </c>
    </row>
    <row r="8048">
      <c r="A8048" t="str">
        <f t="shared" si="1"/>
        <v>ken#1986</v>
      </c>
      <c r="B8048" t="str">
        <f>IFERROR(__xludf.DUMMYFUNCTION("""COMPUTED_VALUE"""),"ken")</f>
        <v>ken</v>
      </c>
      <c r="C8048" t="str">
        <f>IFERROR(__xludf.DUMMYFUNCTION("""COMPUTED_VALUE"""),"Kenya")</f>
        <v>Kenya</v>
      </c>
      <c r="D8048">
        <f>IFERROR(__xludf.DUMMYFUNCTION("""COMPUTED_VALUE"""),1986.0)</f>
        <v>1986</v>
      </c>
      <c r="E8048">
        <f>IFERROR(__xludf.DUMMYFUNCTION("""COMPUTED_VALUE"""),2.0378626E7)</f>
        <v>20378626</v>
      </c>
    </row>
    <row r="8049">
      <c r="A8049" t="str">
        <f t="shared" si="1"/>
        <v>ken#1987</v>
      </c>
      <c r="B8049" t="str">
        <f>IFERROR(__xludf.DUMMYFUNCTION("""COMPUTED_VALUE"""),"ken")</f>
        <v>ken</v>
      </c>
      <c r="C8049" t="str">
        <f>IFERROR(__xludf.DUMMYFUNCTION("""COMPUTED_VALUE"""),"Kenya")</f>
        <v>Kenya</v>
      </c>
      <c r="D8049">
        <f>IFERROR(__xludf.DUMMYFUNCTION("""COMPUTED_VALUE"""),1987.0)</f>
        <v>1987</v>
      </c>
      <c r="E8049">
        <f>IFERROR(__xludf.DUMMYFUNCTION("""COMPUTED_VALUE"""),2.1119318E7)</f>
        <v>21119318</v>
      </c>
    </row>
    <row r="8050">
      <c r="A8050" t="str">
        <f t="shared" si="1"/>
        <v>ken#1988</v>
      </c>
      <c r="B8050" t="str">
        <f>IFERROR(__xludf.DUMMYFUNCTION("""COMPUTED_VALUE"""),"ken")</f>
        <v>ken</v>
      </c>
      <c r="C8050" t="str">
        <f>IFERROR(__xludf.DUMMYFUNCTION("""COMPUTED_VALUE"""),"Kenya")</f>
        <v>Kenya</v>
      </c>
      <c r="D8050">
        <f>IFERROR(__xludf.DUMMYFUNCTION("""COMPUTED_VALUE"""),1988.0)</f>
        <v>1988</v>
      </c>
      <c r="E8050">
        <f>IFERROR(__xludf.DUMMYFUNCTION("""COMPUTED_VALUE"""),2.1871442E7)</f>
        <v>21871442</v>
      </c>
    </row>
    <row r="8051">
      <c r="A8051" t="str">
        <f t="shared" si="1"/>
        <v>ken#1989</v>
      </c>
      <c r="B8051" t="str">
        <f>IFERROR(__xludf.DUMMYFUNCTION("""COMPUTED_VALUE"""),"ken")</f>
        <v>ken</v>
      </c>
      <c r="C8051" t="str">
        <f>IFERROR(__xludf.DUMMYFUNCTION("""COMPUTED_VALUE"""),"Kenya")</f>
        <v>Kenya</v>
      </c>
      <c r="D8051">
        <f>IFERROR(__xludf.DUMMYFUNCTION("""COMPUTED_VALUE"""),1989.0)</f>
        <v>1989</v>
      </c>
      <c r="E8051">
        <f>IFERROR(__xludf.DUMMYFUNCTION("""COMPUTED_VALUE"""),2.2633022E7)</f>
        <v>22633022</v>
      </c>
    </row>
    <row r="8052">
      <c r="A8052" t="str">
        <f t="shared" si="1"/>
        <v>ken#1990</v>
      </c>
      <c r="B8052" t="str">
        <f>IFERROR(__xludf.DUMMYFUNCTION("""COMPUTED_VALUE"""),"ken")</f>
        <v>ken</v>
      </c>
      <c r="C8052" t="str">
        <f>IFERROR(__xludf.DUMMYFUNCTION("""COMPUTED_VALUE"""),"Kenya")</f>
        <v>Kenya</v>
      </c>
      <c r="D8052">
        <f>IFERROR(__xludf.DUMMYFUNCTION("""COMPUTED_VALUE"""),1990.0)</f>
        <v>1990</v>
      </c>
      <c r="E8052">
        <f>IFERROR(__xludf.DUMMYFUNCTION("""COMPUTED_VALUE"""),2.3402507E7)</f>
        <v>23402507</v>
      </c>
    </row>
    <row r="8053">
      <c r="A8053" t="str">
        <f t="shared" si="1"/>
        <v>ken#1991</v>
      </c>
      <c r="B8053" t="str">
        <f>IFERROR(__xludf.DUMMYFUNCTION("""COMPUTED_VALUE"""),"ken")</f>
        <v>ken</v>
      </c>
      <c r="C8053" t="str">
        <f>IFERROR(__xludf.DUMMYFUNCTION("""COMPUTED_VALUE"""),"Kenya")</f>
        <v>Kenya</v>
      </c>
      <c r="D8053">
        <f>IFERROR(__xludf.DUMMYFUNCTION("""COMPUTED_VALUE"""),1991.0)</f>
        <v>1991</v>
      </c>
      <c r="E8053">
        <f>IFERROR(__xludf.DUMMYFUNCTION("""COMPUTED_VALUE"""),2.4179598E7)</f>
        <v>24179598</v>
      </c>
    </row>
    <row r="8054">
      <c r="A8054" t="str">
        <f t="shared" si="1"/>
        <v>ken#1992</v>
      </c>
      <c r="B8054" t="str">
        <f>IFERROR(__xludf.DUMMYFUNCTION("""COMPUTED_VALUE"""),"ken")</f>
        <v>ken</v>
      </c>
      <c r="C8054" t="str">
        <f>IFERROR(__xludf.DUMMYFUNCTION("""COMPUTED_VALUE"""),"Kenya")</f>
        <v>Kenya</v>
      </c>
      <c r="D8054">
        <f>IFERROR(__xludf.DUMMYFUNCTION("""COMPUTED_VALUE"""),1992.0)</f>
        <v>1992</v>
      </c>
      <c r="E8054">
        <f>IFERROR(__xludf.DUMMYFUNCTION("""COMPUTED_VALUE"""),2.4963953E7)</f>
        <v>24963953</v>
      </c>
    </row>
    <row r="8055">
      <c r="A8055" t="str">
        <f t="shared" si="1"/>
        <v>ken#1993</v>
      </c>
      <c r="B8055" t="str">
        <f>IFERROR(__xludf.DUMMYFUNCTION("""COMPUTED_VALUE"""),"ken")</f>
        <v>ken</v>
      </c>
      <c r="C8055" t="str">
        <f>IFERROR(__xludf.DUMMYFUNCTION("""COMPUTED_VALUE"""),"Kenya")</f>
        <v>Kenya</v>
      </c>
      <c r="D8055">
        <f>IFERROR(__xludf.DUMMYFUNCTION("""COMPUTED_VALUE"""),1993.0)</f>
        <v>1993</v>
      </c>
      <c r="E8055">
        <f>IFERROR(__xludf.DUMMYFUNCTION("""COMPUTED_VALUE"""),2.5754114E7)</f>
        <v>25754114</v>
      </c>
    </row>
    <row r="8056">
      <c r="A8056" t="str">
        <f t="shared" si="1"/>
        <v>ken#1994</v>
      </c>
      <c r="B8056" t="str">
        <f>IFERROR(__xludf.DUMMYFUNCTION("""COMPUTED_VALUE"""),"ken")</f>
        <v>ken</v>
      </c>
      <c r="C8056" t="str">
        <f>IFERROR(__xludf.DUMMYFUNCTION("""COMPUTED_VALUE"""),"Kenya")</f>
        <v>Kenya</v>
      </c>
      <c r="D8056">
        <f>IFERROR(__xludf.DUMMYFUNCTION("""COMPUTED_VALUE"""),1994.0)</f>
        <v>1994</v>
      </c>
      <c r="E8056">
        <f>IFERROR(__xludf.DUMMYFUNCTION("""COMPUTED_VALUE"""),2.6548486E7)</f>
        <v>26548486</v>
      </c>
    </row>
    <row r="8057">
      <c r="A8057" t="str">
        <f t="shared" si="1"/>
        <v>ken#1995</v>
      </c>
      <c r="B8057" t="str">
        <f>IFERROR(__xludf.DUMMYFUNCTION("""COMPUTED_VALUE"""),"ken")</f>
        <v>ken</v>
      </c>
      <c r="C8057" t="str">
        <f>IFERROR(__xludf.DUMMYFUNCTION("""COMPUTED_VALUE"""),"Kenya")</f>
        <v>Kenya</v>
      </c>
      <c r="D8057">
        <f>IFERROR(__xludf.DUMMYFUNCTION("""COMPUTED_VALUE"""),1995.0)</f>
        <v>1995</v>
      </c>
      <c r="E8057">
        <f>IFERROR(__xludf.DUMMYFUNCTION("""COMPUTED_VALUE"""),2.7346456E7)</f>
        <v>27346456</v>
      </c>
    </row>
    <row r="8058">
      <c r="A8058" t="str">
        <f t="shared" si="1"/>
        <v>ken#1996</v>
      </c>
      <c r="B8058" t="str">
        <f>IFERROR(__xludf.DUMMYFUNCTION("""COMPUTED_VALUE"""),"ken")</f>
        <v>ken</v>
      </c>
      <c r="C8058" t="str">
        <f>IFERROR(__xludf.DUMMYFUNCTION("""COMPUTED_VALUE"""),"Kenya")</f>
        <v>Kenya</v>
      </c>
      <c r="D8058">
        <f>IFERROR(__xludf.DUMMYFUNCTION("""COMPUTED_VALUE"""),1996.0)</f>
        <v>1996</v>
      </c>
      <c r="E8058">
        <f>IFERROR(__xludf.DUMMYFUNCTION("""COMPUTED_VALUE"""),2.8147734E7)</f>
        <v>28147734</v>
      </c>
    </row>
    <row r="8059">
      <c r="A8059" t="str">
        <f t="shared" si="1"/>
        <v>ken#1997</v>
      </c>
      <c r="B8059" t="str">
        <f>IFERROR(__xludf.DUMMYFUNCTION("""COMPUTED_VALUE"""),"ken")</f>
        <v>ken</v>
      </c>
      <c r="C8059" t="str">
        <f>IFERROR(__xludf.DUMMYFUNCTION("""COMPUTED_VALUE"""),"Kenya")</f>
        <v>Kenya</v>
      </c>
      <c r="D8059">
        <f>IFERROR(__xludf.DUMMYFUNCTION("""COMPUTED_VALUE"""),1997.0)</f>
        <v>1997</v>
      </c>
      <c r="E8059">
        <f>IFERROR(__xludf.DUMMYFUNCTION("""COMPUTED_VALUE"""),2.8954114E7)</f>
        <v>28954114</v>
      </c>
    </row>
    <row r="8060">
      <c r="A8060" t="str">
        <f t="shared" si="1"/>
        <v>ken#1998</v>
      </c>
      <c r="B8060" t="str">
        <f>IFERROR(__xludf.DUMMYFUNCTION("""COMPUTED_VALUE"""),"ken")</f>
        <v>ken</v>
      </c>
      <c r="C8060" t="str">
        <f>IFERROR(__xludf.DUMMYFUNCTION("""COMPUTED_VALUE"""),"Kenya")</f>
        <v>Kenya</v>
      </c>
      <c r="D8060">
        <f>IFERROR(__xludf.DUMMYFUNCTION("""COMPUTED_VALUE"""),1998.0)</f>
        <v>1998</v>
      </c>
      <c r="E8060">
        <f>IFERROR(__xludf.DUMMYFUNCTION("""COMPUTED_VALUE"""),2.9769803E7)</f>
        <v>29769803</v>
      </c>
    </row>
    <row r="8061">
      <c r="A8061" t="str">
        <f t="shared" si="1"/>
        <v>ken#1999</v>
      </c>
      <c r="B8061" t="str">
        <f>IFERROR(__xludf.DUMMYFUNCTION("""COMPUTED_VALUE"""),"ken")</f>
        <v>ken</v>
      </c>
      <c r="C8061" t="str">
        <f>IFERROR(__xludf.DUMMYFUNCTION("""COMPUTED_VALUE"""),"Kenya")</f>
        <v>Kenya</v>
      </c>
      <c r="D8061">
        <f>IFERROR(__xludf.DUMMYFUNCTION("""COMPUTED_VALUE"""),1999.0)</f>
        <v>1999</v>
      </c>
      <c r="E8061">
        <f>IFERROR(__xludf.DUMMYFUNCTION("""COMPUTED_VALUE"""),3.0600397E7)</f>
        <v>30600397</v>
      </c>
    </row>
    <row r="8062">
      <c r="A8062" t="str">
        <f t="shared" si="1"/>
        <v>ken#2000</v>
      </c>
      <c r="B8062" t="str">
        <f>IFERROR(__xludf.DUMMYFUNCTION("""COMPUTED_VALUE"""),"ken")</f>
        <v>ken</v>
      </c>
      <c r="C8062" t="str">
        <f>IFERROR(__xludf.DUMMYFUNCTION("""COMPUTED_VALUE"""),"Kenya")</f>
        <v>Kenya</v>
      </c>
      <c r="D8062">
        <f>IFERROR(__xludf.DUMMYFUNCTION("""COMPUTED_VALUE"""),2000.0)</f>
        <v>2000</v>
      </c>
      <c r="E8062">
        <f>IFERROR(__xludf.DUMMYFUNCTION("""COMPUTED_VALUE"""),3.1450483E7)</f>
        <v>31450483</v>
      </c>
    </row>
    <row r="8063">
      <c r="A8063" t="str">
        <f t="shared" si="1"/>
        <v>ken#2001</v>
      </c>
      <c r="B8063" t="str">
        <f>IFERROR(__xludf.DUMMYFUNCTION("""COMPUTED_VALUE"""),"ken")</f>
        <v>ken</v>
      </c>
      <c r="C8063" t="str">
        <f>IFERROR(__xludf.DUMMYFUNCTION("""COMPUTED_VALUE"""),"Kenya")</f>
        <v>Kenya</v>
      </c>
      <c r="D8063">
        <f>IFERROR(__xludf.DUMMYFUNCTION("""COMPUTED_VALUE"""),2001.0)</f>
        <v>2001</v>
      </c>
      <c r="E8063">
        <f>IFERROR(__xludf.DUMMYFUNCTION("""COMPUTED_VALUE"""),3.2321482E7)</f>
        <v>32321482</v>
      </c>
    </row>
    <row r="8064">
      <c r="A8064" t="str">
        <f t="shared" si="1"/>
        <v>ken#2002</v>
      </c>
      <c r="B8064" t="str">
        <f>IFERROR(__xludf.DUMMYFUNCTION("""COMPUTED_VALUE"""),"ken")</f>
        <v>ken</v>
      </c>
      <c r="C8064" t="str">
        <f>IFERROR(__xludf.DUMMYFUNCTION("""COMPUTED_VALUE"""),"Kenya")</f>
        <v>Kenya</v>
      </c>
      <c r="D8064">
        <f>IFERROR(__xludf.DUMMYFUNCTION("""COMPUTED_VALUE"""),2002.0)</f>
        <v>2002</v>
      </c>
      <c r="E8064">
        <f>IFERROR(__xludf.DUMMYFUNCTION("""COMPUTED_VALUE"""),3.3214009E7)</f>
        <v>33214009</v>
      </c>
    </row>
    <row r="8065">
      <c r="A8065" t="str">
        <f t="shared" si="1"/>
        <v>ken#2003</v>
      </c>
      <c r="B8065" t="str">
        <f>IFERROR(__xludf.DUMMYFUNCTION("""COMPUTED_VALUE"""),"ken")</f>
        <v>ken</v>
      </c>
      <c r="C8065" t="str">
        <f>IFERROR(__xludf.DUMMYFUNCTION("""COMPUTED_VALUE"""),"Kenya")</f>
        <v>Kenya</v>
      </c>
      <c r="D8065">
        <f>IFERROR(__xludf.DUMMYFUNCTION("""COMPUTED_VALUE"""),2003.0)</f>
        <v>2003</v>
      </c>
      <c r="E8065">
        <f>IFERROR(__xludf.DUMMYFUNCTION("""COMPUTED_VALUE"""),3.4130852E7)</f>
        <v>34130852</v>
      </c>
    </row>
    <row r="8066">
      <c r="A8066" t="str">
        <f t="shared" si="1"/>
        <v>ken#2004</v>
      </c>
      <c r="B8066" t="str">
        <f>IFERROR(__xludf.DUMMYFUNCTION("""COMPUTED_VALUE"""),"ken")</f>
        <v>ken</v>
      </c>
      <c r="C8066" t="str">
        <f>IFERROR(__xludf.DUMMYFUNCTION("""COMPUTED_VALUE"""),"Kenya")</f>
        <v>Kenya</v>
      </c>
      <c r="D8066">
        <f>IFERROR(__xludf.DUMMYFUNCTION("""COMPUTED_VALUE"""),2004.0)</f>
        <v>2004</v>
      </c>
      <c r="E8066">
        <f>IFERROR(__xludf.DUMMYFUNCTION("""COMPUTED_VALUE"""),3.5074931E7)</f>
        <v>35074931</v>
      </c>
    </row>
    <row r="8067">
      <c r="A8067" t="str">
        <f t="shared" si="1"/>
        <v>ken#2005</v>
      </c>
      <c r="B8067" t="str">
        <f>IFERROR(__xludf.DUMMYFUNCTION("""COMPUTED_VALUE"""),"ken")</f>
        <v>ken</v>
      </c>
      <c r="C8067" t="str">
        <f>IFERROR(__xludf.DUMMYFUNCTION("""COMPUTED_VALUE"""),"Kenya")</f>
        <v>Kenya</v>
      </c>
      <c r="D8067">
        <f>IFERROR(__xludf.DUMMYFUNCTION("""COMPUTED_VALUE"""),2005.0)</f>
        <v>2005</v>
      </c>
      <c r="E8067">
        <f>IFERROR(__xludf.DUMMYFUNCTION("""COMPUTED_VALUE"""),3.6048288E7)</f>
        <v>36048288</v>
      </c>
    </row>
    <row r="8068">
      <c r="A8068" t="str">
        <f t="shared" si="1"/>
        <v>ken#2006</v>
      </c>
      <c r="B8068" t="str">
        <f>IFERROR(__xludf.DUMMYFUNCTION("""COMPUTED_VALUE"""),"ken")</f>
        <v>ken</v>
      </c>
      <c r="C8068" t="str">
        <f>IFERROR(__xludf.DUMMYFUNCTION("""COMPUTED_VALUE"""),"Kenya")</f>
        <v>Kenya</v>
      </c>
      <c r="D8068">
        <f>IFERROR(__xludf.DUMMYFUNCTION("""COMPUTED_VALUE"""),2006.0)</f>
        <v>2006</v>
      </c>
      <c r="E8068">
        <f>IFERROR(__xludf.DUMMYFUNCTION("""COMPUTED_VALUE"""),3.705205E7)</f>
        <v>37052050</v>
      </c>
    </row>
    <row r="8069">
      <c r="A8069" t="str">
        <f t="shared" si="1"/>
        <v>ken#2007</v>
      </c>
      <c r="B8069" t="str">
        <f>IFERROR(__xludf.DUMMYFUNCTION("""COMPUTED_VALUE"""),"ken")</f>
        <v>ken</v>
      </c>
      <c r="C8069" t="str">
        <f>IFERROR(__xludf.DUMMYFUNCTION("""COMPUTED_VALUE"""),"Kenya")</f>
        <v>Kenya</v>
      </c>
      <c r="D8069">
        <f>IFERROR(__xludf.DUMMYFUNCTION("""COMPUTED_VALUE"""),2007.0)</f>
        <v>2007</v>
      </c>
      <c r="E8069">
        <f>IFERROR(__xludf.DUMMYFUNCTION("""COMPUTED_VALUE"""),3.8085909E7)</f>
        <v>38085909</v>
      </c>
    </row>
    <row r="8070">
      <c r="A8070" t="str">
        <f t="shared" si="1"/>
        <v>ken#2008</v>
      </c>
      <c r="B8070" t="str">
        <f>IFERROR(__xludf.DUMMYFUNCTION("""COMPUTED_VALUE"""),"ken")</f>
        <v>ken</v>
      </c>
      <c r="C8070" t="str">
        <f>IFERROR(__xludf.DUMMYFUNCTION("""COMPUTED_VALUE"""),"Kenya")</f>
        <v>Kenya</v>
      </c>
      <c r="D8070">
        <f>IFERROR(__xludf.DUMMYFUNCTION("""COMPUTED_VALUE"""),2008.0)</f>
        <v>2008</v>
      </c>
      <c r="E8070">
        <f>IFERROR(__xludf.DUMMYFUNCTION("""COMPUTED_VALUE"""),3.9148416E7)</f>
        <v>39148416</v>
      </c>
    </row>
    <row r="8071">
      <c r="A8071" t="str">
        <f t="shared" si="1"/>
        <v>ken#2009</v>
      </c>
      <c r="B8071" t="str">
        <f>IFERROR(__xludf.DUMMYFUNCTION("""COMPUTED_VALUE"""),"ken")</f>
        <v>ken</v>
      </c>
      <c r="C8071" t="str">
        <f>IFERROR(__xludf.DUMMYFUNCTION("""COMPUTED_VALUE"""),"Kenya")</f>
        <v>Kenya</v>
      </c>
      <c r="D8071">
        <f>IFERROR(__xludf.DUMMYFUNCTION("""COMPUTED_VALUE"""),2009.0)</f>
        <v>2009</v>
      </c>
      <c r="E8071">
        <f>IFERROR(__xludf.DUMMYFUNCTION("""COMPUTED_VALUE"""),4.0237204E7)</f>
        <v>40237204</v>
      </c>
    </row>
    <row r="8072">
      <c r="A8072" t="str">
        <f t="shared" si="1"/>
        <v>ken#2010</v>
      </c>
      <c r="B8072" t="str">
        <f>IFERROR(__xludf.DUMMYFUNCTION("""COMPUTED_VALUE"""),"ken")</f>
        <v>ken</v>
      </c>
      <c r="C8072" t="str">
        <f>IFERROR(__xludf.DUMMYFUNCTION("""COMPUTED_VALUE"""),"Kenya")</f>
        <v>Kenya</v>
      </c>
      <c r="D8072">
        <f>IFERROR(__xludf.DUMMYFUNCTION("""COMPUTED_VALUE"""),2010.0)</f>
        <v>2010</v>
      </c>
      <c r="E8072">
        <f>IFERROR(__xludf.DUMMYFUNCTION("""COMPUTED_VALUE"""),4.1350152E7)</f>
        <v>41350152</v>
      </c>
    </row>
    <row r="8073">
      <c r="A8073" t="str">
        <f t="shared" si="1"/>
        <v>ken#2011</v>
      </c>
      <c r="B8073" t="str">
        <f>IFERROR(__xludf.DUMMYFUNCTION("""COMPUTED_VALUE"""),"ken")</f>
        <v>ken</v>
      </c>
      <c r="C8073" t="str">
        <f>IFERROR(__xludf.DUMMYFUNCTION("""COMPUTED_VALUE"""),"Kenya")</f>
        <v>Kenya</v>
      </c>
      <c r="D8073">
        <f>IFERROR(__xludf.DUMMYFUNCTION("""COMPUTED_VALUE"""),2011.0)</f>
        <v>2011</v>
      </c>
      <c r="E8073">
        <f>IFERROR(__xludf.DUMMYFUNCTION("""COMPUTED_VALUE"""),4.2486839E7)</f>
        <v>42486839</v>
      </c>
    </row>
    <row r="8074">
      <c r="A8074" t="str">
        <f t="shared" si="1"/>
        <v>ken#2012</v>
      </c>
      <c r="B8074" t="str">
        <f>IFERROR(__xludf.DUMMYFUNCTION("""COMPUTED_VALUE"""),"ken")</f>
        <v>ken</v>
      </c>
      <c r="C8074" t="str">
        <f>IFERROR(__xludf.DUMMYFUNCTION("""COMPUTED_VALUE"""),"Kenya")</f>
        <v>Kenya</v>
      </c>
      <c r="D8074">
        <f>IFERROR(__xludf.DUMMYFUNCTION("""COMPUTED_VALUE"""),2012.0)</f>
        <v>2012</v>
      </c>
      <c r="E8074">
        <f>IFERROR(__xludf.DUMMYFUNCTION("""COMPUTED_VALUE"""),4.3646629E7)</f>
        <v>43646629</v>
      </c>
    </row>
    <row r="8075">
      <c r="A8075" t="str">
        <f t="shared" si="1"/>
        <v>ken#2013</v>
      </c>
      <c r="B8075" t="str">
        <f>IFERROR(__xludf.DUMMYFUNCTION("""COMPUTED_VALUE"""),"ken")</f>
        <v>ken</v>
      </c>
      <c r="C8075" t="str">
        <f>IFERROR(__xludf.DUMMYFUNCTION("""COMPUTED_VALUE"""),"Kenya")</f>
        <v>Kenya</v>
      </c>
      <c r="D8075">
        <f>IFERROR(__xludf.DUMMYFUNCTION("""COMPUTED_VALUE"""),2013.0)</f>
        <v>2013</v>
      </c>
      <c r="E8075">
        <f>IFERROR(__xludf.DUMMYFUNCTION("""COMPUTED_VALUE"""),4.4826849E7)</f>
        <v>44826849</v>
      </c>
    </row>
    <row r="8076">
      <c r="A8076" t="str">
        <f t="shared" si="1"/>
        <v>ken#2014</v>
      </c>
      <c r="B8076" t="str">
        <f>IFERROR(__xludf.DUMMYFUNCTION("""COMPUTED_VALUE"""),"ken")</f>
        <v>ken</v>
      </c>
      <c r="C8076" t="str">
        <f>IFERROR(__xludf.DUMMYFUNCTION("""COMPUTED_VALUE"""),"Kenya")</f>
        <v>Kenya</v>
      </c>
      <c r="D8076">
        <f>IFERROR(__xludf.DUMMYFUNCTION("""COMPUTED_VALUE"""),2014.0)</f>
        <v>2014</v>
      </c>
      <c r="E8076">
        <f>IFERROR(__xludf.DUMMYFUNCTION("""COMPUTED_VALUE"""),4.602425E7)</f>
        <v>46024250</v>
      </c>
    </row>
    <row r="8077">
      <c r="A8077" t="str">
        <f t="shared" si="1"/>
        <v>ken#2015</v>
      </c>
      <c r="B8077" t="str">
        <f>IFERROR(__xludf.DUMMYFUNCTION("""COMPUTED_VALUE"""),"ken")</f>
        <v>ken</v>
      </c>
      <c r="C8077" t="str">
        <f>IFERROR(__xludf.DUMMYFUNCTION("""COMPUTED_VALUE"""),"Kenya")</f>
        <v>Kenya</v>
      </c>
      <c r="D8077">
        <f>IFERROR(__xludf.DUMMYFUNCTION("""COMPUTED_VALUE"""),2015.0)</f>
        <v>2015</v>
      </c>
      <c r="E8077">
        <f>IFERROR(__xludf.DUMMYFUNCTION("""COMPUTED_VALUE"""),4.7236259E7)</f>
        <v>47236259</v>
      </c>
    </row>
    <row r="8078">
      <c r="A8078" t="str">
        <f t="shared" si="1"/>
        <v>ken#2016</v>
      </c>
      <c r="B8078" t="str">
        <f>IFERROR(__xludf.DUMMYFUNCTION("""COMPUTED_VALUE"""),"ken")</f>
        <v>ken</v>
      </c>
      <c r="C8078" t="str">
        <f>IFERROR(__xludf.DUMMYFUNCTION("""COMPUTED_VALUE"""),"Kenya")</f>
        <v>Kenya</v>
      </c>
      <c r="D8078">
        <f>IFERROR(__xludf.DUMMYFUNCTION("""COMPUTED_VALUE"""),2016.0)</f>
        <v>2016</v>
      </c>
      <c r="E8078">
        <f>IFERROR(__xludf.DUMMYFUNCTION("""COMPUTED_VALUE"""),4.8461567E7)</f>
        <v>48461567</v>
      </c>
    </row>
    <row r="8079">
      <c r="A8079" t="str">
        <f t="shared" si="1"/>
        <v>ken#2017</v>
      </c>
      <c r="B8079" t="str">
        <f>IFERROR(__xludf.DUMMYFUNCTION("""COMPUTED_VALUE"""),"ken")</f>
        <v>ken</v>
      </c>
      <c r="C8079" t="str">
        <f>IFERROR(__xludf.DUMMYFUNCTION("""COMPUTED_VALUE"""),"Kenya")</f>
        <v>Kenya</v>
      </c>
      <c r="D8079">
        <f>IFERROR(__xludf.DUMMYFUNCTION("""COMPUTED_VALUE"""),2017.0)</f>
        <v>2017</v>
      </c>
      <c r="E8079">
        <f>IFERROR(__xludf.DUMMYFUNCTION("""COMPUTED_VALUE"""),4.9699862E7)</f>
        <v>49699862</v>
      </c>
    </row>
    <row r="8080">
      <c r="A8080" t="str">
        <f t="shared" si="1"/>
        <v>ken#2018</v>
      </c>
      <c r="B8080" t="str">
        <f>IFERROR(__xludf.DUMMYFUNCTION("""COMPUTED_VALUE"""),"ken")</f>
        <v>ken</v>
      </c>
      <c r="C8080" t="str">
        <f>IFERROR(__xludf.DUMMYFUNCTION("""COMPUTED_VALUE"""),"Kenya")</f>
        <v>Kenya</v>
      </c>
      <c r="D8080">
        <f>IFERROR(__xludf.DUMMYFUNCTION("""COMPUTED_VALUE"""),2018.0)</f>
        <v>2018</v>
      </c>
      <c r="E8080">
        <f>IFERROR(__xludf.DUMMYFUNCTION("""COMPUTED_VALUE"""),5.0950879E7)</f>
        <v>50950879</v>
      </c>
    </row>
    <row r="8081">
      <c r="A8081" t="str">
        <f t="shared" si="1"/>
        <v>ken#2019</v>
      </c>
      <c r="B8081" t="str">
        <f>IFERROR(__xludf.DUMMYFUNCTION("""COMPUTED_VALUE"""),"ken")</f>
        <v>ken</v>
      </c>
      <c r="C8081" t="str">
        <f>IFERROR(__xludf.DUMMYFUNCTION("""COMPUTED_VALUE"""),"Kenya")</f>
        <v>Kenya</v>
      </c>
      <c r="D8081">
        <f>IFERROR(__xludf.DUMMYFUNCTION("""COMPUTED_VALUE"""),2019.0)</f>
        <v>2019</v>
      </c>
      <c r="E8081">
        <f>IFERROR(__xludf.DUMMYFUNCTION("""COMPUTED_VALUE"""),5.2214791E7)</f>
        <v>52214791</v>
      </c>
    </row>
    <row r="8082">
      <c r="A8082" t="str">
        <f t="shared" si="1"/>
        <v>ken#2020</v>
      </c>
      <c r="B8082" t="str">
        <f>IFERROR(__xludf.DUMMYFUNCTION("""COMPUTED_VALUE"""),"ken")</f>
        <v>ken</v>
      </c>
      <c r="C8082" t="str">
        <f>IFERROR(__xludf.DUMMYFUNCTION("""COMPUTED_VALUE"""),"Kenya")</f>
        <v>Kenya</v>
      </c>
      <c r="D8082">
        <f>IFERROR(__xludf.DUMMYFUNCTION("""COMPUTED_VALUE"""),2020.0)</f>
        <v>2020</v>
      </c>
      <c r="E8082">
        <f>IFERROR(__xludf.DUMMYFUNCTION("""COMPUTED_VALUE"""),5.3491697E7)</f>
        <v>53491697</v>
      </c>
    </row>
    <row r="8083">
      <c r="A8083" t="str">
        <f t="shared" si="1"/>
        <v>ken#2021</v>
      </c>
      <c r="B8083" t="str">
        <f>IFERROR(__xludf.DUMMYFUNCTION("""COMPUTED_VALUE"""),"ken")</f>
        <v>ken</v>
      </c>
      <c r="C8083" t="str">
        <f>IFERROR(__xludf.DUMMYFUNCTION("""COMPUTED_VALUE"""),"Kenya")</f>
        <v>Kenya</v>
      </c>
      <c r="D8083">
        <f>IFERROR(__xludf.DUMMYFUNCTION("""COMPUTED_VALUE"""),2021.0)</f>
        <v>2021</v>
      </c>
      <c r="E8083">
        <f>IFERROR(__xludf.DUMMYFUNCTION("""COMPUTED_VALUE"""),5.4780852E7)</f>
        <v>54780852</v>
      </c>
    </row>
    <row r="8084">
      <c r="A8084" t="str">
        <f t="shared" si="1"/>
        <v>ken#2022</v>
      </c>
      <c r="B8084" t="str">
        <f>IFERROR(__xludf.DUMMYFUNCTION("""COMPUTED_VALUE"""),"ken")</f>
        <v>ken</v>
      </c>
      <c r="C8084" t="str">
        <f>IFERROR(__xludf.DUMMYFUNCTION("""COMPUTED_VALUE"""),"Kenya")</f>
        <v>Kenya</v>
      </c>
      <c r="D8084">
        <f>IFERROR(__xludf.DUMMYFUNCTION("""COMPUTED_VALUE"""),2022.0)</f>
        <v>2022</v>
      </c>
      <c r="E8084">
        <f>IFERROR(__xludf.DUMMYFUNCTION("""COMPUTED_VALUE"""),5.6081772E7)</f>
        <v>56081772</v>
      </c>
    </row>
    <row r="8085">
      <c r="A8085" t="str">
        <f t="shared" si="1"/>
        <v>ken#2023</v>
      </c>
      <c r="B8085" t="str">
        <f>IFERROR(__xludf.DUMMYFUNCTION("""COMPUTED_VALUE"""),"ken")</f>
        <v>ken</v>
      </c>
      <c r="C8085" t="str">
        <f>IFERROR(__xludf.DUMMYFUNCTION("""COMPUTED_VALUE"""),"Kenya")</f>
        <v>Kenya</v>
      </c>
      <c r="D8085">
        <f>IFERROR(__xludf.DUMMYFUNCTION("""COMPUTED_VALUE"""),2023.0)</f>
        <v>2023</v>
      </c>
      <c r="E8085">
        <f>IFERROR(__xludf.DUMMYFUNCTION("""COMPUTED_VALUE"""),5.7395145E7)</f>
        <v>57395145</v>
      </c>
    </row>
    <row r="8086">
      <c r="A8086" t="str">
        <f t="shared" si="1"/>
        <v>ken#2024</v>
      </c>
      <c r="B8086" t="str">
        <f>IFERROR(__xludf.DUMMYFUNCTION("""COMPUTED_VALUE"""),"ken")</f>
        <v>ken</v>
      </c>
      <c r="C8086" t="str">
        <f>IFERROR(__xludf.DUMMYFUNCTION("""COMPUTED_VALUE"""),"Kenya")</f>
        <v>Kenya</v>
      </c>
      <c r="D8086">
        <f>IFERROR(__xludf.DUMMYFUNCTION("""COMPUTED_VALUE"""),2024.0)</f>
        <v>2024</v>
      </c>
      <c r="E8086">
        <f>IFERROR(__xludf.DUMMYFUNCTION("""COMPUTED_VALUE"""),5.8722068E7)</f>
        <v>58722068</v>
      </c>
    </row>
    <row r="8087">
      <c r="A8087" t="str">
        <f t="shared" si="1"/>
        <v>ken#2025</v>
      </c>
      <c r="B8087" t="str">
        <f>IFERROR(__xludf.DUMMYFUNCTION("""COMPUTED_VALUE"""),"ken")</f>
        <v>ken</v>
      </c>
      <c r="C8087" t="str">
        <f>IFERROR(__xludf.DUMMYFUNCTION("""COMPUTED_VALUE"""),"Kenya")</f>
        <v>Kenya</v>
      </c>
      <c r="D8087">
        <f>IFERROR(__xludf.DUMMYFUNCTION("""COMPUTED_VALUE"""),2025.0)</f>
        <v>2025</v>
      </c>
      <c r="E8087">
        <f>IFERROR(__xludf.DUMMYFUNCTION("""COMPUTED_VALUE"""),6.0063158E7)</f>
        <v>60063158</v>
      </c>
    </row>
    <row r="8088">
      <c r="A8088" t="str">
        <f t="shared" si="1"/>
        <v>ken#2026</v>
      </c>
      <c r="B8088" t="str">
        <f>IFERROR(__xludf.DUMMYFUNCTION("""COMPUTED_VALUE"""),"ken")</f>
        <v>ken</v>
      </c>
      <c r="C8088" t="str">
        <f>IFERROR(__xludf.DUMMYFUNCTION("""COMPUTED_VALUE"""),"Kenya")</f>
        <v>Kenya</v>
      </c>
      <c r="D8088">
        <f>IFERROR(__xludf.DUMMYFUNCTION("""COMPUTED_VALUE"""),2026.0)</f>
        <v>2026</v>
      </c>
      <c r="E8088">
        <f>IFERROR(__xludf.DUMMYFUNCTION("""COMPUTED_VALUE"""),6.1418176E7)</f>
        <v>61418176</v>
      </c>
    </row>
    <row r="8089">
      <c r="A8089" t="str">
        <f t="shared" si="1"/>
        <v>ken#2027</v>
      </c>
      <c r="B8089" t="str">
        <f>IFERROR(__xludf.DUMMYFUNCTION("""COMPUTED_VALUE"""),"ken")</f>
        <v>ken</v>
      </c>
      <c r="C8089" t="str">
        <f>IFERROR(__xludf.DUMMYFUNCTION("""COMPUTED_VALUE"""),"Kenya")</f>
        <v>Kenya</v>
      </c>
      <c r="D8089">
        <f>IFERROR(__xludf.DUMMYFUNCTION("""COMPUTED_VALUE"""),2027.0)</f>
        <v>2027</v>
      </c>
      <c r="E8089">
        <f>IFERROR(__xludf.DUMMYFUNCTION("""COMPUTED_VALUE"""),6.2786272E7)</f>
        <v>62786272</v>
      </c>
    </row>
    <row r="8090">
      <c r="A8090" t="str">
        <f t="shared" si="1"/>
        <v>ken#2028</v>
      </c>
      <c r="B8090" t="str">
        <f>IFERROR(__xludf.DUMMYFUNCTION("""COMPUTED_VALUE"""),"ken")</f>
        <v>ken</v>
      </c>
      <c r="C8090" t="str">
        <f>IFERROR(__xludf.DUMMYFUNCTION("""COMPUTED_VALUE"""),"Kenya")</f>
        <v>Kenya</v>
      </c>
      <c r="D8090">
        <f>IFERROR(__xludf.DUMMYFUNCTION("""COMPUTED_VALUE"""),2028.0)</f>
        <v>2028</v>
      </c>
      <c r="E8090">
        <f>IFERROR(__xludf.DUMMYFUNCTION("""COMPUTED_VALUE"""),6.4166647E7)</f>
        <v>64166647</v>
      </c>
    </row>
    <row r="8091">
      <c r="A8091" t="str">
        <f t="shared" si="1"/>
        <v>ken#2029</v>
      </c>
      <c r="B8091" t="str">
        <f>IFERROR(__xludf.DUMMYFUNCTION("""COMPUTED_VALUE"""),"ken")</f>
        <v>ken</v>
      </c>
      <c r="C8091" t="str">
        <f>IFERROR(__xludf.DUMMYFUNCTION("""COMPUTED_VALUE"""),"Kenya")</f>
        <v>Kenya</v>
      </c>
      <c r="D8091">
        <f>IFERROR(__xludf.DUMMYFUNCTION("""COMPUTED_VALUE"""),2029.0)</f>
        <v>2029</v>
      </c>
      <c r="E8091">
        <f>IFERROR(__xludf.DUMMYFUNCTION("""COMPUTED_VALUE"""),6.5558242E7)</f>
        <v>65558242</v>
      </c>
    </row>
    <row r="8092">
      <c r="A8092" t="str">
        <f t="shared" si="1"/>
        <v>ken#2030</v>
      </c>
      <c r="B8092" t="str">
        <f>IFERROR(__xludf.DUMMYFUNCTION("""COMPUTED_VALUE"""),"ken")</f>
        <v>ken</v>
      </c>
      <c r="C8092" t="str">
        <f>IFERROR(__xludf.DUMMYFUNCTION("""COMPUTED_VALUE"""),"Kenya")</f>
        <v>Kenya</v>
      </c>
      <c r="D8092">
        <f>IFERROR(__xludf.DUMMYFUNCTION("""COMPUTED_VALUE"""),2030.0)</f>
        <v>2030</v>
      </c>
      <c r="E8092">
        <f>IFERROR(__xludf.DUMMYFUNCTION("""COMPUTED_VALUE"""),6.6959993E7)</f>
        <v>66959993</v>
      </c>
    </row>
    <row r="8093">
      <c r="A8093" t="str">
        <f t="shared" si="1"/>
        <v>ken#2031</v>
      </c>
      <c r="B8093" t="str">
        <f>IFERROR(__xludf.DUMMYFUNCTION("""COMPUTED_VALUE"""),"ken")</f>
        <v>ken</v>
      </c>
      <c r="C8093" t="str">
        <f>IFERROR(__xludf.DUMMYFUNCTION("""COMPUTED_VALUE"""),"Kenya")</f>
        <v>Kenya</v>
      </c>
      <c r="D8093">
        <f>IFERROR(__xludf.DUMMYFUNCTION("""COMPUTED_VALUE"""),2031.0)</f>
        <v>2031</v>
      </c>
      <c r="E8093">
        <f>IFERROR(__xludf.DUMMYFUNCTION("""COMPUTED_VALUE"""),6.8371214E7)</f>
        <v>68371214</v>
      </c>
    </row>
    <row r="8094">
      <c r="A8094" t="str">
        <f t="shared" si="1"/>
        <v>ken#2032</v>
      </c>
      <c r="B8094" t="str">
        <f>IFERROR(__xludf.DUMMYFUNCTION("""COMPUTED_VALUE"""),"ken")</f>
        <v>ken</v>
      </c>
      <c r="C8094" t="str">
        <f>IFERROR(__xludf.DUMMYFUNCTION("""COMPUTED_VALUE"""),"Kenya")</f>
        <v>Kenya</v>
      </c>
      <c r="D8094">
        <f>IFERROR(__xludf.DUMMYFUNCTION("""COMPUTED_VALUE"""),2032.0)</f>
        <v>2032</v>
      </c>
      <c r="E8094">
        <f>IFERROR(__xludf.DUMMYFUNCTION("""COMPUTED_VALUE"""),6.9791017E7)</f>
        <v>69791017</v>
      </c>
    </row>
    <row r="8095">
      <c r="A8095" t="str">
        <f t="shared" si="1"/>
        <v>ken#2033</v>
      </c>
      <c r="B8095" t="str">
        <f>IFERROR(__xludf.DUMMYFUNCTION("""COMPUTED_VALUE"""),"ken")</f>
        <v>ken</v>
      </c>
      <c r="C8095" t="str">
        <f>IFERROR(__xludf.DUMMYFUNCTION("""COMPUTED_VALUE"""),"Kenya")</f>
        <v>Kenya</v>
      </c>
      <c r="D8095">
        <f>IFERROR(__xludf.DUMMYFUNCTION("""COMPUTED_VALUE"""),2033.0)</f>
        <v>2033</v>
      </c>
      <c r="E8095">
        <f>IFERROR(__xludf.DUMMYFUNCTION("""COMPUTED_VALUE"""),7.1217897E7)</f>
        <v>71217897</v>
      </c>
    </row>
    <row r="8096">
      <c r="A8096" t="str">
        <f t="shared" si="1"/>
        <v>ken#2034</v>
      </c>
      <c r="B8096" t="str">
        <f>IFERROR(__xludf.DUMMYFUNCTION("""COMPUTED_VALUE"""),"ken")</f>
        <v>ken</v>
      </c>
      <c r="C8096" t="str">
        <f>IFERROR(__xludf.DUMMYFUNCTION("""COMPUTED_VALUE"""),"Kenya")</f>
        <v>Kenya</v>
      </c>
      <c r="D8096">
        <f>IFERROR(__xludf.DUMMYFUNCTION("""COMPUTED_VALUE"""),2034.0)</f>
        <v>2034</v>
      </c>
      <c r="E8096">
        <f>IFERROR(__xludf.DUMMYFUNCTION("""COMPUTED_VALUE"""),7.2650119E7)</f>
        <v>72650119</v>
      </c>
    </row>
    <row r="8097">
      <c r="A8097" t="str">
        <f t="shared" si="1"/>
        <v>ken#2035</v>
      </c>
      <c r="B8097" t="str">
        <f>IFERROR(__xludf.DUMMYFUNCTION("""COMPUTED_VALUE"""),"ken")</f>
        <v>ken</v>
      </c>
      <c r="C8097" t="str">
        <f>IFERROR(__xludf.DUMMYFUNCTION("""COMPUTED_VALUE"""),"Kenya")</f>
        <v>Kenya</v>
      </c>
      <c r="D8097">
        <f>IFERROR(__xludf.DUMMYFUNCTION("""COMPUTED_VALUE"""),2035.0)</f>
        <v>2035</v>
      </c>
      <c r="E8097">
        <f>IFERROR(__xludf.DUMMYFUNCTION("""COMPUTED_VALUE"""),7.4086106E7)</f>
        <v>74086106</v>
      </c>
    </row>
    <row r="8098">
      <c r="A8098" t="str">
        <f t="shared" si="1"/>
        <v>ken#2036</v>
      </c>
      <c r="B8098" t="str">
        <f>IFERROR(__xludf.DUMMYFUNCTION("""COMPUTED_VALUE"""),"ken")</f>
        <v>ken</v>
      </c>
      <c r="C8098" t="str">
        <f>IFERROR(__xludf.DUMMYFUNCTION("""COMPUTED_VALUE"""),"Kenya")</f>
        <v>Kenya</v>
      </c>
      <c r="D8098">
        <f>IFERROR(__xludf.DUMMYFUNCTION("""COMPUTED_VALUE"""),2036.0)</f>
        <v>2036</v>
      </c>
      <c r="E8098">
        <f>IFERROR(__xludf.DUMMYFUNCTION("""COMPUTED_VALUE"""),7.5524882E7)</f>
        <v>75524882</v>
      </c>
    </row>
    <row r="8099">
      <c r="A8099" t="str">
        <f t="shared" si="1"/>
        <v>ken#2037</v>
      </c>
      <c r="B8099" t="str">
        <f>IFERROR(__xludf.DUMMYFUNCTION("""COMPUTED_VALUE"""),"ken")</f>
        <v>ken</v>
      </c>
      <c r="C8099" t="str">
        <f>IFERROR(__xludf.DUMMYFUNCTION("""COMPUTED_VALUE"""),"Kenya")</f>
        <v>Kenya</v>
      </c>
      <c r="D8099">
        <f>IFERROR(__xludf.DUMMYFUNCTION("""COMPUTED_VALUE"""),2037.0)</f>
        <v>2037</v>
      </c>
      <c r="E8099">
        <f>IFERROR(__xludf.DUMMYFUNCTION("""COMPUTED_VALUE"""),7.6965577E7)</f>
        <v>76965577</v>
      </c>
    </row>
    <row r="8100">
      <c r="A8100" t="str">
        <f t="shared" si="1"/>
        <v>ken#2038</v>
      </c>
      <c r="B8100" t="str">
        <f>IFERROR(__xludf.DUMMYFUNCTION("""COMPUTED_VALUE"""),"ken")</f>
        <v>ken</v>
      </c>
      <c r="C8100" t="str">
        <f>IFERROR(__xludf.DUMMYFUNCTION("""COMPUTED_VALUE"""),"Kenya")</f>
        <v>Kenya</v>
      </c>
      <c r="D8100">
        <f>IFERROR(__xludf.DUMMYFUNCTION("""COMPUTED_VALUE"""),2038.0)</f>
        <v>2038</v>
      </c>
      <c r="E8100">
        <f>IFERROR(__xludf.DUMMYFUNCTION("""COMPUTED_VALUE"""),7.8406959E7)</f>
        <v>78406959</v>
      </c>
    </row>
    <row r="8101">
      <c r="A8101" t="str">
        <f t="shared" si="1"/>
        <v>ken#2039</v>
      </c>
      <c r="B8101" t="str">
        <f>IFERROR(__xludf.DUMMYFUNCTION("""COMPUTED_VALUE"""),"ken")</f>
        <v>ken</v>
      </c>
      <c r="C8101" t="str">
        <f>IFERROR(__xludf.DUMMYFUNCTION("""COMPUTED_VALUE"""),"Kenya")</f>
        <v>Kenya</v>
      </c>
      <c r="D8101">
        <f>IFERROR(__xludf.DUMMYFUNCTION("""COMPUTED_VALUE"""),2039.0)</f>
        <v>2039</v>
      </c>
      <c r="E8101">
        <f>IFERROR(__xludf.DUMMYFUNCTION("""COMPUTED_VALUE"""),7.9847748E7)</f>
        <v>79847748</v>
      </c>
    </row>
    <row r="8102">
      <c r="A8102" t="str">
        <f t="shared" si="1"/>
        <v>ken#2040</v>
      </c>
      <c r="B8102" t="str">
        <f>IFERROR(__xludf.DUMMYFUNCTION("""COMPUTED_VALUE"""),"ken")</f>
        <v>ken</v>
      </c>
      <c r="C8102" t="str">
        <f>IFERROR(__xludf.DUMMYFUNCTION("""COMPUTED_VALUE"""),"Kenya")</f>
        <v>Kenya</v>
      </c>
      <c r="D8102">
        <f>IFERROR(__xludf.DUMMYFUNCTION("""COMPUTED_VALUE"""),2040.0)</f>
        <v>2040</v>
      </c>
      <c r="E8102">
        <f>IFERROR(__xludf.DUMMYFUNCTION("""COMPUTED_VALUE"""),8.1286865E7)</f>
        <v>81286865</v>
      </c>
    </row>
    <row r="8103">
      <c r="A8103" t="str">
        <f t="shared" si="1"/>
        <v>kir#1950</v>
      </c>
      <c r="B8103" t="str">
        <f>IFERROR(__xludf.DUMMYFUNCTION("""COMPUTED_VALUE"""),"kir")</f>
        <v>kir</v>
      </c>
      <c r="C8103" t="str">
        <f>IFERROR(__xludf.DUMMYFUNCTION("""COMPUTED_VALUE"""),"Kiribati")</f>
        <v>Kiribati</v>
      </c>
      <c r="D8103">
        <f>IFERROR(__xludf.DUMMYFUNCTION("""COMPUTED_VALUE"""),1950.0)</f>
        <v>1950</v>
      </c>
      <c r="E8103">
        <f>IFERROR(__xludf.DUMMYFUNCTION("""COMPUTED_VALUE"""),33048.0)</f>
        <v>33048</v>
      </c>
    </row>
    <row r="8104">
      <c r="A8104" t="str">
        <f t="shared" si="1"/>
        <v>kir#1951</v>
      </c>
      <c r="B8104" t="str">
        <f>IFERROR(__xludf.DUMMYFUNCTION("""COMPUTED_VALUE"""),"kir")</f>
        <v>kir</v>
      </c>
      <c r="C8104" t="str">
        <f>IFERROR(__xludf.DUMMYFUNCTION("""COMPUTED_VALUE"""),"Kiribati")</f>
        <v>Kiribati</v>
      </c>
      <c r="D8104">
        <f>IFERROR(__xludf.DUMMYFUNCTION("""COMPUTED_VALUE"""),1951.0)</f>
        <v>1951</v>
      </c>
      <c r="E8104">
        <f>IFERROR(__xludf.DUMMYFUNCTION("""COMPUTED_VALUE"""),33623.0)</f>
        <v>33623</v>
      </c>
    </row>
    <row r="8105">
      <c r="A8105" t="str">
        <f t="shared" si="1"/>
        <v>kir#1952</v>
      </c>
      <c r="B8105" t="str">
        <f>IFERROR(__xludf.DUMMYFUNCTION("""COMPUTED_VALUE"""),"kir")</f>
        <v>kir</v>
      </c>
      <c r="C8105" t="str">
        <f>IFERROR(__xludf.DUMMYFUNCTION("""COMPUTED_VALUE"""),"Kiribati")</f>
        <v>Kiribati</v>
      </c>
      <c r="D8105">
        <f>IFERROR(__xludf.DUMMYFUNCTION("""COMPUTED_VALUE"""),1952.0)</f>
        <v>1952</v>
      </c>
      <c r="E8105">
        <f>IFERROR(__xludf.DUMMYFUNCTION("""COMPUTED_VALUE"""),34286.0)</f>
        <v>34286</v>
      </c>
    </row>
    <row r="8106">
      <c r="A8106" t="str">
        <f t="shared" si="1"/>
        <v>kir#1953</v>
      </c>
      <c r="B8106" t="str">
        <f>IFERROR(__xludf.DUMMYFUNCTION("""COMPUTED_VALUE"""),"kir")</f>
        <v>kir</v>
      </c>
      <c r="C8106" t="str">
        <f>IFERROR(__xludf.DUMMYFUNCTION("""COMPUTED_VALUE"""),"Kiribati")</f>
        <v>Kiribati</v>
      </c>
      <c r="D8106">
        <f>IFERROR(__xludf.DUMMYFUNCTION("""COMPUTED_VALUE"""),1953.0)</f>
        <v>1953</v>
      </c>
      <c r="E8106">
        <f>IFERROR(__xludf.DUMMYFUNCTION("""COMPUTED_VALUE"""),35007.0)</f>
        <v>35007</v>
      </c>
    </row>
    <row r="8107">
      <c r="A8107" t="str">
        <f t="shared" si="1"/>
        <v>kir#1954</v>
      </c>
      <c r="B8107" t="str">
        <f>IFERROR(__xludf.DUMMYFUNCTION("""COMPUTED_VALUE"""),"kir")</f>
        <v>kir</v>
      </c>
      <c r="C8107" t="str">
        <f>IFERROR(__xludf.DUMMYFUNCTION("""COMPUTED_VALUE"""),"Kiribati")</f>
        <v>Kiribati</v>
      </c>
      <c r="D8107">
        <f>IFERROR(__xludf.DUMMYFUNCTION("""COMPUTED_VALUE"""),1954.0)</f>
        <v>1954</v>
      </c>
      <c r="E8107">
        <f>IFERROR(__xludf.DUMMYFUNCTION("""COMPUTED_VALUE"""),35777.0)</f>
        <v>35777</v>
      </c>
    </row>
    <row r="8108">
      <c r="A8108" t="str">
        <f t="shared" si="1"/>
        <v>kir#1955</v>
      </c>
      <c r="B8108" t="str">
        <f>IFERROR(__xludf.DUMMYFUNCTION("""COMPUTED_VALUE"""),"kir")</f>
        <v>kir</v>
      </c>
      <c r="C8108" t="str">
        <f>IFERROR(__xludf.DUMMYFUNCTION("""COMPUTED_VALUE"""),"Kiribati")</f>
        <v>Kiribati</v>
      </c>
      <c r="D8108">
        <f>IFERROR(__xludf.DUMMYFUNCTION("""COMPUTED_VALUE"""),1955.0)</f>
        <v>1955</v>
      </c>
      <c r="E8108">
        <f>IFERROR(__xludf.DUMMYFUNCTION("""COMPUTED_VALUE"""),36596.0)</f>
        <v>36596</v>
      </c>
    </row>
    <row r="8109">
      <c r="A8109" t="str">
        <f t="shared" si="1"/>
        <v>kir#1956</v>
      </c>
      <c r="B8109" t="str">
        <f>IFERROR(__xludf.DUMMYFUNCTION("""COMPUTED_VALUE"""),"kir")</f>
        <v>kir</v>
      </c>
      <c r="C8109" t="str">
        <f>IFERROR(__xludf.DUMMYFUNCTION("""COMPUTED_VALUE"""),"Kiribati")</f>
        <v>Kiribati</v>
      </c>
      <c r="D8109">
        <f>IFERROR(__xludf.DUMMYFUNCTION("""COMPUTED_VALUE"""),1956.0)</f>
        <v>1956</v>
      </c>
      <c r="E8109">
        <f>IFERROR(__xludf.DUMMYFUNCTION("""COMPUTED_VALUE"""),37455.0)</f>
        <v>37455</v>
      </c>
    </row>
    <row r="8110">
      <c r="A8110" t="str">
        <f t="shared" si="1"/>
        <v>kir#1957</v>
      </c>
      <c r="B8110" t="str">
        <f>IFERROR(__xludf.DUMMYFUNCTION("""COMPUTED_VALUE"""),"kir")</f>
        <v>kir</v>
      </c>
      <c r="C8110" t="str">
        <f>IFERROR(__xludf.DUMMYFUNCTION("""COMPUTED_VALUE"""),"Kiribati")</f>
        <v>Kiribati</v>
      </c>
      <c r="D8110">
        <f>IFERROR(__xludf.DUMMYFUNCTION("""COMPUTED_VALUE"""),1957.0)</f>
        <v>1957</v>
      </c>
      <c r="E8110">
        <f>IFERROR(__xludf.DUMMYFUNCTION("""COMPUTED_VALUE"""),38346.0)</f>
        <v>38346</v>
      </c>
    </row>
    <row r="8111">
      <c r="A8111" t="str">
        <f t="shared" si="1"/>
        <v>kir#1958</v>
      </c>
      <c r="B8111" t="str">
        <f>IFERROR(__xludf.DUMMYFUNCTION("""COMPUTED_VALUE"""),"kir")</f>
        <v>kir</v>
      </c>
      <c r="C8111" t="str">
        <f>IFERROR(__xludf.DUMMYFUNCTION("""COMPUTED_VALUE"""),"Kiribati")</f>
        <v>Kiribati</v>
      </c>
      <c r="D8111">
        <f>IFERROR(__xludf.DUMMYFUNCTION("""COMPUTED_VALUE"""),1958.0)</f>
        <v>1958</v>
      </c>
      <c r="E8111">
        <f>IFERROR(__xludf.DUMMYFUNCTION("""COMPUTED_VALUE"""),39268.0)</f>
        <v>39268</v>
      </c>
    </row>
    <row r="8112">
      <c r="A8112" t="str">
        <f t="shared" si="1"/>
        <v>kir#1959</v>
      </c>
      <c r="B8112" t="str">
        <f>IFERROR(__xludf.DUMMYFUNCTION("""COMPUTED_VALUE"""),"kir")</f>
        <v>kir</v>
      </c>
      <c r="C8112" t="str">
        <f>IFERROR(__xludf.DUMMYFUNCTION("""COMPUTED_VALUE"""),"Kiribati")</f>
        <v>Kiribati</v>
      </c>
      <c r="D8112">
        <f>IFERROR(__xludf.DUMMYFUNCTION("""COMPUTED_VALUE"""),1959.0)</f>
        <v>1959</v>
      </c>
      <c r="E8112">
        <f>IFERROR(__xludf.DUMMYFUNCTION("""COMPUTED_VALUE"""),40240.0)</f>
        <v>40240</v>
      </c>
    </row>
    <row r="8113">
      <c r="A8113" t="str">
        <f t="shared" si="1"/>
        <v>kir#1960</v>
      </c>
      <c r="B8113" t="str">
        <f>IFERROR(__xludf.DUMMYFUNCTION("""COMPUTED_VALUE"""),"kir")</f>
        <v>kir</v>
      </c>
      <c r="C8113" t="str">
        <f>IFERROR(__xludf.DUMMYFUNCTION("""COMPUTED_VALUE"""),"Kiribati")</f>
        <v>Kiribati</v>
      </c>
      <c r="D8113">
        <f>IFERROR(__xludf.DUMMYFUNCTION("""COMPUTED_VALUE"""),1960.0)</f>
        <v>1960</v>
      </c>
      <c r="E8113">
        <f>IFERROR(__xludf.DUMMYFUNCTION("""COMPUTED_VALUE"""),41233.0)</f>
        <v>41233</v>
      </c>
    </row>
    <row r="8114">
      <c r="A8114" t="str">
        <f t="shared" si="1"/>
        <v>kir#1961</v>
      </c>
      <c r="B8114" t="str">
        <f>IFERROR(__xludf.DUMMYFUNCTION("""COMPUTED_VALUE"""),"kir")</f>
        <v>kir</v>
      </c>
      <c r="C8114" t="str">
        <f>IFERROR(__xludf.DUMMYFUNCTION("""COMPUTED_VALUE"""),"Kiribati")</f>
        <v>Kiribati</v>
      </c>
      <c r="D8114">
        <f>IFERROR(__xludf.DUMMYFUNCTION("""COMPUTED_VALUE"""),1961.0)</f>
        <v>1961</v>
      </c>
      <c r="E8114">
        <f>IFERROR(__xludf.DUMMYFUNCTION("""COMPUTED_VALUE"""),42257.0)</f>
        <v>42257</v>
      </c>
    </row>
    <row r="8115">
      <c r="A8115" t="str">
        <f t="shared" si="1"/>
        <v>kir#1962</v>
      </c>
      <c r="B8115" t="str">
        <f>IFERROR(__xludf.DUMMYFUNCTION("""COMPUTED_VALUE"""),"kir")</f>
        <v>kir</v>
      </c>
      <c r="C8115" t="str">
        <f>IFERROR(__xludf.DUMMYFUNCTION("""COMPUTED_VALUE"""),"Kiribati")</f>
        <v>Kiribati</v>
      </c>
      <c r="D8115">
        <f>IFERROR(__xludf.DUMMYFUNCTION("""COMPUTED_VALUE"""),1962.0)</f>
        <v>1962</v>
      </c>
      <c r="E8115">
        <f>IFERROR(__xludf.DUMMYFUNCTION("""COMPUTED_VALUE"""),43302.0)</f>
        <v>43302</v>
      </c>
    </row>
    <row r="8116">
      <c r="A8116" t="str">
        <f t="shared" si="1"/>
        <v>kir#1963</v>
      </c>
      <c r="B8116" t="str">
        <f>IFERROR(__xludf.DUMMYFUNCTION("""COMPUTED_VALUE"""),"kir")</f>
        <v>kir</v>
      </c>
      <c r="C8116" t="str">
        <f>IFERROR(__xludf.DUMMYFUNCTION("""COMPUTED_VALUE"""),"Kiribati")</f>
        <v>Kiribati</v>
      </c>
      <c r="D8116">
        <f>IFERROR(__xludf.DUMMYFUNCTION("""COMPUTED_VALUE"""),1963.0)</f>
        <v>1963</v>
      </c>
      <c r="E8116">
        <f>IFERROR(__xludf.DUMMYFUNCTION("""COMPUTED_VALUE"""),44363.0)</f>
        <v>44363</v>
      </c>
    </row>
    <row r="8117">
      <c r="A8117" t="str">
        <f t="shared" si="1"/>
        <v>kir#1964</v>
      </c>
      <c r="B8117" t="str">
        <f>IFERROR(__xludf.DUMMYFUNCTION("""COMPUTED_VALUE"""),"kir")</f>
        <v>kir</v>
      </c>
      <c r="C8117" t="str">
        <f>IFERROR(__xludf.DUMMYFUNCTION("""COMPUTED_VALUE"""),"Kiribati")</f>
        <v>Kiribati</v>
      </c>
      <c r="D8117">
        <f>IFERROR(__xludf.DUMMYFUNCTION("""COMPUTED_VALUE"""),1964.0)</f>
        <v>1964</v>
      </c>
      <c r="E8117">
        <f>IFERROR(__xludf.DUMMYFUNCTION("""COMPUTED_VALUE"""),45425.0)</f>
        <v>45425</v>
      </c>
    </row>
    <row r="8118">
      <c r="A8118" t="str">
        <f t="shared" si="1"/>
        <v>kir#1965</v>
      </c>
      <c r="B8118" t="str">
        <f>IFERROR(__xludf.DUMMYFUNCTION("""COMPUTED_VALUE"""),"kir")</f>
        <v>kir</v>
      </c>
      <c r="C8118" t="str">
        <f>IFERROR(__xludf.DUMMYFUNCTION("""COMPUTED_VALUE"""),"Kiribati")</f>
        <v>Kiribati</v>
      </c>
      <c r="D8118">
        <f>IFERROR(__xludf.DUMMYFUNCTION("""COMPUTED_VALUE"""),1965.0)</f>
        <v>1965</v>
      </c>
      <c r="E8118">
        <f>IFERROR(__xludf.DUMMYFUNCTION("""COMPUTED_VALUE"""),46453.0)</f>
        <v>46453</v>
      </c>
    </row>
    <row r="8119">
      <c r="A8119" t="str">
        <f t="shared" si="1"/>
        <v>kir#1966</v>
      </c>
      <c r="B8119" t="str">
        <f>IFERROR(__xludf.DUMMYFUNCTION("""COMPUTED_VALUE"""),"kir")</f>
        <v>kir</v>
      </c>
      <c r="C8119" t="str">
        <f>IFERROR(__xludf.DUMMYFUNCTION("""COMPUTED_VALUE"""),"Kiribati")</f>
        <v>Kiribati</v>
      </c>
      <c r="D8119">
        <f>IFERROR(__xludf.DUMMYFUNCTION("""COMPUTED_VALUE"""),1966.0)</f>
        <v>1966</v>
      </c>
      <c r="E8119">
        <f>IFERROR(__xludf.DUMMYFUNCTION("""COMPUTED_VALUE"""),47459.0)</f>
        <v>47459</v>
      </c>
    </row>
    <row r="8120">
      <c r="A8120" t="str">
        <f t="shared" si="1"/>
        <v>kir#1967</v>
      </c>
      <c r="B8120" t="str">
        <f>IFERROR(__xludf.DUMMYFUNCTION("""COMPUTED_VALUE"""),"kir")</f>
        <v>kir</v>
      </c>
      <c r="C8120" t="str">
        <f>IFERROR(__xludf.DUMMYFUNCTION("""COMPUTED_VALUE"""),"Kiribati")</f>
        <v>Kiribati</v>
      </c>
      <c r="D8120">
        <f>IFERROR(__xludf.DUMMYFUNCTION("""COMPUTED_VALUE"""),1967.0)</f>
        <v>1967</v>
      </c>
      <c r="E8120">
        <f>IFERROR(__xludf.DUMMYFUNCTION("""COMPUTED_VALUE"""),48437.0)</f>
        <v>48437</v>
      </c>
    </row>
    <row r="8121">
      <c r="A8121" t="str">
        <f t="shared" si="1"/>
        <v>kir#1968</v>
      </c>
      <c r="B8121" t="str">
        <f>IFERROR(__xludf.DUMMYFUNCTION("""COMPUTED_VALUE"""),"kir")</f>
        <v>kir</v>
      </c>
      <c r="C8121" t="str">
        <f>IFERROR(__xludf.DUMMYFUNCTION("""COMPUTED_VALUE"""),"Kiribati")</f>
        <v>Kiribati</v>
      </c>
      <c r="D8121">
        <f>IFERROR(__xludf.DUMMYFUNCTION("""COMPUTED_VALUE"""),1968.0)</f>
        <v>1968</v>
      </c>
      <c r="E8121">
        <f>IFERROR(__xludf.DUMMYFUNCTION("""COMPUTED_VALUE"""),49388.0)</f>
        <v>49388</v>
      </c>
    </row>
    <row r="8122">
      <c r="A8122" t="str">
        <f t="shared" si="1"/>
        <v>kir#1969</v>
      </c>
      <c r="B8122" t="str">
        <f>IFERROR(__xludf.DUMMYFUNCTION("""COMPUTED_VALUE"""),"kir")</f>
        <v>kir</v>
      </c>
      <c r="C8122" t="str">
        <f>IFERROR(__xludf.DUMMYFUNCTION("""COMPUTED_VALUE"""),"Kiribati")</f>
        <v>Kiribati</v>
      </c>
      <c r="D8122">
        <f>IFERROR(__xludf.DUMMYFUNCTION("""COMPUTED_VALUE"""),1969.0)</f>
        <v>1969</v>
      </c>
      <c r="E8122">
        <f>IFERROR(__xludf.DUMMYFUNCTION("""COMPUTED_VALUE"""),50294.0)</f>
        <v>50294</v>
      </c>
    </row>
    <row r="8123">
      <c r="A8123" t="str">
        <f t="shared" si="1"/>
        <v>kir#1970</v>
      </c>
      <c r="B8123" t="str">
        <f>IFERROR(__xludf.DUMMYFUNCTION("""COMPUTED_VALUE"""),"kir")</f>
        <v>kir</v>
      </c>
      <c r="C8123" t="str">
        <f>IFERROR(__xludf.DUMMYFUNCTION("""COMPUTED_VALUE"""),"Kiribati")</f>
        <v>Kiribati</v>
      </c>
      <c r="D8123">
        <f>IFERROR(__xludf.DUMMYFUNCTION("""COMPUTED_VALUE"""),1970.0)</f>
        <v>1970</v>
      </c>
      <c r="E8123">
        <f>IFERROR(__xludf.DUMMYFUNCTION("""COMPUTED_VALUE"""),51178.0)</f>
        <v>51178</v>
      </c>
    </row>
    <row r="8124">
      <c r="A8124" t="str">
        <f t="shared" si="1"/>
        <v>kir#1971</v>
      </c>
      <c r="B8124" t="str">
        <f>IFERROR(__xludf.DUMMYFUNCTION("""COMPUTED_VALUE"""),"kir")</f>
        <v>kir</v>
      </c>
      <c r="C8124" t="str">
        <f>IFERROR(__xludf.DUMMYFUNCTION("""COMPUTED_VALUE"""),"Kiribati")</f>
        <v>Kiribati</v>
      </c>
      <c r="D8124">
        <f>IFERROR(__xludf.DUMMYFUNCTION("""COMPUTED_VALUE"""),1971.0)</f>
        <v>1971</v>
      </c>
      <c r="E8124">
        <f>IFERROR(__xludf.DUMMYFUNCTION("""COMPUTED_VALUE"""),52025.0)</f>
        <v>52025</v>
      </c>
    </row>
    <row r="8125">
      <c r="A8125" t="str">
        <f t="shared" si="1"/>
        <v>kir#1972</v>
      </c>
      <c r="B8125" t="str">
        <f>IFERROR(__xludf.DUMMYFUNCTION("""COMPUTED_VALUE"""),"kir")</f>
        <v>kir</v>
      </c>
      <c r="C8125" t="str">
        <f>IFERROR(__xludf.DUMMYFUNCTION("""COMPUTED_VALUE"""),"Kiribati")</f>
        <v>Kiribati</v>
      </c>
      <c r="D8125">
        <f>IFERROR(__xludf.DUMMYFUNCTION("""COMPUTED_VALUE"""),1972.0)</f>
        <v>1972</v>
      </c>
      <c r="E8125">
        <f>IFERROR(__xludf.DUMMYFUNCTION("""COMPUTED_VALUE"""),52824.0)</f>
        <v>52824</v>
      </c>
    </row>
    <row r="8126">
      <c r="A8126" t="str">
        <f t="shared" si="1"/>
        <v>kir#1973</v>
      </c>
      <c r="B8126" t="str">
        <f>IFERROR(__xludf.DUMMYFUNCTION("""COMPUTED_VALUE"""),"kir")</f>
        <v>kir</v>
      </c>
      <c r="C8126" t="str">
        <f>IFERROR(__xludf.DUMMYFUNCTION("""COMPUTED_VALUE"""),"Kiribati")</f>
        <v>Kiribati</v>
      </c>
      <c r="D8126">
        <f>IFERROR(__xludf.DUMMYFUNCTION("""COMPUTED_VALUE"""),1973.0)</f>
        <v>1973</v>
      </c>
      <c r="E8126">
        <f>IFERROR(__xludf.DUMMYFUNCTION("""COMPUTED_VALUE"""),53604.0)</f>
        <v>53604</v>
      </c>
    </row>
    <row r="8127">
      <c r="A8127" t="str">
        <f t="shared" si="1"/>
        <v>kir#1974</v>
      </c>
      <c r="B8127" t="str">
        <f>IFERROR(__xludf.DUMMYFUNCTION("""COMPUTED_VALUE"""),"kir")</f>
        <v>kir</v>
      </c>
      <c r="C8127" t="str">
        <f>IFERROR(__xludf.DUMMYFUNCTION("""COMPUTED_VALUE"""),"Kiribati")</f>
        <v>Kiribati</v>
      </c>
      <c r="D8127">
        <f>IFERROR(__xludf.DUMMYFUNCTION("""COMPUTED_VALUE"""),1974.0)</f>
        <v>1974</v>
      </c>
      <c r="E8127">
        <f>IFERROR(__xludf.DUMMYFUNCTION("""COMPUTED_VALUE"""),54380.0)</f>
        <v>54380</v>
      </c>
    </row>
    <row r="8128">
      <c r="A8128" t="str">
        <f t="shared" si="1"/>
        <v>kir#1975</v>
      </c>
      <c r="B8128" t="str">
        <f>IFERROR(__xludf.DUMMYFUNCTION("""COMPUTED_VALUE"""),"kir")</f>
        <v>kir</v>
      </c>
      <c r="C8128" t="str">
        <f>IFERROR(__xludf.DUMMYFUNCTION("""COMPUTED_VALUE"""),"Kiribati")</f>
        <v>Kiribati</v>
      </c>
      <c r="D8128">
        <f>IFERROR(__xludf.DUMMYFUNCTION("""COMPUTED_VALUE"""),1975.0)</f>
        <v>1975</v>
      </c>
      <c r="E8128">
        <f>IFERROR(__xludf.DUMMYFUNCTION("""COMPUTED_VALUE"""),55169.0)</f>
        <v>55169</v>
      </c>
    </row>
    <row r="8129">
      <c r="A8129" t="str">
        <f t="shared" si="1"/>
        <v>kir#1976</v>
      </c>
      <c r="B8129" t="str">
        <f>IFERROR(__xludf.DUMMYFUNCTION("""COMPUTED_VALUE"""),"kir")</f>
        <v>kir</v>
      </c>
      <c r="C8129" t="str">
        <f>IFERROR(__xludf.DUMMYFUNCTION("""COMPUTED_VALUE"""),"Kiribati")</f>
        <v>Kiribati</v>
      </c>
      <c r="D8129">
        <f>IFERROR(__xludf.DUMMYFUNCTION("""COMPUTED_VALUE"""),1976.0)</f>
        <v>1976</v>
      </c>
      <c r="E8129">
        <f>IFERROR(__xludf.DUMMYFUNCTION("""COMPUTED_VALUE"""),55977.0)</f>
        <v>55977</v>
      </c>
    </row>
    <row r="8130">
      <c r="A8130" t="str">
        <f t="shared" si="1"/>
        <v>kir#1977</v>
      </c>
      <c r="B8130" t="str">
        <f>IFERROR(__xludf.DUMMYFUNCTION("""COMPUTED_VALUE"""),"kir")</f>
        <v>kir</v>
      </c>
      <c r="C8130" t="str">
        <f>IFERROR(__xludf.DUMMYFUNCTION("""COMPUTED_VALUE"""),"Kiribati")</f>
        <v>Kiribati</v>
      </c>
      <c r="D8130">
        <f>IFERROR(__xludf.DUMMYFUNCTION("""COMPUTED_VALUE"""),1977.0)</f>
        <v>1977</v>
      </c>
      <c r="E8130">
        <f>IFERROR(__xludf.DUMMYFUNCTION("""COMPUTED_VALUE"""),56810.0)</f>
        <v>56810</v>
      </c>
    </row>
    <row r="8131">
      <c r="A8131" t="str">
        <f t="shared" si="1"/>
        <v>kir#1978</v>
      </c>
      <c r="B8131" t="str">
        <f>IFERROR(__xludf.DUMMYFUNCTION("""COMPUTED_VALUE"""),"kir")</f>
        <v>kir</v>
      </c>
      <c r="C8131" t="str">
        <f>IFERROR(__xludf.DUMMYFUNCTION("""COMPUTED_VALUE"""),"Kiribati")</f>
        <v>Kiribati</v>
      </c>
      <c r="D8131">
        <f>IFERROR(__xludf.DUMMYFUNCTION("""COMPUTED_VALUE"""),1978.0)</f>
        <v>1978</v>
      </c>
      <c r="E8131">
        <f>IFERROR(__xludf.DUMMYFUNCTION("""COMPUTED_VALUE"""),57662.0)</f>
        <v>57662</v>
      </c>
    </row>
    <row r="8132">
      <c r="A8132" t="str">
        <f t="shared" si="1"/>
        <v>kir#1979</v>
      </c>
      <c r="B8132" t="str">
        <f>IFERROR(__xludf.DUMMYFUNCTION("""COMPUTED_VALUE"""),"kir")</f>
        <v>kir</v>
      </c>
      <c r="C8132" t="str">
        <f>IFERROR(__xludf.DUMMYFUNCTION("""COMPUTED_VALUE"""),"Kiribati")</f>
        <v>Kiribati</v>
      </c>
      <c r="D8132">
        <f>IFERROR(__xludf.DUMMYFUNCTION("""COMPUTED_VALUE"""),1979.0)</f>
        <v>1979</v>
      </c>
      <c r="E8132">
        <f>IFERROR(__xludf.DUMMYFUNCTION("""COMPUTED_VALUE"""),58506.0)</f>
        <v>58506</v>
      </c>
    </row>
    <row r="8133">
      <c r="A8133" t="str">
        <f t="shared" si="1"/>
        <v>kir#1980</v>
      </c>
      <c r="B8133" t="str">
        <f>IFERROR(__xludf.DUMMYFUNCTION("""COMPUTED_VALUE"""),"kir")</f>
        <v>kir</v>
      </c>
      <c r="C8133" t="str">
        <f>IFERROR(__xludf.DUMMYFUNCTION("""COMPUTED_VALUE"""),"Kiribati")</f>
        <v>Kiribati</v>
      </c>
      <c r="D8133">
        <f>IFERROR(__xludf.DUMMYFUNCTION("""COMPUTED_VALUE"""),1980.0)</f>
        <v>1980</v>
      </c>
      <c r="E8133">
        <f>IFERROR(__xludf.DUMMYFUNCTION("""COMPUTED_VALUE"""),59339.0)</f>
        <v>59339</v>
      </c>
    </row>
    <row r="8134">
      <c r="A8134" t="str">
        <f t="shared" si="1"/>
        <v>kir#1981</v>
      </c>
      <c r="B8134" t="str">
        <f>IFERROR(__xludf.DUMMYFUNCTION("""COMPUTED_VALUE"""),"kir")</f>
        <v>kir</v>
      </c>
      <c r="C8134" t="str">
        <f>IFERROR(__xludf.DUMMYFUNCTION("""COMPUTED_VALUE"""),"Kiribati")</f>
        <v>Kiribati</v>
      </c>
      <c r="D8134">
        <f>IFERROR(__xludf.DUMMYFUNCTION("""COMPUTED_VALUE"""),1981.0)</f>
        <v>1981</v>
      </c>
      <c r="E8134">
        <f>IFERROR(__xludf.DUMMYFUNCTION("""COMPUTED_VALUE"""),60133.0)</f>
        <v>60133</v>
      </c>
    </row>
    <row r="8135">
      <c r="A8135" t="str">
        <f t="shared" si="1"/>
        <v>kir#1982</v>
      </c>
      <c r="B8135" t="str">
        <f>IFERROR(__xludf.DUMMYFUNCTION("""COMPUTED_VALUE"""),"kir")</f>
        <v>kir</v>
      </c>
      <c r="C8135" t="str">
        <f>IFERROR(__xludf.DUMMYFUNCTION("""COMPUTED_VALUE"""),"Kiribati")</f>
        <v>Kiribati</v>
      </c>
      <c r="D8135">
        <f>IFERROR(__xludf.DUMMYFUNCTION("""COMPUTED_VALUE"""),1982.0)</f>
        <v>1982</v>
      </c>
      <c r="E8135">
        <f>IFERROR(__xludf.DUMMYFUNCTION("""COMPUTED_VALUE"""),60920.0)</f>
        <v>60920</v>
      </c>
    </row>
    <row r="8136">
      <c r="A8136" t="str">
        <f t="shared" si="1"/>
        <v>kir#1983</v>
      </c>
      <c r="B8136" t="str">
        <f>IFERROR(__xludf.DUMMYFUNCTION("""COMPUTED_VALUE"""),"kir")</f>
        <v>kir</v>
      </c>
      <c r="C8136" t="str">
        <f>IFERROR(__xludf.DUMMYFUNCTION("""COMPUTED_VALUE"""),"Kiribati")</f>
        <v>Kiribati</v>
      </c>
      <c r="D8136">
        <f>IFERROR(__xludf.DUMMYFUNCTION("""COMPUTED_VALUE"""),1983.0)</f>
        <v>1983</v>
      </c>
      <c r="E8136">
        <f>IFERROR(__xludf.DUMMYFUNCTION("""COMPUTED_VALUE"""),61768.0)</f>
        <v>61768</v>
      </c>
    </row>
    <row r="8137">
      <c r="A8137" t="str">
        <f t="shared" si="1"/>
        <v>kir#1984</v>
      </c>
      <c r="B8137" t="str">
        <f>IFERROR(__xludf.DUMMYFUNCTION("""COMPUTED_VALUE"""),"kir")</f>
        <v>kir</v>
      </c>
      <c r="C8137" t="str">
        <f>IFERROR(__xludf.DUMMYFUNCTION("""COMPUTED_VALUE"""),"Kiribati")</f>
        <v>Kiribati</v>
      </c>
      <c r="D8137">
        <f>IFERROR(__xludf.DUMMYFUNCTION("""COMPUTED_VALUE"""),1984.0)</f>
        <v>1984</v>
      </c>
      <c r="E8137">
        <f>IFERROR(__xludf.DUMMYFUNCTION("""COMPUTED_VALUE"""),62765.0)</f>
        <v>62765</v>
      </c>
    </row>
    <row r="8138">
      <c r="A8138" t="str">
        <f t="shared" si="1"/>
        <v>kir#1985</v>
      </c>
      <c r="B8138" t="str">
        <f>IFERROR(__xludf.DUMMYFUNCTION("""COMPUTED_VALUE"""),"kir")</f>
        <v>kir</v>
      </c>
      <c r="C8138" t="str">
        <f>IFERROR(__xludf.DUMMYFUNCTION("""COMPUTED_VALUE"""),"Kiribati")</f>
        <v>Kiribati</v>
      </c>
      <c r="D8138">
        <f>IFERROR(__xludf.DUMMYFUNCTION("""COMPUTED_VALUE"""),1985.0)</f>
        <v>1985</v>
      </c>
      <c r="E8138">
        <f>IFERROR(__xludf.DUMMYFUNCTION("""COMPUTED_VALUE"""),64003.0)</f>
        <v>64003</v>
      </c>
    </row>
    <row r="8139">
      <c r="A8139" t="str">
        <f t="shared" si="1"/>
        <v>kir#1986</v>
      </c>
      <c r="B8139" t="str">
        <f>IFERROR(__xludf.DUMMYFUNCTION("""COMPUTED_VALUE"""),"kir")</f>
        <v>kir</v>
      </c>
      <c r="C8139" t="str">
        <f>IFERROR(__xludf.DUMMYFUNCTION("""COMPUTED_VALUE"""),"Kiribati")</f>
        <v>Kiribati</v>
      </c>
      <c r="D8139">
        <f>IFERROR(__xludf.DUMMYFUNCTION("""COMPUTED_VALUE"""),1986.0)</f>
        <v>1986</v>
      </c>
      <c r="E8139">
        <f>IFERROR(__xludf.DUMMYFUNCTION("""COMPUTED_VALUE"""),65518.0)</f>
        <v>65518</v>
      </c>
    </row>
    <row r="8140">
      <c r="A8140" t="str">
        <f t="shared" si="1"/>
        <v>kir#1987</v>
      </c>
      <c r="B8140" t="str">
        <f>IFERROR(__xludf.DUMMYFUNCTION("""COMPUTED_VALUE"""),"kir")</f>
        <v>kir</v>
      </c>
      <c r="C8140" t="str">
        <f>IFERROR(__xludf.DUMMYFUNCTION("""COMPUTED_VALUE"""),"Kiribati")</f>
        <v>Kiribati</v>
      </c>
      <c r="D8140">
        <f>IFERROR(__xludf.DUMMYFUNCTION("""COMPUTED_VALUE"""),1987.0)</f>
        <v>1987</v>
      </c>
      <c r="E8140">
        <f>IFERROR(__xludf.DUMMYFUNCTION("""COMPUTED_VALUE"""),67261.0)</f>
        <v>67261</v>
      </c>
    </row>
    <row r="8141">
      <c r="A8141" t="str">
        <f t="shared" si="1"/>
        <v>kir#1988</v>
      </c>
      <c r="B8141" t="str">
        <f>IFERROR(__xludf.DUMMYFUNCTION("""COMPUTED_VALUE"""),"kir")</f>
        <v>kir</v>
      </c>
      <c r="C8141" t="str">
        <f>IFERROR(__xludf.DUMMYFUNCTION("""COMPUTED_VALUE"""),"Kiribati")</f>
        <v>Kiribati</v>
      </c>
      <c r="D8141">
        <f>IFERROR(__xludf.DUMMYFUNCTION("""COMPUTED_VALUE"""),1988.0)</f>
        <v>1988</v>
      </c>
      <c r="E8141">
        <f>IFERROR(__xludf.DUMMYFUNCTION("""COMPUTED_VALUE"""),69098.0)</f>
        <v>69098</v>
      </c>
    </row>
    <row r="8142">
      <c r="A8142" t="str">
        <f t="shared" si="1"/>
        <v>kir#1989</v>
      </c>
      <c r="B8142" t="str">
        <f>IFERROR(__xludf.DUMMYFUNCTION("""COMPUTED_VALUE"""),"kir")</f>
        <v>kir</v>
      </c>
      <c r="C8142" t="str">
        <f>IFERROR(__xludf.DUMMYFUNCTION("""COMPUTED_VALUE"""),"Kiribati")</f>
        <v>Kiribati</v>
      </c>
      <c r="D8142">
        <f>IFERROR(__xludf.DUMMYFUNCTION("""COMPUTED_VALUE"""),1989.0)</f>
        <v>1989</v>
      </c>
      <c r="E8142">
        <f>IFERROR(__xludf.DUMMYFUNCTION("""COMPUTED_VALUE"""),70860.0)</f>
        <v>70860</v>
      </c>
    </row>
    <row r="8143">
      <c r="A8143" t="str">
        <f t="shared" si="1"/>
        <v>kir#1990</v>
      </c>
      <c r="B8143" t="str">
        <f>IFERROR(__xludf.DUMMYFUNCTION("""COMPUTED_VALUE"""),"kir")</f>
        <v>kir</v>
      </c>
      <c r="C8143" t="str">
        <f>IFERROR(__xludf.DUMMYFUNCTION("""COMPUTED_VALUE"""),"Kiribati")</f>
        <v>Kiribati</v>
      </c>
      <c r="D8143">
        <f>IFERROR(__xludf.DUMMYFUNCTION("""COMPUTED_VALUE"""),1990.0)</f>
        <v>1990</v>
      </c>
      <c r="E8143">
        <f>IFERROR(__xludf.DUMMYFUNCTION("""COMPUTED_VALUE"""),72412.0)</f>
        <v>72412</v>
      </c>
    </row>
    <row r="8144">
      <c r="A8144" t="str">
        <f t="shared" si="1"/>
        <v>kir#1991</v>
      </c>
      <c r="B8144" t="str">
        <f>IFERROR(__xludf.DUMMYFUNCTION("""COMPUTED_VALUE"""),"kir")</f>
        <v>kir</v>
      </c>
      <c r="C8144" t="str">
        <f>IFERROR(__xludf.DUMMYFUNCTION("""COMPUTED_VALUE"""),"Kiribati")</f>
        <v>Kiribati</v>
      </c>
      <c r="D8144">
        <f>IFERROR(__xludf.DUMMYFUNCTION("""COMPUTED_VALUE"""),1991.0)</f>
        <v>1991</v>
      </c>
      <c r="E8144">
        <f>IFERROR(__xludf.DUMMYFUNCTION("""COMPUTED_VALUE"""),73700.0)</f>
        <v>73700</v>
      </c>
    </row>
    <row r="8145">
      <c r="A8145" t="str">
        <f t="shared" si="1"/>
        <v>kir#1992</v>
      </c>
      <c r="B8145" t="str">
        <f>IFERROR(__xludf.DUMMYFUNCTION("""COMPUTED_VALUE"""),"kir")</f>
        <v>kir</v>
      </c>
      <c r="C8145" t="str">
        <f>IFERROR(__xludf.DUMMYFUNCTION("""COMPUTED_VALUE"""),"Kiribati")</f>
        <v>Kiribati</v>
      </c>
      <c r="D8145">
        <f>IFERROR(__xludf.DUMMYFUNCTION("""COMPUTED_VALUE"""),1992.0)</f>
        <v>1992</v>
      </c>
      <c r="E8145">
        <f>IFERROR(__xludf.DUMMYFUNCTION("""COMPUTED_VALUE"""),74769.0)</f>
        <v>74769</v>
      </c>
    </row>
    <row r="8146">
      <c r="A8146" t="str">
        <f t="shared" si="1"/>
        <v>kir#1993</v>
      </c>
      <c r="B8146" t="str">
        <f>IFERROR(__xludf.DUMMYFUNCTION("""COMPUTED_VALUE"""),"kir")</f>
        <v>kir</v>
      </c>
      <c r="C8146" t="str">
        <f>IFERROR(__xludf.DUMMYFUNCTION("""COMPUTED_VALUE"""),"Kiribati")</f>
        <v>Kiribati</v>
      </c>
      <c r="D8146">
        <f>IFERROR(__xludf.DUMMYFUNCTION("""COMPUTED_VALUE"""),1993.0)</f>
        <v>1993</v>
      </c>
      <c r="E8146">
        <f>IFERROR(__xludf.DUMMYFUNCTION("""COMPUTED_VALUE"""),75719.0)</f>
        <v>75719</v>
      </c>
    </row>
    <row r="8147">
      <c r="A8147" t="str">
        <f t="shared" si="1"/>
        <v>kir#1994</v>
      </c>
      <c r="B8147" t="str">
        <f>IFERROR(__xludf.DUMMYFUNCTION("""COMPUTED_VALUE"""),"kir")</f>
        <v>kir</v>
      </c>
      <c r="C8147" t="str">
        <f>IFERROR(__xludf.DUMMYFUNCTION("""COMPUTED_VALUE"""),"Kiribati")</f>
        <v>Kiribati</v>
      </c>
      <c r="D8147">
        <f>IFERROR(__xludf.DUMMYFUNCTION("""COMPUTED_VALUE"""),1994.0)</f>
        <v>1994</v>
      </c>
      <c r="E8147">
        <f>IFERROR(__xludf.DUMMYFUNCTION("""COMPUTED_VALUE"""),76671.0)</f>
        <v>76671</v>
      </c>
    </row>
    <row r="8148">
      <c r="A8148" t="str">
        <f t="shared" si="1"/>
        <v>kir#1995</v>
      </c>
      <c r="B8148" t="str">
        <f>IFERROR(__xludf.DUMMYFUNCTION("""COMPUTED_VALUE"""),"kir")</f>
        <v>kir</v>
      </c>
      <c r="C8148" t="str">
        <f>IFERROR(__xludf.DUMMYFUNCTION("""COMPUTED_VALUE"""),"Kiribati")</f>
        <v>Kiribati</v>
      </c>
      <c r="D8148">
        <f>IFERROR(__xludf.DUMMYFUNCTION("""COMPUTED_VALUE"""),1995.0)</f>
        <v>1995</v>
      </c>
      <c r="E8148">
        <f>IFERROR(__xludf.DUMMYFUNCTION("""COMPUTED_VALUE"""),77730.0)</f>
        <v>77730</v>
      </c>
    </row>
    <row r="8149">
      <c r="A8149" t="str">
        <f t="shared" si="1"/>
        <v>kir#1996</v>
      </c>
      <c r="B8149" t="str">
        <f>IFERROR(__xludf.DUMMYFUNCTION("""COMPUTED_VALUE"""),"kir")</f>
        <v>kir</v>
      </c>
      <c r="C8149" t="str">
        <f>IFERROR(__xludf.DUMMYFUNCTION("""COMPUTED_VALUE"""),"Kiribati")</f>
        <v>Kiribati</v>
      </c>
      <c r="D8149">
        <f>IFERROR(__xludf.DUMMYFUNCTION("""COMPUTED_VALUE"""),1996.0)</f>
        <v>1996</v>
      </c>
      <c r="E8149">
        <f>IFERROR(__xludf.DUMMYFUNCTION("""COMPUTED_VALUE"""),78907.0)</f>
        <v>78907</v>
      </c>
    </row>
    <row r="8150">
      <c r="A8150" t="str">
        <f t="shared" si="1"/>
        <v>kir#1997</v>
      </c>
      <c r="B8150" t="str">
        <f>IFERROR(__xludf.DUMMYFUNCTION("""COMPUTED_VALUE"""),"kir")</f>
        <v>kir</v>
      </c>
      <c r="C8150" t="str">
        <f>IFERROR(__xludf.DUMMYFUNCTION("""COMPUTED_VALUE"""),"Kiribati")</f>
        <v>Kiribati</v>
      </c>
      <c r="D8150">
        <f>IFERROR(__xludf.DUMMYFUNCTION("""COMPUTED_VALUE"""),1997.0)</f>
        <v>1997</v>
      </c>
      <c r="E8150">
        <f>IFERROR(__xludf.DUMMYFUNCTION("""COMPUTED_VALUE"""),80184.0)</f>
        <v>80184</v>
      </c>
    </row>
    <row r="8151">
      <c r="A8151" t="str">
        <f t="shared" si="1"/>
        <v>kir#1998</v>
      </c>
      <c r="B8151" t="str">
        <f>IFERROR(__xludf.DUMMYFUNCTION("""COMPUTED_VALUE"""),"kir")</f>
        <v>kir</v>
      </c>
      <c r="C8151" t="str">
        <f>IFERROR(__xludf.DUMMYFUNCTION("""COMPUTED_VALUE"""),"Kiribati")</f>
        <v>Kiribati</v>
      </c>
      <c r="D8151">
        <f>IFERROR(__xludf.DUMMYFUNCTION("""COMPUTED_VALUE"""),1998.0)</f>
        <v>1998</v>
      </c>
      <c r="E8151">
        <f>IFERROR(__xludf.DUMMYFUNCTION("""COMPUTED_VALUE"""),81550.0)</f>
        <v>81550</v>
      </c>
    </row>
    <row r="8152">
      <c r="A8152" t="str">
        <f t="shared" si="1"/>
        <v>kir#1999</v>
      </c>
      <c r="B8152" t="str">
        <f>IFERROR(__xludf.DUMMYFUNCTION("""COMPUTED_VALUE"""),"kir")</f>
        <v>kir</v>
      </c>
      <c r="C8152" t="str">
        <f>IFERROR(__xludf.DUMMYFUNCTION("""COMPUTED_VALUE"""),"Kiribati")</f>
        <v>Kiribati</v>
      </c>
      <c r="D8152">
        <f>IFERROR(__xludf.DUMMYFUNCTION("""COMPUTED_VALUE"""),1999.0)</f>
        <v>1999</v>
      </c>
      <c r="E8152">
        <f>IFERROR(__xludf.DUMMYFUNCTION("""COMPUTED_VALUE"""),82966.0)</f>
        <v>82966</v>
      </c>
    </row>
    <row r="8153">
      <c r="A8153" t="str">
        <f t="shared" si="1"/>
        <v>kir#2000</v>
      </c>
      <c r="B8153" t="str">
        <f>IFERROR(__xludf.DUMMYFUNCTION("""COMPUTED_VALUE"""),"kir")</f>
        <v>kir</v>
      </c>
      <c r="C8153" t="str">
        <f>IFERROR(__xludf.DUMMYFUNCTION("""COMPUTED_VALUE"""),"Kiribati")</f>
        <v>Kiribati</v>
      </c>
      <c r="D8153">
        <f>IFERROR(__xludf.DUMMYFUNCTION("""COMPUTED_VALUE"""),2000.0)</f>
        <v>2000</v>
      </c>
      <c r="E8153">
        <f>IFERROR(__xludf.DUMMYFUNCTION("""COMPUTED_VALUE"""),84406.0)</f>
        <v>84406</v>
      </c>
    </row>
    <row r="8154">
      <c r="A8154" t="str">
        <f t="shared" si="1"/>
        <v>kir#2001</v>
      </c>
      <c r="B8154" t="str">
        <f>IFERROR(__xludf.DUMMYFUNCTION("""COMPUTED_VALUE"""),"kir")</f>
        <v>kir</v>
      </c>
      <c r="C8154" t="str">
        <f>IFERROR(__xludf.DUMMYFUNCTION("""COMPUTED_VALUE"""),"Kiribati")</f>
        <v>Kiribati</v>
      </c>
      <c r="D8154">
        <f>IFERROR(__xludf.DUMMYFUNCTION("""COMPUTED_VALUE"""),2001.0)</f>
        <v>2001</v>
      </c>
      <c r="E8154">
        <f>IFERROR(__xludf.DUMMYFUNCTION("""COMPUTED_VALUE"""),85858.0)</f>
        <v>85858</v>
      </c>
    </row>
    <row r="8155">
      <c r="A8155" t="str">
        <f t="shared" si="1"/>
        <v>kir#2002</v>
      </c>
      <c r="B8155" t="str">
        <f>IFERROR(__xludf.DUMMYFUNCTION("""COMPUTED_VALUE"""),"kir")</f>
        <v>kir</v>
      </c>
      <c r="C8155" t="str">
        <f>IFERROR(__xludf.DUMMYFUNCTION("""COMPUTED_VALUE"""),"Kiribati")</f>
        <v>Kiribati</v>
      </c>
      <c r="D8155">
        <f>IFERROR(__xludf.DUMMYFUNCTION("""COMPUTED_VALUE"""),2002.0)</f>
        <v>2002</v>
      </c>
      <c r="E8155">
        <f>IFERROR(__xludf.DUMMYFUNCTION("""COMPUTED_VALUE"""),87343.0)</f>
        <v>87343</v>
      </c>
    </row>
    <row r="8156">
      <c r="A8156" t="str">
        <f t="shared" si="1"/>
        <v>kir#2003</v>
      </c>
      <c r="B8156" t="str">
        <f>IFERROR(__xludf.DUMMYFUNCTION("""COMPUTED_VALUE"""),"kir")</f>
        <v>kir</v>
      </c>
      <c r="C8156" t="str">
        <f>IFERROR(__xludf.DUMMYFUNCTION("""COMPUTED_VALUE"""),"Kiribati")</f>
        <v>Kiribati</v>
      </c>
      <c r="D8156">
        <f>IFERROR(__xludf.DUMMYFUNCTION("""COMPUTED_VALUE"""),2003.0)</f>
        <v>2003</v>
      </c>
      <c r="E8156">
        <f>IFERROR(__xludf.DUMMYFUNCTION("""COMPUTED_VALUE"""),88895.0)</f>
        <v>88895</v>
      </c>
    </row>
    <row r="8157">
      <c r="A8157" t="str">
        <f t="shared" si="1"/>
        <v>kir#2004</v>
      </c>
      <c r="B8157" t="str">
        <f>IFERROR(__xludf.DUMMYFUNCTION("""COMPUTED_VALUE"""),"kir")</f>
        <v>kir</v>
      </c>
      <c r="C8157" t="str">
        <f>IFERROR(__xludf.DUMMYFUNCTION("""COMPUTED_VALUE"""),"Kiribati")</f>
        <v>Kiribati</v>
      </c>
      <c r="D8157">
        <f>IFERROR(__xludf.DUMMYFUNCTION("""COMPUTED_VALUE"""),2004.0)</f>
        <v>2004</v>
      </c>
      <c r="E8157">
        <f>IFERROR(__xludf.DUMMYFUNCTION("""COMPUTED_VALUE"""),90542.0)</f>
        <v>90542</v>
      </c>
    </row>
    <row r="8158">
      <c r="A8158" t="str">
        <f t="shared" si="1"/>
        <v>kir#2005</v>
      </c>
      <c r="B8158" t="str">
        <f>IFERROR(__xludf.DUMMYFUNCTION("""COMPUTED_VALUE"""),"kir")</f>
        <v>kir</v>
      </c>
      <c r="C8158" t="str">
        <f>IFERROR(__xludf.DUMMYFUNCTION("""COMPUTED_VALUE"""),"Kiribati")</f>
        <v>Kiribati</v>
      </c>
      <c r="D8158">
        <f>IFERROR(__xludf.DUMMYFUNCTION("""COMPUTED_VALUE"""),2005.0)</f>
        <v>2005</v>
      </c>
      <c r="E8158">
        <f>IFERROR(__xludf.DUMMYFUNCTION("""COMPUTED_VALUE"""),92325.0)</f>
        <v>92325</v>
      </c>
    </row>
    <row r="8159">
      <c r="A8159" t="str">
        <f t="shared" si="1"/>
        <v>kir#2006</v>
      </c>
      <c r="B8159" t="str">
        <f>IFERROR(__xludf.DUMMYFUNCTION("""COMPUTED_VALUE"""),"kir")</f>
        <v>kir</v>
      </c>
      <c r="C8159" t="str">
        <f>IFERROR(__xludf.DUMMYFUNCTION("""COMPUTED_VALUE"""),"Kiribati")</f>
        <v>Kiribati</v>
      </c>
      <c r="D8159">
        <f>IFERROR(__xludf.DUMMYFUNCTION("""COMPUTED_VALUE"""),2006.0)</f>
        <v>2006</v>
      </c>
      <c r="E8159">
        <f>IFERROR(__xludf.DUMMYFUNCTION("""COMPUTED_VALUE"""),94260.0)</f>
        <v>94260</v>
      </c>
    </row>
    <row r="8160">
      <c r="A8160" t="str">
        <f t="shared" si="1"/>
        <v>kir#2007</v>
      </c>
      <c r="B8160" t="str">
        <f>IFERROR(__xludf.DUMMYFUNCTION("""COMPUTED_VALUE"""),"kir")</f>
        <v>kir</v>
      </c>
      <c r="C8160" t="str">
        <f>IFERROR(__xludf.DUMMYFUNCTION("""COMPUTED_VALUE"""),"Kiribati")</f>
        <v>Kiribati</v>
      </c>
      <c r="D8160">
        <f>IFERROR(__xludf.DUMMYFUNCTION("""COMPUTED_VALUE"""),2007.0)</f>
        <v>2007</v>
      </c>
      <c r="E8160">
        <f>IFERROR(__xludf.DUMMYFUNCTION("""COMPUTED_VALUE"""),96311.0)</f>
        <v>96311</v>
      </c>
    </row>
    <row r="8161">
      <c r="A8161" t="str">
        <f t="shared" si="1"/>
        <v>kir#2008</v>
      </c>
      <c r="B8161" t="str">
        <f>IFERROR(__xludf.DUMMYFUNCTION("""COMPUTED_VALUE"""),"kir")</f>
        <v>kir</v>
      </c>
      <c r="C8161" t="str">
        <f>IFERROR(__xludf.DUMMYFUNCTION("""COMPUTED_VALUE"""),"Kiribati")</f>
        <v>Kiribati</v>
      </c>
      <c r="D8161">
        <f>IFERROR(__xludf.DUMMYFUNCTION("""COMPUTED_VALUE"""),2008.0)</f>
        <v>2008</v>
      </c>
      <c r="E8161">
        <f>IFERROR(__xludf.DUMMYFUNCTION("""COMPUTED_VALUE"""),98440.0)</f>
        <v>98440</v>
      </c>
    </row>
    <row r="8162">
      <c r="A8162" t="str">
        <f t="shared" si="1"/>
        <v>kir#2009</v>
      </c>
      <c r="B8162" t="str">
        <f>IFERROR(__xludf.DUMMYFUNCTION("""COMPUTED_VALUE"""),"kir")</f>
        <v>kir</v>
      </c>
      <c r="C8162" t="str">
        <f>IFERROR(__xludf.DUMMYFUNCTION("""COMPUTED_VALUE"""),"Kiribati")</f>
        <v>Kiribati</v>
      </c>
      <c r="D8162">
        <f>IFERROR(__xludf.DUMMYFUNCTION("""COMPUTED_VALUE"""),2009.0)</f>
        <v>2009</v>
      </c>
      <c r="E8162">
        <f>IFERROR(__xludf.DUMMYFUNCTION("""COMPUTED_VALUE"""),100568.0)</f>
        <v>100568</v>
      </c>
    </row>
    <row r="8163">
      <c r="A8163" t="str">
        <f t="shared" si="1"/>
        <v>kir#2010</v>
      </c>
      <c r="B8163" t="str">
        <f>IFERROR(__xludf.DUMMYFUNCTION("""COMPUTED_VALUE"""),"kir")</f>
        <v>kir</v>
      </c>
      <c r="C8163" t="str">
        <f>IFERROR(__xludf.DUMMYFUNCTION("""COMPUTED_VALUE"""),"Kiribati")</f>
        <v>Kiribati</v>
      </c>
      <c r="D8163">
        <f>IFERROR(__xludf.DUMMYFUNCTION("""COMPUTED_VALUE"""),2010.0)</f>
        <v>2010</v>
      </c>
      <c r="E8163">
        <f>IFERROR(__xludf.DUMMYFUNCTION("""COMPUTED_VALUE"""),102652.0)</f>
        <v>102652</v>
      </c>
    </row>
    <row r="8164">
      <c r="A8164" t="str">
        <f t="shared" si="1"/>
        <v>kir#2011</v>
      </c>
      <c r="B8164" t="str">
        <f>IFERROR(__xludf.DUMMYFUNCTION("""COMPUTED_VALUE"""),"kir")</f>
        <v>kir</v>
      </c>
      <c r="C8164" t="str">
        <f>IFERROR(__xludf.DUMMYFUNCTION("""COMPUTED_VALUE"""),"Kiribati")</f>
        <v>Kiribati</v>
      </c>
      <c r="D8164">
        <f>IFERROR(__xludf.DUMMYFUNCTION("""COMPUTED_VALUE"""),2011.0)</f>
        <v>2011</v>
      </c>
      <c r="E8164">
        <f>IFERROR(__xludf.DUMMYFUNCTION("""COMPUTED_VALUE"""),104656.0)</f>
        <v>104656</v>
      </c>
    </row>
    <row r="8165">
      <c r="A8165" t="str">
        <f t="shared" si="1"/>
        <v>kir#2012</v>
      </c>
      <c r="B8165" t="str">
        <f>IFERROR(__xludf.DUMMYFUNCTION("""COMPUTED_VALUE"""),"kir")</f>
        <v>kir</v>
      </c>
      <c r="C8165" t="str">
        <f>IFERROR(__xludf.DUMMYFUNCTION("""COMPUTED_VALUE"""),"Kiribati")</f>
        <v>Kiribati</v>
      </c>
      <c r="D8165">
        <f>IFERROR(__xludf.DUMMYFUNCTION("""COMPUTED_VALUE"""),2012.0)</f>
        <v>2012</v>
      </c>
      <c r="E8165">
        <f>IFERROR(__xludf.DUMMYFUNCTION("""COMPUTED_VALUE"""),106613.0)</f>
        <v>106613</v>
      </c>
    </row>
    <row r="8166">
      <c r="A8166" t="str">
        <f t="shared" si="1"/>
        <v>kir#2013</v>
      </c>
      <c r="B8166" t="str">
        <f>IFERROR(__xludf.DUMMYFUNCTION("""COMPUTED_VALUE"""),"kir")</f>
        <v>kir</v>
      </c>
      <c r="C8166" t="str">
        <f>IFERROR(__xludf.DUMMYFUNCTION("""COMPUTED_VALUE"""),"Kiribati")</f>
        <v>Kiribati</v>
      </c>
      <c r="D8166">
        <f>IFERROR(__xludf.DUMMYFUNCTION("""COMPUTED_VALUE"""),2013.0)</f>
        <v>2013</v>
      </c>
      <c r="E8166">
        <f>IFERROR(__xludf.DUMMYFUNCTION("""COMPUTED_VALUE"""),108535.0)</f>
        <v>108535</v>
      </c>
    </row>
    <row r="8167">
      <c r="A8167" t="str">
        <f t="shared" si="1"/>
        <v>kir#2014</v>
      </c>
      <c r="B8167" t="str">
        <f>IFERROR(__xludf.DUMMYFUNCTION("""COMPUTED_VALUE"""),"kir")</f>
        <v>kir</v>
      </c>
      <c r="C8167" t="str">
        <f>IFERROR(__xludf.DUMMYFUNCTION("""COMPUTED_VALUE"""),"Kiribati")</f>
        <v>Kiribati</v>
      </c>
      <c r="D8167">
        <f>IFERROR(__xludf.DUMMYFUNCTION("""COMPUTED_VALUE"""),2014.0)</f>
        <v>2014</v>
      </c>
      <c r="E8167">
        <f>IFERROR(__xludf.DUMMYFUNCTION("""COMPUTED_VALUE"""),110458.0)</f>
        <v>110458</v>
      </c>
    </row>
    <row r="8168">
      <c r="A8168" t="str">
        <f t="shared" si="1"/>
        <v>kir#2015</v>
      </c>
      <c r="B8168" t="str">
        <f>IFERROR(__xludf.DUMMYFUNCTION("""COMPUTED_VALUE"""),"kir")</f>
        <v>kir</v>
      </c>
      <c r="C8168" t="str">
        <f>IFERROR(__xludf.DUMMYFUNCTION("""COMPUTED_VALUE"""),"Kiribati")</f>
        <v>Kiribati</v>
      </c>
      <c r="D8168">
        <f>IFERROR(__xludf.DUMMYFUNCTION("""COMPUTED_VALUE"""),2015.0)</f>
        <v>2015</v>
      </c>
      <c r="E8168">
        <f>IFERROR(__xludf.DUMMYFUNCTION("""COMPUTED_VALUE"""),112407.0)</f>
        <v>112407</v>
      </c>
    </row>
    <row r="8169">
      <c r="A8169" t="str">
        <f t="shared" si="1"/>
        <v>kir#2016</v>
      </c>
      <c r="B8169" t="str">
        <f>IFERROR(__xludf.DUMMYFUNCTION("""COMPUTED_VALUE"""),"kir")</f>
        <v>kir</v>
      </c>
      <c r="C8169" t="str">
        <f>IFERROR(__xludf.DUMMYFUNCTION("""COMPUTED_VALUE"""),"Kiribati")</f>
        <v>Kiribati</v>
      </c>
      <c r="D8169">
        <f>IFERROR(__xludf.DUMMYFUNCTION("""COMPUTED_VALUE"""),2016.0)</f>
        <v>2016</v>
      </c>
      <c r="E8169">
        <f>IFERROR(__xludf.DUMMYFUNCTION("""COMPUTED_VALUE"""),114395.0)</f>
        <v>114395</v>
      </c>
    </row>
    <row r="8170">
      <c r="A8170" t="str">
        <f t="shared" si="1"/>
        <v>kir#2017</v>
      </c>
      <c r="B8170" t="str">
        <f>IFERROR(__xludf.DUMMYFUNCTION("""COMPUTED_VALUE"""),"kir")</f>
        <v>kir</v>
      </c>
      <c r="C8170" t="str">
        <f>IFERROR(__xludf.DUMMYFUNCTION("""COMPUTED_VALUE"""),"Kiribati")</f>
        <v>Kiribati</v>
      </c>
      <c r="D8170">
        <f>IFERROR(__xludf.DUMMYFUNCTION("""COMPUTED_VALUE"""),2017.0)</f>
        <v>2017</v>
      </c>
      <c r="E8170">
        <f>IFERROR(__xludf.DUMMYFUNCTION("""COMPUTED_VALUE"""),116398.0)</f>
        <v>116398</v>
      </c>
    </row>
    <row r="8171">
      <c r="A8171" t="str">
        <f t="shared" si="1"/>
        <v>kir#2018</v>
      </c>
      <c r="B8171" t="str">
        <f>IFERROR(__xludf.DUMMYFUNCTION("""COMPUTED_VALUE"""),"kir")</f>
        <v>kir</v>
      </c>
      <c r="C8171" t="str">
        <f>IFERROR(__xludf.DUMMYFUNCTION("""COMPUTED_VALUE"""),"Kiribati")</f>
        <v>Kiribati</v>
      </c>
      <c r="D8171">
        <f>IFERROR(__xludf.DUMMYFUNCTION("""COMPUTED_VALUE"""),2018.0)</f>
        <v>2018</v>
      </c>
      <c r="E8171">
        <f>IFERROR(__xludf.DUMMYFUNCTION("""COMPUTED_VALUE"""),118414.0)</f>
        <v>118414</v>
      </c>
    </row>
    <row r="8172">
      <c r="A8172" t="str">
        <f t="shared" si="1"/>
        <v>kir#2019</v>
      </c>
      <c r="B8172" t="str">
        <f>IFERROR(__xludf.DUMMYFUNCTION("""COMPUTED_VALUE"""),"kir")</f>
        <v>kir</v>
      </c>
      <c r="C8172" t="str">
        <f>IFERROR(__xludf.DUMMYFUNCTION("""COMPUTED_VALUE"""),"Kiribati")</f>
        <v>Kiribati</v>
      </c>
      <c r="D8172">
        <f>IFERROR(__xludf.DUMMYFUNCTION("""COMPUTED_VALUE"""),2019.0)</f>
        <v>2019</v>
      </c>
      <c r="E8172">
        <f>IFERROR(__xludf.DUMMYFUNCTION("""COMPUTED_VALUE"""),120428.0)</f>
        <v>120428</v>
      </c>
    </row>
    <row r="8173">
      <c r="A8173" t="str">
        <f t="shared" si="1"/>
        <v>kir#2020</v>
      </c>
      <c r="B8173" t="str">
        <f>IFERROR(__xludf.DUMMYFUNCTION("""COMPUTED_VALUE"""),"kir")</f>
        <v>kir</v>
      </c>
      <c r="C8173" t="str">
        <f>IFERROR(__xludf.DUMMYFUNCTION("""COMPUTED_VALUE"""),"Kiribati")</f>
        <v>Kiribati</v>
      </c>
      <c r="D8173">
        <f>IFERROR(__xludf.DUMMYFUNCTION("""COMPUTED_VALUE"""),2020.0)</f>
        <v>2020</v>
      </c>
      <c r="E8173">
        <f>IFERROR(__xludf.DUMMYFUNCTION("""COMPUTED_VALUE"""),122439.0)</f>
        <v>122439</v>
      </c>
    </row>
    <row r="8174">
      <c r="A8174" t="str">
        <f t="shared" si="1"/>
        <v>kir#2021</v>
      </c>
      <c r="B8174" t="str">
        <f>IFERROR(__xludf.DUMMYFUNCTION("""COMPUTED_VALUE"""),"kir")</f>
        <v>kir</v>
      </c>
      <c r="C8174" t="str">
        <f>IFERROR(__xludf.DUMMYFUNCTION("""COMPUTED_VALUE"""),"Kiribati")</f>
        <v>Kiribati</v>
      </c>
      <c r="D8174">
        <f>IFERROR(__xludf.DUMMYFUNCTION("""COMPUTED_VALUE"""),2021.0)</f>
        <v>2021</v>
      </c>
      <c r="E8174">
        <f>IFERROR(__xludf.DUMMYFUNCTION("""COMPUTED_VALUE"""),124433.0)</f>
        <v>124433</v>
      </c>
    </row>
    <row r="8175">
      <c r="A8175" t="str">
        <f t="shared" si="1"/>
        <v>kir#2022</v>
      </c>
      <c r="B8175" t="str">
        <f>IFERROR(__xludf.DUMMYFUNCTION("""COMPUTED_VALUE"""),"kir")</f>
        <v>kir</v>
      </c>
      <c r="C8175" t="str">
        <f>IFERROR(__xludf.DUMMYFUNCTION("""COMPUTED_VALUE"""),"Kiribati")</f>
        <v>Kiribati</v>
      </c>
      <c r="D8175">
        <f>IFERROR(__xludf.DUMMYFUNCTION("""COMPUTED_VALUE"""),2022.0)</f>
        <v>2022</v>
      </c>
      <c r="E8175">
        <f>IFERROR(__xludf.DUMMYFUNCTION("""COMPUTED_VALUE"""),126413.0)</f>
        <v>126413</v>
      </c>
    </row>
    <row r="8176">
      <c r="A8176" t="str">
        <f t="shared" si="1"/>
        <v>kir#2023</v>
      </c>
      <c r="B8176" t="str">
        <f>IFERROR(__xludf.DUMMYFUNCTION("""COMPUTED_VALUE"""),"kir")</f>
        <v>kir</v>
      </c>
      <c r="C8176" t="str">
        <f>IFERROR(__xludf.DUMMYFUNCTION("""COMPUTED_VALUE"""),"Kiribati")</f>
        <v>Kiribati</v>
      </c>
      <c r="D8176">
        <f>IFERROR(__xludf.DUMMYFUNCTION("""COMPUTED_VALUE"""),2023.0)</f>
        <v>2023</v>
      </c>
      <c r="E8176">
        <f>IFERROR(__xludf.DUMMYFUNCTION("""COMPUTED_VALUE"""),128388.0)</f>
        <v>128388</v>
      </c>
    </row>
    <row r="8177">
      <c r="A8177" t="str">
        <f t="shared" si="1"/>
        <v>kir#2024</v>
      </c>
      <c r="B8177" t="str">
        <f>IFERROR(__xludf.DUMMYFUNCTION("""COMPUTED_VALUE"""),"kir")</f>
        <v>kir</v>
      </c>
      <c r="C8177" t="str">
        <f>IFERROR(__xludf.DUMMYFUNCTION("""COMPUTED_VALUE"""),"Kiribati")</f>
        <v>Kiribati</v>
      </c>
      <c r="D8177">
        <f>IFERROR(__xludf.DUMMYFUNCTION("""COMPUTED_VALUE"""),2024.0)</f>
        <v>2024</v>
      </c>
      <c r="E8177">
        <f>IFERROR(__xludf.DUMMYFUNCTION("""COMPUTED_VALUE"""),130343.0)</f>
        <v>130343</v>
      </c>
    </row>
    <row r="8178">
      <c r="A8178" t="str">
        <f t="shared" si="1"/>
        <v>kir#2025</v>
      </c>
      <c r="B8178" t="str">
        <f>IFERROR(__xludf.DUMMYFUNCTION("""COMPUTED_VALUE"""),"kir")</f>
        <v>kir</v>
      </c>
      <c r="C8178" t="str">
        <f>IFERROR(__xludf.DUMMYFUNCTION("""COMPUTED_VALUE"""),"Kiribati")</f>
        <v>Kiribati</v>
      </c>
      <c r="D8178">
        <f>IFERROR(__xludf.DUMMYFUNCTION("""COMPUTED_VALUE"""),2025.0)</f>
        <v>2025</v>
      </c>
      <c r="E8178">
        <f>IFERROR(__xludf.DUMMYFUNCTION("""COMPUTED_VALUE"""),132270.0)</f>
        <v>132270</v>
      </c>
    </row>
    <row r="8179">
      <c r="A8179" t="str">
        <f t="shared" si="1"/>
        <v>kir#2026</v>
      </c>
      <c r="B8179" t="str">
        <f>IFERROR(__xludf.DUMMYFUNCTION("""COMPUTED_VALUE"""),"kir")</f>
        <v>kir</v>
      </c>
      <c r="C8179" t="str">
        <f>IFERROR(__xludf.DUMMYFUNCTION("""COMPUTED_VALUE"""),"Kiribati")</f>
        <v>Kiribati</v>
      </c>
      <c r="D8179">
        <f>IFERROR(__xludf.DUMMYFUNCTION("""COMPUTED_VALUE"""),2026.0)</f>
        <v>2026</v>
      </c>
      <c r="E8179">
        <f>IFERROR(__xludf.DUMMYFUNCTION("""COMPUTED_VALUE"""),134180.0)</f>
        <v>134180</v>
      </c>
    </row>
    <row r="8180">
      <c r="A8180" t="str">
        <f t="shared" si="1"/>
        <v>kir#2027</v>
      </c>
      <c r="B8180" t="str">
        <f>IFERROR(__xludf.DUMMYFUNCTION("""COMPUTED_VALUE"""),"kir")</f>
        <v>kir</v>
      </c>
      <c r="C8180" t="str">
        <f>IFERROR(__xludf.DUMMYFUNCTION("""COMPUTED_VALUE"""),"Kiribati")</f>
        <v>Kiribati</v>
      </c>
      <c r="D8180">
        <f>IFERROR(__xludf.DUMMYFUNCTION("""COMPUTED_VALUE"""),2027.0)</f>
        <v>2027</v>
      </c>
      <c r="E8180">
        <f>IFERROR(__xludf.DUMMYFUNCTION("""COMPUTED_VALUE"""),136058.0)</f>
        <v>136058</v>
      </c>
    </row>
    <row r="8181">
      <c r="A8181" t="str">
        <f t="shared" si="1"/>
        <v>kir#2028</v>
      </c>
      <c r="B8181" t="str">
        <f>IFERROR(__xludf.DUMMYFUNCTION("""COMPUTED_VALUE"""),"kir")</f>
        <v>kir</v>
      </c>
      <c r="C8181" t="str">
        <f>IFERROR(__xludf.DUMMYFUNCTION("""COMPUTED_VALUE"""),"Kiribati")</f>
        <v>Kiribati</v>
      </c>
      <c r="D8181">
        <f>IFERROR(__xludf.DUMMYFUNCTION("""COMPUTED_VALUE"""),2028.0)</f>
        <v>2028</v>
      </c>
      <c r="E8181">
        <f>IFERROR(__xludf.DUMMYFUNCTION("""COMPUTED_VALUE"""),137909.0)</f>
        <v>137909</v>
      </c>
    </row>
    <row r="8182">
      <c r="A8182" t="str">
        <f t="shared" si="1"/>
        <v>kir#2029</v>
      </c>
      <c r="B8182" t="str">
        <f>IFERROR(__xludf.DUMMYFUNCTION("""COMPUTED_VALUE"""),"kir")</f>
        <v>kir</v>
      </c>
      <c r="C8182" t="str">
        <f>IFERROR(__xludf.DUMMYFUNCTION("""COMPUTED_VALUE"""),"Kiribati")</f>
        <v>Kiribati</v>
      </c>
      <c r="D8182">
        <f>IFERROR(__xludf.DUMMYFUNCTION("""COMPUTED_VALUE"""),2029.0)</f>
        <v>2029</v>
      </c>
      <c r="E8182">
        <f>IFERROR(__xludf.DUMMYFUNCTION("""COMPUTED_VALUE"""),139739.0)</f>
        <v>139739</v>
      </c>
    </row>
    <row r="8183">
      <c r="A8183" t="str">
        <f t="shared" si="1"/>
        <v>kir#2030</v>
      </c>
      <c r="B8183" t="str">
        <f>IFERROR(__xludf.DUMMYFUNCTION("""COMPUTED_VALUE"""),"kir")</f>
        <v>kir</v>
      </c>
      <c r="C8183" t="str">
        <f>IFERROR(__xludf.DUMMYFUNCTION("""COMPUTED_VALUE"""),"Kiribati")</f>
        <v>Kiribati</v>
      </c>
      <c r="D8183">
        <f>IFERROR(__xludf.DUMMYFUNCTION("""COMPUTED_VALUE"""),2030.0)</f>
        <v>2030</v>
      </c>
      <c r="E8183">
        <f>IFERROR(__xludf.DUMMYFUNCTION("""COMPUTED_VALUE"""),141538.0)</f>
        <v>141538</v>
      </c>
    </row>
    <row r="8184">
      <c r="A8184" t="str">
        <f t="shared" si="1"/>
        <v>kir#2031</v>
      </c>
      <c r="B8184" t="str">
        <f>IFERROR(__xludf.DUMMYFUNCTION("""COMPUTED_VALUE"""),"kir")</f>
        <v>kir</v>
      </c>
      <c r="C8184" t="str">
        <f>IFERROR(__xludf.DUMMYFUNCTION("""COMPUTED_VALUE"""),"Kiribati")</f>
        <v>Kiribati</v>
      </c>
      <c r="D8184">
        <f>IFERROR(__xludf.DUMMYFUNCTION("""COMPUTED_VALUE"""),2031.0)</f>
        <v>2031</v>
      </c>
      <c r="E8184">
        <f>IFERROR(__xludf.DUMMYFUNCTION("""COMPUTED_VALUE"""),143329.0)</f>
        <v>143329</v>
      </c>
    </row>
    <row r="8185">
      <c r="A8185" t="str">
        <f t="shared" si="1"/>
        <v>kir#2032</v>
      </c>
      <c r="B8185" t="str">
        <f>IFERROR(__xludf.DUMMYFUNCTION("""COMPUTED_VALUE"""),"kir")</f>
        <v>kir</v>
      </c>
      <c r="C8185" t="str">
        <f>IFERROR(__xludf.DUMMYFUNCTION("""COMPUTED_VALUE"""),"Kiribati")</f>
        <v>Kiribati</v>
      </c>
      <c r="D8185">
        <f>IFERROR(__xludf.DUMMYFUNCTION("""COMPUTED_VALUE"""),2032.0)</f>
        <v>2032</v>
      </c>
      <c r="E8185">
        <f>IFERROR(__xludf.DUMMYFUNCTION("""COMPUTED_VALUE"""),145085.0)</f>
        <v>145085</v>
      </c>
    </row>
    <row r="8186">
      <c r="A8186" t="str">
        <f t="shared" si="1"/>
        <v>kir#2033</v>
      </c>
      <c r="B8186" t="str">
        <f>IFERROR(__xludf.DUMMYFUNCTION("""COMPUTED_VALUE"""),"kir")</f>
        <v>kir</v>
      </c>
      <c r="C8186" t="str">
        <f>IFERROR(__xludf.DUMMYFUNCTION("""COMPUTED_VALUE"""),"Kiribati")</f>
        <v>Kiribati</v>
      </c>
      <c r="D8186">
        <f>IFERROR(__xludf.DUMMYFUNCTION("""COMPUTED_VALUE"""),2033.0)</f>
        <v>2033</v>
      </c>
      <c r="E8186">
        <f>IFERROR(__xludf.DUMMYFUNCTION("""COMPUTED_VALUE"""),146832.0)</f>
        <v>146832</v>
      </c>
    </row>
    <row r="8187">
      <c r="A8187" t="str">
        <f t="shared" si="1"/>
        <v>kir#2034</v>
      </c>
      <c r="B8187" t="str">
        <f>IFERROR(__xludf.DUMMYFUNCTION("""COMPUTED_VALUE"""),"kir")</f>
        <v>kir</v>
      </c>
      <c r="C8187" t="str">
        <f>IFERROR(__xludf.DUMMYFUNCTION("""COMPUTED_VALUE"""),"Kiribati")</f>
        <v>Kiribati</v>
      </c>
      <c r="D8187">
        <f>IFERROR(__xludf.DUMMYFUNCTION("""COMPUTED_VALUE"""),2034.0)</f>
        <v>2034</v>
      </c>
      <c r="E8187">
        <f>IFERROR(__xludf.DUMMYFUNCTION("""COMPUTED_VALUE"""),148583.0)</f>
        <v>148583</v>
      </c>
    </row>
    <row r="8188">
      <c r="A8188" t="str">
        <f t="shared" si="1"/>
        <v>kir#2035</v>
      </c>
      <c r="B8188" t="str">
        <f>IFERROR(__xludf.DUMMYFUNCTION("""COMPUTED_VALUE"""),"kir")</f>
        <v>kir</v>
      </c>
      <c r="C8188" t="str">
        <f>IFERROR(__xludf.DUMMYFUNCTION("""COMPUTED_VALUE"""),"Kiribati")</f>
        <v>Kiribati</v>
      </c>
      <c r="D8188">
        <f>IFERROR(__xludf.DUMMYFUNCTION("""COMPUTED_VALUE"""),2035.0)</f>
        <v>2035</v>
      </c>
      <c r="E8188">
        <f>IFERROR(__xludf.DUMMYFUNCTION("""COMPUTED_VALUE"""),150340.0)</f>
        <v>150340</v>
      </c>
    </row>
    <row r="8189">
      <c r="A8189" t="str">
        <f t="shared" si="1"/>
        <v>kir#2036</v>
      </c>
      <c r="B8189" t="str">
        <f>IFERROR(__xludf.DUMMYFUNCTION("""COMPUTED_VALUE"""),"kir")</f>
        <v>kir</v>
      </c>
      <c r="C8189" t="str">
        <f>IFERROR(__xludf.DUMMYFUNCTION("""COMPUTED_VALUE"""),"Kiribati")</f>
        <v>Kiribati</v>
      </c>
      <c r="D8189">
        <f>IFERROR(__xludf.DUMMYFUNCTION("""COMPUTED_VALUE"""),2036.0)</f>
        <v>2036</v>
      </c>
      <c r="E8189">
        <f>IFERROR(__xludf.DUMMYFUNCTION("""COMPUTED_VALUE"""),152099.0)</f>
        <v>152099</v>
      </c>
    </row>
    <row r="8190">
      <c r="A8190" t="str">
        <f t="shared" si="1"/>
        <v>kir#2037</v>
      </c>
      <c r="B8190" t="str">
        <f>IFERROR(__xludf.DUMMYFUNCTION("""COMPUTED_VALUE"""),"kir")</f>
        <v>kir</v>
      </c>
      <c r="C8190" t="str">
        <f>IFERROR(__xludf.DUMMYFUNCTION("""COMPUTED_VALUE"""),"Kiribati")</f>
        <v>Kiribati</v>
      </c>
      <c r="D8190">
        <f>IFERROR(__xludf.DUMMYFUNCTION("""COMPUTED_VALUE"""),2037.0)</f>
        <v>2037</v>
      </c>
      <c r="E8190">
        <f>IFERROR(__xludf.DUMMYFUNCTION("""COMPUTED_VALUE"""),153872.0)</f>
        <v>153872</v>
      </c>
    </row>
    <row r="8191">
      <c r="A8191" t="str">
        <f t="shared" si="1"/>
        <v>kir#2038</v>
      </c>
      <c r="B8191" t="str">
        <f>IFERROR(__xludf.DUMMYFUNCTION("""COMPUTED_VALUE"""),"kir")</f>
        <v>kir</v>
      </c>
      <c r="C8191" t="str">
        <f>IFERROR(__xludf.DUMMYFUNCTION("""COMPUTED_VALUE"""),"Kiribati")</f>
        <v>Kiribati</v>
      </c>
      <c r="D8191">
        <f>IFERROR(__xludf.DUMMYFUNCTION("""COMPUTED_VALUE"""),2038.0)</f>
        <v>2038</v>
      </c>
      <c r="E8191">
        <f>IFERROR(__xludf.DUMMYFUNCTION("""COMPUTED_VALUE"""),155662.0)</f>
        <v>155662</v>
      </c>
    </row>
    <row r="8192">
      <c r="A8192" t="str">
        <f t="shared" si="1"/>
        <v>kir#2039</v>
      </c>
      <c r="B8192" t="str">
        <f>IFERROR(__xludf.DUMMYFUNCTION("""COMPUTED_VALUE"""),"kir")</f>
        <v>kir</v>
      </c>
      <c r="C8192" t="str">
        <f>IFERROR(__xludf.DUMMYFUNCTION("""COMPUTED_VALUE"""),"Kiribati")</f>
        <v>Kiribati</v>
      </c>
      <c r="D8192">
        <f>IFERROR(__xludf.DUMMYFUNCTION("""COMPUTED_VALUE"""),2039.0)</f>
        <v>2039</v>
      </c>
      <c r="E8192">
        <f>IFERROR(__xludf.DUMMYFUNCTION("""COMPUTED_VALUE"""),157460.0)</f>
        <v>157460</v>
      </c>
    </row>
    <row r="8193">
      <c r="A8193" t="str">
        <f t="shared" si="1"/>
        <v>kir#2040</v>
      </c>
      <c r="B8193" t="str">
        <f>IFERROR(__xludf.DUMMYFUNCTION("""COMPUTED_VALUE"""),"kir")</f>
        <v>kir</v>
      </c>
      <c r="C8193" t="str">
        <f>IFERROR(__xludf.DUMMYFUNCTION("""COMPUTED_VALUE"""),"Kiribati")</f>
        <v>Kiribati</v>
      </c>
      <c r="D8193">
        <f>IFERROR(__xludf.DUMMYFUNCTION("""COMPUTED_VALUE"""),2040.0)</f>
        <v>2040</v>
      </c>
      <c r="E8193">
        <f>IFERROR(__xludf.DUMMYFUNCTION("""COMPUTED_VALUE"""),159295.0)</f>
        <v>159295</v>
      </c>
    </row>
    <row r="8194">
      <c r="A8194" t="str">
        <f t="shared" si="1"/>
        <v>prk#1950</v>
      </c>
      <c r="B8194" t="str">
        <f>IFERROR(__xludf.DUMMYFUNCTION("""COMPUTED_VALUE"""),"prk")</f>
        <v>prk</v>
      </c>
      <c r="C8194" t="str">
        <f>IFERROR(__xludf.DUMMYFUNCTION("""COMPUTED_VALUE"""),"North Korea")</f>
        <v>North Korea</v>
      </c>
      <c r="D8194">
        <f>IFERROR(__xludf.DUMMYFUNCTION("""COMPUTED_VALUE"""),1950.0)</f>
        <v>1950</v>
      </c>
      <c r="E8194">
        <f>IFERROR(__xludf.DUMMYFUNCTION("""COMPUTED_VALUE"""),1.0549472E7)</f>
        <v>10549472</v>
      </c>
    </row>
    <row r="8195">
      <c r="A8195" t="str">
        <f t="shared" si="1"/>
        <v>prk#1951</v>
      </c>
      <c r="B8195" t="str">
        <f>IFERROR(__xludf.DUMMYFUNCTION("""COMPUTED_VALUE"""),"prk")</f>
        <v>prk</v>
      </c>
      <c r="C8195" t="str">
        <f>IFERROR(__xludf.DUMMYFUNCTION("""COMPUTED_VALUE"""),"North Korea")</f>
        <v>North Korea</v>
      </c>
      <c r="D8195">
        <f>IFERROR(__xludf.DUMMYFUNCTION("""COMPUTED_VALUE"""),1951.0)</f>
        <v>1951</v>
      </c>
      <c r="E8195">
        <f>IFERROR(__xludf.DUMMYFUNCTION("""COMPUTED_VALUE"""),1.0248496E7)</f>
        <v>10248496</v>
      </c>
    </row>
    <row r="8196">
      <c r="A8196" t="str">
        <f t="shared" si="1"/>
        <v>prk#1952</v>
      </c>
      <c r="B8196" t="str">
        <f>IFERROR(__xludf.DUMMYFUNCTION("""COMPUTED_VALUE"""),"prk")</f>
        <v>prk</v>
      </c>
      <c r="C8196" t="str">
        <f>IFERROR(__xludf.DUMMYFUNCTION("""COMPUTED_VALUE"""),"North Korea")</f>
        <v>North Korea</v>
      </c>
      <c r="D8196">
        <f>IFERROR(__xludf.DUMMYFUNCTION("""COMPUTED_VALUE"""),1952.0)</f>
        <v>1952</v>
      </c>
      <c r="E8196">
        <f>IFERROR(__xludf.DUMMYFUNCTION("""COMPUTED_VALUE"""),1.0049029E7)</f>
        <v>10049029</v>
      </c>
    </row>
    <row r="8197">
      <c r="A8197" t="str">
        <f t="shared" si="1"/>
        <v>prk#1953</v>
      </c>
      <c r="B8197" t="str">
        <f>IFERROR(__xludf.DUMMYFUNCTION("""COMPUTED_VALUE"""),"prk")</f>
        <v>prk</v>
      </c>
      <c r="C8197" t="str">
        <f>IFERROR(__xludf.DUMMYFUNCTION("""COMPUTED_VALUE"""),"North Korea")</f>
        <v>North Korea</v>
      </c>
      <c r="D8197">
        <f>IFERROR(__xludf.DUMMYFUNCTION("""COMPUTED_VALUE"""),1953.0)</f>
        <v>1953</v>
      </c>
      <c r="E8197">
        <f>IFERROR(__xludf.DUMMYFUNCTION("""COMPUTED_VALUE"""),9957242.0)</f>
        <v>9957242</v>
      </c>
    </row>
    <row r="8198">
      <c r="A8198" t="str">
        <f t="shared" si="1"/>
        <v>prk#1954</v>
      </c>
      <c r="B8198" t="str">
        <f>IFERROR(__xludf.DUMMYFUNCTION("""COMPUTED_VALUE"""),"prk")</f>
        <v>prk</v>
      </c>
      <c r="C8198" t="str">
        <f>IFERROR(__xludf.DUMMYFUNCTION("""COMPUTED_VALUE"""),"North Korea")</f>
        <v>North Korea</v>
      </c>
      <c r="D8198">
        <f>IFERROR(__xludf.DUMMYFUNCTION("""COMPUTED_VALUE"""),1954.0)</f>
        <v>1954</v>
      </c>
      <c r="E8198">
        <f>IFERROR(__xludf.DUMMYFUNCTION("""COMPUTED_VALUE"""),9972436.0)</f>
        <v>9972436</v>
      </c>
    </row>
    <row r="8199">
      <c r="A8199" t="str">
        <f t="shared" si="1"/>
        <v>prk#1955</v>
      </c>
      <c r="B8199" t="str">
        <f>IFERROR(__xludf.DUMMYFUNCTION("""COMPUTED_VALUE"""),"prk")</f>
        <v>prk</v>
      </c>
      <c r="C8199" t="str">
        <f>IFERROR(__xludf.DUMMYFUNCTION("""COMPUTED_VALUE"""),"North Korea")</f>
        <v>North Korea</v>
      </c>
      <c r="D8199">
        <f>IFERROR(__xludf.DUMMYFUNCTION("""COMPUTED_VALUE"""),1955.0)</f>
        <v>1955</v>
      </c>
      <c r="E8199">
        <f>IFERROR(__xludf.DUMMYFUNCTION("""COMPUTED_VALUE"""),1.0086991E7)</f>
        <v>10086991</v>
      </c>
    </row>
    <row r="8200">
      <c r="A8200" t="str">
        <f t="shared" si="1"/>
        <v>prk#1956</v>
      </c>
      <c r="B8200" t="str">
        <f>IFERROR(__xludf.DUMMYFUNCTION("""COMPUTED_VALUE"""),"prk")</f>
        <v>prk</v>
      </c>
      <c r="C8200" t="str">
        <f>IFERROR(__xludf.DUMMYFUNCTION("""COMPUTED_VALUE"""),"North Korea")</f>
        <v>North Korea</v>
      </c>
      <c r="D8200">
        <f>IFERROR(__xludf.DUMMYFUNCTION("""COMPUTED_VALUE"""),1956.0)</f>
        <v>1956</v>
      </c>
      <c r="E8200">
        <f>IFERROR(__xludf.DUMMYFUNCTION("""COMPUTED_VALUE"""),1.028594E7)</f>
        <v>10285940</v>
      </c>
    </row>
    <row r="8201">
      <c r="A8201" t="str">
        <f t="shared" si="1"/>
        <v>prk#1957</v>
      </c>
      <c r="B8201" t="str">
        <f>IFERROR(__xludf.DUMMYFUNCTION("""COMPUTED_VALUE"""),"prk")</f>
        <v>prk</v>
      </c>
      <c r="C8201" t="str">
        <f>IFERROR(__xludf.DUMMYFUNCTION("""COMPUTED_VALUE"""),"North Korea")</f>
        <v>North Korea</v>
      </c>
      <c r="D8201">
        <f>IFERROR(__xludf.DUMMYFUNCTION("""COMPUTED_VALUE"""),1957.0)</f>
        <v>1957</v>
      </c>
      <c r="E8201">
        <f>IFERROR(__xludf.DUMMYFUNCTION("""COMPUTED_VALUE"""),1.0547389E7)</f>
        <v>10547389</v>
      </c>
    </row>
    <row r="8202">
      <c r="A8202" t="str">
        <f t="shared" si="1"/>
        <v>prk#1958</v>
      </c>
      <c r="B8202" t="str">
        <f>IFERROR(__xludf.DUMMYFUNCTION("""COMPUTED_VALUE"""),"prk")</f>
        <v>prk</v>
      </c>
      <c r="C8202" t="str">
        <f>IFERROR(__xludf.DUMMYFUNCTION("""COMPUTED_VALUE"""),"North Korea")</f>
        <v>North Korea</v>
      </c>
      <c r="D8202">
        <f>IFERROR(__xludf.DUMMYFUNCTION("""COMPUTED_VALUE"""),1958.0)</f>
        <v>1958</v>
      </c>
      <c r="E8202">
        <f>IFERROR(__xludf.DUMMYFUNCTION("""COMPUTED_VALUE"""),1.0843979E7)</f>
        <v>10843979</v>
      </c>
    </row>
    <row r="8203">
      <c r="A8203" t="str">
        <f t="shared" si="1"/>
        <v>prk#1959</v>
      </c>
      <c r="B8203" t="str">
        <f>IFERROR(__xludf.DUMMYFUNCTION("""COMPUTED_VALUE"""),"prk")</f>
        <v>prk</v>
      </c>
      <c r="C8203" t="str">
        <f>IFERROR(__xludf.DUMMYFUNCTION("""COMPUTED_VALUE"""),"North Korea")</f>
        <v>North Korea</v>
      </c>
      <c r="D8203">
        <f>IFERROR(__xludf.DUMMYFUNCTION("""COMPUTED_VALUE"""),1959.0)</f>
        <v>1959</v>
      </c>
      <c r="E8203">
        <f>IFERROR(__xludf.DUMMYFUNCTION("""COMPUTED_VALUE"""),1.1145152E7)</f>
        <v>11145152</v>
      </c>
    </row>
    <row r="8204">
      <c r="A8204" t="str">
        <f t="shared" si="1"/>
        <v>prk#1960</v>
      </c>
      <c r="B8204" t="str">
        <f>IFERROR(__xludf.DUMMYFUNCTION("""COMPUTED_VALUE"""),"prk")</f>
        <v>prk</v>
      </c>
      <c r="C8204" t="str">
        <f>IFERROR(__xludf.DUMMYFUNCTION("""COMPUTED_VALUE"""),"North Korea")</f>
        <v>North Korea</v>
      </c>
      <c r="D8204">
        <f>IFERROR(__xludf.DUMMYFUNCTION("""COMPUTED_VALUE"""),1960.0)</f>
        <v>1960</v>
      </c>
      <c r="E8204">
        <f>IFERROR(__xludf.DUMMYFUNCTION("""COMPUTED_VALUE"""),1.1424176E7)</f>
        <v>11424176</v>
      </c>
    </row>
    <row r="8205">
      <c r="A8205" t="str">
        <f t="shared" si="1"/>
        <v>prk#1961</v>
      </c>
      <c r="B8205" t="str">
        <f>IFERROR(__xludf.DUMMYFUNCTION("""COMPUTED_VALUE"""),"prk")</f>
        <v>prk</v>
      </c>
      <c r="C8205" t="str">
        <f>IFERROR(__xludf.DUMMYFUNCTION("""COMPUTED_VALUE"""),"North Korea")</f>
        <v>North Korea</v>
      </c>
      <c r="D8205">
        <f>IFERROR(__xludf.DUMMYFUNCTION("""COMPUTED_VALUE"""),1961.0)</f>
        <v>1961</v>
      </c>
      <c r="E8205">
        <f>IFERROR(__xludf.DUMMYFUNCTION("""COMPUTED_VALUE"""),1.1665595E7)</f>
        <v>11665595</v>
      </c>
    </row>
    <row r="8206">
      <c r="A8206" t="str">
        <f t="shared" si="1"/>
        <v>prk#1962</v>
      </c>
      <c r="B8206" t="str">
        <f>IFERROR(__xludf.DUMMYFUNCTION("""COMPUTED_VALUE"""),"prk")</f>
        <v>prk</v>
      </c>
      <c r="C8206" t="str">
        <f>IFERROR(__xludf.DUMMYFUNCTION("""COMPUTED_VALUE"""),"North Korea")</f>
        <v>North Korea</v>
      </c>
      <c r="D8206">
        <f>IFERROR(__xludf.DUMMYFUNCTION("""COMPUTED_VALUE"""),1962.0)</f>
        <v>1962</v>
      </c>
      <c r="E8206">
        <f>IFERROR(__xludf.DUMMYFUNCTION("""COMPUTED_VALUE"""),1.1871712E7)</f>
        <v>11871712</v>
      </c>
    </row>
    <row r="8207">
      <c r="A8207" t="str">
        <f t="shared" si="1"/>
        <v>prk#1963</v>
      </c>
      <c r="B8207" t="str">
        <f>IFERROR(__xludf.DUMMYFUNCTION("""COMPUTED_VALUE"""),"prk")</f>
        <v>prk</v>
      </c>
      <c r="C8207" t="str">
        <f>IFERROR(__xludf.DUMMYFUNCTION("""COMPUTED_VALUE"""),"North Korea")</f>
        <v>North Korea</v>
      </c>
      <c r="D8207">
        <f>IFERROR(__xludf.DUMMYFUNCTION("""COMPUTED_VALUE"""),1963.0)</f>
        <v>1963</v>
      </c>
      <c r="E8207">
        <f>IFERROR(__xludf.DUMMYFUNCTION("""COMPUTED_VALUE"""),1.2065468E7)</f>
        <v>12065468</v>
      </c>
    </row>
    <row r="8208">
      <c r="A8208" t="str">
        <f t="shared" si="1"/>
        <v>prk#1964</v>
      </c>
      <c r="B8208" t="str">
        <f>IFERROR(__xludf.DUMMYFUNCTION("""COMPUTED_VALUE"""),"prk")</f>
        <v>prk</v>
      </c>
      <c r="C8208" t="str">
        <f>IFERROR(__xludf.DUMMYFUNCTION("""COMPUTED_VALUE"""),"North Korea")</f>
        <v>North Korea</v>
      </c>
      <c r="D8208">
        <f>IFERROR(__xludf.DUMMYFUNCTION("""COMPUTED_VALUE"""),1964.0)</f>
        <v>1964</v>
      </c>
      <c r="E8208">
        <f>IFERROR(__xludf.DUMMYFUNCTION("""COMPUTED_VALUE"""),1.2282419E7)</f>
        <v>12282419</v>
      </c>
    </row>
    <row r="8209">
      <c r="A8209" t="str">
        <f t="shared" si="1"/>
        <v>prk#1965</v>
      </c>
      <c r="B8209" t="str">
        <f>IFERROR(__xludf.DUMMYFUNCTION("""COMPUTED_VALUE"""),"prk")</f>
        <v>prk</v>
      </c>
      <c r="C8209" t="str">
        <f>IFERROR(__xludf.DUMMYFUNCTION("""COMPUTED_VALUE"""),"North Korea")</f>
        <v>North Korea</v>
      </c>
      <c r="D8209">
        <f>IFERROR(__xludf.DUMMYFUNCTION("""COMPUTED_VALUE"""),1965.0)</f>
        <v>1965</v>
      </c>
      <c r="E8209">
        <f>IFERROR(__xludf.DUMMYFUNCTION("""COMPUTED_VALUE"""),1.2547525E7)</f>
        <v>12547525</v>
      </c>
    </row>
    <row r="8210">
      <c r="A8210" t="str">
        <f t="shared" si="1"/>
        <v>prk#1966</v>
      </c>
      <c r="B8210" t="str">
        <f>IFERROR(__xludf.DUMMYFUNCTION("""COMPUTED_VALUE"""),"prk")</f>
        <v>prk</v>
      </c>
      <c r="C8210" t="str">
        <f>IFERROR(__xludf.DUMMYFUNCTION("""COMPUTED_VALUE"""),"North Korea")</f>
        <v>North Korea</v>
      </c>
      <c r="D8210">
        <f>IFERROR(__xludf.DUMMYFUNCTION("""COMPUTED_VALUE"""),1966.0)</f>
        <v>1966</v>
      </c>
      <c r="E8210">
        <f>IFERROR(__xludf.DUMMYFUNCTION("""COMPUTED_VALUE"""),1.2864954E7)</f>
        <v>12864954</v>
      </c>
    </row>
    <row r="8211">
      <c r="A8211" t="str">
        <f t="shared" si="1"/>
        <v>prk#1967</v>
      </c>
      <c r="B8211" t="str">
        <f>IFERROR(__xludf.DUMMYFUNCTION("""COMPUTED_VALUE"""),"prk")</f>
        <v>prk</v>
      </c>
      <c r="C8211" t="str">
        <f>IFERROR(__xludf.DUMMYFUNCTION("""COMPUTED_VALUE"""),"North Korea")</f>
        <v>North Korea</v>
      </c>
      <c r="D8211">
        <f>IFERROR(__xludf.DUMMYFUNCTION("""COMPUTED_VALUE"""),1967.0)</f>
        <v>1967</v>
      </c>
      <c r="E8211">
        <f>IFERROR(__xludf.DUMMYFUNCTION("""COMPUTED_VALUE"""),1.3222694E7)</f>
        <v>13222694</v>
      </c>
    </row>
    <row r="8212">
      <c r="A8212" t="str">
        <f t="shared" si="1"/>
        <v>prk#1968</v>
      </c>
      <c r="B8212" t="str">
        <f>IFERROR(__xludf.DUMMYFUNCTION("""COMPUTED_VALUE"""),"prk")</f>
        <v>prk</v>
      </c>
      <c r="C8212" t="str">
        <f>IFERROR(__xludf.DUMMYFUNCTION("""COMPUTED_VALUE"""),"North Korea")</f>
        <v>North Korea</v>
      </c>
      <c r="D8212">
        <f>IFERROR(__xludf.DUMMYFUNCTION("""COMPUTED_VALUE"""),1968.0)</f>
        <v>1968</v>
      </c>
      <c r="E8212">
        <f>IFERROR(__xludf.DUMMYFUNCTION("""COMPUTED_VALUE"""),1.3609982E7)</f>
        <v>13609982</v>
      </c>
    </row>
    <row r="8213">
      <c r="A8213" t="str">
        <f t="shared" si="1"/>
        <v>prk#1969</v>
      </c>
      <c r="B8213" t="str">
        <f>IFERROR(__xludf.DUMMYFUNCTION("""COMPUTED_VALUE"""),"prk")</f>
        <v>prk</v>
      </c>
      <c r="C8213" t="str">
        <f>IFERROR(__xludf.DUMMYFUNCTION("""COMPUTED_VALUE"""),"North Korea")</f>
        <v>North Korea</v>
      </c>
      <c r="D8213">
        <f>IFERROR(__xludf.DUMMYFUNCTION("""COMPUTED_VALUE"""),1969.0)</f>
        <v>1969</v>
      </c>
      <c r="E8213">
        <f>IFERROR(__xludf.DUMMYFUNCTION("""COMPUTED_VALUE"""),1.4010339E7)</f>
        <v>14010339</v>
      </c>
    </row>
    <row r="8214">
      <c r="A8214" t="str">
        <f t="shared" si="1"/>
        <v>prk#1970</v>
      </c>
      <c r="B8214" t="str">
        <f>IFERROR(__xludf.DUMMYFUNCTION("""COMPUTED_VALUE"""),"prk")</f>
        <v>prk</v>
      </c>
      <c r="C8214" t="str">
        <f>IFERROR(__xludf.DUMMYFUNCTION("""COMPUTED_VALUE"""),"North Korea")</f>
        <v>North Korea</v>
      </c>
      <c r="D8214">
        <f>IFERROR(__xludf.DUMMYFUNCTION("""COMPUTED_VALUE"""),1970.0)</f>
        <v>1970</v>
      </c>
      <c r="E8214">
        <f>IFERROR(__xludf.DUMMYFUNCTION("""COMPUTED_VALUE"""),1.44104E7)</f>
        <v>14410400</v>
      </c>
    </row>
    <row r="8215">
      <c r="A8215" t="str">
        <f t="shared" si="1"/>
        <v>prk#1971</v>
      </c>
      <c r="B8215" t="str">
        <f>IFERROR(__xludf.DUMMYFUNCTION("""COMPUTED_VALUE"""),"prk")</f>
        <v>prk</v>
      </c>
      <c r="C8215" t="str">
        <f>IFERROR(__xludf.DUMMYFUNCTION("""COMPUTED_VALUE"""),"North Korea")</f>
        <v>North Korea</v>
      </c>
      <c r="D8215">
        <f>IFERROR(__xludf.DUMMYFUNCTION("""COMPUTED_VALUE"""),1971.0)</f>
        <v>1971</v>
      </c>
      <c r="E8215">
        <f>IFERROR(__xludf.DUMMYFUNCTION("""COMPUTED_VALUE"""),1.4809521E7)</f>
        <v>14809521</v>
      </c>
    </row>
    <row r="8216">
      <c r="A8216" t="str">
        <f t="shared" si="1"/>
        <v>prk#1972</v>
      </c>
      <c r="B8216" t="str">
        <f>IFERROR(__xludf.DUMMYFUNCTION("""COMPUTED_VALUE"""),"prk")</f>
        <v>prk</v>
      </c>
      <c r="C8216" t="str">
        <f>IFERROR(__xludf.DUMMYFUNCTION("""COMPUTED_VALUE"""),"North Korea")</f>
        <v>North Korea</v>
      </c>
      <c r="D8216">
        <f>IFERROR(__xludf.DUMMYFUNCTION("""COMPUTED_VALUE"""),1972.0)</f>
        <v>1972</v>
      </c>
      <c r="E8216">
        <f>IFERROR(__xludf.DUMMYFUNCTION("""COMPUTED_VALUE"""),1.5207771E7)</f>
        <v>15207771</v>
      </c>
    </row>
    <row r="8217">
      <c r="A8217" t="str">
        <f t="shared" si="1"/>
        <v>prk#1973</v>
      </c>
      <c r="B8217" t="str">
        <f>IFERROR(__xludf.DUMMYFUNCTION("""COMPUTED_VALUE"""),"prk")</f>
        <v>prk</v>
      </c>
      <c r="C8217" t="str">
        <f>IFERROR(__xludf.DUMMYFUNCTION("""COMPUTED_VALUE"""),"North Korea")</f>
        <v>North Korea</v>
      </c>
      <c r="D8217">
        <f>IFERROR(__xludf.DUMMYFUNCTION("""COMPUTED_VALUE"""),1973.0)</f>
        <v>1973</v>
      </c>
      <c r="E8217">
        <f>IFERROR(__xludf.DUMMYFUNCTION("""COMPUTED_VALUE"""),1.5593351E7)</f>
        <v>15593351</v>
      </c>
    </row>
    <row r="8218">
      <c r="A8218" t="str">
        <f t="shared" si="1"/>
        <v>prk#1974</v>
      </c>
      <c r="B8218" t="str">
        <f>IFERROR(__xludf.DUMMYFUNCTION("""COMPUTED_VALUE"""),"prk")</f>
        <v>prk</v>
      </c>
      <c r="C8218" t="str">
        <f>IFERROR(__xludf.DUMMYFUNCTION("""COMPUTED_VALUE"""),"North Korea")</f>
        <v>North Korea</v>
      </c>
      <c r="D8218">
        <f>IFERROR(__xludf.DUMMYFUNCTION("""COMPUTED_VALUE"""),1974.0)</f>
        <v>1974</v>
      </c>
      <c r="E8218">
        <f>IFERROR(__xludf.DUMMYFUNCTION("""COMPUTED_VALUE"""),1.5952078E7)</f>
        <v>15952078</v>
      </c>
    </row>
    <row r="8219">
      <c r="A8219" t="str">
        <f t="shared" si="1"/>
        <v>prk#1975</v>
      </c>
      <c r="B8219" t="str">
        <f>IFERROR(__xludf.DUMMYFUNCTION("""COMPUTED_VALUE"""),"prk")</f>
        <v>prk</v>
      </c>
      <c r="C8219" t="str">
        <f>IFERROR(__xludf.DUMMYFUNCTION("""COMPUTED_VALUE"""),"North Korea")</f>
        <v>North Korea</v>
      </c>
      <c r="D8219">
        <f>IFERROR(__xludf.DUMMYFUNCTION("""COMPUTED_VALUE"""),1975.0)</f>
        <v>1975</v>
      </c>
      <c r="E8219">
        <f>IFERROR(__xludf.DUMMYFUNCTION("""COMPUTED_VALUE"""),1.627474E7)</f>
        <v>16274740</v>
      </c>
    </row>
    <row r="8220">
      <c r="A8220" t="str">
        <f t="shared" si="1"/>
        <v>prk#1976</v>
      </c>
      <c r="B8220" t="str">
        <f>IFERROR(__xludf.DUMMYFUNCTION("""COMPUTED_VALUE"""),"prk")</f>
        <v>prk</v>
      </c>
      <c r="C8220" t="str">
        <f>IFERROR(__xludf.DUMMYFUNCTION("""COMPUTED_VALUE"""),"North Korea")</f>
        <v>North Korea</v>
      </c>
      <c r="D8220">
        <f>IFERROR(__xludf.DUMMYFUNCTION("""COMPUTED_VALUE"""),1976.0)</f>
        <v>1976</v>
      </c>
      <c r="E8220">
        <f>IFERROR(__xludf.DUMMYFUNCTION("""COMPUTED_VALUE"""),1.6554746E7)</f>
        <v>16554746</v>
      </c>
    </row>
    <row r="8221">
      <c r="A8221" t="str">
        <f t="shared" si="1"/>
        <v>prk#1977</v>
      </c>
      <c r="B8221" t="str">
        <f>IFERROR(__xludf.DUMMYFUNCTION("""COMPUTED_VALUE"""),"prk")</f>
        <v>prk</v>
      </c>
      <c r="C8221" t="str">
        <f>IFERROR(__xludf.DUMMYFUNCTION("""COMPUTED_VALUE"""),"North Korea")</f>
        <v>North Korea</v>
      </c>
      <c r="D8221">
        <f>IFERROR(__xludf.DUMMYFUNCTION("""COMPUTED_VALUE"""),1977.0)</f>
        <v>1977</v>
      </c>
      <c r="E8221">
        <f>IFERROR(__xludf.DUMMYFUNCTION("""COMPUTED_VALUE"""),1.6796578E7)</f>
        <v>16796578</v>
      </c>
    </row>
    <row r="8222">
      <c r="A8222" t="str">
        <f t="shared" si="1"/>
        <v>prk#1978</v>
      </c>
      <c r="B8222" t="str">
        <f>IFERROR(__xludf.DUMMYFUNCTION("""COMPUTED_VALUE"""),"prk")</f>
        <v>prk</v>
      </c>
      <c r="C8222" t="str">
        <f>IFERROR(__xludf.DUMMYFUNCTION("""COMPUTED_VALUE"""),"North Korea")</f>
        <v>North Korea</v>
      </c>
      <c r="D8222">
        <f>IFERROR(__xludf.DUMMYFUNCTION("""COMPUTED_VALUE"""),1978.0)</f>
        <v>1978</v>
      </c>
      <c r="E8222">
        <f>IFERROR(__xludf.DUMMYFUNCTION("""COMPUTED_VALUE"""),1.7015983E7)</f>
        <v>17015983</v>
      </c>
    </row>
    <row r="8223">
      <c r="A8223" t="str">
        <f t="shared" si="1"/>
        <v>prk#1979</v>
      </c>
      <c r="B8223" t="str">
        <f>IFERROR(__xludf.DUMMYFUNCTION("""COMPUTED_VALUE"""),"prk")</f>
        <v>prk</v>
      </c>
      <c r="C8223" t="str">
        <f>IFERROR(__xludf.DUMMYFUNCTION("""COMPUTED_VALUE"""),"North Korea")</f>
        <v>North Korea</v>
      </c>
      <c r="D8223">
        <f>IFERROR(__xludf.DUMMYFUNCTION("""COMPUTED_VALUE"""),1979.0)</f>
        <v>1979</v>
      </c>
      <c r="E8223">
        <f>IFERROR(__xludf.DUMMYFUNCTION("""COMPUTED_VALUE"""),1.7235666E7)</f>
        <v>17235666</v>
      </c>
    </row>
    <row r="8224">
      <c r="A8224" t="str">
        <f t="shared" si="1"/>
        <v>prk#1980</v>
      </c>
      <c r="B8224" t="str">
        <f>IFERROR(__xludf.DUMMYFUNCTION("""COMPUTED_VALUE"""),"prk")</f>
        <v>prk</v>
      </c>
      <c r="C8224" t="str">
        <f>IFERROR(__xludf.DUMMYFUNCTION("""COMPUTED_VALUE"""),"North Korea")</f>
        <v>North Korea</v>
      </c>
      <c r="D8224">
        <f>IFERROR(__xludf.DUMMYFUNCTION("""COMPUTED_VALUE"""),1980.0)</f>
        <v>1980</v>
      </c>
      <c r="E8224">
        <f>IFERROR(__xludf.DUMMYFUNCTION("""COMPUTED_VALUE"""),1.747214E7)</f>
        <v>17472140</v>
      </c>
    </row>
    <row r="8225">
      <c r="A8225" t="str">
        <f t="shared" si="1"/>
        <v>prk#1981</v>
      </c>
      <c r="B8225" t="str">
        <f>IFERROR(__xludf.DUMMYFUNCTION("""COMPUTED_VALUE"""),"prk")</f>
        <v>prk</v>
      </c>
      <c r="C8225" t="str">
        <f>IFERROR(__xludf.DUMMYFUNCTION("""COMPUTED_VALUE"""),"North Korea")</f>
        <v>North Korea</v>
      </c>
      <c r="D8225">
        <f>IFERROR(__xludf.DUMMYFUNCTION("""COMPUTED_VALUE"""),1981.0)</f>
        <v>1981</v>
      </c>
      <c r="E8225">
        <f>IFERROR(__xludf.DUMMYFUNCTION("""COMPUTED_VALUE"""),1.773123E7)</f>
        <v>17731230</v>
      </c>
    </row>
    <row r="8226">
      <c r="A8226" t="str">
        <f t="shared" si="1"/>
        <v>prk#1982</v>
      </c>
      <c r="B8226" t="str">
        <f>IFERROR(__xludf.DUMMYFUNCTION("""COMPUTED_VALUE"""),"prk")</f>
        <v>prk</v>
      </c>
      <c r="C8226" t="str">
        <f>IFERROR(__xludf.DUMMYFUNCTION("""COMPUTED_VALUE"""),"North Korea")</f>
        <v>North Korea</v>
      </c>
      <c r="D8226">
        <f>IFERROR(__xludf.DUMMYFUNCTION("""COMPUTED_VALUE"""),1982.0)</f>
        <v>1982</v>
      </c>
      <c r="E8226">
        <f>IFERROR(__xludf.DUMMYFUNCTION("""COMPUTED_VALUE"""),1.8008564E7)</f>
        <v>18008564</v>
      </c>
    </row>
    <row r="8227">
      <c r="A8227" t="str">
        <f t="shared" si="1"/>
        <v>prk#1983</v>
      </c>
      <c r="B8227" t="str">
        <f>IFERROR(__xludf.DUMMYFUNCTION("""COMPUTED_VALUE"""),"prk")</f>
        <v>prk</v>
      </c>
      <c r="C8227" t="str">
        <f>IFERROR(__xludf.DUMMYFUNCTION("""COMPUTED_VALUE"""),"North Korea")</f>
        <v>North Korea</v>
      </c>
      <c r="D8227">
        <f>IFERROR(__xludf.DUMMYFUNCTION("""COMPUTED_VALUE"""),1983.0)</f>
        <v>1983</v>
      </c>
      <c r="E8227">
        <f>IFERROR(__xludf.DUMMYFUNCTION("""COMPUTED_VALUE"""),1.8298214E7)</f>
        <v>18298214</v>
      </c>
    </row>
    <row r="8228">
      <c r="A8228" t="str">
        <f t="shared" si="1"/>
        <v>prk#1984</v>
      </c>
      <c r="B8228" t="str">
        <f>IFERROR(__xludf.DUMMYFUNCTION("""COMPUTED_VALUE"""),"prk")</f>
        <v>prk</v>
      </c>
      <c r="C8228" t="str">
        <f>IFERROR(__xludf.DUMMYFUNCTION("""COMPUTED_VALUE"""),"North Korea")</f>
        <v>North Korea</v>
      </c>
      <c r="D8228">
        <f>IFERROR(__xludf.DUMMYFUNCTION("""COMPUTED_VALUE"""),1984.0)</f>
        <v>1984</v>
      </c>
      <c r="E8228">
        <f>IFERROR(__xludf.DUMMYFUNCTION("""COMPUTED_VALUE"""),1.8590138E7)</f>
        <v>18590138</v>
      </c>
    </row>
    <row r="8229">
      <c r="A8229" t="str">
        <f t="shared" si="1"/>
        <v>prk#1985</v>
      </c>
      <c r="B8229" t="str">
        <f>IFERROR(__xludf.DUMMYFUNCTION("""COMPUTED_VALUE"""),"prk")</f>
        <v>prk</v>
      </c>
      <c r="C8229" t="str">
        <f>IFERROR(__xludf.DUMMYFUNCTION("""COMPUTED_VALUE"""),"North Korea")</f>
        <v>North Korea</v>
      </c>
      <c r="D8229">
        <f>IFERROR(__xludf.DUMMYFUNCTION("""COMPUTED_VALUE"""),1985.0)</f>
        <v>1985</v>
      </c>
      <c r="E8229">
        <f>IFERROR(__xludf.DUMMYFUNCTION("""COMPUTED_VALUE"""),1.8877238E7)</f>
        <v>18877238</v>
      </c>
    </row>
    <row r="8230">
      <c r="A8230" t="str">
        <f t="shared" si="1"/>
        <v>prk#1986</v>
      </c>
      <c r="B8230" t="str">
        <f>IFERROR(__xludf.DUMMYFUNCTION("""COMPUTED_VALUE"""),"prk")</f>
        <v>prk</v>
      </c>
      <c r="C8230" t="str">
        <f>IFERROR(__xludf.DUMMYFUNCTION("""COMPUTED_VALUE"""),"North Korea")</f>
        <v>North Korea</v>
      </c>
      <c r="D8230">
        <f>IFERROR(__xludf.DUMMYFUNCTION("""COMPUTED_VALUE"""),1986.0)</f>
        <v>1986</v>
      </c>
      <c r="E8230">
        <f>IFERROR(__xludf.DUMMYFUNCTION("""COMPUTED_VALUE"""),1.9156795E7)</f>
        <v>19156795</v>
      </c>
    </row>
    <row r="8231">
      <c r="A8231" t="str">
        <f t="shared" si="1"/>
        <v>prk#1987</v>
      </c>
      <c r="B8231" t="str">
        <f>IFERROR(__xludf.DUMMYFUNCTION("""COMPUTED_VALUE"""),"prk")</f>
        <v>prk</v>
      </c>
      <c r="C8231" t="str">
        <f>IFERROR(__xludf.DUMMYFUNCTION("""COMPUTED_VALUE"""),"North Korea")</f>
        <v>North Korea</v>
      </c>
      <c r="D8231">
        <f>IFERROR(__xludf.DUMMYFUNCTION("""COMPUTED_VALUE"""),1987.0)</f>
        <v>1987</v>
      </c>
      <c r="E8231">
        <f>IFERROR(__xludf.DUMMYFUNCTION("""COMPUTED_VALUE"""),1.9431986E7)</f>
        <v>19431986</v>
      </c>
    </row>
    <row r="8232">
      <c r="A8232" t="str">
        <f t="shared" si="1"/>
        <v>prk#1988</v>
      </c>
      <c r="B8232" t="str">
        <f>IFERROR(__xludf.DUMMYFUNCTION("""COMPUTED_VALUE"""),"prk")</f>
        <v>prk</v>
      </c>
      <c r="C8232" t="str">
        <f>IFERROR(__xludf.DUMMYFUNCTION("""COMPUTED_VALUE"""),"North Korea")</f>
        <v>North Korea</v>
      </c>
      <c r="D8232">
        <f>IFERROR(__xludf.DUMMYFUNCTION("""COMPUTED_VALUE"""),1988.0)</f>
        <v>1988</v>
      </c>
      <c r="E8232">
        <f>IFERROR(__xludf.DUMMYFUNCTION("""COMPUTED_VALUE"""),1.9708323E7)</f>
        <v>19708323</v>
      </c>
    </row>
    <row r="8233">
      <c r="A8233" t="str">
        <f t="shared" si="1"/>
        <v>prk#1989</v>
      </c>
      <c r="B8233" t="str">
        <f>IFERROR(__xludf.DUMMYFUNCTION("""COMPUTED_VALUE"""),"prk")</f>
        <v>prk</v>
      </c>
      <c r="C8233" t="str">
        <f>IFERROR(__xludf.DUMMYFUNCTION("""COMPUTED_VALUE"""),"North Korea")</f>
        <v>North Korea</v>
      </c>
      <c r="D8233">
        <f>IFERROR(__xludf.DUMMYFUNCTION("""COMPUTED_VALUE"""),1989.0)</f>
        <v>1989</v>
      </c>
      <c r="E8233">
        <f>IFERROR(__xludf.DUMMYFUNCTION("""COMPUTED_VALUE"""),1.9993755E7)</f>
        <v>19993755</v>
      </c>
    </row>
    <row r="8234">
      <c r="A8234" t="str">
        <f t="shared" si="1"/>
        <v>prk#1990</v>
      </c>
      <c r="B8234" t="str">
        <f>IFERROR(__xludf.DUMMYFUNCTION("""COMPUTED_VALUE"""),"prk")</f>
        <v>prk</v>
      </c>
      <c r="C8234" t="str">
        <f>IFERROR(__xludf.DUMMYFUNCTION("""COMPUTED_VALUE"""),"North Korea")</f>
        <v>North Korea</v>
      </c>
      <c r="D8234">
        <f>IFERROR(__xludf.DUMMYFUNCTION("""COMPUTED_VALUE"""),1990.0)</f>
        <v>1990</v>
      </c>
      <c r="E8234">
        <f>IFERROR(__xludf.DUMMYFUNCTION("""COMPUTED_VALUE"""),2.0293054E7)</f>
        <v>20293054</v>
      </c>
    </row>
    <row r="8235">
      <c r="A8235" t="str">
        <f t="shared" si="1"/>
        <v>prk#1991</v>
      </c>
      <c r="B8235" t="str">
        <f>IFERROR(__xludf.DUMMYFUNCTION("""COMPUTED_VALUE"""),"prk")</f>
        <v>prk</v>
      </c>
      <c r="C8235" t="str">
        <f>IFERROR(__xludf.DUMMYFUNCTION("""COMPUTED_VALUE"""),"North Korea")</f>
        <v>North Korea</v>
      </c>
      <c r="D8235">
        <f>IFERROR(__xludf.DUMMYFUNCTION("""COMPUTED_VALUE"""),1991.0)</f>
        <v>1991</v>
      </c>
      <c r="E8235">
        <f>IFERROR(__xludf.DUMMYFUNCTION("""COMPUTED_VALUE"""),2.060915E7)</f>
        <v>20609150</v>
      </c>
    </row>
    <row r="8236">
      <c r="A8236" t="str">
        <f t="shared" si="1"/>
        <v>prk#1992</v>
      </c>
      <c r="B8236" t="str">
        <f>IFERROR(__xludf.DUMMYFUNCTION("""COMPUTED_VALUE"""),"prk")</f>
        <v>prk</v>
      </c>
      <c r="C8236" t="str">
        <f>IFERROR(__xludf.DUMMYFUNCTION("""COMPUTED_VALUE"""),"North Korea")</f>
        <v>North Korea</v>
      </c>
      <c r="D8236">
        <f>IFERROR(__xludf.DUMMYFUNCTION("""COMPUTED_VALUE"""),1992.0)</f>
        <v>1992</v>
      </c>
      <c r="E8236">
        <f>IFERROR(__xludf.DUMMYFUNCTION("""COMPUTED_VALUE"""),2.0937404E7)</f>
        <v>20937404</v>
      </c>
    </row>
    <row r="8237">
      <c r="A8237" t="str">
        <f t="shared" si="1"/>
        <v>prk#1993</v>
      </c>
      <c r="B8237" t="str">
        <f>IFERROR(__xludf.DUMMYFUNCTION("""COMPUTED_VALUE"""),"prk")</f>
        <v>prk</v>
      </c>
      <c r="C8237" t="str">
        <f>IFERROR(__xludf.DUMMYFUNCTION("""COMPUTED_VALUE"""),"North Korea")</f>
        <v>North Korea</v>
      </c>
      <c r="D8237">
        <f>IFERROR(__xludf.DUMMYFUNCTION("""COMPUTED_VALUE"""),1993.0)</f>
        <v>1993</v>
      </c>
      <c r="E8237">
        <f>IFERROR(__xludf.DUMMYFUNCTION("""COMPUTED_VALUE"""),2.1265834E7)</f>
        <v>21265834</v>
      </c>
    </row>
    <row r="8238">
      <c r="A8238" t="str">
        <f t="shared" si="1"/>
        <v>prk#1994</v>
      </c>
      <c r="B8238" t="str">
        <f>IFERROR(__xludf.DUMMYFUNCTION("""COMPUTED_VALUE"""),"prk")</f>
        <v>prk</v>
      </c>
      <c r="C8238" t="str">
        <f>IFERROR(__xludf.DUMMYFUNCTION("""COMPUTED_VALUE"""),"North Korea")</f>
        <v>North Korea</v>
      </c>
      <c r="D8238">
        <f>IFERROR(__xludf.DUMMYFUNCTION("""COMPUTED_VALUE"""),1994.0)</f>
        <v>1994</v>
      </c>
      <c r="E8238">
        <f>IFERROR(__xludf.DUMMYFUNCTION("""COMPUTED_VALUE"""),2.1577982E7)</f>
        <v>21577982</v>
      </c>
    </row>
    <row r="8239">
      <c r="A8239" t="str">
        <f t="shared" si="1"/>
        <v>prk#1995</v>
      </c>
      <c r="B8239" t="str">
        <f>IFERROR(__xludf.DUMMYFUNCTION("""COMPUTED_VALUE"""),"prk")</f>
        <v>prk</v>
      </c>
      <c r="C8239" t="str">
        <f>IFERROR(__xludf.DUMMYFUNCTION("""COMPUTED_VALUE"""),"North Korea")</f>
        <v>North Korea</v>
      </c>
      <c r="D8239">
        <f>IFERROR(__xludf.DUMMYFUNCTION("""COMPUTED_VALUE"""),1995.0)</f>
        <v>1995</v>
      </c>
      <c r="E8239">
        <f>IFERROR(__xludf.DUMMYFUNCTION("""COMPUTED_VALUE"""),2.1862299E7)</f>
        <v>21862299</v>
      </c>
    </row>
    <row r="8240">
      <c r="A8240" t="str">
        <f t="shared" si="1"/>
        <v>prk#1996</v>
      </c>
      <c r="B8240" t="str">
        <f>IFERROR(__xludf.DUMMYFUNCTION("""COMPUTED_VALUE"""),"prk")</f>
        <v>prk</v>
      </c>
      <c r="C8240" t="str">
        <f>IFERROR(__xludf.DUMMYFUNCTION("""COMPUTED_VALUE"""),"North Korea")</f>
        <v>North Korea</v>
      </c>
      <c r="D8240">
        <f>IFERROR(__xludf.DUMMYFUNCTION("""COMPUTED_VALUE"""),1996.0)</f>
        <v>1996</v>
      </c>
      <c r="E8240">
        <f>IFERROR(__xludf.DUMMYFUNCTION("""COMPUTED_VALUE"""),2.2113548E7)</f>
        <v>22113548</v>
      </c>
    </row>
    <row r="8241">
      <c r="A8241" t="str">
        <f t="shared" si="1"/>
        <v>prk#1997</v>
      </c>
      <c r="B8241" t="str">
        <f>IFERROR(__xludf.DUMMYFUNCTION("""COMPUTED_VALUE"""),"prk")</f>
        <v>prk</v>
      </c>
      <c r="C8241" t="str">
        <f>IFERROR(__xludf.DUMMYFUNCTION("""COMPUTED_VALUE"""),"North Korea")</f>
        <v>North Korea</v>
      </c>
      <c r="D8241">
        <f>IFERROR(__xludf.DUMMYFUNCTION("""COMPUTED_VALUE"""),1997.0)</f>
        <v>1997</v>
      </c>
      <c r="E8241">
        <f>IFERROR(__xludf.DUMMYFUNCTION("""COMPUTED_VALUE"""),2.2335638E7)</f>
        <v>22335638</v>
      </c>
    </row>
    <row r="8242">
      <c r="A8242" t="str">
        <f t="shared" si="1"/>
        <v>prk#1998</v>
      </c>
      <c r="B8242" t="str">
        <f>IFERROR(__xludf.DUMMYFUNCTION("""COMPUTED_VALUE"""),"prk")</f>
        <v>prk</v>
      </c>
      <c r="C8242" t="str">
        <f>IFERROR(__xludf.DUMMYFUNCTION("""COMPUTED_VALUE"""),"North Korea")</f>
        <v>North Korea</v>
      </c>
      <c r="D8242">
        <f>IFERROR(__xludf.DUMMYFUNCTION("""COMPUTED_VALUE"""),1998.0)</f>
        <v>1998</v>
      </c>
      <c r="E8242">
        <f>IFERROR(__xludf.DUMMYFUNCTION("""COMPUTED_VALUE"""),2.2537336E7)</f>
        <v>22537336</v>
      </c>
    </row>
    <row r="8243">
      <c r="A8243" t="str">
        <f t="shared" si="1"/>
        <v>prk#1999</v>
      </c>
      <c r="B8243" t="str">
        <f>IFERROR(__xludf.DUMMYFUNCTION("""COMPUTED_VALUE"""),"prk")</f>
        <v>prk</v>
      </c>
      <c r="C8243" t="str">
        <f>IFERROR(__xludf.DUMMYFUNCTION("""COMPUTED_VALUE"""),"North Korea")</f>
        <v>North Korea</v>
      </c>
      <c r="D8243">
        <f>IFERROR(__xludf.DUMMYFUNCTION("""COMPUTED_VALUE"""),1999.0)</f>
        <v>1999</v>
      </c>
      <c r="E8243">
        <f>IFERROR(__xludf.DUMMYFUNCTION("""COMPUTED_VALUE"""),2.2731985E7)</f>
        <v>22731985</v>
      </c>
    </row>
    <row r="8244">
      <c r="A8244" t="str">
        <f t="shared" si="1"/>
        <v>prk#2000</v>
      </c>
      <c r="B8244" t="str">
        <f>IFERROR(__xludf.DUMMYFUNCTION("""COMPUTED_VALUE"""),"prk")</f>
        <v>prk</v>
      </c>
      <c r="C8244" t="str">
        <f>IFERROR(__xludf.DUMMYFUNCTION("""COMPUTED_VALUE"""),"North Korea")</f>
        <v>North Korea</v>
      </c>
      <c r="D8244">
        <f>IFERROR(__xludf.DUMMYFUNCTION("""COMPUTED_VALUE"""),2000.0)</f>
        <v>2000</v>
      </c>
      <c r="E8244">
        <f>IFERROR(__xludf.DUMMYFUNCTION("""COMPUTED_VALUE"""),2.2929075E7)</f>
        <v>22929075</v>
      </c>
    </row>
    <row r="8245">
      <c r="A8245" t="str">
        <f t="shared" si="1"/>
        <v>prk#2001</v>
      </c>
      <c r="B8245" t="str">
        <f>IFERROR(__xludf.DUMMYFUNCTION("""COMPUTED_VALUE"""),"prk")</f>
        <v>prk</v>
      </c>
      <c r="C8245" t="str">
        <f>IFERROR(__xludf.DUMMYFUNCTION("""COMPUTED_VALUE"""),"North Korea")</f>
        <v>North Korea</v>
      </c>
      <c r="D8245">
        <f>IFERROR(__xludf.DUMMYFUNCTION("""COMPUTED_VALUE"""),2001.0)</f>
        <v>2001</v>
      </c>
      <c r="E8245">
        <f>IFERROR(__xludf.DUMMYFUNCTION("""COMPUTED_VALUE"""),2.313181E7)</f>
        <v>23131810</v>
      </c>
    </row>
    <row r="8246">
      <c r="A8246" t="str">
        <f t="shared" si="1"/>
        <v>prk#2002</v>
      </c>
      <c r="B8246" t="str">
        <f>IFERROR(__xludf.DUMMYFUNCTION("""COMPUTED_VALUE"""),"prk")</f>
        <v>prk</v>
      </c>
      <c r="C8246" t="str">
        <f>IFERROR(__xludf.DUMMYFUNCTION("""COMPUTED_VALUE"""),"North Korea")</f>
        <v>North Korea</v>
      </c>
      <c r="D8246">
        <f>IFERROR(__xludf.DUMMYFUNCTION("""COMPUTED_VALUE"""),2002.0)</f>
        <v>2002</v>
      </c>
      <c r="E8246">
        <f>IFERROR(__xludf.DUMMYFUNCTION("""COMPUTED_VALUE"""),2.3336681E7)</f>
        <v>23336681</v>
      </c>
    </row>
    <row r="8247">
      <c r="A8247" t="str">
        <f t="shared" si="1"/>
        <v>prk#2003</v>
      </c>
      <c r="B8247" t="str">
        <f>IFERROR(__xludf.DUMMYFUNCTION("""COMPUTED_VALUE"""),"prk")</f>
        <v>prk</v>
      </c>
      <c r="C8247" t="str">
        <f>IFERROR(__xludf.DUMMYFUNCTION("""COMPUTED_VALUE"""),"North Korea")</f>
        <v>North Korea</v>
      </c>
      <c r="D8247">
        <f>IFERROR(__xludf.DUMMYFUNCTION("""COMPUTED_VALUE"""),2003.0)</f>
        <v>2003</v>
      </c>
      <c r="E8247">
        <f>IFERROR(__xludf.DUMMYFUNCTION("""COMPUTED_VALUE"""),2.353854E7)</f>
        <v>23538540</v>
      </c>
    </row>
    <row r="8248">
      <c r="A8248" t="str">
        <f t="shared" si="1"/>
        <v>prk#2004</v>
      </c>
      <c r="B8248" t="str">
        <f>IFERROR(__xludf.DUMMYFUNCTION("""COMPUTED_VALUE"""),"prk")</f>
        <v>prk</v>
      </c>
      <c r="C8248" t="str">
        <f>IFERROR(__xludf.DUMMYFUNCTION("""COMPUTED_VALUE"""),"North Korea")</f>
        <v>North Korea</v>
      </c>
      <c r="D8248">
        <f>IFERROR(__xludf.DUMMYFUNCTION("""COMPUTED_VALUE"""),2004.0)</f>
        <v>2004</v>
      </c>
      <c r="E8248">
        <f>IFERROR(__xludf.DUMMYFUNCTION("""COMPUTED_VALUE"""),2.3729498E7)</f>
        <v>23729498</v>
      </c>
    </row>
    <row r="8249">
      <c r="A8249" t="str">
        <f t="shared" si="1"/>
        <v>prk#2005</v>
      </c>
      <c r="B8249" t="str">
        <f>IFERROR(__xludf.DUMMYFUNCTION("""COMPUTED_VALUE"""),"prk")</f>
        <v>prk</v>
      </c>
      <c r="C8249" t="str">
        <f>IFERROR(__xludf.DUMMYFUNCTION("""COMPUTED_VALUE"""),"North Korea")</f>
        <v>North Korea</v>
      </c>
      <c r="D8249">
        <f>IFERROR(__xludf.DUMMYFUNCTION("""COMPUTED_VALUE"""),2005.0)</f>
        <v>2005</v>
      </c>
      <c r="E8249">
        <f>IFERROR(__xludf.DUMMYFUNCTION("""COMPUTED_VALUE"""),2.3904167E7)</f>
        <v>23904167</v>
      </c>
    </row>
    <row r="8250">
      <c r="A8250" t="str">
        <f t="shared" si="1"/>
        <v>prk#2006</v>
      </c>
      <c r="B8250" t="str">
        <f>IFERROR(__xludf.DUMMYFUNCTION("""COMPUTED_VALUE"""),"prk")</f>
        <v>prk</v>
      </c>
      <c r="C8250" t="str">
        <f>IFERROR(__xludf.DUMMYFUNCTION("""COMPUTED_VALUE"""),"North Korea")</f>
        <v>North Korea</v>
      </c>
      <c r="D8250">
        <f>IFERROR(__xludf.DUMMYFUNCTION("""COMPUTED_VALUE"""),2006.0)</f>
        <v>2006</v>
      </c>
      <c r="E8250">
        <f>IFERROR(__xludf.DUMMYFUNCTION("""COMPUTED_VALUE"""),2.4061097E7)</f>
        <v>24061097</v>
      </c>
    </row>
    <row r="8251">
      <c r="A8251" t="str">
        <f t="shared" si="1"/>
        <v>prk#2007</v>
      </c>
      <c r="B8251" t="str">
        <f>IFERROR(__xludf.DUMMYFUNCTION("""COMPUTED_VALUE"""),"prk")</f>
        <v>prk</v>
      </c>
      <c r="C8251" t="str">
        <f>IFERROR(__xludf.DUMMYFUNCTION("""COMPUTED_VALUE"""),"North Korea")</f>
        <v>North Korea</v>
      </c>
      <c r="D8251">
        <f>IFERROR(__xludf.DUMMYFUNCTION("""COMPUTED_VALUE"""),2007.0)</f>
        <v>2007</v>
      </c>
      <c r="E8251">
        <f>IFERROR(__xludf.DUMMYFUNCTION("""COMPUTED_VALUE"""),2.4203289E7)</f>
        <v>24203289</v>
      </c>
    </row>
    <row r="8252">
      <c r="A8252" t="str">
        <f t="shared" si="1"/>
        <v>prk#2008</v>
      </c>
      <c r="B8252" t="str">
        <f>IFERROR(__xludf.DUMMYFUNCTION("""COMPUTED_VALUE"""),"prk")</f>
        <v>prk</v>
      </c>
      <c r="C8252" t="str">
        <f>IFERROR(__xludf.DUMMYFUNCTION("""COMPUTED_VALUE"""),"North Korea")</f>
        <v>North Korea</v>
      </c>
      <c r="D8252">
        <f>IFERROR(__xludf.DUMMYFUNCTION("""COMPUTED_VALUE"""),2008.0)</f>
        <v>2008</v>
      </c>
      <c r="E8252">
        <f>IFERROR(__xludf.DUMMYFUNCTION("""COMPUTED_VALUE"""),2.4335146E7)</f>
        <v>24335146</v>
      </c>
    </row>
    <row r="8253">
      <c r="A8253" t="str">
        <f t="shared" si="1"/>
        <v>prk#2009</v>
      </c>
      <c r="B8253" t="str">
        <f>IFERROR(__xludf.DUMMYFUNCTION("""COMPUTED_VALUE"""),"prk")</f>
        <v>prk</v>
      </c>
      <c r="C8253" t="str">
        <f>IFERROR(__xludf.DUMMYFUNCTION("""COMPUTED_VALUE"""),"North Korea")</f>
        <v>North Korea</v>
      </c>
      <c r="D8253">
        <f>IFERROR(__xludf.DUMMYFUNCTION("""COMPUTED_VALUE"""),2009.0)</f>
        <v>2009</v>
      </c>
      <c r="E8253">
        <f>IFERROR(__xludf.DUMMYFUNCTION("""COMPUTED_VALUE"""),2.4463021E7)</f>
        <v>24463021</v>
      </c>
    </row>
    <row r="8254">
      <c r="A8254" t="str">
        <f t="shared" si="1"/>
        <v>prk#2010</v>
      </c>
      <c r="B8254" t="str">
        <f>IFERROR(__xludf.DUMMYFUNCTION("""COMPUTED_VALUE"""),"prk")</f>
        <v>prk</v>
      </c>
      <c r="C8254" t="str">
        <f>IFERROR(__xludf.DUMMYFUNCTION("""COMPUTED_VALUE"""),"North Korea")</f>
        <v>North Korea</v>
      </c>
      <c r="D8254">
        <f>IFERROR(__xludf.DUMMYFUNCTION("""COMPUTED_VALUE"""),2010.0)</f>
        <v>2010</v>
      </c>
      <c r="E8254">
        <f>IFERROR(__xludf.DUMMYFUNCTION("""COMPUTED_VALUE"""),2.4591599E7)</f>
        <v>24591599</v>
      </c>
    </row>
    <row r="8255">
      <c r="A8255" t="str">
        <f t="shared" si="1"/>
        <v>prk#2011</v>
      </c>
      <c r="B8255" t="str">
        <f>IFERROR(__xludf.DUMMYFUNCTION("""COMPUTED_VALUE"""),"prk")</f>
        <v>prk</v>
      </c>
      <c r="C8255" t="str">
        <f>IFERROR(__xludf.DUMMYFUNCTION("""COMPUTED_VALUE"""),"North Korea")</f>
        <v>North Korea</v>
      </c>
      <c r="D8255">
        <f>IFERROR(__xludf.DUMMYFUNCTION("""COMPUTED_VALUE"""),2011.0)</f>
        <v>2011</v>
      </c>
      <c r="E8255">
        <f>IFERROR(__xludf.DUMMYFUNCTION("""COMPUTED_VALUE"""),2.4722298E7)</f>
        <v>24722298</v>
      </c>
    </row>
    <row r="8256">
      <c r="A8256" t="str">
        <f t="shared" si="1"/>
        <v>prk#2012</v>
      </c>
      <c r="B8256" t="str">
        <f>IFERROR(__xludf.DUMMYFUNCTION("""COMPUTED_VALUE"""),"prk")</f>
        <v>prk</v>
      </c>
      <c r="C8256" t="str">
        <f>IFERROR(__xludf.DUMMYFUNCTION("""COMPUTED_VALUE"""),"North Korea")</f>
        <v>North Korea</v>
      </c>
      <c r="D8256">
        <f>IFERROR(__xludf.DUMMYFUNCTION("""COMPUTED_VALUE"""),2012.0)</f>
        <v>2012</v>
      </c>
      <c r="E8256">
        <f>IFERROR(__xludf.DUMMYFUNCTION("""COMPUTED_VALUE"""),2.4854034E7)</f>
        <v>24854034</v>
      </c>
    </row>
    <row r="8257">
      <c r="A8257" t="str">
        <f t="shared" si="1"/>
        <v>prk#2013</v>
      </c>
      <c r="B8257" t="str">
        <f>IFERROR(__xludf.DUMMYFUNCTION("""COMPUTED_VALUE"""),"prk")</f>
        <v>prk</v>
      </c>
      <c r="C8257" t="str">
        <f>IFERROR(__xludf.DUMMYFUNCTION("""COMPUTED_VALUE"""),"North Korea")</f>
        <v>North Korea</v>
      </c>
      <c r="D8257">
        <f>IFERROR(__xludf.DUMMYFUNCTION("""COMPUTED_VALUE"""),2013.0)</f>
        <v>2013</v>
      </c>
      <c r="E8257">
        <f>IFERROR(__xludf.DUMMYFUNCTION("""COMPUTED_VALUE"""),2.4985976E7)</f>
        <v>24985976</v>
      </c>
    </row>
    <row r="8258">
      <c r="A8258" t="str">
        <f t="shared" si="1"/>
        <v>prk#2014</v>
      </c>
      <c r="B8258" t="str">
        <f>IFERROR(__xludf.DUMMYFUNCTION("""COMPUTED_VALUE"""),"prk")</f>
        <v>prk</v>
      </c>
      <c r="C8258" t="str">
        <f>IFERROR(__xludf.DUMMYFUNCTION("""COMPUTED_VALUE"""),"North Korea")</f>
        <v>North Korea</v>
      </c>
      <c r="D8258">
        <f>IFERROR(__xludf.DUMMYFUNCTION("""COMPUTED_VALUE"""),2014.0)</f>
        <v>2014</v>
      </c>
      <c r="E8258">
        <f>IFERROR(__xludf.DUMMYFUNCTION("""COMPUTED_VALUE"""),2.5116363E7)</f>
        <v>25116363</v>
      </c>
    </row>
    <row r="8259">
      <c r="A8259" t="str">
        <f t="shared" si="1"/>
        <v>prk#2015</v>
      </c>
      <c r="B8259" t="str">
        <f>IFERROR(__xludf.DUMMYFUNCTION("""COMPUTED_VALUE"""),"prk")</f>
        <v>prk</v>
      </c>
      <c r="C8259" t="str">
        <f>IFERROR(__xludf.DUMMYFUNCTION("""COMPUTED_VALUE"""),"North Korea")</f>
        <v>North Korea</v>
      </c>
      <c r="D8259">
        <f>IFERROR(__xludf.DUMMYFUNCTION("""COMPUTED_VALUE"""),2015.0)</f>
        <v>2015</v>
      </c>
      <c r="E8259">
        <f>IFERROR(__xludf.DUMMYFUNCTION("""COMPUTED_VALUE"""),2.5243917E7)</f>
        <v>25243917</v>
      </c>
    </row>
    <row r="8260">
      <c r="A8260" t="str">
        <f t="shared" si="1"/>
        <v>prk#2016</v>
      </c>
      <c r="B8260" t="str">
        <f>IFERROR(__xludf.DUMMYFUNCTION("""COMPUTED_VALUE"""),"prk")</f>
        <v>prk</v>
      </c>
      <c r="C8260" t="str">
        <f>IFERROR(__xludf.DUMMYFUNCTION("""COMPUTED_VALUE"""),"North Korea")</f>
        <v>North Korea</v>
      </c>
      <c r="D8260">
        <f>IFERROR(__xludf.DUMMYFUNCTION("""COMPUTED_VALUE"""),2016.0)</f>
        <v>2016</v>
      </c>
      <c r="E8260">
        <f>IFERROR(__xludf.DUMMYFUNCTION("""COMPUTED_VALUE"""),2.536862E7)</f>
        <v>25368620</v>
      </c>
    </row>
    <row r="8261">
      <c r="A8261" t="str">
        <f t="shared" si="1"/>
        <v>prk#2017</v>
      </c>
      <c r="B8261" t="str">
        <f>IFERROR(__xludf.DUMMYFUNCTION("""COMPUTED_VALUE"""),"prk")</f>
        <v>prk</v>
      </c>
      <c r="C8261" t="str">
        <f>IFERROR(__xludf.DUMMYFUNCTION("""COMPUTED_VALUE"""),"North Korea")</f>
        <v>North Korea</v>
      </c>
      <c r="D8261">
        <f>IFERROR(__xludf.DUMMYFUNCTION("""COMPUTED_VALUE"""),2017.0)</f>
        <v>2017</v>
      </c>
      <c r="E8261">
        <f>IFERROR(__xludf.DUMMYFUNCTION("""COMPUTED_VALUE"""),2.5490965E7)</f>
        <v>25490965</v>
      </c>
    </row>
    <row r="8262">
      <c r="A8262" t="str">
        <f t="shared" si="1"/>
        <v>prk#2018</v>
      </c>
      <c r="B8262" t="str">
        <f>IFERROR(__xludf.DUMMYFUNCTION("""COMPUTED_VALUE"""),"prk")</f>
        <v>prk</v>
      </c>
      <c r="C8262" t="str">
        <f>IFERROR(__xludf.DUMMYFUNCTION("""COMPUTED_VALUE"""),"North Korea")</f>
        <v>North Korea</v>
      </c>
      <c r="D8262">
        <f>IFERROR(__xludf.DUMMYFUNCTION("""COMPUTED_VALUE"""),2018.0)</f>
        <v>2018</v>
      </c>
      <c r="E8262">
        <f>IFERROR(__xludf.DUMMYFUNCTION("""COMPUTED_VALUE"""),2.5610672E7)</f>
        <v>25610672</v>
      </c>
    </row>
    <row r="8263">
      <c r="A8263" t="str">
        <f t="shared" si="1"/>
        <v>prk#2019</v>
      </c>
      <c r="B8263" t="str">
        <f>IFERROR(__xludf.DUMMYFUNCTION("""COMPUTED_VALUE"""),"prk")</f>
        <v>prk</v>
      </c>
      <c r="C8263" t="str">
        <f>IFERROR(__xludf.DUMMYFUNCTION("""COMPUTED_VALUE"""),"North Korea")</f>
        <v>North Korea</v>
      </c>
      <c r="D8263">
        <f>IFERROR(__xludf.DUMMYFUNCTION("""COMPUTED_VALUE"""),2019.0)</f>
        <v>2019</v>
      </c>
      <c r="E8263">
        <f>IFERROR(__xludf.DUMMYFUNCTION("""COMPUTED_VALUE"""),2.5727408E7)</f>
        <v>25727408</v>
      </c>
    </row>
    <row r="8264">
      <c r="A8264" t="str">
        <f t="shared" si="1"/>
        <v>prk#2020</v>
      </c>
      <c r="B8264" t="str">
        <f>IFERROR(__xludf.DUMMYFUNCTION("""COMPUTED_VALUE"""),"prk")</f>
        <v>prk</v>
      </c>
      <c r="C8264" t="str">
        <f>IFERROR(__xludf.DUMMYFUNCTION("""COMPUTED_VALUE"""),"North Korea")</f>
        <v>North Korea</v>
      </c>
      <c r="D8264">
        <f>IFERROR(__xludf.DUMMYFUNCTION("""COMPUTED_VALUE"""),2020.0)</f>
        <v>2020</v>
      </c>
      <c r="E8264">
        <f>IFERROR(__xludf.DUMMYFUNCTION("""COMPUTED_VALUE"""),2.5840863E7)</f>
        <v>25840863</v>
      </c>
    </row>
    <row r="8265">
      <c r="A8265" t="str">
        <f t="shared" si="1"/>
        <v>prk#2021</v>
      </c>
      <c r="B8265" t="str">
        <f>IFERROR(__xludf.DUMMYFUNCTION("""COMPUTED_VALUE"""),"prk")</f>
        <v>prk</v>
      </c>
      <c r="C8265" t="str">
        <f>IFERROR(__xludf.DUMMYFUNCTION("""COMPUTED_VALUE"""),"North Korea")</f>
        <v>North Korea</v>
      </c>
      <c r="D8265">
        <f>IFERROR(__xludf.DUMMYFUNCTION("""COMPUTED_VALUE"""),2021.0)</f>
        <v>2021</v>
      </c>
      <c r="E8265">
        <f>IFERROR(__xludf.DUMMYFUNCTION("""COMPUTED_VALUE"""),2.5950762E7)</f>
        <v>25950762</v>
      </c>
    </row>
    <row r="8266">
      <c r="A8266" t="str">
        <f t="shared" si="1"/>
        <v>prk#2022</v>
      </c>
      <c r="B8266" t="str">
        <f>IFERROR(__xludf.DUMMYFUNCTION("""COMPUTED_VALUE"""),"prk")</f>
        <v>prk</v>
      </c>
      <c r="C8266" t="str">
        <f>IFERROR(__xludf.DUMMYFUNCTION("""COMPUTED_VALUE"""),"North Korea")</f>
        <v>North Korea</v>
      </c>
      <c r="D8266">
        <f>IFERROR(__xludf.DUMMYFUNCTION("""COMPUTED_VALUE"""),2022.0)</f>
        <v>2022</v>
      </c>
      <c r="E8266">
        <f>IFERROR(__xludf.DUMMYFUNCTION("""COMPUTED_VALUE"""),2.6056854E7)</f>
        <v>26056854</v>
      </c>
    </row>
    <row r="8267">
      <c r="A8267" t="str">
        <f t="shared" si="1"/>
        <v>prk#2023</v>
      </c>
      <c r="B8267" t="str">
        <f>IFERROR(__xludf.DUMMYFUNCTION("""COMPUTED_VALUE"""),"prk")</f>
        <v>prk</v>
      </c>
      <c r="C8267" t="str">
        <f>IFERROR(__xludf.DUMMYFUNCTION("""COMPUTED_VALUE"""),"North Korea")</f>
        <v>North Korea</v>
      </c>
      <c r="D8267">
        <f>IFERROR(__xludf.DUMMYFUNCTION("""COMPUTED_VALUE"""),2023.0)</f>
        <v>2023</v>
      </c>
      <c r="E8267">
        <f>IFERROR(__xludf.DUMMYFUNCTION("""COMPUTED_VALUE"""),2.6158991E7)</f>
        <v>26158991</v>
      </c>
    </row>
    <row r="8268">
      <c r="A8268" t="str">
        <f t="shared" si="1"/>
        <v>prk#2024</v>
      </c>
      <c r="B8268" t="str">
        <f>IFERROR(__xludf.DUMMYFUNCTION("""COMPUTED_VALUE"""),"prk")</f>
        <v>prk</v>
      </c>
      <c r="C8268" t="str">
        <f>IFERROR(__xludf.DUMMYFUNCTION("""COMPUTED_VALUE"""),"North Korea")</f>
        <v>North Korea</v>
      </c>
      <c r="D8268">
        <f>IFERROR(__xludf.DUMMYFUNCTION("""COMPUTED_VALUE"""),2024.0)</f>
        <v>2024</v>
      </c>
      <c r="E8268">
        <f>IFERROR(__xludf.DUMMYFUNCTION("""COMPUTED_VALUE"""),2.6257063E7)</f>
        <v>26257063</v>
      </c>
    </row>
    <row r="8269">
      <c r="A8269" t="str">
        <f t="shared" si="1"/>
        <v>prk#2025</v>
      </c>
      <c r="B8269" t="str">
        <f>IFERROR(__xludf.DUMMYFUNCTION("""COMPUTED_VALUE"""),"prk")</f>
        <v>prk</v>
      </c>
      <c r="C8269" t="str">
        <f>IFERROR(__xludf.DUMMYFUNCTION("""COMPUTED_VALUE"""),"North Korea")</f>
        <v>North Korea</v>
      </c>
      <c r="D8269">
        <f>IFERROR(__xludf.DUMMYFUNCTION("""COMPUTED_VALUE"""),2025.0)</f>
        <v>2025</v>
      </c>
      <c r="E8269">
        <f>IFERROR(__xludf.DUMMYFUNCTION("""COMPUTED_VALUE"""),2.6350877E7)</f>
        <v>26350877</v>
      </c>
    </row>
    <row r="8270">
      <c r="A8270" t="str">
        <f t="shared" si="1"/>
        <v>prk#2026</v>
      </c>
      <c r="B8270" t="str">
        <f>IFERROR(__xludf.DUMMYFUNCTION("""COMPUTED_VALUE"""),"prk")</f>
        <v>prk</v>
      </c>
      <c r="C8270" t="str">
        <f>IFERROR(__xludf.DUMMYFUNCTION("""COMPUTED_VALUE"""),"North Korea")</f>
        <v>North Korea</v>
      </c>
      <c r="D8270">
        <f>IFERROR(__xludf.DUMMYFUNCTION("""COMPUTED_VALUE"""),2026.0)</f>
        <v>2026</v>
      </c>
      <c r="E8270">
        <f>IFERROR(__xludf.DUMMYFUNCTION("""COMPUTED_VALUE"""),2.6440287E7)</f>
        <v>26440287</v>
      </c>
    </row>
    <row r="8271">
      <c r="A8271" t="str">
        <f t="shared" si="1"/>
        <v>prk#2027</v>
      </c>
      <c r="B8271" t="str">
        <f>IFERROR(__xludf.DUMMYFUNCTION("""COMPUTED_VALUE"""),"prk")</f>
        <v>prk</v>
      </c>
      <c r="C8271" t="str">
        <f>IFERROR(__xludf.DUMMYFUNCTION("""COMPUTED_VALUE"""),"North Korea")</f>
        <v>North Korea</v>
      </c>
      <c r="D8271">
        <f>IFERROR(__xludf.DUMMYFUNCTION("""COMPUTED_VALUE"""),2027.0)</f>
        <v>2027</v>
      </c>
      <c r="E8271">
        <f>IFERROR(__xludf.DUMMYFUNCTION("""COMPUTED_VALUE"""),2.6524975E7)</f>
        <v>26524975</v>
      </c>
    </row>
    <row r="8272">
      <c r="A8272" t="str">
        <f t="shared" si="1"/>
        <v>prk#2028</v>
      </c>
      <c r="B8272" t="str">
        <f>IFERROR(__xludf.DUMMYFUNCTION("""COMPUTED_VALUE"""),"prk")</f>
        <v>prk</v>
      </c>
      <c r="C8272" t="str">
        <f>IFERROR(__xludf.DUMMYFUNCTION("""COMPUTED_VALUE"""),"North Korea")</f>
        <v>North Korea</v>
      </c>
      <c r="D8272">
        <f>IFERROR(__xludf.DUMMYFUNCTION("""COMPUTED_VALUE"""),2028.0)</f>
        <v>2028</v>
      </c>
      <c r="E8272">
        <f>IFERROR(__xludf.DUMMYFUNCTION("""COMPUTED_VALUE"""),2.660429E7)</f>
        <v>26604290</v>
      </c>
    </row>
    <row r="8273">
      <c r="A8273" t="str">
        <f t="shared" si="1"/>
        <v>prk#2029</v>
      </c>
      <c r="B8273" t="str">
        <f>IFERROR(__xludf.DUMMYFUNCTION("""COMPUTED_VALUE"""),"prk")</f>
        <v>prk</v>
      </c>
      <c r="C8273" t="str">
        <f>IFERROR(__xludf.DUMMYFUNCTION("""COMPUTED_VALUE"""),"North Korea")</f>
        <v>North Korea</v>
      </c>
      <c r="D8273">
        <f>IFERROR(__xludf.DUMMYFUNCTION("""COMPUTED_VALUE"""),2029.0)</f>
        <v>2029</v>
      </c>
      <c r="E8273">
        <f>IFERROR(__xludf.DUMMYFUNCTION("""COMPUTED_VALUE"""),2.6677453E7)</f>
        <v>26677453</v>
      </c>
    </row>
    <row r="8274">
      <c r="A8274" t="str">
        <f t="shared" si="1"/>
        <v>prk#2030</v>
      </c>
      <c r="B8274" t="str">
        <f>IFERROR(__xludf.DUMMYFUNCTION("""COMPUTED_VALUE"""),"prk")</f>
        <v>prk</v>
      </c>
      <c r="C8274" t="str">
        <f>IFERROR(__xludf.DUMMYFUNCTION("""COMPUTED_VALUE"""),"North Korea")</f>
        <v>North Korea</v>
      </c>
      <c r="D8274">
        <f>IFERROR(__xludf.DUMMYFUNCTION("""COMPUTED_VALUE"""),2030.0)</f>
        <v>2030</v>
      </c>
      <c r="E8274">
        <f>IFERROR(__xludf.DUMMYFUNCTION("""COMPUTED_VALUE"""),2.6743895E7)</f>
        <v>26743895</v>
      </c>
    </row>
    <row r="8275">
      <c r="A8275" t="str">
        <f t="shared" si="1"/>
        <v>prk#2031</v>
      </c>
      <c r="B8275" t="str">
        <f>IFERROR(__xludf.DUMMYFUNCTION("""COMPUTED_VALUE"""),"prk")</f>
        <v>prk</v>
      </c>
      <c r="C8275" t="str">
        <f>IFERROR(__xludf.DUMMYFUNCTION("""COMPUTED_VALUE"""),"North Korea")</f>
        <v>North Korea</v>
      </c>
      <c r="D8275">
        <f>IFERROR(__xludf.DUMMYFUNCTION("""COMPUTED_VALUE"""),2031.0)</f>
        <v>2031</v>
      </c>
      <c r="E8275">
        <f>IFERROR(__xludf.DUMMYFUNCTION("""COMPUTED_VALUE"""),2.6803384E7)</f>
        <v>26803384</v>
      </c>
    </row>
    <row r="8276">
      <c r="A8276" t="str">
        <f t="shared" si="1"/>
        <v>prk#2032</v>
      </c>
      <c r="B8276" t="str">
        <f>IFERROR(__xludf.DUMMYFUNCTION("""COMPUTED_VALUE"""),"prk")</f>
        <v>prk</v>
      </c>
      <c r="C8276" t="str">
        <f>IFERROR(__xludf.DUMMYFUNCTION("""COMPUTED_VALUE"""),"North Korea")</f>
        <v>North Korea</v>
      </c>
      <c r="D8276">
        <f>IFERROR(__xludf.DUMMYFUNCTION("""COMPUTED_VALUE"""),2032.0)</f>
        <v>2032</v>
      </c>
      <c r="E8276">
        <f>IFERROR(__xludf.DUMMYFUNCTION("""COMPUTED_VALUE"""),2.6855925E7)</f>
        <v>26855925</v>
      </c>
    </row>
    <row r="8277">
      <c r="A8277" t="str">
        <f t="shared" si="1"/>
        <v>prk#2033</v>
      </c>
      <c r="B8277" t="str">
        <f>IFERROR(__xludf.DUMMYFUNCTION("""COMPUTED_VALUE"""),"prk")</f>
        <v>prk</v>
      </c>
      <c r="C8277" t="str">
        <f>IFERROR(__xludf.DUMMYFUNCTION("""COMPUTED_VALUE"""),"North Korea")</f>
        <v>North Korea</v>
      </c>
      <c r="D8277">
        <f>IFERROR(__xludf.DUMMYFUNCTION("""COMPUTED_VALUE"""),2033.0)</f>
        <v>2033</v>
      </c>
      <c r="E8277">
        <f>IFERROR(__xludf.DUMMYFUNCTION("""COMPUTED_VALUE"""),2.6901502E7)</f>
        <v>26901502</v>
      </c>
    </row>
    <row r="8278">
      <c r="A8278" t="str">
        <f t="shared" si="1"/>
        <v>prk#2034</v>
      </c>
      <c r="B8278" t="str">
        <f>IFERROR(__xludf.DUMMYFUNCTION("""COMPUTED_VALUE"""),"prk")</f>
        <v>prk</v>
      </c>
      <c r="C8278" t="str">
        <f>IFERROR(__xludf.DUMMYFUNCTION("""COMPUTED_VALUE"""),"North Korea")</f>
        <v>North Korea</v>
      </c>
      <c r="D8278">
        <f>IFERROR(__xludf.DUMMYFUNCTION("""COMPUTED_VALUE"""),2034.0)</f>
        <v>2034</v>
      </c>
      <c r="E8278">
        <f>IFERROR(__xludf.DUMMYFUNCTION("""COMPUTED_VALUE"""),2.6940153E7)</f>
        <v>26940153</v>
      </c>
    </row>
    <row r="8279">
      <c r="A8279" t="str">
        <f t="shared" si="1"/>
        <v>prk#2035</v>
      </c>
      <c r="B8279" t="str">
        <f>IFERROR(__xludf.DUMMYFUNCTION("""COMPUTED_VALUE"""),"prk")</f>
        <v>prk</v>
      </c>
      <c r="C8279" t="str">
        <f>IFERROR(__xludf.DUMMYFUNCTION("""COMPUTED_VALUE"""),"North Korea")</f>
        <v>North Korea</v>
      </c>
      <c r="D8279">
        <f>IFERROR(__xludf.DUMMYFUNCTION("""COMPUTED_VALUE"""),2035.0)</f>
        <v>2035</v>
      </c>
      <c r="E8279">
        <f>IFERROR(__xludf.DUMMYFUNCTION("""COMPUTED_VALUE"""),2.6971999E7)</f>
        <v>26971999</v>
      </c>
    </row>
    <row r="8280">
      <c r="A8280" t="str">
        <f t="shared" si="1"/>
        <v>prk#2036</v>
      </c>
      <c r="B8280" t="str">
        <f>IFERROR(__xludf.DUMMYFUNCTION("""COMPUTED_VALUE"""),"prk")</f>
        <v>prk</v>
      </c>
      <c r="C8280" t="str">
        <f>IFERROR(__xludf.DUMMYFUNCTION("""COMPUTED_VALUE"""),"North Korea")</f>
        <v>North Korea</v>
      </c>
      <c r="D8280">
        <f>IFERROR(__xludf.DUMMYFUNCTION("""COMPUTED_VALUE"""),2036.0)</f>
        <v>2036</v>
      </c>
      <c r="E8280">
        <f>IFERROR(__xludf.DUMMYFUNCTION("""COMPUTED_VALUE"""),2.6997036E7)</f>
        <v>26997036</v>
      </c>
    </row>
    <row r="8281">
      <c r="A8281" t="str">
        <f t="shared" si="1"/>
        <v>prk#2037</v>
      </c>
      <c r="B8281" t="str">
        <f>IFERROR(__xludf.DUMMYFUNCTION("""COMPUTED_VALUE"""),"prk")</f>
        <v>prk</v>
      </c>
      <c r="C8281" t="str">
        <f>IFERROR(__xludf.DUMMYFUNCTION("""COMPUTED_VALUE"""),"North Korea")</f>
        <v>North Korea</v>
      </c>
      <c r="D8281">
        <f>IFERROR(__xludf.DUMMYFUNCTION("""COMPUTED_VALUE"""),2037.0)</f>
        <v>2037</v>
      </c>
      <c r="E8281">
        <f>IFERROR(__xludf.DUMMYFUNCTION("""COMPUTED_VALUE"""),2.7015392E7)</f>
        <v>27015392</v>
      </c>
    </row>
    <row r="8282">
      <c r="A8282" t="str">
        <f t="shared" si="1"/>
        <v>prk#2038</v>
      </c>
      <c r="B8282" t="str">
        <f>IFERROR(__xludf.DUMMYFUNCTION("""COMPUTED_VALUE"""),"prk")</f>
        <v>prk</v>
      </c>
      <c r="C8282" t="str">
        <f>IFERROR(__xludf.DUMMYFUNCTION("""COMPUTED_VALUE"""),"North Korea")</f>
        <v>North Korea</v>
      </c>
      <c r="D8282">
        <f>IFERROR(__xludf.DUMMYFUNCTION("""COMPUTED_VALUE"""),2038.0)</f>
        <v>2038</v>
      </c>
      <c r="E8282">
        <f>IFERROR(__xludf.DUMMYFUNCTION("""COMPUTED_VALUE"""),2.7027443E7)</f>
        <v>27027443</v>
      </c>
    </row>
    <row r="8283">
      <c r="A8283" t="str">
        <f t="shared" si="1"/>
        <v>prk#2039</v>
      </c>
      <c r="B8283" t="str">
        <f>IFERROR(__xludf.DUMMYFUNCTION("""COMPUTED_VALUE"""),"prk")</f>
        <v>prk</v>
      </c>
      <c r="C8283" t="str">
        <f>IFERROR(__xludf.DUMMYFUNCTION("""COMPUTED_VALUE"""),"North Korea")</f>
        <v>North Korea</v>
      </c>
      <c r="D8283">
        <f>IFERROR(__xludf.DUMMYFUNCTION("""COMPUTED_VALUE"""),2039.0)</f>
        <v>2039</v>
      </c>
      <c r="E8283">
        <f>IFERROR(__xludf.DUMMYFUNCTION("""COMPUTED_VALUE"""),2.7033684E7)</f>
        <v>27033684</v>
      </c>
    </row>
    <row r="8284">
      <c r="A8284" t="str">
        <f t="shared" si="1"/>
        <v>prk#2040</v>
      </c>
      <c r="B8284" t="str">
        <f>IFERROR(__xludf.DUMMYFUNCTION("""COMPUTED_VALUE"""),"prk")</f>
        <v>prk</v>
      </c>
      <c r="C8284" t="str">
        <f>IFERROR(__xludf.DUMMYFUNCTION("""COMPUTED_VALUE"""),"North Korea")</f>
        <v>North Korea</v>
      </c>
      <c r="D8284">
        <f>IFERROR(__xludf.DUMMYFUNCTION("""COMPUTED_VALUE"""),2040.0)</f>
        <v>2040</v>
      </c>
      <c r="E8284">
        <f>IFERROR(__xludf.DUMMYFUNCTION("""COMPUTED_VALUE"""),2.7034528E7)</f>
        <v>27034528</v>
      </c>
    </row>
    <row r="8285">
      <c r="A8285" t="str">
        <f t="shared" si="1"/>
        <v>kor#1950</v>
      </c>
      <c r="B8285" t="str">
        <f>IFERROR(__xludf.DUMMYFUNCTION("""COMPUTED_VALUE"""),"kor")</f>
        <v>kor</v>
      </c>
      <c r="C8285" t="str">
        <f>IFERROR(__xludf.DUMMYFUNCTION("""COMPUTED_VALUE"""),"South Korea")</f>
        <v>South Korea</v>
      </c>
      <c r="D8285">
        <f>IFERROR(__xludf.DUMMYFUNCTION("""COMPUTED_VALUE"""),1950.0)</f>
        <v>1950</v>
      </c>
      <c r="E8285">
        <f>IFERROR(__xludf.DUMMYFUNCTION("""COMPUTED_VALUE"""),1.9211385E7)</f>
        <v>19211385</v>
      </c>
    </row>
    <row r="8286">
      <c r="A8286" t="str">
        <f t="shared" si="1"/>
        <v>kor#1951</v>
      </c>
      <c r="B8286" t="str">
        <f>IFERROR(__xludf.DUMMYFUNCTION("""COMPUTED_VALUE"""),"kor")</f>
        <v>kor</v>
      </c>
      <c r="C8286" t="str">
        <f>IFERROR(__xludf.DUMMYFUNCTION("""COMPUTED_VALUE"""),"South Korea")</f>
        <v>South Korea</v>
      </c>
      <c r="D8286">
        <f>IFERROR(__xludf.DUMMYFUNCTION("""COMPUTED_VALUE"""),1951.0)</f>
        <v>1951</v>
      </c>
      <c r="E8286">
        <f>IFERROR(__xludf.DUMMYFUNCTION("""COMPUTED_VALUE"""),1.9459429E7)</f>
        <v>19459429</v>
      </c>
    </row>
    <row r="8287">
      <c r="A8287" t="str">
        <f t="shared" si="1"/>
        <v>kor#1952</v>
      </c>
      <c r="B8287" t="str">
        <f>IFERROR(__xludf.DUMMYFUNCTION("""COMPUTED_VALUE"""),"kor")</f>
        <v>kor</v>
      </c>
      <c r="C8287" t="str">
        <f>IFERROR(__xludf.DUMMYFUNCTION("""COMPUTED_VALUE"""),"South Korea")</f>
        <v>South Korea</v>
      </c>
      <c r="D8287">
        <f>IFERROR(__xludf.DUMMYFUNCTION("""COMPUTED_VALUE"""),1952.0)</f>
        <v>1952</v>
      </c>
      <c r="E8287">
        <f>IFERROR(__xludf.DUMMYFUNCTION("""COMPUTED_VALUE"""),1.982939E7)</f>
        <v>19829390</v>
      </c>
    </row>
    <row r="8288">
      <c r="A8288" t="str">
        <f t="shared" si="1"/>
        <v>kor#1953</v>
      </c>
      <c r="B8288" t="str">
        <f>IFERROR(__xludf.DUMMYFUNCTION("""COMPUTED_VALUE"""),"kor")</f>
        <v>kor</v>
      </c>
      <c r="C8288" t="str">
        <f>IFERROR(__xludf.DUMMYFUNCTION("""COMPUTED_VALUE"""),"South Korea")</f>
        <v>South Korea</v>
      </c>
      <c r="D8288">
        <f>IFERROR(__xludf.DUMMYFUNCTION("""COMPUTED_VALUE"""),1953.0)</f>
        <v>1953</v>
      </c>
      <c r="E8288">
        <f>IFERROR(__xludf.DUMMYFUNCTION("""COMPUTED_VALUE"""),2.0307897E7)</f>
        <v>20307897</v>
      </c>
    </row>
    <row r="8289">
      <c r="A8289" t="str">
        <f t="shared" si="1"/>
        <v>kor#1954</v>
      </c>
      <c r="B8289" t="str">
        <f>IFERROR(__xludf.DUMMYFUNCTION("""COMPUTED_VALUE"""),"kor")</f>
        <v>kor</v>
      </c>
      <c r="C8289" t="str">
        <f>IFERROR(__xludf.DUMMYFUNCTION("""COMPUTED_VALUE"""),"South Korea")</f>
        <v>South Korea</v>
      </c>
      <c r="D8289">
        <f>IFERROR(__xludf.DUMMYFUNCTION("""COMPUTED_VALUE"""),1954.0)</f>
        <v>1954</v>
      </c>
      <c r="E8289">
        <f>IFERROR(__xludf.DUMMYFUNCTION("""COMPUTED_VALUE"""),2.0880428E7)</f>
        <v>20880428</v>
      </c>
    </row>
    <row r="8290">
      <c r="A8290" t="str">
        <f t="shared" si="1"/>
        <v>kor#1955</v>
      </c>
      <c r="B8290" t="str">
        <f>IFERROR(__xludf.DUMMYFUNCTION("""COMPUTED_VALUE"""),"kor")</f>
        <v>kor</v>
      </c>
      <c r="C8290" t="str">
        <f>IFERROR(__xludf.DUMMYFUNCTION("""COMPUTED_VALUE"""),"South Korea")</f>
        <v>South Korea</v>
      </c>
      <c r="D8290">
        <f>IFERROR(__xludf.DUMMYFUNCTION("""COMPUTED_VALUE"""),1955.0)</f>
        <v>1955</v>
      </c>
      <c r="E8290">
        <f>IFERROR(__xludf.DUMMYFUNCTION("""COMPUTED_VALUE"""),2.1531331E7)</f>
        <v>21531331</v>
      </c>
    </row>
    <row r="8291">
      <c r="A8291" t="str">
        <f t="shared" si="1"/>
        <v>kor#1956</v>
      </c>
      <c r="B8291" t="str">
        <f>IFERROR(__xludf.DUMMYFUNCTION("""COMPUTED_VALUE"""),"kor")</f>
        <v>kor</v>
      </c>
      <c r="C8291" t="str">
        <f>IFERROR(__xludf.DUMMYFUNCTION("""COMPUTED_VALUE"""),"South Korea")</f>
        <v>South Korea</v>
      </c>
      <c r="D8291">
        <f>IFERROR(__xludf.DUMMYFUNCTION("""COMPUTED_VALUE"""),1956.0)</f>
        <v>1956</v>
      </c>
      <c r="E8291">
        <f>IFERROR(__xludf.DUMMYFUNCTION("""COMPUTED_VALUE"""),2.2243633E7)</f>
        <v>22243633</v>
      </c>
    </row>
    <row r="8292">
      <c r="A8292" t="str">
        <f t="shared" si="1"/>
        <v>kor#1957</v>
      </c>
      <c r="B8292" t="str">
        <f>IFERROR(__xludf.DUMMYFUNCTION("""COMPUTED_VALUE"""),"kor")</f>
        <v>kor</v>
      </c>
      <c r="C8292" t="str">
        <f>IFERROR(__xludf.DUMMYFUNCTION("""COMPUTED_VALUE"""),"South Korea")</f>
        <v>South Korea</v>
      </c>
      <c r="D8292">
        <f>IFERROR(__xludf.DUMMYFUNCTION("""COMPUTED_VALUE"""),1957.0)</f>
        <v>1957</v>
      </c>
      <c r="E8292">
        <f>IFERROR(__xludf.DUMMYFUNCTION("""COMPUTED_VALUE"""),2.2999243E7)</f>
        <v>22999243</v>
      </c>
    </row>
    <row r="8293">
      <c r="A8293" t="str">
        <f t="shared" si="1"/>
        <v>kor#1958</v>
      </c>
      <c r="B8293" t="str">
        <f>IFERROR(__xludf.DUMMYFUNCTION("""COMPUTED_VALUE"""),"kor")</f>
        <v>kor</v>
      </c>
      <c r="C8293" t="str">
        <f>IFERROR(__xludf.DUMMYFUNCTION("""COMPUTED_VALUE"""),"South Korea")</f>
        <v>South Korea</v>
      </c>
      <c r="D8293">
        <f>IFERROR(__xludf.DUMMYFUNCTION("""COMPUTED_VALUE"""),1958.0)</f>
        <v>1958</v>
      </c>
      <c r="E8293">
        <f>IFERROR(__xludf.DUMMYFUNCTION("""COMPUTED_VALUE"""),2.3779372E7)</f>
        <v>23779372</v>
      </c>
    </row>
    <row r="8294">
      <c r="A8294" t="str">
        <f t="shared" si="1"/>
        <v>kor#1959</v>
      </c>
      <c r="B8294" t="str">
        <f>IFERROR(__xludf.DUMMYFUNCTION("""COMPUTED_VALUE"""),"kor")</f>
        <v>kor</v>
      </c>
      <c r="C8294" t="str">
        <f>IFERROR(__xludf.DUMMYFUNCTION("""COMPUTED_VALUE"""),"South Korea")</f>
        <v>South Korea</v>
      </c>
      <c r="D8294">
        <f>IFERROR(__xludf.DUMMYFUNCTION("""COMPUTED_VALUE"""),1959.0)</f>
        <v>1959</v>
      </c>
      <c r="E8294">
        <f>IFERROR(__xludf.DUMMYFUNCTION("""COMPUTED_VALUE"""),2.4565349E7)</f>
        <v>24565349</v>
      </c>
    </row>
    <row r="8295">
      <c r="A8295" t="str">
        <f t="shared" si="1"/>
        <v>kor#1960</v>
      </c>
      <c r="B8295" t="str">
        <f>IFERROR(__xludf.DUMMYFUNCTION("""COMPUTED_VALUE"""),"kor")</f>
        <v>kor</v>
      </c>
      <c r="C8295" t="str">
        <f>IFERROR(__xludf.DUMMYFUNCTION("""COMPUTED_VALUE"""),"South Korea")</f>
        <v>South Korea</v>
      </c>
      <c r="D8295">
        <f>IFERROR(__xludf.DUMMYFUNCTION("""COMPUTED_VALUE"""),1960.0)</f>
        <v>1960</v>
      </c>
      <c r="E8295">
        <f>IFERROR(__xludf.DUMMYFUNCTION("""COMPUTED_VALUE"""),2.5340918E7)</f>
        <v>25340918</v>
      </c>
    </row>
    <row r="8296">
      <c r="A8296" t="str">
        <f t="shared" si="1"/>
        <v>kor#1961</v>
      </c>
      <c r="B8296" t="str">
        <f>IFERROR(__xludf.DUMMYFUNCTION("""COMPUTED_VALUE"""),"kor")</f>
        <v>kor</v>
      </c>
      <c r="C8296" t="str">
        <f>IFERROR(__xludf.DUMMYFUNCTION("""COMPUTED_VALUE"""),"South Korea")</f>
        <v>South Korea</v>
      </c>
      <c r="D8296">
        <f>IFERROR(__xludf.DUMMYFUNCTION("""COMPUTED_VALUE"""),1961.0)</f>
        <v>1961</v>
      </c>
      <c r="E8296">
        <f>IFERROR(__xludf.DUMMYFUNCTION("""COMPUTED_VALUE"""),2.609475E7)</f>
        <v>26094750</v>
      </c>
    </row>
    <row r="8297">
      <c r="A8297" t="str">
        <f t="shared" si="1"/>
        <v>kor#1962</v>
      </c>
      <c r="B8297" t="str">
        <f>IFERROR(__xludf.DUMMYFUNCTION("""COMPUTED_VALUE"""),"kor")</f>
        <v>kor</v>
      </c>
      <c r="C8297" t="str">
        <f>IFERROR(__xludf.DUMMYFUNCTION("""COMPUTED_VALUE"""),"South Korea")</f>
        <v>South Korea</v>
      </c>
      <c r="D8297">
        <f>IFERROR(__xludf.DUMMYFUNCTION("""COMPUTED_VALUE"""),1962.0)</f>
        <v>1962</v>
      </c>
      <c r="E8297">
        <f>IFERROR(__xludf.DUMMYFUNCTION("""COMPUTED_VALUE"""),2.6822585E7)</f>
        <v>26822585</v>
      </c>
    </row>
    <row r="8298">
      <c r="A8298" t="str">
        <f t="shared" si="1"/>
        <v>kor#1963</v>
      </c>
      <c r="B8298" t="str">
        <f>IFERROR(__xludf.DUMMYFUNCTION("""COMPUTED_VALUE"""),"kor")</f>
        <v>kor</v>
      </c>
      <c r="C8298" t="str">
        <f>IFERROR(__xludf.DUMMYFUNCTION("""COMPUTED_VALUE"""),"South Korea")</f>
        <v>South Korea</v>
      </c>
      <c r="D8298">
        <f>IFERROR(__xludf.DUMMYFUNCTION("""COMPUTED_VALUE"""),1963.0)</f>
        <v>1963</v>
      </c>
      <c r="E8298">
        <f>IFERROR(__xludf.DUMMYFUNCTION("""COMPUTED_VALUE"""),2.7528214E7)</f>
        <v>27528214</v>
      </c>
    </row>
    <row r="8299">
      <c r="A8299" t="str">
        <f t="shared" si="1"/>
        <v>kor#1964</v>
      </c>
      <c r="B8299" t="str">
        <f>IFERROR(__xludf.DUMMYFUNCTION("""COMPUTED_VALUE"""),"kor")</f>
        <v>kor</v>
      </c>
      <c r="C8299" t="str">
        <f>IFERROR(__xludf.DUMMYFUNCTION("""COMPUTED_VALUE"""),"South Korea")</f>
        <v>South Korea</v>
      </c>
      <c r="D8299">
        <f>IFERROR(__xludf.DUMMYFUNCTION("""COMPUTED_VALUE"""),1964.0)</f>
        <v>1964</v>
      </c>
      <c r="E8299">
        <f>IFERROR(__xludf.DUMMYFUNCTION("""COMPUTED_VALUE"""),2.822078E7)</f>
        <v>28220780</v>
      </c>
    </row>
    <row r="8300">
      <c r="A8300" t="str">
        <f t="shared" si="1"/>
        <v>kor#1965</v>
      </c>
      <c r="B8300" t="str">
        <f>IFERROR(__xludf.DUMMYFUNCTION("""COMPUTED_VALUE"""),"kor")</f>
        <v>kor</v>
      </c>
      <c r="C8300" t="str">
        <f>IFERROR(__xludf.DUMMYFUNCTION("""COMPUTED_VALUE"""),"South Korea")</f>
        <v>South Korea</v>
      </c>
      <c r="D8300">
        <f>IFERROR(__xludf.DUMMYFUNCTION("""COMPUTED_VALUE"""),1965.0)</f>
        <v>1965</v>
      </c>
      <c r="E8300">
        <f>IFERROR(__xludf.DUMMYFUNCTION("""COMPUTED_VALUE"""),2.8907071E7)</f>
        <v>28907071</v>
      </c>
    </row>
    <row r="8301">
      <c r="A8301" t="str">
        <f t="shared" si="1"/>
        <v>kor#1966</v>
      </c>
      <c r="B8301" t="str">
        <f>IFERROR(__xludf.DUMMYFUNCTION("""COMPUTED_VALUE"""),"kor")</f>
        <v>kor</v>
      </c>
      <c r="C8301" t="str">
        <f>IFERROR(__xludf.DUMMYFUNCTION("""COMPUTED_VALUE"""),"South Korea")</f>
        <v>South Korea</v>
      </c>
      <c r="D8301">
        <f>IFERROR(__xludf.DUMMYFUNCTION("""COMPUTED_VALUE"""),1966.0)</f>
        <v>1966</v>
      </c>
      <c r="E8301">
        <f>IFERROR(__xludf.DUMMYFUNCTION("""COMPUTED_VALUE"""),2.9584631E7)</f>
        <v>29584631</v>
      </c>
    </row>
    <row r="8302">
      <c r="A8302" t="str">
        <f t="shared" si="1"/>
        <v>kor#1967</v>
      </c>
      <c r="B8302" t="str">
        <f>IFERROR(__xludf.DUMMYFUNCTION("""COMPUTED_VALUE"""),"kor")</f>
        <v>kor</v>
      </c>
      <c r="C8302" t="str">
        <f>IFERROR(__xludf.DUMMYFUNCTION("""COMPUTED_VALUE"""),"South Korea")</f>
        <v>South Korea</v>
      </c>
      <c r="D8302">
        <f>IFERROR(__xludf.DUMMYFUNCTION("""COMPUTED_VALUE"""),1967.0)</f>
        <v>1967</v>
      </c>
      <c r="E8302">
        <f>IFERROR(__xludf.DUMMYFUNCTION("""COMPUTED_VALUE"""),3.0249456E7)</f>
        <v>30249456</v>
      </c>
    </row>
    <row r="8303">
      <c r="A8303" t="str">
        <f t="shared" si="1"/>
        <v>kor#1968</v>
      </c>
      <c r="B8303" t="str">
        <f>IFERROR(__xludf.DUMMYFUNCTION("""COMPUTED_VALUE"""),"kor")</f>
        <v>kor</v>
      </c>
      <c r="C8303" t="str">
        <f>IFERROR(__xludf.DUMMYFUNCTION("""COMPUTED_VALUE"""),"South Korea")</f>
        <v>South Korea</v>
      </c>
      <c r="D8303">
        <f>IFERROR(__xludf.DUMMYFUNCTION("""COMPUTED_VALUE"""),1968.0)</f>
        <v>1968</v>
      </c>
      <c r="E8303">
        <f>IFERROR(__xludf.DUMMYFUNCTION("""COMPUTED_VALUE"""),3.0905365E7)</f>
        <v>30905365</v>
      </c>
    </row>
    <row r="8304">
      <c r="A8304" t="str">
        <f t="shared" si="1"/>
        <v>kor#1969</v>
      </c>
      <c r="B8304" t="str">
        <f>IFERROR(__xludf.DUMMYFUNCTION("""COMPUTED_VALUE"""),"kor")</f>
        <v>kor</v>
      </c>
      <c r="C8304" t="str">
        <f>IFERROR(__xludf.DUMMYFUNCTION("""COMPUTED_VALUE"""),"South Korea")</f>
        <v>South Korea</v>
      </c>
      <c r="D8304">
        <f>IFERROR(__xludf.DUMMYFUNCTION("""COMPUTED_VALUE"""),1969.0)</f>
        <v>1969</v>
      </c>
      <c r="E8304">
        <f>IFERROR(__xludf.DUMMYFUNCTION("""COMPUTED_VALUE"""),3.1557578E7)</f>
        <v>31557578</v>
      </c>
    </row>
    <row r="8305">
      <c r="A8305" t="str">
        <f t="shared" si="1"/>
        <v>kor#1970</v>
      </c>
      <c r="B8305" t="str">
        <f>IFERROR(__xludf.DUMMYFUNCTION("""COMPUTED_VALUE"""),"kor")</f>
        <v>kor</v>
      </c>
      <c r="C8305" t="str">
        <f>IFERROR(__xludf.DUMMYFUNCTION("""COMPUTED_VALUE"""),"South Korea")</f>
        <v>South Korea</v>
      </c>
      <c r="D8305">
        <f>IFERROR(__xludf.DUMMYFUNCTION("""COMPUTED_VALUE"""),1970.0)</f>
        <v>1970</v>
      </c>
      <c r="E8305">
        <f>IFERROR(__xludf.DUMMYFUNCTION("""COMPUTED_VALUE"""),3.2209314E7)</f>
        <v>32209314</v>
      </c>
    </row>
    <row r="8306">
      <c r="A8306" t="str">
        <f t="shared" si="1"/>
        <v>kor#1971</v>
      </c>
      <c r="B8306" t="str">
        <f>IFERROR(__xludf.DUMMYFUNCTION("""COMPUTED_VALUE"""),"kor")</f>
        <v>kor</v>
      </c>
      <c r="C8306" t="str">
        <f>IFERROR(__xludf.DUMMYFUNCTION("""COMPUTED_VALUE"""),"South Korea")</f>
        <v>South Korea</v>
      </c>
      <c r="D8306">
        <f>IFERROR(__xludf.DUMMYFUNCTION("""COMPUTED_VALUE"""),1971.0)</f>
        <v>1971</v>
      </c>
      <c r="E8306">
        <f>IFERROR(__xludf.DUMMYFUNCTION("""COMPUTED_VALUE"""),3.2863704E7)</f>
        <v>32863704</v>
      </c>
    </row>
    <row r="8307">
      <c r="A8307" t="str">
        <f t="shared" si="1"/>
        <v>kor#1972</v>
      </c>
      <c r="B8307" t="str">
        <f>IFERROR(__xludf.DUMMYFUNCTION("""COMPUTED_VALUE"""),"kor")</f>
        <v>kor</v>
      </c>
      <c r="C8307" t="str">
        <f>IFERROR(__xludf.DUMMYFUNCTION("""COMPUTED_VALUE"""),"South Korea")</f>
        <v>South Korea</v>
      </c>
      <c r="D8307">
        <f>IFERROR(__xludf.DUMMYFUNCTION("""COMPUTED_VALUE"""),1972.0)</f>
        <v>1972</v>
      </c>
      <c r="E8307">
        <f>IFERROR(__xludf.DUMMYFUNCTION("""COMPUTED_VALUE"""),3.3518385E7)</f>
        <v>33518385</v>
      </c>
    </row>
    <row r="8308">
      <c r="A8308" t="str">
        <f t="shared" si="1"/>
        <v>kor#1973</v>
      </c>
      <c r="B8308" t="str">
        <f>IFERROR(__xludf.DUMMYFUNCTION("""COMPUTED_VALUE"""),"kor")</f>
        <v>kor</v>
      </c>
      <c r="C8308" t="str">
        <f>IFERROR(__xludf.DUMMYFUNCTION("""COMPUTED_VALUE"""),"South Korea")</f>
        <v>South Korea</v>
      </c>
      <c r="D8308">
        <f>IFERROR(__xludf.DUMMYFUNCTION("""COMPUTED_VALUE"""),1973.0)</f>
        <v>1973</v>
      </c>
      <c r="E8308">
        <f>IFERROR(__xludf.DUMMYFUNCTION("""COMPUTED_VALUE"""),3.4164544E7)</f>
        <v>34164544</v>
      </c>
    </row>
    <row r="8309">
      <c r="A8309" t="str">
        <f t="shared" si="1"/>
        <v>kor#1974</v>
      </c>
      <c r="B8309" t="str">
        <f>IFERROR(__xludf.DUMMYFUNCTION("""COMPUTED_VALUE"""),"kor")</f>
        <v>kor</v>
      </c>
      <c r="C8309" t="str">
        <f>IFERROR(__xludf.DUMMYFUNCTION("""COMPUTED_VALUE"""),"South Korea")</f>
        <v>South Korea</v>
      </c>
      <c r="D8309">
        <f>IFERROR(__xludf.DUMMYFUNCTION("""COMPUTED_VALUE"""),1974.0)</f>
        <v>1974</v>
      </c>
      <c r="E8309">
        <f>IFERROR(__xludf.DUMMYFUNCTION("""COMPUTED_VALUE"""),3.4789935E7)</f>
        <v>34789935</v>
      </c>
    </row>
    <row r="8310">
      <c r="A8310" t="str">
        <f t="shared" si="1"/>
        <v>kor#1975</v>
      </c>
      <c r="B8310" t="str">
        <f>IFERROR(__xludf.DUMMYFUNCTION("""COMPUTED_VALUE"""),"kor")</f>
        <v>kor</v>
      </c>
      <c r="C8310" t="str">
        <f>IFERROR(__xludf.DUMMYFUNCTION("""COMPUTED_VALUE"""),"South Korea")</f>
        <v>South Korea</v>
      </c>
      <c r="D8310">
        <f>IFERROR(__xludf.DUMMYFUNCTION("""COMPUTED_VALUE"""),1975.0)</f>
        <v>1975</v>
      </c>
      <c r="E8310">
        <f>IFERROR(__xludf.DUMMYFUNCTION("""COMPUTED_VALUE"""),3.5386507E7)</f>
        <v>35386507</v>
      </c>
    </row>
    <row r="8311">
      <c r="A8311" t="str">
        <f t="shared" si="1"/>
        <v>kor#1976</v>
      </c>
      <c r="B8311" t="str">
        <f>IFERROR(__xludf.DUMMYFUNCTION("""COMPUTED_VALUE"""),"kor")</f>
        <v>kor</v>
      </c>
      <c r="C8311" t="str">
        <f>IFERROR(__xludf.DUMMYFUNCTION("""COMPUTED_VALUE"""),"South Korea")</f>
        <v>South Korea</v>
      </c>
      <c r="D8311">
        <f>IFERROR(__xludf.DUMMYFUNCTION("""COMPUTED_VALUE"""),1976.0)</f>
        <v>1976</v>
      </c>
      <c r="E8311">
        <f>IFERROR(__xludf.DUMMYFUNCTION("""COMPUTED_VALUE"""),3.5948932E7)</f>
        <v>35948932</v>
      </c>
    </row>
    <row r="8312">
      <c r="A8312" t="str">
        <f t="shared" si="1"/>
        <v>kor#1977</v>
      </c>
      <c r="B8312" t="str">
        <f>IFERROR(__xludf.DUMMYFUNCTION("""COMPUTED_VALUE"""),"kor")</f>
        <v>kor</v>
      </c>
      <c r="C8312" t="str">
        <f>IFERROR(__xludf.DUMMYFUNCTION("""COMPUTED_VALUE"""),"South Korea")</f>
        <v>South Korea</v>
      </c>
      <c r="D8312">
        <f>IFERROR(__xludf.DUMMYFUNCTION("""COMPUTED_VALUE"""),1977.0)</f>
        <v>1977</v>
      </c>
      <c r="E8312">
        <f>IFERROR(__xludf.DUMMYFUNCTION("""COMPUTED_VALUE"""),3.6481585E7)</f>
        <v>36481585</v>
      </c>
    </row>
    <row r="8313">
      <c r="A8313" t="str">
        <f t="shared" si="1"/>
        <v>kor#1978</v>
      </c>
      <c r="B8313" t="str">
        <f>IFERROR(__xludf.DUMMYFUNCTION("""COMPUTED_VALUE"""),"kor")</f>
        <v>kor</v>
      </c>
      <c r="C8313" t="str">
        <f>IFERROR(__xludf.DUMMYFUNCTION("""COMPUTED_VALUE"""),"South Korea")</f>
        <v>South Korea</v>
      </c>
      <c r="D8313">
        <f>IFERROR(__xludf.DUMMYFUNCTION("""COMPUTED_VALUE"""),1978.0)</f>
        <v>1978</v>
      </c>
      <c r="E8313">
        <f>IFERROR(__xludf.DUMMYFUNCTION("""COMPUTED_VALUE"""),3.69978E7)</f>
        <v>36997800</v>
      </c>
    </row>
    <row r="8314">
      <c r="A8314" t="str">
        <f t="shared" si="1"/>
        <v>kor#1979</v>
      </c>
      <c r="B8314" t="str">
        <f>IFERROR(__xludf.DUMMYFUNCTION("""COMPUTED_VALUE"""),"kor")</f>
        <v>kor</v>
      </c>
      <c r="C8314" t="str">
        <f>IFERROR(__xludf.DUMMYFUNCTION("""COMPUTED_VALUE"""),"South Korea")</f>
        <v>South Korea</v>
      </c>
      <c r="D8314">
        <f>IFERROR(__xludf.DUMMYFUNCTION("""COMPUTED_VALUE"""),1979.0)</f>
        <v>1979</v>
      </c>
      <c r="E8314">
        <f>IFERROR(__xludf.DUMMYFUNCTION("""COMPUTED_VALUE"""),3.7516487E7)</f>
        <v>37516487</v>
      </c>
    </row>
    <row r="8315">
      <c r="A8315" t="str">
        <f t="shared" si="1"/>
        <v>kor#1980</v>
      </c>
      <c r="B8315" t="str">
        <f>IFERROR(__xludf.DUMMYFUNCTION("""COMPUTED_VALUE"""),"kor")</f>
        <v>kor</v>
      </c>
      <c r="C8315" t="str">
        <f>IFERROR(__xludf.DUMMYFUNCTION("""COMPUTED_VALUE"""),"South Korea")</f>
        <v>South Korea</v>
      </c>
      <c r="D8315">
        <f>IFERROR(__xludf.DUMMYFUNCTION("""COMPUTED_VALUE"""),1980.0)</f>
        <v>1980</v>
      </c>
      <c r="E8315">
        <f>IFERROR(__xludf.DUMMYFUNCTION("""COMPUTED_VALUE"""),3.8050424E7)</f>
        <v>38050424</v>
      </c>
    </row>
    <row r="8316">
      <c r="A8316" t="str">
        <f t="shared" si="1"/>
        <v>kor#1981</v>
      </c>
      <c r="B8316" t="str">
        <f>IFERROR(__xludf.DUMMYFUNCTION("""COMPUTED_VALUE"""),"kor")</f>
        <v>kor</v>
      </c>
      <c r="C8316" t="str">
        <f>IFERROR(__xludf.DUMMYFUNCTION("""COMPUTED_VALUE"""),"South Korea")</f>
        <v>South Korea</v>
      </c>
      <c r="D8316">
        <f>IFERROR(__xludf.DUMMYFUNCTION("""COMPUTED_VALUE"""),1981.0)</f>
        <v>1981</v>
      </c>
      <c r="E8316">
        <f>IFERROR(__xludf.DUMMYFUNCTION("""COMPUTED_VALUE"""),3.8606821E7)</f>
        <v>38606821</v>
      </c>
    </row>
    <row r="8317">
      <c r="A8317" t="str">
        <f t="shared" si="1"/>
        <v>kor#1982</v>
      </c>
      <c r="B8317" t="str">
        <f>IFERROR(__xludf.DUMMYFUNCTION("""COMPUTED_VALUE"""),"kor")</f>
        <v>kor</v>
      </c>
      <c r="C8317" t="str">
        <f>IFERROR(__xludf.DUMMYFUNCTION("""COMPUTED_VALUE"""),"South Korea")</f>
        <v>South Korea</v>
      </c>
      <c r="D8317">
        <f>IFERROR(__xludf.DUMMYFUNCTION("""COMPUTED_VALUE"""),1982.0)</f>
        <v>1982</v>
      </c>
      <c r="E8317">
        <f>IFERROR(__xludf.DUMMYFUNCTION("""COMPUTED_VALUE"""),3.9179545E7)</f>
        <v>39179545</v>
      </c>
    </row>
    <row r="8318">
      <c r="A8318" t="str">
        <f t="shared" si="1"/>
        <v>kor#1983</v>
      </c>
      <c r="B8318" t="str">
        <f>IFERROR(__xludf.DUMMYFUNCTION("""COMPUTED_VALUE"""),"kor")</f>
        <v>kor</v>
      </c>
      <c r="C8318" t="str">
        <f>IFERROR(__xludf.DUMMYFUNCTION("""COMPUTED_VALUE"""),"South Korea")</f>
        <v>South Korea</v>
      </c>
      <c r="D8318">
        <f>IFERROR(__xludf.DUMMYFUNCTION("""COMPUTED_VALUE"""),1983.0)</f>
        <v>1983</v>
      </c>
      <c r="E8318">
        <f>IFERROR(__xludf.DUMMYFUNCTION("""COMPUTED_VALUE"""),3.9752024E7)</f>
        <v>39752024</v>
      </c>
    </row>
    <row r="8319">
      <c r="A8319" t="str">
        <f t="shared" si="1"/>
        <v>kor#1984</v>
      </c>
      <c r="B8319" t="str">
        <f>IFERROR(__xludf.DUMMYFUNCTION("""COMPUTED_VALUE"""),"kor")</f>
        <v>kor</v>
      </c>
      <c r="C8319" t="str">
        <f>IFERROR(__xludf.DUMMYFUNCTION("""COMPUTED_VALUE"""),"South Korea")</f>
        <v>South Korea</v>
      </c>
      <c r="D8319">
        <f>IFERROR(__xludf.DUMMYFUNCTION("""COMPUTED_VALUE"""),1984.0)</f>
        <v>1984</v>
      </c>
      <c r="E8319">
        <f>IFERROR(__xludf.DUMMYFUNCTION("""COMPUTED_VALUE"""),4.0300401E7)</f>
        <v>40300401</v>
      </c>
    </row>
    <row r="8320">
      <c r="A8320" t="str">
        <f t="shared" si="1"/>
        <v>kor#1985</v>
      </c>
      <c r="B8320" t="str">
        <f>IFERROR(__xludf.DUMMYFUNCTION("""COMPUTED_VALUE"""),"kor")</f>
        <v>kor</v>
      </c>
      <c r="C8320" t="str">
        <f>IFERROR(__xludf.DUMMYFUNCTION("""COMPUTED_VALUE"""),"South Korea")</f>
        <v>South Korea</v>
      </c>
      <c r="D8320">
        <f>IFERROR(__xludf.DUMMYFUNCTION("""COMPUTED_VALUE"""),1985.0)</f>
        <v>1985</v>
      </c>
      <c r="E8320">
        <f>IFERROR(__xludf.DUMMYFUNCTION("""COMPUTED_VALUE"""),4.0808569E7)</f>
        <v>40808569</v>
      </c>
    </row>
    <row r="8321">
      <c r="A8321" t="str">
        <f t="shared" si="1"/>
        <v>kor#1986</v>
      </c>
      <c r="B8321" t="str">
        <f>IFERROR(__xludf.DUMMYFUNCTION("""COMPUTED_VALUE"""),"kor")</f>
        <v>kor</v>
      </c>
      <c r="C8321" t="str">
        <f>IFERROR(__xludf.DUMMYFUNCTION("""COMPUTED_VALUE"""),"South Korea")</f>
        <v>South Korea</v>
      </c>
      <c r="D8321">
        <f>IFERROR(__xludf.DUMMYFUNCTION("""COMPUTED_VALUE"""),1986.0)</f>
        <v>1986</v>
      </c>
      <c r="E8321">
        <f>IFERROR(__xludf.DUMMYFUNCTION("""COMPUTED_VALUE"""),4.1269319E7)</f>
        <v>41269319</v>
      </c>
    </row>
    <row r="8322">
      <c r="A8322" t="str">
        <f t="shared" si="1"/>
        <v>kor#1987</v>
      </c>
      <c r="B8322" t="str">
        <f>IFERROR(__xludf.DUMMYFUNCTION("""COMPUTED_VALUE"""),"kor")</f>
        <v>kor</v>
      </c>
      <c r="C8322" t="str">
        <f>IFERROR(__xludf.DUMMYFUNCTION("""COMPUTED_VALUE"""),"South Korea")</f>
        <v>South Korea</v>
      </c>
      <c r="D8322">
        <f>IFERROR(__xludf.DUMMYFUNCTION("""COMPUTED_VALUE"""),1987.0)</f>
        <v>1987</v>
      </c>
      <c r="E8322">
        <f>IFERROR(__xludf.DUMMYFUNCTION("""COMPUTED_VALUE"""),4.1690833E7)</f>
        <v>41690833</v>
      </c>
    </row>
    <row r="8323">
      <c r="A8323" t="str">
        <f t="shared" si="1"/>
        <v>kor#1988</v>
      </c>
      <c r="B8323" t="str">
        <f>IFERROR(__xludf.DUMMYFUNCTION("""COMPUTED_VALUE"""),"kor")</f>
        <v>kor</v>
      </c>
      <c r="C8323" t="str">
        <f>IFERROR(__xludf.DUMMYFUNCTION("""COMPUTED_VALUE"""),"South Korea")</f>
        <v>South Korea</v>
      </c>
      <c r="D8323">
        <f>IFERROR(__xludf.DUMMYFUNCTION("""COMPUTED_VALUE"""),1988.0)</f>
        <v>1988</v>
      </c>
      <c r="E8323">
        <f>IFERROR(__xludf.DUMMYFUNCTION("""COMPUTED_VALUE"""),4.2091026E7)</f>
        <v>42091026</v>
      </c>
    </row>
    <row r="8324">
      <c r="A8324" t="str">
        <f t="shared" si="1"/>
        <v>kor#1989</v>
      </c>
      <c r="B8324" t="str">
        <f>IFERROR(__xludf.DUMMYFUNCTION("""COMPUTED_VALUE"""),"kor")</f>
        <v>kor</v>
      </c>
      <c r="C8324" t="str">
        <f>IFERROR(__xludf.DUMMYFUNCTION("""COMPUTED_VALUE"""),"South Korea")</f>
        <v>South Korea</v>
      </c>
      <c r="D8324">
        <f>IFERROR(__xludf.DUMMYFUNCTION("""COMPUTED_VALUE"""),1989.0)</f>
        <v>1989</v>
      </c>
      <c r="E8324">
        <f>IFERROR(__xludf.DUMMYFUNCTION("""COMPUTED_VALUE"""),4.2495728E7)</f>
        <v>42495728</v>
      </c>
    </row>
    <row r="8325">
      <c r="A8325" t="str">
        <f t="shared" si="1"/>
        <v>kor#1990</v>
      </c>
      <c r="B8325" t="str">
        <f>IFERROR(__xludf.DUMMYFUNCTION("""COMPUTED_VALUE"""),"kor")</f>
        <v>kor</v>
      </c>
      <c r="C8325" t="str">
        <f>IFERROR(__xludf.DUMMYFUNCTION("""COMPUTED_VALUE"""),"South Korea")</f>
        <v>South Korea</v>
      </c>
      <c r="D8325">
        <f>IFERROR(__xludf.DUMMYFUNCTION("""COMPUTED_VALUE"""),1990.0)</f>
        <v>1990</v>
      </c>
      <c r="E8325">
        <f>IFERROR(__xludf.DUMMYFUNCTION("""COMPUTED_VALUE"""),4.2923131E7)</f>
        <v>42923131</v>
      </c>
    </row>
    <row r="8326">
      <c r="A8326" t="str">
        <f t="shared" si="1"/>
        <v>kor#1991</v>
      </c>
      <c r="B8326" t="str">
        <f>IFERROR(__xludf.DUMMYFUNCTION("""COMPUTED_VALUE"""),"kor")</f>
        <v>kor</v>
      </c>
      <c r="C8326" t="str">
        <f>IFERROR(__xludf.DUMMYFUNCTION("""COMPUTED_VALUE"""),"South Korea")</f>
        <v>South Korea</v>
      </c>
      <c r="D8326">
        <f>IFERROR(__xludf.DUMMYFUNCTION("""COMPUTED_VALUE"""),1991.0)</f>
        <v>1991</v>
      </c>
      <c r="E8326">
        <f>IFERROR(__xludf.DUMMYFUNCTION("""COMPUTED_VALUE"""),4.3378101E7)</f>
        <v>43378101</v>
      </c>
    </row>
    <row r="8327">
      <c r="A8327" t="str">
        <f t="shared" si="1"/>
        <v>kor#1992</v>
      </c>
      <c r="B8327" t="str">
        <f>IFERROR(__xludf.DUMMYFUNCTION("""COMPUTED_VALUE"""),"kor")</f>
        <v>kor</v>
      </c>
      <c r="C8327" t="str">
        <f>IFERROR(__xludf.DUMMYFUNCTION("""COMPUTED_VALUE"""),"South Korea")</f>
        <v>South Korea</v>
      </c>
      <c r="D8327">
        <f>IFERROR(__xludf.DUMMYFUNCTION("""COMPUTED_VALUE"""),1992.0)</f>
        <v>1992</v>
      </c>
      <c r="E8327">
        <f>IFERROR(__xludf.DUMMYFUNCTION("""COMPUTED_VALUE"""),4.3853448E7)</f>
        <v>43853448</v>
      </c>
    </row>
    <row r="8328">
      <c r="A8328" t="str">
        <f t="shared" si="1"/>
        <v>kor#1993</v>
      </c>
      <c r="B8328" t="str">
        <f>IFERROR(__xludf.DUMMYFUNCTION("""COMPUTED_VALUE"""),"kor")</f>
        <v>kor</v>
      </c>
      <c r="C8328" t="str">
        <f>IFERROR(__xludf.DUMMYFUNCTION("""COMPUTED_VALUE"""),"South Korea")</f>
        <v>South Korea</v>
      </c>
      <c r="D8328">
        <f>IFERROR(__xludf.DUMMYFUNCTION("""COMPUTED_VALUE"""),1993.0)</f>
        <v>1993</v>
      </c>
      <c r="E8328">
        <f>IFERROR(__xludf.DUMMYFUNCTION("""COMPUTED_VALUE"""),4.4340558E7)</f>
        <v>44340558</v>
      </c>
    </row>
    <row r="8329">
      <c r="A8329" t="str">
        <f t="shared" si="1"/>
        <v>kor#1994</v>
      </c>
      <c r="B8329" t="str">
        <f>IFERROR(__xludf.DUMMYFUNCTION("""COMPUTED_VALUE"""),"kor")</f>
        <v>kor</v>
      </c>
      <c r="C8329" t="str">
        <f>IFERROR(__xludf.DUMMYFUNCTION("""COMPUTED_VALUE"""),"South Korea")</f>
        <v>South Korea</v>
      </c>
      <c r="D8329">
        <f>IFERROR(__xludf.DUMMYFUNCTION("""COMPUTED_VALUE"""),1994.0)</f>
        <v>1994</v>
      </c>
      <c r="E8329">
        <f>IFERROR(__xludf.DUMMYFUNCTION("""COMPUTED_VALUE"""),4.4825885E7)</f>
        <v>44825885</v>
      </c>
    </row>
    <row r="8330">
      <c r="A8330" t="str">
        <f t="shared" si="1"/>
        <v>kor#1995</v>
      </c>
      <c r="B8330" t="str">
        <f>IFERROR(__xludf.DUMMYFUNCTION("""COMPUTED_VALUE"""),"kor")</f>
        <v>kor</v>
      </c>
      <c r="C8330" t="str">
        <f>IFERROR(__xludf.DUMMYFUNCTION("""COMPUTED_VALUE"""),"South Korea")</f>
        <v>South Korea</v>
      </c>
      <c r="D8330">
        <f>IFERROR(__xludf.DUMMYFUNCTION("""COMPUTED_VALUE"""),1995.0)</f>
        <v>1995</v>
      </c>
      <c r="E8330">
        <f>IFERROR(__xludf.DUMMYFUNCTION("""COMPUTED_VALUE"""),4.5298611E7)</f>
        <v>45298611</v>
      </c>
    </row>
    <row r="8331">
      <c r="A8331" t="str">
        <f t="shared" si="1"/>
        <v>kor#1996</v>
      </c>
      <c r="B8331" t="str">
        <f>IFERROR(__xludf.DUMMYFUNCTION("""COMPUTED_VALUE"""),"kor")</f>
        <v>kor</v>
      </c>
      <c r="C8331" t="str">
        <f>IFERROR(__xludf.DUMMYFUNCTION("""COMPUTED_VALUE"""),"South Korea")</f>
        <v>South Korea</v>
      </c>
      <c r="D8331">
        <f>IFERROR(__xludf.DUMMYFUNCTION("""COMPUTED_VALUE"""),1996.0)</f>
        <v>1996</v>
      </c>
      <c r="E8331">
        <f>IFERROR(__xludf.DUMMYFUNCTION("""COMPUTED_VALUE"""),4.5757361E7)</f>
        <v>45757361</v>
      </c>
    </row>
    <row r="8332">
      <c r="A8332" t="str">
        <f t="shared" si="1"/>
        <v>kor#1997</v>
      </c>
      <c r="B8332" t="str">
        <f>IFERROR(__xludf.DUMMYFUNCTION("""COMPUTED_VALUE"""),"kor")</f>
        <v>kor</v>
      </c>
      <c r="C8332" t="str">
        <f>IFERROR(__xludf.DUMMYFUNCTION("""COMPUTED_VALUE"""),"South Korea")</f>
        <v>South Korea</v>
      </c>
      <c r="D8332">
        <f>IFERROR(__xludf.DUMMYFUNCTION("""COMPUTED_VALUE"""),1997.0)</f>
        <v>1997</v>
      </c>
      <c r="E8332">
        <f>IFERROR(__xludf.DUMMYFUNCTION("""COMPUTED_VALUE"""),4.6202604E7)</f>
        <v>46202604</v>
      </c>
    </row>
    <row r="8333">
      <c r="A8333" t="str">
        <f t="shared" si="1"/>
        <v>kor#1998</v>
      </c>
      <c r="B8333" t="str">
        <f>IFERROR(__xludf.DUMMYFUNCTION("""COMPUTED_VALUE"""),"kor")</f>
        <v>kor</v>
      </c>
      <c r="C8333" t="str">
        <f>IFERROR(__xludf.DUMMYFUNCTION("""COMPUTED_VALUE"""),"South Korea")</f>
        <v>South Korea</v>
      </c>
      <c r="D8333">
        <f>IFERROR(__xludf.DUMMYFUNCTION("""COMPUTED_VALUE"""),1998.0)</f>
        <v>1998</v>
      </c>
      <c r="E8333">
        <f>IFERROR(__xludf.DUMMYFUNCTION("""COMPUTED_VALUE"""),4.6627442E7)</f>
        <v>46627442</v>
      </c>
    </row>
    <row r="8334">
      <c r="A8334" t="str">
        <f t="shared" si="1"/>
        <v>kor#1999</v>
      </c>
      <c r="B8334" t="str">
        <f>IFERROR(__xludf.DUMMYFUNCTION("""COMPUTED_VALUE"""),"kor")</f>
        <v>kor</v>
      </c>
      <c r="C8334" t="str">
        <f>IFERROR(__xludf.DUMMYFUNCTION("""COMPUTED_VALUE"""),"South Korea")</f>
        <v>South Korea</v>
      </c>
      <c r="D8334">
        <f>IFERROR(__xludf.DUMMYFUNCTION("""COMPUTED_VALUE"""),1999.0)</f>
        <v>1999</v>
      </c>
      <c r="E8334">
        <f>IFERROR(__xludf.DUMMYFUNCTION("""COMPUTED_VALUE"""),4.702388E7)</f>
        <v>47023880</v>
      </c>
    </row>
    <row r="8335">
      <c r="A8335" t="str">
        <f t="shared" si="1"/>
        <v>kor#2000</v>
      </c>
      <c r="B8335" t="str">
        <f>IFERROR(__xludf.DUMMYFUNCTION("""COMPUTED_VALUE"""),"kor")</f>
        <v>kor</v>
      </c>
      <c r="C8335" t="str">
        <f>IFERROR(__xludf.DUMMYFUNCTION("""COMPUTED_VALUE"""),"South Korea")</f>
        <v>South Korea</v>
      </c>
      <c r="D8335">
        <f>IFERROR(__xludf.DUMMYFUNCTION("""COMPUTED_VALUE"""),2000.0)</f>
        <v>2000</v>
      </c>
      <c r="E8335">
        <f>IFERROR(__xludf.DUMMYFUNCTION("""COMPUTED_VALUE"""),4.7386312E7)</f>
        <v>47386312</v>
      </c>
    </row>
    <row r="8336">
      <c r="A8336" t="str">
        <f t="shared" si="1"/>
        <v>kor#2001</v>
      </c>
      <c r="B8336" t="str">
        <f>IFERROR(__xludf.DUMMYFUNCTION("""COMPUTED_VALUE"""),"kor")</f>
        <v>kor</v>
      </c>
      <c r="C8336" t="str">
        <f>IFERROR(__xludf.DUMMYFUNCTION("""COMPUTED_VALUE"""),"South Korea")</f>
        <v>South Korea</v>
      </c>
      <c r="D8336">
        <f>IFERROR(__xludf.DUMMYFUNCTION("""COMPUTED_VALUE"""),2001.0)</f>
        <v>2001</v>
      </c>
      <c r="E8336">
        <f>IFERROR(__xludf.DUMMYFUNCTION("""COMPUTED_VALUE"""),4.7712788E7)</f>
        <v>47712788</v>
      </c>
    </row>
    <row r="8337">
      <c r="A8337" t="str">
        <f t="shared" si="1"/>
        <v>kor#2002</v>
      </c>
      <c r="B8337" t="str">
        <f>IFERROR(__xludf.DUMMYFUNCTION("""COMPUTED_VALUE"""),"kor")</f>
        <v>kor</v>
      </c>
      <c r="C8337" t="str">
        <f>IFERROR(__xludf.DUMMYFUNCTION("""COMPUTED_VALUE"""),"South Korea")</f>
        <v>South Korea</v>
      </c>
      <c r="D8337">
        <f>IFERROR(__xludf.DUMMYFUNCTION("""COMPUTED_VALUE"""),2002.0)</f>
        <v>2002</v>
      </c>
      <c r="E8337">
        <f>IFERROR(__xludf.DUMMYFUNCTION("""COMPUTED_VALUE"""),4.8004786E7)</f>
        <v>48004786</v>
      </c>
    </row>
    <row r="8338">
      <c r="A8338" t="str">
        <f t="shared" si="1"/>
        <v>kor#2003</v>
      </c>
      <c r="B8338" t="str">
        <f>IFERROR(__xludf.DUMMYFUNCTION("""COMPUTED_VALUE"""),"kor")</f>
        <v>kor</v>
      </c>
      <c r="C8338" t="str">
        <f>IFERROR(__xludf.DUMMYFUNCTION("""COMPUTED_VALUE"""),"South Korea")</f>
        <v>South Korea</v>
      </c>
      <c r="D8338">
        <f>IFERROR(__xludf.DUMMYFUNCTION("""COMPUTED_VALUE"""),2003.0)</f>
        <v>2003</v>
      </c>
      <c r="E8338">
        <f>IFERROR(__xludf.DUMMYFUNCTION("""COMPUTED_VALUE"""),4.8265026E7)</f>
        <v>48265026</v>
      </c>
    </row>
    <row r="8339">
      <c r="A8339" t="str">
        <f t="shared" si="1"/>
        <v>kor#2004</v>
      </c>
      <c r="B8339" t="str">
        <f>IFERROR(__xludf.DUMMYFUNCTION("""COMPUTED_VALUE"""),"kor")</f>
        <v>kor</v>
      </c>
      <c r="C8339" t="str">
        <f>IFERROR(__xludf.DUMMYFUNCTION("""COMPUTED_VALUE"""),"South Korea")</f>
        <v>South Korea</v>
      </c>
      <c r="D8339">
        <f>IFERROR(__xludf.DUMMYFUNCTION("""COMPUTED_VALUE"""),2004.0)</f>
        <v>2004</v>
      </c>
      <c r="E8339">
        <f>IFERROR(__xludf.DUMMYFUNCTION("""COMPUTED_VALUE"""),4.8498083E7)</f>
        <v>48498083</v>
      </c>
    </row>
    <row r="8340">
      <c r="A8340" t="str">
        <f t="shared" si="1"/>
        <v>kor#2005</v>
      </c>
      <c r="B8340" t="str">
        <f>IFERROR(__xludf.DUMMYFUNCTION("""COMPUTED_VALUE"""),"kor")</f>
        <v>kor</v>
      </c>
      <c r="C8340" t="str">
        <f>IFERROR(__xludf.DUMMYFUNCTION("""COMPUTED_VALUE"""),"South Korea")</f>
        <v>South Korea</v>
      </c>
      <c r="D8340">
        <f>IFERROR(__xludf.DUMMYFUNCTION("""COMPUTED_VALUE"""),2005.0)</f>
        <v>2005</v>
      </c>
      <c r="E8340">
        <f>IFERROR(__xludf.DUMMYFUNCTION("""COMPUTED_VALUE"""),4.8708497E7)</f>
        <v>48708497</v>
      </c>
    </row>
    <row r="8341">
      <c r="A8341" t="str">
        <f t="shared" si="1"/>
        <v>kor#2006</v>
      </c>
      <c r="B8341" t="str">
        <f>IFERROR(__xludf.DUMMYFUNCTION("""COMPUTED_VALUE"""),"kor")</f>
        <v>kor</v>
      </c>
      <c r="C8341" t="str">
        <f>IFERROR(__xludf.DUMMYFUNCTION("""COMPUTED_VALUE"""),"South Korea")</f>
        <v>South Korea</v>
      </c>
      <c r="D8341">
        <f>IFERROR(__xludf.DUMMYFUNCTION("""COMPUTED_VALUE"""),2006.0)</f>
        <v>2006</v>
      </c>
      <c r="E8341">
        <f>IFERROR(__xludf.DUMMYFUNCTION("""COMPUTED_VALUE"""),4.8895845E7)</f>
        <v>48895845</v>
      </c>
    </row>
    <row r="8342">
      <c r="A8342" t="str">
        <f t="shared" si="1"/>
        <v>kor#2007</v>
      </c>
      <c r="B8342" t="str">
        <f>IFERROR(__xludf.DUMMYFUNCTION("""COMPUTED_VALUE"""),"kor")</f>
        <v>kor</v>
      </c>
      <c r="C8342" t="str">
        <f>IFERROR(__xludf.DUMMYFUNCTION("""COMPUTED_VALUE"""),"South Korea")</f>
        <v>South Korea</v>
      </c>
      <c r="D8342">
        <f>IFERROR(__xludf.DUMMYFUNCTION("""COMPUTED_VALUE"""),2007.0)</f>
        <v>2007</v>
      </c>
      <c r="E8342">
        <f>IFERROR(__xludf.DUMMYFUNCTION("""COMPUTED_VALUE"""),4.9062429E7)</f>
        <v>49062429</v>
      </c>
    </row>
    <row r="8343">
      <c r="A8343" t="str">
        <f t="shared" si="1"/>
        <v>kor#2008</v>
      </c>
      <c r="B8343" t="str">
        <f>IFERROR(__xludf.DUMMYFUNCTION("""COMPUTED_VALUE"""),"kor")</f>
        <v>kor</v>
      </c>
      <c r="C8343" t="str">
        <f>IFERROR(__xludf.DUMMYFUNCTION("""COMPUTED_VALUE"""),"South Korea")</f>
        <v>South Korea</v>
      </c>
      <c r="D8343">
        <f>IFERROR(__xludf.DUMMYFUNCTION("""COMPUTED_VALUE"""),2008.0)</f>
        <v>2008</v>
      </c>
      <c r="E8343">
        <f>IFERROR(__xludf.DUMMYFUNCTION("""COMPUTED_VALUE"""),4.9218985E7)</f>
        <v>49218985</v>
      </c>
    </row>
    <row r="8344">
      <c r="A8344" t="str">
        <f t="shared" si="1"/>
        <v>kor#2009</v>
      </c>
      <c r="B8344" t="str">
        <f>IFERROR(__xludf.DUMMYFUNCTION("""COMPUTED_VALUE"""),"kor")</f>
        <v>kor</v>
      </c>
      <c r="C8344" t="str">
        <f>IFERROR(__xludf.DUMMYFUNCTION("""COMPUTED_VALUE"""),"South Korea")</f>
        <v>South Korea</v>
      </c>
      <c r="D8344">
        <f>IFERROR(__xludf.DUMMYFUNCTION("""COMPUTED_VALUE"""),2009.0)</f>
        <v>2009</v>
      </c>
      <c r="E8344">
        <f>IFERROR(__xludf.DUMMYFUNCTION("""COMPUTED_VALUE"""),4.9379208E7)</f>
        <v>49379208</v>
      </c>
    </row>
    <row r="8345">
      <c r="A8345" t="str">
        <f t="shared" si="1"/>
        <v>kor#2010</v>
      </c>
      <c r="B8345" t="str">
        <f>IFERROR(__xludf.DUMMYFUNCTION("""COMPUTED_VALUE"""),"kor")</f>
        <v>kor</v>
      </c>
      <c r="C8345" t="str">
        <f>IFERROR(__xludf.DUMMYFUNCTION("""COMPUTED_VALUE"""),"South Korea")</f>
        <v>South Korea</v>
      </c>
      <c r="D8345">
        <f>IFERROR(__xludf.DUMMYFUNCTION("""COMPUTED_VALUE"""),2010.0)</f>
        <v>2010</v>
      </c>
      <c r="E8345">
        <f>IFERROR(__xludf.DUMMYFUNCTION("""COMPUTED_VALUE"""),4.9552855E7)</f>
        <v>49552855</v>
      </c>
    </row>
    <row r="8346">
      <c r="A8346" t="str">
        <f t="shared" si="1"/>
        <v>kor#2011</v>
      </c>
      <c r="B8346" t="str">
        <f>IFERROR(__xludf.DUMMYFUNCTION("""COMPUTED_VALUE"""),"kor")</f>
        <v>kor</v>
      </c>
      <c r="C8346" t="str">
        <f>IFERROR(__xludf.DUMMYFUNCTION("""COMPUTED_VALUE"""),"South Korea")</f>
        <v>South Korea</v>
      </c>
      <c r="D8346">
        <f>IFERROR(__xludf.DUMMYFUNCTION("""COMPUTED_VALUE"""),2011.0)</f>
        <v>2011</v>
      </c>
      <c r="E8346">
        <f>IFERROR(__xludf.DUMMYFUNCTION("""COMPUTED_VALUE"""),4.9744659E7)</f>
        <v>49744659</v>
      </c>
    </row>
    <row r="8347">
      <c r="A8347" t="str">
        <f t="shared" si="1"/>
        <v>kor#2012</v>
      </c>
      <c r="B8347" t="str">
        <f>IFERROR(__xludf.DUMMYFUNCTION("""COMPUTED_VALUE"""),"kor")</f>
        <v>kor</v>
      </c>
      <c r="C8347" t="str">
        <f>IFERROR(__xludf.DUMMYFUNCTION("""COMPUTED_VALUE"""),"South Korea")</f>
        <v>South Korea</v>
      </c>
      <c r="D8347">
        <f>IFERROR(__xludf.DUMMYFUNCTION("""COMPUTED_VALUE"""),2012.0)</f>
        <v>2012</v>
      </c>
      <c r="E8347">
        <f>IFERROR(__xludf.DUMMYFUNCTION("""COMPUTED_VALUE"""),4.9952244E7)</f>
        <v>49952244</v>
      </c>
    </row>
    <row r="8348">
      <c r="A8348" t="str">
        <f t="shared" si="1"/>
        <v>kor#2013</v>
      </c>
      <c r="B8348" t="str">
        <f>IFERROR(__xludf.DUMMYFUNCTION("""COMPUTED_VALUE"""),"kor")</f>
        <v>kor</v>
      </c>
      <c r="C8348" t="str">
        <f>IFERROR(__xludf.DUMMYFUNCTION("""COMPUTED_VALUE"""),"South Korea")</f>
        <v>South Korea</v>
      </c>
      <c r="D8348">
        <f>IFERROR(__xludf.DUMMYFUNCTION("""COMPUTED_VALUE"""),2013.0)</f>
        <v>2013</v>
      </c>
      <c r="E8348">
        <f>IFERROR(__xludf.DUMMYFUNCTION("""COMPUTED_VALUE"""),5.0169242E7)</f>
        <v>50169242</v>
      </c>
    </row>
    <row r="8349">
      <c r="A8349" t="str">
        <f t="shared" si="1"/>
        <v>kor#2014</v>
      </c>
      <c r="B8349" t="str">
        <f>IFERROR(__xludf.DUMMYFUNCTION("""COMPUTED_VALUE"""),"kor")</f>
        <v>kor</v>
      </c>
      <c r="C8349" t="str">
        <f>IFERROR(__xludf.DUMMYFUNCTION("""COMPUTED_VALUE"""),"South Korea")</f>
        <v>South Korea</v>
      </c>
      <c r="D8349">
        <f>IFERROR(__xludf.DUMMYFUNCTION("""COMPUTED_VALUE"""),2014.0)</f>
        <v>2014</v>
      </c>
      <c r="E8349">
        <f>IFERROR(__xludf.DUMMYFUNCTION("""COMPUTED_VALUE"""),5.038556E7)</f>
        <v>50385560</v>
      </c>
    </row>
    <row r="8350">
      <c r="A8350" t="str">
        <f t="shared" si="1"/>
        <v>kor#2015</v>
      </c>
      <c r="B8350" t="str">
        <f>IFERROR(__xludf.DUMMYFUNCTION("""COMPUTED_VALUE"""),"kor")</f>
        <v>kor</v>
      </c>
      <c r="C8350" t="str">
        <f>IFERROR(__xludf.DUMMYFUNCTION("""COMPUTED_VALUE"""),"South Korea")</f>
        <v>South Korea</v>
      </c>
      <c r="D8350">
        <f>IFERROR(__xludf.DUMMYFUNCTION("""COMPUTED_VALUE"""),2015.0)</f>
        <v>2015</v>
      </c>
      <c r="E8350">
        <f>IFERROR(__xludf.DUMMYFUNCTION("""COMPUTED_VALUE"""),5.0593662E7)</f>
        <v>50593662</v>
      </c>
    </row>
    <row r="8351">
      <c r="A8351" t="str">
        <f t="shared" si="1"/>
        <v>kor#2016</v>
      </c>
      <c r="B8351" t="str">
        <f>IFERROR(__xludf.DUMMYFUNCTION("""COMPUTED_VALUE"""),"kor")</f>
        <v>kor</v>
      </c>
      <c r="C8351" t="str">
        <f>IFERROR(__xludf.DUMMYFUNCTION("""COMPUTED_VALUE"""),"South Korea")</f>
        <v>South Korea</v>
      </c>
      <c r="D8351">
        <f>IFERROR(__xludf.DUMMYFUNCTION("""COMPUTED_VALUE"""),2016.0)</f>
        <v>2016</v>
      </c>
      <c r="E8351">
        <f>IFERROR(__xludf.DUMMYFUNCTION("""COMPUTED_VALUE"""),5.0791919E7)</f>
        <v>50791919</v>
      </c>
    </row>
    <row r="8352">
      <c r="A8352" t="str">
        <f t="shared" si="1"/>
        <v>kor#2017</v>
      </c>
      <c r="B8352" t="str">
        <f>IFERROR(__xludf.DUMMYFUNCTION("""COMPUTED_VALUE"""),"kor")</f>
        <v>kor</v>
      </c>
      <c r="C8352" t="str">
        <f>IFERROR(__xludf.DUMMYFUNCTION("""COMPUTED_VALUE"""),"South Korea")</f>
        <v>South Korea</v>
      </c>
      <c r="D8352">
        <f>IFERROR(__xludf.DUMMYFUNCTION("""COMPUTED_VALUE"""),2017.0)</f>
        <v>2017</v>
      </c>
      <c r="E8352">
        <f>IFERROR(__xludf.DUMMYFUNCTION("""COMPUTED_VALUE"""),5.0982212E7)</f>
        <v>50982212</v>
      </c>
    </row>
    <row r="8353">
      <c r="A8353" t="str">
        <f t="shared" si="1"/>
        <v>kor#2018</v>
      </c>
      <c r="B8353" t="str">
        <f>IFERROR(__xludf.DUMMYFUNCTION("""COMPUTED_VALUE"""),"kor")</f>
        <v>kor</v>
      </c>
      <c r="C8353" t="str">
        <f>IFERROR(__xludf.DUMMYFUNCTION("""COMPUTED_VALUE"""),"South Korea")</f>
        <v>South Korea</v>
      </c>
      <c r="D8353">
        <f>IFERROR(__xludf.DUMMYFUNCTION("""COMPUTED_VALUE"""),2018.0)</f>
        <v>2018</v>
      </c>
      <c r="E8353">
        <f>IFERROR(__xludf.DUMMYFUNCTION("""COMPUTED_VALUE"""),5.1164435E7)</f>
        <v>51164435</v>
      </c>
    </row>
    <row r="8354">
      <c r="A8354" t="str">
        <f t="shared" si="1"/>
        <v>kor#2019</v>
      </c>
      <c r="B8354" t="str">
        <f>IFERROR(__xludf.DUMMYFUNCTION("""COMPUTED_VALUE"""),"kor")</f>
        <v>kor</v>
      </c>
      <c r="C8354" t="str">
        <f>IFERROR(__xludf.DUMMYFUNCTION("""COMPUTED_VALUE"""),"South Korea")</f>
        <v>South Korea</v>
      </c>
      <c r="D8354">
        <f>IFERROR(__xludf.DUMMYFUNCTION("""COMPUTED_VALUE"""),2019.0)</f>
        <v>2019</v>
      </c>
      <c r="E8354">
        <f>IFERROR(__xludf.DUMMYFUNCTION("""COMPUTED_VALUE"""),5.1339238E7)</f>
        <v>51339238</v>
      </c>
    </row>
    <row r="8355">
      <c r="A8355" t="str">
        <f t="shared" si="1"/>
        <v>kor#2020</v>
      </c>
      <c r="B8355" t="str">
        <f>IFERROR(__xludf.DUMMYFUNCTION("""COMPUTED_VALUE"""),"kor")</f>
        <v>kor</v>
      </c>
      <c r="C8355" t="str">
        <f>IFERROR(__xludf.DUMMYFUNCTION("""COMPUTED_VALUE"""),"South Korea")</f>
        <v>South Korea</v>
      </c>
      <c r="D8355">
        <f>IFERROR(__xludf.DUMMYFUNCTION("""COMPUTED_VALUE"""),2020.0)</f>
        <v>2020</v>
      </c>
      <c r="E8355">
        <f>IFERROR(__xludf.DUMMYFUNCTION("""COMPUTED_VALUE"""),5.1506975E7)</f>
        <v>51506975</v>
      </c>
    </row>
    <row r="8356">
      <c r="A8356" t="str">
        <f t="shared" si="1"/>
        <v>kor#2021</v>
      </c>
      <c r="B8356" t="str">
        <f>IFERROR(__xludf.DUMMYFUNCTION("""COMPUTED_VALUE"""),"kor")</f>
        <v>kor</v>
      </c>
      <c r="C8356" t="str">
        <f>IFERROR(__xludf.DUMMYFUNCTION("""COMPUTED_VALUE"""),"South Korea")</f>
        <v>South Korea</v>
      </c>
      <c r="D8356">
        <f>IFERROR(__xludf.DUMMYFUNCTION("""COMPUTED_VALUE"""),2021.0)</f>
        <v>2021</v>
      </c>
      <c r="E8356">
        <f>IFERROR(__xludf.DUMMYFUNCTION("""COMPUTED_VALUE"""),5.1666655E7)</f>
        <v>51666655</v>
      </c>
    </row>
    <row r="8357">
      <c r="A8357" t="str">
        <f t="shared" si="1"/>
        <v>kor#2022</v>
      </c>
      <c r="B8357" t="str">
        <f>IFERROR(__xludf.DUMMYFUNCTION("""COMPUTED_VALUE"""),"kor")</f>
        <v>kor</v>
      </c>
      <c r="C8357" t="str">
        <f>IFERROR(__xludf.DUMMYFUNCTION("""COMPUTED_VALUE"""),"South Korea")</f>
        <v>South Korea</v>
      </c>
      <c r="D8357">
        <f>IFERROR(__xludf.DUMMYFUNCTION("""COMPUTED_VALUE"""),2022.0)</f>
        <v>2022</v>
      </c>
      <c r="E8357">
        <f>IFERROR(__xludf.DUMMYFUNCTION("""COMPUTED_VALUE"""),5.181723E7)</f>
        <v>51817230</v>
      </c>
    </row>
    <row r="8358">
      <c r="A8358" t="str">
        <f t="shared" si="1"/>
        <v>kor#2023</v>
      </c>
      <c r="B8358" t="str">
        <f>IFERROR(__xludf.DUMMYFUNCTION("""COMPUTED_VALUE"""),"kor")</f>
        <v>kor</v>
      </c>
      <c r="C8358" t="str">
        <f>IFERROR(__xludf.DUMMYFUNCTION("""COMPUTED_VALUE"""),"South Korea")</f>
        <v>South Korea</v>
      </c>
      <c r="D8358">
        <f>IFERROR(__xludf.DUMMYFUNCTION("""COMPUTED_VALUE"""),2023.0)</f>
        <v>2023</v>
      </c>
      <c r="E8358">
        <f>IFERROR(__xludf.DUMMYFUNCTION("""COMPUTED_VALUE"""),5.1959108E7)</f>
        <v>51959108</v>
      </c>
    </row>
    <row r="8359">
      <c r="A8359" t="str">
        <f t="shared" si="1"/>
        <v>kor#2024</v>
      </c>
      <c r="B8359" t="str">
        <f>IFERROR(__xludf.DUMMYFUNCTION("""COMPUTED_VALUE"""),"kor")</f>
        <v>kor</v>
      </c>
      <c r="C8359" t="str">
        <f>IFERROR(__xludf.DUMMYFUNCTION("""COMPUTED_VALUE"""),"South Korea")</f>
        <v>South Korea</v>
      </c>
      <c r="D8359">
        <f>IFERROR(__xludf.DUMMYFUNCTION("""COMPUTED_VALUE"""),2024.0)</f>
        <v>2024</v>
      </c>
      <c r="E8359">
        <f>IFERROR(__xludf.DUMMYFUNCTION("""COMPUTED_VALUE"""),5.2093053E7)</f>
        <v>52093053</v>
      </c>
    </row>
    <row r="8360">
      <c r="A8360" t="str">
        <f t="shared" si="1"/>
        <v>kor#2025</v>
      </c>
      <c r="B8360" t="str">
        <f>IFERROR(__xludf.DUMMYFUNCTION("""COMPUTED_VALUE"""),"kor")</f>
        <v>kor</v>
      </c>
      <c r="C8360" t="str">
        <f>IFERROR(__xludf.DUMMYFUNCTION("""COMPUTED_VALUE"""),"South Korea")</f>
        <v>South Korea</v>
      </c>
      <c r="D8360">
        <f>IFERROR(__xludf.DUMMYFUNCTION("""COMPUTED_VALUE"""),2025.0)</f>
        <v>2025</v>
      </c>
      <c r="E8360">
        <f>IFERROR(__xludf.DUMMYFUNCTION("""COMPUTED_VALUE"""),5.221934E7)</f>
        <v>52219340</v>
      </c>
    </row>
    <row r="8361">
      <c r="A8361" t="str">
        <f t="shared" si="1"/>
        <v>kor#2026</v>
      </c>
      <c r="B8361" t="str">
        <f>IFERROR(__xludf.DUMMYFUNCTION("""COMPUTED_VALUE"""),"kor")</f>
        <v>kor</v>
      </c>
      <c r="C8361" t="str">
        <f>IFERROR(__xludf.DUMMYFUNCTION("""COMPUTED_VALUE"""),"South Korea")</f>
        <v>South Korea</v>
      </c>
      <c r="D8361">
        <f>IFERROR(__xludf.DUMMYFUNCTION("""COMPUTED_VALUE"""),2026.0)</f>
        <v>2026</v>
      </c>
      <c r="E8361">
        <f>IFERROR(__xludf.DUMMYFUNCTION("""COMPUTED_VALUE"""),5.2337651E7)</f>
        <v>52337651</v>
      </c>
    </row>
    <row r="8362">
      <c r="A8362" t="str">
        <f t="shared" si="1"/>
        <v>kor#2027</v>
      </c>
      <c r="B8362" t="str">
        <f>IFERROR(__xludf.DUMMYFUNCTION("""COMPUTED_VALUE"""),"kor")</f>
        <v>kor</v>
      </c>
      <c r="C8362" t="str">
        <f>IFERROR(__xludf.DUMMYFUNCTION("""COMPUTED_VALUE"""),"South Korea")</f>
        <v>South Korea</v>
      </c>
      <c r="D8362">
        <f>IFERROR(__xludf.DUMMYFUNCTION("""COMPUTED_VALUE"""),2027.0)</f>
        <v>2027</v>
      </c>
      <c r="E8362">
        <f>IFERROR(__xludf.DUMMYFUNCTION("""COMPUTED_VALUE"""),5.2446826E7)</f>
        <v>52446826</v>
      </c>
    </row>
    <row r="8363">
      <c r="A8363" t="str">
        <f t="shared" si="1"/>
        <v>kor#2028</v>
      </c>
      <c r="B8363" t="str">
        <f>IFERROR(__xludf.DUMMYFUNCTION("""COMPUTED_VALUE"""),"kor")</f>
        <v>kor</v>
      </c>
      <c r="C8363" t="str">
        <f>IFERROR(__xludf.DUMMYFUNCTION("""COMPUTED_VALUE"""),"South Korea")</f>
        <v>South Korea</v>
      </c>
      <c r="D8363">
        <f>IFERROR(__xludf.DUMMYFUNCTION("""COMPUTED_VALUE"""),2028.0)</f>
        <v>2028</v>
      </c>
      <c r="E8363">
        <f>IFERROR(__xludf.DUMMYFUNCTION("""COMPUTED_VALUE"""),5.2545244E7)</f>
        <v>52545244</v>
      </c>
    </row>
    <row r="8364">
      <c r="A8364" t="str">
        <f t="shared" si="1"/>
        <v>kor#2029</v>
      </c>
      <c r="B8364" t="str">
        <f>IFERROR(__xludf.DUMMYFUNCTION("""COMPUTED_VALUE"""),"kor")</f>
        <v>kor</v>
      </c>
      <c r="C8364" t="str">
        <f>IFERROR(__xludf.DUMMYFUNCTION("""COMPUTED_VALUE"""),"South Korea")</f>
        <v>South Korea</v>
      </c>
      <c r="D8364">
        <f>IFERROR(__xludf.DUMMYFUNCTION("""COMPUTED_VALUE"""),2029.0)</f>
        <v>2029</v>
      </c>
      <c r="E8364">
        <f>IFERROR(__xludf.DUMMYFUNCTION("""COMPUTED_VALUE"""),5.2630834E7)</f>
        <v>52630834</v>
      </c>
    </row>
    <row r="8365">
      <c r="A8365" t="str">
        <f t="shared" si="1"/>
        <v>kor#2030</v>
      </c>
      <c r="B8365" t="str">
        <f>IFERROR(__xludf.DUMMYFUNCTION("""COMPUTED_VALUE"""),"kor")</f>
        <v>kor</v>
      </c>
      <c r="C8365" t="str">
        <f>IFERROR(__xludf.DUMMYFUNCTION("""COMPUTED_VALUE"""),"South Korea")</f>
        <v>South Korea</v>
      </c>
      <c r="D8365">
        <f>IFERROR(__xludf.DUMMYFUNCTION("""COMPUTED_VALUE"""),2030.0)</f>
        <v>2030</v>
      </c>
      <c r="E8365">
        <f>IFERROR(__xludf.DUMMYFUNCTION("""COMPUTED_VALUE"""),5.2701817E7)</f>
        <v>52701817</v>
      </c>
    </row>
    <row r="8366">
      <c r="A8366" t="str">
        <f t="shared" si="1"/>
        <v>kor#2031</v>
      </c>
      <c r="B8366" t="str">
        <f>IFERROR(__xludf.DUMMYFUNCTION("""COMPUTED_VALUE"""),"kor")</f>
        <v>kor</v>
      </c>
      <c r="C8366" t="str">
        <f>IFERROR(__xludf.DUMMYFUNCTION("""COMPUTED_VALUE"""),"South Korea")</f>
        <v>South Korea</v>
      </c>
      <c r="D8366">
        <f>IFERROR(__xludf.DUMMYFUNCTION("""COMPUTED_VALUE"""),2031.0)</f>
        <v>2031</v>
      </c>
      <c r="E8366">
        <f>IFERROR(__xludf.DUMMYFUNCTION("""COMPUTED_VALUE"""),5.2757653E7)</f>
        <v>52757653</v>
      </c>
    </row>
    <row r="8367">
      <c r="A8367" t="str">
        <f t="shared" si="1"/>
        <v>kor#2032</v>
      </c>
      <c r="B8367" t="str">
        <f>IFERROR(__xludf.DUMMYFUNCTION("""COMPUTED_VALUE"""),"kor")</f>
        <v>kor</v>
      </c>
      <c r="C8367" t="str">
        <f>IFERROR(__xludf.DUMMYFUNCTION("""COMPUTED_VALUE"""),"South Korea")</f>
        <v>South Korea</v>
      </c>
      <c r="D8367">
        <f>IFERROR(__xludf.DUMMYFUNCTION("""COMPUTED_VALUE"""),2032.0)</f>
        <v>2032</v>
      </c>
      <c r="E8367">
        <f>IFERROR(__xludf.DUMMYFUNCTION("""COMPUTED_VALUE"""),5.279774E7)</f>
        <v>52797740</v>
      </c>
    </row>
    <row r="8368">
      <c r="A8368" t="str">
        <f t="shared" si="1"/>
        <v>kor#2033</v>
      </c>
      <c r="B8368" t="str">
        <f>IFERROR(__xludf.DUMMYFUNCTION("""COMPUTED_VALUE"""),"kor")</f>
        <v>kor</v>
      </c>
      <c r="C8368" t="str">
        <f>IFERROR(__xludf.DUMMYFUNCTION("""COMPUTED_VALUE"""),"South Korea")</f>
        <v>South Korea</v>
      </c>
      <c r="D8368">
        <f>IFERROR(__xludf.DUMMYFUNCTION("""COMPUTED_VALUE"""),2033.0)</f>
        <v>2033</v>
      </c>
      <c r="E8368">
        <f>IFERROR(__xludf.DUMMYFUNCTION("""COMPUTED_VALUE"""),5.2820366E7)</f>
        <v>52820366</v>
      </c>
    </row>
    <row r="8369">
      <c r="A8369" t="str">
        <f t="shared" si="1"/>
        <v>kor#2034</v>
      </c>
      <c r="B8369" t="str">
        <f>IFERROR(__xludf.DUMMYFUNCTION("""COMPUTED_VALUE"""),"kor")</f>
        <v>kor</v>
      </c>
      <c r="C8369" t="str">
        <f>IFERROR(__xludf.DUMMYFUNCTION("""COMPUTED_VALUE"""),"South Korea")</f>
        <v>South Korea</v>
      </c>
      <c r="D8369">
        <f>IFERROR(__xludf.DUMMYFUNCTION("""COMPUTED_VALUE"""),2034.0)</f>
        <v>2034</v>
      </c>
      <c r="E8369">
        <f>IFERROR(__xludf.DUMMYFUNCTION("""COMPUTED_VALUE"""),5.2823536E7)</f>
        <v>52823536</v>
      </c>
    </row>
    <row r="8370">
      <c r="A8370" t="str">
        <f t="shared" si="1"/>
        <v>kor#2035</v>
      </c>
      <c r="B8370" t="str">
        <f>IFERROR(__xludf.DUMMYFUNCTION("""COMPUTED_VALUE"""),"kor")</f>
        <v>kor</v>
      </c>
      <c r="C8370" t="str">
        <f>IFERROR(__xludf.DUMMYFUNCTION("""COMPUTED_VALUE"""),"South Korea")</f>
        <v>South Korea</v>
      </c>
      <c r="D8370">
        <f>IFERROR(__xludf.DUMMYFUNCTION("""COMPUTED_VALUE"""),2035.0)</f>
        <v>2035</v>
      </c>
      <c r="E8370">
        <f>IFERROR(__xludf.DUMMYFUNCTION("""COMPUTED_VALUE"""),5.2805846E7)</f>
        <v>52805846</v>
      </c>
    </row>
    <row r="8371">
      <c r="A8371" t="str">
        <f t="shared" si="1"/>
        <v>kor#2036</v>
      </c>
      <c r="B8371" t="str">
        <f>IFERROR(__xludf.DUMMYFUNCTION("""COMPUTED_VALUE"""),"kor")</f>
        <v>kor</v>
      </c>
      <c r="C8371" t="str">
        <f>IFERROR(__xludf.DUMMYFUNCTION("""COMPUTED_VALUE"""),"South Korea")</f>
        <v>South Korea</v>
      </c>
      <c r="D8371">
        <f>IFERROR(__xludf.DUMMYFUNCTION("""COMPUTED_VALUE"""),2036.0)</f>
        <v>2036</v>
      </c>
      <c r="E8371">
        <f>IFERROR(__xludf.DUMMYFUNCTION("""COMPUTED_VALUE"""),5.2766651E7)</f>
        <v>52766651</v>
      </c>
    </row>
    <row r="8372">
      <c r="A8372" t="str">
        <f t="shared" si="1"/>
        <v>kor#2037</v>
      </c>
      <c r="B8372" t="str">
        <f>IFERROR(__xludf.DUMMYFUNCTION("""COMPUTED_VALUE"""),"kor")</f>
        <v>kor</v>
      </c>
      <c r="C8372" t="str">
        <f>IFERROR(__xludf.DUMMYFUNCTION("""COMPUTED_VALUE"""),"South Korea")</f>
        <v>South Korea</v>
      </c>
      <c r="D8372">
        <f>IFERROR(__xludf.DUMMYFUNCTION("""COMPUTED_VALUE"""),2037.0)</f>
        <v>2037</v>
      </c>
      <c r="E8372">
        <f>IFERROR(__xludf.DUMMYFUNCTION("""COMPUTED_VALUE"""),5.2706283E7)</f>
        <v>52706283</v>
      </c>
    </row>
    <row r="8373">
      <c r="A8373" t="str">
        <f t="shared" si="1"/>
        <v>kor#2038</v>
      </c>
      <c r="B8373" t="str">
        <f>IFERROR(__xludf.DUMMYFUNCTION("""COMPUTED_VALUE"""),"kor")</f>
        <v>kor</v>
      </c>
      <c r="C8373" t="str">
        <f>IFERROR(__xludf.DUMMYFUNCTION("""COMPUTED_VALUE"""),"South Korea")</f>
        <v>South Korea</v>
      </c>
      <c r="D8373">
        <f>IFERROR(__xludf.DUMMYFUNCTION("""COMPUTED_VALUE"""),2038.0)</f>
        <v>2038</v>
      </c>
      <c r="E8373">
        <f>IFERROR(__xludf.DUMMYFUNCTION("""COMPUTED_VALUE"""),5.2625667E7)</f>
        <v>52625667</v>
      </c>
    </row>
    <row r="8374">
      <c r="A8374" t="str">
        <f t="shared" si="1"/>
        <v>kor#2039</v>
      </c>
      <c r="B8374" t="str">
        <f>IFERROR(__xludf.DUMMYFUNCTION("""COMPUTED_VALUE"""),"kor")</f>
        <v>kor</v>
      </c>
      <c r="C8374" t="str">
        <f>IFERROR(__xludf.DUMMYFUNCTION("""COMPUTED_VALUE"""),"South Korea")</f>
        <v>South Korea</v>
      </c>
      <c r="D8374">
        <f>IFERROR(__xludf.DUMMYFUNCTION("""COMPUTED_VALUE"""),2039.0)</f>
        <v>2039</v>
      </c>
      <c r="E8374">
        <f>IFERROR(__xludf.DUMMYFUNCTION("""COMPUTED_VALUE"""),5.2526273E7)</f>
        <v>52526273</v>
      </c>
    </row>
    <row r="8375">
      <c r="A8375" t="str">
        <f t="shared" si="1"/>
        <v>kor#2040</v>
      </c>
      <c r="B8375" t="str">
        <f>IFERROR(__xludf.DUMMYFUNCTION("""COMPUTED_VALUE"""),"kor")</f>
        <v>kor</v>
      </c>
      <c r="C8375" t="str">
        <f>IFERROR(__xludf.DUMMYFUNCTION("""COMPUTED_VALUE"""),"South Korea")</f>
        <v>South Korea</v>
      </c>
      <c r="D8375">
        <f>IFERROR(__xludf.DUMMYFUNCTION("""COMPUTED_VALUE"""),2040.0)</f>
        <v>2040</v>
      </c>
      <c r="E8375">
        <f>IFERROR(__xludf.DUMMYFUNCTION("""COMPUTED_VALUE"""),5.2409408E7)</f>
        <v>52409408</v>
      </c>
    </row>
    <row r="8376">
      <c r="A8376" t="str">
        <f t="shared" si="1"/>
        <v>kwt#1950</v>
      </c>
      <c r="B8376" t="str">
        <f>IFERROR(__xludf.DUMMYFUNCTION("""COMPUTED_VALUE"""),"kwt")</f>
        <v>kwt</v>
      </c>
      <c r="C8376" t="str">
        <f>IFERROR(__xludf.DUMMYFUNCTION("""COMPUTED_VALUE"""),"Kuwait")</f>
        <v>Kuwait</v>
      </c>
      <c r="D8376">
        <f>IFERROR(__xludf.DUMMYFUNCTION("""COMPUTED_VALUE"""),1950.0)</f>
        <v>1950</v>
      </c>
      <c r="E8376">
        <f>IFERROR(__xludf.DUMMYFUNCTION("""COMPUTED_VALUE"""),153096.0)</f>
        <v>153096</v>
      </c>
    </row>
    <row r="8377">
      <c r="A8377" t="str">
        <f t="shared" si="1"/>
        <v>kwt#1951</v>
      </c>
      <c r="B8377" t="str">
        <f>IFERROR(__xludf.DUMMYFUNCTION("""COMPUTED_VALUE"""),"kwt")</f>
        <v>kwt</v>
      </c>
      <c r="C8377" t="str">
        <f>IFERROR(__xludf.DUMMYFUNCTION("""COMPUTED_VALUE"""),"Kuwait")</f>
        <v>Kuwait</v>
      </c>
      <c r="D8377">
        <f>IFERROR(__xludf.DUMMYFUNCTION("""COMPUTED_VALUE"""),1951.0)</f>
        <v>1951</v>
      </c>
      <c r="E8377">
        <f>IFERROR(__xludf.DUMMYFUNCTION("""COMPUTED_VALUE"""),157932.0)</f>
        <v>157932</v>
      </c>
    </row>
    <row r="8378">
      <c r="A8378" t="str">
        <f t="shared" si="1"/>
        <v>kwt#1952</v>
      </c>
      <c r="B8378" t="str">
        <f>IFERROR(__xludf.DUMMYFUNCTION("""COMPUTED_VALUE"""),"kwt")</f>
        <v>kwt</v>
      </c>
      <c r="C8378" t="str">
        <f>IFERROR(__xludf.DUMMYFUNCTION("""COMPUTED_VALUE"""),"Kuwait")</f>
        <v>Kuwait</v>
      </c>
      <c r="D8378">
        <f>IFERROR(__xludf.DUMMYFUNCTION("""COMPUTED_VALUE"""),1952.0)</f>
        <v>1952</v>
      </c>
      <c r="E8378">
        <f>IFERROR(__xludf.DUMMYFUNCTION("""COMPUTED_VALUE"""),162696.0)</f>
        <v>162696</v>
      </c>
    </row>
    <row r="8379">
      <c r="A8379" t="str">
        <f t="shared" si="1"/>
        <v>kwt#1953</v>
      </c>
      <c r="B8379" t="str">
        <f>IFERROR(__xludf.DUMMYFUNCTION("""COMPUTED_VALUE"""),"kwt")</f>
        <v>kwt</v>
      </c>
      <c r="C8379" t="str">
        <f>IFERROR(__xludf.DUMMYFUNCTION("""COMPUTED_VALUE"""),"Kuwait")</f>
        <v>Kuwait</v>
      </c>
      <c r="D8379">
        <f>IFERROR(__xludf.DUMMYFUNCTION("""COMPUTED_VALUE"""),1953.0)</f>
        <v>1953</v>
      </c>
      <c r="E8379">
        <f>IFERROR(__xludf.DUMMYFUNCTION("""COMPUTED_VALUE"""),167896.0)</f>
        <v>167896</v>
      </c>
    </row>
    <row r="8380">
      <c r="A8380" t="str">
        <f t="shared" si="1"/>
        <v>kwt#1954</v>
      </c>
      <c r="B8380" t="str">
        <f>IFERROR(__xludf.DUMMYFUNCTION("""COMPUTED_VALUE"""),"kwt")</f>
        <v>kwt</v>
      </c>
      <c r="C8380" t="str">
        <f>IFERROR(__xludf.DUMMYFUNCTION("""COMPUTED_VALUE"""),"Kuwait")</f>
        <v>Kuwait</v>
      </c>
      <c r="D8380">
        <f>IFERROR(__xludf.DUMMYFUNCTION("""COMPUTED_VALUE"""),1954.0)</f>
        <v>1954</v>
      </c>
      <c r="E8380">
        <f>IFERROR(__xludf.DUMMYFUNCTION("""COMPUTED_VALUE"""),174091.0)</f>
        <v>174091</v>
      </c>
    </row>
    <row r="8381">
      <c r="A8381" t="str">
        <f t="shared" si="1"/>
        <v>kwt#1955</v>
      </c>
      <c r="B8381" t="str">
        <f>IFERROR(__xludf.DUMMYFUNCTION("""COMPUTED_VALUE"""),"kwt")</f>
        <v>kwt</v>
      </c>
      <c r="C8381" t="str">
        <f>IFERROR(__xludf.DUMMYFUNCTION("""COMPUTED_VALUE"""),"Kuwait")</f>
        <v>Kuwait</v>
      </c>
      <c r="D8381">
        <f>IFERROR(__xludf.DUMMYFUNCTION("""COMPUTED_VALUE"""),1955.0)</f>
        <v>1955</v>
      </c>
      <c r="E8381">
        <f>IFERROR(__xludf.DUMMYFUNCTION("""COMPUTED_VALUE"""),181888.0)</f>
        <v>181888</v>
      </c>
    </row>
    <row r="8382">
      <c r="A8382" t="str">
        <f t="shared" si="1"/>
        <v>kwt#1956</v>
      </c>
      <c r="B8382" t="str">
        <f>IFERROR(__xludf.DUMMYFUNCTION("""COMPUTED_VALUE"""),"kwt")</f>
        <v>kwt</v>
      </c>
      <c r="C8382" t="str">
        <f>IFERROR(__xludf.DUMMYFUNCTION("""COMPUTED_VALUE"""),"Kuwait")</f>
        <v>Kuwait</v>
      </c>
      <c r="D8382">
        <f>IFERROR(__xludf.DUMMYFUNCTION("""COMPUTED_VALUE"""),1956.0)</f>
        <v>1956</v>
      </c>
      <c r="E8382">
        <f>IFERROR(__xludf.DUMMYFUNCTION("""COMPUTED_VALUE"""),191975.0)</f>
        <v>191975</v>
      </c>
    </row>
    <row r="8383">
      <c r="A8383" t="str">
        <f t="shared" si="1"/>
        <v>kwt#1957</v>
      </c>
      <c r="B8383" t="str">
        <f>IFERROR(__xludf.DUMMYFUNCTION("""COMPUTED_VALUE"""),"kwt")</f>
        <v>kwt</v>
      </c>
      <c r="C8383" t="str">
        <f>IFERROR(__xludf.DUMMYFUNCTION("""COMPUTED_VALUE"""),"Kuwait")</f>
        <v>Kuwait</v>
      </c>
      <c r="D8383">
        <f>IFERROR(__xludf.DUMMYFUNCTION("""COMPUTED_VALUE"""),1957.0)</f>
        <v>1957</v>
      </c>
      <c r="E8383">
        <f>IFERROR(__xludf.DUMMYFUNCTION("""COMPUTED_VALUE"""),205065.0)</f>
        <v>205065</v>
      </c>
    </row>
    <row r="8384">
      <c r="A8384" t="str">
        <f t="shared" si="1"/>
        <v>kwt#1958</v>
      </c>
      <c r="B8384" t="str">
        <f>IFERROR(__xludf.DUMMYFUNCTION("""COMPUTED_VALUE"""),"kwt")</f>
        <v>kwt</v>
      </c>
      <c r="C8384" t="str">
        <f>IFERROR(__xludf.DUMMYFUNCTION("""COMPUTED_VALUE"""),"Kuwait")</f>
        <v>Kuwait</v>
      </c>
      <c r="D8384">
        <f>IFERROR(__xludf.DUMMYFUNCTION("""COMPUTED_VALUE"""),1958.0)</f>
        <v>1958</v>
      </c>
      <c r="E8384">
        <f>IFERROR(__xludf.DUMMYFUNCTION("""COMPUTED_VALUE"""),221911.0)</f>
        <v>221911</v>
      </c>
    </row>
    <row r="8385">
      <c r="A8385" t="str">
        <f t="shared" si="1"/>
        <v>kwt#1959</v>
      </c>
      <c r="B8385" t="str">
        <f>IFERROR(__xludf.DUMMYFUNCTION("""COMPUTED_VALUE"""),"kwt")</f>
        <v>kwt</v>
      </c>
      <c r="C8385" t="str">
        <f>IFERROR(__xludf.DUMMYFUNCTION("""COMPUTED_VALUE"""),"Kuwait")</f>
        <v>Kuwait</v>
      </c>
      <c r="D8385">
        <f>IFERROR(__xludf.DUMMYFUNCTION("""COMPUTED_VALUE"""),1959.0)</f>
        <v>1959</v>
      </c>
      <c r="E8385">
        <f>IFERROR(__xludf.DUMMYFUNCTION("""COMPUTED_VALUE"""),243235.0)</f>
        <v>243235</v>
      </c>
    </row>
    <row r="8386">
      <c r="A8386" t="str">
        <f t="shared" si="1"/>
        <v>kwt#1960</v>
      </c>
      <c r="B8386" t="str">
        <f>IFERROR(__xludf.DUMMYFUNCTION("""COMPUTED_VALUE"""),"kwt")</f>
        <v>kwt</v>
      </c>
      <c r="C8386" t="str">
        <f>IFERROR(__xludf.DUMMYFUNCTION("""COMPUTED_VALUE"""),"Kuwait")</f>
        <v>Kuwait</v>
      </c>
      <c r="D8386">
        <f>IFERROR(__xludf.DUMMYFUNCTION("""COMPUTED_VALUE"""),1960.0)</f>
        <v>1960</v>
      </c>
      <c r="E8386">
        <f>IFERROR(__xludf.DUMMYFUNCTION("""COMPUTED_VALUE"""),269618.0)</f>
        <v>269618</v>
      </c>
    </row>
    <row r="8387">
      <c r="A8387" t="str">
        <f t="shared" si="1"/>
        <v>kwt#1961</v>
      </c>
      <c r="B8387" t="str">
        <f>IFERROR(__xludf.DUMMYFUNCTION("""COMPUTED_VALUE"""),"kwt")</f>
        <v>kwt</v>
      </c>
      <c r="C8387" t="str">
        <f>IFERROR(__xludf.DUMMYFUNCTION("""COMPUTED_VALUE"""),"Kuwait")</f>
        <v>Kuwait</v>
      </c>
      <c r="D8387">
        <f>IFERROR(__xludf.DUMMYFUNCTION("""COMPUTED_VALUE"""),1961.0)</f>
        <v>1961</v>
      </c>
      <c r="E8387">
        <f>IFERROR(__xludf.DUMMYFUNCTION("""COMPUTED_VALUE"""),301336.0)</f>
        <v>301336</v>
      </c>
    </row>
    <row r="8388">
      <c r="A8388" t="str">
        <f t="shared" si="1"/>
        <v>kwt#1962</v>
      </c>
      <c r="B8388" t="str">
        <f>IFERROR(__xludf.DUMMYFUNCTION("""COMPUTED_VALUE"""),"kwt")</f>
        <v>kwt</v>
      </c>
      <c r="C8388" t="str">
        <f>IFERROR(__xludf.DUMMYFUNCTION("""COMPUTED_VALUE"""),"Kuwait")</f>
        <v>Kuwait</v>
      </c>
      <c r="D8388">
        <f>IFERROR(__xludf.DUMMYFUNCTION("""COMPUTED_VALUE"""),1962.0)</f>
        <v>1962</v>
      </c>
      <c r="E8388">
        <f>IFERROR(__xludf.DUMMYFUNCTION("""COMPUTED_VALUE"""),338296.0)</f>
        <v>338296</v>
      </c>
    </row>
    <row r="8389">
      <c r="A8389" t="str">
        <f t="shared" si="1"/>
        <v>kwt#1963</v>
      </c>
      <c r="B8389" t="str">
        <f>IFERROR(__xludf.DUMMYFUNCTION("""COMPUTED_VALUE"""),"kwt")</f>
        <v>kwt</v>
      </c>
      <c r="C8389" t="str">
        <f>IFERROR(__xludf.DUMMYFUNCTION("""COMPUTED_VALUE"""),"Kuwait")</f>
        <v>Kuwait</v>
      </c>
      <c r="D8389">
        <f>IFERROR(__xludf.DUMMYFUNCTION("""COMPUTED_VALUE"""),1963.0)</f>
        <v>1963</v>
      </c>
      <c r="E8389">
        <f>IFERROR(__xludf.DUMMYFUNCTION("""COMPUTED_VALUE"""),379891.0)</f>
        <v>379891</v>
      </c>
    </row>
    <row r="8390">
      <c r="A8390" t="str">
        <f t="shared" si="1"/>
        <v>kwt#1964</v>
      </c>
      <c r="B8390" t="str">
        <f>IFERROR(__xludf.DUMMYFUNCTION("""COMPUTED_VALUE"""),"kwt")</f>
        <v>kwt</v>
      </c>
      <c r="C8390" t="str">
        <f>IFERROR(__xludf.DUMMYFUNCTION("""COMPUTED_VALUE"""),"Kuwait")</f>
        <v>Kuwait</v>
      </c>
      <c r="D8390">
        <f>IFERROR(__xludf.DUMMYFUNCTION("""COMPUTED_VALUE"""),1964.0)</f>
        <v>1964</v>
      </c>
      <c r="E8390">
        <f>IFERROR(__xludf.DUMMYFUNCTION("""COMPUTED_VALUE"""),425235.0)</f>
        <v>425235</v>
      </c>
    </row>
    <row r="8391">
      <c r="A8391" t="str">
        <f t="shared" si="1"/>
        <v>kwt#1965</v>
      </c>
      <c r="B8391" t="str">
        <f>IFERROR(__xludf.DUMMYFUNCTION("""COMPUTED_VALUE"""),"kwt")</f>
        <v>kwt</v>
      </c>
      <c r="C8391" t="str">
        <f>IFERROR(__xludf.DUMMYFUNCTION("""COMPUTED_VALUE"""),"Kuwait")</f>
        <v>Kuwait</v>
      </c>
      <c r="D8391">
        <f>IFERROR(__xludf.DUMMYFUNCTION("""COMPUTED_VALUE"""),1965.0)</f>
        <v>1965</v>
      </c>
      <c r="E8391">
        <f>IFERROR(__xludf.DUMMYFUNCTION("""COMPUTED_VALUE"""),473554.0)</f>
        <v>473554</v>
      </c>
    </row>
    <row r="8392">
      <c r="A8392" t="str">
        <f t="shared" si="1"/>
        <v>kwt#1966</v>
      </c>
      <c r="B8392" t="str">
        <f>IFERROR(__xludf.DUMMYFUNCTION("""COMPUTED_VALUE"""),"kwt")</f>
        <v>kwt</v>
      </c>
      <c r="C8392" t="str">
        <f>IFERROR(__xludf.DUMMYFUNCTION("""COMPUTED_VALUE"""),"Kuwait")</f>
        <v>Kuwait</v>
      </c>
      <c r="D8392">
        <f>IFERROR(__xludf.DUMMYFUNCTION("""COMPUTED_VALUE"""),1966.0)</f>
        <v>1966</v>
      </c>
      <c r="E8392">
        <f>IFERROR(__xludf.DUMMYFUNCTION("""COMPUTED_VALUE"""),524856.0)</f>
        <v>524856</v>
      </c>
    </row>
    <row r="8393">
      <c r="A8393" t="str">
        <f t="shared" si="1"/>
        <v>kwt#1967</v>
      </c>
      <c r="B8393" t="str">
        <f>IFERROR(__xludf.DUMMYFUNCTION("""COMPUTED_VALUE"""),"kwt")</f>
        <v>kwt</v>
      </c>
      <c r="C8393" t="str">
        <f>IFERROR(__xludf.DUMMYFUNCTION("""COMPUTED_VALUE"""),"Kuwait")</f>
        <v>Kuwait</v>
      </c>
      <c r="D8393">
        <f>IFERROR(__xludf.DUMMYFUNCTION("""COMPUTED_VALUE"""),1967.0)</f>
        <v>1967</v>
      </c>
      <c r="E8393">
        <f>IFERROR(__xludf.DUMMYFUNCTION("""COMPUTED_VALUE"""),579007.0)</f>
        <v>579007</v>
      </c>
    </row>
    <row r="8394">
      <c r="A8394" t="str">
        <f t="shared" si="1"/>
        <v>kwt#1968</v>
      </c>
      <c r="B8394" t="str">
        <f>IFERROR(__xludf.DUMMYFUNCTION("""COMPUTED_VALUE"""),"kwt")</f>
        <v>kwt</v>
      </c>
      <c r="C8394" t="str">
        <f>IFERROR(__xludf.DUMMYFUNCTION("""COMPUTED_VALUE"""),"Kuwait")</f>
        <v>Kuwait</v>
      </c>
      <c r="D8394">
        <f>IFERROR(__xludf.DUMMYFUNCTION("""COMPUTED_VALUE"""),1968.0)</f>
        <v>1968</v>
      </c>
      <c r="E8394">
        <f>IFERROR(__xludf.DUMMYFUNCTION("""COMPUTED_VALUE"""),634897.0)</f>
        <v>634897</v>
      </c>
    </row>
    <row r="8395">
      <c r="A8395" t="str">
        <f t="shared" si="1"/>
        <v>kwt#1969</v>
      </c>
      <c r="B8395" t="str">
        <f>IFERROR(__xludf.DUMMYFUNCTION("""COMPUTED_VALUE"""),"kwt")</f>
        <v>kwt</v>
      </c>
      <c r="C8395" t="str">
        <f>IFERROR(__xludf.DUMMYFUNCTION("""COMPUTED_VALUE"""),"Kuwait")</f>
        <v>Kuwait</v>
      </c>
      <c r="D8395">
        <f>IFERROR(__xludf.DUMMYFUNCTION("""COMPUTED_VALUE"""),1969.0)</f>
        <v>1969</v>
      </c>
      <c r="E8395">
        <f>IFERROR(__xludf.DUMMYFUNCTION("""COMPUTED_VALUE"""),691129.0)</f>
        <v>691129</v>
      </c>
    </row>
    <row r="8396">
      <c r="A8396" t="str">
        <f t="shared" si="1"/>
        <v>kwt#1970</v>
      </c>
      <c r="B8396" t="str">
        <f>IFERROR(__xludf.DUMMYFUNCTION("""COMPUTED_VALUE"""),"kwt")</f>
        <v>kwt</v>
      </c>
      <c r="C8396" t="str">
        <f>IFERROR(__xludf.DUMMYFUNCTION("""COMPUTED_VALUE"""),"Kuwait")</f>
        <v>Kuwait</v>
      </c>
      <c r="D8396">
        <f>IFERROR(__xludf.DUMMYFUNCTION("""COMPUTED_VALUE"""),1970.0)</f>
        <v>1970</v>
      </c>
      <c r="E8396">
        <f>IFERROR(__xludf.DUMMYFUNCTION("""COMPUTED_VALUE"""),746767.0)</f>
        <v>746767</v>
      </c>
    </row>
    <row r="8397">
      <c r="A8397" t="str">
        <f t="shared" si="1"/>
        <v>kwt#1971</v>
      </c>
      <c r="B8397" t="str">
        <f>IFERROR(__xludf.DUMMYFUNCTION("""COMPUTED_VALUE"""),"kwt")</f>
        <v>kwt</v>
      </c>
      <c r="C8397" t="str">
        <f>IFERROR(__xludf.DUMMYFUNCTION("""COMPUTED_VALUE"""),"Kuwait")</f>
        <v>Kuwait</v>
      </c>
      <c r="D8397">
        <f>IFERROR(__xludf.DUMMYFUNCTION("""COMPUTED_VALUE"""),1971.0)</f>
        <v>1971</v>
      </c>
      <c r="E8397">
        <f>IFERROR(__xludf.DUMMYFUNCTION("""COMPUTED_VALUE"""),801142.0)</f>
        <v>801142</v>
      </c>
    </row>
    <row r="8398">
      <c r="A8398" t="str">
        <f t="shared" si="1"/>
        <v>kwt#1972</v>
      </c>
      <c r="B8398" t="str">
        <f>IFERROR(__xludf.DUMMYFUNCTION("""COMPUTED_VALUE"""),"kwt")</f>
        <v>kwt</v>
      </c>
      <c r="C8398" t="str">
        <f>IFERROR(__xludf.DUMMYFUNCTION("""COMPUTED_VALUE"""),"Kuwait")</f>
        <v>Kuwait</v>
      </c>
      <c r="D8398">
        <f>IFERROR(__xludf.DUMMYFUNCTION("""COMPUTED_VALUE"""),1972.0)</f>
        <v>1972</v>
      </c>
      <c r="E8398">
        <f>IFERROR(__xludf.DUMMYFUNCTION("""COMPUTED_VALUE"""),854604.0)</f>
        <v>854604</v>
      </c>
    </row>
    <row r="8399">
      <c r="A8399" t="str">
        <f t="shared" si="1"/>
        <v>kwt#1973</v>
      </c>
      <c r="B8399" t="str">
        <f>IFERROR(__xludf.DUMMYFUNCTION("""COMPUTED_VALUE"""),"kwt")</f>
        <v>kwt</v>
      </c>
      <c r="C8399" t="str">
        <f>IFERROR(__xludf.DUMMYFUNCTION("""COMPUTED_VALUE"""),"Kuwait")</f>
        <v>Kuwait</v>
      </c>
      <c r="D8399">
        <f>IFERROR(__xludf.DUMMYFUNCTION("""COMPUTED_VALUE"""),1973.0)</f>
        <v>1973</v>
      </c>
      <c r="E8399">
        <f>IFERROR(__xludf.DUMMYFUNCTION("""COMPUTED_VALUE"""),908520.0)</f>
        <v>908520</v>
      </c>
    </row>
    <row r="8400">
      <c r="A8400" t="str">
        <f t="shared" si="1"/>
        <v>kwt#1974</v>
      </c>
      <c r="B8400" t="str">
        <f>IFERROR(__xludf.DUMMYFUNCTION("""COMPUTED_VALUE"""),"kwt")</f>
        <v>kwt</v>
      </c>
      <c r="C8400" t="str">
        <f>IFERROR(__xludf.DUMMYFUNCTION("""COMPUTED_VALUE"""),"Kuwait")</f>
        <v>Kuwait</v>
      </c>
      <c r="D8400">
        <f>IFERROR(__xludf.DUMMYFUNCTION("""COMPUTED_VALUE"""),1974.0)</f>
        <v>1974</v>
      </c>
      <c r="E8400">
        <f>IFERROR(__xludf.DUMMYFUNCTION("""COMPUTED_VALUE"""),964834.0)</f>
        <v>964834</v>
      </c>
    </row>
    <row r="8401">
      <c r="A8401" t="str">
        <f t="shared" si="1"/>
        <v>kwt#1975</v>
      </c>
      <c r="B8401" t="str">
        <f>IFERROR(__xludf.DUMMYFUNCTION("""COMPUTED_VALUE"""),"kwt")</f>
        <v>kwt</v>
      </c>
      <c r="C8401" t="str">
        <f>IFERROR(__xludf.DUMMYFUNCTION("""COMPUTED_VALUE"""),"Kuwait")</f>
        <v>Kuwait</v>
      </c>
      <c r="D8401">
        <f>IFERROR(__xludf.DUMMYFUNCTION("""COMPUTED_VALUE"""),1975.0)</f>
        <v>1975</v>
      </c>
      <c r="E8401">
        <f>IFERROR(__xludf.DUMMYFUNCTION("""COMPUTED_VALUE"""),1024940.0)</f>
        <v>1024940</v>
      </c>
    </row>
    <row r="8402">
      <c r="A8402" t="str">
        <f t="shared" si="1"/>
        <v>kwt#1976</v>
      </c>
      <c r="B8402" t="str">
        <f>IFERROR(__xludf.DUMMYFUNCTION("""COMPUTED_VALUE"""),"kwt")</f>
        <v>kwt</v>
      </c>
      <c r="C8402" t="str">
        <f>IFERROR(__xludf.DUMMYFUNCTION("""COMPUTED_VALUE"""),"Kuwait")</f>
        <v>Kuwait</v>
      </c>
      <c r="D8402">
        <f>IFERROR(__xludf.DUMMYFUNCTION("""COMPUTED_VALUE"""),1976.0)</f>
        <v>1976</v>
      </c>
      <c r="E8402">
        <f>IFERROR(__xludf.DUMMYFUNCTION("""COMPUTED_VALUE"""),1089209.0)</f>
        <v>1089209</v>
      </c>
    </row>
    <row r="8403">
      <c r="A8403" t="str">
        <f t="shared" si="1"/>
        <v>kwt#1977</v>
      </c>
      <c r="B8403" t="str">
        <f>IFERROR(__xludf.DUMMYFUNCTION("""COMPUTED_VALUE"""),"kwt")</f>
        <v>kwt</v>
      </c>
      <c r="C8403" t="str">
        <f>IFERROR(__xludf.DUMMYFUNCTION("""COMPUTED_VALUE"""),"Kuwait")</f>
        <v>Kuwait</v>
      </c>
      <c r="D8403">
        <f>IFERROR(__xludf.DUMMYFUNCTION("""COMPUTED_VALUE"""),1977.0)</f>
        <v>1977</v>
      </c>
      <c r="E8403">
        <f>IFERROR(__xludf.DUMMYFUNCTION("""COMPUTED_VALUE"""),1157033.0)</f>
        <v>1157033</v>
      </c>
    </row>
    <row r="8404">
      <c r="A8404" t="str">
        <f t="shared" si="1"/>
        <v>kwt#1978</v>
      </c>
      <c r="B8404" t="str">
        <f>IFERROR(__xludf.DUMMYFUNCTION("""COMPUTED_VALUE"""),"kwt")</f>
        <v>kwt</v>
      </c>
      <c r="C8404" t="str">
        <f>IFERROR(__xludf.DUMMYFUNCTION("""COMPUTED_VALUE"""),"Kuwait")</f>
        <v>Kuwait</v>
      </c>
      <c r="D8404">
        <f>IFERROR(__xludf.DUMMYFUNCTION("""COMPUTED_VALUE"""),1978.0)</f>
        <v>1978</v>
      </c>
      <c r="E8404">
        <f>IFERROR(__xludf.DUMMYFUNCTION("""COMPUTED_VALUE"""),1227601.0)</f>
        <v>1227601</v>
      </c>
    </row>
    <row r="8405">
      <c r="A8405" t="str">
        <f t="shared" si="1"/>
        <v>kwt#1979</v>
      </c>
      <c r="B8405" t="str">
        <f>IFERROR(__xludf.DUMMYFUNCTION("""COMPUTED_VALUE"""),"kwt")</f>
        <v>kwt</v>
      </c>
      <c r="C8405" t="str">
        <f>IFERROR(__xludf.DUMMYFUNCTION("""COMPUTED_VALUE"""),"Kuwait")</f>
        <v>Kuwait</v>
      </c>
      <c r="D8405">
        <f>IFERROR(__xludf.DUMMYFUNCTION("""COMPUTED_VALUE"""),1979.0)</f>
        <v>1979</v>
      </c>
      <c r="E8405">
        <f>IFERROR(__xludf.DUMMYFUNCTION("""COMPUTED_VALUE"""),1299683.0)</f>
        <v>1299683</v>
      </c>
    </row>
    <row r="8406">
      <c r="A8406" t="str">
        <f t="shared" si="1"/>
        <v>kwt#1980</v>
      </c>
      <c r="B8406" t="str">
        <f>IFERROR(__xludf.DUMMYFUNCTION("""COMPUTED_VALUE"""),"kwt")</f>
        <v>kwt</v>
      </c>
      <c r="C8406" t="str">
        <f>IFERROR(__xludf.DUMMYFUNCTION("""COMPUTED_VALUE"""),"Kuwait")</f>
        <v>Kuwait</v>
      </c>
      <c r="D8406">
        <f>IFERROR(__xludf.DUMMYFUNCTION("""COMPUTED_VALUE"""),1980.0)</f>
        <v>1980</v>
      </c>
      <c r="E8406">
        <f>IFERROR(__xludf.DUMMYFUNCTION("""COMPUTED_VALUE"""),1372318.0)</f>
        <v>1372318</v>
      </c>
    </row>
    <row r="8407">
      <c r="A8407" t="str">
        <f t="shared" si="1"/>
        <v>kwt#1981</v>
      </c>
      <c r="B8407" t="str">
        <f>IFERROR(__xludf.DUMMYFUNCTION("""COMPUTED_VALUE"""),"kwt")</f>
        <v>kwt</v>
      </c>
      <c r="C8407" t="str">
        <f>IFERROR(__xludf.DUMMYFUNCTION("""COMPUTED_VALUE"""),"Kuwait")</f>
        <v>Kuwait</v>
      </c>
      <c r="D8407">
        <f>IFERROR(__xludf.DUMMYFUNCTION("""COMPUTED_VALUE"""),1981.0)</f>
        <v>1981</v>
      </c>
      <c r="E8407">
        <f>IFERROR(__xludf.DUMMYFUNCTION("""COMPUTED_VALUE"""),1442991.0)</f>
        <v>1442991</v>
      </c>
    </row>
    <row r="8408">
      <c r="A8408" t="str">
        <f t="shared" si="1"/>
        <v>kwt#1982</v>
      </c>
      <c r="B8408" t="str">
        <f>IFERROR(__xludf.DUMMYFUNCTION("""COMPUTED_VALUE"""),"kwt")</f>
        <v>kwt</v>
      </c>
      <c r="C8408" t="str">
        <f>IFERROR(__xludf.DUMMYFUNCTION("""COMPUTED_VALUE"""),"Kuwait")</f>
        <v>Kuwait</v>
      </c>
      <c r="D8408">
        <f>IFERROR(__xludf.DUMMYFUNCTION("""COMPUTED_VALUE"""),1982.0)</f>
        <v>1982</v>
      </c>
      <c r="E8408">
        <f>IFERROR(__xludf.DUMMYFUNCTION("""COMPUTED_VALUE"""),1511314.0)</f>
        <v>1511314</v>
      </c>
    </row>
    <row r="8409">
      <c r="A8409" t="str">
        <f t="shared" si="1"/>
        <v>kwt#1983</v>
      </c>
      <c r="B8409" t="str">
        <f>IFERROR(__xludf.DUMMYFUNCTION("""COMPUTED_VALUE"""),"kwt")</f>
        <v>kwt</v>
      </c>
      <c r="C8409" t="str">
        <f>IFERROR(__xludf.DUMMYFUNCTION("""COMPUTED_VALUE"""),"Kuwait")</f>
        <v>Kuwait</v>
      </c>
      <c r="D8409">
        <f>IFERROR(__xludf.DUMMYFUNCTION("""COMPUTED_VALUE"""),1983.0)</f>
        <v>1983</v>
      </c>
      <c r="E8409">
        <f>IFERROR(__xludf.DUMMYFUNCTION("""COMPUTED_VALUE"""),1580638.0)</f>
        <v>1580638</v>
      </c>
    </row>
    <row r="8410">
      <c r="A8410" t="str">
        <f t="shared" si="1"/>
        <v>kwt#1984</v>
      </c>
      <c r="B8410" t="str">
        <f>IFERROR(__xludf.DUMMYFUNCTION("""COMPUTED_VALUE"""),"kwt")</f>
        <v>kwt</v>
      </c>
      <c r="C8410" t="str">
        <f>IFERROR(__xludf.DUMMYFUNCTION("""COMPUTED_VALUE"""),"Kuwait")</f>
        <v>Kuwait</v>
      </c>
      <c r="D8410">
        <f>IFERROR(__xludf.DUMMYFUNCTION("""COMPUTED_VALUE"""),1984.0)</f>
        <v>1984</v>
      </c>
      <c r="E8410">
        <f>IFERROR(__xludf.DUMMYFUNCTION("""COMPUTED_VALUE"""),1655833.0)</f>
        <v>1655833</v>
      </c>
    </row>
    <row r="8411">
      <c r="A8411" t="str">
        <f t="shared" si="1"/>
        <v>kwt#1985</v>
      </c>
      <c r="B8411" t="str">
        <f>IFERROR(__xludf.DUMMYFUNCTION("""COMPUTED_VALUE"""),"kwt")</f>
        <v>kwt</v>
      </c>
      <c r="C8411" t="str">
        <f>IFERROR(__xludf.DUMMYFUNCTION("""COMPUTED_VALUE"""),"Kuwait")</f>
        <v>Kuwait</v>
      </c>
      <c r="D8411">
        <f>IFERROR(__xludf.DUMMYFUNCTION("""COMPUTED_VALUE"""),1985.0)</f>
        <v>1985</v>
      </c>
      <c r="E8411">
        <f>IFERROR(__xludf.DUMMYFUNCTION("""COMPUTED_VALUE"""),1738994.0)</f>
        <v>1738994</v>
      </c>
    </row>
    <row r="8412">
      <c r="A8412" t="str">
        <f t="shared" si="1"/>
        <v>kwt#1986</v>
      </c>
      <c r="B8412" t="str">
        <f>IFERROR(__xludf.DUMMYFUNCTION("""COMPUTED_VALUE"""),"kwt")</f>
        <v>kwt</v>
      </c>
      <c r="C8412" t="str">
        <f>IFERROR(__xludf.DUMMYFUNCTION("""COMPUTED_VALUE"""),"Kuwait")</f>
        <v>Kuwait</v>
      </c>
      <c r="D8412">
        <f>IFERROR(__xludf.DUMMYFUNCTION("""COMPUTED_VALUE"""),1986.0)</f>
        <v>1986</v>
      </c>
      <c r="E8412">
        <f>IFERROR(__xludf.DUMMYFUNCTION("""COMPUTED_VALUE"""),1836105.0)</f>
        <v>1836105</v>
      </c>
    </row>
    <row r="8413">
      <c r="A8413" t="str">
        <f t="shared" si="1"/>
        <v>kwt#1987</v>
      </c>
      <c r="B8413" t="str">
        <f>IFERROR(__xludf.DUMMYFUNCTION("""COMPUTED_VALUE"""),"kwt")</f>
        <v>kwt</v>
      </c>
      <c r="C8413" t="str">
        <f>IFERROR(__xludf.DUMMYFUNCTION("""COMPUTED_VALUE"""),"Kuwait")</f>
        <v>Kuwait</v>
      </c>
      <c r="D8413">
        <f>IFERROR(__xludf.DUMMYFUNCTION("""COMPUTED_VALUE"""),1987.0)</f>
        <v>1987</v>
      </c>
      <c r="E8413">
        <f>IFERROR(__xludf.DUMMYFUNCTION("""COMPUTED_VALUE"""),1942810.0)</f>
        <v>1942810</v>
      </c>
    </row>
    <row r="8414">
      <c r="A8414" t="str">
        <f t="shared" si="1"/>
        <v>kwt#1988</v>
      </c>
      <c r="B8414" t="str">
        <f>IFERROR(__xludf.DUMMYFUNCTION("""COMPUTED_VALUE"""),"kwt")</f>
        <v>kwt</v>
      </c>
      <c r="C8414" t="str">
        <f>IFERROR(__xludf.DUMMYFUNCTION("""COMPUTED_VALUE"""),"Kuwait")</f>
        <v>Kuwait</v>
      </c>
      <c r="D8414">
        <f>IFERROR(__xludf.DUMMYFUNCTION("""COMPUTED_VALUE"""),1988.0)</f>
        <v>1988</v>
      </c>
      <c r="E8414">
        <f>IFERROR(__xludf.DUMMYFUNCTION("""COMPUTED_VALUE"""),2038885.0)</f>
        <v>2038885</v>
      </c>
    </row>
    <row r="8415">
      <c r="A8415" t="str">
        <f t="shared" si="1"/>
        <v>kwt#1989</v>
      </c>
      <c r="B8415" t="str">
        <f>IFERROR(__xludf.DUMMYFUNCTION("""COMPUTED_VALUE"""),"kwt")</f>
        <v>kwt</v>
      </c>
      <c r="C8415" t="str">
        <f>IFERROR(__xludf.DUMMYFUNCTION("""COMPUTED_VALUE"""),"Kuwait")</f>
        <v>Kuwait</v>
      </c>
      <c r="D8415">
        <f>IFERROR(__xludf.DUMMYFUNCTION("""COMPUTED_VALUE"""),1989.0)</f>
        <v>1989</v>
      </c>
      <c r="E8415">
        <f>IFERROR(__xludf.DUMMYFUNCTION("""COMPUTED_VALUE"""),2096932.0)</f>
        <v>2096932</v>
      </c>
    </row>
    <row r="8416">
      <c r="A8416" t="str">
        <f t="shared" si="1"/>
        <v>kwt#1990</v>
      </c>
      <c r="B8416" t="str">
        <f>IFERROR(__xludf.DUMMYFUNCTION("""COMPUTED_VALUE"""),"kwt")</f>
        <v>kwt</v>
      </c>
      <c r="C8416" t="str">
        <f>IFERROR(__xludf.DUMMYFUNCTION("""COMPUTED_VALUE"""),"Kuwait")</f>
        <v>Kuwait</v>
      </c>
      <c r="D8416">
        <f>IFERROR(__xludf.DUMMYFUNCTION("""COMPUTED_VALUE"""),1990.0)</f>
        <v>1990</v>
      </c>
      <c r="E8416">
        <f>IFERROR(__xludf.DUMMYFUNCTION("""COMPUTED_VALUE"""),2099615.0)</f>
        <v>2099615</v>
      </c>
    </row>
    <row r="8417">
      <c r="A8417" t="str">
        <f t="shared" si="1"/>
        <v>kwt#1991</v>
      </c>
      <c r="B8417" t="str">
        <f>IFERROR(__xludf.DUMMYFUNCTION("""COMPUTED_VALUE"""),"kwt")</f>
        <v>kwt</v>
      </c>
      <c r="C8417" t="str">
        <f>IFERROR(__xludf.DUMMYFUNCTION("""COMPUTED_VALUE"""),"Kuwait")</f>
        <v>Kuwait</v>
      </c>
      <c r="D8417">
        <f>IFERROR(__xludf.DUMMYFUNCTION("""COMPUTED_VALUE"""),1991.0)</f>
        <v>1991</v>
      </c>
      <c r="E8417">
        <f>IFERROR(__xludf.DUMMYFUNCTION("""COMPUTED_VALUE"""),2035661.0)</f>
        <v>2035661</v>
      </c>
    </row>
    <row r="8418">
      <c r="A8418" t="str">
        <f t="shared" si="1"/>
        <v>kwt#1992</v>
      </c>
      <c r="B8418" t="str">
        <f>IFERROR(__xludf.DUMMYFUNCTION("""COMPUTED_VALUE"""),"kwt")</f>
        <v>kwt</v>
      </c>
      <c r="C8418" t="str">
        <f>IFERROR(__xludf.DUMMYFUNCTION("""COMPUTED_VALUE"""),"Kuwait")</f>
        <v>Kuwait</v>
      </c>
      <c r="D8418">
        <f>IFERROR(__xludf.DUMMYFUNCTION("""COMPUTED_VALUE"""),1992.0)</f>
        <v>1992</v>
      </c>
      <c r="E8418">
        <f>IFERROR(__xludf.DUMMYFUNCTION("""COMPUTED_VALUE"""),1916877.0)</f>
        <v>1916877</v>
      </c>
    </row>
    <row r="8419">
      <c r="A8419" t="str">
        <f t="shared" si="1"/>
        <v>kwt#1993</v>
      </c>
      <c r="B8419" t="str">
        <f>IFERROR(__xludf.DUMMYFUNCTION("""COMPUTED_VALUE"""),"kwt")</f>
        <v>kwt</v>
      </c>
      <c r="C8419" t="str">
        <f>IFERROR(__xludf.DUMMYFUNCTION("""COMPUTED_VALUE"""),"Kuwait")</f>
        <v>Kuwait</v>
      </c>
      <c r="D8419">
        <f>IFERROR(__xludf.DUMMYFUNCTION("""COMPUTED_VALUE"""),1993.0)</f>
        <v>1993</v>
      </c>
      <c r="E8419">
        <f>IFERROR(__xludf.DUMMYFUNCTION("""COMPUTED_VALUE"""),1777137.0)</f>
        <v>1777137</v>
      </c>
    </row>
    <row r="8420">
      <c r="A8420" t="str">
        <f t="shared" si="1"/>
        <v>kwt#1994</v>
      </c>
      <c r="B8420" t="str">
        <f>IFERROR(__xludf.DUMMYFUNCTION("""COMPUTED_VALUE"""),"kwt")</f>
        <v>kwt</v>
      </c>
      <c r="C8420" t="str">
        <f>IFERROR(__xludf.DUMMYFUNCTION("""COMPUTED_VALUE"""),"Kuwait")</f>
        <v>Kuwait</v>
      </c>
      <c r="D8420">
        <f>IFERROR(__xludf.DUMMYFUNCTION("""COMPUTED_VALUE"""),1994.0)</f>
        <v>1994</v>
      </c>
      <c r="E8420">
        <f>IFERROR(__xludf.DUMMYFUNCTION("""COMPUTED_VALUE"""),1663932.0)</f>
        <v>1663932</v>
      </c>
    </row>
    <row r="8421">
      <c r="A8421" t="str">
        <f t="shared" si="1"/>
        <v>kwt#1995</v>
      </c>
      <c r="B8421" t="str">
        <f>IFERROR(__xludf.DUMMYFUNCTION("""COMPUTED_VALUE"""),"kwt")</f>
        <v>kwt</v>
      </c>
      <c r="C8421" t="str">
        <f>IFERROR(__xludf.DUMMYFUNCTION("""COMPUTED_VALUE"""),"Kuwait")</f>
        <v>Kuwait</v>
      </c>
      <c r="D8421">
        <f>IFERROR(__xludf.DUMMYFUNCTION("""COMPUTED_VALUE"""),1995.0)</f>
        <v>1995</v>
      </c>
      <c r="E8421">
        <f>IFERROR(__xludf.DUMMYFUNCTION("""COMPUTED_VALUE"""),1610651.0)</f>
        <v>1610651</v>
      </c>
    </row>
    <row r="8422">
      <c r="A8422" t="str">
        <f t="shared" si="1"/>
        <v>kwt#1996</v>
      </c>
      <c r="B8422" t="str">
        <f>IFERROR(__xludf.DUMMYFUNCTION("""COMPUTED_VALUE"""),"kwt")</f>
        <v>kwt</v>
      </c>
      <c r="C8422" t="str">
        <f>IFERROR(__xludf.DUMMYFUNCTION("""COMPUTED_VALUE"""),"Kuwait")</f>
        <v>Kuwait</v>
      </c>
      <c r="D8422">
        <f>IFERROR(__xludf.DUMMYFUNCTION("""COMPUTED_VALUE"""),1996.0)</f>
        <v>1996</v>
      </c>
      <c r="E8422">
        <f>IFERROR(__xludf.DUMMYFUNCTION("""COMPUTED_VALUE"""),1631740.0)</f>
        <v>1631740</v>
      </c>
    </row>
    <row r="8423">
      <c r="A8423" t="str">
        <f t="shared" si="1"/>
        <v>kwt#1997</v>
      </c>
      <c r="B8423" t="str">
        <f>IFERROR(__xludf.DUMMYFUNCTION("""COMPUTED_VALUE"""),"kwt")</f>
        <v>kwt</v>
      </c>
      <c r="C8423" t="str">
        <f>IFERROR(__xludf.DUMMYFUNCTION("""COMPUTED_VALUE"""),"Kuwait")</f>
        <v>Kuwait</v>
      </c>
      <c r="D8423">
        <f>IFERROR(__xludf.DUMMYFUNCTION("""COMPUTED_VALUE"""),1997.0)</f>
        <v>1997</v>
      </c>
      <c r="E8423">
        <f>IFERROR(__xludf.DUMMYFUNCTION("""COMPUTED_VALUE"""),1715314.0)</f>
        <v>1715314</v>
      </c>
    </row>
    <row r="8424">
      <c r="A8424" t="str">
        <f t="shared" si="1"/>
        <v>kwt#1998</v>
      </c>
      <c r="B8424" t="str">
        <f>IFERROR(__xludf.DUMMYFUNCTION("""COMPUTED_VALUE"""),"kwt")</f>
        <v>kwt</v>
      </c>
      <c r="C8424" t="str">
        <f>IFERROR(__xludf.DUMMYFUNCTION("""COMPUTED_VALUE"""),"Kuwait")</f>
        <v>Kuwait</v>
      </c>
      <c r="D8424">
        <f>IFERROR(__xludf.DUMMYFUNCTION("""COMPUTED_VALUE"""),1998.0)</f>
        <v>1998</v>
      </c>
      <c r="E8424">
        <f>IFERROR(__xludf.DUMMYFUNCTION("""COMPUTED_VALUE"""),1836353.0)</f>
        <v>1836353</v>
      </c>
    </row>
    <row r="8425">
      <c r="A8425" t="str">
        <f t="shared" si="1"/>
        <v>kwt#1999</v>
      </c>
      <c r="B8425" t="str">
        <f>IFERROR(__xludf.DUMMYFUNCTION("""COMPUTED_VALUE"""),"kwt")</f>
        <v>kwt</v>
      </c>
      <c r="C8425" t="str">
        <f>IFERROR(__xludf.DUMMYFUNCTION("""COMPUTED_VALUE"""),"Kuwait")</f>
        <v>Kuwait</v>
      </c>
      <c r="D8425">
        <f>IFERROR(__xludf.DUMMYFUNCTION("""COMPUTED_VALUE"""),1999.0)</f>
        <v>1999</v>
      </c>
      <c r="E8425">
        <f>IFERROR(__xludf.DUMMYFUNCTION("""COMPUTED_VALUE"""),1957066.0)</f>
        <v>1957066</v>
      </c>
    </row>
    <row r="8426">
      <c r="A8426" t="str">
        <f t="shared" si="1"/>
        <v>kwt#2000</v>
      </c>
      <c r="B8426" t="str">
        <f>IFERROR(__xludf.DUMMYFUNCTION("""COMPUTED_VALUE"""),"kwt")</f>
        <v>kwt</v>
      </c>
      <c r="C8426" t="str">
        <f>IFERROR(__xludf.DUMMYFUNCTION("""COMPUTED_VALUE"""),"Kuwait")</f>
        <v>Kuwait</v>
      </c>
      <c r="D8426">
        <f>IFERROR(__xludf.DUMMYFUNCTION("""COMPUTED_VALUE"""),2000.0)</f>
        <v>2000</v>
      </c>
      <c r="E8426">
        <f>IFERROR(__xludf.DUMMYFUNCTION("""COMPUTED_VALUE"""),2050741.0)</f>
        <v>2050741</v>
      </c>
    </row>
    <row r="8427">
      <c r="A8427" t="str">
        <f t="shared" si="1"/>
        <v>kwt#2001</v>
      </c>
      <c r="B8427" t="str">
        <f>IFERROR(__xludf.DUMMYFUNCTION("""COMPUTED_VALUE"""),"kwt")</f>
        <v>kwt</v>
      </c>
      <c r="C8427" t="str">
        <f>IFERROR(__xludf.DUMMYFUNCTION("""COMPUTED_VALUE"""),"Kuwait")</f>
        <v>Kuwait</v>
      </c>
      <c r="D8427">
        <f>IFERROR(__xludf.DUMMYFUNCTION("""COMPUTED_VALUE"""),2001.0)</f>
        <v>2001</v>
      </c>
      <c r="E8427">
        <f>IFERROR(__xludf.DUMMYFUNCTION("""COMPUTED_VALUE"""),2109355.0)</f>
        <v>2109355</v>
      </c>
    </row>
    <row r="8428">
      <c r="A8428" t="str">
        <f t="shared" si="1"/>
        <v>kwt#2002</v>
      </c>
      <c r="B8428" t="str">
        <f>IFERROR(__xludf.DUMMYFUNCTION("""COMPUTED_VALUE"""),"kwt")</f>
        <v>kwt</v>
      </c>
      <c r="C8428" t="str">
        <f>IFERROR(__xludf.DUMMYFUNCTION("""COMPUTED_VALUE"""),"Kuwait")</f>
        <v>Kuwait</v>
      </c>
      <c r="D8428">
        <f>IFERROR(__xludf.DUMMYFUNCTION("""COMPUTED_VALUE"""),2002.0)</f>
        <v>2002</v>
      </c>
      <c r="E8428">
        <f>IFERROR(__xludf.DUMMYFUNCTION("""COMPUTED_VALUE"""),2143833.0)</f>
        <v>2143833</v>
      </c>
    </row>
    <row r="8429">
      <c r="A8429" t="str">
        <f t="shared" si="1"/>
        <v>kwt#2003</v>
      </c>
      <c r="B8429" t="str">
        <f>IFERROR(__xludf.DUMMYFUNCTION("""COMPUTED_VALUE"""),"kwt")</f>
        <v>kwt</v>
      </c>
      <c r="C8429" t="str">
        <f>IFERROR(__xludf.DUMMYFUNCTION("""COMPUTED_VALUE"""),"Kuwait")</f>
        <v>Kuwait</v>
      </c>
      <c r="D8429">
        <f>IFERROR(__xludf.DUMMYFUNCTION("""COMPUTED_VALUE"""),2003.0)</f>
        <v>2003</v>
      </c>
      <c r="E8429">
        <f>IFERROR(__xludf.DUMMYFUNCTION("""COMPUTED_VALUE"""),2169118.0)</f>
        <v>2169118</v>
      </c>
    </row>
    <row r="8430">
      <c r="A8430" t="str">
        <f t="shared" si="1"/>
        <v>kwt#2004</v>
      </c>
      <c r="B8430" t="str">
        <f>IFERROR(__xludf.DUMMYFUNCTION("""COMPUTED_VALUE"""),"kwt")</f>
        <v>kwt</v>
      </c>
      <c r="C8430" t="str">
        <f>IFERROR(__xludf.DUMMYFUNCTION("""COMPUTED_VALUE"""),"Kuwait")</f>
        <v>Kuwait</v>
      </c>
      <c r="D8430">
        <f>IFERROR(__xludf.DUMMYFUNCTION("""COMPUTED_VALUE"""),2004.0)</f>
        <v>2004</v>
      </c>
      <c r="E8430">
        <f>IFERROR(__xludf.DUMMYFUNCTION("""COMPUTED_VALUE"""),2207939.0)</f>
        <v>2207939</v>
      </c>
    </row>
    <row r="8431">
      <c r="A8431" t="str">
        <f t="shared" si="1"/>
        <v>kwt#2005</v>
      </c>
      <c r="B8431" t="str">
        <f>IFERROR(__xludf.DUMMYFUNCTION("""COMPUTED_VALUE"""),"kwt")</f>
        <v>kwt</v>
      </c>
      <c r="C8431" t="str">
        <f>IFERROR(__xludf.DUMMYFUNCTION("""COMPUTED_VALUE"""),"Kuwait")</f>
        <v>Kuwait</v>
      </c>
      <c r="D8431">
        <f>IFERROR(__xludf.DUMMYFUNCTION("""COMPUTED_VALUE"""),2005.0)</f>
        <v>2005</v>
      </c>
      <c r="E8431">
        <f>IFERROR(__xludf.DUMMYFUNCTION("""COMPUTED_VALUE"""),2276623.0)</f>
        <v>2276623</v>
      </c>
    </row>
    <row r="8432">
      <c r="A8432" t="str">
        <f t="shared" si="1"/>
        <v>kwt#2006</v>
      </c>
      <c r="B8432" t="str">
        <f>IFERROR(__xludf.DUMMYFUNCTION("""COMPUTED_VALUE"""),"kwt")</f>
        <v>kwt</v>
      </c>
      <c r="C8432" t="str">
        <f>IFERROR(__xludf.DUMMYFUNCTION("""COMPUTED_VALUE"""),"Kuwait")</f>
        <v>Kuwait</v>
      </c>
      <c r="D8432">
        <f>IFERROR(__xludf.DUMMYFUNCTION("""COMPUTED_VALUE"""),2006.0)</f>
        <v>2006</v>
      </c>
      <c r="E8432">
        <f>IFERROR(__xludf.DUMMYFUNCTION("""COMPUTED_VALUE"""),2377258.0)</f>
        <v>2377258</v>
      </c>
    </row>
    <row r="8433">
      <c r="A8433" t="str">
        <f t="shared" si="1"/>
        <v>kwt#2007</v>
      </c>
      <c r="B8433" t="str">
        <f>IFERROR(__xludf.DUMMYFUNCTION("""COMPUTED_VALUE"""),"kwt")</f>
        <v>kwt</v>
      </c>
      <c r="C8433" t="str">
        <f>IFERROR(__xludf.DUMMYFUNCTION("""COMPUTED_VALUE"""),"Kuwait")</f>
        <v>Kuwait</v>
      </c>
      <c r="D8433">
        <f>IFERROR(__xludf.DUMMYFUNCTION("""COMPUTED_VALUE"""),2007.0)</f>
        <v>2007</v>
      </c>
      <c r="E8433">
        <f>IFERROR(__xludf.DUMMYFUNCTION("""COMPUTED_VALUE"""),2503410.0)</f>
        <v>2503410</v>
      </c>
    </row>
    <row r="8434">
      <c r="A8434" t="str">
        <f t="shared" si="1"/>
        <v>kwt#2008</v>
      </c>
      <c r="B8434" t="str">
        <f>IFERROR(__xludf.DUMMYFUNCTION("""COMPUTED_VALUE"""),"kwt")</f>
        <v>kwt</v>
      </c>
      <c r="C8434" t="str">
        <f>IFERROR(__xludf.DUMMYFUNCTION("""COMPUTED_VALUE"""),"Kuwait")</f>
        <v>Kuwait</v>
      </c>
      <c r="D8434">
        <f>IFERROR(__xludf.DUMMYFUNCTION("""COMPUTED_VALUE"""),2008.0)</f>
        <v>2008</v>
      </c>
      <c r="E8434">
        <f>IFERROR(__xludf.DUMMYFUNCTION("""COMPUTED_VALUE"""),2652340.0)</f>
        <v>2652340</v>
      </c>
    </row>
    <row r="8435">
      <c r="A8435" t="str">
        <f t="shared" si="1"/>
        <v>kwt#2009</v>
      </c>
      <c r="B8435" t="str">
        <f>IFERROR(__xludf.DUMMYFUNCTION("""COMPUTED_VALUE"""),"kwt")</f>
        <v>kwt</v>
      </c>
      <c r="C8435" t="str">
        <f>IFERROR(__xludf.DUMMYFUNCTION("""COMPUTED_VALUE"""),"Kuwait")</f>
        <v>Kuwait</v>
      </c>
      <c r="D8435">
        <f>IFERROR(__xludf.DUMMYFUNCTION("""COMPUTED_VALUE"""),2009.0)</f>
        <v>2009</v>
      </c>
      <c r="E8435">
        <f>IFERROR(__xludf.DUMMYFUNCTION("""COMPUTED_VALUE"""),2818939.0)</f>
        <v>2818939</v>
      </c>
    </row>
    <row r="8436">
      <c r="A8436" t="str">
        <f t="shared" si="1"/>
        <v>kwt#2010</v>
      </c>
      <c r="B8436" t="str">
        <f>IFERROR(__xludf.DUMMYFUNCTION("""COMPUTED_VALUE"""),"kwt")</f>
        <v>kwt</v>
      </c>
      <c r="C8436" t="str">
        <f>IFERROR(__xludf.DUMMYFUNCTION("""COMPUTED_VALUE"""),"Kuwait")</f>
        <v>Kuwait</v>
      </c>
      <c r="D8436">
        <f>IFERROR(__xludf.DUMMYFUNCTION("""COMPUTED_VALUE"""),2010.0)</f>
        <v>2010</v>
      </c>
      <c r="E8436">
        <f>IFERROR(__xludf.DUMMYFUNCTION("""COMPUTED_VALUE"""),2998083.0)</f>
        <v>2998083</v>
      </c>
    </row>
    <row r="8437">
      <c r="A8437" t="str">
        <f t="shared" si="1"/>
        <v>kwt#2011</v>
      </c>
      <c r="B8437" t="str">
        <f>IFERROR(__xludf.DUMMYFUNCTION("""COMPUTED_VALUE"""),"kwt")</f>
        <v>kwt</v>
      </c>
      <c r="C8437" t="str">
        <f>IFERROR(__xludf.DUMMYFUNCTION("""COMPUTED_VALUE"""),"Kuwait")</f>
        <v>Kuwait</v>
      </c>
      <c r="D8437">
        <f>IFERROR(__xludf.DUMMYFUNCTION("""COMPUTED_VALUE"""),2011.0)</f>
        <v>2011</v>
      </c>
      <c r="E8437">
        <f>IFERROR(__xludf.DUMMYFUNCTION("""COMPUTED_VALUE"""),3191051.0)</f>
        <v>3191051</v>
      </c>
    </row>
    <row r="8438">
      <c r="A8438" t="str">
        <f t="shared" si="1"/>
        <v>kwt#2012</v>
      </c>
      <c r="B8438" t="str">
        <f>IFERROR(__xludf.DUMMYFUNCTION("""COMPUTED_VALUE"""),"kwt")</f>
        <v>kwt</v>
      </c>
      <c r="C8438" t="str">
        <f>IFERROR(__xludf.DUMMYFUNCTION("""COMPUTED_VALUE"""),"Kuwait")</f>
        <v>Kuwait</v>
      </c>
      <c r="D8438">
        <f>IFERROR(__xludf.DUMMYFUNCTION("""COMPUTED_VALUE"""),2012.0)</f>
        <v>2012</v>
      </c>
      <c r="E8438">
        <f>IFERROR(__xludf.DUMMYFUNCTION("""COMPUTED_VALUE"""),3395556.0)</f>
        <v>3395556</v>
      </c>
    </row>
    <row r="8439">
      <c r="A8439" t="str">
        <f t="shared" si="1"/>
        <v>kwt#2013</v>
      </c>
      <c r="B8439" t="str">
        <f>IFERROR(__xludf.DUMMYFUNCTION("""COMPUTED_VALUE"""),"kwt")</f>
        <v>kwt</v>
      </c>
      <c r="C8439" t="str">
        <f>IFERROR(__xludf.DUMMYFUNCTION("""COMPUTED_VALUE"""),"Kuwait")</f>
        <v>Kuwait</v>
      </c>
      <c r="D8439">
        <f>IFERROR(__xludf.DUMMYFUNCTION("""COMPUTED_VALUE"""),2013.0)</f>
        <v>2013</v>
      </c>
      <c r="E8439">
        <f>IFERROR(__xludf.DUMMYFUNCTION("""COMPUTED_VALUE"""),3598385.0)</f>
        <v>3598385</v>
      </c>
    </row>
    <row r="8440">
      <c r="A8440" t="str">
        <f t="shared" si="1"/>
        <v>kwt#2014</v>
      </c>
      <c r="B8440" t="str">
        <f>IFERROR(__xludf.DUMMYFUNCTION("""COMPUTED_VALUE"""),"kwt")</f>
        <v>kwt</v>
      </c>
      <c r="C8440" t="str">
        <f>IFERROR(__xludf.DUMMYFUNCTION("""COMPUTED_VALUE"""),"Kuwait")</f>
        <v>Kuwait</v>
      </c>
      <c r="D8440">
        <f>IFERROR(__xludf.DUMMYFUNCTION("""COMPUTED_VALUE"""),2014.0)</f>
        <v>2014</v>
      </c>
      <c r="E8440">
        <f>IFERROR(__xludf.DUMMYFUNCTION("""COMPUTED_VALUE"""),3782450.0)</f>
        <v>3782450</v>
      </c>
    </row>
    <row r="8441">
      <c r="A8441" t="str">
        <f t="shared" si="1"/>
        <v>kwt#2015</v>
      </c>
      <c r="B8441" t="str">
        <f>IFERROR(__xludf.DUMMYFUNCTION("""COMPUTED_VALUE"""),"kwt")</f>
        <v>kwt</v>
      </c>
      <c r="C8441" t="str">
        <f>IFERROR(__xludf.DUMMYFUNCTION("""COMPUTED_VALUE"""),"Kuwait")</f>
        <v>Kuwait</v>
      </c>
      <c r="D8441">
        <f>IFERROR(__xludf.DUMMYFUNCTION("""COMPUTED_VALUE"""),2015.0)</f>
        <v>2015</v>
      </c>
      <c r="E8441">
        <f>IFERROR(__xludf.DUMMYFUNCTION("""COMPUTED_VALUE"""),3935794.0)</f>
        <v>3935794</v>
      </c>
    </row>
    <row r="8442">
      <c r="A8442" t="str">
        <f t="shared" si="1"/>
        <v>kwt#2016</v>
      </c>
      <c r="B8442" t="str">
        <f>IFERROR(__xludf.DUMMYFUNCTION("""COMPUTED_VALUE"""),"kwt")</f>
        <v>kwt</v>
      </c>
      <c r="C8442" t="str">
        <f>IFERROR(__xludf.DUMMYFUNCTION("""COMPUTED_VALUE"""),"Kuwait")</f>
        <v>Kuwait</v>
      </c>
      <c r="D8442">
        <f>IFERROR(__xludf.DUMMYFUNCTION("""COMPUTED_VALUE"""),2016.0)</f>
        <v>2016</v>
      </c>
      <c r="E8442">
        <f>IFERROR(__xludf.DUMMYFUNCTION("""COMPUTED_VALUE"""),4052584.0)</f>
        <v>4052584</v>
      </c>
    </row>
    <row r="8443">
      <c r="A8443" t="str">
        <f t="shared" si="1"/>
        <v>kwt#2017</v>
      </c>
      <c r="B8443" t="str">
        <f>IFERROR(__xludf.DUMMYFUNCTION("""COMPUTED_VALUE"""),"kwt")</f>
        <v>kwt</v>
      </c>
      <c r="C8443" t="str">
        <f>IFERROR(__xludf.DUMMYFUNCTION("""COMPUTED_VALUE"""),"Kuwait")</f>
        <v>Kuwait</v>
      </c>
      <c r="D8443">
        <f>IFERROR(__xludf.DUMMYFUNCTION("""COMPUTED_VALUE"""),2017.0)</f>
        <v>2017</v>
      </c>
      <c r="E8443">
        <f>IFERROR(__xludf.DUMMYFUNCTION("""COMPUTED_VALUE"""),4136528.0)</f>
        <v>4136528</v>
      </c>
    </row>
    <row r="8444">
      <c r="A8444" t="str">
        <f t="shared" si="1"/>
        <v>kwt#2018</v>
      </c>
      <c r="B8444" t="str">
        <f>IFERROR(__xludf.DUMMYFUNCTION("""COMPUTED_VALUE"""),"kwt")</f>
        <v>kwt</v>
      </c>
      <c r="C8444" t="str">
        <f>IFERROR(__xludf.DUMMYFUNCTION("""COMPUTED_VALUE"""),"Kuwait")</f>
        <v>Kuwait</v>
      </c>
      <c r="D8444">
        <f>IFERROR(__xludf.DUMMYFUNCTION("""COMPUTED_VALUE"""),2018.0)</f>
        <v>2018</v>
      </c>
      <c r="E8444">
        <f>IFERROR(__xludf.DUMMYFUNCTION("""COMPUTED_VALUE"""),4197128.0)</f>
        <v>4197128</v>
      </c>
    </row>
    <row r="8445">
      <c r="A8445" t="str">
        <f t="shared" si="1"/>
        <v>kwt#2019</v>
      </c>
      <c r="B8445" t="str">
        <f>IFERROR(__xludf.DUMMYFUNCTION("""COMPUTED_VALUE"""),"kwt")</f>
        <v>kwt</v>
      </c>
      <c r="C8445" t="str">
        <f>IFERROR(__xludf.DUMMYFUNCTION("""COMPUTED_VALUE"""),"Kuwait")</f>
        <v>Kuwait</v>
      </c>
      <c r="D8445">
        <f>IFERROR(__xludf.DUMMYFUNCTION("""COMPUTED_VALUE"""),2019.0)</f>
        <v>2019</v>
      </c>
      <c r="E8445">
        <f>IFERROR(__xludf.DUMMYFUNCTION("""COMPUTED_VALUE"""),4248974.0)</f>
        <v>4248974</v>
      </c>
    </row>
    <row r="8446">
      <c r="A8446" t="str">
        <f t="shared" si="1"/>
        <v>kwt#2020</v>
      </c>
      <c r="B8446" t="str">
        <f>IFERROR(__xludf.DUMMYFUNCTION("""COMPUTED_VALUE"""),"kwt")</f>
        <v>kwt</v>
      </c>
      <c r="C8446" t="str">
        <f>IFERROR(__xludf.DUMMYFUNCTION("""COMPUTED_VALUE"""),"Kuwait")</f>
        <v>Kuwait</v>
      </c>
      <c r="D8446">
        <f>IFERROR(__xludf.DUMMYFUNCTION("""COMPUTED_VALUE"""),2020.0)</f>
        <v>2020</v>
      </c>
      <c r="E8446">
        <f>IFERROR(__xludf.DUMMYFUNCTION("""COMPUTED_VALUE"""),4302875.0)</f>
        <v>4302875</v>
      </c>
    </row>
    <row r="8447">
      <c r="A8447" t="str">
        <f t="shared" si="1"/>
        <v>kwt#2021</v>
      </c>
      <c r="B8447" t="str">
        <f>IFERROR(__xludf.DUMMYFUNCTION("""COMPUTED_VALUE"""),"kwt")</f>
        <v>kwt</v>
      </c>
      <c r="C8447" t="str">
        <f>IFERROR(__xludf.DUMMYFUNCTION("""COMPUTED_VALUE"""),"Kuwait")</f>
        <v>Kuwait</v>
      </c>
      <c r="D8447">
        <f>IFERROR(__xludf.DUMMYFUNCTION("""COMPUTED_VALUE"""),2021.0)</f>
        <v>2021</v>
      </c>
      <c r="E8447">
        <f>IFERROR(__xludf.DUMMYFUNCTION("""COMPUTED_VALUE"""),4361470.0)</f>
        <v>4361470</v>
      </c>
    </row>
    <row r="8448">
      <c r="A8448" t="str">
        <f t="shared" si="1"/>
        <v>kwt#2022</v>
      </c>
      <c r="B8448" t="str">
        <f>IFERROR(__xludf.DUMMYFUNCTION("""COMPUTED_VALUE"""),"kwt")</f>
        <v>kwt</v>
      </c>
      <c r="C8448" t="str">
        <f>IFERROR(__xludf.DUMMYFUNCTION("""COMPUTED_VALUE"""),"Kuwait")</f>
        <v>Kuwait</v>
      </c>
      <c r="D8448">
        <f>IFERROR(__xludf.DUMMYFUNCTION("""COMPUTED_VALUE"""),2022.0)</f>
        <v>2022</v>
      </c>
      <c r="E8448">
        <f>IFERROR(__xludf.DUMMYFUNCTION("""COMPUTED_VALUE"""),4422070.0)</f>
        <v>4422070</v>
      </c>
    </row>
    <row r="8449">
      <c r="A8449" t="str">
        <f t="shared" si="1"/>
        <v>kwt#2023</v>
      </c>
      <c r="B8449" t="str">
        <f>IFERROR(__xludf.DUMMYFUNCTION("""COMPUTED_VALUE"""),"kwt")</f>
        <v>kwt</v>
      </c>
      <c r="C8449" t="str">
        <f>IFERROR(__xludf.DUMMYFUNCTION("""COMPUTED_VALUE"""),"Kuwait")</f>
        <v>Kuwait</v>
      </c>
      <c r="D8449">
        <f>IFERROR(__xludf.DUMMYFUNCTION("""COMPUTED_VALUE"""),2023.0)</f>
        <v>2023</v>
      </c>
      <c r="E8449">
        <f>IFERROR(__xludf.DUMMYFUNCTION("""COMPUTED_VALUE"""),4483898.0)</f>
        <v>4483898</v>
      </c>
    </row>
    <row r="8450">
      <c r="A8450" t="str">
        <f t="shared" si="1"/>
        <v>kwt#2024</v>
      </c>
      <c r="B8450" t="str">
        <f>IFERROR(__xludf.DUMMYFUNCTION("""COMPUTED_VALUE"""),"kwt")</f>
        <v>kwt</v>
      </c>
      <c r="C8450" t="str">
        <f>IFERROR(__xludf.DUMMYFUNCTION("""COMPUTED_VALUE"""),"Kuwait")</f>
        <v>Kuwait</v>
      </c>
      <c r="D8450">
        <f>IFERROR(__xludf.DUMMYFUNCTION("""COMPUTED_VALUE"""),2024.0)</f>
        <v>2024</v>
      </c>
      <c r="E8450">
        <f>IFERROR(__xludf.DUMMYFUNCTION("""COMPUTED_VALUE"""),4544704.0)</f>
        <v>4544704</v>
      </c>
    </row>
    <row r="8451">
      <c r="A8451" t="str">
        <f t="shared" si="1"/>
        <v>kwt#2025</v>
      </c>
      <c r="B8451" t="str">
        <f>IFERROR(__xludf.DUMMYFUNCTION("""COMPUTED_VALUE"""),"kwt")</f>
        <v>kwt</v>
      </c>
      <c r="C8451" t="str">
        <f>IFERROR(__xludf.DUMMYFUNCTION("""COMPUTED_VALUE"""),"Kuwait")</f>
        <v>Kuwait</v>
      </c>
      <c r="D8451">
        <f>IFERROR(__xludf.DUMMYFUNCTION("""COMPUTED_VALUE"""),2025.0)</f>
        <v>2025</v>
      </c>
      <c r="E8451">
        <f>IFERROR(__xludf.DUMMYFUNCTION("""COMPUTED_VALUE"""),4602914.0)</f>
        <v>4602914</v>
      </c>
    </row>
    <row r="8452">
      <c r="A8452" t="str">
        <f t="shared" si="1"/>
        <v>kwt#2026</v>
      </c>
      <c r="B8452" t="str">
        <f>IFERROR(__xludf.DUMMYFUNCTION("""COMPUTED_VALUE"""),"kwt")</f>
        <v>kwt</v>
      </c>
      <c r="C8452" t="str">
        <f>IFERROR(__xludf.DUMMYFUNCTION("""COMPUTED_VALUE"""),"Kuwait")</f>
        <v>Kuwait</v>
      </c>
      <c r="D8452">
        <f>IFERROR(__xludf.DUMMYFUNCTION("""COMPUTED_VALUE"""),2026.0)</f>
        <v>2026</v>
      </c>
      <c r="E8452">
        <f>IFERROR(__xludf.DUMMYFUNCTION("""COMPUTED_VALUE"""),4659078.0)</f>
        <v>4659078</v>
      </c>
    </row>
    <row r="8453">
      <c r="A8453" t="str">
        <f t="shared" si="1"/>
        <v>kwt#2027</v>
      </c>
      <c r="B8453" t="str">
        <f>IFERROR(__xludf.DUMMYFUNCTION("""COMPUTED_VALUE"""),"kwt")</f>
        <v>kwt</v>
      </c>
      <c r="C8453" t="str">
        <f>IFERROR(__xludf.DUMMYFUNCTION("""COMPUTED_VALUE"""),"Kuwait")</f>
        <v>Kuwait</v>
      </c>
      <c r="D8453">
        <f>IFERROR(__xludf.DUMMYFUNCTION("""COMPUTED_VALUE"""),2027.0)</f>
        <v>2027</v>
      </c>
      <c r="E8453">
        <f>IFERROR(__xludf.DUMMYFUNCTION("""COMPUTED_VALUE"""),4714483.0)</f>
        <v>4714483</v>
      </c>
    </row>
    <row r="8454">
      <c r="A8454" t="str">
        <f t="shared" si="1"/>
        <v>kwt#2028</v>
      </c>
      <c r="B8454" t="str">
        <f>IFERROR(__xludf.DUMMYFUNCTION("""COMPUTED_VALUE"""),"kwt")</f>
        <v>kwt</v>
      </c>
      <c r="C8454" t="str">
        <f>IFERROR(__xludf.DUMMYFUNCTION("""COMPUTED_VALUE"""),"Kuwait")</f>
        <v>Kuwait</v>
      </c>
      <c r="D8454">
        <f>IFERROR(__xludf.DUMMYFUNCTION("""COMPUTED_VALUE"""),2028.0)</f>
        <v>2028</v>
      </c>
      <c r="E8454">
        <f>IFERROR(__xludf.DUMMYFUNCTION("""COMPUTED_VALUE"""),4768932.0)</f>
        <v>4768932</v>
      </c>
    </row>
    <row r="8455">
      <c r="A8455" t="str">
        <f t="shared" si="1"/>
        <v>kwt#2029</v>
      </c>
      <c r="B8455" t="str">
        <f>IFERROR(__xludf.DUMMYFUNCTION("""COMPUTED_VALUE"""),"kwt")</f>
        <v>kwt</v>
      </c>
      <c r="C8455" t="str">
        <f>IFERROR(__xludf.DUMMYFUNCTION("""COMPUTED_VALUE"""),"Kuwait")</f>
        <v>Kuwait</v>
      </c>
      <c r="D8455">
        <f>IFERROR(__xludf.DUMMYFUNCTION("""COMPUTED_VALUE"""),2029.0)</f>
        <v>2029</v>
      </c>
      <c r="E8455">
        <f>IFERROR(__xludf.DUMMYFUNCTION("""COMPUTED_VALUE"""),4822077.0)</f>
        <v>4822077</v>
      </c>
    </row>
    <row r="8456">
      <c r="A8456" t="str">
        <f t="shared" si="1"/>
        <v>kwt#2030</v>
      </c>
      <c r="B8456" t="str">
        <f>IFERROR(__xludf.DUMMYFUNCTION("""COMPUTED_VALUE"""),"kwt")</f>
        <v>kwt</v>
      </c>
      <c r="C8456" t="str">
        <f>IFERROR(__xludf.DUMMYFUNCTION("""COMPUTED_VALUE"""),"Kuwait")</f>
        <v>Kuwait</v>
      </c>
      <c r="D8456">
        <f>IFERROR(__xludf.DUMMYFUNCTION("""COMPUTED_VALUE"""),2030.0)</f>
        <v>2030</v>
      </c>
      <c r="E8456">
        <f>IFERROR(__xludf.DUMMYFUNCTION("""COMPUTED_VALUE"""),4873674.0)</f>
        <v>4873674</v>
      </c>
    </row>
    <row r="8457">
      <c r="A8457" t="str">
        <f t="shared" si="1"/>
        <v>kwt#2031</v>
      </c>
      <c r="B8457" t="str">
        <f>IFERROR(__xludf.DUMMYFUNCTION("""COMPUTED_VALUE"""),"kwt")</f>
        <v>kwt</v>
      </c>
      <c r="C8457" t="str">
        <f>IFERROR(__xludf.DUMMYFUNCTION("""COMPUTED_VALUE"""),"Kuwait")</f>
        <v>Kuwait</v>
      </c>
      <c r="D8457">
        <f>IFERROR(__xludf.DUMMYFUNCTION("""COMPUTED_VALUE"""),2031.0)</f>
        <v>2031</v>
      </c>
      <c r="E8457">
        <f>IFERROR(__xludf.DUMMYFUNCTION("""COMPUTED_VALUE"""),4923698.0)</f>
        <v>4923698</v>
      </c>
    </row>
    <row r="8458">
      <c r="A8458" t="str">
        <f t="shared" si="1"/>
        <v>kwt#2032</v>
      </c>
      <c r="B8458" t="str">
        <f>IFERROR(__xludf.DUMMYFUNCTION("""COMPUTED_VALUE"""),"kwt")</f>
        <v>kwt</v>
      </c>
      <c r="C8458" t="str">
        <f>IFERROR(__xludf.DUMMYFUNCTION("""COMPUTED_VALUE"""),"Kuwait")</f>
        <v>Kuwait</v>
      </c>
      <c r="D8458">
        <f>IFERROR(__xludf.DUMMYFUNCTION("""COMPUTED_VALUE"""),2032.0)</f>
        <v>2032</v>
      </c>
      <c r="E8458">
        <f>IFERROR(__xludf.DUMMYFUNCTION("""COMPUTED_VALUE"""),4972299.0)</f>
        <v>4972299</v>
      </c>
    </row>
    <row r="8459">
      <c r="A8459" t="str">
        <f t="shared" si="1"/>
        <v>kwt#2033</v>
      </c>
      <c r="B8459" t="str">
        <f>IFERROR(__xludf.DUMMYFUNCTION("""COMPUTED_VALUE"""),"kwt")</f>
        <v>kwt</v>
      </c>
      <c r="C8459" t="str">
        <f>IFERROR(__xludf.DUMMYFUNCTION("""COMPUTED_VALUE"""),"Kuwait")</f>
        <v>Kuwait</v>
      </c>
      <c r="D8459">
        <f>IFERROR(__xludf.DUMMYFUNCTION("""COMPUTED_VALUE"""),2033.0)</f>
        <v>2033</v>
      </c>
      <c r="E8459">
        <f>IFERROR(__xludf.DUMMYFUNCTION("""COMPUTED_VALUE"""),5019631.0)</f>
        <v>5019631</v>
      </c>
    </row>
    <row r="8460">
      <c r="A8460" t="str">
        <f t="shared" si="1"/>
        <v>kwt#2034</v>
      </c>
      <c r="B8460" t="str">
        <f>IFERROR(__xludf.DUMMYFUNCTION("""COMPUTED_VALUE"""),"kwt")</f>
        <v>kwt</v>
      </c>
      <c r="C8460" t="str">
        <f>IFERROR(__xludf.DUMMYFUNCTION("""COMPUTED_VALUE"""),"Kuwait")</f>
        <v>Kuwait</v>
      </c>
      <c r="D8460">
        <f>IFERROR(__xludf.DUMMYFUNCTION("""COMPUTED_VALUE"""),2034.0)</f>
        <v>2034</v>
      </c>
      <c r="E8460">
        <f>IFERROR(__xludf.DUMMYFUNCTION("""COMPUTED_VALUE"""),5065917.0)</f>
        <v>5065917</v>
      </c>
    </row>
    <row r="8461">
      <c r="A8461" t="str">
        <f t="shared" si="1"/>
        <v>kwt#2035</v>
      </c>
      <c r="B8461" t="str">
        <f>IFERROR(__xludf.DUMMYFUNCTION("""COMPUTED_VALUE"""),"kwt")</f>
        <v>kwt</v>
      </c>
      <c r="C8461" t="str">
        <f>IFERROR(__xludf.DUMMYFUNCTION("""COMPUTED_VALUE"""),"Kuwait")</f>
        <v>Kuwait</v>
      </c>
      <c r="D8461">
        <f>IFERROR(__xludf.DUMMYFUNCTION("""COMPUTED_VALUE"""),2035.0)</f>
        <v>2035</v>
      </c>
      <c r="E8461">
        <f>IFERROR(__xludf.DUMMYFUNCTION("""COMPUTED_VALUE"""),5111323.0)</f>
        <v>5111323</v>
      </c>
    </row>
    <row r="8462">
      <c r="A8462" t="str">
        <f t="shared" si="1"/>
        <v>kwt#2036</v>
      </c>
      <c r="B8462" t="str">
        <f>IFERROR(__xludf.DUMMYFUNCTION("""COMPUTED_VALUE"""),"kwt")</f>
        <v>kwt</v>
      </c>
      <c r="C8462" t="str">
        <f>IFERROR(__xludf.DUMMYFUNCTION("""COMPUTED_VALUE"""),"Kuwait")</f>
        <v>Kuwait</v>
      </c>
      <c r="D8462">
        <f>IFERROR(__xludf.DUMMYFUNCTION("""COMPUTED_VALUE"""),2036.0)</f>
        <v>2036</v>
      </c>
      <c r="E8462">
        <f>IFERROR(__xludf.DUMMYFUNCTION("""COMPUTED_VALUE"""),5155871.0)</f>
        <v>5155871</v>
      </c>
    </row>
    <row r="8463">
      <c r="A8463" t="str">
        <f t="shared" si="1"/>
        <v>kwt#2037</v>
      </c>
      <c r="B8463" t="str">
        <f>IFERROR(__xludf.DUMMYFUNCTION("""COMPUTED_VALUE"""),"kwt")</f>
        <v>kwt</v>
      </c>
      <c r="C8463" t="str">
        <f>IFERROR(__xludf.DUMMYFUNCTION("""COMPUTED_VALUE"""),"Kuwait")</f>
        <v>Kuwait</v>
      </c>
      <c r="D8463">
        <f>IFERROR(__xludf.DUMMYFUNCTION("""COMPUTED_VALUE"""),2037.0)</f>
        <v>2037</v>
      </c>
      <c r="E8463">
        <f>IFERROR(__xludf.DUMMYFUNCTION("""COMPUTED_VALUE"""),5199492.0)</f>
        <v>5199492</v>
      </c>
    </row>
    <row r="8464">
      <c r="A8464" t="str">
        <f t="shared" si="1"/>
        <v>kwt#2038</v>
      </c>
      <c r="B8464" t="str">
        <f>IFERROR(__xludf.DUMMYFUNCTION("""COMPUTED_VALUE"""),"kwt")</f>
        <v>kwt</v>
      </c>
      <c r="C8464" t="str">
        <f>IFERROR(__xludf.DUMMYFUNCTION("""COMPUTED_VALUE"""),"Kuwait")</f>
        <v>Kuwait</v>
      </c>
      <c r="D8464">
        <f>IFERROR(__xludf.DUMMYFUNCTION("""COMPUTED_VALUE"""),2038.0)</f>
        <v>2038</v>
      </c>
      <c r="E8464">
        <f>IFERROR(__xludf.DUMMYFUNCTION("""COMPUTED_VALUE"""),5242093.0)</f>
        <v>5242093</v>
      </c>
    </row>
    <row r="8465">
      <c r="A8465" t="str">
        <f t="shared" si="1"/>
        <v>kwt#2039</v>
      </c>
      <c r="B8465" t="str">
        <f>IFERROR(__xludf.DUMMYFUNCTION("""COMPUTED_VALUE"""),"kwt")</f>
        <v>kwt</v>
      </c>
      <c r="C8465" t="str">
        <f>IFERROR(__xludf.DUMMYFUNCTION("""COMPUTED_VALUE"""),"Kuwait")</f>
        <v>Kuwait</v>
      </c>
      <c r="D8465">
        <f>IFERROR(__xludf.DUMMYFUNCTION("""COMPUTED_VALUE"""),2039.0)</f>
        <v>2039</v>
      </c>
      <c r="E8465">
        <f>IFERROR(__xludf.DUMMYFUNCTION("""COMPUTED_VALUE"""),5283579.0)</f>
        <v>5283579</v>
      </c>
    </row>
    <row r="8466">
      <c r="A8466" t="str">
        <f t="shared" si="1"/>
        <v>kwt#2040</v>
      </c>
      <c r="B8466" t="str">
        <f>IFERROR(__xludf.DUMMYFUNCTION("""COMPUTED_VALUE"""),"kwt")</f>
        <v>kwt</v>
      </c>
      <c r="C8466" t="str">
        <f>IFERROR(__xludf.DUMMYFUNCTION("""COMPUTED_VALUE"""),"Kuwait")</f>
        <v>Kuwait</v>
      </c>
      <c r="D8466">
        <f>IFERROR(__xludf.DUMMYFUNCTION("""COMPUTED_VALUE"""),2040.0)</f>
        <v>2040</v>
      </c>
      <c r="E8466">
        <f>IFERROR(__xludf.DUMMYFUNCTION("""COMPUTED_VALUE"""),5323821.0)</f>
        <v>5323821</v>
      </c>
    </row>
    <row r="8467">
      <c r="A8467" t="str">
        <f t="shared" si="1"/>
        <v>kgz#1950</v>
      </c>
      <c r="B8467" t="str">
        <f>IFERROR(__xludf.DUMMYFUNCTION("""COMPUTED_VALUE"""),"kgz")</f>
        <v>kgz</v>
      </c>
      <c r="C8467" t="str">
        <f>IFERROR(__xludf.DUMMYFUNCTION("""COMPUTED_VALUE"""),"Kyrgyz Republic")</f>
        <v>Kyrgyz Republic</v>
      </c>
      <c r="D8467">
        <f>IFERROR(__xludf.DUMMYFUNCTION("""COMPUTED_VALUE"""),1950.0)</f>
        <v>1950</v>
      </c>
      <c r="E8467">
        <f>IFERROR(__xludf.DUMMYFUNCTION("""COMPUTED_VALUE"""),1740004.0)</f>
        <v>1740004</v>
      </c>
    </row>
    <row r="8468">
      <c r="A8468" t="str">
        <f t="shared" si="1"/>
        <v>kgz#1951</v>
      </c>
      <c r="B8468" t="str">
        <f>IFERROR(__xludf.DUMMYFUNCTION("""COMPUTED_VALUE"""),"kgz")</f>
        <v>kgz</v>
      </c>
      <c r="C8468" t="str">
        <f>IFERROR(__xludf.DUMMYFUNCTION("""COMPUTED_VALUE"""),"Kyrgyz Republic")</f>
        <v>Kyrgyz Republic</v>
      </c>
      <c r="D8468">
        <f>IFERROR(__xludf.DUMMYFUNCTION("""COMPUTED_VALUE"""),1951.0)</f>
        <v>1951</v>
      </c>
      <c r="E8468">
        <f>IFERROR(__xludf.DUMMYFUNCTION("""COMPUTED_VALUE"""),1765555.0)</f>
        <v>1765555</v>
      </c>
    </row>
    <row r="8469">
      <c r="A8469" t="str">
        <f t="shared" si="1"/>
        <v>kgz#1952</v>
      </c>
      <c r="B8469" t="str">
        <f>IFERROR(__xludf.DUMMYFUNCTION("""COMPUTED_VALUE"""),"kgz")</f>
        <v>kgz</v>
      </c>
      <c r="C8469" t="str">
        <f>IFERROR(__xludf.DUMMYFUNCTION("""COMPUTED_VALUE"""),"Kyrgyz Republic")</f>
        <v>Kyrgyz Republic</v>
      </c>
      <c r="D8469">
        <f>IFERROR(__xludf.DUMMYFUNCTION("""COMPUTED_VALUE"""),1952.0)</f>
        <v>1952</v>
      </c>
      <c r="E8469">
        <f>IFERROR(__xludf.DUMMYFUNCTION("""COMPUTED_VALUE"""),1795130.0)</f>
        <v>1795130</v>
      </c>
    </row>
    <row r="8470">
      <c r="A8470" t="str">
        <f t="shared" si="1"/>
        <v>kgz#1953</v>
      </c>
      <c r="B8470" t="str">
        <f>IFERROR(__xludf.DUMMYFUNCTION("""COMPUTED_VALUE"""),"kgz")</f>
        <v>kgz</v>
      </c>
      <c r="C8470" t="str">
        <f>IFERROR(__xludf.DUMMYFUNCTION("""COMPUTED_VALUE"""),"Kyrgyz Republic")</f>
        <v>Kyrgyz Republic</v>
      </c>
      <c r="D8470">
        <f>IFERROR(__xludf.DUMMYFUNCTION("""COMPUTED_VALUE"""),1953.0)</f>
        <v>1953</v>
      </c>
      <c r="E8470">
        <f>IFERROR(__xludf.DUMMYFUNCTION("""COMPUTED_VALUE"""),1828195.0)</f>
        <v>1828195</v>
      </c>
    </row>
    <row r="8471">
      <c r="A8471" t="str">
        <f t="shared" si="1"/>
        <v>kgz#1954</v>
      </c>
      <c r="B8471" t="str">
        <f>IFERROR(__xludf.DUMMYFUNCTION("""COMPUTED_VALUE"""),"kgz")</f>
        <v>kgz</v>
      </c>
      <c r="C8471" t="str">
        <f>IFERROR(__xludf.DUMMYFUNCTION("""COMPUTED_VALUE"""),"Kyrgyz Republic")</f>
        <v>Kyrgyz Republic</v>
      </c>
      <c r="D8471">
        <f>IFERROR(__xludf.DUMMYFUNCTION("""COMPUTED_VALUE"""),1954.0)</f>
        <v>1954</v>
      </c>
      <c r="E8471">
        <f>IFERROR(__xludf.DUMMYFUNCTION("""COMPUTED_VALUE"""),1864495.0)</f>
        <v>1864495</v>
      </c>
    </row>
    <row r="8472">
      <c r="A8472" t="str">
        <f t="shared" si="1"/>
        <v>kgz#1955</v>
      </c>
      <c r="B8472" t="str">
        <f>IFERROR(__xludf.DUMMYFUNCTION("""COMPUTED_VALUE"""),"kgz")</f>
        <v>kgz</v>
      </c>
      <c r="C8472" t="str">
        <f>IFERROR(__xludf.DUMMYFUNCTION("""COMPUTED_VALUE"""),"Kyrgyz Republic")</f>
        <v>Kyrgyz Republic</v>
      </c>
      <c r="D8472">
        <f>IFERROR(__xludf.DUMMYFUNCTION("""COMPUTED_VALUE"""),1955.0)</f>
        <v>1955</v>
      </c>
      <c r="E8472">
        <f>IFERROR(__xludf.DUMMYFUNCTION("""COMPUTED_VALUE"""),1904060.0)</f>
        <v>1904060</v>
      </c>
    </row>
    <row r="8473">
      <c r="A8473" t="str">
        <f t="shared" si="1"/>
        <v>kgz#1956</v>
      </c>
      <c r="B8473" t="str">
        <f>IFERROR(__xludf.DUMMYFUNCTION("""COMPUTED_VALUE"""),"kgz")</f>
        <v>kgz</v>
      </c>
      <c r="C8473" t="str">
        <f>IFERROR(__xludf.DUMMYFUNCTION("""COMPUTED_VALUE"""),"Kyrgyz Republic")</f>
        <v>Kyrgyz Republic</v>
      </c>
      <c r="D8473">
        <f>IFERROR(__xludf.DUMMYFUNCTION("""COMPUTED_VALUE"""),1956.0)</f>
        <v>1956</v>
      </c>
      <c r="E8473">
        <f>IFERROR(__xludf.DUMMYFUNCTION("""COMPUTED_VALUE"""),1947219.0)</f>
        <v>1947219</v>
      </c>
    </row>
    <row r="8474">
      <c r="A8474" t="str">
        <f t="shared" si="1"/>
        <v>kgz#1957</v>
      </c>
      <c r="B8474" t="str">
        <f>IFERROR(__xludf.DUMMYFUNCTION("""COMPUTED_VALUE"""),"kgz")</f>
        <v>kgz</v>
      </c>
      <c r="C8474" t="str">
        <f>IFERROR(__xludf.DUMMYFUNCTION("""COMPUTED_VALUE"""),"Kyrgyz Republic")</f>
        <v>Kyrgyz Republic</v>
      </c>
      <c r="D8474">
        <f>IFERROR(__xludf.DUMMYFUNCTION("""COMPUTED_VALUE"""),1957.0)</f>
        <v>1957</v>
      </c>
      <c r="E8474">
        <f>IFERROR(__xludf.DUMMYFUNCTION("""COMPUTED_VALUE"""),1994561.0)</f>
        <v>1994561</v>
      </c>
    </row>
    <row r="8475">
      <c r="A8475" t="str">
        <f t="shared" si="1"/>
        <v>kgz#1958</v>
      </c>
      <c r="B8475" t="str">
        <f>IFERROR(__xludf.DUMMYFUNCTION("""COMPUTED_VALUE"""),"kgz")</f>
        <v>kgz</v>
      </c>
      <c r="C8475" t="str">
        <f>IFERROR(__xludf.DUMMYFUNCTION("""COMPUTED_VALUE"""),"Kyrgyz Republic")</f>
        <v>Kyrgyz Republic</v>
      </c>
      <c r="D8475">
        <f>IFERROR(__xludf.DUMMYFUNCTION("""COMPUTED_VALUE"""),1958.0)</f>
        <v>1958</v>
      </c>
      <c r="E8475">
        <f>IFERROR(__xludf.DUMMYFUNCTION("""COMPUTED_VALUE"""),2046915.0)</f>
        <v>2046915</v>
      </c>
    </row>
    <row r="8476">
      <c r="A8476" t="str">
        <f t="shared" si="1"/>
        <v>kgz#1959</v>
      </c>
      <c r="B8476" t="str">
        <f>IFERROR(__xludf.DUMMYFUNCTION("""COMPUTED_VALUE"""),"kgz")</f>
        <v>kgz</v>
      </c>
      <c r="C8476" t="str">
        <f>IFERROR(__xludf.DUMMYFUNCTION("""COMPUTED_VALUE"""),"Kyrgyz Republic")</f>
        <v>Kyrgyz Republic</v>
      </c>
      <c r="D8476">
        <f>IFERROR(__xludf.DUMMYFUNCTION("""COMPUTED_VALUE"""),1959.0)</f>
        <v>1959</v>
      </c>
      <c r="E8476">
        <f>IFERROR(__xludf.DUMMYFUNCTION("""COMPUTED_VALUE"""),2105181.0)</f>
        <v>2105181</v>
      </c>
    </row>
    <row r="8477">
      <c r="A8477" t="str">
        <f t="shared" si="1"/>
        <v>kgz#1960</v>
      </c>
      <c r="B8477" t="str">
        <f>IFERROR(__xludf.DUMMYFUNCTION("""COMPUTED_VALUE"""),"kgz")</f>
        <v>kgz</v>
      </c>
      <c r="C8477" t="str">
        <f>IFERROR(__xludf.DUMMYFUNCTION("""COMPUTED_VALUE"""),"Kyrgyz Republic")</f>
        <v>Kyrgyz Republic</v>
      </c>
      <c r="D8477">
        <f>IFERROR(__xludf.DUMMYFUNCTION("""COMPUTED_VALUE"""),1960.0)</f>
        <v>1960</v>
      </c>
      <c r="E8477">
        <f>IFERROR(__xludf.DUMMYFUNCTION("""COMPUTED_VALUE"""),2170093.0)</f>
        <v>2170093</v>
      </c>
    </row>
    <row r="8478">
      <c r="A8478" t="str">
        <f t="shared" si="1"/>
        <v>kgz#1961</v>
      </c>
      <c r="B8478" t="str">
        <f>IFERROR(__xludf.DUMMYFUNCTION("""COMPUTED_VALUE"""),"kgz")</f>
        <v>kgz</v>
      </c>
      <c r="C8478" t="str">
        <f>IFERROR(__xludf.DUMMYFUNCTION("""COMPUTED_VALUE"""),"Kyrgyz Republic")</f>
        <v>Kyrgyz Republic</v>
      </c>
      <c r="D8478">
        <f>IFERROR(__xludf.DUMMYFUNCTION("""COMPUTED_VALUE"""),1961.0)</f>
        <v>1961</v>
      </c>
      <c r="E8478">
        <f>IFERROR(__xludf.DUMMYFUNCTION("""COMPUTED_VALUE"""),2241753.0)</f>
        <v>2241753</v>
      </c>
    </row>
    <row r="8479">
      <c r="A8479" t="str">
        <f t="shared" si="1"/>
        <v>kgz#1962</v>
      </c>
      <c r="B8479" t="str">
        <f>IFERROR(__xludf.DUMMYFUNCTION("""COMPUTED_VALUE"""),"kgz")</f>
        <v>kgz</v>
      </c>
      <c r="C8479" t="str">
        <f>IFERROR(__xludf.DUMMYFUNCTION("""COMPUTED_VALUE"""),"Kyrgyz Republic")</f>
        <v>Kyrgyz Republic</v>
      </c>
      <c r="D8479">
        <f>IFERROR(__xludf.DUMMYFUNCTION("""COMPUTED_VALUE"""),1962.0)</f>
        <v>1962</v>
      </c>
      <c r="E8479">
        <f>IFERROR(__xludf.DUMMYFUNCTION("""COMPUTED_VALUE"""),2319455.0)</f>
        <v>2319455</v>
      </c>
    </row>
    <row r="8480">
      <c r="A8480" t="str">
        <f t="shared" si="1"/>
        <v>kgz#1963</v>
      </c>
      <c r="B8480" t="str">
        <f>IFERROR(__xludf.DUMMYFUNCTION("""COMPUTED_VALUE"""),"kgz")</f>
        <v>kgz</v>
      </c>
      <c r="C8480" t="str">
        <f>IFERROR(__xludf.DUMMYFUNCTION("""COMPUTED_VALUE"""),"Kyrgyz Republic")</f>
        <v>Kyrgyz Republic</v>
      </c>
      <c r="D8480">
        <f>IFERROR(__xludf.DUMMYFUNCTION("""COMPUTED_VALUE"""),1963.0)</f>
        <v>1963</v>
      </c>
      <c r="E8480">
        <f>IFERROR(__xludf.DUMMYFUNCTION("""COMPUTED_VALUE"""),2401463.0)</f>
        <v>2401463</v>
      </c>
    </row>
    <row r="8481">
      <c r="A8481" t="str">
        <f t="shared" si="1"/>
        <v>kgz#1964</v>
      </c>
      <c r="B8481" t="str">
        <f>IFERROR(__xludf.DUMMYFUNCTION("""COMPUTED_VALUE"""),"kgz")</f>
        <v>kgz</v>
      </c>
      <c r="C8481" t="str">
        <f>IFERROR(__xludf.DUMMYFUNCTION("""COMPUTED_VALUE"""),"Kyrgyz Republic")</f>
        <v>Kyrgyz Republic</v>
      </c>
      <c r="D8481">
        <f>IFERROR(__xludf.DUMMYFUNCTION("""COMPUTED_VALUE"""),1964.0)</f>
        <v>1964</v>
      </c>
      <c r="E8481">
        <f>IFERROR(__xludf.DUMMYFUNCTION("""COMPUTED_VALUE"""),2485430.0)</f>
        <v>2485430</v>
      </c>
    </row>
    <row r="8482">
      <c r="A8482" t="str">
        <f t="shared" si="1"/>
        <v>kgz#1965</v>
      </c>
      <c r="B8482" t="str">
        <f>IFERROR(__xludf.DUMMYFUNCTION("""COMPUTED_VALUE"""),"kgz")</f>
        <v>kgz</v>
      </c>
      <c r="C8482" t="str">
        <f>IFERROR(__xludf.DUMMYFUNCTION("""COMPUTED_VALUE"""),"Kyrgyz Republic")</f>
        <v>Kyrgyz Republic</v>
      </c>
      <c r="D8482">
        <f>IFERROR(__xludf.DUMMYFUNCTION("""COMPUTED_VALUE"""),1965.0)</f>
        <v>1965</v>
      </c>
      <c r="E8482">
        <f>IFERROR(__xludf.DUMMYFUNCTION("""COMPUTED_VALUE"""),2569458.0)</f>
        <v>2569458</v>
      </c>
    </row>
    <row r="8483">
      <c r="A8483" t="str">
        <f t="shared" si="1"/>
        <v>kgz#1966</v>
      </c>
      <c r="B8483" t="str">
        <f>IFERROR(__xludf.DUMMYFUNCTION("""COMPUTED_VALUE"""),"kgz")</f>
        <v>kgz</v>
      </c>
      <c r="C8483" t="str">
        <f>IFERROR(__xludf.DUMMYFUNCTION("""COMPUTED_VALUE"""),"Kyrgyz Republic")</f>
        <v>Kyrgyz Republic</v>
      </c>
      <c r="D8483">
        <f>IFERROR(__xludf.DUMMYFUNCTION("""COMPUTED_VALUE"""),1966.0)</f>
        <v>1966</v>
      </c>
      <c r="E8483">
        <f>IFERROR(__xludf.DUMMYFUNCTION("""COMPUTED_VALUE"""),2653050.0)</f>
        <v>2653050</v>
      </c>
    </row>
    <row r="8484">
      <c r="A8484" t="str">
        <f t="shared" si="1"/>
        <v>kgz#1967</v>
      </c>
      <c r="B8484" t="str">
        <f>IFERROR(__xludf.DUMMYFUNCTION("""COMPUTED_VALUE"""),"kgz")</f>
        <v>kgz</v>
      </c>
      <c r="C8484" t="str">
        <f>IFERROR(__xludf.DUMMYFUNCTION("""COMPUTED_VALUE"""),"Kyrgyz Republic")</f>
        <v>Kyrgyz Republic</v>
      </c>
      <c r="D8484">
        <f>IFERROR(__xludf.DUMMYFUNCTION("""COMPUTED_VALUE"""),1967.0)</f>
        <v>1967</v>
      </c>
      <c r="E8484">
        <f>IFERROR(__xludf.DUMMYFUNCTION("""COMPUTED_VALUE"""),2736076.0)</f>
        <v>2736076</v>
      </c>
    </row>
    <row r="8485">
      <c r="A8485" t="str">
        <f t="shared" si="1"/>
        <v>kgz#1968</v>
      </c>
      <c r="B8485" t="str">
        <f>IFERROR(__xludf.DUMMYFUNCTION("""COMPUTED_VALUE"""),"kgz")</f>
        <v>kgz</v>
      </c>
      <c r="C8485" t="str">
        <f>IFERROR(__xludf.DUMMYFUNCTION("""COMPUTED_VALUE"""),"Kyrgyz Republic")</f>
        <v>Kyrgyz Republic</v>
      </c>
      <c r="D8485">
        <f>IFERROR(__xludf.DUMMYFUNCTION("""COMPUTED_VALUE"""),1968.0)</f>
        <v>1968</v>
      </c>
      <c r="E8485">
        <f>IFERROR(__xludf.DUMMYFUNCTION("""COMPUTED_VALUE"""),2817335.0)</f>
        <v>2817335</v>
      </c>
    </row>
    <row r="8486">
      <c r="A8486" t="str">
        <f t="shared" si="1"/>
        <v>kgz#1969</v>
      </c>
      <c r="B8486" t="str">
        <f>IFERROR(__xludf.DUMMYFUNCTION("""COMPUTED_VALUE"""),"kgz")</f>
        <v>kgz</v>
      </c>
      <c r="C8486" t="str">
        <f>IFERROR(__xludf.DUMMYFUNCTION("""COMPUTED_VALUE"""),"Kyrgyz Republic")</f>
        <v>Kyrgyz Republic</v>
      </c>
      <c r="D8486">
        <f>IFERROR(__xludf.DUMMYFUNCTION("""COMPUTED_VALUE"""),1969.0)</f>
        <v>1969</v>
      </c>
      <c r="E8486">
        <f>IFERROR(__xludf.DUMMYFUNCTION("""COMPUTED_VALUE"""),2895544.0)</f>
        <v>2895544</v>
      </c>
    </row>
    <row r="8487">
      <c r="A8487" t="str">
        <f t="shared" si="1"/>
        <v>kgz#1970</v>
      </c>
      <c r="B8487" t="str">
        <f>IFERROR(__xludf.DUMMYFUNCTION("""COMPUTED_VALUE"""),"kgz")</f>
        <v>kgz</v>
      </c>
      <c r="C8487" t="str">
        <f>IFERROR(__xludf.DUMMYFUNCTION("""COMPUTED_VALUE"""),"Kyrgyz Republic")</f>
        <v>Kyrgyz Republic</v>
      </c>
      <c r="D8487">
        <f>IFERROR(__xludf.DUMMYFUNCTION("""COMPUTED_VALUE"""),1970.0)</f>
        <v>1970</v>
      </c>
      <c r="E8487">
        <f>IFERROR(__xludf.DUMMYFUNCTION("""COMPUTED_VALUE"""),2969864.0)</f>
        <v>2969864</v>
      </c>
    </row>
    <row r="8488">
      <c r="A8488" t="str">
        <f t="shared" si="1"/>
        <v>kgz#1971</v>
      </c>
      <c r="B8488" t="str">
        <f>IFERROR(__xludf.DUMMYFUNCTION("""COMPUTED_VALUE"""),"kgz")</f>
        <v>kgz</v>
      </c>
      <c r="C8488" t="str">
        <f>IFERROR(__xludf.DUMMYFUNCTION("""COMPUTED_VALUE"""),"Kyrgyz Republic")</f>
        <v>Kyrgyz Republic</v>
      </c>
      <c r="D8488">
        <f>IFERROR(__xludf.DUMMYFUNCTION("""COMPUTED_VALUE"""),1971.0)</f>
        <v>1971</v>
      </c>
      <c r="E8488">
        <f>IFERROR(__xludf.DUMMYFUNCTION("""COMPUTED_VALUE"""),3039767.0)</f>
        <v>3039767</v>
      </c>
    </row>
    <row r="8489">
      <c r="A8489" t="str">
        <f t="shared" si="1"/>
        <v>kgz#1972</v>
      </c>
      <c r="B8489" t="str">
        <f>IFERROR(__xludf.DUMMYFUNCTION("""COMPUTED_VALUE"""),"kgz")</f>
        <v>kgz</v>
      </c>
      <c r="C8489" t="str">
        <f>IFERROR(__xludf.DUMMYFUNCTION("""COMPUTED_VALUE"""),"Kyrgyz Republic")</f>
        <v>Kyrgyz Republic</v>
      </c>
      <c r="D8489">
        <f>IFERROR(__xludf.DUMMYFUNCTION("""COMPUTED_VALUE"""),1972.0)</f>
        <v>1972</v>
      </c>
      <c r="E8489">
        <f>IFERROR(__xludf.DUMMYFUNCTION("""COMPUTED_VALUE"""),3105535.0)</f>
        <v>3105535</v>
      </c>
    </row>
    <row r="8490">
      <c r="A8490" t="str">
        <f t="shared" si="1"/>
        <v>kgz#1973</v>
      </c>
      <c r="B8490" t="str">
        <f>IFERROR(__xludf.DUMMYFUNCTION("""COMPUTED_VALUE"""),"kgz")</f>
        <v>kgz</v>
      </c>
      <c r="C8490" t="str">
        <f>IFERROR(__xludf.DUMMYFUNCTION("""COMPUTED_VALUE"""),"Kyrgyz Republic")</f>
        <v>Kyrgyz Republic</v>
      </c>
      <c r="D8490">
        <f>IFERROR(__xludf.DUMMYFUNCTION("""COMPUTED_VALUE"""),1973.0)</f>
        <v>1973</v>
      </c>
      <c r="E8490">
        <f>IFERROR(__xludf.DUMMYFUNCTION("""COMPUTED_VALUE"""),3168293.0)</f>
        <v>3168293</v>
      </c>
    </row>
    <row r="8491">
      <c r="A8491" t="str">
        <f t="shared" si="1"/>
        <v>kgz#1974</v>
      </c>
      <c r="B8491" t="str">
        <f>IFERROR(__xludf.DUMMYFUNCTION("""COMPUTED_VALUE"""),"kgz")</f>
        <v>kgz</v>
      </c>
      <c r="C8491" t="str">
        <f>IFERROR(__xludf.DUMMYFUNCTION("""COMPUTED_VALUE"""),"Kyrgyz Republic")</f>
        <v>Kyrgyz Republic</v>
      </c>
      <c r="D8491">
        <f>IFERROR(__xludf.DUMMYFUNCTION("""COMPUTED_VALUE"""),1974.0)</f>
        <v>1974</v>
      </c>
      <c r="E8491">
        <f>IFERROR(__xludf.DUMMYFUNCTION("""COMPUTED_VALUE"""),3229688.0)</f>
        <v>3229688</v>
      </c>
    </row>
    <row r="8492">
      <c r="A8492" t="str">
        <f t="shared" si="1"/>
        <v>kgz#1975</v>
      </c>
      <c r="B8492" t="str">
        <f>IFERROR(__xludf.DUMMYFUNCTION("""COMPUTED_VALUE"""),"kgz")</f>
        <v>kgz</v>
      </c>
      <c r="C8492" t="str">
        <f>IFERROR(__xludf.DUMMYFUNCTION("""COMPUTED_VALUE"""),"Kyrgyz Republic")</f>
        <v>Kyrgyz Republic</v>
      </c>
      <c r="D8492">
        <f>IFERROR(__xludf.DUMMYFUNCTION("""COMPUTED_VALUE"""),1975.0)</f>
        <v>1975</v>
      </c>
      <c r="E8492">
        <f>IFERROR(__xludf.DUMMYFUNCTION("""COMPUTED_VALUE"""),3291077.0)</f>
        <v>3291077</v>
      </c>
    </row>
    <row r="8493">
      <c r="A8493" t="str">
        <f t="shared" si="1"/>
        <v>kgz#1976</v>
      </c>
      <c r="B8493" t="str">
        <f>IFERROR(__xludf.DUMMYFUNCTION("""COMPUTED_VALUE"""),"kgz")</f>
        <v>kgz</v>
      </c>
      <c r="C8493" t="str">
        <f>IFERROR(__xludf.DUMMYFUNCTION("""COMPUTED_VALUE"""),"Kyrgyz Republic")</f>
        <v>Kyrgyz Republic</v>
      </c>
      <c r="D8493">
        <f>IFERROR(__xludf.DUMMYFUNCTION("""COMPUTED_VALUE"""),1976.0)</f>
        <v>1976</v>
      </c>
      <c r="E8493">
        <f>IFERROR(__xludf.DUMMYFUNCTION("""COMPUTED_VALUE"""),3352618.0)</f>
        <v>3352618</v>
      </c>
    </row>
    <row r="8494">
      <c r="A8494" t="str">
        <f t="shared" si="1"/>
        <v>kgz#1977</v>
      </c>
      <c r="B8494" t="str">
        <f>IFERROR(__xludf.DUMMYFUNCTION("""COMPUTED_VALUE"""),"kgz")</f>
        <v>kgz</v>
      </c>
      <c r="C8494" t="str">
        <f>IFERROR(__xludf.DUMMYFUNCTION("""COMPUTED_VALUE"""),"Kyrgyz Republic")</f>
        <v>Kyrgyz Republic</v>
      </c>
      <c r="D8494">
        <f>IFERROR(__xludf.DUMMYFUNCTION("""COMPUTED_VALUE"""),1977.0)</f>
        <v>1977</v>
      </c>
      <c r="E8494">
        <f>IFERROR(__xludf.DUMMYFUNCTION("""COMPUTED_VALUE"""),3414320.0)</f>
        <v>3414320</v>
      </c>
    </row>
    <row r="8495">
      <c r="A8495" t="str">
        <f t="shared" si="1"/>
        <v>kgz#1978</v>
      </c>
      <c r="B8495" t="str">
        <f>IFERROR(__xludf.DUMMYFUNCTION("""COMPUTED_VALUE"""),"kgz")</f>
        <v>kgz</v>
      </c>
      <c r="C8495" t="str">
        <f>IFERROR(__xludf.DUMMYFUNCTION("""COMPUTED_VALUE"""),"Kyrgyz Republic")</f>
        <v>Kyrgyz Republic</v>
      </c>
      <c r="D8495">
        <f>IFERROR(__xludf.DUMMYFUNCTION("""COMPUTED_VALUE"""),1978.0)</f>
        <v>1978</v>
      </c>
      <c r="E8495">
        <f>IFERROR(__xludf.DUMMYFUNCTION("""COMPUTED_VALUE"""),3477229.0)</f>
        <v>3477229</v>
      </c>
    </row>
    <row r="8496">
      <c r="A8496" t="str">
        <f t="shared" si="1"/>
        <v>kgz#1979</v>
      </c>
      <c r="B8496" t="str">
        <f>IFERROR(__xludf.DUMMYFUNCTION("""COMPUTED_VALUE"""),"kgz")</f>
        <v>kgz</v>
      </c>
      <c r="C8496" t="str">
        <f>IFERROR(__xludf.DUMMYFUNCTION("""COMPUTED_VALUE"""),"Kyrgyz Republic")</f>
        <v>Kyrgyz Republic</v>
      </c>
      <c r="D8496">
        <f>IFERROR(__xludf.DUMMYFUNCTION("""COMPUTED_VALUE"""),1979.0)</f>
        <v>1979</v>
      </c>
      <c r="E8496">
        <f>IFERROR(__xludf.DUMMYFUNCTION("""COMPUTED_VALUE"""),3542522.0)</f>
        <v>3542522</v>
      </c>
    </row>
    <row r="8497">
      <c r="A8497" t="str">
        <f t="shared" si="1"/>
        <v>kgz#1980</v>
      </c>
      <c r="B8497" t="str">
        <f>IFERROR(__xludf.DUMMYFUNCTION("""COMPUTED_VALUE"""),"kgz")</f>
        <v>kgz</v>
      </c>
      <c r="C8497" t="str">
        <f>IFERROR(__xludf.DUMMYFUNCTION("""COMPUTED_VALUE"""),"Kyrgyz Republic")</f>
        <v>Kyrgyz Republic</v>
      </c>
      <c r="D8497">
        <f>IFERROR(__xludf.DUMMYFUNCTION("""COMPUTED_VALUE"""),1980.0)</f>
        <v>1980</v>
      </c>
      <c r="E8497">
        <f>IFERROR(__xludf.DUMMYFUNCTION("""COMPUTED_VALUE"""),3610981.0)</f>
        <v>3610981</v>
      </c>
    </row>
    <row r="8498">
      <c r="A8498" t="str">
        <f t="shared" si="1"/>
        <v>kgz#1981</v>
      </c>
      <c r="B8498" t="str">
        <f>IFERROR(__xludf.DUMMYFUNCTION("""COMPUTED_VALUE"""),"kgz")</f>
        <v>kgz</v>
      </c>
      <c r="C8498" t="str">
        <f>IFERROR(__xludf.DUMMYFUNCTION("""COMPUTED_VALUE"""),"Kyrgyz Republic")</f>
        <v>Kyrgyz Republic</v>
      </c>
      <c r="D8498">
        <f>IFERROR(__xludf.DUMMYFUNCTION("""COMPUTED_VALUE"""),1981.0)</f>
        <v>1981</v>
      </c>
      <c r="E8498">
        <f>IFERROR(__xludf.DUMMYFUNCTION("""COMPUTED_VALUE"""),3682672.0)</f>
        <v>3682672</v>
      </c>
    </row>
    <row r="8499">
      <c r="A8499" t="str">
        <f t="shared" si="1"/>
        <v>kgz#1982</v>
      </c>
      <c r="B8499" t="str">
        <f>IFERROR(__xludf.DUMMYFUNCTION("""COMPUTED_VALUE"""),"kgz")</f>
        <v>kgz</v>
      </c>
      <c r="C8499" t="str">
        <f>IFERROR(__xludf.DUMMYFUNCTION("""COMPUTED_VALUE"""),"Kyrgyz Republic")</f>
        <v>Kyrgyz Republic</v>
      </c>
      <c r="D8499">
        <f>IFERROR(__xludf.DUMMYFUNCTION("""COMPUTED_VALUE"""),1982.0)</f>
        <v>1982</v>
      </c>
      <c r="E8499">
        <f>IFERROR(__xludf.DUMMYFUNCTION("""COMPUTED_VALUE"""),3757184.0)</f>
        <v>3757184</v>
      </c>
    </row>
    <row r="8500">
      <c r="A8500" t="str">
        <f t="shared" si="1"/>
        <v>kgz#1983</v>
      </c>
      <c r="B8500" t="str">
        <f>IFERROR(__xludf.DUMMYFUNCTION("""COMPUTED_VALUE"""),"kgz")</f>
        <v>kgz</v>
      </c>
      <c r="C8500" t="str">
        <f>IFERROR(__xludf.DUMMYFUNCTION("""COMPUTED_VALUE"""),"Kyrgyz Republic")</f>
        <v>Kyrgyz Republic</v>
      </c>
      <c r="D8500">
        <f>IFERROR(__xludf.DUMMYFUNCTION("""COMPUTED_VALUE"""),1983.0)</f>
        <v>1983</v>
      </c>
      <c r="E8500">
        <f>IFERROR(__xludf.DUMMYFUNCTION("""COMPUTED_VALUE"""),3834168.0)</f>
        <v>3834168</v>
      </c>
    </row>
    <row r="8501">
      <c r="A8501" t="str">
        <f t="shared" si="1"/>
        <v>kgz#1984</v>
      </c>
      <c r="B8501" t="str">
        <f>IFERROR(__xludf.DUMMYFUNCTION("""COMPUTED_VALUE"""),"kgz")</f>
        <v>kgz</v>
      </c>
      <c r="C8501" t="str">
        <f>IFERROR(__xludf.DUMMYFUNCTION("""COMPUTED_VALUE"""),"Kyrgyz Republic")</f>
        <v>Kyrgyz Republic</v>
      </c>
      <c r="D8501">
        <f>IFERROR(__xludf.DUMMYFUNCTION("""COMPUTED_VALUE"""),1984.0)</f>
        <v>1984</v>
      </c>
      <c r="E8501">
        <f>IFERROR(__xludf.DUMMYFUNCTION("""COMPUTED_VALUE"""),3913058.0)</f>
        <v>3913058</v>
      </c>
    </row>
    <row r="8502">
      <c r="A8502" t="str">
        <f t="shared" si="1"/>
        <v>kgz#1985</v>
      </c>
      <c r="B8502" t="str">
        <f>IFERROR(__xludf.DUMMYFUNCTION("""COMPUTED_VALUE"""),"kgz")</f>
        <v>kgz</v>
      </c>
      <c r="C8502" t="str">
        <f>IFERROR(__xludf.DUMMYFUNCTION("""COMPUTED_VALUE"""),"Kyrgyz Republic")</f>
        <v>Kyrgyz Republic</v>
      </c>
      <c r="D8502">
        <f>IFERROR(__xludf.DUMMYFUNCTION("""COMPUTED_VALUE"""),1985.0)</f>
        <v>1985</v>
      </c>
      <c r="E8502">
        <f>IFERROR(__xludf.DUMMYFUNCTION("""COMPUTED_VALUE"""),3993106.0)</f>
        <v>3993106</v>
      </c>
    </row>
    <row r="8503">
      <c r="A8503" t="str">
        <f t="shared" si="1"/>
        <v>kgz#1986</v>
      </c>
      <c r="B8503" t="str">
        <f>IFERROR(__xludf.DUMMYFUNCTION("""COMPUTED_VALUE"""),"kgz")</f>
        <v>kgz</v>
      </c>
      <c r="C8503" t="str">
        <f>IFERROR(__xludf.DUMMYFUNCTION("""COMPUTED_VALUE"""),"Kyrgyz Republic")</f>
        <v>Kyrgyz Republic</v>
      </c>
      <c r="D8503">
        <f>IFERROR(__xludf.DUMMYFUNCTION("""COMPUTED_VALUE"""),1986.0)</f>
        <v>1986</v>
      </c>
      <c r="E8503">
        <f>IFERROR(__xludf.DUMMYFUNCTION("""COMPUTED_VALUE"""),4075187.0)</f>
        <v>4075187</v>
      </c>
    </row>
    <row r="8504">
      <c r="A8504" t="str">
        <f t="shared" si="1"/>
        <v>kgz#1987</v>
      </c>
      <c r="B8504" t="str">
        <f>IFERROR(__xludf.DUMMYFUNCTION("""COMPUTED_VALUE"""),"kgz")</f>
        <v>kgz</v>
      </c>
      <c r="C8504" t="str">
        <f>IFERROR(__xludf.DUMMYFUNCTION("""COMPUTED_VALUE"""),"Kyrgyz Republic")</f>
        <v>Kyrgyz Republic</v>
      </c>
      <c r="D8504">
        <f>IFERROR(__xludf.DUMMYFUNCTION("""COMPUTED_VALUE"""),1987.0)</f>
        <v>1987</v>
      </c>
      <c r="E8504">
        <f>IFERROR(__xludf.DUMMYFUNCTION("""COMPUTED_VALUE"""),4158607.0)</f>
        <v>4158607</v>
      </c>
    </row>
    <row r="8505">
      <c r="A8505" t="str">
        <f t="shared" si="1"/>
        <v>kgz#1988</v>
      </c>
      <c r="B8505" t="str">
        <f>IFERROR(__xludf.DUMMYFUNCTION("""COMPUTED_VALUE"""),"kgz")</f>
        <v>kgz</v>
      </c>
      <c r="C8505" t="str">
        <f>IFERROR(__xludf.DUMMYFUNCTION("""COMPUTED_VALUE"""),"Kyrgyz Republic")</f>
        <v>Kyrgyz Republic</v>
      </c>
      <c r="D8505">
        <f>IFERROR(__xludf.DUMMYFUNCTION("""COMPUTED_VALUE"""),1988.0)</f>
        <v>1988</v>
      </c>
      <c r="E8505">
        <f>IFERROR(__xludf.DUMMYFUNCTION("""COMPUTED_VALUE"""),4239295.0)</f>
        <v>4239295</v>
      </c>
    </row>
    <row r="8506">
      <c r="A8506" t="str">
        <f t="shared" si="1"/>
        <v>kgz#1989</v>
      </c>
      <c r="B8506" t="str">
        <f>IFERROR(__xludf.DUMMYFUNCTION("""COMPUTED_VALUE"""),"kgz")</f>
        <v>kgz</v>
      </c>
      <c r="C8506" t="str">
        <f>IFERROR(__xludf.DUMMYFUNCTION("""COMPUTED_VALUE"""),"Kyrgyz Republic")</f>
        <v>Kyrgyz Republic</v>
      </c>
      <c r="D8506">
        <f>IFERROR(__xludf.DUMMYFUNCTION("""COMPUTED_VALUE"""),1989.0)</f>
        <v>1989</v>
      </c>
      <c r="E8506">
        <f>IFERROR(__xludf.DUMMYFUNCTION("""COMPUTED_VALUE"""),4311868.0)</f>
        <v>4311868</v>
      </c>
    </row>
    <row r="8507">
      <c r="A8507" t="str">
        <f t="shared" si="1"/>
        <v>kgz#1990</v>
      </c>
      <c r="B8507" t="str">
        <f>IFERROR(__xludf.DUMMYFUNCTION("""COMPUTED_VALUE"""),"kgz")</f>
        <v>kgz</v>
      </c>
      <c r="C8507" t="str">
        <f>IFERROR(__xludf.DUMMYFUNCTION("""COMPUTED_VALUE"""),"Kyrgyz Republic")</f>
        <v>Kyrgyz Republic</v>
      </c>
      <c r="D8507">
        <f>IFERROR(__xludf.DUMMYFUNCTION("""COMPUTED_VALUE"""),1990.0)</f>
        <v>1990</v>
      </c>
      <c r="E8507">
        <f>IFERROR(__xludf.DUMMYFUNCTION("""COMPUTED_VALUE"""),4372890.0)</f>
        <v>4372890</v>
      </c>
    </row>
    <row r="8508">
      <c r="A8508" t="str">
        <f t="shared" si="1"/>
        <v>kgz#1991</v>
      </c>
      <c r="B8508" t="str">
        <f>IFERROR(__xludf.DUMMYFUNCTION("""COMPUTED_VALUE"""),"kgz")</f>
        <v>kgz</v>
      </c>
      <c r="C8508" t="str">
        <f>IFERROR(__xludf.DUMMYFUNCTION("""COMPUTED_VALUE"""),"Kyrgyz Republic")</f>
        <v>Kyrgyz Republic</v>
      </c>
      <c r="D8508">
        <f>IFERROR(__xludf.DUMMYFUNCTION("""COMPUTED_VALUE"""),1991.0)</f>
        <v>1991</v>
      </c>
      <c r="E8508">
        <f>IFERROR(__xludf.DUMMYFUNCTION("""COMPUTED_VALUE"""),4419631.0)</f>
        <v>4419631</v>
      </c>
    </row>
    <row r="8509">
      <c r="A8509" t="str">
        <f t="shared" si="1"/>
        <v>kgz#1992</v>
      </c>
      <c r="B8509" t="str">
        <f>IFERROR(__xludf.DUMMYFUNCTION("""COMPUTED_VALUE"""),"kgz")</f>
        <v>kgz</v>
      </c>
      <c r="C8509" t="str">
        <f>IFERROR(__xludf.DUMMYFUNCTION("""COMPUTED_VALUE"""),"Kyrgyz Republic")</f>
        <v>Kyrgyz Republic</v>
      </c>
      <c r="D8509">
        <f>IFERROR(__xludf.DUMMYFUNCTION("""COMPUTED_VALUE"""),1992.0)</f>
        <v>1992</v>
      </c>
      <c r="E8509">
        <f>IFERROR(__xludf.DUMMYFUNCTION("""COMPUTED_VALUE"""),4454189.0)</f>
        <v>4454189</v>
      </c>
    </row>
    <row r="8510">
      <c r="A8510" t="str">
        <f t="shared" si="1"/>
        <v>kgz#1993</v>
      </c>
      <c r="B8510" t="str">
        <f>IFERROR(__xludf.DUMMYFUNCTION("""COMPUTED_VALUE"""),"kgz")</f>
        <v>kgz</v>
      </c>
      <c r="C8510" t="str">
        <f>IFERROR(__xludf.DUMMYFUNCTION("""COMPUTED_VALUE"""),"Kyrgyz Republic")</f>
        <v>Kyrgyz Republic</v>
      </c>
      <c r="D8510">
        <f>IFERROR(__xludf.DUMMYFUNCTION("""COMPUTED_VALUE"""),1993.0)</f>
        <v>1993</v>
      </c>
      <c r="E8510">
        <f>IFERROR(__xludf.DUMMYFUNCTION("""COMPUTED_VALUE"""),4483840.0)</f>
        <v>4483840</v>
      </c>
    </row>
    <row r="8511">
      <c r="A8511" t="str">
        <f t="shared" si="1"/>
        <v>kgz#1994</v>
      </c>
      <c r="B8511" t="str">
        <f>IFERROR(__xludf.DUMMYFUNCTION("""COMPUTED_VALUE"""),"kgz")</f>
        <v>kgz</v>
      </c>
      <c r="C8511" t="str">
        <f>IFERROR(__xludf.DUMMYFUNCTION("""COMPUTED_VALUE"""),"Kyrgyz Republic")</f>
        <v>Kyrgyz Republic</v>
      </c>
      <c r="D8511">
        <f>IFERROR(__xludf.DUMMYFUNCTION("""COMPUTED_VALUE"""),1994.0)</f>
        <v>1994</v>
      </c>
      <c r="E8511">
        <f>IFERROR(__xludf.DUMMYFUNCTION("""COMPUTED_VALUE"""),4518801.0)</f>
        <v>4518801</v>
      </c>
    </row>
    <row r="8512">
      <c r="A8512" t="str">
        <f t="shared" si="1"/>
        <v>kgz#1995</v>
      </c>
      <c r="B8512" t="str">
        <f>IFERROR(__xludf.DUMMYFUNCTION("""COMPUTED_VALUE"""),"kgz")</f>
        <v>kgz</v>
      </c>
      <c r="C8512" t="str">
        <f>IFERROR(__xludf.DUMMYFUNCTION("""COMPUTED_VALUE"""),"Kyrgyz Republic")</f>
        <v>Kyrgyz Republic</v>
      </c>
      <c r="D8512">
        <f>IFERROR(__xludf.DUMMYFUNCTION("""COMPUTED_VALUE"""),1995.0)</f>
        <v>1995</v>
      </c>
      <c r="E8512">
        <f>IFERROR(__xludf.DUMMYFUNCTION("""COMPUTED_VALUE"""),4566087.0)</f>
        <v>4566087</v>
      </c>
    </row>
    <row r="8513">
      <c r="A8513" t="str">
        <f t="shared" si="1"/>
        <v>kgz#1996</v>
      </c>
      <c r="B8513" t="str">
        <f>IFERROR(__xludf.DUMMYFUNCTION("""COMPUTED_VALUE"""),"kgz")</f>
        <v>kgz</v>
      </c>
      <c r="C8513" t="str">
        <f>IFERROR(__xludf.DUMMYFUNCTION("""COMPUTED_VALUE"""),"Kyrgyz Republic")</f>
        <v>Kyrgyz Republic</v>
      </c>
      <c r="D8513">
        <f>IFERROR(__xludf.DUMMYFUNCTION("""COMPUTED_VALUE"""),1996.0)</f>
        <v>1996</v>
      </c>
      <c r="E8513">
        <f>IFERROR(__xludf.DUMMYFUNCTION("""COMPUTED_VALUE"""),4629398.0)</f>
        <v>4629398</v>
      </c>
    </row>
    <row r="8514">
      <c r="A8514" t="str">
        <f t="shared" si="1"/>
        <v>kgz#1997</v>
      </c>
      <c r="B8514" t="str">
        <f>IFERROR(__xludf.DUMMYFUNCTION("""COMPUTED_VALUE"""),"kgz")</f>
        <v>kgz</v>
      </c>
      <c r="C8514" t="str">
        <f>IFERROR(__xludf.DUMMYFUNCTION("""COMPUTED_VALUE"""),"Kyrgyz Republic")</f>
        <v>Kyrgyz Republic</v>
      </c>
      <c r="D8514">
        <f>IFERROR(__xludf.DUMMYFUNCTION("""COMPUTED_VALUE"""),1997.0)</f>
        <v>1997</v>
      </c>
      <c r="E8514">
        <f>IFERROR(__xludf.DUMMYFUNCTION("""COMPUTED_VALUE"""),4705638.0)</f>
        <v>4705638</v>
      </c>
    </row>
    <row r="8515">
      <c r="A8515" t="str">
        <f t="shared" si="1"/>
        <v>kgz#1998</v>
      </c>
      <c r="B8515" t="str">
        <f>IFERROR(__xludf.DUMMYFUNCTION("""COMPUTED_VALUE"""),"kgz")</f>
        <v>kgz</v>
      </c>
      <c r="C8515" t="str">
        <f>IFERROR(__xludf.DUMMYFUNCTION("""COMPUTED_VALUE"""),"Kyrgyz Republic")</f>
        <v>Kyrgyz Republic</v>
      </c>
      <c r="D8515">
        <f>IFERROR(__xludf.DUMMYFUNCTION("""COMPUTED_VALUE"""),1998.0)</f>
        <v>1998</v>
      </c>
      <c r="E8515">
        <f>IFERROR(__xludf.DUMMYFUNCTION("""COMPUTED_VALUE"""),4786773.0)</f>
        <v>4786773</v>
      </c>
    </row>
    <row r="8516">
      <c r="A8516" t="str">
        <f t="shared" si="1"/>
        <v>kgz#1999</v>
      </c>
      <c r="B8516" t="str">
        <f>IFERROR(__xludf.DUMMYFUNCTION("""COMPUTED_VALUE"""),"kgz")</f>
        <v>kgz</v>
      </c>
      <c r="C8516" t="str">
        <f>IFERROR(__xludf.DUMMYFUNCTION("""COMPUTED_VALUE"""),"Kyrgyz Republic")</f>
        <v>Kyrgyz Republic</v>
      </c>
      <c r="D8516">
        <f>IFERROR(__xludf.DUMMYFUNCTION("""COMPUTED_VALUE"""),1999.0)</f>
        <v>1999</v>
      </c>
      <c r="E8516">
        <f>IFERROR(__xludf.DUMMYFUNCTION("""COMPUTED_VALUE"""),4861129.0)</f>
        <v>4861129</v>
      </c>
    </row>
    <row r="8517">
      <c r="A8517" t="str">
        <f t="shared" si="1"/>
        <v>kgz#2000</v>
      </c>
      <c r="B8517" t="str">
        <f>IFERROR(__xludf.DUMMYFUNCTION("""COMPUTED_VALUE"""),"kgz")</f>
        <v>kgz</v>
      </c>
      <c r="C8517" t="str">
        <f>IFERROR(__xludf.DUMMYFUNCTION("""COMPUTED_VALUE"""),"Kyrgyz Republic")</f>
        <v>Kyrgyz Republic</v>
      </c>
      <c r="D8517">
        <f>IFERROR(__xludf.DUMMYFUNCTION("""COMPUTED_VALUE"""),2000.0)</f>
        <v>2000</v>
      </c>
      <c r="E8517">
        <f>IFERROR(__xludf.DUMMYFUNCTION("""COMPUTED_VALUE"""),4920718.0)</f>
        <v>4920718</v>
      </c>
    </row>
    <row r="8518">
      <c r="A8518" t="str">
        <f t="shared" si="1"/>
        <v>kgz#2001</v>
      </c>
      <c r="B8518" t="str">
        <f>IFERROR(__xludf.DUMMYFUNCTION("""COMPUTED_VALUE"""),"kgz")</f>
        <v>kgz</v>
      </c>
      <c r="C8518" t="str">
        <f>IFERROR(__xludf.DUMMYFUNCTION("""COMPUTED_VALUE"""),"Kyrgyz Republic")</f>
        <v>Kyrgyz Republic</v>
      </c>
      <c r="D8518">
        <f>IFERROR(__xludf.DUMMYFUNCTION("""COMPUTED_VALUE"""),2001.0)</f>
        <v>2001</v>
      </c>
      <c r="E8518">
        <f>IFERROR(__xludf.DUMMYFUNCTION("""COMPUTED_VALUE"""),4962590.0)</f>
        <v>4962590</v>
      </c>
    </row>
    <row r="8519">
      <c r="A8519" t="str">
        <f t="shared" si="1"/>
        <v>kgz#2002</v>
      </c>
      <c r="B8519" t="str">
        <f>IFERROR(__xludf.DUMMYFUNCTION("""COMPUTED_VALUE"""),"kgz")</f>
        <v>kgz</v>
      </c>
      <c r="C8519" t="str">
        <f>IFERROR(__xludf.DUMMYFUNCTION("""COMPUTED_VALUE"""),"Kyrgyz Republic")</f>
        <v>Kyrgyz Republic</v>
      </c>
      <c r="D8519">
        <f>IFERROR(__xludf.DUMMYFUNCTION("""COMPUTED_VALUE"""),2002.0)</f>
        <v>2002</v>
      </c>
      <c r="E8519">
        <f>IFERROR(__xludf.DUMMYFUNCTION("""COMPUTED_VALUE"""),4990687.0)</f>
        <v>4990687</v>
      </c>
    </row>
    <row r="8520">
      <c r="A8520" t="str">
        <f t="shared" si="1"/>
        <v>kgz#2003</v>
      </c>
      <c r="B8520" t="str">
        <f>IFERROR(__xludf.DUMMYFUNCTION("""COMPUTED_VALUE"""),"kgz")</f>
        <v>kgz</v>
      </c>
      <c r="C8520" t="str">
        <f>IFERROR(__xludf.DUMMYFUNCTION("""COMPUTED_VALUE"""),"Kyrgyz Republic")</f>
        <v>Kyrgyz Republic</v>
      </c>
      <c r="D8520">
        <f>IFERROR(__xludf.DUMMYFUNCTION("""COMPUTED_VALUE"""),2003.0)</f>
        <v>2003</v>
      </c>
      <c r="E8520">
        <f>IFERROR(__xludf.DUMMYFUNCTION("""COMPUTED_VALUE"""),5012269.0)</f>
        <v>5012269</v>
      </c>
    </row>
    <row r="8521">
      <c r="A8521" t="str">
        <f t="shared" si="1"/>
        <v>kgz#2004</v>
      </c>
      <c r="B8521" t="str">
        <f>IFERROR(__xludf.DUMMYFUNCTION("""COMPUTED_VALUE"""),"kgz")</f>
        <v>kgz</v>
      </c>
      <c r="C8521" t="str">
        <f>IFERROR(__xludf.DUMMYFUNCTION("""COMPUTED_VALUE"""),"Kyrgyz Republic")</f>
        <v>Kyrgyz Republic</v>
      </c>
      <c r="D8521">
        <f>IFERROR(__xludf.DUMMYFUNCTION("""COMPUTED_VALUE"""),2004.0)</f>
        <v>2004</v>
      </c>
      <c r="E8521">
        <f>IFERROR(__xludf.DUMMYFUNCTION("""COMPUTED_VALUE"""),5037929.0)</f>
        <v>5037929</v>
      </c>
    </row>
    <row r="8522">
      <c r="A8522" t="str">
        <f t="shared" si="1"/>
        <v>kgz#2005</v>
      </c>
      <c r="B8522" t="str">
        <f>IFERROR(__xludf.DUMMYFUNCTION("""COMPUTED_VALUE"""),"kgz")</f>
        <v>kgz</v>
      </c>
      <c r="C8522" t="str">
        <f>IFERROR(__xludf.DUMMYFUNCTION("""COMPUTED_VALUE"""),"Kyrgyz Republic")</f>
        <v>Kyrgyz Republic</v>
      </c>
      <c r="D8522">
        <f>IFERROR(__xludf.DUMMYFUNCTION("""COMPUTED_VALUE"""),2005.0)</f>
        <v>2005</v>
      </c>
      <c r="E8522">
        <f>IFERROR(__xludf.DUMMYFUNCTION("""COMPUTED_VALUE"""),5075380.0)</f>
        <v>5075380</v>
      </c>
    </row>
    <row r="8523">
      <c r="A8523" t="str">
        <f t="shared" si="1"/>
        <v>kgz#2006</v>
      </c>
      <c r="B8523" t="str">
        <f>IFERROR(__xludf.DUMMYFUNCTION("""COMPUTED_VALUE"""),"kgz")</f>
        <v>kgz</v>
      </c>
      <c r="C8523" t="str">
        <f>IFERROR(__xludf.DUMMYFUNCTION("""COMPUTED_VALUE"""),"Kyrgyz Republic")</f>
        <v>Kyrgyz Republic</v>
      </c>
      <c r="D8523">
        <f>IFERROR(__xludf.DUMMYFUNCTION("""COMPUTED_VALUE"""),2006.0)</f>
        <v>2006</v>
      </c>
      <c r="E8523">
        <f>IFERROR(__xludf.DUMMYFUNCTION("""COMPUTED_VALUE"""),5126730.0)</f>
        <v>5126730</v>
      </c>
    </row>
    <row r="8524">
      <c r="A8524" t="str">
        <f t="shared" si="1"/>
        <v>kgz#2007</v>
      </c>
      <c r="B8524" t="str">
        <f>IFERROR(__xludf.DUMMYFUNCTION("""COMPUTED_VALUE"""),"kgz")</f>
        <v>kgz</v>
      </c>
      <c r="C8524" t="str">
        <f>IFERROR(__xludf.DUMMYFUNCTION("""COMPUTED_VALUE"""),"Kyrgyz Republic")</f>
        <v>Kyrgyz Republic</v>
      </c>
      <c r="D8524">
        <f>IFERROR(__xludf.DUMMYFUNCTION("""COMPUTED_VALUE"""),2007.0)</f>
        <v>2007</v>
      </c>
      <c r="E8524">
        <f>IFERROR(__xludf.DUMMYFUNCTION("""COMPUTED_VALUE"""),5189720.0)</f>
        <v>5189720</v>
      </c>
    </row>
    <row r="8525">
      <c r="A8525" t="str">
        <f t="shared" si="1"/>
        <v>kgz#2008</v>
      </c>
      <c r="B8525" t="str">
        <f>IFERROR(__xludf.DUMMYFUNCTION("""COMPUTED_VALUE"""),"kgz")</f>
        <v>kgz</v>
      </c>
      <c r="C8525" t="str">
        <f>IFERROR(__xludf.DUMMYFUNCTION("""COMPUTED_VALUE"""),"Kyrgyz Republic")</f>
        <v>Kyrgyz Republic</v>
      </c>
      <c r="D8525">
        <f>IFERROR(__xludf.DUMMYFUNCTION("""COMPUTED_VALUE"""),2008.0)</f>
        <v>2008</v>
      </c>
      <c r="E8525">
        <f>IFERROR(__xludf.DUMMYFUNCTION("""COMPUTED_VALUE"""),5262294.0)</f>
        <v>5262294</v>
      </c>
    </row>
    <row r="8526">
      <c r="A8526" t="str">
        <f t="shared" si="1"/>
        <v>kgz#2009</v>
      </c>
      <c r="B8526" t="str">
        <f>IFERROR(__xludf.DUMMYFUNCTION("""COMPUTED_VALUE"""),"kgz")</f>
        <v>kgz</v>
      </c>
      <c r="C8526" t="str">
        <f>IFERROR(__xludf.DUMMYFUNCTION("""COMPUTED_VALUE"""),"Kyrgyz Republic")</f>
        <v>Kyrgyz Republic</v>
      </c>
      <c r="D8526">
        <f>IFERROR(__xludf.DUMMYFUNCTION("""COMPUTED_VALUE"""),2009.0)</f>
        <v>2009</v>
      </c>
      <c r="E8526">
        <f>IFERROR(__xludf.DUMMYFUNCTION("""COMPUTED_VALUE"""),5340781.0)</f>
        <v>5340781</v>
      </c>
    </row>
    <row r="8527">
      <c r="A8527" t="str">
        <f t="shared" si="1"/>
        <v>kgz#2010</v>
      </c>
      <c r="B8527" t="str">
        <f>IFERROR(__xludf.DUMMYFUNCTION("""COMPUTED_VALUE"""),"kgz")</f>
        <v>kgz</v>
      </c>
      <c r="C8527" t="str">
        <f>IFERROR(__xludf.DUMMYFUNCTION("""COMPUTED_VALUE"""),"Kyrgyz Republic")</f>
        <v>Kyrgyz Republic</v>
      </c>
      <c r="D8527">
        <f>IFERROR(__xludf.DUMMYFUNCTION("""COMPUTED_VALUE"""),2010.0)</f>
        <v>2010</v>
      </c>
      <c r="E8527">
        <f>IFERROR(__xludf.DUMMYFUNCTION("""COMPUTED_VALUE"""),5422337.0)</f>
        <v>5422337</v>
      </c>
    </row>
    <row r="8528">
      <c r="A8528" t="str">
        <f t="shared" si="1"/>
        <v>kgz#2011</v>
      </c>
      <c r="B8528" t="str">
        <f>IFERROR(__xludf.DUMMYFUNCTION("""COMPUTED_VALUE"""),"kgz")</f>
        <v>kgz</v>
      </c>
      <c r="C8528" t="str">
        <f>IFERROR(__xludf.DUMMYFUNCTION("""COMPUTED_VALUE"""),"Kyrgyz Republic")</f>
        <v>Kyrgyz Republic</v>
      </c>
      <c r="D8528">
        <f>IFERROR(__xludf.DUMMYFUNCTION("""COMPUTED_VALUE"""),2011.0)</f>
        <v>2011</v>
      </c>
      <c r="E8528">
        <f>IFERROR(__xludf.DUMMYFUNCTION("""COMPUTED_VALUE"""),5506601.0)</f>
        <v>5506601</v>
      </c>
    </row>
    <row r="8529">
      <c r="A8529" t="str">
        <f t="shared" si="1"/>
        <v>kgz#2012</v>
      </c>
      <c r="B8529" t="str">
        <f>IFERROR(__xludf.DUMMYFUNCTION("""COMPUTED_VALUE"""),"kgz")</f>
        <v>kgz</v>
      </c>
      <c r="C8529" t="str">
        <f>IFERROR(__xludf.DUMMYFUNCTION("""COMPUTED_VALUE"""),"Kyrgyz Republic")</f>
        <v>Kyrgyz Republic</v>
      </c>
      <c r="D8529">
        <f>IFERROR(__xludf.DUMMYFUNCTION("""COMPUTED_VALUE"""),2012.0)</f>
        <v>2012</v>
      </c>
      <c r="E8529">
        <f>IFERROR(__xludf.DUMMYFUNCTION("""COMPUTED_VALUE"""),5594108.0)</f>
        <v>5594108</v>
      </c>
    </row>
    <row r="8530">
      <c r="A8530" t="str">
        <f t="shared" si="1"/>
        <v>kgz#2013</v>
      </c>
      <c r="B8530" t="str">
        <f>IFERROR(__xludf.DUMMYFUNCTION("""COMPUTED_VALUE"""),"kgz")</f>
        <v>kgz</v>
      </c>
      <c r="C8530" t="str">
        <f>IFERROR(__xludf.DUMMYFUNCTION("""COMPUTED_VALUE"""),"Kyrgyz Republic")</f>
        <v>Kyrgyz Republic</v>
      </c>
      <c r="D8530">
        <f>IFERROR(__xludf.DUMMYFUNCTION("""COMPUTED_VALUE"""),2013.0)</f>
        <v>2013</v>
      </c>
      <c r="E8530">
        <f>IFERROR(__xludf.DUMMYFUNCTION("""COMPUTED_VALUE"""),5683808.0)</f>
        <v>5683808</v>
      </c>
    </row>
    <row r="8531">
      <c r="A8531" t="str">
        <f t="shared" si="1"/>
        <v>kgz#2014</v>
      </c>
      <c r="B8531" t="str">
        <f>IFERROR(__xludf.DUMMYFUNCTION("""COMPUTED_VALUE"""),"kgz")</f>
        <v>kgz</v>
      </c>
      <c r="C8531" t="str">
        <f>IFERROR(__xludf.DUMMYFUNCTION("""COMPUTED_VALUE"""),"Kyrgyz Republic")</f>
        <v>Kyrgyz Republic</v>
      </c>
      <c r="D8531">
        <f>IFERROR(__xludf.DUMMYFUNCTION("""COMPUTED_VALUE"""),2014.0)</f>
        <v>2014</v>
      </c>
      <c r="E8531">
        <f>IFERROR(__xludf.DUMMYFUNCTION("""COMPUTED_VALUE"""),5774566.0)</f>
        <v>5774566</v>
      </c>
    </row>
    <row r="8532">
      <c r="A8532" t="str">
        <f t="shared" si="1"/>
        <v>kgz#2015</v>
      </c>
      <c r="B8532" t="str">
        <f>IFERROR(__xludf.DUMMYFUNCTION("""COMPUTED_VALUE"""),"kgz")</f>
        <v>kgz</v>
      </c>
      <c r="C8532" t="str">
        <f>IFERROR(__xludf.DUMMYFUNCTION("""COMPUTED_VALUE"""),"Kyrgyz Republic")</f>
        <v>Kyrgyz Republic</v>
      </c>
      <c r="D8532">
        <f>IFERROR(__xludf.DUMMYFUNCTION("""COMPUTED_VALUE"""),2015.0)</f>
        <v>2015</v>
      </c>
      <c r="E8532">
        <f>IFERROR(__xludf.DUMMYFUNCTION("""COMPUTED_VALUE"""),5865401.0)</f>
        <v>5865401</v>
      </c>
    </row>
    <row r="8533">
      <c r="A8533" t="str">
        <f t="shared" si="1"/>
        <v>kgz#2016</v>
      </c>
      <c r="B8533" t="str">
        <f>IFERROR(__xludf.DUMMYFUNCTION("""COMPUTED_VALUE"""),"kgz")</f>
        <v>kgz</v>
      </c>
      <c r="C8533" t="str">
        <f>IFERROR(__xludf.DUMMYFUNCTION("""COMPUTED_VALUE"""),"Kyrgyz Republic")</f>
        <v>Kyrgyz Republic</v>
      </c>
      <c r="D8533">
        <f>IFERROR(__xludf.DUMMYFUNCTION("""COMPUTED_VALUE"""),2016.0)</f>
        <v>2016</v>
      </c>
      <c r="E8533">
        <f>IFERROR(__xludf.DUMMYFUNCTION("""COMPUTED_VALUE"""),5955734.0)</f>
        <v>5955734</v>
      </c>
    </row>
    <row r="8534">
      <c r="A8534" t="str">
        <f t="shared" si="1"/>
        <v>kgz#2017</v>
      </c>
      <c r="B8534" t="str">
        <f>IFERROR(__xludf.DUMMYFUNCTION("""COMPUTED_VALUE"""),"kgz")</f>
        <v>kgz</v>
      </c>
      <c r="C8534" t="str">
        <f>IFERROR(__xludf.DUMMYFUNCTION("""COMPUTED_VALUE"""),"Kyrgyz Republic")</f>
        <v>Kyrgyz Republic</v>
      </c>
      <c r="D8534">
        <f>IFERROR(__xludf.DUMMYFUNCTION("""COMPUTED_VALUE"""),2017.0)</f>
        <v>2017</v>
      </c>
      <c r="E8534">
        <f>IFERROR(__xludf.DUMMYFUNCTION("""COMPUTED_VALUE"""),6045117.0)</f>
        <v>6045117</v>
      </c>
    </row>
    <row r="8535">
      <c r="A8535" t="str">
        <f t="shared" si="1"/>
        <v>kgz#2018</v>
      </c>
      <c r="B8535" t="str">
        <f>IFERROR(__xludf.DUMMYFUNCTION("""COMPUTED_VALUE"""),"kgz")</f>
        <v>kgz</v>
      </c>
      <c r="C8535" t="str">
        <f>IFERROR(__xludf.DUMMYFUNCTION("""COMPUTED_VALUE"""),"Kyrgyz Republic")</f>
        <v>Kyrgyz Republic</v>
      </c>
      <c r="D8535">
        <f>IFERROR(__xludf.DUMMYFUNCTION("""COMPUTED_VALUE"""),2018.0)</f>
        <v>2018</v>
      </c>
      <c r="E8535">
        <f>IFERROR(__xludf.DUMMYFUNCTION("""COMPUTED_VALUE"""),6132932.0)</f>
        <v>6132932</v>
      </c>
    </row>
    <row r="8536">
      <c r="A8536" t="str">
        <f t="shared" si="1"/>
        <v>kgz#2019</v>
      </c>
      <c r="B8536" t="str">
        <f>IFERROR(__xludf.DUMMYFUNCTION("""COMPUTED_VALUE"""),"kgz")</f>
        <v>kgz</v>
      </c>
      <c r="C8536" t="str">
        <f>IFERROR(__xludf.DUMMYFUNCTION("""COMPUTED_VALUE"""),"Kyrgyz Republic")</f>
        <v>Kyrgyz Republic</v>
      </c>
      <c r="D8536">
        <f>IFERROR(__xludf.DUMMYFUNCTION("""COMPUTED_VALUE"""),2019.0)</f>
        <v>2019</v>
      </c>
      <c r="E8536">
        <f>IFERROR(__xludf.DUMMYFUNCTION("""COMPUTED_VALUE"""),6218616.0)</f>
        <v>6218616</v>
      </c>
    </row>
    <row r="8537">
      <c r="A8537" t="str">
        <f t="shared" si="1"/>
        <v>kgz#2020</v>
      </c>
      <c r="B8537" t="str">
        <f>IFERROR(__xludf.DUMMYFUNCTION("""COMPUTED_VALUE"""),"kgz")</f>
        <v>kgz</v>
      </c>
      <c r="C8537" t="str">
        <f>IFERROR(__xludf.DUMMYFUNCTION("""COMPUTED_VALUE"""),"Kyrgyz Republic")</f>
        <v>Kyrgyz Republic</v>
      </c>
      <c r="D8537">
        <f>IFERROR(__xludf.DUMMYFUNCTION("""COMPUTED_VALUE"""),2020.0)</f>
        <v>2020</v>
      </c>
      <c r="E8537">
        <f>IFERROR(__xludf.DUMMYFUNCTION("""COMPUTED_VALUE"""),6301718.0)</f>
        <v>6301718</v>
      </c>
    </row>
    <row r="8538">
      <c r="A8538" t="str">
        <f t="shared" si="1"/>
        <v>kgz#2021</v>
      </c>
      <c r="B8538" t="str">
        <f>IFERROR(__xludf.DUMMYFUNCTION("""COMPUTED_VALUE"""),"kgz")</f>
        <v>kgz</v>
      </c>
      <c r="C8538" t="str">
        <f>IFERROR(__xludf.DUMMYFUNCTION("""COMPUTED_VALUE"""),"Kyrgyz Republic")</f>
        <v>Kyrgyz Republic</v>
      </c>
      <c r="D8538">
        <f>IFERROR(__xludf.DUMMYFUNCTION("""COMPUTED_VALUE"""),2021.0)</f>
        <v>2021</v>
      </c>
      <c r="E8538">
        <f>IFERROR(__xludf.DUMMYFUNCTION("""COMPUTED_VALUE"""),6381898.0)</f>
        <v>6381898</v>
      </c>
    </row>
    <row r="8539">
      <c r="A8539" t="str">
        <f t="shared" si="1"/>
        <v>kgz#2022</v>
      </c>
      <c r="B8539" t="str">
        <f>IFERROR(__xludf.DUMMYFUNCTION("""COMPUTED_VALUE"""),"kgz")</f>
        <v>kgz</v>
      </c>
      <c r="C8539" t="str">
        <f>IFERROR(__xludf.DUMMYFUNCTION("""COMPUTED_VALUE"""),"Kyrgyz Republic")</f>
        <v>Kyrgyz Republic</v>
      </c>
      <c r="D8539">
        <f>IFERROR(__xludf.DUMMYFUNCTION("""COMPUTED_VALUE"""),2022.0)</f>
        <v>2022</v>
      </c>
      <c r="E8539">
        <f>IFERROR(__xludf.DUMMYFUNCTION("""COMPUTED_VALUE"""),6459055.0)</f>
        <v>6459055</v>
      </c>
    </row>
    <row r="8540">
      <c r="A8540" t="str">
        <f t="shared" si="1"/>
        <v>kgz#2023</v>
      </c>
      <c r="B8540" t="str">
        <f>IFERROR(__xludf.DUMMYFUNCTION("""COMPUTED_VALUE"""),"kgz")</f>
        <v>kgz</v>
      </c>
      <c r="C8540" t="str">
        <f>IFERROR(__xludf.DUMMYFUNCTION("""COMPUTED_VALUE"""),"Kyrgyz Republic")</f>
        <v>Kyrgyz Republic</v>
      </c>
      <c r="D8540">
        <f>IFERROR(__xludf.DUMMYFUNCTION("""COMPUTED_VALUE"""),2023.0)</f>
        <v>2023</v>
      </c>
      <c r="E8540">
        <f>IFERROR(__xludf.DUMMYFUNCTION("""COMPUTED_VALUE"""),6533394.0)</f>
        <v>6533394</v>
      </c>
    </row>
    <row r="8541">
      <c r="A8541" t="str">
        <f t="shared" si="1"/>
        <v>kgz#2024</v>
      </c>
      <c r="B8541" t="str">
        <f>IFERROR(__xludf.DUMMYFUNCTION("""COMPUTED_VALUE"""),"kgz")</f>
        <v>kgz</v>
      </c>
      <c r="C8541" t="str">
        <f>IFERROR(__xludf.DUMMYFUNCTION("""COMPUTED_VALUE"""),"Kyrgyz Republic")</f>
        <v>Kyrgyz Republic</v>
      </c>
      <c r="D8541">
        <f>IFERROR(__xludf.DUMMYFUNCTION("""COMPUTED_VALUE"""),2024.0)</f>
        <v>2024</v>
      </c>
      <c r="E8541">
        <f>IFERROR(__xludf.DUMMYFUNCTION("""COMPUTED_VALUE"""),6605291.0)</f>
        <v>6605291</v>
      </c>
    </row>
    <row r="8542">
      <c r="A8542" t="str">
        <f t="shared" si="1"/>
        <v>kgz#2025</v>
      </c>
      <c r="B8542" t="str">
        <f>IFERROR(__xludf.DUMMYFUNCTION("""COMPUTED_VALUE"""),"kgz")</f>
        <v>kgz</v>
      </c>
      <c r="C8542" t="str">
        <f>IFERROR(__xludf.DUMMYFUNCTION("""COMPUTED_VALUE"""),"Kyrgyz Republic")</f>
        <v>Kyrgyz Republic</v>
      </c>
      <c r="D8542">
        <f>IFERROR(__xludf.DUMMYFUNCTION("""COMPUTED_VALUE"""),2025.0)</f>
        <v>2025</v>
      </c>
      <c r="E8542">
        <f>IFERROR(__xludf.DUMMYFUNCTION("""COMPUTED_VALUE"""),6675072.0)</f>
        <v>6675072</v>
      </c>
    </row>
    <row r="8543">
      <c r="A8543" t="str">
        <f t="shared" si="1"/>
        <v>kgz#2026</v>
      </c>
      <c r="B8543" t="str">
        <f>IFERROR(__xludf.DUMMYFUNCTION("""COMPUTED_VALUE"""),"kgz")</f>
        <v>kgz</v>
      </c>
      <c r="C8543" t="str">
        <f>IFERROR(__xludf.DUMMYFUNCTION("""COMPUTED_VALUE"""),"Kyrgyz Republic")</f>
        <v>Kyrgyz Republic</v>
      </c>
      <c r="D8543">
        <f>IFERROR(__xludf.DUMMYFUNCTION("""COMPUTED_VALUE"""),2026.0)</f>
        <v>2026</v>
      </c>
      <c r="E8543">
        <f>IFERROR(__xludf.DUMMYFUNCTION("""COMPUTED_VALUE"""),6742763.0)</f>
        <v>6742763</v>
      </c>
    </row>
    <row r="8544">
      <c r="A8544" t="str">
        <f t="shared" si="1"/>
        <v>kgz#2027</v>
      </c>
      <c r="B8544" t="str">
        <f>IFERROR(__xludf.DUMMYFUNCTION("""COMPUTED_VALUE"""),"kgz")</f>
        <v>kgz</v>
      </c>
      <c r="C8544" t="str">
        <f>IFERROR(__xludf.DUMMYFUNCTION("""COMPUTED_VALUE"""),"Kyrgyz Republic")</f>
        <v>Kyrgyz Republic</v>
      </c>
      <c r="D8544">
        <f>IFERROR(__xludf.DUMMYFUNCTION("""COMPUTED_VALUE"""),2027.0)</f>
        <v>2027</v>
      </c>
      <c r="E8544">
        <f>IFERROR(__xludf.DUMMYFUNCTION("""COMPUTED_VALUE"""),6808412.0)</f>
        <v>6808412</v>
      </c>
    </row>
    <row r="8545">
      <c r="A8545" t="str">
        <f t="shared" si="1"/>
        <v>kgz#2028</v>
      </c>
      <c r="B8545" t="str">
        <f>IFERROR(__xludf.DUMMYFUNCTION("""COMPUTED_VALUE"""),"kgz")</f>
        <v>kgz</v>
      </c>
      <c r="C8545" t="str">
        <f>IFERROR(__xludf.DUMMYFUNCTION("""COMPUTED_VALUE"""),"Kyrgyz Republic")</f>
        <v>Kyrgyz Republic</v>
      </c>
      <c r="D8545">
        <f>IFERROR(__xludf.DUMMYFUNCTION("""COMPUTED_VALUE"""),2028.0)</f>
        <v>2028</v>
      </c>
      <c r="E8545">
        <f>IFERROR(__xludf.DUMMYFUNCTION("""COMPUTED_VALUE"""),6872400.0)</f>
        <v>6872400</v>
      </c>
    </row>
    <row r="8546">
      <c r="A8546" t="str">
        <f t="shared" si="1"/>
        <v>kgz#2029</v>
      </c>
      <c r="B8546" t="str">
        <f>IFERROR(__xludf.DUMMYFUNCTION("""COMPUTED_VALUE"""),"kgz")</f>
        <v>kgz</v>
      </c>
      <c r="C8546" t="str">
        <f>IFERROR(__xludf.DUMMYFUNCTION("""COMPUTED_VALUE"""),"Kyrgyz Republic")</f>
        <v>Kyrgyz Republic</v>
      </c>
      <c r="D8546">
        <f>IFERROR(__xludf.DUMMYFUNCTION("""COMPUTED_VALUE"""),2029.0)</f>
        <v>2029</v>
      </c>
      <c r="E8546">
        <f>IFERROR(__xludf.DUMMYFUNCTION("""COMPUTED_VALUE"""),6935224.0)</f>
        <v>6935224</v>
      </c>
    </row>
    <row r="8547">
      <c r="A8547" t="str">
        <f t="shared" si="1"/>
        <v>kgz#2030</v>
      </c>
      <c r="B8547" t="str">
        <f>IFERROR(__xludf.DUMMYFUNCTION("""COMPUTED_VALUE"""),"kgz")</f>
        <v>kgz</v>
      </c>
      <c r="C8547" t="str">
        <f>IFERROR(__xludf.DUMMYFUNCTION("""COMPUTED_VALUE"""),"Kyrgyz Republic")</f>
        <v>Kyrgyz Republic</v>
      </c>
      <c r="D8547">
        <f>IFERROR(__xludf.DUMMYFUNCTION("""COMPUTED_VALUE"""),2030.0)</f>
        <v>2030</v>
      </c>
      <c r="E8547">
        <f>IFERROR(__xludf.DUMMYFUNCTION("""COMPUTED_VALUE"""),6997284.0)</f>
        <v>6997284</v>
      </c>
    </row>
    <row r="8548">
      <c r="A8548" t="str">
        <f t="shared" si="1"/>
        <v>kgz#2031</v>
      </c>
      <c r="B8548" t="str">
        <f>IFERROR(__xludf.DUMMYFUNCTION("""COMPUTED_VALUE"""),"kgz")</f>
        <v>kgz</v>
      </c>
      <c r="C8548" t="str">
        <f>IFERROR(__xludf.DUMMYFUNCTION("""COMPUTED_VALUE"""),"Kyrgyz Republic")</f>
        <v>Kyrgyz Republic</v>
      </c>
      <c r="D8548">
        <f>IFERROR(__xludf.DUMMYFUNCTION("""COMPUTED_VALUE"""),2031.0)</f>
        <v>2031</v>
      </c>
      <c r="E8548">
        <f>IFERROR(__xludf.DUMMYFUNCTION("""COMPUTED_VALUE"""),7058739.0)</f>
        <v>7058739</v>
      </c>
    </row>
    <row r="8549">
      <c r="A8549" t="str">
        <f t="shared" si="1"/>
        <v>kgz#2032</v>
      </c>
      <c r="B8549" t="str">
        <f>IFERROR(__xludf.DUMMYFUNCTION("""COMPUTED_VALUE"""),"kgz")</f>
        <v>kgz</v>
      </c>
      <c r="C8549" t="str">
        <f>IFERROR(__xludf.DUMMYFUNCTION("""COMPUTED_VALUE"""),"Kyrgyz Republic")</f>
        <v>Kyrgyz Republic</v>
      </c>
      <c r="D8549">
        <f>IFERROR(__xludf.DUMMYFUNCTION("""COMPUTED_VALUE"""),2032.0)</f>
        <v>2032</v>
      </c>
      <c r="E8549">
        <f>IFERROR(__xludf.DUMMYFUNCTION("""COMPUTED_VALUE"""),7119629.0)</f>
        <v>7119629</v>
      </c>
    </row>
    <row r="8550">
      <c r="A8550" t="str">
        <f t="shared" si="1"/>
        <v>kgz#2033</v>
      </c>
      <c r="B8550" t="str">
        <f>IFERROR(__xludf.DUMMYFUNCTION("""COMPUTED_VALUE"""),"kgz")</f>
        <v>kgz</v>
      </c>
      <c r="C8550" t="str">
        <f>IFERROR(__xludf.DUMMYFUNCTION("""COMPUTED_VALUE"""),"Kyrgyz Republic")</f>
        <v>Kyrgyz Republic</v>
      </c>
      <c r="D8550">
        <f>IFERROR(__xludf.DUMMYFUNCTION("""COMPUTED_VALUE"""),2033.0)</f>
        <v>2033</v>
      </c>
      <c r="E8550">
        <f>IFERROR(__xludf.DUMMYFUNCTION("""COMPUTED_VALUE"""),7180113.0)</f>
        <v>7180113</v>
      </c>
    </row>
    <row r="8551">
      <c r="A8551" t="str">
        <f t="shared" si="1"/>
        <v>kgz#2034</v>
      </c>
      <c r="B8551" t="str">
        <f>IFERROR(__xludf.DUMMYFUNCTION("""COMPUTED_VALUE"""),"kgz")</f>
        <v>kgz</v>
      </c>
      <c r="C8551" t="str">
        <f>IFERROR(__xludf.DUMMYFUNCTION("""COMPUTED_VALUE"""),"Kyrgyz Republic")</f>
        <v>Kyrgyz Republic</v>
      </c>
      <c r="D8551">
        <f>IFERROR(__xludf.DUMMYFUNCTION("""COMPUTED_VALUE"""),2034.0)</f>
        <v>2034</v>
      </c>
      <c r="E8551">
        <f>IFERROR(__xludf.DUMMYFUNCTION("""COMPUTED_VALUE"""),7240301.0)</f>
        <v>7240301</v>
      </c>
    </row>
    <row r="8552">
      <c r="A8552" t="str">
        <f t="shared" si="1"/>
        <v>kgz#2035</v>
      </c>
      <c r="B8552" t="str">
        <f>IFERROR(__xludf.DUMMYFUNCTION("""COMPUTED_VALUE"""),"kgz")</f>
        <v>kgz</v>
      </c>
      <c r="C8552" t="str">
        <f>IFERROR(__xludf.DUMMYFUNCTION("""COMPUTED_VALUE"""),"Kyrgyz Republic")</f>
        <v>Kyrgyz Republic</v>
      </c>
      <c r="D8552">
        <f>IFERROR(__xludf.DUMMYFUNCTION("""COMPUTED_VALUE"""),2035.0)</f>
        <v>2035</v>
      </c>
      <c r="E8552">
        <f>IFERROR(__xludf.DUMMYFUNCTION("""COMPUTED_VALUE"""),7300284.0)</f>
        <v>7300284</v>
      </c>
    </row>
    <row r="8553">
      <c r="A8553" t="str">
        <f t="shared" si="1"/>
        <v>kgz#2036</v>
      </c>
      <c r="B8553" t="str">
        <f>IFERROR(__xludf.DUMMYFUNCTION("""COMPUTED_VALUE"""),"kgz")</f>
        <v>kgz</v>
      </c>
      <c r="C8553" t="str">
        <f>IFERROR(__xludf.DUMMYFUNCTION("""COMPUTED_VALUE"""),"Kyrgyz Republic")</f>
        <v>Kyrgyz Republic</v>
      </c>
      <c r="D8553">
        <f>IFERROR(__xludf.DUMMYFUNCTION("""COMPUTED_VALUE"""),2036.0)</f>
        <v>2036</v>
      </c>
      <c r="E8553">
        <f>IFERROR(__xludf.DUMMYFUNCTION("""COMPUTED_VALUE"""),7360133.0)</f>
        <v>7360133</v>
      </c>
    </row>
    <row r="8554">
      <c r="A8554" t="str">
        <f t="shared" si="1"/>
        <v>kgz#2037</v>
      </c>
      <c r="B8554" t="str">
        <f>IFERROR(__xludf.DUMMYFUNCTION("""COMPUTED_VALUE"""),"kgz")</f>
        <v>kgz</v>
      </c>
      <c r="C8554" t="str">
        <f>IFERROR(__xludf.DUMMYFUNCTION("""COMPUTED_VALUE"""),"Kyrgyz Republic")</f>
        <v>Kyrgyz Republic</v>
      </c>
      <c r="D8554">
        <f>IFERROR(__xludf.DUMMYFUNCTION("""COMPUTED_VALUE"""),2037.0)</f>
        <v>2037</v>
      </c>
      <c r="E8554">
        <f>IFERROR(__xludf.DUMMYFUNCTION("""COMPUTED_VALUE"""),7419811.0)</f>
        <v>7419811</v>
      </c>
    </row>
    <row r="8555">
      <c r="A8555" t="str">
        <f t="shared" si="1"/>
        <v>kgz#2038</v>
      </c>
      <c r="B8555" t="str">
        <f>IFERROR(__xludf.DUMMYFUNCTION("""COMPUTED_VALUE"""),"kgz")</f>
        <v>kgz</v>
      </c>
      <c r="C8555" t="str">
        <f>IFERROR(__xludf.DUMMYFUNCTION("""COMPUTED_VALUE"""),"Kyrgyz Republic")</f>
        <v>Kyrgyz Republic</v>
      </c>
      <c r="D8555">
        <f>IFERROR(__xludf.DUMMYFUNCTION("""COMPUTED_VALUE"""),2038.0)</f>
        <v>2038</v>
      </c>
      <c r="E8555">
        <f>IFERROR(__xludf.DUMMYFUNCTION("""COMPUTED_VALUE"""),7479195.0)</f>
        <v>7479195</v>
      </c>
    </row>
    <row r="8556">
      <c r="A8556" t="str">
        <f t="shared" si="1"/>
        <v>kgz#2039</v>
      </c>
      <c r="B8556" t="str">
        <f>IFERROR(__xludf.DUMMYFUNCTION("""COMPUTED_VALUE"""),"kgz")</f>
        <v>kgz</v>
      </c>
      <c r="C8556" t="str">
        <f>IFERROR(__xludf.DUMMYFUNCTION("""COMPUTED_VALUE"""),"Kyrgyz Republic")</f>
        <v>Kyrgyz Republic</v>
      </c>
      <c r="D8556">
        <f>IFERROR(__xludf.DUMMYFUNCTION("""COMPUTED_VALUE"""),2039.0)</f>
        <v>2039</v>
      </c>
      <c r="E8556">
        <f>IFERROR(__xludf.DUMMYFUNCTION("""COMPUTED_VALUE"""),7538049.0)</f>
        <v>7538049</v>
      </c>
    </row>
    <row r="8557">
      <c r="A8557" t="str">
        <f t="shared" si="1"/>
        <v>kgz#2040</v>
      </c>
      <c r="B8557" t="str">
        <f>IFERROR(__xludf.DUMMYFUNCTION("""COMPUTED_VALUE"""),"kgz")</f>
        <v>kgz</v>
      </c>
      <c r="C8557" t="str">
        <f>IFERROR(__xludf.DUMMYFUNCTION("""COMPUTED_VALUE"""),"Kyrgyz Republic")</f>
        <v>Kyrgyz Republic</v>
      </c>
      <c r="D8557">
        <f>IFERROR(__xludf.DUMMYFUNCTION("""COMPUTED_VALUE"""),2040.0)</f>
        <v>2040</v>
      </c>
      <c r="E8557">
        <f>IFERROR(__xludf.DUMMYFUNCTION("""COMPUTED_VALUE"""),7596178.0)</f>
        <v>7596178</v>
      </c>
    </row>
    <row r="8558">
      <c r="A8558" t="str">
        <f t="shared" si="1"/>
        <v>lao#1950</v>
      </c>
      <c r="B8558" t="str">
        <f>IFERROR(__xludf.DUMMYFUNCTION("""COMPUTED_VALUE"""),"lao")</f>
        <v>lao</v>
      </c>
      <c r="C8558" t="str">
        <f>IFERROR(__xludf.DUMMYFUNCTION("""COMPUTED_VALUE"""),"Lao")</f>
        <v>Lao</v>
      </c>
      <c r="D8558">
        <f>IFERROR(__xludf.DUMMYFUNCTION("""COMPUTED_VALUE"""),1950.0)</f>
        <v>1950</v>
      </c>
      <c r="E8558">
        <f>IFERROR(__xludf.DUMMYFUNCTION("""COMPUTED_VALUE"""),1682915.0)</f>
        <v>1682915</v>
      </c>
    </row>
    <row r="8559">
      <c r="A8559" t="str">
        <f t="shared" si="1"/>
        <v>lao#1951</v>
      </c>
      <c r="B8559" t="str">
        <f>IFERROR(__xludf.DUMMYFUNCTION("""COMPUTED_VALUE"""),"lao")</f>
        <v>lao</v>
      </c>
      <c r="C8559" t="str">
        <f>IFERROR(__xludf.DUMMYFUNCTION("""COMPUTED_VALUE"""),"Lao")</f>
        <v>Lao</v>
      </c>
      <c r="D8559">
        <f>IFERROR(__xludf.DUMMYFUNCTION("""COMPUTED_VALUE"""),1951.0)</f>
        <v>1951</v>
      </c>
      <c r="E8559">
        <f>IFERROR(__xludf.DUMMYFUNCTION("""COMPUTED_VALUE"""),1723162.0)</f>
        <v>1723162</v>
      </c>
    </row>
    <row r="8560">
      <c r="A8560" t="str">
        <f t="shared" si="1"/>
        <v>lao#1952</v>
      </c>
      <c r="B8560" t="str">
        <f>IFERROR(__xludf.DUMMYFUNCTION("""COMPUTED_VALUE"""),"lao")</f>
        <v>lao</v>
      </c>
      <c r="C8560" t="str">
        <f>IFERROR(__xludf.DUMMYFUNCTION("""COMPUTED_VALUE"""),"Lao")</f>
        <v>Lao</v>
      </c>
      <c r="D8560">
        <f>IFERROR(__xludf.DUMMYFUNCTION("""COMPUTED_VALUE"""),1952.0)</f>
        <v>1952</v>
      </c>
      <c r="E8560">
        <f>IFERROR(__xludf.DUMMYFUNCTION("""COMPUTED_VALUE"""),1764007.0)</f>
        <v>1764007</v>
      </c>
    </row>
    <row r="8561">
      <c r="A8561" t="str">
        <f t="shared" si="1"/>
        <v>lao#1953</v>
      </c>
      <c r="B8561" t="str">
        <f>IFERROR(__xludf.DUMMYFUNCTION("""COMPUTED_VALUE"""),"lao")</f>
        <v>lao</v>
      </c>
      <c r="C8561" t="str">
        <f>IFERROR(__xludf.DUMMYFUNCTION("""COMPUTED_VALUE"""),"Lao")</f>
        <v>Lao</v>
      </c>
      <c r="D8561">
        <f>IFERROR(__xludf.DUMMYFUNCTION("""COMPUTED_VALUE"""),1953.0)</f>
        <v>1953</v>
      </c>
      <c r="E8561">
        <f>IFERROR(__xludf.DUMMYFUNCTION("""COMPUTED_VALUE"""),1805515.0)</f>
        <v>1805515</v>
      </c>
    </row>
    <row r="8562">
      <c r="A8562" t="str">
        <f t="shared" si="1"/>
        <v>lao#1954</v>
      </c>
      <c r="B8562" t="str">
        <f>IFERROR(__xludf.DUMMYFUNCTION("""COMPUTED_VALUE"""),"lao")</f>
        <v>lao</v>
      </c>
      <c r="C8562" t="str">
        <f>IFERROR(__xludf.DUMMYFUNCTION("""COMPUTED_VALUE"""),"Lao")</f>
        <v>Lao</v>
      </c>
      <c r="D8562">
        <f>IFERROR(__xludf.DUMMYFUNCTION("""COMPUTED_VALUE"""),1954.0)</f>
        <v>1954</v>
      </c>
      <c r="E8562">
        <f>IFERROR(__xludf.DUMMYFUNCTION("""COMPUTED_VALUE"""),1847775.0)</f>
        <v>1847775</v>
      </c>
    </row>
    <row r="8563">
      <c r="A8563" t="str">
        <f t="shared" si="1"/>
        <v>lao#1955</v>
      </c>
      <c r="B8563" t="str">
        <f>IFERROR(__xludf.DUMMYFUNCTION("""COMPUTED_VALUE"""),"lao")</f>
        <v>lao</v>
      </c>
      <c r="C8563" t="str">
        <f>IFERROR(__xludf.DUMMYFUNCTION("""COMPUTED_VALUE"""),"Lao")</f>
        <v>Lao</v>
      </c>
      <c r="D8563">
        <f>IFERROR(__xludf.DUMMYFUNCTION("""COMPUTED_VALUE"""),1955.0)</f>
        <v>1955</v>
      </c>
      <c r="E8563">
        <f>IFERROR(__xludf.DUMMYFUNCTION("""COMPUTED_VALUE"""),1890852.0)</f>
        <v>1890852</v>
      </c>
    </row>
    <row r="8564">
      <c r="A8564" t="str">
        <f t="shared" si="1"/>
        <v>lao#1956</v>
      </c>
      <c r="B8564" t="str">
        <f>IFERROR(__xludf.DUMMYFUNCTION("""COMPUTED_VALUE"""),"lao")</f>
        <v>lao</v>
      </c>
      <c r="C8564" t="str">
        <f>IFERROR(__xludf.DUMMYFUNCTION("""COMPUTED_VALUE"""),"Lao")</f>
        <v>Lao</v>
      </c>
      <c r="D8564">
        <f>IFERROR(__xludf.DUMMYFUNCTION("""COMPUTED_VALUE"""),1956.0)</f>
        <v>1956</v>
      </c>
      <c r="E8564">
        <f>IFERROR(__xludf.DUMMYFUNCTION("""COMPUTED_VALUE"""),1934812.0)</f>
        <v>1934812</v>
      </c>
    </row>
    <row r="8565">
      <c r="A8565" t="str">
        <f t="shared" si="1"/>
        <v>lao#1957</v>
      </c>
      <c r="B8565" t="str">
        <f>IFERROR(__xludf.DUMMYFUNCTION("""COMPUTED_VALUE"""),"lao")</f>
        <v>lao</v>
      </c>
      <c r="C8565" t="str">
        <f>IFERROR(__xludf.DUMMYFUNCTION("""COMPUTED_VALUE"""),"Lao")</f>
        <v>Lao</v>
      </c>
      <c r="D8565">
        <f>IFERROR(__xludf.DUMMYFUNCTION("""COMPUTED_VALUE"""),1957.0)</f>
        <v>1957</v>
      </c>
      <c r="E8565">
        <f>IFERROR(__xludf.DUMMYFUNCTION("""COMPUTED_VALUE"""),1979729.0)</f>
        <v>1979729</v>
      </c>
    </row>
    <row r="8566">
      <c r="A8566" t="str">
        <f t="shared" si="1"/>
        <v>lao#1958</v>
      </c>
      <c r="B8566" t="str">
        <f>IFERROR(__xludf.DUMMYFUNCTION("""COMPUTED_VALUE"""),"lao")</f>
        <v>lao</v>
      </c>
      <c r="C8566" t="str">
        <f>IFERROR(__xludf.DUMMYFUNCTION("""COMPUTED_VALUE"""),"Lao")</f>
        <v>Lao</v>
      </c>
      <c r="D8566">
        <f>IFERROR(__xludf.DUMMYFUNCTION("""COMPUTED_VALUE"""),1958.0)</f>
        <v>1958</v>
      </c>
      <c r="E8566">
        <f>IFERROR(__xludf.DUMMYFUNCTION("""COMPUTED_VALUE"""),2025666.0)</f>
        <v>2025666</v>
      </c>
    </row>
    <row r="8567">
      <c r="A8567" t="str">
        <f t="shared" si="1"/>
        <v>lao#1959</v>
      </c>
      <c r="B8567" t="str">
        <f>IFERROR(__xludf.DUMMYFUNCTION("""COMPUTED_VALUE"""),"lao")</f>
        <v>lao</v>
      </c>
      <c r="C8567" t="str">
        <f>IFERROR(__xludf.DUMMYFUNCTION("""COMPUTED_VALUE"""),"Lao")</f>
        <v>Lao</v>
      </c>
      <c r="D8567">
        <f>IFERROR(__xludf.DUMMYFUNCTION("""COMPUTED_VALUE"""),1959.0)</f>
        <v>1959</v>
      </c>
      <c r="E8567">
        <f>IFERROR(__xludf.DUMMYFUNCTION("""COMPUTED_VALUE"""),2072699.0)</f>
        <v>2072699</v>
      </c>
    </row>
    <row r="8568">
      <c r="A8568" t="str">
        <f t="shared" si="1"/>
        <v>lao#1960</v>
      </c>
      <c r="B8568" t="str">
        <f>IFERROR(__xludf.DUMMYFUNCTION("""COMPUTED_VALUE"""),"lao")</f>
        <v>lao</v>
      </c>
      <c r="C8568" t="str">
        <f>IFERROR(__xludf.DUMMYFUNCTION("""COMPUTED_VALUE"""),"Lao")</f>
        <v>Lao</v>
      </c>
      <c r="D8568">
        <f>IFERROR(__xludf.DUMMYFUNCTION("""COMPUTED_VALUE"""),1960.0)</f>
        <v>1960</v>
      </c>
      <c r="E8568">
        <f>IFERROR(__xludf.DUMMYFUNCTION("""COMPUTED_VALUE"""),2120896.0)</f>
        <v>2120896</v>
      </c>
    </row>
    <row r="8569">
      <c r="A8569" t="str">
        <f t="shared" si="1"/>
        <v>lao#1961</v>
      </c>
      <c r="B8569" t="str">
        <f>IFERROR(__xludf.DUMMYFUNCTION("""COMPUTED_VALUE"""),"lao")</f>
        <v>lao</v>
      </c>
      <c r="C8569" t="str">
        <f>IFERROR(__xludf.DUMMYFUNCTION("""COMPUTED_VALUE"""),"Lao")</f>
        <v>Lao</v>
      </c>
      <c r="D8569">
        <f>IFERROR(__xludf.DUMMYFUNCTION("""COMPUTED_VALUE"""),1961.0)</f>
        <v>1961</v>
      </c>
      <c r="E8569">
        <f>IFERROR(__xludf.DUMMYFUNCTION("""COMPUTED_VALUE"""),2170343.0)</f>
        <v>2170343</v>
      </c>
    </row>
    <row r="8570">
      <c r="A8570" t="str">
        <f t="shared" si="1"/>
        <v>lao#1962</v>
      </c>
      <c r="B8570" t="str">
        <f>IFERROR(__xludf.DUMMYFUNCTION("""COMPUTED_VALUE"""),"lao")</f>
        <v>lao</v>
      </c>
      <c r="C8570" t="str">
        <f>IFERROR(__xludf.DUMMYFUNCTION("""COMPUTED_VALUE"""),"Lao")</f>
        <v>Lao</v>
      </c>
      <c r="D8570">
        <f>IFERROR(__xludf.DUMMYFUNCTION("""COMPUTED_VALUE"""),1962.0)</f>
        <v>1962</v>
      </c>
      <c r="E8570">
        <f>IFERROR(__xludf.DUMMYFUNCTION("""COMPUTED_VALUE"""),2221122.0)</f>
        <v>2221122</v>
      </c>
    </row>
    <row r="8571">
      <c r="A8571" t="str">
        <f t="shared" si="1"/>
        <v>lao#1963</v>
      </c>
      <c r="B8571" t="str">
        <f>IFERROR(__xludf.DUMMYFUNCTION("""COMPUTED_VALUE"""),"lao")</f>
        <v>lao</v>
      </c>
      <c r="C8571" t="str">
        <f>IFERROR(__xludf.DUMMYFUNCTION("""COMPUTED_VALUE"""),"Lao")</f>
        <v>Lao</v>
      </c>
      <c r="D8571">
        <f>IFERROR(__xludf.DUMMYFUNCTION("""COMPUTED_VALUE"""),1963.0)</f>
        <v>1963</v>
      </c>
      <c r="E8571">
        <f>IFERROR(__xludf.DUMMYFUNCTION("""COMPUTED_VALUE"""),2273349.0)</f>
        <v>2273349</v>
      </c>
    </row>
    <row r="8572">
      <c r="A8572" t="str">
        <f t="shared" si="1"/>
        <v>lao#1964</v>
      </c>
      <c r="B8572" t="str">
        <f>IFERROR(__xludf.DUMMYFUNCTION("""COMPUTED_VALUE"""),"lao")</f>
        <v>lao</v>
      </c>
      <c r="C8572" t="str">
        <f>IFERROR(__xludf.DUMMYFUNCTION("""COMPUTED_VALUE"""),"Lao")</f>
        <v>Lao</v>
      </c>
      <c r="D8572">
        <f>IFERROR(__xludf.DUMMYFUNCTION("""COMPUTED_VALUE"""),1964.0)</f>
        <v>1964</v>
      </c>
      <c r="E8572">
        <f>IFERROR(__xludf.DUMMYFUNCTION("""COMPUTED_VALUE"""),2327137.0)</f>
        <v>2327137</v>
      </c>
    </row>
    <row r="8573">
      <c r="A8573" t="str">
        <f t="shared" si="1"/>
        <v>lao#1965</v>
      </c>
      <c r="B8573" t="str">
        <f>IFERROR(__xludf.DUMMYFUNCTION("""COMPUTED_VALUE"""),"lao")</f>
        <v>lao</v>
      </c>
      <c r="C8573" t="str">
        <f>IFERROR(__xludf.DUMMYFUNCTION("""COMPUTED_VALUE"""),"Lao")</f>
        <v>Lao</v>
      </c>
      <c r="D8573">
        <f>IFERROR(__xludf.DUMMYFUNCTION("""COMPUTED_VALUE"""),1965.0)</f>
        <v>1965</v>
      </c>
      <c r="E8573">
        <f>IFERROR(__xludf.DUMMYFUNCTION("""COMPUTED_VALUE"""),2382594.0)</f>
        <v>2382594</v>
      </c>
    </row>
    <row r="8574">
      <c r="A8574" t="str">
        <f t="shared" si="1"/>
        <v>lao#1966</v>
      </c>
      <c r="B8574" t="str">
        <f>IFERROR(__xludf.DUMMYFUNCTION("""COMPUTED_VALUE"""),"lao")</f>
        <v>lao</v>
      </c>
      <c r="C8574" t="str">
        <f>IFERROR(__xludf.DUMMYFUNCTION("""COMPUTED_VALUE"""),"Lao")</f>
        <v>Lao</v>
      </c>
      <c r="D8574">
        <f>IFERROR(__xludf.DUMMYFUNCTION("""COMPUTED_VALUE"""),1966.0)</f>
        <v>1966</v>
      </c>
      <c r="E8574">
        <f>IFERROR(__xludf.DUMMYFUNCTION("""COMPUTED_VALUE"""),2439196.0)</f>
        <v>2439196</v>
      </c>
    </row>
    <row r="8575">
      <c r="A8575" t="str">
        <f t="shared" si="1"/>
        <v>lao#1967</v>
      </c>
      <c r="B8575" t="str">
        <f>IFERROR(__xludf.DUMMYFUNCTION("""COMPUTED_VALUE"""),"lao")</f>
        <v>lao</v>
      </c>
      <c r="C8575" t="str">
        <f>IFERROR(__xludf.DUMMYFUNCTION("""COMPUTED_VALUE"""),"Lao")</f>
        <v>Lao</v>
      </c>
      <c r="D8575">
        <f>IFERROR(__xludf.DUMMYFUNCTION("""COMPUTED_VALUE"""),1967.0)</f>
        <v>1967</v>
      </c>
      <c r="E8575">
        <f>IFERROR(__xludf.DUMMYFUNCTION("""COMPUTED_VALUE"""),2496920.0)</f>
        <v>2496920</v>
      </c>
    </row>
    <row r="8576">
      <c r="A8576" t="str">
        <f t="shared" si="1"/>
        <v>lao#1968</v>
      </c>
      <c r="B8576" t="str">
        <f>IFERROR(__xludf.DUMMYFUNCTION("""COMPUTED_VALUE"""),"lao")</f>
        <v>lao</v>
      </c>
      <c r="C8576" t="str">
        <f>IFERROR(__xludf.DUMMYFUNCTION("""COMPUTED_VALUE"""),"Lao")</f>
        <v>Lao</v>
      </c>
      <c r="D8576">
        <f>IFERROR(__xludf.DUMMYFUNCTION("""COMPUTED_VALUE"""),1968.0)</f>
        <v>1968</v>
      </c>
      <c r="E8576">
        <f>IFERROR(__xludf.DUMMYFUNCTION("""COMPUTED_VALUE"""),2556852.0)</f>
        <v>2556852</v>
      </c>
    </row>
    <row r="8577">
      <c r="A8577" t="str">
        <f t="shared" si="1"/>
        <v>lao#1969</v>
      </c>
      <c r="B8577" t="str">
        <f>IFERROR(__xludf.DUMMYFUNCTION("""COMPUTED_VALUE"""),"lao")</f>
        <v>lao</v>
      </c>
      <c r="C8577" t="str">
        <f>IFERROR(__xludf.DUMMYFUNCTION("""COMPUTED_VALUE"""),"Lao")</f>
        <v>Lao</v>
      </c>
      <c r="D8577">
        <f>IFERROR(__xludf.DUMMYFUNCTION("""COMPUTED_VALUE"""),1969.0)</f>
        <v>1969</v>
      </c>
      <c r="E8577">
        <f>IFERROR(__xludf.DUMMYFUNCTION("""COMPUTED_VALUE"""),2620434.0)</f>
        <v>2620434</v>
      </c>
    </row>
    <row r="8578">
      <c r="A8578" t="str">
        <f t="shared" si="1"/>
        <v>lao#1970</v>
      </c>
      <c r="B8578" t="str">
        <f>IFERROR(__xludf.DUMMYFUNCTION("""COMPUTED_VALUE"""),"lao")</f>
        <v>lao</v>
      </c>
      <c r="C8578" t="str">
        <f>IFERROR(__xludf.DUMMYFUNCTION("""COMPUTED_VALUE"""),"Lao")</f>
        <v>Lao</v>
      </c>
      <c r="D8578">
        <f>IFERROR(__xludf.DUMMYFUNCTION("""COMPUTED_VALUE"""),1970.0)</f>
        <v>1970</v>
      </c>
      <c r="E8578">
        <f>IFERROR(__xludf.DUMMYFUNCTION("""COMPUTED_VALUE"""),2688428.0)</f>
        <v>2688428</v>
      </c>
    </row>
    <row r="8579">
      <c r="A8579" t="str">
        <f t="shared" si="1"/>
        <v>lao#1971</v>
      </c>
      <c r="B8579" t="str">
        <f>IFERROR(__xludf.DUMMYFUNCTION("""COMPUTED_VALUE"""),"lao")</f>
        <v>lao</v>
      </c>
      <c r="C8579" t="str">
        <f>IFERROR(__xludf.DUMMYFUNCTION("""COMPUTED_VALUE"""),"Lao")</f>
        <v>Lao</v>
      </c>
      <c r="D8579">
        <f>IFERROR(__xludf.DUMMYFUNCTION("""COMPUTED_VALUE"""),1971.0)</f>
        <v>1971</v>
      </c>
      <c r="E8579">
        <f>IFERROR(__xludf.DUMMYFUNCTION("""COMPUTED_VALUE"""),2762265.0)</f>
        <v>2762265</v>
      </c>
    </row>
    <row r="8580">
      <c r="A8580" t="str">
        <f t="shared" si="1"/>
        <v>lao#1972</v>
      </c>
      <c r="B8580" t="str">
        <f>IFERROR(__xludf.DUMMYFUNCTION("""COMPUTED_VALUE"""),"lao")</f>
        <v>lao</v>
      </c>
      <c r="C8580" t="str">
        <f>IFERROR(__xludf.DUMMYFUNCTION("""COMPUTED_VALUE"""),"Lao")</f>
        <v>Lao</v>
      </c>
      <c r="D8580">
        <f>IFERROR(__xludf.DUMMYFUNCTION("""COMPUTED_VALUE"""),1972.0)</f>
        <v>1972</v>
      </c>
      <c r="E8580">
        <f>IFERROR(__xludf.DUMMYFUNCTION("""COMPUTED_VALUE"""),2840841.0)</f>
        <v>2840841</v>
      </c>
    </row>
    <row r="8581">
      <c r="A8581" t="str">
        <f t="shared" si="1"/>
        <v>lao#1973</v>
      </c>
      <c r="B8581" t="str">
        <f>IFERROR(__xludf.DUMMYFUNCTION("""COMPUTED_VALUE"""),"lao")</f>
        <v>lao</v>
      </c>
      <c r="C8581" t="str">
        <f>IFERROR(__xludf.DUMMYFUNCTION("""COMPUTED_VALUE"""),"Lao")</f>
        <v>Lao</v>
      </c>
      <c r="D8581">
        <f>IFERROR(__xludf.DUMMYFUNCTION("""COMPUTED_VALUE"""),1973.0)</f>
        <v>1973</v>
      </c>
      <c r="E8581">
        <f>IFERROR(__xludf.DUMMYFUNCTION("""COMPUTED_VALUE"""),2919287.0)</f>
        <v>2919287</v>
      </c>
    </row>
    <row r="8582">
      <c r="A8582" t="str">
        <f t="shared" si="1"/>
        <v>lao#1974</v>
      </c>
      <c r="B8582" t="str">
        <f>IFERROR(__xludf.DUMMYFUNCTION("""COMPUTED_VALUE"""),"lao")</f>
        <v>lao</v>
      </c>
      <c r="C8582" t="str">
        <f>IFERROR(__xludf.DUMMYFUNCTION("""COMPUTED_VALUE"""),"Lao")</f>
        <v>Lao</v>
      </c>
      <c r="D8582">
        <f>IFERROR(__xludf.DUMMYFUNCTION("""COMPUTED_VALUE"""),1974.0)</f>
        <v>1974</v>
      </c>
      <c r="E8582">
        <f>IFERROR(__xludf.DUMMYFUNCTION("""COMPUTED_VALUE"""),2990965.0)</f>
        <v>2990965</v>
      </c>
    </row>
    <row r="8583">
      <c r="A8583" t="str">
        <f t="shared" si="1"/>
        <v>lao#1975</v>
      </c>
      <c r="B8583" t="str">
        <f>IFERROR(__xludf.DUMMYFUNCTION("""COMPUTED_VALUE"""),"lao")</f>
        <v>lao</v>
      </c>
      <c r="C8583" t="str">
        <f>IFERROR(__xludf.DUMMYFUNCTION("""COMPUTED_VALUE"""),"Lao")</f>
        <v>Lao</v>
      </c>
      <c r="D8583">
        <f>IFERROR(__xludf.DUMMYFUNCTION("""COMPUTED_VALUE"""),1975.0)</f>
        <v>1975</v>
      </c>
      <c r="E8583">
        <f>IFERROR(__xludf.DUMMYFUNCTION("""COMPUTED_VALUE"""),3051577.0)</f>
        <v>3051577</v>
      </c>
    </row>
    <row r="8584">
      <c r="A8584" t="str">
        <f t="shared" si="1"/>
        <v>lao#1976</v>
      </c>
      <c r="B8584" t="str">
        <f>IFERROR(__xludf.DUMMYFUNCTION("""COMPUTED_VALUE"""),"lao")</f>
        <v>lao</v>
      </c>
      <c r="C8584" t="str">
        <f>IFERROR(__xludf.DUMMYFUNCTION("""COMPUTED_VALUE"""),"Lao")</f>
        <v>Lao</v>
      </c>
      <c r="D8584">
        <f>IFERROR(__xludf.DUMMYFUNCTION("""COMPUTED_VALUE"""),1976.0)</f>
        <v>1976</v>
      </c>
      <c r="E8584">
        <f>IFERROR(__xludf.DUMMYFUNCTION("""COMPUTED_VALUE"""),3098973.0)</f>
        <v>3098973</v>
      </c>
    </row>
    <row r="8585">
      <c r="A8585" t="str">
        <f t="shared" si="1"/>
        <v>lao#1977</v>
      </c>
      <c r="B8585" t="str">
        <f>IFERROR(__xludf.DUMMYFUNCTION("""COMPUTED_VALUE"""),"lao")</f>
        <v>lao</v>
      </c>
      <c r="C8585" t="str">
        <f>IFERROR(__xludf.DUMMYFUNCTION("""COMPUTED_VALUE"""),"Lao")</f>
        <v>Lao</v>
      </c>
      <c r="D8585">
        <f>IFERROR(__xludf.DUMMYFUNCTION("""COMPUTED_VALUE"""),1977.0)</f>
        <v>1977</v>
      </c>
      <c r="E8585">
        <f>IFERROR(__xludf.DUMMYFUNCTION("""COMPUTED_VALUE"""),3135842.0)</f>
        <v>3135842</v>
      </c>
    </row>
    <row r="8586">
      <c r="A8586" t="str">
        <f t="shared" si="1"/>
        <v>lao#1978</v>
      </c>
      <c r="B8586" t="str">
        <f>IFERROR(__xludf.DUMMYFUNCTION("""COMPUTED_VALUE"""),"lao")</f>
        <v>lao</v>
      </c>
      <c r="C8586" t="str">
        <f>IFERROR(__xludf.DUMMYFUNCTION("""COMPUTED_VALUE"""),"Lao")</f>
        <v>Lao</v>
      </c>
      <c r="D8586">
        <f>IFERROR(__xludf.DUMMYFUNCTION("""COMPUTED_VALUE"""),1978.0)</f>
        <v>1978</v>
      </c>
      <c r="E8586">
        <f>IFERROR(__xludf.DUMMYFUNCTION("""COMPUTED_VALUE"""),3168843.0)</f>
        <v>3168843</v>
      </c>
    </row>
    <row r="8587">
      <c r="A8587" t="str">
        <f t="shared" si="1"/>
        <v>lao#1979</v>
      </c>
      <c r="B8587" t="str">
        <f>IFERROR(__xludf.DUMMYFUNCTION("""COMPUTED_VALUE"""),"lao")</f>
        <v>lao</v>
      </c>
      <c r="C8587" t="str">
        <f>IFERROR(__xludf.DUMMYFUNCTION("""COMPUTED_VALUE"""),"Lao")</f>
        <v>Lao</v>
      </c>
      <c r="D8587">
        <f>IFERROR(__xludf.DUMMYFUNCTION("""COMPUTED_VALUE"""),1979.0)</f>
        <v>1979</v>
      </c>
      <c r="E8587">
        <f>IFERROR(__xludf.DUMMYFUNCTION("""COMPUTED_VALUE"""),3207328.0)</f>
        <v>3207328</v>
      </c>
    </row>
    <row r="8588">
      <c r="A8588" t="str">
        <f t="shared" si="1"/>
        <v>lao#1980</v>
      </c>
      <c r="B8588" t="str">
        <f>IFERROR(__xludf.DUMMYFUNCTION("""COMPUTED_VALUE"""),"lao")</f>
        <v>lao</v>
      </c>
      <c r="C8588" t="str">
        <f>IFERROR(__xludf.DUMMYFUNCTION("""COMPUTED_VALUE"""),"Lao")</f>
        <v>Lao</v>
      </c>
      <c r="D8588">
        <f>IFERROR(__xludf.DUMMYFUNCTION("""COMPUTED_VALUE"""),1980.0)</f>
        <v>1980</v>
      </c>
      <c r="E8588">
        <f>IFERROR(__xludf.DUMMYFUNCTION("""COMPUTED_VALUE"""),3258144.0)</f>
        <v>3258144</v>
      </c>
    </row>
    <row r="8589">
      <c r="A8589" t="str">
        <f t="shared" si="1"/>
        <v>lao#1981</v>
      </c>
      <c r="B8589" t="str">
        <f>IFERROR(__xludf.DUMMYFUNCTION("""COMPUTED_VALUE"""),"lao")</f>
        <v>lao</v>
      </c>
      <c r="C8589" t="str">
        <f>IFERROR(__xludf.DUMMYFUNCTION("""COMPUTED_VALUE"""),"Lao")</f>
        <v>Lao</v>
      </c>
      <c r="D8589">
        <f>IFERROR(__xludf.DUMMYFUNCTION("""COMPUTED_VALUE"""),1981.0)</f>
        <v>1981</v>
      </c>
      <c r="E8589">
        <f>IFERROR(__xludf.DUMMYFUNCTION("""COMPUTED_VALUE"""),3323377.0)</f>
        <v>3323377</v>
      </c>
    </row>
    <row r="8590">
      <c r="A8590" t="str">
        <f t="shared" si="1"/>
        <v>lao#1982</v>
      </c>
      <c r="B8590" t="str">
        <f>IFERROR(__xludf.DUMMYFUNCTION("""COMPUTED_VALUE"""),"lao")</f>
        <v>lao</v>
      </c>
      <c r="C8590" t="str">
        <f>IFERROR(__xludf.DUMMYFUNCTION("""COMPUTED_VALUE"""),"Lao")</f>
        <v>Lao</v>
      </c>
      <c r="D8590">
        <f>IFERROR(__xludf.DUMMYFUNCTION("""COMPUTED_VALUE"""),1982.0)</f>
        <v>1982</v>
      </c>
      <c r="E8590">
        <f>IFERROR(__xludf.DUMMYFUNCTION("""COMPUTED_VALUE"""),3401242.0)</f>
        <v>3401242</v>
      </c>
    </row>
    <row r="8591">
      <c r="A8591" t="str">
        <f t="shared" si="1"/>
        <v>lao#1983</v>
      </c>
      <c r="B8591" t="str">
        <f>IFERROR(__xludf.DUMMYFUNCTION("""COMPUTED_VALUE"""),"lao")</f>
        <v>lao</v>
      </c>
      <c r="C8591" t="str">
        <f>IFERROR(__xludf.DUMMYFUNCTION("""COMPUTED_VALUE"""),"Lao")</f>
        <v>Lao</v>
      </c>
      <c r="D8591">
        <f>IFERROR(__xludf.DUMMYFUNCTION("""COMPUTED_VALUE"""),1983.0)</f>
        <v>1983</v>
      </c>
      <c r="E8591">
        <f>IFERROR(__xludf.DUMMYFUNCTION("""COMPUTED_VALUE"""),3489977.0)</f>
        <v>3489977</v>
      </c>
    </row>
    <row r="8592">
      <c r="A8592" t="str">
        <f t="shared" si="1"/>
        <v>lao#1984</v>
      </c>
      <c r="B8592" t="str">
        <f>IFERROR(__xludf.DUMMYFUNCTION("""COMPUTED_VALUE"""),"lao")</f>
        <v>lao</v>
      </c>
      <c r="C8592" t="str">
        <f>IFERROR(__xludf.DUMMYFUNCTION("""COMPUTED_VALUE"""),"Lao")</f>
        <v>Lao</v>
      </c>
      <c r="D8592">
        <f>IFERROR(__xludf.DUMMYFUNCTION("""COMPUTED_VALUE"""),1984.0)</f>
        <v>1984</v>
      </c>
      <c r="E8592">
        <f>IFERROR(__xludf.DUMMYFUNCTION("""COMPUTED_VALUE"""),3586381.0)</f>
        <v>3586381</v>
      </c>
    </row>
    <row r="8593">
      <c r="A8593" t="str">
        <f t="shared" si="1"/>
        <v>lao#1985</v>
      </c>
      <c r="B8593" t="str">
        <f>IFERROR(__xludf.DUMMYFUNCTION("""COMPUTED_VALUE"""),"lao")</f>
        <v>lao</v>
      </c>
      <c r="C8593" t="str">
        <f>IFERROR(__xludf.DUMMYFUNCTION("""COMPUTED_VALUE"""),"Lao")</f>
        <v>Lao</v>
      </c>
      <c r="D8593">
        <f>IFERROR(__xludf.DUMMYFUNCTION("""COMPUTED_VALUE"""),1985.0)</f>
        <v>1985</v>
      </c>
      <c r="E8593">
        <f>IFERROR(__xludf.DUMMYFUNCTION("""COMPUTED_VALUE"""),3687898.0)</f>
        <v>3687898</v>
      </c>
    </row>
    <row r="8594">
      <c r="A8594" t="str">
        <f t="shared" si="1"/>
        <v>lao#1986</v>
      </c>
      <c r="B8594" t="str">
        <f>IFERROR(__xludf.DUMMYFUNCTION("""COMPUTED_VALUE"""),"lao")</f>
        <v>lao</v>
      </c>
      <c r="C8594" t="str">
        <f>IFERROR(__xludf.DUMMYFUNCTION("""COMPUTED_VALUE"""),"Lao")</f>
        <v>Lao</v>
      </c>
      <c r="D8594">
        <f>IFERROR(__xludf.DUMMYFUNCTION("""COMPUTED_VALUE"""),1986.0)</f>
        <v>1986</v>
      </c>
      <c r="E8594">
        <f>IFERROR(__xludf.DUMMYFUNCTION("""COMPUTED_VALUE"""),3794043.0)</f>
        <v>3794043</v>
      </c>
    </row>
    <row r="8595">
      <c r="A8595" t="str">
        <f t="shared" si="1"/>
        <v>lao#1987</v>
      </c>
      <c r="B8595" t="str">
        <f>IFERROR(__xludf.DUMMYFUNCTION("""COMPUTED_VALUE"""),"lao")</f>
        <v>lao</v>
      </c>
      <c r="C8595" t="str">
        <f>IFERROR(__xludf.DUMMYFUNCTION("""COMPUTED_VALUE"""),"Lao")</f>
        <v>Lao</v>
      </c>
      <c r="D8595">
        <f>IFERROR(__xludf.DUMMYFUNCTION("""COMPUTED_VALUE"""),1987.0)</f>
        <v>1987</v>
      </c>
      <c r="E8595">
        <f>IFERROR(__xludf.DUMMYFUNCTION("""COMPUTED_VALUE"""),3905163.0)</f>
        <v>3905163</v>
      </c>
    </row>
    <row r="8596">
      <c r="A8596" t="str">
        <f t="shared" si="1"/>
        <v>lao#1988</v>
      </c>
      <c r="B8596" t="str">
        <f>IFERROR(__xludf.DUMMYFUNCTION("""COMPUTED_VALUE"""),"lao")</f>
        <v>lao</v>
      </c>
      <c r="C8596" t="str">
        <f>IFERROR(__xludf.DUMMYFUNCTION("""COMPUTED_VALUE"""),"Lao")</f>
        <v>Lao</v>
      </c>
      <c r="D8596">
        <f>IFERROR(__xludf.DUMMYFUNCTION("""COMPUTED_VALUE"""),1988.0)</f>
        <v>1988</v>
      </c>
      <c r="E8596">
        <f>IFERROR(__xludf.DUMMYFUNCTION("""COMPUTED_VALUE"""),4020295.0)</f>
        <v>4020295</v>
      </c>
    </row>
    <row r="8597">
      <c r="A8597" t="str">
        <f t="shared" si="1"/>
        <v>lao#1989</v>
      </c>
      <c r="B8597" t="str">
        <f>IFERROR(__xludf.DUMMYFUNCTION("""COMPUTED_VALUE"""),"lao")</f>
        <v>lao</v>
      </c>
      <c r="C8597" t="str">
        <f>IFERROR(__xludf.DUMMYFUNCTION("""COMPUTED_VALUE"""),"Lao")</f>
        <v>Lao</v>
      </c>
      <c r="D8597">
        <f>IFERROR(__xludf.DUMMYFUNCTION("""COMPUTED_VALUE"""),1989.0)</f>
        <v>1989</v>
      </c>
      <c r="E8597">
        <f>IFERROR(__xludf.DUMMYFUNCTION("""COMPUTED_VALUE"""),4138408.0)</f>
        <v>4138408</v>
      </c>
    </row>
    <row r="8598">
      <c r="A8598" t="str">
        <f t="shared" si="1"/>
        <v>lao#1990</v>
      </c>
      <c r="B8598" t="str">
        <f>IFERROR(__xludf.DUMMYFUNCTION("""COMPUTED_VALUE"""),"lao")</f>
        <v>lao</v>
      </c>
      <c r="C8598" t="str">
        <f>IFERROR(__xludf.DUMMYFUNCTION("""COMPUTED_VALUE"""),"Lao")</f>
        <v>Lao</v>
      </c>
      <c r="D8598">
        <f>IFERROR(__xludf.DUMMYFUNCTION("""COMPUTED_VALUE"""),1990.0)</f>
        <v>1990</v>
      </c>
      <c r="E8598">
        <f>IFERROR(__xludf.DUMMYFUNCTION("""COMPUTED_VALUE"""),4258472.0)</f>
        <v>4258472</v>
      </c>
    </row>
    <row r="8599">
      <c r="A8599" t="str">
        <f t="shared" si="1"/>
        <v>lao#1991</v>
      </c>
      <c r="B8599" t="str">
        <f>IFERROR(__xludf.DUMMYFUNCTION("""COMPUTED_VALUE"""),"lao")</f>
        <v>lao</v>
      </c>
      <c r="C8599" t="str">
        <f>IFERROR(__xludf.DUMMYFUNCTION("""COMPUTED_VALUE"""),"Lao")</f>
        <v>Lao</v>
      </c>
      <c r="D8599">
        <f>IFERROR(__xludf.DUMMYFUNCTION("""COMPUTED_VALUE"""),1991.0)</f>
        <v>1991</v>
      </c>
      <c r="E8599">
        <f>IFERROR(__xludf.DUMMYFUNCTION("""COMPUTED_VALUE"""),4380073.0)</f>
        <v>4380073</v>
      </c>
    </row>
    <row r="8600">
      <c r="A8600" t="str">
        <f t="shared" si="1"/>
        <v>lao#1992</v>
      </c>
      <c r="B8600" t="str">
        <f>IFERROR(__xludf.DUMMYFUNCTION("""COMPUTED_VALUE"""),"lao")</f>
        <v>lao</v>
      </c>
      <c r="C8600" t="str">
        <f>IFERROR(__xludf.DUMMYFUNCTION("""COMPUTED_VALUE"""),"Lao")</f>
        <v>Lao</v>
      </c>
      <c r="D8600">
        <f>IFERROR(__xludf.DUMMYFUNCTION("""COMPUTED_VALUE"""),1992.0)</f>
        <v>1992</v>
      </c>
      <c r="E8600">
        <f>IFERROR(__xludf.DUMMYFUNCTION("""COMPUTED_VALUE"""),4502363.0)</f>
        <v>4502363</v>
      </c>
    </row>
    <row r="8601">
      <c r="A8601" t="str">
        <f t="shared" si="1"/>
        <v>lao#1993</v>
      </c>
      <c r="B8601" t="str">
        <f>IFERROR(__xludf.DUMMYFUNCTION("""COMPUTED_VALUE"""),"lao")</f>
        <v>lao</v>
      </c>
      <c r="C8601" t="str">
        <f>IFERROR(__xludf.DUMMYFUNCTION("""COMPUTED_VALUE"""),"Lao")</f>
        <v>Lao</v>
      </c>
      <c r="D8601">
        <f>IFERROR(__xludf.DUMMYFUNCTION("""COMPUTED_VALUE"""),1993.0)</f>
        <v>1993</v>
      </c>
      <c r="E8601">
        <f>IFERROR(__xludf.DUMMYFUNCTION("""COMPUTED_VALUE"""),4623280.0)</f>
        <v>4623280</v>
      </c>
    </row>
    <row r="8602">
      <c r="A8602" t="str">
        <f t="shared" si="1"/>
        <v>lao#1994</v>
      </c>
      <c r="B8602" t="str">
        <f>IFERROR(__xludf.DUMMYFUNCTION("""COMPUTED_VALUE"""),"lao")</f>
        <v>lao</v>
      </c>
      <c r="C8602" t="str">
        <f>IFERROR(__xludf.DUMMYFUNCTION("""COMPUTED_VALUE"""),"Lao")</f>
        <v>Lao</v>
      </c>
      <c r="D8602">
        <f>IFERROR(__xludf.DUMMYFUNCTION("""COMPUTED_VALUE"""),1994.0)</f>
        <v>1994</v>
      </c>
      <c r="E8602">
        <f>IFERROR(__xludf.DUMMYFUNCTION("""COMPUTED_VALUE"""),4740380.0)</f>
        <v>4740380</v>
      </c>
    </row>
    <row r="8603">
      <c r="A8603" t="str">
        <f t="shared" si="1"/>
        <v>lao#1995</v>
      </c>
      <c r="B8603" t="str">
        <f>IFERROR(__xludf.DUMMYFUNCTION("""COMPUTED_VALUE"""),"lao")</f>
        <v>lao</v>
      </c>
      <c r="C8603" t="str">
        <f>IFERROR(__xludf.DUMMYFUNCTION("""COMPUTED_VALUE"""),"Lao")</f>
        <v>Lao</v>
      </c>
      <c r="D8603">
        <f>IFERROR(__xludf.DUMMYFUNCTION("""COMPUTED_VALUE"""),1995.0)</f>
        <v>1995</v>
      </c>
      <c r="E8603">
        <f>IFERROR(__xludf.DUMMYFUNCTION("""COMPUTED_VALUE"""),4851923.0)</f>
        <v>4851923</v>
      </c>
    </row>
    <row r="8604">
      <c r="A8604" t="str">
        <f t="shared" si="1"/>
        <v>lao#1996</v>
      </c>
      <c r="B8604" t="str">
        <f>IFERROR(__xludf.DUMMYFUNCTION("""COMPUTED_VALUE"""),"lao")</f>
        <v>lao</v>
      </c>
      <c r="C8604" t="str">
        <f>IFERROR(__xludf.DUMMYFUNCTION("""COMPUTED_VALUE"""),"Lao")</f>
        <v>Lao</v>
      </c>
      <c r="D8604">
        <f>IFERROR(__xludf.DUMMYFUNCTION("""COMPUTED_VALUE"""),1996.0)</f>
        <v>1996</v>
      </c>
      <c r="E8604">
        <f>IFERROR(__xludf.DUMMYFUNCTION("""COMPUTED_VALUE"""),4957180.0)</f>
        <v>4957180</v>
      </c>
    </row>
    <row r="8605">
      <c r="A8605" t="str">
        <f t="shared" si="1"/>
        <v>lao#1997</v>
      </c>
      <c r="B8605" t="str">
        <f>IFERROR(__xludf.DUMMYFUNCTION("""COMPUTED_VALUE"""),"lao")</f>
        <v>lao</v>
      </c>
      <c r="C8605" t="str">
        <f>IFERROR(__xludf.DUMMYFUNCTION("""COMPUTED_VALUE"""),"Lao")</f>
        <v>Lao</v>
      </c>
      <c r="D8605">
        <f>IFERROR(__xludf.DUMMYFUNCTION("""COMPUTED_VALUE"""),1997.0)</f>
        <v>1997</v>
      </c>
      <c r="E8605">
        <f>IFERROR(__xludf.DUMMYFUNCTION("""COMPUTED_VALUE"""),5056519.0)</f>
        <v>5056519</v>
      </c>
    </row>
    <row r="8606">
      <c r="A8606" t="str">
        <f t="shared" si="1"/>
        <v>lao#1998</v>
      </c>
      <c r="B8606" t="str">
        <f>IFERROR(__xludf.DUMMYFUNCTION("""COMPUTED_VALUE"""),"lao")</f>
        <v>lao</v>
      </c>
      <c r="C8606" t="str">
        <f>IFERROR(__xludf.DUMMYFUNCTION("""COMPUTED_VALUE"""),"Lao")</f>
        <v>Lao</v>
      </c>
      <c r="D8606">
        <f>IFERROR(__xludf.DUMMYFUNCTION("""COMPUTED_VALUE"""),1998.0)</f>
        <v>1998</v>
      </c>
      <c r="E8606">
        <f>IFERROR(__xludf.DUMMYFUNCTION("""COMPUTED_VALUE"""),5150763.0)</f>
        <v>5150763</v>
      </c>
    </row>
    <row r="8607">
      <c r="A8607" t="str">
        <f t="shared" si="1"/>
        <v>lao#1999</v>
      </c>
      <c r="B8607" t="str">
        <f>IFERROR(__xludf.DUMMYFUNCTION("""COMPUTED_VALUE"""),"lao")</f>
        <v>lao</v>
      </c>
      <c r="C8607" t="str">
        <f>IFERROR(__xludf.DUMMYFUNCTION("""COMPUTED_VALUE"""),"Lao")</f>
        <v>Lao</v>
      </c>
      <c r="D8607">
        <f>IFERROR(__xludf.DUMMYFUNCTION("""COMPUTED_VALUE"""),1999.0)</f>
        <v>1999</v>
      </c>
      <c r="E8607">
        <f>IFERROR(__xludf.DUMMYFUNCTION("""COMPUTED_VALUE"""),5241284.0)</f>
        <v>5241284</v>
      </c>
    </row>
    <row r="8608">
      <c r="A8608" t="str">
        <f t="shared" si="1"/>
        <v>lao#2000</v>
      </c>
      <c r="B8608" t="str">
        <f>IFERROR(__xludf.DUMMYFUNCTION("""COMPUTED_VALUE"""),"lao")</f>
        <v>lao</v>
      </c>
      <c r="C8608" t="str">
        <f>IFERROR(__xludf.DUMMYFUNCTION("""COMPUTED_VALUE"""),"Lao")</f>
        <v>Lao</v>
      </c>
      <c r="D8608">
        <f>IFERROR(__xludf.DUMMYFUNCTION("""COMPUTED_VALUE"""),2000.0)</f>
        <v>2000</v>
      </c>
      <c r="E8608">
        <f>IFERROR(__xludf.DUMMYFUNCTION("""COMPUTED_VALUE"""),5329304.0)</f>
        <v>5329304</v>
      </c>
    </row>
    <row r="8609">
      <c r="A8609" t="str">
        <f t="shared" si="1"/>
        <v>lao#2001</v>
      </c>
      <c r="B8609" t="str">
        <f>IFERROR(__xludf.DUMMYFUNCTION("""COMPUTED_VALUE"""),"lao")</f>
        <v>lao</v>
      </c>
      <c r="C8609" t="str">
        <f>IFERROR(__xludf.DUMMYFUNCTION("""COMPUTED_VALUE"""),"Lao")</f>
        <v>Lao</v>
      </c>
      <c r="D8609">
        <f>IFERROR(__xludf.DUMMYFUNCTION("""COMPUTED_VALUE"""),2001.0)</f>
        <v>2001</v>
      </c>
      <c r="E8609">
        <f>IFERROR(__xludf.DUMMYFUNCTION("""COMPUTED_VALUE"""),5414568.0)</f>
        <v>5414568</v>
      </c>
    </row>
    <row r="8610">
      <c r="A8610" t="str">
        <f t="shared" si="1"/>
        <v>lao#2002</v>
      </c>
      <c r="B8610" t="str">
        <f>IFERROR(__xludf.DUMMYFUNCTION("""COMPUTED_VALUE"""),"lao")</f>
        <v>lao</v>
      </c>
      <c r="C8610" t="str">
        <f>IFERROR(__xludf.DUMMYFUNCTION("""COMPUTED_VALUE"""),"Lao")</f>
        <v>Lao</v>
      </c>
      <c r="D8610">
        <f>IFERROR(__xludf.DUMMYFUNCTION("""COMPUTED_VALUE"""),2002.0)</f>
        <v>2002</v>
      </c>
      <c r="E8610">
        <f>IFERROR(__xludf.DUMMYFUNCTION("""COMPUTED_VALUE"""),5497273.0)</f>
        <v>5497273</v>
      </c>
    </row>
    <row r="8611">
      <c r="A8611" t="str">
        <f t="shared" si="1"/>
        <v>lao#2003</v>
      </c>
      <c r="B8611" t="str">
        <f>IFERROR(__xludf.DUMMYFUNCTION("""COMPUTED_VALUE"""),"lao")</f>
        <v>lao</v>
      </c>
      <c r="C8611" t="str">
        <f>IFERROR(__xludf.DUMMYFUNCTION("""COMPUTED_VALUE"""),"Lao")</f>
        <v>Lao</v>
      </c>
      <c r="D8611">
        <f>IFERROR(__xludf.DUMMYFUNCTION("""COMPUTED_VALUE"""),2003.0)</f>
        <v>2003</v>
      </c>
      <c r="E8611">
        <f>IFERROR(__xludf.DUMMYFUNCTION("""COMPUTED_VALUE"""),5579656.0)</f>
        <v>5579656</v>
      </c>
    </row>
    <row r="8612">
      <c r="A8612" t="str">
        <f t="shared" si="1"/>
        <v>lao#2004</v>
      </c>
      <c r="B8612" t="str">
        <f>IFERROR(__xludf.DUMMYFUNCTION("""COMPUTED_VALUE"""),"lao")</f>
        <v>lao</v>
      </c>
      <c r="C8612" t="str">
        <f>IFERROR(__xludf.DUMMYFUNCTION("""COMPUTED_VALUE"""),"Lao")</f>
        <v>Lao</v>
      </c>
      <c r="D8612">
        <f>IFERROR(__xludf.DUMMYFUNCTION("""COMPUTED_VALUE"""),2004.0)</f>
        <v>2004</v>
      </c>
      <c r="E8612">
        <f>IFERROR(__xludf.DUMMYFUNCTION("""COMPUTED_VALUE"""),5664605.0)</f>
        <v>5664605</v>
      </c>
    </row>
    <row r="8613">
      <c r="A8613" t="str">
        <f t="shared" si="1"/>
        <v>lao#2005</v>
      </c>
      <c r="B8613" t="str">
        <f>IFERROR(__xludf.DUMMYFUNCTION("""COMPUTED_VALUE"""),"lao")</f>
        <v>lao</v>
      </c>
      <c r="C8613" t="str">
        <f>IFERROR(__xludf.DUMMYFUNCTION("""COMPUTED_VALUE"""),"Lao")</f>
        <v>Lao</v>
      </c>
      <c r="D8613">
        <f>IFERROR(__xludf.DUMMYFUNCTION("""COMPUTED_VALUE"""),2005.0)</f>
        <v>2005</v>
      </c>
      <c r="E8613">
        <f>IFERROR(__xludf.DUMMYFUNCTION("""COMPUTED_VALUE"""),5754026.0)</f>
        <v>5754026</v>
      </c>
    </row>
    <row r="8614">
      <c r="A8614" t="str">
        <f t="shared" si="1"/>
        <v>lao#2006</v>
      </c>
      <c r="B8614" t="str">
        <f>IFERROR(__xludf.DUMMYFUNCTION("""COMPUTED_VALUE"""),"lao")</f>
        <v>lao</v>
      </c>
      <c r="C8614" t="str">
        <f>IFERROR(__xludf.DUMMYFUNCTION("""COMPUTED_VALUE"""),"Lao")</f>
        <v>Lao</v>
      </c>
      <c r="D8614">
        <f>IFERROR(__xludf.DUMMYFUNCTION("""COMPUTED_VALUE"""),2006.0)</f>
        <v>2006</v>
      </c>
      <c r="E8614">
        <f>IFERROR(__xludf.DUMMYFUNCTION("""COMPUTED_VALUE"""),5849356.0)</f>
        <v>5849356</v>
      </c>
    </row>
    <row r="8615">
      <c r="A8615" t="str">
        <f t="shared" si="1"/>
        <v>lao#2007</v>
      </c>
      <c r="B8615" t="str">
        <f>IFERROR(__xludf.DUMMYFUNCTION("""COMPUTED_VALUE"""),"lao")</f>
        <v>lao</v>
      </c>
      <c r="C8615" t="str">
        <f>IFERROR(__xludf.DUMMYFUNCTION("""COMPUTED_VALUE"""),"Lao")</f>
        <v>Lao</v>
      </c>
      <c r="D8615">
        <f>IFERROR(__xludf.DUMMYFUNCTION("""COMPUTED_VALUE"""),2007.0)</f>
        <v>2007</v>
      </c>
      <c r="E8615">
        <f>IFERROR(__xludf.DUMMYFUNCTION("""COMPUTED_VALUE"""),5949787.0)</f>
        <v>5949787</v>
      </c>
    </row>
    <row r="8616">
      <c r="A8616" t="str">
        <f t="shared" si="1"/>
        <v>lao#2008</v>
      </c>
      <c r="B8616" t="str">
        <f>IFERROR(__xludf.DUMMYFUNCTION("""COMPUTED_VALUE"""),"lao")</f>
        <v>lao</v>
      </c>
      <c r="C8616" t="str">
        <f>IFERROR(__xludf.DUMMYFUNCTION("""COMPUTED_VALUE"""),"Lao")</f>
        <v>Lao</v>
      </c>
      <c r="D8616">
        <f>IFERROR(__xludf.DUMMYFUNCTION("""COMPUTED_VALUE"""),2008.0)</f>
        <v>2008</v>
      </c>
      <c r="E8616">
        <f>IFERROR(__xludf.DUMMYFUNCTION("""COMPUTED_VALUE"""),6052190.0)</f>
        <v>6052190</v>
      </c>
    </row>
    <row r="8617">
      <c r="A8617" t="str">
        <f t="shared" si="1"/>
        <v>lao#2009</v>
      </c>
      <c r="B8617" t="str">
        <f>IFERROR(__xludf.DUMMYFUNCTION("""COMPUTED_VALUE"""),"lao")</f>
        <v>lao</v>
      </c>
      <c r="C8617" t="str">
        <f>IFERROR(__xludf.DUMMYFUNCTION("""COMPUTED_VALUE"""),"Lao")</f>
        <v>Lao</v>
      </c>
      <c r="D8617">
        <f>IFERROR(__xludf.DUMMYFUNCTION("""COMPUTED_VALUE"""),2009.0)</f>
        <v>2009</v>
      </c>
      <c r="E8617">
        <f>IFERROR(__xludf.DUMMYFUNCTION("""COMPUTED_VALUE"""),6152036.0)</f>
        <v>6152036</v>
      </c>
    </row>
    <row r="8618">
      <c r="A8618" t="str">
        <f t="shared" si="1"/>
        <v>lao#2010</v>
      </c>
      <c r="B8618" t="str">
        <f>IFERROR(__xludf.DUMMYFUNCTION("""COMPUTED_VALUE"""),"lao")</f>
        <v>lao</v>
      </c>
      <c r="C8618" t="str">
        <f>IFERROR(__xludf.DUMMYFUNCTION("""COMPUTED_VALUE"""),"Lao")</f>
        <v>Lao</v>
      </c>
      <c r="D8618">
        <f>IFERROR(__xludf.DUMMYFUNCTION("""COMPUTED_VALUE"""),2010.0)</f>
        <v>2010</v>
      </c>
      <c r="E8618">
        <f>IFERROR(__xludf.DUMMYFUNCTION("""COMPUTED_VALUE"""),6246274.0)</f>
        <v>6246274</v>
      </c>
    </row>
    <row r="8619">
      <c r="A8619" t="str">
        <f t="shared" si="1"/>
        <v>lao#2011</v>
      </c>
      <c r="B8619" t="str">
        <f>IFERROR(__xludf.DUMMYFUNCTION("""COMPUTED_VALUE"""),"lao")</f>
        <v>lao</v>
      </c>
      <c r="C8619" t="str">
        <f>IFERROR(__xludf.DUMMYFUNCTION("""COMPUTED_VALUE"""),"Lao")</f>
        <v>Lao</v>
      </c>
      <c r="D8619">
        <f>IFERROR(__xludf.DUMMYFUNCTION("""COMPUTED_VALUE"""),2011.0)</f>
        <v>2011</v>
      </c>
      <c r="E8619">
        <f>IFERROR(__xludf.DUMMYFUNCTION("""COMPUTED_VALUE"""),6333487.0)</f>
        <v>6333487</v>
      </c>
    </row>
    <row r="8620">
      <c r="A8620" t="str">
        <f t="shared" si="1"/>
        <v>lao#2012</v>
      </c>
      <c r="B8620" t="str">
        <f>IFERROR(__xludf.DUMMYFUNCTION("""COMPUTED_VALUE"""),"lao")</f>
        <v>lao</v>
      </c>
      <c r="C8620" t="str">
        <f>IFERROR(__xludf.DUMMYFUNCTION("""COMPUTED_VALUE"""),"Lao")</f>
        <v>Lao</v>
      </c>
      <c r="D8620">
        <f>IFERROR(__xludf.DUMMYFUNCTION("""COMPUTED_VALUE"""),2012.0)</f>
        <v>2012</v>
      </c>
      <c r="E8620">
        <f>IFERROR(__xludf.DUMMYFUNCTION("""COMPUTED_VALUE"""),6415169.0)</f>
        <v>6415169</v>
      </c>
    </row>
    <row r="8621">
      <c r="A8621" t="str">
        <f t="shared" si="1"/>
        <v>lao#2013</v>
      </c>
      <c r="B8621" t="str">
        <f>IFERROR(__xludf.DUMMYFUNCTION("""COMPUTED_VALUE"""),"lao")</f>
        <v>lao</v>
      </c>
      <c r="C8621" t="str">
        <f>IFERROR(__xludf.DUMMYFUNCTION("""COMPUTED_VALUE"""),"Lao")</f>
        <v>Lao</v>
      </c>
      <c r="D8621">
        <f>IFERROR(__xludf.DUMMYFUNCTION("""COMPUTED_VALUE"""),2013.0)</f>
        <v>2013</v>
      </c>
      <c r="E8621">
        <f>IFERROR(__xludf.DUMMYFUNCTION("""COMPUTED_VALUE"""),6494557.0)</f>
        <v>6494557</v>
      </c>
    </row>
    <row r="8622">
      <c r="A8622" t="str">
        <f t="shared" si="1"/>
        <v>lao#2014</v>
      </c>
      <c r="B8622" t="str">
        <f>IFERROR(__xludf.DUMMYFUNCTION("""COMPUTED_VALUE"""),"lao")</f>
        <v>lao</v>
      </c>
      <c r="C8622" t="str">
        <f>IFERROR(__xludf.DUMMYFUNCTION("""COMPUTED_VALUE"""),"Lao")</f>
        <v>Lao</v>
      </c>
      <c r="D8622">
        <f>IFERROR(__xludf.DUMMYFUNCTION("""COMPUTED_VALUE"""),2014.0)</f>
        <v>2014</v>
      </c>
      <c r="E8622">
        <f>IFERROR(__xludf.DUMMYFUNCTION("""COMPUTED_VALUE"""),6576397.0)</f>
        <v>6576397</v>
      </c>
    </row>
    <row r="8623">
      <c r="A8623" t="str">
        <f t="shared" si="1"/>
        <v>lao#2015</v>
      </c>
      <c r="B8623" t="str">
        <f>IFERROR(__xludf.DUMMYFUNCTION("""COMPUTED_VALUE"""),"lao")</f>
        <v>lao</v>
      </c>
      <c r="C8623" t="str">
        <f>IFERROR(__xludf.DUMMYFUNCTION("""COMPUTED_VALUE"""),"Lao")</f>
        <v>Lao</v>
      </c>
      <c r="D8623">
        <f>IFERROR(__xludf.DUMMYFUNCTION("""COMPUTED_VALUE"""),2015.0)</f>
        <v>2015</v>
      </c>
      <c r="E8623">
        <f>IFERROR(__xludf.DUMMYFUNCTION("""COMPUTED_VALUE"""),6663967.0)</f>
        <v>6663967</v>
      </c>
    </row>
    <row r="8624">
      <c r="A8624" t="str">
        <f t="shared" si="1"/>
        <v>lao#2016</v>
      </c>
      <c r="B8624" t="str">
        <f>IFERROR(__xludf.DUMMYFUNCTION("""COMPUTED_VALUE"""),"lao")</f>
        <v>lao</v>
      </c>
      <c r="C8624" t="str">
        <f>IFERROR(__xludf.DUMMYFUNCTION("""COMPUTED_VALUE"""),"Lao")</f>
        <v>Lao</v>
      </c>
      <c r="D8624">
        <f>IFERROR(__xludf.DUMMYFUNCTION("""COMPUTED_VALUE"""),2016.0)</f>
        <v>2016</v>
      </c>
      <c r="E8624">
        <f>IFERROR(__xludf.DUMMYFUNCTION("""COMPUTED_VALUE"""),6758353.0)</f>
        <v>6758353</v>
      </c>
    </row>
    <row r="8625">
      <c r="A8625" t="str">
        <f t="shared" si="1"/>
        <v>lao#2017</v>
      </c>
      <c r="B8625" t="str">
        <f>IFERROR(__xludf.DUMMYFUNCTION("""COMPUTED_VALUE"""),"lao")</f>
        <v>lao</v>
      </c>
      <c r="C8625" t="str">
        <f>IFERROR(__xludf.DUMMYFUNCTION("""COMPUTED_VALUE"""),"Lao")</f>
        <v>Lao</v>
      </c>
      <c r="D8625">
        <f>IFERROR(__xludf.DUMMYFUNCTION("""COMPUTED_VALUE"""),2017.0)</f>
        <v>2017</v>
      </c>
      <c r="E8625">
        <f>IFERROR(__xludf.DUMMYFUNCTION("""COMPUTED_VALUE"""),6858160.0)</f>
        <v>6858160</v>
      </c>
    </row>
    <row r="8626">
      <c r="A8626" t="str">
        <f t="shared" si="1"/>
        <v>lao#2018</v>
      </c>
      <c r="B8626" t="str">
        <f>IFERROR(__xludf.DUMMYFUNCTION("""COMPUTED_VALUE"""),"lao")</f>
        <v>lao</v>
      </c>
      <c r="C8626" t="str">
        <f>IFERROR(__xludf.DUMMYFUNCTION("""COMPUTED_VALUE"""),"Lao")</f>
        <v>Lao</v>
      </c>
      <c r="D8626">
        <f>IFERROR(__xludf.DUMMYFUNCTION("""COMPUTED_VALUE"""),2018.0)</f>
        <v>2018</v>
      </c>
      <c r="E8626">
        <f>IFERROR(__xludf.DUMMYFUNCTION("""COMPUTED_VALUE"""),6961210.0)</f>
        <v>6961210</v>
      </c>
    </row>
    <row r="8627">
      <c r="A8627" t="str">
        <f t="shared" si="1"/>
        <v>lao#2019</v>
      </c>
      <c r="B8627" t="str">
        <f>IFERROR(__xludf.DUMMYFUNCTION("""COMPUTED_VALUE"""),"lao")</f>
        <v>lao</v>
      </c>
      <c r="C8627" t="str">
        <f>IFERROR(__xludf.DUMMYFUNCTION("""COMPUTED_VALUE"""),"Lao")</f>
        <v>Lao</v>
      </c>
      <c r="D8627">
        <f>IFERROR(__xludf.DUMMYFUNCTION("""COMPUTED_VALUE"""),2019.0)</f>
        <v>2019</v>
      </c>
      <c r="E8627">
        <f>IFERROR(__xludf.DUMMYFUNCTION("""COMPUTED_VALUE"""),7064242.0)</f>
        <v>7064242</v>
      </c>
    </row>
    <row r="8628">
      <c r="A8628" t="str">
        <f t="shared" si="1"/>
        <v>lao#2020</v>
      </c>
      <c r="B8628" t="str">
        <f>IFERROR(__xludf.DUMMYFUNCTION("""COMPUTED_VALUE"""),"lao")</f>
        <v>lao</v>
      </c>
      <c r="C8628" t="str">
        <f>IFERROR(__xludf.DUMMYFUNCTION("""COMPUTED_VALUE"""),"Lao")</f>
        <v>Lao</v>
      </c>
      <c r="D8628">
        <f>IFERROR(__xludf.DUMMYFUNCTION("""COMPUTED_VALUE"""),2020.0)</f>
        <v>2020</v>
      </c>
      <c r="E8628">
        <f>IFERROR(__xludf.DUMMYFUNCTION("""COMPUTED_VALUE"""),7164822.0)</f>
        <v>7164822</v>
      </c>
    </row>
    <row r="8629">
      <c r="A8629" t="str">
        <f t="shared" si="1"/>
        <v>lao#2021</v>
      </c>
      <c r="B8629" t="str">
        <f>IFERROR(__xludf.DUMMYFUNCTION("""COMPUTED_VALUE"""),"lao")</f>
        <v>lao</v>
      </c>
      <c r="C8629" t="str">
        <f>IFERROR(__xludf.DUMMYFUNCTION("""COMPUTED_VALUE"""),"Lao")</f>
        <v>Lao</v>
      </c>
      <c r="D8629">
        <f>IFERROR(__xludf.DUMMYFUNCTION("""COMPUTED_VALUE"""),2021.0)</f>
        <v>2021</v>
      </c>
      <c r="E8629">
        <f>IFERROR(__xludf.DUMMYFUNCTION("""COMPUTED_VALUE"""),7262301.0)</f>
        <v>7262301</v>
      </c>
    </row>
    <row r="8630">
      <c r="A8630" t="str">
        <f t="shared" si="1"/>
        <v>lao#2022</v>
      </c>
      <c r="B8630" t="str">
        <f>IFERROR(__xludf.DUMMYFUNCTION("""COMPUTED_VALUE"""),"lao")</f>
        <v>lao</v>
      </c>
      <c r="C8630" t="str">
        <f>IFERROR(__xludf.DUMMYFUNCTION("""COMPUTED_VALUE"""),"Lao")</f>
        <v>Lao</v>
      </c>
      <c r="D8630">
        <f>IFERROR(__xludf.DUMMYFUNCTION("""COMPUTED_VALUE"""),2022.0)</f>
        <v>2022</v>
      </c>
      <c r="E8630">
        <f>IFERROR(__xludf.DUMMYFUNCTION("""COMPUTED_VALUE"""),7357213.0)</f>
        <v>7357213</v>
      </c>
    </row>
    <row r="8631">
      <c r="A8631" t="str">
        <f t="shared" si="1"/>
        <v>lao#2023</v>
      </c>
      <c r="B8631" t="str">
        <f>IFERROR(__xludf.DUMMYFUNCTION("""COMPUTED_VALUE"""),"lao")</f>
        <v>lao</v>
      </c>
      <c r="C8631" t="str">
        <f>IFERROR(__xludf.DUMMYFUNCTION("""COMPUTED_VALUE"""),"Lao")</f>
        <v>Lao</v>
      </c>
      <c r="D8631">
        <f>IFERROR(__xludf.DUMMYFUNCTION("""COMPUTED_VALUE"""),2023.0)</f>
        <v>2023</v>
      </c>
      <c r="E8631">
        <f>IFERROR(__xludf.DUMMYFUNCTION("""COMPUTED_VALUE"""),7449765.0)</f>
        <v>7449765</v>
      </c>
    </row>
    <row r="8632">
      <c r="A8632" t="str">
        <f t="shared" si="1"/>
        <v>lao#2024</v>
      </c>
      <c r="B8632" t="str">
        <f>IFERROR(__xludf.DUMMYFUNCTION("""COMPUTED_VALUE"""),"lao")</f>
        <v>lao</v>
      </c>
      <c r="C8632" t="str">
        <f>IFERROR(__xludf.DUMMYFUNCTION("""COMPUTED_VALUE"""),"Lao")</f>
        <v>Lao</v>
      </c>
      <c r="D8632">
        <f>IFERROR(__xludf.DUMMYFUNCTION("""COMPUTED_VALUE"""),2024.0)</f>
        <v>2024</v>
      </c>
      <c r="E8632">
        <f>IFERROR(__xludf.DUMMYFUNCTION("""COMPUTED_VALUE"""),7540495.0)</f>
        <v>7540495</v>
      </c>
    </row>
    <row r="8633">
      <c r="A8633" t="str">
        <f t="shared" si="1"/>
        <v>lao#2025</v>
      </c>
      <c r="B8633" t="str">
        <f>IFERROR(__xludf.DUMMYFUNCTION("""COMPUTED_VALUE"""),"lao")</f>
        <v>lao</v>
      </c>
      <c r="C8633" t="str">
        <f>IFERROR(__xludf.DUMMYFUNCTION("""COMPUTED_VALUE"""),"Lao")</f>
        <v>Lao</v>
      </c>
      <c r="D8633">
        <f>IFERROR(__xludf.DUMMYFUNCTION("""COMPUTED_VALUE"""),2025.0)</f>
        <v>2025</v>
      </c>
      <c r="E8633">
        <f>IFERROR(__xludf.DUMMYFUNCTION("""COMPUTED_VALUE"""),7629773.0)</f>
        <v>7629773</v>
      </c>
    </row>
    <row r="8634">
      <c r="A8634" t="str">
        <f t="shared" si="1"/>
        <v>lao#2026</v>
      </c>
      <c r="B8634" t="str">
        <f>IFERROR(__xludf.DUMMYFUNCTION("""COMPUTED_VALUE"""),"lao")</f>
        <v>lao</v>
      </c>
      <c r="C8634" t="str">
        <f>IFERROR(__xludf.DUMMYFUNCTION("""COMPUTED_VALUE"""),"Lao")</f>
        <v>Lao</v>
      </c>
      <c r="D8634">
        <f>IFERROR(__xludf.DUMMYFUNCTION("""COMPUTED_VALUE"""),2026.0)</f>
        <v>2026</v>
      </c>
      <c r="E8634">
        <f>IFERROR(__xludf.DUMMYFUNCTION("""COMPUTED_VALUE"""),7717463.0)</f>
        <v>7717463</v>
      </c>
    </row>
    <row r="8635">
      <c r="A8635" t="str">
        <f t="shared" si="1"/>
        <v>lao#2027</v>
      </c>
      <c r="B8635" t="str">
        <f>IFERROR(__xludf.DUMMYFUNCTION("""COMPUTED_VALUE"""),"lao")</f>
        <v>lao</v>
      </c>
      <c r="C8635" t="str">
        <f>IFERROR(__xludf.DUMMYFUNCTION("""COMPUTED_VALUE"""),"Lao")</f>
        <v>Lao</v>
      </c>
      <c r="D8635">
        <f>IFERROR(__xludf.DUMMYFUNCTION("""COMPUTED_VALUE"""),2027.0)</f>
        <v>2027</v>
      </c>
      <c r="E8635">
        <f>IFERROR(__xludf.DUMMYFUNCTION("""COMPUTED_VALUE"""),7803221.0)</f>
        <v>7803221</v>
      </c>
    </row>
    <row r="8636">
      <c r="A8636" t="str">
        <f t="shared" si="1"/>
        <v>lao#2028</v>
      </c>
      <c r="B8636" t="str">
        <f>IFERROR(__xludf.DUMMYFUNCTION("""COMPUTED_VALUE"""),"lao")</f>
        <v>lao</v>
      </c>
      <c r="C8636" t="str">
        <f>IFERROR(__xludf.DUMMYFUNCTION("""COMPUTED_VALUE"""),"Lao")</f>
        <v>Lao</v>
      </c>
      <c r="D8636">
        <f>IFERROR(__xludf.DUMMYFUNCTION("""COMPUTED_VALUE"""),2028.0)</f>
        <v>2028</v>
      </c>
      <c r="E8636">
        <f>IFERROR(__xludf.DUMMYFUNCTION("""COMPUTED_VALUE"""),7887021.0)</f>
        <v>7887021</v>
      </c>
    </row>
    <row r="8637">
      <c r="A8637" t="str">
        <f t="shared" si="1"/>
        <v>lao#2029</v>
      </c>
      <c r="B8637" t="str">
        <f>IFERROR(__xludf.DUMMYFUNCTION("""COMPUTED_VALUE"""),"lao")</f>
        <v>lao</v>
      </c>
      <c r="C8637" t="str">
        <f>IFERROR(__xludf.DUMMYFUNCTION("""COMPUTED_VALUE"""),"Lao")</f>
        <v>Lao</v>
      </c>
      <c r="D8637">
        <f>IFERROR(__xludf.DUMMYFUNCTION("""COMPUTED_VALUE"""),2029.0)</f>
        <v>2029</v>
      </c>
      <c r="E8637">
        <f>IFERROR(__xludf.DUMMYFUNCTION("""COMPUTED_VALUE"""),7968851.0)</f>
        <v>7968851</v>
      </c>
    </row>
    <row r="8638">
      <c r="A8638" t="str">
        <f t="shared" si="1"/>
        <v>lao#2030</v>
      </c>
      <c r="B8638" t="str">
        <f>IFERROR(__xludf.DUMMYFUNCTION("""COMPUTED_VALUE"""),"lao")</f>
        <v>lao</v>
      </c>
      <c r="C8638" t="str">
        <f>IFERROR(__xludf.DUMMYFUNCTION("""COMPUTED_VALUE"""),"Lao")</f>
        <v>Lao</v>
      </c>
      <c r="D8638">
        <f>IFERROR(__xludf.DUMMYFUNCTION("""COMPUTED_VALUE"""),2030.0)</f>
        <v>2030</v>
      </c>
      <c r="E8638">
        <f>IFERROR(__xludf.DUMMYFUNCTION("""COMPUTED_VALUE"""),8048698.0)</f>
        <v>8048698</v>
      </c>
    </row>
    <row r="8639">
      <c r="A8639" t="str">
        <f t="shared" si="1"/>
        <v>lao#2031</v>
      </c>
      <c r="B8639" t="str">
        <f>IFERROR(__xludf.DUMMYFUNCTION("""COMPUTED_VALUE"""),"lao")</f>
        <v>lao</v>
      </c>
      <c r="C8639" t="str">
        <f>IFERROR(__xludf.DUMMYFUNCTION("""COMPUTED_VALUE"""),"Lao")</f>
        <v>Lao</v>
      </c>
      <c r="D8639">
        <f>IFERROR(__xludf.DUMMYFUNCTION("""COMPUTED_VALUE"""),2031.0)</f>
        <v>2031</v>
      </c>
      <c r="E8639">
        <f>IFERROR(__xludf.DUMMYFUNCTION("""COMPUTED_VALUE"""),8126506.0)</f>
        <v>8126506</v>
      </c>
    </row>
    <row r="8640">
      <c r="A8640" t="str">
        <f t="shared" si="1"/>
        <v>lao#2032</v>
      </c>
      <c r="B8640" t="str">
        <f>IFERROR(__xludf.DUMMYFUNCTION("""COMPUTED_VALUE"""),"lao")</f>
        <v>lao</v>
      </c>
      <c r="C8640" t="str">
        <f>IFERROR(__xludf.DUMMYFUNCTION("""COMPUTED_VALUE"""),"Lao")</f>
        <v>Lao</v>
      </c>
      <c r="D8640">
        <f>IFERROR(__xludf.DUMMYFUNCTION("""COMPUTED_VALUE"""),2032.0)</f>
        <v>2032</v>
      </c>
      <c r="E8640">
        <f>IFERROR(__xludf.DUMMYFUNCTION("""COMPUTED_VALUE"""),8202235.0)</f>
        <v>8202235</v>
      </c>
    </row>
    <row r="8641">
      <c r="A8641" t="str">
        <f t="shared" si="1"/>
        <v>lao#2033</v>
      </c>
      <c r="B8641" t="str">
        <f>IFERROR(__xludf.DUMMYFUNCTION("""COMPUTED_VALUE"""),"lao")</f>
        <v>lao</v>
      </c>
      <c r="C8641" t="str">
        <f>IFERROR(__xludf.DUMMYFUNCTION("""COMPUTED_VALUE"""),"Lao")</f>
        <v>Lao</v>
      </c>
      <c r="D8641">
        <f>IFERROR(__xludf.DUMMYFUNCTION("""COMPUTED_VALUE"""),2033.0)</f>
        <v>2033</v>
      </c>
      <c r="E8641">
        <f>IFERROR(__xludf.DUMMYFUNCTION("""COMPUTED_VALUE"""),8275833.0)</f>
        <v>8275833</v>
      </c>
    </row>
    <row r="8642">
      <c r="A8642" t="str">
        <f t="shared" si="1"/>
        <v>lao#2034</v>
      </c>
      <c r="B8642" t="str">
        <f>IFERROR(__xludf.DUMMYFUNCTION("""COMPUTED_VALUE"""),"lao")</f>
        <v>lao</v>
      </c>
      <c r="C8642" t="str">
        <f>IFERROR(__xludf.DUMMYFUNCTION("""COMPUTED_VALUE"""),"Lao")</f>
        <v>Lao</v>
      </c>
      <c r="D8642">
        <f>IFERROR(__xludf.DUMMYFUNCTION("""COMPUTED_VALUE"""),2034.0)</f>
        <v>2034</v>
      </c>
      <c r="E8642">
        <f>IFERROR(__xludf.DUMMYFUNCTION("""COMPUTED_VALUE"""),8347252.0)</f>
        <v>8347252</v>
      </c>
    </row>
    <row r="8643">
      <c r="A8643" t="str">
        <f t="shared" si="1"/>
        <v>lao#2035</v>
      </c>
      <c r="B8643" t="str">
        <f>IFERROR(__xludf.DUMMYFUNCTION("""COMPUTED_VALUE"""),"lao")</f>
        <v>lao</v>
      </c>
      <c r="C8643" t="str">
        <f>IFERROR(__xludf.DUMMYFUNCTION("""COMPUTED_VALUE"""),"Lao")</f>
        <v>Lao</v>
      </c>
      <c r="D8643">
        <f>IFERROR(__xludf.DUMMYFUNCTION("""COMPUTED_VALUE"""),2035.0)</f>
        <v>2035</v>
      </c>
      <c r="E8643">
        <f>IFERROR(__xludf.DUMMYFUNCTION("""COMPUTED_VALUE"""),8416467.0)</f>
        <v>8416467</v>
      </c>
    </row>
    <row r="8644">
      <c r="A8644" t="str">
        <f t="shared" si="1"/>
        <v>lao#2036</v>
      </c>
      <c r="B8644" t="str">
        <f>IFERROR(__xludf.DUMMYFUNCTION("""COMPUTED_VALUE"""),"lao")</f>
        <v>lao</v>
      </c>
      <c r="C8644" t="str">
        <f>IFERROR(__xludf.DUMMYFUNCTION("""COMPUTED_VALUE"""),"Lao")</f>
        <v>Lao</v>
      </c>
      <c r="D8644">
        <f>IFERROR(__xludf.DUMMYFUNCTION("""COMPUTED_VALUE"""),2036.0)</f>
        <v>2036</v>
      </c>
      <c r="E8644">
        <f>IFERROR(__xludf.DUMMYFUNCTION("""COMPUTED_VALUE"""),8483420.0)</f>
        <v>8483420</v>
      </c>
    </row>
    <row r="8645">
      <c r="A8645" t="str">
        <f t="shared" si="1"/>
        <v>lao#2037</v>
      </c>
      <c r="B8645" t="str">
        <f>IFERROR(__xludf.DUMMYFUNCTION("""COMPUTED_VALUE"""),"lao")</f>
        <v>lao</v>
      </c>
      <c r="C8645" t="str">
        <f>IFERROR(__xludf.DUMMYFUNCTION("""COMPUTED_VALUE"""),"Lao")</f>
        <v>Lao</v>
      </c>
      <c r="D8645">
        <f>IFERROR(__xludf.DUMMYFUNCTION("""COMPUTED_VALUE"""),2037.0)</f>
        <v>2037</v>
      </c>
      <c r="E8645">
        <f>IFERROR(__xludf.DUMMYFUNCTION("""COMPUTED_VALUE"""),8548078.0)</f>
        <v>8548078</v>
      </c>
    </row>
    <row r="8646">
      <c r="A8646" t="str">
        <f t="shared" si="1"/>
        <v>lao#2038</v>
      </c>
      <c r="B8646" t="str">
        <f>IFERROR(__xludf.DUMMYFUNCTION("""COMPUTED_VALUE"""),"lao")</f>
        <v>lao</v>
      </c>
      <c r="C8646" t="str">
        <f>IFERROR(__xludf.DUMMYFUNCTION("""COMPUTED_VALUE"""),"Lao")</f>
        <v>Lao</v>
      </c>
      <c r="D8646">
        <f>IFERROR(__xludf.DUMMYFUNCTION("""COMPUTED_VALUE"""),2038.0)</f>
        <v>2038</v>
      </c>
      <c r="E8646">
        <f>IFERROR(__xludf.DUMMYFUNCTION("""COMPUTED_VALUE"""),8610412.0)</f>
        <v>8610412</v>
      </c>
    </row>
    <row r="8647">
      <c r="A8647" t="str">
        <f t="shared" si="1"/>
        <v>lao#2039</v>
      </c>
      <c r="B8647" t="str">
        <f>IFERROR(__xludf.DUMMYFUNCTION("""COMPUTED_VALUE"""),"lao")</f>
        <v>lao</v>
      </c>
      <c r="C8647" t="str">
        <f>IFERROR(__xludf.DUMMYFUNCTION("""COMPUTED_VALUE"""),"Lao")</f>
        <v>Lao</v>
      </c>
      <c r="D8647">
        <f>IFERROR(__xludf.DUMMYFUNCTION("""COMPUTED_VALUE"""),2039.0)</f>
        <v>2039</v>
      </c>
      <c r="E8647">
        <f>IFERROR(__xludf.DUMMYFUNCTION("""COMPUTED_VALUE"""),8670363.0)</f>
        <v>8670363</v>
      </c>
    </row>
    <row r="8648">
      <c r="A8648" t="str">
        <f t="shared" si="1"/>
        <v>lao#2040</v>
      </c>
      <c r="B8648" t="str">
        <f>IFERROR(__xludf.DUMMYFUNCTION("""COMPUTED_VALUE"""),"lao")</f>
        <v>lao</v>
      </c>
      <c r="C8648" t="str">
        <f>IFERROR(__xludf.DUMMYFUNCTION("""COMPUTED_VALUE"""),"Lao")</f>
        <v>Lao</v>
      </c>
      <c r="D8648">
        <f>IFERROR(__xludf.DUMMYFUNCTION("""COMPUTED_VALUE"""),2040.0)</f>
        <v>2040</v>
      </c>
      <c r="E8648">
        <f>IFERROR(__xludf.DUMMYFUNCTION("""COMPUTED_VALUE"""),8727905.0)</f>
        <v>8727905</v>
      </c>
    </row>
    <row r="8649">
      <c r="A8649" t="str">
        <f t="shared" si="1"/>
        <v>lva#1950</v>
      </c>
      <c r="B8649" t="str">
        <f>IFERROR(__xludf.DUMMYFUNCTION("""COMPUTED_VALUE"""),"lva")</f>
        <v>lva</v>
      </c>
      <c r="C8649" t="str">
        <f>IFERROR(__xludf.DUMMYFUNCTION("""COMPUTED_VALUE"""),"Latvia")</f>
        <v>Latvia</v>
      </c>
      <c r="D8649">
        <f>IFERROR(__xludf.DUMMYFUNCTION("""COMPUTED_VALUE"""),1950.0)</f>
        <v>1950</v>
      </c>
      <c r="E8649">
        <f>IFERROR(__xludf.DUMMYFUNCTION("""COMPUTED_VALUE"""),1926568.0)</f>
        <v>1926568</v>
      </c>
    </row>
    <row r="8650">
      <c r="A8650" t="str">
        <f t="shared" si="1"/>
        <v>lva#1951</v>
      </c>
      <c r="B8650" t="str">
        <f>IFERROR(__xludf.DUMMYFUNCTION("""COMPUTED_VALUE"""),"lva")</f>
        <v>lva</v>
      </c>
      <c r="C8650" t="str">
        <f>IFERROR(__xludf.DUMMYFUNCTION("""COMPUTED_VALUE"""),"Latvia")</f>
        <v>Latvia</v>
      </c>
      <c r="D8650">
        <f>IFERROR(__xludf.DUMMYFUNCTION("""COMPUTED_VALUE"""),1951.0)</f>
        <v>1951</v>
      </c>
      <c r="E8650">
        <f>IFERROR(__xludf.DUMMYFUNCTION("""COMPUTED_VALUE"""),1933991.0)</f>
        <v>1933991</v>
      </c>
    </row>
    <row r="8651">
      <c r="A8651" t="str">
        <f t="shared" si="1"/>
        <v>lva#1952</v>
      </c>
      <c r="B8651" t="str">
        <f>IFERROR(__xludf.DUMMYFUNCTION("""COMPUTED_VALUE"""),"lva")</f>
        <v>lva</v>
      </c>
      <c r="C8651" t="str">
        <f>IFERROR(__xludf.DUMMYFUNCTION("""COMPUTED_VALUE"""),"Latvia")</f>
        <v>Latvia</v>
      </c>
      <c r="D8651">
        <f>IFERROR(__xludf.DUMMYFUNCTION("""COMPUTED_VALUE"""),1952.0)</f>
        <v>1952</v>
      </c>
      <c r="E8651">
        <f>IFERROR(__xludf.DUMMYFUNCTION("""COMPUTED_VALUE"""),1945956.0)</f>
        <v>1945956</v>
      </c>
    </row>
    <row r="8652">
      <c r="A8652" t="str">
        <f t="shared" si="1"/>
        <v>lva#1953</v>
      </c>
      <c r="B8652" t="str">
        <f>IFERROR(__xludf.DUMMYFUNCTION("""COMPUTED_VALUE"""),"lva")</f>
        <v>lva</v>
      </c>
      <c r="C8652" t="str">
        <f>IFERROR(__xludf.DUMMYFUNCTION("""COMPUTED_VALUE"""),"Latvia")</f>
        <v>Latvia</v>
      </c>
      <c r="D8652">
        <f>IFERROR(__xludf.DUMMYFUNCTION("""COMPUTED_VALUE"""),1953.0)</f>
        <v>1953</v>
      </c>
      <c r="E8652">
        <f>IFERROR(__xludf.DUMMYFUNCTION("""COMPUTED_VALUE"""),1961655.0)</f>
        <v>1961655</v>
      </c>
    </row>
    <row r="8653">
      <c r="A8653" t="str">
        <f t="shared" si="1"/>
        <v>lva#1954</v>
      </c>
      <c r="B8653" t="str">
        <f>IFERROR(__xludf.DUMMYFUNCTION("""COMPUTED_VALUE"""),"lva")</f>
        <v>lva</v>
      </c>
      <c r="C8653" t="str">
        <f>IFERROR(__xludf.DUMMYFUNCTION("""COMPUTED_VALUE"""),"Latvia")</f>
        <v>Latvia</v>
      </c>
      <c r="D8653">
        <f>IFERROR(__xludf.DUMMYFUNCTION("""COMPUTED_VALUE"""),1954.0)</f>
        <v>1954</v>
      </c>
      <c r="E8653">
        <f>IFERROR(__xludf.DUMMYFUNCTION("""COMPUTED_VALUE"""),1980395.0)</f>
        <v>1980395</v>
      </c>
    </row>
    <row r="8654">
      <c r="A8654" t="str">
        <f t="shared" si="1"/>
        <v>lva#1955</v>
      </c>
      <c r="B8654" t="str">
        <f>IFERROR(__xludf.DUMMYFUNCTION("""COMPUTED_VALUE"""),"lva")</f>
        <v>lva</v>
      </c>
      <c r="C8654" t="str">
        <f>IFERROR(__xludf.DUMMYFUNCTION("""COMPUTED_VALUE"""),"Latvia")</f>
        <v>Latvia</v>
      </c>
      <c r="D8654">
        <f>IFERROR(__xludf.DUMMYFUNCTION("""COMPUTED_VALUE"""),1955.0)</f>
        <v>1955</v>
      </c>
      <c r="E8654">
        <f>IFERROR(__xludf.DUMMYFUNCTION("""COMPUTED_VALUE"""),2001570.0)</f>
        <v>2001570</v>
      </c>
    </row>
    <row r="8655">
      <c r="A8655" t="str">
        <f t="shared" si="1"/>
        <v>lva#1956</v>
      </c>
      <c r="B8655" t="str">
        <f>IFERROR(__xludf.DUMMYFUNCTION("""COMPUTED_VALUE"""),"lva")</f>
        <v>lva</v>
      </c>
      <c r="C8655" t="str">
        <f>IFERROR(__xludf.DUMMYFUNCTION("""COMPUTED_VALUE"""),"Latvia")</f>
        <v>Latvia</v>
      </c>
      <c r="D8655">
        <f>IFERROR(__xludf.DUMMYFUNCTION("""COMPUTED_VALUE"""),1956.0)</f>
        <v>1956</v>
      </c>
      <c r="E8655">
        <f>IFERROR(__xludf.DUMMYFUNCTION("""COMPUTED_VALUE"""),2024675.0)</f>
        <v>2024675</v>
      </c>
    </row>
    <row r="8656">
      <c r="A8656" t="str">
        <f t="shared" si="1"/>
        <v>lva#1957</v>
      </c>
      <c r="B8656" t="str">
        <f>IFERROR(__xludf.DUMMYFUNCTION("""COMPUTED_VALUE"""),"lva")</f>
        <v>lva</v>
      </c>
      <c r="C8656" t="str">
        <f>IFERROR(__xludf.DUMMYFUNCTION("""COMPUTED_VALUE"""),"Latvia")</f>
        <v>Latvia</v>
      </c>
      <c r="D8656">
        <f>IFERROR(__xludf.DUMMYFUNCTION("""COMPUTED_VALUE"""),1957.0)</f>
        <v>1957</v>
      </c>
      <c r="E8656">
        <f>IFERROR(__xludf.DUMMYFUNCTION("""COMPUTED_VALUE"""),2049315.0)</f>
        <v>2049315</v>
      </c>
    </row>
    <row r="8657">
      <c r="A8657" t="str">
        <f t="shared" si="1"/>
        <v>lva#1958</v>
      </c>
      <c r="B8657" t="str">
        <f>IFERROR(__xludf.DUMMYFUNCTION("""COMPUTED_VALUE"""),"lva")</f>
        <v>lva</v>
      </c>
      <c r="C8657" t="str">
        <f>IFERROR(__xludf.DUMMYFUNCTION("""COMPUTED_VALUE"""),"Latvia")</f>
        <v>Latvia</v>
      </c>
      <c r="D8657">
        <f>IFERROR(__xludf.DUMMYFUNCTION("""COMPUTED_VALUE"""),1958.0)</f>
        <v>1958</v>
      </c>
      <c r="E8657">
        <f>IFERROR(__xludf.DUMMYFUNCTION("""COMPUTED_VALUE"""),2075172.0)</f>
        <v>2075172</v>
      </c>
    </row>
    <row r="8658">
      <c r="A8658" t="str">
        <f t="shared" si="1"/>
        <v>lva#1959</v>
      </c>
      <c r="B8658" t="str">
        <f>IFERROR(__xludf.DUMMYFUNCTION("""COMPUTED_VALUE"""),"lva")</f>
        <v>lva</v>
      </c>
      <c r="C8658" t="str">
        <f>IFERROR(__xludf.DUMMYFUNCTION("""COMPUTED_VALUE"""),"Latvia")</f>
        <v>Latvia</v>
      </c>
      <c r="D8658">
        <f>IFERROR(__xludf.DUMMYFUNCTION("""COMPUTED_VALUE"""),1959.0)</f>
        <v>1959</v>
      </c>
      <c r="E8658">
        <f>IFERROR(__xludf.DUMMYFUNCTION("""COMPUTED_VALUE"""),2102004.0)</f>
        <v>2102004</v>
      </c>
    </row>
    <row r="8659">
      <c r="A8659" t="str">
        <f t="shared" si="1"/>
        <v>lva#1960</v>
      </c>
      <c r="B8659" t="str">
        <f>IFERROR(__xludf.DUMMYFUNCTION("""COMPUTED_VALUE"""),"lva")</f>
        <v>lva</v>
      </c>
      <c r="C8659" t="str">
        <f>IFERROR(__xludf.DUMMYFUNCTION("""COMPUTED_VALUE"""),"Latvia")</f>
        <v>Latvia</v>
      </c>
      <c r="D8659">
        <f>IFERROR(__xludf.DUMMYFUNCTION("""COMPUTED_VALUE"""),1960.0)</f>
        <v>1960</v>
      </c>
      <c r="E8659">
        <f>IFERROR(__xludf.DUMMYFUNCTION("""COMPUTED_VALUE"""),2129586.0)</f>
        <v>2129586</v>
      </c>
    </row>
    <row r="8660">
      <c r="A8660" t="str">
        <f t="shared" si="1"/>
        <v>lva#1961</v>
      </c>
      <c r="B8660" t="str">
        <f>IFERROR(__xludf.DUMMYFUNCTION("""COMPUTED_VALUE"""),"lva")</f>
        <v>lva</v>
      </c>
      <c r="C8660" t="str">
        <f>IFERROR(__xludf.DUMMYFUNCTION("""COMPUTED_VALUE"""),"Latvia")</f>
        <v>Latvia</v>
      </c>
      <c r="D8660">
        <f>IFERROR(__xludf.DUMMYFUNCTION("""COMPUTED_VALUE"""),1961.0)</f>
        <v>1961</v>
      </c>
      <c r="E8660">
        <f>IFERROR(__xludf.DUMMYFUNCTION("""COMPUTED_VALUE"""),2157660.0)</f>
        <v>2157660</v>
      </c>
    </row>
    <row r="8661">
      <c r="A8661" t="str">
        <f t="shared" si="1"/>
        <v>lva#1962</v>
      </c>
      <c r="B8661" t="str">
        <f>IFERROR(__xludf.DUMMYFUNCTION("""COMPUTED_VALUE"""),"lva")</f>
        <v>lva</v>
      </c>
      <c r="C8661" t="str">
        <f>IFERROR(__xludf.DUMMYFUNCTION("""COMPUTED_VALUE"""),"Latvia")</f>
        <v>Latvia</v>
      </c>
      <c r="D8661">
        <f>IFERROR(__xludf.DUMMYFUNCTION("""COMPUTED_VALUE"""),1962.0)</f>
        <v>1962</v>
      </c>
      <c r="E8661">
        <f>IFERROR(__xludf.DUMMYFUNCTION("""COMPUTED_VALUE"""),2185878.0)</f>
        <v>2185878</v>
      </c>
    </row>
    <row r="8662">
      <c r="A8662" t="str">
        <f t="shared" si="1"/>
        <v>lva#1963</v>
      </c>
      <c r="B8662" t="str">
        <f>IFERROR(__xludf.DUMMYFUNCTION("""COMPUTED_VALUE"""),"lva")</f>
        <v>lva</v>
      </c>
      <c r="C8662" t="str">
        <f>IFERROR(__xludf.DUMMYFUNCTION("""COMPUTED_VALUE"""),"Latvia")</f>
        <v>Latvia</v>
      </c>
      <c r="D8662">
        <f>IFERROR(__xludf.DUMMYFUNCTION("""COMPUTED_VALUE"""),1963.0)</f>
        <v>1963</v>
      </c>
      <c r="E8662">
        <f>IFERROR(__xludf.DUMMYFUNCTION("""COMPUTED_VALUE"""),2213803.0)</f>
        <v>2213803</v>
      </c>
    </row>
    <row r="8663">
      <c r="A8663" t="str">
        <f t="shared" si="1"/>
        <v>lva#1964</v>
      </c>
      <c r="B8663" t="str">
        <f>IFERROR(__xludf.DUMMYFUNCTION("""COMPUTED_VALUE"""),"lva")</f>
        <v>lva</v>
      </c>
      <c r="C8663" t="str">
        <f>IFERROR(__xludf.DUMMYFUNCTION("""COMPUTED_VALUE"""),"Latvia")</f>
        <v>Latvia</v>
      </c>
      <c r="D8663">
        <f>IFERROR(__xludf.DUMMYFUNCTION("""COMPUTED_VALUE"""),1964.0)</f>
        <v>1964</v>
      </c>
      <c r="E8663">
        <f>IFERROR(__xludf.DUMMYFUNCTION("""COMPUTED_VALUE"""),2240945.0)</f>
        <v>2240945</v>
      </c>
    </row>
    <row r="8664">
      <c r="A8664" t="str">
        <f t="shared" si="1"/>
        <v>lva#1965</v>
      </c>
      <c r="B8664" t="str">
        <f>IFERROR(__xludf.DUMMYFUNCTION("""COMPUTED_VALUE"""),"lva")</f>
        <v>lva</v>
      </c>
      <c r="C8664" t="str">
        <f>IFERROR(__xludf.DUMMYFUNCTION("""COMPUTED_VALUE"""),"Latvia")</f>
        <v>Latvia</v>
      </c>
      <c r="D8664">
        <f>IFERROR(__xludf.DUMMYFUNCTION("""COMPUTED_VALUE"""),1965.0)</f>
        <v>1965</v>
      </c>
      <c r="E8664">
        <f>IFERROR(__xludf.DUMMYFUNCTION("""COMPUTED_VALUE"""),2266941.0)</f>
        <v>2266941</v>
      </c>
    </row>
    <row r="8665">
      <c r="A8665" t="str">
        <f t="shared" si="1"/>
        <v>lva#1966</v>
      </c>
      <c r="B8665" t="str">
        <f>IFERROR(__xludf.DUMMYFUNCTION("""COMPUTED_VALUE"""),"lva")</f>
        <v>lva</v>
      </c>
      <c r="C8665" t="str">
        <f>IFERROR(__xludf.DUMMYFUNCTION("""COMPUTED_VALUE"""),"Latvia")</f>
        <v>Latvia</v>
      </c>
      <c r="D8665">
        <f>IFERROR(__xludf.DUMMYFUNCTION("""COMPUTED_VALUE"""),1966.0)</f>
        <v>1966</v>
      </c>
      <c r="E8665">
        <f>IFERROR(__xludf.DUMMYFUNCTION("""COMPUTED_VALUE"""),2291465.0)</f>
        <v>2291465</v>
      </c>
    </row>
    <row r="8666">
      <c r="A8666" t="str">
        <f t="shared" si="1"/>
        <v>lva#1967</v>
      </c>
      <c r="B8666" t="str">
        <f>IFERROR(__xludf.DUMMYFUNCTION("""COMPUTED_VALUE"""),"lva")</f>
        <v>lva</v>
      </c>
      <c r="C8666" t="str">
        <f>IFERROR(__xludf.DUMMYFUNCTION("""COMPUTED_VALUE"""),"Latvia")</f>
        <v>Latvia</v>
      </c>
      <c r="D8666">
        <f>IFERROR(__xludf.DUMMYFUNCTION("""COMPUTED_VALUE"""),1967.0)</f>
        <v>1967</v>
      </c>
      <c r="E8666">
        <f>IFERROR(__xludf.DUMMYFUNCTION("""COMPUTED_VALUE"""),2314500.0)</f>
        <v>2314500</v>
      </c>
    </row>
    <row r="8667">
      <c r="A8667" t="str">
        <f t="shared" si="1"/>
        <v>lva#1968</v>
      </c>
      <c r="B8667" t="str">
        <f>IFERROR(__xludf.DUMMYFUNCTION("""COMPUTED_VALUE"""),"lva")</f>
        <v>lva</v>
      </c>
      <c r="C8667" t="str">
        <f>IFERROR(__xludf.DUMMYFUNCTION("""COMPUTED_VALUE"""),"Latvia")</f>
        <v>Latvia</v>
      </c>
      <c r="D8667">
        <f>IFERROR(__xludf.DUMMYFUNCTION("""COMPUTED_VALUE"""),1968.0)</f>
        <v>1968</v>
      </c>
      <c r="E8667">
        <f>IFERROR(__xludf.DUMMYFUNCTION("""COMPUTED_VALUE"""),2336322.0)</f>
        <v>2336322</v>
      </c>
    </row>
    <row r="8668">
      <c r="A8668" t="str">
        <f t="shared" si="1"/>
        <v>lva#1969</v>
      </c>
      <c r="B8668" t="str">
        <f>IFERROR(__xludf.DUMMYFUNCTION("""COMPUTED_VALUE"""),"lva")</f>
        <v>lva</v>
      </c>
      <c r="C8668" t="str">
        <f>IFERROR(__xludf.DUMMYFUNCTION("""COMPUTED_VALUE"""),"Latvia")</f>
        <v>Latvia</v>
      </c>
      <c r="D8668">
        <f>IFERROR(__xludf.DUMMYFUNCTION("""COMPUTED_VALUE"""),1969.0)</f>
        <v>1969</v>
      </c>
      <c r="E8668">
        <f>IFERROR(__xludf.DUMMYFUNCTION("""COMPUTED_VALUE"""),2357395.0)</f>
        <v>2357395</v>
      </c>
    </row>
    <row r="8669">
      <c r="A8669" t="str">
        <f t="shared" si="1"/>
        <v>lva#1970</v>
      </c>
      <c r="B8669" t="str">
        <f>IFERROR(__xludf.DUMMYFUNCTION("""COMPUTED_VALUE"""),"lva")</f>
        <v>lva</v>
      </c>
      <c r="C8669" t="str">
        <f>IFERROR(__xludf.DUMMYFUNCTION("""COMPUTED_VALUE"""),"Latvia")</f>
        <v>Latvia</v>
      </c>
      <c r="D8669">
        <f>IFERROR(__xludf.DUMMYFUNCTION("""COMPUTED_VALUE"""),1970.0)</f>
        <v>1970</v>
      </c>
      <c r="E8669">
        <f>IFERROR(__xludf.DUMMYFUNCTION("""COMPUTED_VALUE"""),2378017.0)</f>
        <v>2378017</v>
      </c>
    </row>
    <row r="8670">
      <c r="A8670" t="str">
        <f t="shared" si="1"/>
        <v>lva#1971</v>
      </c>
      <c r="B8670" t="str">
        <f>IFERROR(__xludf.DUMMYFUNCTION("""COMPUTED_VALUE"""),"lva")</f>
        <v>lva</v>
      </c>
      <c r="C8670" t="str">
        <f>IFERROR(__xludf.DUMMYFUNCTION("""COMPUTED_VALUE"""),"Latvia")</f>
        <v>Latvia</v>
      </c>
      <c r="D8670">
        <f>IFERROR(__xludf.DUMMYFUNCTION("""COMPUTED_VALUE"""),1971.0)</f>
        <v>1971</v>
      </c>
      <c r="E8670">
        <f>IFERROR(__xludf.DUMMYFUNCTION("""COMPUTED_VALUE"""),2398376.0)</f>
        <v>2398376</v>
      </c>
    </row>
    <row r="8671">
      <c r="A8671" t="str">
        <f t="shared" si="1"/>
        <v>lva#1972</v>
      </c>
      <c r="B8671" t="str">
        <f>IFERROR(__xludf.DUMMYFUNCTION("""COMPUTED_VALUE"""),"lva")</f>
        <v>lva</v>
      </c>
      <c r="C8671" t="str">
        <f>IFERROR(__xludf.DUMMYFUNCTION("""COMPUTED_VALUE"""),"Latvia")</f>
        <v>Latvia</v>
      </c>
      <c r="D8671">
        <f>IFERROR(__xludf.DUMMYFUNCTION("""COMPUTED_VALUE"""),1972.0)</f>
        <v>1972</v>
      </c>
      <c r="E8671">
        <f>IFERROR(__xludf.DUMMYFUNCTION("""COMPUTED_VALUE"""),2418267.0)</f>
        <v>2418267</v>
      </c>
    </row>
    <row r="8672">
      <c r="A8672" t="str">
        <f t="shared" si="1"/>
        <v>lva#1973</v>
      </c>
      <c r="B8672" t="str">
        <f>IFERROR(__xludf.DUMMYFUNCTION("""COMPUTED_VALUE"""),"lva")</f>
        <v>lva</v>
      </c>
      <c r="C8672" t="str">
        <f>IFERROR(__xludf.DUMMYFUNCTION("""COMPUTED_VALUE"""),"Latvia")</f>
        <v>Latvia</v>
      </c>
      <c r="D8672">
        <f>IFERROR(__xludf.DUMMYFUNCTION("""COMPUTED_VALUE"""),1973.0)</f>
        <v>1973</v>
      </c>
      <c r="E8672">
        <f>IFERROR(__xludf.DUMMYFUNCTION("""COMPUTED_VALUE"""),2437177.0)</f>
        <v>2437177</v>
      </c>
    </row>
    <row r="8673">
      <c r="A8673" t="str">
        <f t="shared" si="1"/>
        <v>lva#1974</v>
      </c>
      <c r="B8673" t="str">
        <f>IFERROR(__xludf.DUMMYFUNCTION("""COMPUTED_VALUE"""),"lva")</f>
        <v>lva</v>
      </c>
      <c r="C8673" t="str">
        <f>IFERROR(__xludf.DUMMYFUNCTION("""COMPUTED_VALUE"""),"Latvia")</f>
        <v>Latvia</v>
      </c>
      <c r="D8673">
        <f>IFERROR(__xludf.DUMMYFUNCTION("""COMPUTED_VALUE"""),1974.0)</f>
        <v>1974</v>
      </c>
      <c r="E8673">
        <f>IFERROR(__xludf.DUMMYFUNCTION("""COMPUTED_VALUE"""),2454393.0)</f>
        <v>2454393</v>
      </c>
    </row>
    <row r="8674">
      <c r="A8674" t="str">
        <f t="shared" si="1"/>
        <v>lva#1975</v>
      </c>
      <c r="B8674" t="str">
        <f>IFERROR(__xludf.DUMMYFUNCTION("""COMPUTED_VALUE"""),"lva")</f>
        <v>lva</v>
      </c>
      <c r="C8674" t="str">
        <f>IFERROR(__xludf.DUMMYFUNCTION("""COMPUTED_VALUE"""),"Latvia")</f>
        <v>Latvia</v>
      </c>
      <c r="D8674">
        <f>IFERROR(__xludf.DUMMYFUNCTION("""COMPUTED_VALUE"""),1975.0)</f>
        <v>1975</v>
      </c>
      <c r="E8674">
        <f>IFERROR(__xludf.DUMMYFUNCTION("""COMPUTED_VALUE"""),2469436.0)</f>
        <v>2469436</v>
      </c>
    </row>
    <row r="8675">
      <c r="A8675" t="str">
        <f t="shared" si="1"/>
        <v>lva#1976</v>
      </c>
      <c r="B8675" t="str">
        <f>IFERROR(__xludf.DUMMYFUNCTION("""COMPUTED_VALUE"""),"lva")</f>
        <v>lva</v>
      </c>
      <c r="C8675" t="str">
        <f>IFERROR(__xludf.DUMMYFUNCTION("""COMPUTED_VALUE"""),"Latvia")</f>
        <v>Latvia</v>
      </c>
      <c r="D8675">
        <f>IFERROR(__xludf.DUMMYFUNCTION("""COMPUTED_VALUE"""),1976.0)</f>
        <v>1976</v>
      </c>
      <c r="E8675">
        <f>IFERROR(__xludf.DUMMYFUNCTION("""COMPUTED_VALUE"""),2482181.0)</f>
        <v>2482181</v>
      </c>
    </row>
    <row r="8676">
      <c r="A8676" t="str">
        <f t="shared" si="1"/>
        <v>lva#1977</v>
      </c>
      <c r="B8676" t="str">
        <f>IFERROR(__xludf.DUMMYFUNCTION("""COMPUTED_VALUE"""),"lva")</f>
        <v>lva</v>
      </c>
      <c r="C8676" t="str">
        <f>IFERROR(__xludf.DUMMYFUNCTION("""COMPUTED_VALUE"""),"Latvia")</f>
        <v>Latvia</v>
      </c>
      <c r="D8676">
        <f>IFERROR(__xludf.DUMMYFUNCTION("""COMPUTED_VALUE"""),1977.0)</f>
        <v>1977</v>
      </c>
      <c r="E8676">
        <f>IFERROR(__xludf.DUMMYFUNCTION("""COMPUTED_VALUE"""),2492978.0)</f>
        <v>2492978</v>
      </c>
    </row>
    <row r="8677">
      <c r="A8677" t="str">
        <f t="shared" si="1"/>
        <v>lva#1978</v>
      </c>
      <c r="B8677" t="str">
        <f>IFERROR(__xludf.DUMMYFUNCTION("""COMPUTED_VALUE"""),"lva")</f>
        <v>lva</v>
      </c>
      <c r="C8677" t="str">
        <f>IFERROR(__xludf.DUMMYFUNCTION("""COMPUTED_VALUE"""),"Latvia")</f>
        <v>Latvia</v>
      </c>
      <c r="D8677">
        <f>IFERROR(__xludf.DUMMYFUNCTION("""COMPUTED_VALUE"""),1978.0)</f>
        <v>1978</v>
      </c>
      <c r="E8677">
        <f>IFERROR(__xludf.DUMMYFUNCTION("""COMPUTED_VALUE"""),2502513.0)</f>
        <v>2502513</v>
      </c>
    </row>
    <row r="8678">
      <c r="A8678" t="str">
        <f t="shared" si="1"/>
        <v>lva#1979</v>
      </c>
      <c r="B8678" t="str">
        <f>IFERROR(__xludf.DUMMYFUNCTION("""COMPUTED_VALUE"""),"lva")</f>
        <v>lva</v>
      </c>
      <c r="C8678" t="str">
        <f>IFERROR(__xludf.DUMMYFUNCTION("""COMPUTED_VALUE"""),"Latvia")</f>
        <v>Latvia</v>
      </c>
      <c r="D8678">
        <f>IFERROR(__xludf.DUMMYFUNCTION("""COMPUTED_VALUE"""),1979.0)</f>
        <v>1979</v>
      </c>
      <c r="E8678">
        <f>IFERROR(__xludf.DUMMYFUNCTION("""COMPUTED_VALUE"""),2511735.0)</f>
        <v>2511735</v>
      </c>
    </row>
    <row r="8679">
      <c r="A8679" t="str">
        <f t="shared" si="1"/>
        <v>lva#1980</v>
      </c>
      <c r="B8679" t="str">
        <f>IFERROR(__xludf.DUMMYFUNCTION("""COMPUTED_VALUE"""),"lva")</f>
        <v>lva</v>
      </c>
      <c r="C8679" t="str">
        <f>IFERROR(__xludf.DUMMYFUNCTION("""COMPUTED_VALUE"""),"Latvia")</f>
        <v>Latvia</v>
      </c>
      <c r="D8679">
        <f>IFERROR(__xludf.DUMMYFUNCTION("""COMPUTED_VALUE"""),1980.0)</f>
        <v>1980</v>
      </c>
      <c r="E8679">
        <f>IFERROR(__xludf.DUMMYFUNCTION("""COMPUTED_VALUE"""),2521385.0)</f>
        <v>2521385</v>
      </c>
    </row>
    <row r="8680">
      <c r="A8680" t="str">
        <f t="shared" si="1"/>
        <v>lva#1981</v>
      </c>
      <c r="B8680" t="str">
        <f>IFERROR(__xludf.DUMMYFUNCTION("""COMPUTED_VALUE"""),"lva")</f>
        <v>lva</v>
      </c>
      <c r="C8680" t="str">
        <f>IFERROR(__xludf.DUMMYFUNCTION("""COMPUTED_VALUE"""),"Latvia")</f>
        <v>Latvia</v>
      </c>
      <c r="D8680">
        <f>IFERROR(__xludf.DUMMYFUNCTION("""COMPUTED_VALUE"""),1981.0)</f>
        <v>1981</v>
      </c>
      <c r="E8680">
        <f>IFERROR(__xludf.DUMMYFUNCTION("""COMPUTED_VALUE"""),2531013.0)</f>
        <v>2531013</v>
      </c>
    </row>
    <row r="8681">
      <c r="A8681" t="str">
        <f t="shared" si="1"/>
        <v>lva#1982</v>
      </c>
      <c r="B8681" t="str">
        <f>IFERROR(__xludf.DUMMYFUNCTION("""COMPUTED_VALUE"""),"lva")</f>
        <v>lva</v>
      </c>
      <c r="C8681" t="str">
        <f>IFERROR(__xludf.DUMMYFUNCTION("""COMPUTED_VALUE"""),"Latvia")</f>
        <v>Latvia</v>
      </c>
      <c r="D8681">
        <f>IFERROR(__xludf.DUMMYFUNCTION("""COMPUTED_VALUE"""),1982.0)</f>
        <v>1982</v>
      </c>
      <c r="E8681">
        <f>IFERROR(__xludf.DUMMYFUNCTION("""COMPUTED_VALUE"""),2540442.0)</f>
        <v>2540442</v>
      </c>
    </row>
    <row r="8682">
      <c r="A8682" t="str">
        <f t="shared" si="1"/>
        <v>lva#1983</v>
      </c>
      <c r="B8682" t="str">
        <f>IFERROR(__xludf.DUMMYFUNCTION("""COMPUTED_VALUE"""),"lva")</f>
        <v>lva</v>
      </c>
      <c r="C8682" t="str">
        <f>IFERROR(__xludf.DUMMYFUNCTION("""COMPUTED_VALUE"""),"Latvia")</f>
        <v>Latvia</v>
      </c>
      <c r="D8682">
        <f>IFERROR(__xludf.DUMMYFUNCTION("""COMPUTED_VALUE"""),1983.0)</f>
        <v>1983</v>
      </c>
      <c r="E8682">
        <f>IFERROR(__xludf.DUMMYFUNCTION("""COMPUTED_VALUE"""),2550927.0)</f>
        <v>2550927</v>
      </c>
    </row>
    <row r="8683">
      <c r="A8683" t="str">
        <f t="shared" si="1"/>
        <v>lva#1984</v>
      </c>
      <c r="B8683" t="str">
        <f>IFERROR(__xludf.DUMMYFUNCTION("""COMPUTED_VALUE"""),"lva")</f>
        <v>lva</v>
      </c>
      <c r="C8683" t="str">
        <f>IFERROR(__xludf.DUMMYFUNCTION("""COMPUTED_VALUE"""),"Latvia")</f>
        <v>Latvia</v>
      </c>
      <c r="D8683">
        <f>IFERROR(__xludf.DUMMYFUNCTION("""COMPUTED_VALUE"""),1984.0)</f>
        <v>1984</v>
      </c>
      <c r="E8683">
        <f>IFERROR(__xludf.DUMMYFUNCTION("""COMPUTED_VALUE"""),2564107.0)</f>
        <v>2564107</v>
      </c>
    </row>
    <row r="8684">
      <c r="A8684" t="str">
        <f t="shared" si="1"/>
        <v>lva#1985</v>
      </c>
      <c r="B8684" t="str">
        <f>IFERROR(__xludf.DUMMYFUNCTION("""COMPUTED_VALUE"""),"lva")</f>
        <v>lva</v>
      </c>
      <c r="C8684" t="str">
        <f>IFERROR(__xludf.DUMMYFUNCTION("""COMPUTED_VALUE"""),"Latvia")</f>
        <v>Latvia</v>
      </c>
      <c r="D8684">
        <f>IFERROR(__xludf.DUMMYFUNCTION("""COMPUTED_VALUE"""),1985.0)</f>
        <v>1985</v>
      </c>
      <c r="E8684">
        <f>IFERROR(__xludf.DUMMYFUNCTION("""COMPUTED_VALUE"""),2580751.0)</f>
        <v>2580751</v>
      </c>
    </row>
    <row r="8685">
      <c r="A8685" t="str">
        <f t="shared" si="1"/>
        <v>lva#1986</v>
      </c>
      <c r="B8685" t="str">
        <f>IFERROR(__xludf.DUMMYFUNCTION("""COMPUTED_VALUE"""),"lva")</f>
        <v>lva</v>
      </c>
      <c r="C8685" t="str">
        <f>IFERROR(__xludf.DUMMYFUNCTION("""COMPUTED_VALUE"""),"Latvia")</f>
        <v>Latvia</v>
      </c>
      <c r="D8685">
        <f>IFERROR(__xludf.DUMMYFUNCTION("""COMPUTED_VALUE"""),1986.0)</f>
        <v>1986</v>
      </c>
      <c r="E8685">
        <f>IFERROR(__xludf.DUMMYFUNCTION("""COMPUTED_VALUE"""),2602151.0)</f>
        <v>2602151</v>
      </c>
    </row>
    <row r="8686">
      <c r="A8686" t="str">
        <f t="shared" si="1"/>
        <v>lva#1987</v>
      </c>
      <c r="B8686" t="str">
        <f>IFERROR(__xludf.DUMMYFUNCTION("""COMPUTED_VALUE"""),"lva")</f>
        <v>lva</v>
      </c>
      <c r="C8686" t="str">
        <f>IFERROR(__xludf.DUMMYFUNCTION("""COMPUTED_VALUE"""),"Latvia")</f>
        <v>Latvia</v>
      </c>
      <c r="D8686">
        <f>IFERROR(__xludf.DUMMYFUNCTION("""COMPUTED_VALUE"""),1987.0)</f>
        <v>1987</v>
      </c>
      <c r="E8686">
        <f>IFERROR(__xludf.DUMMYFUNCTION("""COMPUTED_VALUE"""),2626899.0)</f>
        <v>2626899</v>
      </c>
    </row>
    <row r="8687">
      <c r="A8687" t="str">
        <f t="shared" si="1"/>
        <v>lva#1988</v>
      </c>
      <c r="B8687" t="str">
        <f>IFERROR(__xludf.DUMMYFUNCTION("""COMPUTED_VALUE"""),"lva")</f>
        <v>lva</v>
      </c>
      <c r="C8687" t="str">
        <f>IFERROR(__xludf.DUMMYFUNCTION("""COMPUTED_VALUE"""),"Latvia")</f>
        <v>Latvia</v>
      </c>
      <c r="D8687">
        <f>IFERROR(__xludf.DUMMYFUNCTION("""COMPUTED_VALUE"""),1988.0)</f>
        <v>1988</v>
      </c>
      <c r="E8687">
        <f>IFERROR(__xludf.DUMMYFUNCTION("""COMPUTED_VALUE"""),2649821.0)</f>
        <v>2649821</v>
      </c>
    </row>
    <row r="8688">
      <c r="A8688" t="str">
        <f t="shared" si="1"/>
        <v>lva#1989</v>
      </c>
      <c r="B8688" t="str">
        <f>IFERROR(__xludf.DUMMYFUNCTION("""COMPUTED_VALUE"""),"lva")</f>
        <v>lva</v>
      </c>
      <c r="C8688" t="str">
        <f>IFERROR(__xludf.DUMMYFUNCTION("""COMPUTED_VALUE"""),"Latvia")</f>
        <v>Latvia</v>
      </c>
      <c r="D8688">
        <f>IFERROR(__xludf.DUMMYFUNCTION("""COMPUTED_VALUE"""),1989.0)</f>
        <v>1989</v>
      </c>
      <c r="E8688">
        <f>IFERROR(__xludf.DUMMYFUNCTION("""COMPUTED_VALUE"""),2663924.0)</f>
        <v>2663924</v>
      </c>
    </row>
    <row r="8689">
      <c r="A8689" t="str">
        <f t="shared" si="1"/>
        <v>lva#1990</v>
      </c>
      <c r="B8689" t="str">
        <f>IFERROR(__xludf.DUMMYFUNCTION("""COMPUTED_VALUE"""),"lva")</f>
        <v>lva</v>
      </c>
      <c r="C8689" t="str">
        <f>IFERROR(__xludf.DUMMYFUNCTION("""COMPUTED_VALUE"""),"Latvia")</f>
        <v>Latvia</v>
      </c>
      <c r="D8689">
        <f>IFERROR(__xludf.DUMMYFUNCTION("""COMPUTED_VALUE"""),1990.0)</f>
        <v>1990</v>
      </c>
      <c r="E8689">
        <f>IFERROR(__xludf.DUMMYFUNCTION("""COMPUTED_VALUE"""),2664432.0)</f>
        <v>2664432</v>
      </c>
    </row>
    <row r="8690">
      <c r="A8690" t="str">
        <f t="shared" si="1"/>
        <v>lva#1991</v>
      </c>
      <c r="B8690" t="str">
        <f>IFERROR(__xludf.DUMMYFUNCTION("""COMPUTED_VALUE"""),"lva")</f>
        <v>lva</v>
      </c>
      <c r="C8690" t="str">
        <f>IFERROR(__xludf.DUMMYFUNCTION("""COMPUTED_VALUE"""),"Latvia")</f>
        <v>Latvia</v>
      </c>
      <c r="D8690">
        <f>IFERROR(__xludf.DUMMYFUNCTION("""COMPUTED_VALUE"""),1991.0)</f>
        <v>1991</v>
      </c>
      <c r="E8690">
        <f>IFERROR(__xludf.DUMMYFUNCTION("""COMPUTED_VALUE"""),2649152.0)</f>
        <v>2649152</v>
      </c>
    </row>
    <row r="8691">
      <c r="A8691" t="str">
        <f t="shared" si="1"/>
        <v>lva#1992</v>
      </c>
      <c r="B8691" t="str">
        <f>IFERROR(__xludf.DUMMYFUNCTION("""COMPUTED_VALUE"""),"lva")</f>
        <v>lva</v>
      </c>
      <c r="C8691" t="str">
        <f>IFERROR(__xludf.DUMMYFUNCTION("""COMPUTED_VALUE"""),"Latvia")</f>
        <v>Latvia</v>
      </c>
      <c r="D8691">
        <f>IFERROR(__xludf.DUMMYFUNCTION("""COMPUTED_VALUE"""),1992.0)</f>
        <v>1992</v>
      </c>
      <c r="E8691">
        <f>IFERROR(__xludf.DUMMYFUNCTION("""COMPUTED_VALUE"""),2620246.0)</f>
        <v>2620246</v>
      </c>
    </row>
    <row r="8692">
      <c r="A8692" t="str">
        <f t="shared" si="1"/>
        <v>lva#1993</v>
      </c>
      <c r="B8692" t="str">
        <f>IFERROR(__xludf.DUMMYFUNCTION("""COMPUTED_VALUE"""),"lva")</f>
        <v>lva</v>
      </c>
      <c r="C8692" t="str">
        <f>IFERROR(__xludf.DUMMYFUNCTION("""COMPUTED_VALUE"""),"Latvia")</f>
        <v>Latvia</v>
      </c>
      <c r="D8692">
        <f>IFERROR(__xludf.DUMMYFUNCTION("""COMPUTED_VALUE"""),1993.0)</f>
        <v>1993</v>
      </c>
      <c r="E8692">
        <f>IFERROR(__xludf.DUMMYFUNCTION("""COMPUTED_VALUE"""),2582650.0)</f>
        <v>2582650</v>
      </c>
    </row>
    <row r="8693">
      <c r="A8693" t="str">
        <f t="shared" si="1"/>
        <v>lva#1994</v>
      </c>
      <c r="B8693" t="str">
        <f>IFERROR(__xludf.DUMMYFUNCTION("""COMPUTED_VALUE"""),"lva")</f>
        <v>lva</v>
      </c>
      <c r="C8693" t="str">
        <f>IFERROR(__xludf.DUMMYFUNCTION("""COMPUTED_VALUE"""),"Latvia")</f>
        <v>Latvia</v>
      </c>
      <c r="D8693">
        <f>IFERROR(__xludf.DUMMYFUNCTION("""COMPUTED_VALUE"""),1994.0)</f>
        <v>1994</v>
      </c>
      <c r="E8693">
        <f>IFERROR(__xludf.DUMMYFUNCTION("""COMPUTED_VALUE"""),2543622.0)</f>
        <v>2543622</v>
      </c>
    </row>
    <row r="8694">
      <c r="A8694" t="str">
        <f t="shared" si="1"/>
        <v>lva#1995</v>
      </c>
      <c r="B8694" t="str">
        <f>IFERROR(__xludf.DUMMYFUNCTION("""COMPUTED_VALUE"""),"lva")</f>
        <v>lva</v>
      </c>
      <c r="C8694" t="str">
        <f>IFERROR(__xludf.DUMMYFUNCTION("""COMPUTED_VALUE"""),"Latvia")</f>
        <v>Latvia</v>
      </c>
      <c r="D8694">
        <f>IFERROR(__xludf.DUMMYFUNCTION("""COMPUTED_VALUE"""),1995.0)</f>
        <v>1995</v>
      </c>
      <c r="E8694">
        <f>IFERROR(__xludf.DUMMYFUNCTION("""COMPUTED_VALUE"""),2508473.0)</f>
        <v>2508473</v>
      </c>
    </row>
    <row r="8695">
      <c r="A8695" t="str">
        <f t="shared" si="1"/>
        <v>lva#1996</v>
      </c>
      <c r="B8695" t="str">
        <f>IFERROR(__xludf.DUMMYFUNCTION("""COMPUTED_VALUE"""),"lva")</f>
        <v>lva</v>
      </c>
      <c r="C8695" t="str">
        <f>IFERROR(__xludf.DUMMYFUNCTION("""COMPUTED_VALUE"""),"Latvia")</f>
        <v>Latvia</v>
      </c>
      <c r="D8695">
        <f>IFERROR(__xludf.DUMMYFUNCTION("""COMPUTED_VALUE"""),1996.0)</f>
        <v>1996</v>
      </c>
      <c r="E8695">
        <f>IFERROR(__xludf.DUMMYFUNCTION("""COMPUTED_VALUE"""),2478825.0)</f>
        <v>2478825</v>
      </c>
    </row>
    <row r="8696">
      <c r="A8696" t="str">
        <f t="shared" si="1"/>
        <v>lva#1997</v>
      </c>
      <c r="B8696" t="str">
        <f>IFERROR(__xludf.DUMMYFUNCTION("""COMPUTED_VALUE"""),"lva")</f>
        <v>lva</v>
      </c>
      <c r="C8696" t="str">
        <f>IFERROR(__xludf.DUMMYFUNCTION("""COMPUTED_VALUE"""),"Latvia")</f>
        <v>Latvia</v>
      </c>
      <c r="D8696">
        <f>IFERROR(__xludf.DUMMYFUNCTION("""COMPUTED_VALUE"""),1997.0)</f>
        <v>1997</v>
      </c>
      <c r="E8696">
        <f>IFERROR(__xludf.DUMMYFUNCTION("""COMPUTED_VALUE"""),2453302.0)</f>
        <v>2453302</v>
      </c>
    </row>
    <row r="8697">
      <c r="A8697" t="str">
        <f t="shared" si="1"/>
        <v>lva#1998</v>
      </c>
      <c r="B8697" t="str">
        <f>IFERROR(__xludf.DUMMYFUNCTION("""COMPUTED_VALUE"""),"lva")</f>
        <v>lva</v>
      </c>
      <c r="C8697" t="str">
        <f>IFERROR(__xludf.DUMMYFUNCTION("""COMPUTED_VALUE"""),"Latvia")</f>
        <v>Latvia</v>
      </c>
      <c r="D8697">
        <f>IFERROR(__xludf.DUMMYFUNCTION("""COMPUTED_VALUE"""),1998.0)</f>
        <v>1998</v>
      </c>
      <c r="E8697">
        <f>IFERROR(__xludf.DUMMYFUNCTION("""COMPUTED_VALUE"""),2430547.0)</f>
        <v>2430547</v>
      </c>
    </row>
    <row r="8698">
      <c r="A8698" t="str">
        <f t="shared" si="1"/>
        <v>lva#1999</v>
      </c>
      <c r="B8698" t="str">
        <f>IFERROR(__xludf.DUMMYFUNCTION("""COMPUTED_VALUE"""),"lva")</f>
        <v>lva</v>
      </c>
      <c r="C8698" t="str">
        <f>IFERROR(__xludf.DUMMYFUNCTION("""COMPUTED_VALUE"""),"Latvia")</f>
        <v>Latvia</v>
      </c>
      <c r="D8698">
        <f>IFERROR(__xludf.DUMMYFUNCTION("""COMPUTED_VALUE"""),1999.0)</f>
        <v>1999</v>
      </c>
      <c r="E8698">
        <f>IFERROR(__xludf.DUMMYFUNCTION("""COMPUTED_VALUE"""),2408090.0)</f>
        <v>2408090</v>
      </c>
    </row>
    <row r="8699">
      <c r="A8699" t="str">
        <f t="shared" si="1"/>
        <v>lva#2000</v>
      </c>
      <c r="B8699" t="str">
        <f>IFERROR(__xludf.DUMMYFUNCTION("""COMPUTED_VALUE"""),"lva")</f>
        <v>lva</v>
      </c>
      <c r="C8699" t="str">
        <f>IFERROR(__xludf.DUMMYFUNCTION("""COMPUTED_VALUE"""),"Latvia")</f>
        <v>Latvia</v>
      </c>
      <c r="D8699">
        <f>IFERROR(__xludf.DUMMYFUNCTION("""COMPUTED_VALUE"""),2000.0)</f>
        <v>2000</v>
      </c>
      <c r="E8699">
        <f>IFERROR(__xludf.DUMMYFUNCTION("""COMPUTED_VALUE"""),2384163.0)</f>
        <v>2384163</v>
      </c>
    </row>
    <row r="8700">
      <c r="A8700" t="str">
        <f t="shared" si="1"/>
        <v>lva#2001</v>
      </c>
      <c r="B8700" t="str">
        <f>IFERROR(__xludf.DUMMYFUNCTION("""COMPUTED_VALUE"""),"lva")</f>
        <v>lva</v>
      </c>
      <c r="C8700" t="str">
        <f>IFERROR(__xludf.DUMMYFUNCTION("""COMPUTED_VALUE"""),"Latvia")</f>
        <v>Latvia</v>
      </c>
      <c r="D8700">
        <f>IFERROR(__xludf.DUMMYFUNCTION("""COMPUTED_VALUE"""),2001.0)</f>
        <v>2001</v>
      </c>
      <c r="E8700">
        <f>IFERROR(__xludf.DUMMYFUNCTION("""COMPUTED_VALUE"""),2358677.0)</f>
        <v>2358677</v>
      </c>
    </row>
    <row r="8701">
      <c r="A8701" t="str">
        <f t="shared" si="1"/>
        <v>lva#2002</v>
      </c>
      <c r="B8701" t="str">
        <f>IFERROR(__xludf.DUMMYFUNCTION("""COMPUTED_VALUE"""),"lva")</f>
        <v>lva</v>
      </c>
      <c r="C8701" t="str">
        <f>IFERROR(__xludf.DUMMYFUNCTION("""COMPUTED_VALUE"""),"Latvia")</f>
        <v>Latvia</v>
      </c>
      <c r="D8701">
        <f>IFERROR(__xludf.DUMMYFUNCTION("""COMPUTED_VALUE"""),2002.0)</f>
        <v>2002</v>
      </c>
      <c r="E8701">
        <f>IFERROR(__xludf.DUMMYFUNCTION("""COMPUTED_VALUE"""),2332492.0)</f>
        <v>2332492</v>
      </c>
    </row>
    <row r="8702">
      <c r="A8702" t="str">
        <f t="shared" si="1"/>
        <v>lva#2003</v>
      </c>
      <c r="B8702" t="str">
        <f>IFERROR(__xludf.DUMMYFUNCTION("""COMPUTED_VALUE"""),"lva")</f>
        <v>lva</v>
      </c>
      <c r="C8702" t="str">
        <f>IFERROR(__xludf.DUMMYFUNCTION("""COMPUTED_VALUE"""),"Latvia")</f>
        <v>Latvia</v>
      </c>
      <c r="D8702">
        <f>IFERROR(__xludf.DUMMYFUNCTION("""COMPUTED_VALUE"""),2003.0)</f>
        <v>2003</v>
      </c>
      <c r="E8702">
        <f>IFERROR(__xludf.DUMMYFUNCTION("""COMPUTED_VALUE"""),2305775.0)</f>
        <v>2305775</v>
      </c>
    </row>
    <row r="8703">
      <c r="A8703" t="str">
        <f t="shared" si="1"/>
        <v>lva#2004</v>
      </c>
      <c r="B8703" t="str">
        <f>IFERROR(__xludf.DUMMYFUNCTION("""COMPUTED_VALUE"""),"lva")</f>
        <v>lva</v>
      </c>
      <c r="C8703" t="str">
        <f>IFERROR(__xludf.DUMMYFUNCTION("""COMPUTED_VALUE"""),"Latvia")</f>
        <v>Latvia</v>
      </c>
      <c r="D8703">
        <f>IFERROR(__xludf.DUMMYFUNCTION("""COMPUTED_VALUE"""),2004.0)</f>
        <v>2004</v>
      </c>
      <c r="E8703">
        <f>IFERROR(__xludf.DUMMYFUNCTION("""COMPUTED_VALUE"""),2278855.0)</f>
        <v>2278855</v>
      </c>
    </row>
    <row r="8704">
      <c r="A8704" t="str">
        <f t="shared" si="1"/>
        <v>lva#2005</v>
      </c>
      <c r="B8704" t="str">
        <f>IFERROR(__xludf.DUMMYFUNCTION("""COMPUTED_VALUE"""),"lva")</f>
        <v>lva</v>
      </c>
      <c r="C8704" t="str">
        <f>IFERROR(__xludf.DUMMYFUNCTION("""COMPUTED_VALUE"""),"Latvia")</f>
        <v>Latvia</v>
      </c>
      <c r="D8704">
        <f>IFERROR(__xludf.DUMMYFUNCTION("""COMPUTED_VALUE"""),2005.0)</f>
        <v>2005</v>
      </c>
      <c r="E8704">
        <f>IFERROR(__xludf.DUMMYFUNCTION("""COMPUTED_VALUE"""),2251983.0)</f>
        <v>2251983</v>
      </c>
    </row>
    <row r="8705">
      <c r="A8705" t="str">
        <f t="shared" si="1"/>
        <v>lva#2006</v>
      </c>
      <c r="B8705" t="str">
        <f>IFERROR(__xludf.DUMMYFUNCTION("""COMPUTED_VALUE"""),"lva")</f>
        <v>lva</v>
      </c>
      <c r="C8705" t="str">
        <f>IFERROR(__xludf.DUMMYFUNCTION("""COMPUTED_VALUE"""),"Latvia")</f>
        <v>Latvia</v>
      </c>
      <c r="D8705">
        <f>IFERROR(__xludf.DUMMYFUNCTION("""COMPUTED_VALUE"""),2006.0)</f>
        <v>2006</v>
      </c>
      <c r="E8705">
        <f>IFERROR(__xludf.DUMMYFUNCTION("""COMPUTED_VALUE"""),2225223.0)</f>
        <v>2225223</v>
      </c>
    </row>
    <row r="8706">
      <c r="A8706" t="str">
        <f t="shared" si="1"/>
        <v>lva#2007</v>
      </c>
      <c r="B8706" t="str">
        <f>IFERROR(__xludf.DUMMYFUNCTION("""COMPUTED_VALUE"""),"lva")</f>
        <v>lva</v>
      </c>
      <c r="C8706" t="str">
        <f>IFERROR(__xludf.DUMMYFUNCTION("""COMPUTED_VALUE"""),"Latvia")</f>
        <v>Latvia</v>
      </c>
      <c r="D8706">
        <f>IFERROR(__xludf.DUMMYFUNCTION("""COMPUTED_VALUE"""),2007.0)</f>
        <v>2007</v>
      </c>
      <c r="E8706">
        <f>IFERROR(__xludf.DUMMYFUNCTION("""COMPUTED_VALUE"""),2198518.0)</f>
        <v>2198518</v>
      </c>
    </row>
    <row r="8707">
      <c r="A8707" t="str">
        <f t="shared" si="1"/>
        <v>lva#2008</v>
      </c>
      <c r="B8707" t="str">
        <f>IFERROR(__xludf.DUMMYFUNCTION("""COMPUTED_VALUE"""),"lva")</f>
        <v>lva</v>
      </c>
      <c r="C8707" t="str">
        <f>IFERROR(__xludf.DUMMYFUNCTION("""COMPUTED_VALUE"""),"Latvia")</f>
        <v>Latvia</v>
      </c>
      <c r="D8707">
        <f>IFERROR(__xludf.DUMMYFUNCTION("""COMPUTED_VALUE"""),2008.0)</f>
        <v>2008</v>
      </c>
      <c r="E8707">
        <f>IFERROR(__xludf.DUMMYFUNCTION("""COMPUTED_VALUE"""),2171881.0)</f>
        <v>2171881</v>
      </c>
    </row>
    <row r="8708">
      <c r="A8708" t="str">
        <f t="shared" si="1"/>
        <v>lva#2009</v>
      </c>
      <c r="B8708" t="str">
        <f>IFERROR(__xludf.DUMMYFUNCTION("""COMPUTED_VALUE"""),"lva")</f>
        <v>lva</v>
      </c>
      <c r="C8708" t="str">
        <f>IFERROR(__xludf.DUMMYFUNCTION("""COMPUTED_VALUE"""),"Latvia")</f>
        <v>Latvia</v>
      </c>
      <c r="D8708">
        <f>IFERROR(__xludf.DUMMYFUNCTION("""COMPUTED_VALUE"""),2009.0)</f>
        <v>2009</v>
      </c>
      <c r="E8708">
        <f>IFERROR(__xludf.DUMMYFUNCTION("""COMPUTED_VALUE"""),2145309.0)</f>
        <v>2145309</v>
      </c>
    </row>
    <row r="8709">
      <c r="A8709" t="str">
        <f t="shared" si="1"/>
        <v>lva#2010</v>
      </c>
      <c r="B8709" t="str">
        <f>IFERROR(__xludf.DUMMYFUNCTION("""COMPUTED_VALUE"""),"lva")</f>
        <v>lva</v>
      </c>
      <c r="C8709" t="str">
        <f>IFERROR(__xludf.DUMMYFUNCTION("""COMPUTED_VALUE"""),"Latvia")</f>
        <v>Latvia</v>
      </c>
      <c r="D8709">
        <f>IFERROR(__xludf.DUMMYFUNCTION("""COMPUTED_VALUE"""),2010.0)</f>
        <v>2010</v>
      </c>
      <c r="E8709">
        <f>IFERROR(__xludf.DUMMYFUNCTION("""COMPUTED_VALUE"""),2118848.0)</f>
        <v>2118848</v>
      </c>
    </row>
    <row r="8710">
      <c r="A8710" t="str">
        <f t="shared" si="1"/>
        <v>lva#2011</v>
      </c>
      <c r="B8710" t="str">
        <f>IFERROR(__xludf.DUMMYFUNCTION("""COMPUTED_VALUE"""),"lva")</f>
        <v>lva</v>
      </c>
      <c r="C8710" t="str">
        <f>IFERROR(__xludf.DUMMYFUNCTION("""COMPUTED_VALUE"""),"Latvia")</f>
        <v>Latvia</v>
      </c>
      <c r="D8710">
        <f>IFERROR(__xludf.DUMMYFUNCTION("""COMPUTED_VALUE"""),2011.0)</f>
        <v>2011</v>
      </c>
      <c r="E8710">
        <f>IFERROR(__xludf.DUMMYFUNCTION("""COMPUTED_VALUE"""),2092493.0)</f>
        <v>2092493</v>
      </c>
    </row>
    <row r="8711">
      <c r="A8711" t="str">
        <f t="shared" si="1"/>
        <v>lva#2012</v>
      </c>
      <c r="B8711" t="str">
        <f>IFERROR(__xludf.DUMMYFUNCTION("""COMPUTED_VALUE"""),"lva")</f>
        <v>lva</v>
      </c>
      <c r="C8711" t="str">
        <f>IFERROR(__xludf.DUMMYFUNCTION("""COMPUTED_VALUE"""),"Latvia")</f>
        <v>Latvia</v>
      </c>
      <c r="D8711">
        <f>IFERROR(__xludf.DUMMYFUNCTION("""COMPUTED_VALUE"""),2012.0)</f>
        <v>2012</v>
      </c>
      <c r="E8711">
        <f>IFERROR(__xludf.DUMMYFUNCTION("""COMPUTED_VALUE"""),2066374.0)</f>
        <v>2066374</v>
      </c>
    </row>
    <row r="8712">
      <c r="A8712" t="str">
        <f t="shared" si="1"/>
        <v>lva#2013</v>
      </c>
      <c r="B8712" t="str">
        <f>IFERROR(__xludf.DUMMYFUNCTION("""COMPUTED_VALUE"""),"lva")</f>
        <v>lva</v>
      </c>
      <c r="C8712" t="str">
        <f>IFERROR(__xludf.DUMMYFUNCTION("""COMPUTED_VALUE"""),"Latvia")</f>
        <v>Latvia</v>
      </c>
      <c r="D8712">
        <f>IFERROR(__xludf.DUMMYFUNCTION("""COMPUTED_VALUE"""),2013.0)</f>
        <v>2013</v>
      </c>
      <c r="E8712">
        <f>IFERROR(__xludf.DUMMYFUNCTION("""COMPUTED_VALUE"""),2040784.0)</f>
        <v>2040784</v>
      </c>
    </row>
    <row r="8713">
      <c r="A8713" t="str">
        <f t="shared" si="1"/>
        <v>lva#2014</v>
      </c>
      <c r="B8713" t="str">
        <f>IFERROR(__xludf.DUMMYFUNCTION("""COMPUTED_VALUE"""),"lva")</f>
        <v>lva</v>
      </c>
      <c r="C8713" t="str">
        <f>IFERROR(__xludf.DUMMYFUNCTION("""COMPUTED_VALUE"""),"Latvia")</f>
        <v>Latvia</v>
      </c>
      <c r="D8713">
        <f>IFERROR(__xludf.DUMMYFUNCTION("""COMPUTED_VALUE"""),2014.0)</f>
        <v>2014</v>
      </c>
      <c r="E8713">
        <f>IFERROR(__xludf.DUMMYFUNCTION("""COMPUTED_VALUE"""),2016125.0)</f>
        <v>2016125</v>
      </c>
    </row>
    <row r="8714">
      <c r="A8714" t="str">
        <f t="shared" si="1"/>
        <v>lva#2015</v>
      </c>
      <c r="B8714" t="str">
        <f>IFERROR(__xludf.DUMMYFUNCTION("""COMPUTED_VALUE"""),"lva")</f>
        <v>lva</v>
      </c>
      <c r="C8714" t="str">
        <f>IFERROR(__xludf.DUMMYFUNCTION("""COMPUTED_VALUE"""),"Latvia")</f>
        <v>Latvia</v>
      </c>
      <c r="D8714">
        <f>IFERROR(__xludf.DUMMYFUNCTION("""COMPUTED_VALUE"""),2015.0)</f>
        <v>2015</v>
      </c>
      <c r="E8714">
        <f>IFERROR(__xludf.DUMMYFUNCTION("""COMPUTED_VALUE"""),1992663.0)</f>
        <v>1992663</v>
      </c>
    </row>
    <row r="8715">
      <c r="A8715" t="str">
        <f t="shared" si="1"/>
        <v>lva#2016</v>
      </c>
      <c r="B8715" t="str">
        <f>IFERROR(__xludf.DUMMYFUNCTION("""COMPUTED_VALUE"""),"lva")</f>
        <v>lva</v>
      </c>
      <c r="C8715" t="str">
        <f>IFERROR(__xludf.DUMMYFUNCTION("""COMPUTED_VALUE"""),"Latvia")</f>
        <v>Latvia</v>
      </c>
      <c r="D8715">
        <f>IFERROR(__xludf.DUMMYFUNCTION("""COMPUTED_VALUE"""),2016.0)</f>
        <v>2016</v>
      </c>
      <c r="E8715">
        <f>IFERROR(__xludf.DUMMYFUNCTION("""COMPUTED_VALUE"""),1970530.0)</f>
        <v>1970530</v>
      </c>
    </row>
    <row r="8716">
      <c r="A8716" t="str">
        <f t="shared" si="1"/>
        <v>lva#2017</v>
      </c>
      <c r="B8716" t="str">
        <f>IFERROR(__xludf.DUMMYFUNCTION("""COMPUTED_VALUE"""),"lva")</f>
        <v>lva</v>
      </c>
      <c r="C8716" t="str">
        <f>IFERROR(__xludf.DUMMYFUNCTION("""COMPUTED_VALUE"""),"Latvia")</f>
        <v>Latvia</v>
      </c>
      <c r="D8716">
        <f>IFERROR(__xludf.DUMMYFUNCTION("""COMPUTED_VALUE"""),2017.0)</f>
        <v>2017</v>
      </c>
      <c r="E8716">
        <f>IFERROR(__xludf.DUMMYFUNCTION("""COMPUTED_VALUE"""),1949670.0)</f>
        <v>1949670</v>
      </c>
    </row>
    <row r="8717">
      <c r="A8717" t="str">
        <f t="shared" si="1"/>
        <v>lva#2018</v>
      </c>
      <c r="B8717" t="str">
        <f>IFERROR(__xludf.DUMMYFUNCTION("""COMPUTED_VALUE"""),"lva")</f>
        <v>lva</v>
      </c>
      <c r="C8717" t="str">
        <f>IFERROR(__xludf.DUMMYFUNCTION("""COMPUTED_VALUE"""),"Latvia")</f>
        <v>Latvia</v>
      </c>
      <c r="D8717">
        <f>IFERROR(__xludf.DUMMYFUNCTION("""COMPUTED_VALUE"""),2018.0)</f>
        <v>2018</v>
      </c>
      <c r="E8717">
        <f>IFERROR(__xludf.DUMMYFUNCTION("""COMPUTED_VALUE"""),1929938.0)</f>
        <v>1929938</v>
      </c>
    </row>
    <row r="8718">
      <c r="A8718" t="str">
        <f t="shared" si="1"/>
        <v>lva#2019</v>
      </c>
      <c r="B8718" t="str">
        <f>IFERROR(__xludf.DUMMYFUNCTION("""COMPUTED_VALUE"""),"lva")</f>
        <v>lva</v>
      </c>
      <c r="C8718" t="str">
        <f>IFERROR(__xludf.DUMMYFUNCTION("""COMPUTED_VALUE"""),"Latvia")</f>
        <v>Latvia</v>
      </c>
      <c r="D8718">
        <f>IFERROR(__xludf.DUMMYFUNCTION("""COMPUTED_VALUE"""),2019.0)</f>
        <v>2019</v>
      </c>
      <c r="E8718">
        <f>IFERROR(__xludf.DUMMYFUNCTION("""COMPUTED_VALUE"""),1911108.0)</f>
        <v>1911108</v>
      </c>
    </row>
    <row r="8719">
      <c r="A8719" t="str">
        <f t="shared" si="1"/>
        <v>lva#2020</v>
      </c>
      <c r="B8719" t="str">
        <f>IFERROR(__xludf.DUMMYFUNCTION("""COMPUTED_VALUE"""),"lva")</f>
        <v>lva</v>
      </c>
      <c r="C8719" t="str">
        <f>IFERROR(__xludf.DUMMYFUNCTION("""COMPUTED_VALUE"""),"Latvia")</f>
        <v>Latvia</v>
      </c>
      <c r="D8719">
        <f>IFERROR(__xludf.DUMMYFUNCTION("""COMPUTED_VALUE"""),2020.0)</f>
        <v>2020</v>
      </c>
      <c r="E8719">
        <f>IFERROR(__xludf.DUMMYFUNCTION("""COMPUTED_VALUE"""),1892993.0)</f>
        <v>1892993</v>
      </c>
    </row>
    <row r="8720">
      <c r="A8720" t="str">
        <f t="shared" si="1"/>
        <v>lva#2021</v>
      </c>
      <c r="B8720" t="str">
        <f>IFERROR(__xludf.DUMMYFUNCTION("""COMPUTED_VALUE"""),"lva")</f>
        <v>lva</v>
      </c>
      <c r="C8720" t="str">
        <f>IFERROR(__xludf.DUMMYFUNCTION("""COMPUTED_VALUE"""),"Latvia")</f>
        <v>Latvia</v>
      </c>
      <c r="D8720">
        <f>IFERROR(__xludf.DUMMYFUNCTION("""COMPUTED_VALUE"""),2021.0)</f>
        <v>2021</v>
      </c>
      <c r="E8720">
        <f>IFERROR(__xludf.DUMMYFUNCTION("""COMPUTED_VALUE"""),1875529.0)</f>
        <v>1875529</v>
      </c>
    </row>
    <row r="8721">
      <c r="A8721" t="str">
        <f t="shared" si="1"/>
        <v>lva#2022</v>
      </c>
      <c r="B8721" t="str">
        <f>IFERROR(__xludf.DUMMYFUNCTION("""COMPUTED_VALUE"""),"lva")</f>
        <v>lva</v>
      </c>
      <c r="C8721" t="str">
        <f>IFERROR(__xludf.DUMMYFUNCTION("""COMPUTED_VALUE"""),"Latvia")</f>
        <v>Latvia</v>
      </c>
      <c r="D8721">
        <f>IFERROR(__xludf.DUMMYFUNCTION("""COMPUTED_VALUE"""),2022.0)</f>
        <v>2022</v>
      </c>
      <c r="E8721">
        <f>IFERROR(__xludf.DUMMYFUNCTION("""COMPUTED_VALUE"""),1858748.0)</f>
        <v>1858748</v>
      </c>
    </row>
    <row r="8722">
      <c r="A8722" t="str">
        <f t="shared" si="1"/>
        <v>lva#2023</v>
      </c>
      <c r="B8722" t="str">
        <f>IFERROR(__xludf.DUMMYFUNCTION("""COMPUTED_VALUE"""),"lva")</f>
        <v>lva</v>
      </c>
      <c r="C8722" t="str">
        <f>IFERROR(__xludf.DUMMYFUNCTION("""COMPUTED_VALUE"""),"Latvia")</f>
        <v>Latvia</v>
      </c>
      <c r="D8722">
        <f>IFERROR(__xludf.DUMMYFUNCTION("""COMPUTED_VALUE"""),2023.0)</f>
        <v>2023</v>
      </c>
      <c r="E8722">
        <f>IFERROR(__xludf.DUMMYFUNCTION("""COMPUTED_VALUE"""),1842658.0)</f>
        <v>1842658</v>
      </c>
    </row>
    <row r="8723">
      <c r="A8723" t="str">
        <f t="shared" si="1"/>
        <v>lva#2024</v>
      </c>
      <c r="B8723" t="str">
        <f>IFERROR(__xludf.DUMMYFUNCTION("""COMPUTED_VALUE"""),"lva")</f>
        <v>lva</v>
      </c>
      <c r="C8723" t="str">
        <f>IFERROR(__xludf.DUMMYFUNCTION("""COMPUTED_VALUE"""),"Latvia")</f>
        <v>Latvia</v>
      </c>
      <c r="D8723">
        <f>IFERROR(__xludf.DUMMYFUNCTION("""COMPUTED_VALUE"""),2024.0)</f>
        <v>2024</v>
      </c>
      <c r="E8723">
        <f>IFERROR(__xludf.DUMMYFUNCTION("""COMPUTED_VALUE"""),1827310.0)</f>
        <v>1827310</v>
      </c>
    </row>
    <row r="8724">
      <c r="A8724" t="str">
        <f t="shared" si="1"/>
        <v>lva#2025</v>
      </c>
      <c r="B8724" t="str">
        <f>IFERROR(__xludf.DUMMYFUNCTION("""COMPUTED_VALUE"""),"lva")</f>
        <v>lva</v>
      </c>
      <c r="C8724" t="str">
        <f>IFERROR(__xludf.DUMMYFUNCTION("""COMPUTED_VALUE"""),"Latvia")</f>
        <v>Latvia</v>
      </c>
      <c r="D8724">
        <f>IFERROR(__xludf.DUMMYFUNCTION("""COMPUTED_VALUE"""),2025.0)</f>
        <v>2025</v>
      </c>
      <c r="E8724">
        <f>IFERROR(__xludf.DUMMYFUNCTION("""COMPUTED_VALUE"""),1812682.0)</f>
        <v>1812682</v>
      </c>
    </row>
    <row r="8725">
      <c r="A8725" t="str">
        <f t="shared" si="1"/>
        <v>lva#2026</v>
      </c>
      <c r="B8725" t="str">
        <f>IFERROR(__xludf.DUMMYFUNCTION("""COMPUTED_VALUE"""),"lva")</f>
        <v>lva</v>
      </c>
      <c r="C8725" t="str">
        <f>IFERROR(__xludf.DUMMYFUNCTION("""COMPUTED_VALUE"""),"Latvia")</f>
        <v>Latvia</v>
      </c>
      <c r="D8725">
        <f>IFERROR(__xludf.DUMMYFUNCTION("""COMPUTED_VALUE"""),2026.0)</f>
        <v>2026</v>
      </c>
      <c r="E8725">
        <f>IFERROR(__xludf.DUMMYFUNCTION("""COMPUTED_VALUE"""),1798806.0)</f>
        <v>1798806</v>
      </c>
    </row>
    <row r="8726">
      <c r="A8726" t="str">
        <f t="shared" si="1"/>
        <v>lva#2027</v>
      </c>
      <c r="B8726" t="str">
        <f>IFERROR(__xludf.DUMMYFUNCTION("""COMPUTED_VALUE"""),"lva")</f>
        <v>lva</v>
      </c>
      <c r="C8726" t="str">
        <f>IFERROR(__xludf.DUMMYFUNCTION("""COMPUTED_VALUE"""),"Latvia")</f>
        <v>Latvia</v>
      </c>
      <c r="D8726">
        <f>IFERROR(__xludf.DUMMYFUNCTION("""COMPUTED_VALUE"""),2027.0)</f>
        <v>2027</v>
      </c>
      <c r="E8726">
        <f>IFERROR(__xludf.DUMMYFUNCTION("""COMPUTED_VALUE"""),1785573.0)</f>
        <v>1785573</v>
      </c>
    </row>
    <row r="8727">
      <c r="A8727" t="str">
        <f t="shared" si="1"/>
        <v>lva#2028</v>
      </c>
      <c r="B8727" t="str">
        <f>IFERROR(__xludf.DUMMYFUNCTION("""COMPUTED_VALUE"""),"lva")</f>
        <v>lva</v>
      </c>
      <c r="C8727" t="str">
        <f>IFERROR(__xludf.DUMMYFUNCTION("""COMPUTED_VALUE"""),"Latvia")</f>
        <v>Latvia</v>
      </c>
      <c r="D8727">
        <f>IFERROR(__xludf.DUMMYFUNCTION("""COMPUTED_VALUE"""),2028.0)</f>
        <v>2028</v>
      </c>
      <c r="E8727">
        <f>IFERROR(__xludf.DUMMYFUNCTION("""COMPUTED_VALUE"""),1772744.0)</f>
        <v>1772744</v>
      </c>
    </row>
    <row r="8728">
      <c r="A8728" t="str">
        <f t="shared" si="1"/>
        <v>lva#2029</v>
      </c>
      <c r="B8728" t="str">
        <f>IFERROR(__xludf.DUMMYFUNCTION("""COMPUTED_VALUE"""),"lva")</f>
        <v>lva</v>
      </c>
      <c r="C8728" t="str">
        <f>IFERROR(__xludf.DUMMYFUNCTION("""COMPUTED_VALUE"""),"Latvia")</f>
        <v>Latvia</v>
      </c>
      <c r="D8728">
        <f>IFERROR(__xludf.DUMMYFUNCTION("""COMPUTED_VALUE"""),2029.0)</f>
        <v>2029</v>
      </c>
      <c r="E8728">
        <f>IFERROR(__xludf.DUMMYFUNCTION("""COMPUTED_VALUE"""),1760023.0)</f>
        <v>1760023</v>
      </c>
    </row>
    <row r="8729">
      <c r="A8729" t="str">
        <f t="shared" si="1"/>
        <v>lva#2030</v>
      </c>
      <c r="B8729" t="str">
        <f>IFERROR(__xludf.DUMMYFUNCTION("""COMPUTED_VALUE"""),"lva")</f>
        <v>lva</v>
      </c>
      <c r="C8729" t="str">
        <f>IFERROR(__xludf.DUMMYFUNCTION("""COMPUTED_VALUE"""),"Latvia")</f>
        <v>Latvia</v>
      </c>
      <c r="D8729">
        <f>IFERROR(__xludf.DUMMYFUNCTION("""COMPUTED_VALUE"""),2030.0)</f>
        <v>2030</v>
      </c>
      <c r="E8729">
        <f>IFERROR(__xludf.DUMMYFUNCTION("""COMPUTED_VALUE"""),1747192.0)</f>
        <v>1747192</v>
      </c>
    </row>
    <row r="8730">
      <c r="A8730" t="str">
        <f t="shared" si="1"/>
        <v>lva#2031</v>
      </c>
      <c r="B8730" t="str">
        <f>IFERROR(__xludf.DUMMYFUNCTION("""COMPUTED_VALUE"""),"lva")</f>
        <v>lva</v>
      </c>
      <c r="C8730" t="str">
        <f>IFERROR(__xludf.DUMMYFUNCTION("""COMPUTED_VALUE"""),"Latvia")</f>
        <v>Latvia</v>
      </c>
      <c r="D8730">
        <f>IFERROR(__xludf.DUMMYFUNCTION("""COMPUTED_VALUE"""),2031.0)</f>
        <v>2031</v>
      </c>
      <c r="E8730">
        <f>IFERROR(__xludf.DUMMYFUNCTION("""COMPUTED_VALUE"""),1734151.0)</f>
        <v>1734151</v>
      </c>
    </row>
    <row r="8731">
      <c r="A8731" t="str">
        <f t="shared" si="1"/>
        <v>lva#2032</v>
      </c>
      <c r="B8731" t="str">
        <f>IFERROR(__xludf.DUMMYFUNCTION("""COMPUTED_VALUE"""),"lva")</f>
        <v>lva</v>
      </c>
      <c r="C8731" t="str">
        <f>IFERROR(__xludf.DUMMYFUNCTION("""COMPUTED_VALUE"""),"Latvia")</f>
        <v>Latvia</v>
      </c>
      <c r="D8731">
        <f>IFERROR(__xludf.DUMMYFUNCTION("""COMPUTED_VALUE"""),2032.0)</f>
        <v>2032</v>
      </c>
      <c r="E8731">
        <f>IFERROR(__xludf.DUMMYFUNCTION("""COMPUTED_VALUE"""),1720947.0)</f>
        <v>1720947</v>
      </c>
    </row>
    <row r="8732">
      <c r="A8732" t="str">
        <f t="shared" si="1"/>
        <v>lva#2033</v>
      </c>
      <c r="B8732" t="str">
        <f>IFERROR(__xludf.DUMMYFUNCTION("""COMPUTED_VALUE"""),"lva")</f>
        <v>lva</v>
      </c>
      <c r="C8732" t="str">
        <f>IFERROR(__xludf.DUMMYFUNCTION("""COMPUTED_VALUE"""),"Latvia")</f>
        <v>Latvia</v>
      </c>
      <c r="D8732">
        <f>IFERROR(__xludf.DUMMYFUNCTION("""COMPUTED_VALUE"""),2033.0)</f>
        <v>2033</v>
      </c>
      <c r="E8732">
        <f>IFERROR(__xludf.DUMMYFUNCTION("""COMPUTED_VALUE"""),1707704.0)</f>
        <v>1707704</v>
      </c>
    </row>
    <row r="8733">
      <c r="A8733" t="str">
        <f t="shared" si="1"/>
        <v>lva#2034</v>
      </c>
      <c r="B8733" t="str">
        <f>IFERROR(__xludf.DUMMYFUNCTION("""COMPUTED_VALUE"""),"lva")</f>
        <v>lva</v>
      </c>
      <c r="C8733" t="str">
        <f>IFERROR(__xludf.DUMMYFUNCTION("""COMPUTED_VALUE"""),"Latvia")</f>
        <v>Latvia</v>
      </c>
      <c r="D8733">
        <f>IFERROR(__xludf.DUMMYFUNCTION("""COMPUTED_VALUE"""),2034.0)</f>
        <v>2034</v>
      </c>
      <c r="E8733">
        <f>IFERROR(__xludf.DUMMYFUNCTION("""COMPUTED_VALUE"""),1694629.0)</f>
        <v>1694629</v>
      </c>
    </row>
    <row r="8734">
      <c r="A8734" t="str">
        <f t="shared" si="1"/>
        <v>lva#2035</v>
      </c>
      <c r="B8734" t="str">
        <f>IFERROR(__xludf.DUMMYFUNCTION("""COMPUTED_VALUE"""),"lva")</f>
        <v>lva</v>
      </c>
      <c r="C8734" t="str">
        <f>IFERROR(__xludf.DUMMYFUNCTION("""COMPUTED_VALUE"""),"Latvia")</f>
        <v>Latvia</v>
      </c>
      <c r="D8734">
        <f>IFERROR(__xludf.DUMMYFUNCTION("""COMPUTED_VALUE"""),2035.0)</f>
        <v>2035</v>
      </c>
      <c r="E8734">
        <f>IFERROR(__xludf.DUMMYFUNCTION("""COMPUTED_VALUE"""),1681894.0)</f>
        <v>1681894</v>
      </c>
    </row>
    <row r="8735">
      <c r="A8735" t="str">
        <f t="shared" si="1"/>
        <v>lva#2036</v>
      </c>
      <c r="B8735" t="str">
        <f>IFERROR(__xludf.DUMMYFUNCTION("""COMPUTED_VALUE"""),"lva")</f>
        <v>lva</v>
      </c>
      <c r="C8735" t="str">
        <f>IFERROR(__xludf.DUMMYFUNCTION("""COMPUTED_VALUE"""),"Latvia")</f>
        <v>Latvia</v>
      </c>
      <c r="D8735">
        <f>IFERROR(__xludf.DUMMYFUNCTION("""COMPUTED_VALUE"""),2036.0)</f>
        <v>2036</v>
      </c>
      <c r="E8735">
        <f>IFERROR(__xludf.DUMMYFUNCTION("""COMPUTED_VALUE"""),1669503.0)</f>
        <v>1669503</v>
      </c>
    </row>
    <row r="8736">
      <c r="A8736" t="str">
        <f t="shared" si="1"/>
        <v>lva#2037</v>
      </c>
      <c r="B8736" t="str">
        <f>IFERROR(__xludf.DUMMYFUNCTION("""COMPUTED_VALUE"""),"lva")</f>
        <v>lva</v>
      </c>
      <c r="C8736" t="str">
        <f>IFERROR(__xludf.DUMMYFUNCTION("""COMPUTED_VALUE"""),"Latvia")</f>
        <v>Latvia</v>
      </c>
      <c r="D8736">
        <f>IFERROR(__xludf.DUMMYFUNCTION("""COMPUTED_VALUE"""),2037.0)</f>
        <v>2037</v>
      </c>
      <c r="E8736">
        <f>IFERROR(__xludf.DUMMYFUNCTION("""COMPUTED_VALUE"""),1657404.0)</f>
        <v>1657404</v>
      </c>
    </row>
    <row r="8737">
      <c r="A8737" t="str">
        <f t="shared" si="1"/>
        <v>lva#2038</v>
      </c>
      <c r="B8737" t="str">
        <f>IFERROR(__xludf.DUMMYFUNCTION("""COMPUTED_VALUE"""),"lva")</f>
        <v>lva</v>
      </c>
      <c r="C8737" t="str">
        <f>IFERROR(__xludf.DUMMYFUNCTION("""COMPUTED_VALUE"""),"Latvia")</f>
        <v>Latvia</v>
      </c>
      <c r="D8737">
        <f>IFERROR(__xludf.DUMMYFUNCTION("""COMPUTED_VALUE"""),2038.0)</f>
        <v>2038</v>
      </c>
      <c r="E8737">
        <f>IFERROR(__xludf.DUMMYFUNCTION("""COMPUTED_VALUE"""),1645603.0)</f>
        <v>1645603</v>
      </c>
    </row>
    <row r="8738">
      <c r="A8738" t="str">
        <f t="shared" si="1"/>
        <v>lva#2039</v>
      </c>
      <c r="B8738" t="str">
        <f>IFERROR(__xludf.DUMMYFUNCTION("""COMPUTED_VALUE"""),"lva")</f>
        <v>lva</v>
      </c>
      <c r="C8738" t="str">
        <f>IFERROR(__xludf.DUMMYFUNCTION("""COMPUTED_VALUE"""),"Latvia")</f>
        <v>Latvia</v>
      </c>
      <c r="D8738">
        <f>IFERROR(__xludf.DUMMYFUNCTION("""COMPUTED_VALUE"""),2039.0)</f>
        <v>2039</v>
      </c>
      <c r="E8738">
        <f>IFERROR(__xludf.DUMMYFUNCTION("""COMPUTED_VALUE"""),1634066.0)</f>
        <v>1634066</v>
      </c>
    </row>
    <row r="8739">
      <c r="A8739" t="str">
        <f t="shared" si="1"/>
        <v>lva#2040</v>
      </c>
      <c r="B8739" t="str">
        <f>IFERROR(__xludf.DUMMYFUNCTION("""COMPUTED_VALUE"""),"lva")</f>
        <v>lva</v>
      </c>
      <c r="C8739" t="str">
        <f>IFERROR(__xludf.DUMMYFUNCTION("""COMPUTED_VALUE"""),"Latvia")</f>
        <v>Latvia</v>
      </c>
      <c r="D8739">
        <f>IFERROR(__xludf.DUMMYFUNCTION("""COMPUTED_VALUE"""),2040.0)</f>
        <v>2040</v>
      </c>
      <c r="E8739">
        <f>IFERROR(__xludf.DUMMYFUNCTION("""COMPUTED_VALUE"""),1622754.0)</f>
        <v>1622754</v>
      </c>
    </row>
    <row r="8740">
      <c r="A8740" t="str">
        <f t="shared" si="1"/>
        <v>lbn#1950</v>
      </c>
      <c r="B8740" t="str">
        <f>IFERROR(__xludf.DUMMYFUNCTION("""COMPUTED_VALUE"""),"lbn")</f>
        <v>lbn</v>
      </c>
      <c r="C8740" t="str">
        <f>IFERROR(__xludf.DUMMYFUNCTION("""COMPUTED_VALUE"""),"Lebanon")</f>
        <v>Lebanon</v>
      </c>
      <c r="D8740">
        <f>IFERROR(__xludf.DUMMYFUNCTION("""COMPUTED_VALUE"""),1950.0)</f>
        <v>1950</v>
      </c>
      <c r="E8740">
        <f>IFERROR(__xludf.DUMMYFUNCTION("""COMPUTED_VALUE"""),1334621.0)</f>
        <v>1334621</v>
      </c>
    </row>
    <row r="8741">
      <c r="A8741" t="str">
        <f t="shared" si="1"/>
        <v>lbn#1951</v>
      </c>
      <c r="B8741" t="str">
        <f>IFERROR(__xludf.DUMMYFUNCTION("""COMPUTED_VALUE"""),"lbn")</f>
        <v>lbn</v>
      </c>
      <c r="C8741" t="str">
        <f>IFERROR(__xludf.DUMMYFUNCTION("""COMPUTED_VALUE"""),"Lebanon")</f>
        <v>Lebanon</v>
      </c>
      <c r="D8741">
        <f>IFERROR(__xludf.DUMMYFUNCTION("""COMPUTED_VALUE"""),1951.0)</f>
        <v>1951</v>
      </c>
      <c r="E8741">
        <f>IFERROR(__xludf.DUMMYFUNCTION("""COMPUTED_VALUE"""),1358217.0)</f>
        <v>1358217</v>
      </c>
    </row>
    <row r="8742">
      <c r="A8742" t="str">
        <f t="shared" si="1"/>
        <v>lbn#1952</v>
      </c>
      <c r="B8742" t="str">
        <f>IFERROR(__xludf.DUMMYFUNCTION("""COMPUTED_VALUE"""),"lbn")</f>
        <v>lbn</v>
      </c>
      <c r="C8742" t="str">
        <f>IFERROR(__xludf.DUMMYFUNCTION("""COMPUTED_VALUE"""),"Lebanon")</f>
        <v>Lebanon</v>
      </c>
      <c r="D8742">
        <f>IFERROR(__xludf.DUMMYFUNCTION("""COMPUTED_VALUE"""),1952.0)</f>
        <v>1952</v>
      </c>
      <c r="E8742">
        <f>IFERROR(__xludf.DUMMYFUNCTION("""COMPUTED_VALUE"""),1392725.0)</f>
        <v>1392725</v>
      </c>
    </row>
    <row r="8743">
      <c r="A8743" t="str">
        <f t="shared" si="1"/>
        <v>lbn#1953</v>
      </c>
      <c r="B8743" t="str">
        <f>IFERROR(__xludf.DUMMYFUNCTION("""COMPUTED_VALUE"""),"lbn")</f>
        <v>lbn</v>
      </c>
      <c r="C8743" t="str">
        <f>IFERROR(__xludf.DUMMYFUNCTION("""COMPUTED_VALUE"""),"Lebanon")</f>
        <v>Lebanon</v>
      </c>
      <c r="D8743">
        <f>IFERROR(__xludf.DUMMYFUNCTION("""COMPUTED_VALUE"""),1953.0)</f>
        <v>1953</v>
      </c>
      <c r="E8743">
        <f>IFERROR(__xludf.DUMMYFUNCTION("""COMPUTED_VALUE"""),1434849.0)</f>
        <v>1434849</v>
      </c>
    </row>
    <row r="8744">
      <c r="A8744" t="str">
        <f t="shared" si="1"/>
        <v>lbn#1954</v>
      </c>
      <c r="B8744" t="str">
        <f>IFERROR(__xludf.DUMMYFUNCTION("""COMPUTED_VALUE"""),"lbn")</f>
        <v>lbn</v>
      </c>
      <c r="C8744" t="str">
        <f>IFERROR(__xludf.DUMMYFUNCTION("""COMPUTED_VALUE"""),"Lebanon")</f>
        <v>Lebanon</v>
      </c>
      <c r="D8744">
        <f>IFERROR(__xludf.DUMMYFUNCTION("""COMPUTED_VALUE"""),1954.0)</f>
        <v>1954</v>
      </c>
      <c r="E8744">
        <f>IFERROR(__xludf.DUMMYFUNCTION("""COMPUTED_VALUE"""),1481959.0)</f>
        <v>1481959</v>
      </c>
    </row>
    <row r="8745">
      <c r="A8745" t="str">
        <f t="shared" si="1"/>
        <v>lbn#1955</v>
      </c>
      <c r="B8745" t="str">
        <f>IFERROR(__xludf.DUMMYFUNCTION("""COMPUTED_VALUE"""),"lbn")</f>
        <v>lbn</v>
      </c>
      <c r="C8745" t="str">
        <f>IFERROR(__xludf.DUMMYFUNCTION("""COMPUTED_VALUE"""),"Lebanon")</f>
        <v>Lebanon</v>
      </c>
      <c r="D8745">
        <f>IFERROR(__xludf.DUMMYFUNCTION("""COMPUTED_VALUE"""),1955.0)</f>
        <v>1955</v>
      </c>
      <c r="E8745">
        <f>IFERROR(__xludf.DUMMYFUNCTION("""COMPUTED_VALUE"""),1532109.0)</f>
        <v>1532109</v>
      </c>
    </row>
    <row r="8746">
      <c r="A8746" t="str">
        <f t="shared" si="1"/>
        <v>lbn#1956</v>
      </c>
      <c r="B8746" t="str">
        <f>IFERROR(__xludf.DUMMYFUNCTION("""COMPUTED_VALUE"""),"lbn")</f>
        <v>lbn</v>
      </c>
      <c r="C8746" t="str">
        <f>IFERROR(__xludf.DUMMYFUNCTION("""COMPUTED_VALUE"""),"Lebanon")</f>
        <v>Lebanon</v>
      </c>
      <c r="D8746">
        <f>IFERROR(__xludf.DUMMYFUNCTION("""COMPUTED_VALUE"""),1956.0)</f>
        <v>1956</v>
      </c>
      <c r="E8746">
        <f>IFERROR(__xludf.DUMMYFUNCTION("""COMPUTED_VALUE"""),1584030.0)</f>
        <v>1584030</v>
      </c>
    </row>
    <row r="8747">
      <c r="A8747" t="str">
        <f t="shared" si="1"/>
        <v>lbn#1957</v>
      </c>
      <c r="B8747" t="str">
        <f>IFERROR(__xludf.DUMMYFUNCTION("""COMPUTED_VALUE"""),"lbn")</f>
        <v>lbn</v>
      </c>
      <c r="C8747" t="str">
        <f>IFERROR(__xludf.DUMMYFUNCTION("""COMPUTED_VALUE"""),"Lebanon")</f>
        <v>Lebanon</v>
      </c>
      <c r="D8747">
        <f>IFERROR(__xludf.DUMMYFUNCTION("""COMPUTED_VALUE"""),1957.0)</f>
        <v>1957</v>
      </c>
      <c r="E8747">
        <f>IFERROR(__xludf.DUMMYFUNCTION("""COMPUTED_VALUE"""),1637127.0)</f>
        <v>1637127</v>
      </c>
    </row>
    <row r="8748">
      <c r="A8748" t="str">
        <f t="shared" si="1"/>
        <v>lbn#1958</v>
      </c>
      <c r="B8748" t="str">
        <f>IFERROR(__xludf.DUMMYFUNCTION("""COMPUTED_VALUE"""),"lbn")</f>
        <v>lbn</v>
      </c>
      <c r="C8748" t="str">
        <f>IFERROR(__xludf.DUMMYFUNCTION("""COMPUTED_VALUE"""),"Lebanon")</f>
        <v>Lebanon</v>
      </c>
      <c r="D8748">
        <f>IFERROR(__xludf.DUMMYFUNCTION("""COMPUTED_VALUE"""),1958.0)</f>
        <v>1958</v>
      </c>
      <c r="E8748">
        <f>IFERROR(__xludf.DUMMYFUNCTION("""COMPUTED_VALUE"""),1691361.0)</f>
        <v>1691361</v>
      </c>
    </row>
    <row r="8749">
      <c r="A8749" t="str">
        <f t="shared" si="1"/>
        <v>lbn#1959</v>
      </c>
      <c r="B8749" t="str">
        <f>IFERROR(__xludf.DUMMYFUNCTION("""COMPUTED_VALUE"""),"lbn")</f>
        <v>lbn</v>
      </c>
      <c r="C8749" t="str">
        <f>IFERROR(__xludf.DUMMYFUNCTION("""COMPUTED_VALUE"""),"Lebanon")</f>
        <v>Lebanon</v>
      </c>
      <c r="D8749">
        <f>IFERROR(__xludf.DUMMYFUNCTION("""COMPUTED_VALUE"""),1959.0)</f>
        <v>1959</v>
      </c>
      <c r="E8749">
        <f>IFERROR(__xludf.DUMMYFUNCTION("""COMPUTED_VALUE"""),1747162.0)</f>
        <v>1747162</v>
      </c>
    </row>
    <row r="8750">
      <c r="A8750" t="str">
        <f t="shared" si="1"/>
        <v>lbn#1960</v>
      </c>
      <c r="B8750" t="str">
        <f>IFERROR(__xludf.DUMMYFUNCTION("""COMPUTED_VALUE"""),"lbn")</f>
        <v>lbn</v>
      </c>
      <c r="C8750" t="str">
        <f>IFERROR(__xludf.DUMMYFUNCTION("""COMPUTED_VALUE"""),"Lebanon")</f>
        <v>Lebanon</v>
      </c>
      <c r="D8750">
        <f>IFERROR(__xludf.DUMMYFUNCTION("""COMPUTED_VALUE"""),1960.0)</f>
        <v>1960</v>
      </c>
      <c r="E8750">
        <f>IFERROR(__xludf.DUMMYFUNCTION("""COMPUTED_VALUE"""),1804926.0)</f>
        <v>1804926</v>
      </c>
    </row>
    <row r="8751">
      <c r="A8751" t="str">
        <f t="shared" si="1"/>
        <v>lbn#1961</v>
      </c>
      <c r="B8751" t="str">
        <f>IFERROR(__xludf.DUMMYFUNCTION("""COMPUTED_VALUE"""),"lbn")</f>
        <v>lbn</v>
      </c>
      <c r="C8751" t="str">
        <f>IFERROR(__xludf.DUMMYFUNCTION("""COMPUTED_VALUE"""),"Lebanon")</f>
        <v>Lebanon</v>
      </c>
      <c r="D8751">
        <f>IFERROR(__xludf.DUMMYFUNCTION("""COMPUTED_VALUE"""),1961.0)</f>
        <v>1961</v>
      </c>
      <c r="E8751">
        <f>IFERROR(__xludf.DUMMYFUNCTION("""COMPUTED_VALUE"""),1864605.0)</f>
        <v>1864605</v>
      </c>
    </row>
    <row r="8752">
      <c r="A8752" t="str">
        <f t="shared" si="1"/>
        <v>lbn#1962</v>
      </c>
      <c r="B8752" t="str">
        <f>IFERROR(__xludf.DUMMYFUNCTION("""COMPUTED_VALUE"""),"lbn")</f>
        <v>lbn</v>
      </c>
      <c r="C8752" t="str">
        <f>IFERROR(__xludf.DUMMYFUNCTION("""COMPUTED_VALUE"""),"Lebanon")</f>
        <v>Lebanon</v>
      </c>
      <c r="D8752">
        <f>IFERROR(__xludf.DUMMYFUNCTION("""COMPUTED_VALUE"""),1962.0)</f>
        <v>1962</v>
      </c>
      <c r="E8752">
        <f>IFERROR(__xludf.DUMMYFUNCTION("""COMPUTED_VALUE"""),1925276.0)</f>
        <v>1925276</v>
      </c>
    </row>
    <row r="8753">
      <c r="A8753" t="str">
        <f t="shared" si="1"/>
        <v>lbn#1963</v>
      </c>
      <c r="B8753" t="str">
        <f>IFERROR(__xludf.DUMMYFUNCTION("""COMPUTED_VALUE"""),"lbn")</f>
        <v>lbn</v>
      </c>
      <c r="C8753" t="str">
        <f>IFERROR(__xludf.DUMMYFUNCTION("""COMPUTED_VALUE"""),"Lebanon")</f>
        <v>Lebanon</v>
      </c>
      <c r="D8753">
        <f>IFERROR(__xludf.DUMMYFUNCTION("""COMPUTED_VALUE"""),1963.0)</f>
        <v>1963</v>
      </c>
      <c r="E8753">
        <f>IFERROR(__xludf.DUMMYFUNCTION("""COMPUTED_VALUE"""),1984980.0)</f>
        <v>1984980</v>
      </c>
    </row>
    <row r="8754">
      <c r="A8754" t="str">
        <f t="shared" si="1"/>
        <v>lbn#1964</v>
      </c>
      <c r="B8754" t="str">
        <f>IFERROR(__xludf.DUMMYFUNCTION("""COMPUTED_VALUE"""),"lbn")</f>
        <v>lbn</v>
      </c>
      <c r="C8754" t="str">
        <f>IFERROR(__xludf.DUMMYFUNCTION("""COMPUTED_VALUE"""),"Lebanon")</f>
        <v>Lebanon</v>
      </c>
      <c r="D8754">
        <f>IFERROR(__xludf.DUMMYFUNCTION("""COMPUTED_VALUE"""),1964.0)</f>
        <v>1964</v>
      </c>
      <c r="E8754">
        <f>IFERROR(__xludf.DUMMYFUNCTION("""COMPUTED_VALUE"""),2041207.0)</f>
        <v>2041207</v>
      </c>
    </row>
    <row r="8755">
      <c r="A8755" t="str">
        <f t="shared" si="1"/>
        <v>lbn#1965</v>
      </c>
      <c r="B8755" t="str">
        <f>IFERROR(__xludf.DUMMYFUNCTION("""COMPUTED_VALUE"""),"lbn")</f>
        <v>lbn</v>
      </c>
      <c r="C8755" t="str">
        <f>IFERROR(__xludf.DUMMYFUNCTION("""COMPUTED_VALUE"""),"Lebanon")</f>
        <v>Lebanon</v>
      </c>
      <c r="D8755">
        <f>IFERROR(__xludf.DUMMYFUNCTION("""COMPUTED_VALUE"""),1965.0)</f>
        <v>1965</v>
      </c>
      <c r="E8755">
        <f>IFERROR(__xludf.DUMMYFUNCTION("""COMPUTED_VALUE"""),2092348.0)</f>
        <v>2092348</v>
      </c>
    </row>
    <row r="8756">
      <c r="A8756" t="str">
        <f t="shared" si="1"/>
        <v>lbn#1966</v>
      </c>
      <c r="B8756" t="str">
        <f>IFERROR(__xludf.DUMMYFUNCTION("""COMPUTED_VALUE"""),"lbn")</f>
        <v>lbn</v>
      </c>
      <c r="C8756" t="str">
        <f>IFERROR(__xludf.DUMMYFUNCTION("""COMPUTED_VALUE"""),"Lebanon")</f>
        <v>Lebanon</v>
      </c>
      <c r="D8756">
        <f>IFERROR(__xludf.DUMMYFUNCTION("""COMPUTED_VALUE"""),1966.0)</f>
        <v>1966</v>
      </c>
      <c r="E8756">
        <f>IFERROR(__xludf.DUMMYFUNCTION("""COMPUTED_VALUE"""),2136636.0)</f>
        <v>2136636</v>
      </c>
    </row>
    <row r="8757">
      <c r="A8757" t="str">
        <f t="shared" si="1"/>
        <v>lbn#1967</v>
      </c>
      <c r="B8757" t="str">
        <f>IFERROR(__xludf.DUMMYFUNCTION("""COMPUTED_VALUE"""),"lbn")</f>
        <v>lbn</v>
      </c>
      <c r="C8757" t="str">
        <f>IFERROR(__xludf.DUMMYFUNCTION("""COMPUTED_VALUE"""),"Lebanon")</f>
        <v>Lebanon</v>
      </c>
      <c r="D8757">
        <f>IFERROR(__xludf.DUMMYFUNCTION("""COMPUTED_VALUE"""),1967.0)</f>
        <v>1967</v>
      </c>
      <c r="E8757">
        <f>IFERROR(__xludf.DUMMYFUNCTION("""COMPUTED_VALUE"""),2174845.0)</f>
        <v>2174845</v>
      </c>
    </row>
    <row r="8758">
      <c r="A8758" t="str">
        <f t="shared" si="1"/>
        <v>lbn#1968</v>
      </c>
      <c r="B8758" t="str">
        <f>IFERROR(__xludf.DUMMYFUNCTION("""COMPUTED_VALUE"""),"lbn")</f>
        <v>lbn</v>
      </c>
      <c r="C8758" t="str">
        <f>IFERROR(__xludf.DUMMYFUNCTION("""COMPUTED_VALUE"""),"Lebanon")</f>
        <v>Lebanon</v>
      </c>
      <c r="D8758">
        <f>IFERROR(__xludf.DUMMYFUNCTION("""COMPUTED_VALUE"""),1968.0)</f>
        <v>1968</v>
      </c>
      <c r="E8758">
        <f>IFERROR(__xludf.DUMMYFUNCTION("""COMPUTED_VALUE"""),2210959.0)</f>
        <v>2210959</v>
      </c>
    </row>
    <row r="8759">
      <c r="A8759" t="str">
        <f t="shared" si="1"/>
        <v>lbn#1969</v>
      </c>
      <c r="B8759" t="str">
        <f>IFERROR(__xludf.DUMMYFUNCTION("""COMPUTED_VALUE"""),"lbn")</f>
        <v>lbn</v>
      </c>
      <c r="C8759" t="str">
        <f>IFERROR(__xludf.DUMMYFUNCTION("""COMPUTED_VALUE"""),"Lebanon")</f>
        <v>Lebanon</v>
      </c>
      <c r="D8759">
        <f>IFERROR(__xludf.DUMMYFUNCTION("""COMPUTED_VALUE"""),1969.0)</f>
        <v>1969</v>
      </c>
      <c r="E8759">
        <f>IFERROR(__xludf.DUMMYFUNCTION("""COMPUTED_VALUE"""),2250602.0)</f>
        <v>2250602</v>
      </c>
    </row>
    <row r="8760">
      <c r="A8760" t="str">
        <f t="shared" si="1"/>
        <v>lbn#1970</v>
      </c>
      <c r="B8760" t="str">
        <f>IFERROR(__xludf.DUMMYFUNCTION("""COMPUTED_VALUE"""),"lbn")</f>
        <v>lbn</v>
      </c>
      <c r="C8760" t="str">
        <f>IFERROR(__xludf.DUMMYFUNCTION("""COMPUTED_VALUE"""),"Lebanon")</f>
        <v>Lebanon</v>
      </c>
      <c r="D8760">
        <f>IFERROR(__xludf.DUMMYFUNCTION("""COMPUTED_VALUE"""),1970.0)</f>
        <v>1970</v>
      </c>
      <c r="E8760">
        <f>IFERROR(__xludf.DUMMYFUNCTION("""COMPUTED_VALUE"""),2297389.0)</f>
        <v>2297389</v>
      </c>
    </row>
    <row r="8761">
      <c r="A8761" t="str">
        <f t="shared" si="1"/>
        <v>lbn#1971</v>
      </c>
      <c r="B8761" t="str">
        <f>IFERROR(__xludf.DUMMYFUNCTION("""COMPUTED_VALUE"""),"lbn")</f>
        <v>lbn</v>
      </c>
      <c r="C8761" t="str">
        <f>IFERROR(__xludf.DUMMYFUNCTION("""COMPUTED_VALUE"""),"Lebanon")</f>
        <v>Lebanon</v>
      </c>
      <c r="D8761">
        <f>IFERROR(__xludf.DUMMYFUNCTION("""COMPUTED_VALUE"""),1971.0)</f>
        <v>1971</v>
      </c>
      <c r="E8761">
        <f>IFERROR(__xludf.DUMMYFUNCTION("""COMPUTED_VALUE"""),2353555.0)</f>
        <v>2353555</v>
      </c>
    </row>
    <row r="8762">
      <c r="A8762" t="str">
        <f t="shared" si="1"/>
        <v>lbn#1972</v>
      </c>
      <c r="B8762" t="str">
        <f>IFERROR(__xludf.DUMMYFUNCTION("""COMPUTED_VALUE"""),"lbn")</f>
        <v>lbn</v>
      </c>
      <c r="C8762" t="str">
        <f>IFERROR(__xludf.DUMMYFUNCTION("""COMPUTED_VALUE"""),"Lebanon")</f>
        <v>Lebanon</v>
      </c>
      <c r="D8762">
        <f>IFERROR(__xludf.DUMMYFUNCTION("""COMPUTED_VALUE"""),1972.0)</f>
        <v>1972</v>
      </c>
      <c r="E8762">
        <f>IFERROR(__xludf.DUMMYFUNCTION("""COMPUTED_VALUE"""),2416735.0)</f>
        <v>2416735</v>
      </c>
    </row>
    <row r="8763">
      <c r="A8763" t="str">
        <f t="shared" si="1"/>
        <v>lbn#1973</v>
      </c>
      <c r="B8763" t="str">
        <f>IFERROR(__xludf.DUMMYFUNCTION("""COMPUTED_VALUE"""),"lbn")</f>
        <v>lbn</v>
      </c>
      <c r="C8763" t="str">
        <f>IFERROR(__xludf.DUMMYFUNCTION("""COMPUTED_VALUE"""),"Lebanon")</f>
        <v>Lebanon</v>
      </c>
      <c r="D8763">
        <f>IFERROR(__xludf.DUMMYFUNCTION("""COMPUTED_VALUE"""),1973.0)</f>
        <v>1973</v>
      </c>
      <c r="E8763">
        <f>IFERROR(__xludf.DUMMYFUNCTION("""COMPUTED_VALUE"""),2480419.0)</f>
        <v>2480419</v>
      </c>
    </row>
    <row r="8764">
      <c r="A8764" t="str">
        <f t="shared" si="1"/>
        <v>lbn#1974</v>
      </c>
      <c r="B8764" t="str">
        <f>IFERROR(__xludf.DUMMYFUNCTION("""COMPUTED_VALUE"""),"lbn")</f>
        <v>lbn</v>
      </c>
      <c r="C8764" t="str">
        <f>IFERROR(__xludf.DUMMYFUNCTION("""COMPUTED_VALUE"""),"Lebanon")</f>
        <v>Lebanon</v>
      </c>
      <c r="D8764">
        <f>IFERROR(__xludf.DUMMYFUNCTION("""COMPUTED_VALUE"""),1974.0)</f>
        <v>1974</v>
      </c>
      <c r="E8764">
        <f>IFERROR(__xludf.DUMMYFUNCTION("""COMPUTED_VALUE"""),2535497.0)</f>
        <v>2535497</v>
      </c>
    </row>
    <row r="8765">
      <c r="A8765" t="str">
        <f t="shared" si="1"/>
        <v>lbn#1975</v>
      </c>
      <c r="B8765" t="str">
        <f>IFERROR(__xludf.DUMMYFUNCTION("""COMPUTED_VALUE"""),"lbn")</f>
        <v>lbn</v>
      </c>
      <c r="C8765" t="str">
        <f>IFERROR(__xludf.DUMMYFUNCTION("""COMPUTED_VALUE"""),"Lebanon")</f>
        <v>Lebanon</v>
      </c>
      <c r="D8765">
        <f>IFERROR(__xludf.DUMMYFUNCTION("""COMPUTED_VALUE"""),1975.0)</f>
        <v>1975</v>
      </c>
      <c r="E8765">
        <f>IFERROR(__xludf.DUMMYFUNCTION("""COMPUTED_VALUE"""),2575690.0)</f>
        <v>2575690</v>
      </c>
    </row>
    <row r="8766">
      <c r="A8766" t="str">
        <f t="shared" si="1"/>
        <v>lbn#1976</v>
      </c>
      <c r="B8766" t="str">
        <f>IFERROR(__xludf.DUMMYFUNCTION("""COMPUTED_VALUE"""),"lbn")</f>
        <v>lbn</v>
      </c>
      <c r="C8766" t="str">
        <f>IFERROR(__xludf.DUMMYFUNCTION("""COMPUTED_VALUE"""),"Lebanon")</f>
        <v>Lebanon</v>
      </c>
      <c r="D8766">
        <f>IFERROR(__xludf.DUMMYFUNCTION("""COMPUTED_VALUE"""),1976.0)</f>
        <v>1976</v>
      </c>
      <c r="E8766">
        <f>IFERROR(__xludf.DUMMYFUNCTION("""COMPUTED_VALUE"""),2598354.0)</f>
        <v>2598354</v>
      </c>
    </row>
    <row r="8767">
      <c r="A8767" t="str">
        <f t="shared" si="1"/>
        <v>lbn#1977</v>
      </c>
      <c r="B8767" t="str">
        <f>IFERROR(__xludf.DUMMYFUNCTION("""COMPUTED_VALUE"""),"lbn")</f>
        <v>lbn</v>
      </c>
      <c r="C8767" t="str">
        <f>IFERROR(__xludf.DUMMYFUNCTION("""COMPUTED_VALUE"""),"Lebanon")</f>
        <v>Lebanon</v>
      </c>
      <c r="D8767">
        <f>IFERROR(__xludf.DUMMYFUNCTION("""COMPUTED_VALUE"""),1977.0)</f>
        <v>1977</v>
      </c>
      <c r="E8767">
        <f>IFERROR(__xludf.DUMMYFUNCTION("""COMPUTED_VALUE"""),2606221.0)</f>
        <v>2606221</v>
      </c>
    </row>
    <row r="8768">
      <c r="A8768" t="str">
        <f t="shared" si="1"/>
        <v>lbn#1978</v>
      </c>
      <c r="B8768" t="str">
        <f>IFERROR(__xludf.DUMMYFUNCTION("""COMPUTED_VALUE"""),"lbn")</f>
        <v>lbn</v>
      </c>
      <c r="C8768" t="str">
        <f>IFERROR(__xludf.DUMMYFUNCTION("""COMPUTED_VALUE"""),"Lebanon")</f>
        <v>Lebanon</v>
      </c>
      <c r="D8768">
        <f>IFERROR(__xludf.DUMMYFUNCTION("""COMPUTED_VALUE"""),1978.0)</f>
        <v>1978</v>
      </c>
      <c r="E8768">
        <f>IFERROR(__xludf.DUMMYFUNCTION("""COMPUTED_VALUE"""),2604865.0)</f>
        <v>2604865</v>
      </c>
    </row>
    <row r="8769">
      <c r="A8769" t="str">
        <f t="shared" si="1"/>
        <v>lbn#1979</v>
      </c>
      <c r="B8769" t="str">
        <f>IFERROR(__xludf.DUMMYFUNCTION("""COMPUTED_VALUE"""),"lbn")</f>
        <v>lbn</v>
      </c>
      <c r="C8769" t="str">
        <f>IFERROR(__xludf.DUMMYFUNCTION("""COMPUTED_VALUE"""),"Lebanon")</f>
        <v>Lebanon</v>
      </c>
      <c r="D8769">
        <f>IFERROR(__xludf.DUMMYFUNCTION("""COMPUTED_VALUE"""),1979.0)</f>
        <v>1979</v>
      </c>
      <c r="E8769">
        <f>IFERROR(__xludf.DUMMYFUNCTION("""COMPUTED_VALUE"""),2602566.0)</f>
        <v>2602566</v>
      </c>
    </row>
    <row r="8770">
      <c r="A8770" t="str">
        <f t="shared" si="1"/>
        <v>lbn#1980</v>
      </c>
      <c r="B8770" t="str">
        <f>IFERROR(__xludf.DUMMYFUNCTION("""COMPUTED_VALUE"""),"lbn")</f>
        <v>lbn</v>
      </c>
      <c r="C8770" t="str">
        <f>IFERROR(__xludf.DUMMYFUNCTION("""COMPUTED_VALUE"""),"Lebanon")</f>
        <v>Lebanon</v>
      </c>
      <c r="D8770">
        <f>IFERROR(__xludf.DUMMYFUNCTION("""COMPUTED_VALUE"""),1980.0)</f>
        <v>1980</v>
      </c>
      <c r="E8770">
        <f>IFERROR(__xludf.DUMMYFUNCTION("""COMPUTED_VALUE"""),2605293.0)</f>
        <v>2605293</v>
      </c>
    </row>
    <row r="8771">
      <c r="A8771" t="str">
        <f t="shared" si="1"/>
        <v>lbn#1981</v>
      </c>
      <c r="B8771" t="str">
        <f>IFERROR(__xludf.DUMMYFUNCTION("""COMPUTED_VALUE"""),"lbn")</f>
        <v>lbn</v>
      </c>
      <c r="C8771" t="str">
        <f>IFERROR(__xludf.DUMMYFUNCTION("""COMPUTED_VALUE"""),"Lebanon")</f>
        <v>Lebanon</v>
      </c>
      <c r="D8771">
        <f>IFERROR(__xludf.DUMMYFUNCTION("""COMPUTED_VALUE"""),1981.0)</f>
        <v>1981</v>
      </c>
      <c r="E8771">
        <f>IFERROR(__xludf.DUMMYFUNCTION("""COMPUTED_VALUE"""),2615747.0)</f>
        <v>2615747</v>
      </c>
    </row>
    <row r="8772">
      <c r="A8772" t="str">
        <f t="shared" si="1"/>
        <v>lbn#1982</v>
      </c>
      <c r="B8772" t="str">
        <f>IFERROR(__xludf.DUMMYFUNCTION("""COMPUTED_VALUE"""),"lbn")</f>
        <v>lbn</v>
      </c>
      <c r="C8772" t="str">
        <f>IFERROR(__xludf.DUMMYFUNCTION("""COMPUTED_VALUE"""),"Lebanon")</f>
        <v>Lebanon</v>
      </c>
      <c r="D8772">
        <f>IFERROR(__xludf.DUMMYFUNCTION("""COMPUTED_VALUE"""),1982.0)</f>
        <v>1982</v>
      </c>
      <c r="E8772">
        <f>IFERROR(__xludf.DUMMYFUNCTION("""COMPUTED_VALUE"""),2632276.0)</f>
        <v>2632276</v>
      </c>
    </row>
    <row r="8773">
      <c r="A8773" t="str">
        <f t="shared" si="1"/>
        <v>lbn#1983</v>
      </c>
      <c r="B8773" t="str">
        <f>IFERROR(__xludf.DUMMYFUNCTION("""COMPUTED_VALUE"""),"lbn")</f>
        <v>lbn</v>
      </c>
      <c r="C8773" t="str">
        <f>IFERROR(__xludf.DUMMYFUNCTION("""COMPUTED_VALUE"""),"Lebanon")</f>
        <v>Lebanon</v>
      </c>
      <c r="D8773">
        <f>IFERROR(__xludf.DUMMYFUNCTION("""COMPUTED_VALUE"""),1983.0)</f>
        <v>1983</v>
      </c>
      <c r="E8773">
        <f>IFERROR(__xludf.DUMMYFUNCTION("""COMPUTED_VALUE"""),2651292.0)</f>
        <v>2651292</v>
      </c>
    </row>
    <row r="8774">
      <c r="A8774" t="str">
        <f t="shared" si="1"/>
        <v>lbn#1984</v>
      </c>
      <c r="B8774" t="str">
        <f>IFERROR(__xludf.DUMMYFUNCTION("""COMPUTED_VALUE"""),"lbn")</f>
        <v>lbn</v>
      </c>
      <c r="C8774" t="str">
        <f>IFERROR(__xludf.DUMMYFUNCTION("""COMPUTED_VALUE"""),"Lebanon")</f>
        <v>Lebanon</v>
      </c>
      <c r="D8774">
        <f>IFERROR(__xludf.DUMMYFUNCTION("""COMPUTED_VALUE"""),1984.0)</f>
        <v>1984</v>
      </c>
      <c r="E8774">
        <f>IFERROR(__xludf.DUMMYFUNCTION("""COMPUTED_VALUE"""),2667220.0)</f>
        <v>2667220</v>
      </c>
    </row>
    <row r="8775">
      <c r="A8775" t="str">
        <f t="shared" si="1"/>
        <v>lbn#1985</v>
      </c>
      <c r="B8775" t="str">
        <f>IFERROR(__xludf.DUMMYFUNCTION("""COMPUTED_VALUE"""),"lbn")</f>
        <v>lbn</v>
      </c>
      <c r="C8775" t="str">
        <f>IFERROR(__xludf.DUMMYFUNCTION("""COMPUTED_VALUE"""),"Lebanon")</f>
        <v>Lebanon</v>
      </c>
      <c r="D8775">
        <f>IFERROR(__xludf.DUMMYFUNCTION("""COMPUTED_VALUE"""),1985.0)</f>
        <v>1985</v>
      </c>
      <c r="E8775">
        <f>IFERROR(__xludf.DUMMYFUNCTION("""COMPUTED_VALUE"""),2676583.0)</f>
        <v>2676583</v>
      </c>
    </row>
    <row r="8776">
      <c r="A8776" t="str">
        <f t="shared" si="1"/>
        <v>lbn#1986</v>
      </c>
      <c r="B8776" t="str">
        <f>IFERROR(__xludf.DUMMYFUNCTION("""COMPUTED_VALUE"""),"lbn")</f>
        <v>lbn</v>
      </c>
      <c r="C8776" t="str">
        <f>IFERROR(__xludf.DUMMYFUNCTION("""COMPUTED_VALUE"""),"Lebanon")</f>
        <v>Lebanon</v>
      </c>
      <c r="D8776">
        <f>IFERROR(__xludf.DUMMYFUNCTION("""COMPUTED_VALUE"""),1986.0)</f>
        <v>1986</v>
      </c>
      <c r="E8776">
        <f>IFERROR(__xludf.DUMMYFUNCTION("""COMPUTED_VALUE"""),2677280.0)</f>
        <v>2677280</v>
      </c>
    </row>
    <row r="8777">
      <c r="A8777" t="str">
        <f t="shared" si="1"/>
        <v>lbn#1987</v>
      </c>
      <c r="B8777" t="str">
        <f>IFERROR(__xludf.DUMMYFUNCTION("""COMPUTED_VALUE"""),"lbn")</f>
        <v>lbn</v>
      </c>
      <c r="C8777" t="str">
        <f>IFERROR(__xludf.DUMMYFUNCTION("""COMPUTED_VALUE"""),"Lebanon")</f>
        <v>Lebanon</v>
      </c>
      <c r="D8777">
        <f>IFERROR(__xludf.DUMMYFUNCTION("""COMPUTED_VALUE"""),1987.0)</f>
        <v>1987</v>
      </c>
      <c r="E8777">
        <f>IFERROR(__xludf.DUMMYFUNCTION("""COMPUTED_VALUE"""),2672173.0)</f>
        <v>2672173</v>
      </c>
    </row>
    <row r="8778">
      <c r="A8778" t="str">
        <f t="shared" si="1"/>
        <v>lbn#1988</v>
      </c>
      <c r="B8778" t="str">
        <f>IFERROR(__xludf.DUMMYFUNCTION("""COMPUTED_VALUE"""),"lbn")</f>
        <v>lbn</v>
      </c>
      <c r="C8778" t="str">
        <f>IFERROR(__xludf.DUMMYFUNCTION("""COMPUTED_VALUE"""),"Lebanon")</f>
        <v>Lebanon</v>
      </c>
      <c r="D8778">
        <f>IFERROR(__xludf.DUMMYFUNCTION("""COMPUTED_VALUE"""),1988.0)</f>
        <v>1988</v>
      </c>
      <c r="E8778">
        <f>IFERROR(__xludf.DUMMYFUNCTION("""COMPUTED_VALUE"""),2668585.0)</f>
        <v>2668585</v>
      </c>
    </row>
    <row r="8779">
      <c r="A8779" t="str">
        <f t="shared" si="1"/>
        <v>lbn#1989</v>
      </c>
      <c r="B8779" t="str">
        <f>IFERROR(__xludf.DUMMYFUNCTION("""COMPUTED_VALUE"""),"lbn")</f>
        <v>lbn</v>
      </c>
      <c r="C8779" t="str">
        <f>IFERROR(__xludf.DUMMYFUNCTION("""COMPUTED_VALUE"""),"Lebanon")</f>
        <v>Lebanon</v>
      </c>
      <c r="D8779">
        <f>IFERROR(__xludf.DUMMYFUNCTION("""COMPUTED_VALUE"""),1989.0)</f>
        <v>1989</v>
      </c>
      <c r="E8779">
        <f>IFERROR(__xludf.DUMMYFUNCTION("""COMPUTED_VALUE"""),2676605.0)</f>
        <v>2676605</v>
      </c>
    </row>
    <row r="8780">
      <c r="A8780" t="str">
        <f t="shared" si="1"/>
        <v>lbn#1990</v>
      </c>
      <c r="B8780" t="str">
        <f>IFERROR(__xludf.DUMMYFUNCTION("""COMPUTED_VALUE"""),"lbn")</f>
        <v>lbn</v>
      </c>
      <c r="C8780" t="str">
        <f>IFERROR(__xludf.DUMMYFUNCTION("""COMPUTED_VALUE"""),"Lebanon")</f>
        <v>Lebanon</v>
      </c>
      <c r="D8780">
        <f>IFERROR(__xludf.DUMMYFUNCTION("""COMPUTED_VALUE"""),1990.0)</f>
        <v>1990</v>
      </c>
      <c r="E8780">
        <f>IFERROR(__xludf.DUMMYFUNCTION("""COMPUTED_VALUE"""),2703016.0)</f>
        <v>2703016</v>
      </c>
    </row>
    <row r="8781">
      <c r="A8781" t="str">
        <f t="shared" si="1"/>
        <v>lbn#1991</v>
      </c>
      <c r="B8781" t="str">
        <f>IFERROR(__xludf.DUMMYFUNCTION("""COMPUTED_VALUE"""),"lbn")</f>
        <v>lbn</v>
      </c>
      <c r="C8781" t="str">
        <f>IFERROR(__xludf.DUMMYFUNCTION("""COMPUTED_VALUE"""),"Lebanon")</f>
        <v>Lebanon</v>
      </c>
      <c r="D8781">
        <f>IFERROR(__xludf.DUMMYFUNCTION("""COMPUTED_VALUE"""),1991.0)</f>
        <v>1991</v>
      </c>
      <c r="E8781">
        <f>IFERROR(__xludf.DUMMYFUNCTION("""COMPUTED_VALUE"""),2752462.0)</f>
        <v>2752462</v>
      </c>
    </row>
    <row r="8782">
      <c r="A8782" t="str">
        <f t="shared" si="1"/>
        <v>lbn#1992</v>
      </c>
      <c r="B8782" t="str">
        <f>IFERROR(__xludf.DUMMYFUNCTION("""COMPUTED_VALUE"""),"lbn")</f>
        <v>lbn</v>
      </c>
      <c r="C8782" t="str">
        <f>IFERROR(__xludf.DUMMYFUNCTION("""COMPUTED_VALUE"""),"Lebanon")</f>
        <v>Lebanon</v>
      </c>
      <c r="D8782">
        <f>IFERROR(__xludf.DUMMYFUNCTION("""COMPUTED_VALUE"""),1992.0)</f>
        <v>1992</v>
      </c>
      <c r="E8782">
        <f>IFERROR(__xludf.DUMMYFUNCTION("""COMPUTED_VALUE"""),2821862.0)</f>
        <v>2821862</v>
      </c>
    </row>
    <row r="8783">
      <c r="A8783" t="str">
        <f t="shared" si="1"/>
        <v>lbn#1993</v>
      </c>
      <c r="B8783" t="str">
        <f>IFERROR(__xludf.DUMMYFUNCTION("""COMPUTED_VALUE"""),"lbn")</f>
        <v>lbn</v>
      </c>
      <c r="C8783" t="str">
        <f>IFERROR(__xludf.DUMMYFUNCTION("""COMPUTED_VALUE"""),"Lebanon")</f>
        <v>Lebanon</v>
      </c>
      <c r="D8783">
        <f>IFERROR(__xludf.DUMMYFUNCTION("""COMPUTED_VALUE"""),1993.0)</f>
        <v>1993</v>
      </c>
      <c r="E8783">
        <f>IFERROR(__xludf.DUMMYFUNCTION("""COMPUTED_VALUE"""),2900854.0)</f>
        <v>2900854</v>
      </c>
    </row>
    <row r="8784">
      <c r="A8784" t="str">
        <f t="shared" si="1"/>
        <v>lbn#1994</v>
      </c>
      <c r="B8784" t="str">
        <f>IFERROR(__xludf.DUMMYFUNCTION("""COMPUTED_VALUE"""),"lbn")</f>
        <v>lbn</v>
      </c>
      <c r="C8784" t="str">
        <f>IFERROR(__xludf.DUMMYFUNCTION("""COMPUTED_VALUE"""),"Lebanon")</f>
        <v>Lebanon</v>
      </c>
      <c r="D8784">
        <f>IFERROR(__xludf.DUMMYFUNCTION("""COMPUTED_VALUE"""),1994.0)</f>
        <v>1994</v>
      </c>
      <c r="E8784">
        <f>IFERROR(__xludf.DUMMYFUNCTION("""COMPUTED_VALUE"""),2974640.0)</f>
        <v>2974640</v>
      </c>
    </row>
    <row r="8785">
      <c r="A8785" t="str">
        <f t="shared" si="1"/>
        <v>lbn#1995</v>
      </c>
      <c r="B8785" t="str">
        <f>IFERROR(__xludf.DUMMYFUNCTION("""COMPUTED_VALUE"""),"lbn")</f>
        <v>lbn</v>
      </c>
      <c r="C8785" t="str">
        <f>IFERROR(__xludf.DUMMYFUNCTION("""COMPUTED_VALUE"""),"Lebanon")</f>
        <v>Lebanon</v>
      </c>
      <c r="D8785">
        <f>IFERROR(__xludf.DUMMYFUNCTION("""COMPUTED_VALUE"""),1995.0)</f>
        <v>1995</v>
      </c>
      <c r="E8785">
        <f>IFERROR(__xludf.DUMMYFUNCTION("""COMPUTED_VALUE"""),3033394.0)</f>
        <v>3033394</v>
      </c>
    </row>
    <row r="8786">
      <c r="A8786" t="str">
        <f t="shared" si="1"/>
        <v>lbn#1996</v>
      </c>
      <c r="B8786" t="str">
        <f>IFERROR(__xludf.DUMMYFUNCTION("""COMPUTED_VALUE"""),"lbn")</f>
        <v>lbn</v>
      </c>
      <c r="C8786" t="str">
        <f>IFERROR(__xludf.DUMMYFUNCTION("""COMPUTED_VALUE"""),"Lebanon")</f>
        <v>Lebanon</v>
      </c>
      <c r="D8786">
        <f>IFERROR(__xludf.DUMMYFUNCTION("""COMPUTED_VALUE"""),1996.0)</f>
        <v>1996</v>
      </c>
      <c r="E8786">
        <f>IFERROR(__xludf.DUMMYFUNCTION("""COMPUTED_VALUE"""),3070960.0)</f>
        <v>3070960</v>
      </c>
    </row>
    <row r="8787">
      <c r="A8787" t="str">
        <f t="shared" si="1"/>
        <v>lbn#1997</v>
      </c>
      <c r="B8787" t="str">
        <f>IFERROR(__xludf.DUMMYFUNCTION("""COMPUTED_VALUE"""),"lbn")</f>
        <v>lbn</v>
      </c>
      <c r="C8787" t="str">
        <f>IFERROR(__xludf.DUMMYFUNCTION("""COMPUTED_VALUE"""),"Lebanon")</f>
        <v>Lebanon</v>
      </c>
      <c r="D8787">
        <f>IFERROR(__xludf.DUMMYFUNCTION("""COMPUTED_VALUE"""),1997.0)</f>
        <v>1997</v>
      </c>
      <c r="E8787">
        <f>IFERROR(__xludf.DUMMYFUNCTION("""COMPUTED_VALUE"""),3092670.0)</f>
        <v>3092670</v>
      </c>
    </row>
    <row r="8788">
      <c r="A8788" t="str">
        <f t="shared" si="1"/>
        <v>lbn#1998</v>
      </c>
      <c r="B8788" t="str">
        <f>IFERROR(__xludf.DUMMYFUNCTION("""COMPUTED_VALUE"""),"lbn")</f>
        <v>lbn</v>
      </c>
      <c r="C8788" t="str">
        <f>IFERROR(__xludf.DUMMYFUNCTION("""COMPUTED_VALUE"""),"Lebanon")</f>
        <v>Lebanon</v>
      </c>
      <c r="D8788">
        <f>IFERROR(__xludf.DUMMYFUNCTION("""COMPUTED_VALUE"""),1998.0)</f>
        <v>1998</v>
      </c>
      <c r="E8788">
        <f>IFERROR(__xludf.DUMMYFUNCTION("""COMPUTED_VALUE"""),3113951.0)</f>
        <v>3113951</v>
      </c>
    </row>
    <row r="8789">
      <c r="A8789" t="str">
        <f t="shared" si="1"/>
        <v>lbn#1999</v>
      </c>
      <c r="B8789" t="str">
        <f>IFERROR(__xludf.DUMMYFUNCTION("""COMPUTED_VALUE"""),"lbn")</f>
        <v>lbn</v>
      </c>
      <c r="C8789" t="str">
        <f>IFERROR(__xludf.DUMMYFUNCTION("""COMPUTED_VALUE"""),"Lebanon")</f>
        <v>Lebanon</v>
      </c>
      <c r="D8789">
        <f>IFERROR(__xludf.DUMMYFUNCTION("""COMPUTED_VALUE"""),1999.0)</f>
        <v>1999</v>
      </c>
      <c r="E8789">
        <f>IFERROR(__xludf.DUMMYFUNCTION("""COMPUTED_VALUE"""),3156646.0)</f>
        <v>3156646</v>
      </c>
    </row>
    <row r="8790">
      <c r="A8790" t="str">
        <f t="shared" si="1"/>
        <v>lbn#2000</v>
      </c>
      <c r="B8790" t="str">
        <f>IFERROR(__xludf.DUMMYFUNCTION("""COMPUTED_VALUE"""),"lbn")</f>
        <v>lbn</v>
      </c>
      <c r="C8790" t="str">
        <f>IFERROR(__xludf.DUMMYFUNCTION("""COMPUTED_VALUE"""),"Lebanon")</f>
        <v>Lebanon</v>
      </c>
      <c r="D8790">
        <f>IFERROR(__xludf.DUMMYFUNCTION("""COMPUTED_VALUE"""),2000.0)</f>
        <v>2000</v>
      </c>
      <c r="E8790">
        <f>IFERROR(__xludf.DUMMYFUNCTION("""COMPUTED_VALUE"""),3235366.0)</f>
        <v>3235366</v>
      </c>
    </row>
    <row r="8791">
      <c r="A8791" t="str">
        <f t="shared" si="1"/>
        <v>lbn#2001</v>
      </c>
      <c r="B8791" t="str">
        <f>IFERROR(__xludf.DUMMYFUNCTION("""COMPUTED_VALUE"""),"lbn")</f>
        <v>lbn</v>
      </c>
      <c r="C8791" t="str">
        <f>IFERROR(__xludf.DUMMYFUNCTION("""COMPUTED_VALUE"""),"Lebanon")</f>
        <v>Lebanon</v>
      </c>
      <c r="D8791">
        <f>IFERROR(__xludf.DUMMYFUNCTION("""COMPUTED_VALUE"""),2001.0)</f>
        <v>2001</v>
      </c>
      <c r="E8791">
        <f>IFERROR(__xludf.DUMMYFUNCTION("""COMPUTED_VALUE"""),3359859.0)</f>
        <v>3359859</v>
      </c>
    </row>
    <row r="8792">
      <c r="A8792" t="str">
        <f t="shared" si="1"/>
        <v>lbn#2002</v>
      </c>
      <c r="B8792" t="str">
        <f>IFERROR(__xludf.DUMMYFUNCTION("""COMPUTED_VALUE"""),"lbn")</f>
        <v>lbn</v>
      </c>
      <c r="C8792" t="str">
        <f>IFERROR(__xludf.DUMMYFUNCTION("""COMPUTED_VALUE"""),"Lebanon")</f>
        <v>Lebanon</v>
      </c>
      <c r="D8792">
        <f>IFERROR(__xludf.DUMMYFUNCTION("""COMPUTED_VALUE"""),2002.0)</f>
        <v>2002</v>
      </c>
      <c r="E8792">
        <f>IFERROR(__xludf.DUMMYFUNCTION("""COMPUTED_VALUE"""),3522837.0)</f>
        <v>3522837</v>
      </c>
    </row>
    <row r="8793">
      <c r="A8793" t="str">
        <f t="shared" si="1"/>
        <v>lbn#2003</v>
      </c>
      <c r="B8793" t="str">
        <f>IFERROR(__xludf.DUMMYFUNCTION("""COMPUTED_VALUE"""),"lbn")</f>
        <v>lbn</v>
      </c>
      <c r="C8793" t="str">
        <f>IFERROR(__xludf.DUMMYFUNCTION("""COMPUTED_VALUE"""),"Lebanon")</f>
        <v>Lebanon</v>
      </c>
      <c r="D8793">
        <f>IFERROR(__xludf.DUMMYFUNCTION("""COMPUTED_VALUE"""),2003.0)</f>
        <v>2003</v>
      </c>
      <c r="E8793">
        <f>IFERROR(__xludf.DUMMYFUNCTION("""COMPUTED_VALUE"""),3701464.0)</f>
        <v>3701464</v>
      </c>
    </row>
    <row r="8794">
      <c r="A8794" t="str">
        <f t="shared" si="1"/>
        <v>lbn#2004</v>
      </c>
      <c r="B8794" t="str">
        <f>IFERROR(__xludf.DUMMYFUNCTION("""COMPUTED_VALUE"""),"lbn")</f>
        <v>lbn</v>
      </c>
      <c r="C8794" t="str">
        <f>IFERROR(__xludf.DUMMYFUNCTION("""COMPUTED_VALUE"""),"Lebanon")</f>
        <v>Lebanon</v>
      </c>
      <c r="D8794">
        <f>IFERROR(__xludf.DUMMYFUNCTION("""COMPUTED_VALUE"""),2004.0)</f>
        <v>2004</v>
      </c>
      <c r="E8794">
        <f>IFERROR(__xludf.DUMMYFUNCTION("""COMPUTED_VALUE"""),3863267.0)</f>
        <v>3863267</v>
      </c>
    </row>
    <row r="8795">
      <c r="A8795" t="str">
        <f t="shared" si="1"/>
        <v>lbn#2005</v>
      </c>
      <c r="B8795" t="str">
        <f>IFERROR(__xludf.DUMMYFUNCTION("""COMPUTED_VALUE"""),"lbn")</f>
        <v>lbn</v>
      </c>
      <c r="C8795" t="str">
        <f>IFERROR(__xludf.DUMMYFUNCTION("""COMPUTED_VALUE"""),"Lebanon")</f>
        <v>Lebanon</v>
      </c>
      <c r="D8795">
        <f>IFERROR(__xludf.DUMMYFUNCTION("""COMPUTED_VALUE"""),2005.0)</f>
        <v>2005</v>
      </c>
      <c r="E8795">
        <f>IFERROR(__xludf.DUMMYFUNCTION("""COMPUTED_VALUE"""),3986852.0)</f>
        <v>3986852</v>
      </c>
    </row>
    <row r="8796">
      <c r="A8796" t="str">
        <f t="shared" si="1"/>
        <v>lbn#2006</v>
      </c>
      <c r="B8796" t="str">
        <f>IFERROR(__xludf.DUMMYFUNCTION("""COMPUTED_VALUE"""),"lbn")</f>
        <v>lbn</v>
      </c>
      <c r="C8796" t="str">
        <f>IFERROR(__xludf.DUMMYFUNCTION("""COMPUTED_VALUE"""),"Lebanon")</f>
        <v>Lebanon</v>
      </c>
      <c r="D8796">
        <f>IFERROR(__xludf.DUMMYFUNCTION("""COMPUTED_VALUE"""),2006.0)</f>
        <v>2006</v>
      </c>
      <c r="E8796">
        <f>IFERROR(__xludf.DUMMYFUNCTION("""COMPUTED_VALUE"""),4057350.0)</f>
        <v>4057350</v>
      </c>
    </row>
    <row r="8797">
      <c r="A8797" t="str">
        <f t="shared" si="1"/>
        <v>lbn#2007</v>
      </c>
      <c r="B8797" t="str">
        <f>IFERROR(__xludf.DUMMYFUNCTION("""COMPUTED_VALUE"""),"lbn")</f>
        <v>lbn</v>
      </c>
      <c r="C8797" t="str">
        <f>IFERROR(__xludf.DUMMYFUNCTION("""COMPUTED_VALUE"""),"Lebanon")</f>
        <v>Lebanon</v>
      </c>
      <c r="D8797">
        <f>IFERROR(__xludf.DUMMYFUNCTION("""COMPUTED_VALUE"""),2007.0)</f>
        <v>2007</v>
      </c>
      <c r="E8797">
        <f>IFERROR(__xludf.DUMMYFUNCTION("""COMPUTED_VALUE"""),4086466.0)</f>
        <v>4086466</v>
      </c>
    </row>
    <row r="8798">
      <c r="A8798" t="str">
        <f t="shared" si="1"/>
        <v>lbn#2008</v>
      </c>
      <c r="B8798" t="str">
        <f>IFERROR(__xludf.DUMMYFUNCTION("""COMPUTED_VALUE"""),"lbn")</f>
        <v>lbn</v>
      </c>
      <c r="C8798" t="str">
        <f>IFERROR(__xludf.DUMMYFUNCTION("""COMPUTED_VALUE"""),"Lebanon")</f>
        <v>Lebanon</v>
      </c>
      <c r="D8798">
        <f>IFERROR(__xludf.DUMMYFUNCTION("""COMPUTED_VALUE"""),2008.0)</f>
        <v>2008</v>
      </c>
      <c r="E8798">
        <f>IFERROR(__xludf.DUMMYFUNCTION("""COMPUTED_VALUE"""),4111047.0)</f>
        <v>4111047</v>
      </c>
    </row>
    <row r="8799">
      <c r="A8799" t="str">
        <f t="shared" si="1"/>
        <v>lbn#2009</v>
      </c>
      <c r="B8799" t="str">
        <f>IFERROR(__xludf.DUMMYFUNCTION("""COMPUTED_VALUE"""),"lbn")</f>
        <v>lbn</v>
      </c>
      <c r="C8799" t="str">
        <f>IFERROR(__xludf.DUMMYFUNCTION("""COMPUTED_VALUE"""),"Lebanon")</f>
        <v>Lebanon</v>
      </c>
      <c r="D8799">
        <f>IFERROR(__xludf.DUMMYFUNCTION("""COMPUTED_VALUE"""),2009.0)</f>
        <v>2009</v>
      </c>
      <c r="E8799">
        <f>IFERROR(__xludf.DUMMYFUNCTION("""COMPUTED_VALUE"""),4183156.0)</f>
        <v>4183156</v>
      </c>
    </row>
    <row r="8800">
      <c r="A8800" t="str">
        <f t="shared" si="1"/>
        <v>lbn#2010</v>
      </c>
      <c r="B8800" t="str">
        <f>IFERROR(__xludf.DUMMYFUNCTION("""COMPUTED_VALUE"""),"lbn")</f>
        <v>lbn</v>
      </c>
      <c r="C8800" t="str">
        <f>IFERROR(__xludf.DUMMYFUNCTION("""COMPUTED_VALUE"""),"Lebanon")</f>
        <v>Lebanon</v>
      </c>
      <c r="D8800">
        <f>IFERROR(__xludf.DUMMYFUNCTION("""COMPUTED_VALUE"""),2010.0)</f>
        <v>2010</v>
      </c>
      <c r="E8800">
        <f>IFERROR(__xludf.DUMMYFUNCTION("""COMPUTED_VALUE"""),4337141.0)</f>
        <v>4337141</v>
      </c>
    </row>
    <row r="8801">
      <c r="A8801" t="str">
        <f t="shared" si="1"/>
        <v>lbn#2011</v>
      </c>
      <c r="B8801" t="str">
        <f>IFERROR(__xludf.DUMMYFUNCTION("""COMPUTED_VALUE"""),"lbn")</f>
        <v>lbn</v>
      </c>
      <c r="C8801" t="str">
        <f>IFERROR(__xludf.DUMMYFUNCTION("""COMPUTED_VALUE"""),"Lebanon")</f>
        <v>Lebanon</v>
      </c>
      <c r="D8801">
        <f>IFERROR(__xludf.DUMMYFUNCTION("""COMPUTED_VALUE"""),2011.0)</f>
        <v>2011</v>
      </c>
      <c r="E8801">
        <f>IFERROR(__xludf.DUMMYFUNCTION("""COMPUTED_VALUE"""),4588368.0)</f>
        <v>4588368</v>
      </c>
    </row>
    <row r="8802">
      <c r="A8802" t="str">
        <f t="shared" si="1"/>
        <v>lbn#2012</v>
      </c>
      <c r="B8802" t="str">
        <f>IFERROR(__xludf.DUMMYFUNCTION("""COMPUTED_VALUE"""),"lbn")</f>
        <v>lbn</v>
      </c>
      <c r="C8802" t="str">
        <f>IFERROR(__xludf.DUMMYFUNCTION("""COMPUTED_VALUE"""),"Lebanon")</f>
        <v>Lebanon</v>
      </c>
      <c r="D8802">
        <f>IFERROR(__xludf.DUMMYFUNCTION("""COMPUTED_VALUE"""),2012.0)</f>
        <v>2012</v>
      </c>
      <c r="E8802">
        <f>IFERROR(__xludf.DUMMYFUNCTION("""COMPUTED_VALUE"""),4916404.0)</f>
        <v>4916404</v>
      </c>
    </row>
    <row r="8803">
      <c r="A8803" t="str">
        <f t="shared" si="1"/>
        <v>lbn#2013</v>
      </c>
      <c r="B8803" t="str">
        <f>IFERROR(__xludf.DUMMYFUNCTION("""COMPUTED_VALUE"""),"lbn")</f>
        <v>lbn</v>
      </c>
      <c r="C8803" t="str">
        <f>IFERROR(__xludf.DUMMYFUNCTION("""COMPUTED_VALUE"""),"Lebanon")</f>
        <v>Lebanon</v>
      </c>
      <c r="D8803">
        <f>IFERROR(__xludf.DUMMYFUNCTION("""COMPUTED_VALUE"""),2013.0)</f>
        <v>2013</v>
      </c>
      <c r="E8803">
        <f>IFERROR(__xludf.DUMMYFUNCTION("""COMPUTED_VALUE"""),5276102.0)</f>
        <v>5276102</v>
      </c>
    </row>
    <row r="8804">
      <c r="A8804" t="str">
        <f t="shared" si="1"/>
        <v>lbn#2014</v>
      </c>
      <c r="B8804" t="str">
        <f>IFERROR(__xludf.DUMMYFUNCTION("""COMPUTED_VALUE"""),"lbn")</f>
        <v>lbn</v>
      </c>
      <c r="C8804" t="str">
        <f>IFERROR(__xludf.DUMMYFUNCTION("""COMPUTED_VALUE"""),"Lebanon")</f>
        <v>Lebanon</v>
      </c>
      <c r="D8804">
        <f>IFERROR(__xludf.DUMMYFUNCTION("""COMPUTED_VALUE"""),2014.0)</f>
        <v>2014</v>
      </c>
      <c r="E8804">
        <f>IFERROR(__xludf.DUMMYFUNCTION("""COMPUTED_VALUE"""),5603279.0)</f>
        <v>5603279</v>
      </c>
    </row>
    <row r="8805">
      <c r="A8805" t="str">
        <f t="shared" si="1"/>
        <v>lbn#2015</v>
      </c>
      <c r="B8805" t="str">
        <f>IFERROR(__xludf.DUMMYFUNCTION("""COMPUTED_VALUE"""),"lbn")</f>
        <v>lbn</v>
      </c>
      <c r="C8805" t="str">
        <f>IFERROR(__xludf.DUMMYFUNCTION("""COMPUTED_VALUE"""),"Lebanon")</f>
        <v>Lebanon</v>
      </c>
      <c r="D8805">
        <f>IFERROR(__xludf.DUMMYFUNCTION("""COMPUTED_VALUE"""),2015.0)</f>
        <v>2015</v>
      </c>
      <c r="E8805">
        <f>IFERROR(__xludf.DUMMYFUNCTION("""COMPUTED_VALUE"""),5851479.0)</f>
        <v>5851479</v>
      </c>
    </row>
    <row r="8806">
      <c r="A8806" t="str">
        <f t="shared" si="1"/>
        <v>lbn#2016</v>
      </c>
      <c r="B8806" t="str">
        <f>IFERROR(__xludf.DUMMYFUNCTION("""COMPUTED_VALUE"""),"lbn")</f>
        <v>lbn</v>
      </c>
      <c r="C8806" t="str">
        <f>IFERROR(__xludf.DUMMYFUNCTION("""COMPUTED_VALUE"""),"Lebanon")</f>
        <v>Lebanon</v>
      </c>
      <c r="D8806">
        <f>IFERROR(__xludf.DUMMYFUNCTION("""COMPUTED_VALUE"""),2016.0)</f>
        <v>2016</v>
      </c>
      <c r="E8806">
        <f>IFERROR(__xludf.DUMMYFUNCTION("""COMPUTED_VALUE"""),6006668.0)</f>
        <v>6006668</v>
      </c>
    </row>
    <row r="8807">
      <c r="A8807" t="str">
        <f t="shared" si="1"/>
        <v>lbn#2017</v>
      </c>
      <c r="B8807" t="str">
        <f>IFERROR(__xludf.DUMMYFUNCTION("""COMPUTED_VALUE"""),"lbn")</f>
        <v>lbn</v>
      </c>
      <c r="C8807" t="str">
        <f>IFERROR(__xludf.DUMMYFUNCTION("""COMPUTED_VALUE"""),"Lebanon")</f>
        <v>Lebanon</v>
      </c>
      <c r="D8807">
        <f>IFERROR(__xludf.DUMMYFUNCTION("""COMPUTED_VALUE"""),2017.0)</f>
        <v>2017</v>
      </c>
      <c r="E8807">
        <f>IFERROR(__xludf.DUMMYFUNCTION("""COMPUTED_VALUE"""),6082357.0)</f>
        <v>6082357</v>
      </c>
    </row>
    <row r="8808">
      <c r="A8808" t="str">
        <f t="shared" si="1"/>
        <v>lbn#2018</v>
      </c>
      <c r="B8808" t="str">
        <f>IFERROR(__xludf.DUMMYFUNCTION("""COMPUTED_VALUE"""),"lbn")</f>
        <v>lbn</v>
      </c>
      <c r="C8808" t="str">
        <f>IFERROR(__xludf.DUMMYFUNCTION("""COMPUTED_VALUE"""),"Lebanon")</f>
        <v>Lebanon</v>
      </c>
      <c r="D8808">
        <f>IFERROR(__xludf.DUMMYFUNCTION("""COMPUTED_VALUE"""),2018.0)</f>
        <v>2018</v>
      </c>
      <c r="E8808">
        <f>IFERROR(__xludf.DUMMYFUNCTION("""COMPUTED_VALUE"""),6093509.0)</f>
        <v>6093509</v>
      </c>
    </row>
    <row r="8809">
      <c r="A8809" t="str">
        <f t="shared" si="1"/>
        <v>lbn#2019</v>
      </c>
      <c r="B8809" t="str">
        <f>IFERROR(__xludf.DUMMYFUNCTION("""COMPUTED_VALUE"""),"lbn")</f>
        <v>lbn</v>
      </c>
      <c r="C8809" t="str">
        <f>IFERROR(__xludf.DUMMYFUNCTION("""COMPUTED_VALUE"""),"Lebanon")</f>
        <v>Lebanon</v>
      </c>
      <c r="D8809">
        <f>IFERROR(__xludf.DUMMYFUNCTION("""COMPUTED_VALUE"""),2019.0)</f>
        <v>2019</v>
      </c>
      <c r="E8809">
        <f>IFERROR(__xludf.DUMMYFUNCTION("""COMPUTED_VALUE"""),6065922.0)</f>
        <v>6065922</v>
      </c>
    </row>
    <row r="8810">
      <c r="A8810" t="str">
        <f t="shared" si="1"/>
        <v>lbn#2020</v>
      </c>
      <c r="B8810" t="str">
        <f>IFERROR(__xludf.DUMMYFUNCTION("""COMPUTED_VALUE"""),"lbn")</f>
        <v>lbn</v>
      </c>
      <c r="C8810" t="str">
        <f>IFERROR(__xludf.DUMMYFUNCTION("""COMPUTED_VALUE"""),"Lebanon")</f>
        <v>Lebanon</v>
      </c>
      <c r="D8810">
        <f>IFERROR(__xludf.DUMMYFUNCTION("""COMPUTED_VALUE"""),2020.0)</f>
        <v>2020</v>
      </c>
      <c r="E8810">
        <f>IFERROR(__xludf.DUMMYFUNCTION("""COMPUTED_VALUE"""),6019795.0)</f>
        <v>6019795</v>
      </c>
    </row>
    <row r="8811">
      <c r="A8811" t="str">
        <f t="shared" si="1"/>
        <v>lbn#2021</v>
      </c>
      <c r="B8811" t="str">
        <f>IFERROR(__xludf.DUMMYFUNCTION("""COMPUTED_VALUE"""),"lbn")</f>
        <v>lbn</v>
      </c>
      <c r="C8811" t="str">
        <f>IFERROR(__xludf.DUMMYFUNCTION("""COMPUTED_VALUE"""),"Lebanon")</f>
        <v>Lebanon</v>
      </c>
      <c r="D8811">
        <f>IFERROR(__xludf.DUMMYFUNCTION("""COMPUTED_VALUE"""),2021.0)</f>
        <v>2021</v>
      </c>
      <c r="E8811">
        <f>IFERROR(__xludf.DUMMYFUNCTION("""COMPUTED_VALUE"""),5957294.0)</f>
        <v>5957294</v>
      </c>
    </row>
    <row r="8812">
      <c r="A8812" t="str">
        <f t="shared" si="1"/>
        <v>lbn#2022</v>
      </c>
      <c r="B8812" t="str">
        <f>IFERROR(__xludf.DUMMYFUNCTION("""COMPUTED_VALUE"""),"lbn")</f>
        <v>lbn</v>
      </c>
      <c r="C8812" t="str">
        <f>IFERROR(__xludf.DUMMYFUNCTION("""COMPUTED_VALUE"""),"Lebanon")</f>
        <v>Lebanon</v>
      </c>
      <c r="D8812">
        <f>IFERROR(__xludf.DUMMYFUNCTION("""COMPUTED_VALUE"""),2022.0)</f>
        <v>2022</v>
      </c>
      <c r="E8812">
        <f>IFERROR(__xludf.DUMMYFUNCTION("""COMPUTED_VALUE"""),5875218.0)</f>
        <v>5875218</v>
      </c>
    </row>
    <row r="8813">
      <c r="A8813" t="str">
        <f t="shared" si="1"/>
        <v>lbn#2023</v>
      </c>
      <c r="B8813" t="str">
        <f>IFERROR(__xludf.DUMMYFUNCTION("""COMPUTED_VALUE"""),"lbn")</f>
        <v>lbn</v>
      </c>
      <c r="C8813" t="str">
        <f>IFERROR(__xludf.DUMMYFUNCTION("""COMPUTED_VALUE"""),"Lebanon")</f>
        <v>Lebanon</v>
      </c>
      <c r="D8813">
        <f>IFERROR(__xludf.DUMMYFUNCTION("""COMPUTED_VALUE"""),2023.0)</f>
        <v>2023</v>
      </c>
      <c r="E8813">
        <f>IFERROR(__xludf.DUMMYFUNCTION("""COMPUTED_VALUE"""),5782760.0)</f>
        <v>5782760</v>
      </c>
    </row>
    <row r="8814">
      <c r="A8814" t="str">
        <f t="shared" si="1"/>
        <v>lbn#2024</v>
      </c>
      <c r="B8814" t="str">
        <f>IFERROR(__xludf.DUMMYFUNCTION("""COMPUTED_VALUE"""),"lbn")</f>
        <v>lbn</v>
      </c>
      <c r="C8814" t="str">
        <f>IFERROR(__xludf.DUMMYFUNCTION("""COMPUTED_VALUE"""),"Lebanon")</f>
        <v>Lebanon</v>
      </c>
      <c r="D8814">
        <f>IFERROR(__xludf.DUMMYFUNCTION("""COMPUTED_VALUE"""),2024.0)</f>
        <v>2024</v>
      </c>
      <c r="E8814">
        <f>IFERROR(__xludf.DUMMYFUNCTION("""COMPUTED_VALUE"""),5690347.0)</f>
        <v>5690347</v>
      </c>
    </row>
    <row r="8815">
      <c r="A8815" t="str">
        <f t="shared" si="1"/>
        <v>lbn#2025</v>
      </c>
      <c r="B8815" t="str">
        <f>IFERROR(__xludf.DUMMYFUNCTION("""COMPUTED_VALUE"""),"lbn")</f>
        <v>lbn</v>
      </c>
      <c r="C8815" t="str">
        <f>IFERROR(__xludf.DUMMYFUNCTION("""COMPUTED_VALUE"""),"Lebanon")</f>
        <v>Lebanon</v>
      </c>
      <c r="D8815">
        <f>IFERROR(__xludf.DUMMYFUNCTION("""COMPUTED_VALUE"""),2025.0)</f>
        <v>2025</v>
      </c>
      <c r="E8815">
        <f>IFERROR(__xludf.DUMMYFUNCTION("""COMPUTED_VALUE"""),5605987.0)</f>
        <v>5605987</v>
      </c>
    </row>
    <row r="8816">
      <c r="A8816" t="str">
        <f t="shared" si="1"/>
        <v>lbn#2026</v>
      </c>
      <c r="B8816" t="str">
        <f>IFERROR(__xludf.DUMMYFUNCTION("""COMPUTED_VALUE"""),"lbn")</f>
        <v>lbn</v>
      </c>
      <c r="C8816" t="str">
        <f>IFERROR(__xludf.DUMMYFUNCTION("""COMPUTED_VALUE"""),"Lebanon")</f>
        <v>Lebanon</v>
      </c>
      <c r="D8816">
        <f>IFERROR(__xludf.DUMMYFUNCTION("""COMPUTED_VALUE"""),2026.0)</f>
        <v>2026</v>
      </c>
      <c r="E8816">
        <f>IFERROR(__xludf.DUMMYFUNCTION("""COMPUTED_VALUE"""),5534571.0)</f>
        <v>5534571</v>
      </c>
    </row>
    <row r="8817">
      <c r="A8817" t="str">
        <f t="shared" si="1"/>
        <v>lbn#2027</v>
      </c>
      <c r="B8817" t="str">
        <f>IFERROR(__xludf.DUMMYFUNCTION("""COMPUTED_VALUE"""),"lbn")</f>
        <v>lbn</v>
      </c>
      <c r="C8817" t="str">
        <f>IFERROR(__xludf.DUMMYFUNCTION("""COMPUTED_VALUE"""),"Lebanon")</f>
        <v>Lebanon</v>
      </c>
      <c r="D8817">
        <f>IFERROR(__xludf.DUMMYFUNCTION("""COMPUTED_VALUE"""),2027.0)</f>
        <v>2027</v>
      </c>
      <c r="E8817">
        <f>IFERROR(__xludf.DUMMYFUNCTION("""COMPUTED_VALUE"""),5477054.0)</f>
        <v>5477054</v>
      </c>
    </row>
    <row r="8818">
      <c r="A8818" t="str">
        <f t="shared" si="1"/>
        <v>lbn#2028</v>
      </c>
      <c r="B8818" t="str">
        <f>IFERROR(__xludf.DUMMYFUNCTION("""COMPUTED_VALUE"""),"lbn")</f>
        <v>lbn</v>
      </c>
      <c r="C8818" t="str">
        <f>IFERROR(__xludf.DUMMYFUNCTION("""COMPUTED_VALUE"""),"Lebanon")</f>
        <v>Lebanon</v>
      </c>
      <c r="D8818">
        <f>IFERROR(__xludf.DUMMYFUNCTION("""COMPUTED_VALUE"""),2028.0)</f>
        <v>2028</v>
      </c>
      <c r="E8818">
        <f>IFERROR(__xludf.DUMMYFUNCTION("""COMPUTED_VALUE"""),5432297.0)</f>
        <v>5432297</v>
      </c>
    </row>
    <row r="8819">
      <c r="A8819" t="str">
        <f t="shared" si="1"/>
        <v>lbn#2029</v>
      </c>
      <c r="B8819" t="str">
        <f>IFERROR(__xludf.DUMMYFUNCTION("""COMPUTED_VALUE"""),"lbn")</f>
        <v>lbn</v>
      </c>
      <c r="C8819" t="str">
        <f>IFERROR(__xludf.DUMMYFUNCTION("""COMPUTED_VALUE"""),"Lebanon")</f>
        <v>Lebanon</v>
      </c>
      <c r="D8819">
        <f>IFERROR(__xludf.DUMMYFUNCTION("""COMPUTED_VALUE"""),2029.0)</f>
        <v>2029</v>
      </c>
      <c r="E8819">
        <f>IFERROR(__xludf.DUMMYFUNCTION("""COMPUTED_VALUE"""),5396990.0)</f>
        <v>5396990</v>
      </c>
    </row>
    <row r="8820">
      <c r="A8820" t="str">
        <f t="shared" si="1"/>
        <v>lbn#2030</v>
      </c>
      <c r="B8820" t="str">
        <f>IFERROR(__xludf.DUMMYFUNCTION("""COMPUTED_VALUE"""),"lbn")</f>
        <v>lbn</v>
      </c>
      <c r="C8820" t="str">
        <f>IFERROR(__xludf.DUMMYFUNCTION("""COMPUTED_VALUE"""),"Lebanon")</f>
        <v>Lebanon</v>
      </c>
      <c r="D8820">
        <f>IFERROR(__xludf.DUMMYFUNCTION("""COMPUTED_VALUE"""),2030.0)</f>
        <v>2030</v>
      </c>
      <c r="E8820">
        <f>IFERROR(__xludf.DUMMYFUNCTION("""COMPUTED_VALUE"""),5368598.0)</f>
        <v>5368598</v>
      </c>
    </row>
    <row r="8821">
      <c r="A8821" t="str">
        <f t="shared" si="1"/>
        <v>lbn#2031</v>
      </c>
      <c r="B8821" t="str">
        <f>IFERROR(__xludf.DUMMYFUNCTION("""COMPUTED_VALUE"""),"lbn")</f>
        <v>lbn</v>
      </c>
      <c r="C8821" t="str">
        <f>IFERROR(__xludf.DUMMYFUNCTION("""COMPUTED_VALUE"""),"Lebanon")</f>
        <v>Lebanon</v>
      </c>
      <c r="D8821">
        <f>IFERROR(__xludf.DUMMYFUNCTION("""COMPUTED_VALUE"""),2031.0)</f>
        <v>2031</v>
      </c>
      <c r="E8821">
        <f>IFERROR(__xludf.DUMMYFUNCTION("""COMPUTED_VALUE"""),5347601.0)</f>
        <v>5347601</v>
      </c>
    </row>
    <row r="8822">
      <c r="A8822" t="str">
        <f t="shared" si="1"/>
        <v>lbn#2032</v>
      </c>
      <c r="B8822" t="str">
        <f>IFERROR(__xludf.DUMMYFUNCTION("""COMPUTED_VALUE"""),"lbn")</f>
        <v>lbn</v>
      </c>
      <c r="C8822" t="str">
        <f>IFERROR(__xludf.DUMMYFUNCTION("""COMPUTED_VALUE"""),"Lebanon")</f>
        <v>Lebanon</v>
      </c>
      <c r="D8822">
        <f>IFERROR(__xludf.DUMMYFUNCTION("""COMPUTED_VALUE"""),2032.0)</f>
        <v>2032</v>
      </c>
      <c r="E8822">
        <f>IFERROR(__xludf.DUMMYFUNCTION("""COMPUTED_VALUE"""),5335196.0)</f>
        <v>5335196</v>
      </c>
    </row>
    <row r="8823">
      <c r="A8823" t="str">
        <f t="shared" si="1"/>
        <v>lbn#2033</v>
      </c>
      <c r="B8823" t="str">
        <f>IFERROR(__xludf.DUMMYFUNCTION("""COMPUTED_VALUE"""),"lbn")</f>
        <v>lbn</v>
      </c>
      <c r="C8823" t="str">
        <f>IFERROR(__xludf.DUMMYFUNCTION("""COMPUTED_VALUE"""),"Lebanon")</f>
        <v>Lebanon</v>
      </c>
      <c r="D8823">
        <f>IFERROR(__xludf.DUMMYFUNCTION("""COMPUTED_VALUE"""),2033.0)</f>
        <v>2033</v>
      </c>
      <c r="E8823">
        <f>IFERROR(__xludf.DUMMYFUNCTION("""COMPUTED_VALUE"""),5330139.0)</f>
        <v>5330139</v>
      </c>
    </row>
    <row r="8824">
      <c r="A8824" t="str">
        <f t="shared" si="1"/>
        <v>lbn#2034</v>
      </c>
      <c r="B8824" t="str">
        <f>IFERROR(__xludf.DUMMYFUNCTION("""COMPUTED_VALUE"""),"lbn")</f>
        <v>lbn</v>
      </c>
      <c r="C8824" t="str">
        <f>IFERROR(__xludf.DUMMYFUNCTION("""COMPUTED_VALUE"""),"Lebanon")</f>
        <v>Lebanon</v>
      </c>
      <c r="D8824">
        <f>IFERROR(__xludf.DUMMYFUNCTION("""COMPUTED_VALUE"""),2034.0)</f>
        <v>2034</v>
      </c>
      <c r="E8824">
        <f>IFERROR(__xludf.DUMMYFUNCTION("""COMPUTED_VALUE"""),5330744.0)</f>
        <v>5330744</v>
      </c>
    </row>
    <row r="8825">
      <c r="A8825" t="str">
        <f t="shared" si="1"/>
        <v>lbn#2035</v>
      </c>
      <c r="B8825" t="str">
        <f>IFERROR(__xludf.DUMMYFUNCTION("""COMPUTED_VALUE"""),"lbn")</f>
        <v>lbn</v>
      </c>
      <c r="C8825" t="str">
        <f>IFERROR(__xludf.DUMMYFUNCTION("""COMPUTED_VALUE"""),"Lebanon")</f>
        <v>Lebanon</v>
      </c>
      <c r="D8825">
        <f>IFERROR(__xludf.DUMMYFUNCTION("""COMPUTED_VALUE"""),2035.0)</f>
        <v>2035</v>
      </c>
      <c r="E8825">
        <f>IFERROR(__xludf.DUMMYFUNCTION("""COMPUTED_VALUE"""),5335520.0)</f>
        <v>5335520</v>
      </c>
    </row>
    <row r="8826">
      <c r="A8826" t="str">
        <f t="shared" si="1"/>
        <v>lbn#2036</v>
      </c>
      <c r="B8826" t="str">
        <f>IFERROR(__xludf.DUMMYFUNCTION("""COMPUTED_VALUE"""),"lbn")</f>
        <v>lbn</v>
      </c>
      <c r="C8826" t="str">
        <f>IFERROR(__xludf.DUMMYFUNCTION("""COMPUTED_VALUE"""),"Lebanon")</f>
        <v>Lebanon</v>
      </c>
      <c r="D8826">
        <f>IFERROR(__xludf.DUMMYFUNCTION("""COMPUTED_VALUE"""),2036.0)</f>
        <v>2036</v>
      </c>
      <c r="E8826">
        <f>IFERROR(__xludf.DUMMYFUNCTION("""COMPUTED_VALUE"""),5344015.0)</f>
        <v>5344015</v>
      </c>
    </row>
    <row r="8827">
      <c r="A8827" t="str">
        <f t="shared" si="1"/>
        <v>lbn#2037</v>
      </c>
      <c r="B8827" t="str">
        <f>IFERROR(__xludf.DUMMYFUNCTION("""COMPUTED_VALUE"""),"lbn")</f>
        <v>lbn</v>
      </c>
      <c r="C8827" t="str">
        <f>IFERROR(__xludf.DUMMYFUNCTION("""COMPUTED_VALUE"""),"Lebanon")</f>
        <v>Lebanon</v>
      </c>
      <c r="D8827">
        <f>IFERROR(__xludf.DUMMYFUNCTION("""COMPUTED_VALUE"""),2037.0)</f>
        <v>2037</v>
      </c>
      <c r="E8827">
        <f>IFERROR(__xludf.DUMMYFUNCTION("""COMPUTED_VALUE"""),5355698.0)</f>
        <v>5355698</v>
      </c>
    </row>
    <row r="8828">
      <c r="A8828" t="str">
        <f t="shared" si="1"/>
        <v>lbn#2038</v>
      </c>
      <c r="B8828" t="str">
        <f>IFERROR(__xludf.DUMMYFUNCTION("""COMPUTED_VALUE"""),"lbn")</f>
        <v>lbn</v>
      </c>
      <c r="C8828" t="str">
        <f>IFERROR(__xludf.DUMMYFUNCTION("""COMPUTED_VALUE"""),"Lebanon")</f>
        <v>Lebanon</v>
      </c>
      <c r="D8828">
        <f>IFERROR(__xludf.DUMMYFUNCTION("""COMPUTED_VALUE"""),2038.0)</f>
        <v>2038</v>
      </c>
      <c r="E8828">
        <f>IFERROR(__xludf.DUMMYFUNCTION("""COMPUTED_VALUE"""),5368874.0)</f>
        <v>5368874</v>
      </c>
    </row>
    <row r="8829">
      <c r="A8829" t="str">
        <f t="shared" si="1"/>
        <v>lbn#2039</v>
      </c>
      <c r="B8829" t="str">
        <f>IFERROR(__xludf.DUMMYFUNCTION("""COMPUTED_VALUE"""),"lbn")</f>
        <v>lbn</v>
      </c>
      <c r="C8829" t="str">
        <f>IFERROR(__xludf.DUMMYFUNCTION("""COMPUTED_VALUE"""),"Lebanon")</f>
        <v>Lebanon</v>
      </c>
      <c r="D8829">
        <f>IFERROR(__xludf.DUMMYFUNCTION("""COMPUTED_VALUE"""),2039.0)</f>
        <v>2039</v>
      </c>
      <c r="E8829">
        <f>IFERROR(__xludf.DUMMYFUNCTION("""COMPUTED_VALUE"""),5381602.0)</f>
        <v>5381602</v>
      </c>
    </row>
    <row r="8830">
      <c r="A8830" t="str">
        <f t="shared" si="1"/>
        <v>lbn#2040</v>
      </c>
      <c r="B8830" t="str">
        <f>IFERROR(__xludf.DUMMYFUNCTION("""COMPUTED_VALUE"""),"lbn")</f>
        <v>lbn</v>
      </c>
      <c r="C8830" t="str">
        <f>IFERROR(__xludf.DUMMYFUNCTION("""COMPUTED_VALUE"""),"Lebanon")</f>
        <v>Lebanon</v>
      </c>
      <c r="D8830">
        <f>IFERROR(__xludf.DUMMYFUNCTION("""COMPUTED_VALUE"""),2040.0)</f>
        <v>2040</v>
      </c>
      <c r="E8830">
        <f>IFERROR(__xludf.DUMMYFUNCTION("""COMPUTED_VALUE"""),5392419.0)</f>
        <v>5392419</v>
      </c>
    </row>
    <row r="8831">
      <c r="A8831" t="str">
        <f t="shared" si="1"/>
        <v>lso#1950</v>
      </c>
      <c r="B8831" t="str">
        <f>IFERROR(__xludf.DUMMYFUNCTION("""COMPUTED_VALUE"""),"lso")</f>
        <v>lso</v>
      </c>
      <c r="C8831" t="str">
        <f>IFERROR(__xludf.DUMMYFUNCTION("""COMPUTED_VALUE"""),"Lesotho")</f>
        <v>Lesotho</v>
      </c>
      <c r="D8831">
        <f>IFERROR(__xludf.DUMMYFUNCTION("""COMPUTED_VALUE"""),1950.0)</f>
        <v>1950</v>
      </c>
      <c r="E8831">
        <f>IFERROR(__xludf.DUMMYFUNCTION("""COMPUTED_VALUE"""),733945.0)</f>
        <v>733945</v>
      </c>
    </row>
    <row r="8832">
      <c r="A8832" t="str">
        <f t="shared" si="1"/>
        <v>lso#1951</v>
      </c>
      <c r="B8832" t="str">
        <f>IFERROR(__xludf.DUMMYFUNCTION("""COMPUTED_VALUE"""),"lso")</f>
        <v>lso</v>
      </c>
      <c r="C8832" t="str">
        <f>IFERROR(__xludf.DUMMYFUNCTION("""COMPUTED_VALUE"""),"Lesotho")</f>
        <v>Lesotho</v>
      </c>
      <c r="D8832">
        <f>IFERROR(__xludf.DUMMYFUNCTION("""COMPUTED_VALUE"""),1951.0)</f>
        <v>1951</v>
      </c>
      <c r="E8832">
        <f>IFERROR(__xludf.DUMMYFUNCTION("""COMPUTED_VALUE"""),744319.0)</f>
        <v>744319</v>
      </c>
    </row>
    <row r="8833">
      <c r="A8833" t="str">
        <f t="shared" si="1"/>
        <v>lso#1952</v>
      </c>
      <c r="B8833" t="str">
        <f>IFERROR(__xludf.DUMMYFUNCTION("""COMPUTED_VALUE"""),"lso")</f>
        <v>lso</v>
      </c>
      <c r="C8833" t="str">
        <f>IFERROR(__xludf.DUMMYFUNCTION("""COMPUTED_VALUE"""),"Lesotho")</f>
        <v>Lesotho</v>
      </c>
      <c r="D8833">
        <f>IFERROR(__xludf.DUMMYFUNCTION("""COMPUTED_VALUE"""),1952.0)</f>
        <v>1952</v>
      </c>
      <c r="E8833">
        <f>IFERROR(__xludf.DUMMYFUNCTION("""COMPUTED_VALUE"""),754853.0)</f>
        <v>754853</v>
      </c>
    </row>
    <row r="8834">
      <c r="A8834" t="str">
        <f t="shared" si="1"/>
        <v>lso#1953</v>
      </c>
      <c r="B8834" t="str">
        <f>IFERROR(__xludf.DUMMYFUNCTION("""COMPUTED_VALUE"""),"lso")</f>
        <v>lso</v>
      </c>
      <c r="C8834" t="str">
        <f>IFERROR(__xludf.DUMMYFUNCTION("""COMPUTED_VALUE"""),"Lesotho")</f>
        <v>Lesotho</v>
      </c>
      <c r="D8834">
        <f>IFERROR(__xludf.DUMMYFUNCTION("""COMPUTED_VALUE"""),1953.0)</f>
        <v>1953</v>
      </c>
      <c r="E8834">
        <f>IFERROR(__xludf.DUMMYFUNCTION("""COMPUTED_VALUE"""),765581.0)</f>
        <v>765581</v>
      </c>
    </row>
    <row r="8835">
      <c r="A8835" t="str">
        <f t="shared" si="1"/>
        <v>lso#1954</v>
      </c>
      <c r="B8835" t="str">
        <f>IFERROR(__xludf.DUMMYFUNCTION("""COMPUTED_VALUE"""),"lso")</f>
        <v>lso</v>
      </c>
      <c r="C8835" t="str">
        <f>IFERROR(__xludf.DUMMYFUNCTION("""COMPUTED_VALUE"""),"Lesotho")</f>
        <v>Lesotho</v>
      </c>
      <c r="D8835">
        <f>IFERROR(__xludf.DUMMYFUNCTION("""COMPUTED_VALUE"""),1954.0)</f>
        <v>1954</v>
      </c>
      <c r="E8835">
        <f>IFERROR(__xludf.DUMMYFUNCTION("""COMPUTED_VALUE"""),776548.0)</f>
        <v>776548</v>
      </c>
    </row>
    <row r="8836">
      <c r="A8836" t="str">
        <f t="shared" si="1"/>
        <v>lso#1955</v>
      </c>
      <c r="B8836" t="str">
        <f>IFERROR(__xludf.DUMMYFUNCTION("""COMPUTED_VALUE"""),"lso")</f>
        <v>lso</v>
      </c>
      <c r="C8836" t="str">
        <f>IFERROR(__xludf.DUMMYFUNCTION("""COMPUTED_VALUE"""),"Lesotho")</f>
        <v>Lesotho</v>
      </c>
      <c r="D8836">
        <f>IFERROR(__xludf.DUMMYFUNCTION("""COMPUTED_VALUE"""),1955.0)</f>
        <v>1955</v>
      </c>
      <c r="E8836">
        <f>IFERROR(__xludf.DUMMYFUNCTION("""COMPUTED_VALUE"""),787806.0)</f>
        <v>787806</v>
      </c>
    </row>
    <row r="8837">
      <c r="A8837" t="str">
        <f t="shared" si="1"/>
        <v>lso#1956</v>
      </c>
      <c r="B8837" t="str">
        <f>IFERROR(__xludf.DUMMYFUNCTION("""COMPUTED_VALUE"""),"lso")</f>
        <v>lso</v>
      </c>
      <c r="C8837" t="str">
        <f>IFERROR(__xludf.DUMMYFUNCTION("""COMPUTED_VALUE"""),"Lesotho")</f>
        <v>Lesotho</v>
      </c>
      <c r="D8837">
        <f>IFERROR(__xludf.DUMMYFUNCTION("""COMPUTED_VALUE"""),1956.0)</f>
        <v>1956</v>
      </c>
      <c r="E8837">
        <f>IFERROR(__xludf.DUMMYFUNCTION("""COMPUTED_VALUE"""),799440.0)</f>
        <v>799440</v>
      </c>
    </row>
    <row r="8838">
      <c r="A8838" t="str">
        <f t="shared" si="1"/>
        <v>lso#1957</v>
      </c>
      <c r="B8838" t="str">
        <f>IFERROR(__xludf.DUMMYFUNCTION("""COMPUTED_VALUE"""),"lso")</f>
        <v>lso</v>
      </c>
      <c r="C8838" t="str">
        <f>IFERROR(__xludf.DUMMYFUNCTION("""COMPUTED_VALUE"""),"Lesotho")</f>
        <v>Lesotho</v>
      </c>
      <c r="D8838">
        <f>IFERROR(__xludf.DUMMYFUNCTION("""COMPUTED_VALUE"""),1957.0)</f>
        <v>1957</v>
      </c>
      <c r="E8838">
        <f>IFERROR(__xludf.DUMMYFUNCTION("""COMPUTED_VALUE"""),811543.0)</f>
        <v>811543</v>
      </c>
    </row>
    <row r="8839">
      <c r="A8839" t="str">
        <f t="shared" si="1"/>
        <v>lso#1958</v>
      </c>
      <c r="B8839" t="str">
        <f>IFERROR(__xludf.DUMMYFUNCTION("""COMPUTED_VALUE"""),"lso")</f>
        <v>lso</v>
      </c>
      <c r="C8839" t="str">
        <f>IFERROR(__xludf.DUMMYFUNCTION("""COMPUTED_VALUE"""),"Lesotho")</f>
        <v>Lesotho</v>
      </c>
      <c r="D8839">
        <f>IFERROR(__xludf.DUMMYFUNCTION("""COMPUTED_VALUE"""),1958.0)</f>
        <v>1958</v>
      </c>
      <c r="E8839">
        <f>IFERROR(__xludf.DUMMYFUNCTION("""COMPUTED_VALUE"""),824200.0)</f>
        <v>824200</v>
      </c>
    </row>
    <row r="8840">
      <c r="A8840" t="str">
        <f t="shared" si="1"/>
        <v>lso#1959</v>
      </c>
      <c r="B8840" t="str">
        <f>IFERROR(__xludf.DUMMYFUNCTION("""COMPUTED_VALUE"""),"lso")</f>
        <v>lso</v>
      </c>
      <c r="C8840" t="str">
        <f>IFERROR(__xludf.DUMMYFUNCTION("""COMPUTED_VALUE"""),"Lesotho")</f>
        <v>Lesotho</v>
      </c>
      <c r="D8840">
        <f>IFERROR(__xludf.DUMMYFUNCTION("""COMPUTED_VALUE"""),1959.0)</f>
        <v>1959</v>
      </c>
      <c r="E8840">
        <f>IFERROR(__xludf.DUMMYFUNCTION("""COMPUTED_VALUE"""),837519.0)</f>
        <v>837519</v>
      </c>
    </row>
    <row r="8841">
      <c r="A8841" t="str">
        <f t="shared" si="1"/>
        <v>lso#1960</v>
      </c>
      <c r="B8841" t="str">
        <f>IFERROR(__xludf.DUMMYFUNCTION("""COMPUTED_VALUE"""),"lso")</f>
        <v>lso</v>
      </c>
      <c r="C8841" t="str">
        <f>IFERROR(__xludf.DUMMYFUNCTION("""COMPUTED_VALUE"""),"Lesotho")</f>
        <v>Lesotho</v>
      </c>
      <c r="D8841">
        <f>IFERROR(__xludf.DUMMYFUNCTION("""COMPUTED_VALUE"""),1960.0)</f>
        <v>1960</v>
      </c>
      <c r="E8841">
        <f>IFERROR(__xludf.DUMMYFUNCTION("""COMPUTED_VALUE"""),851591.0)</f>
        <v>851591</v>
      </c>
    </row>
    <row r="8842">
      <c r="A8842" t="str">
        <f t="shared" si="1"/>
        <v>lso#1961</v>
      </c>
      <c r="B8842" t="str">
        <f>IFERROR(__xludf.DUMMYFUNCTION("""COMPUTED_VALUE"""),"lso")</f>
        <v>lso</v>
      </c>
      <c r="C8842" t="str">
        <f>IFERROR(__xludf.DUMMYFUNCTION("""COMPUTED_VALUE"""),"Lesotho")</f>
        <v>Lesotho</v>
      </c>
      <c r="D8842">
        <f>IFERROR(__xludf.DUMMYFUNCTION("""COMPUTED_VALUE"""),1961.0)</f>
        <v>1961</v>
      </c>
      <c r="E8842">
        <f>IFERROR(__xludf.DUMMYFUNCTION("""COMPUTED_VALUE"""),866462.0)</f>
        <v>866462</v>
      </c>
    </row>
    <row r="8843">
      <c r="A8843" t="str">
        <f t="shared" si="1"/>
        <v>lso#1962</v>
      </c>
      <c r="B8843" t="str">
        <f>IFERROR(__xludf.DUMMYFUNCTION("""COMPUTED_VALUE"""),"lso")</f>
        <v>lso</v>
      </c>
      <c r="C8843" t="str">
        <f>IFERROR(__xludf.DUMMYFUNCTION("""COMPUTED_VALUE"""),"Lesotho")</f>
        <v>Lesotho</v>
      </c>
      <c r="D8843">
        <f>IFERROR(__xludf.DUMMYFUNCTION("""COMPUTED_VALUE"""),1962.0)</f>
        <v>1962</v>
      </c>
      <c r="E8843">
        <f>IFERROR(__xludf.DUMMYFUNCTION("""COMPUTED_VALUE"""),882170.0)</f>
        <v>882170</v>
      </c>
    </row>
    <row r="8844">
      <c r="A8844" t="str">
        <f t="shared" si="1"/>
        <v>lso#1963</v>
      </c>
      <c r="B8844" t="str">
        <f>IFERROR(__xludf.DUMMYFUNCTION("""COMPUTED_VALUE"""),"lso")</f>
        <v>lso</v>
      </c>
      <c r="C8844" t="str">
        <f>IFERROR(__xludf.DUMMYFUNCTION("""COMPUTED_VALUE"""),"Lesotho")</f>
        <v>Lesotho</v>
      </c>
      <c r="D8844">
        <f>IFERROR(__xludf.DUMMYFUNCTION("""COMPUTED_VALUE"""),1963.0)</f>
        <v>1963</v>
      </c>
      <c r="E8844">
        <f>IFERROR(__xludf.DUMMYFUNCTION("""COMPUTED_VALUE"""),898647.0)</f>
        <v>898647</v>
      </c>
    </row>
    <row r="8845">
      <c r="A8845" t="str">
        <f t="shared" si="1"/>
        <v>lso#1964</v>
      </c>
      <c r="B8845" t="str">
        <f>IFERROR(__xludf.DUMMYFUNCTION("""COMPUTED_VALUE"""),"lso")</f>
        <v>lso</v>
      </c>
      <c r="C8845" t="str">
        <f>IFERROR(__xludf.DUMMYFUNCTION("""COMPUTED_VALUE"""),"Lesotho")</f>
        <v>Lesotho</v>
      </c>
      <c r="D8845">
        <f>IFERROR(__xludf.DUMMYFUNCTION("""COMPUTED_VALUE"""),1964.0)</f>
        <v>1964</v>
      </c>
      <c r="E8845">
        <f>IFERROR(__xludf.DUMMYFUNCTION("""COMPUTED_VALUE"""),915822.0)</f>
        <v>915822</v>
      </c>
    </row>
    <row r="8846">
      <c r="A8846" t="str">
        <f t="shared" si="1"/>
        <v>lso#1965</v>
      </c>
      <c r="B8846" t="str">
        <f>IFERROR(__xludf.DUMMYFUNCTION("""COMPUTED_VALUE"""),"lso")</f>
        <v>lso</v>
      </c>
      <c r="C8846" t="str">
        <f>IFERROR(__xludf.DUMMYFUNCTION("""COMPUTED_VALUE"""),"Lesotho")</f>
        <v>Lesotho</v>
      </c>
      <c r="D8846">
        <f>IFERROR(__xludf.DUMMYFUNCTION("""COMPUTED_VALUE"""),1965.0)</f>
        <v>1965</v>
      </c>
      <c r="E8846">
        <f>IFERROR(__xludf.DUMMYFUNCTION("""COMPUTED_VALUE"""),933655.0)</f>
        <v>933655</v>
      </c>
    </row>
    <row r="8847">
      <c r="A8847" t="str">
        <f t="shared" si="1"/>
        <v>lso#1966</v>
      </c>
      <c r="B8847" t="str">
        <f>IFERROR(__xludf.DUMMYFUNCTION("""COMPUTED_VALUE"""),"lso")</f>
        <v>lso</v>
      </c>
      <c r="C8847" t="str">
        <f>IFERROR(__xludf.DUMMYFUNCTION("""COMPUTED_VALUE"""),"Lesotho")</f>
        <v>Lesotho</v>
      </c>
      <c r="D8847">
        <f>IFERROR(__xludf.DUMMYFUNCTION("""COMPUTED_VALUE"""),1966.0)</f>
        <v>1966</v>
      </c>
      <c r="E8847">
        <f>IFERROR(__xludf.DUMMYFUNCTION("""COMPUTED_VALUE"""),952206.0)</f>
        <v>952206</v>
      </c>
    </row>
    <row r="8848">
      <c r="A8848" t="str">
        <f t="shared" si="1"/>
        <v>lso#1967</v>
      </c>
      <c r="B8848" t="str">
        <f>IFERROR(__xludf.DUMMYFUNCTION("""COMPUTED_VALUE"""),"lso")</f>
        <v>lso</v>
      </c>
      <c r="C8848" t="str">
        <f>IFERROR(__xludf.DUMMYFUNCTION("""COMPUTED_VALUE"""),"Lesotho")</f>
        <v>Lesotho</v>
      </c>
      <c r="D8848">
        <f>IFERROR(__xludf.DUMMYFUNCTION("""COMPUTED_VALUE"""),1967.0)</f>
        <v>1967</v>
      </c>
      <c r="E8848">
        <f>IFERROR(__xludf.DUMMYFUNCTION("""COMPUTED_VALUE"""),971512.0)</f>
        <v>971512</v>
      </c>
    </row>
    <row r="8849">
      <c r="A8849" t="str">
        <f t="shared" si="1"/>
        <v>lso#1968</v>
      </c>
      <c r="B8849" t="str">
        <f>IFERROR(__xludf.DUMMYFUNCTION("""COMPUTED_VALUE"""),"lso")</f>
        <v>lso</v>
      </c>
      <c r="C8849" t="str">
        <f>IFERROR(__xludf.DUMMYFUNCTION("""COMPUTED_VALUE"""),"Lesotho")</f>
        <v>Lesotho</v>
      </c>
      <c r="D8849">
        <f>IFERROR(__xludf.DUMMYFUNCTION("""COMPUTED_VALUE"""),1968.0)</f>
        <v>1968</v>
      </c>
      <c r="E8849">
        <f>IFERROR(__xludf.DUMMYFUNCTION("""COMPUTED_VALUE"""),991491.0)</f>
        <v>991491</v>
      </c>
    </row>
    <row r="8850">
      <c r="A8850" t="str">
        <f t="shared" si="1"/>
        <v>lso#1969</v>
      </c>
      <c r="B8850" t="str">
        <f>IFERROR(__xludf.DUMMYFUNCTION("""COMPUTED_VALUE"""),"lso")</f>
        <v>lso</v>
      </c>
      <c r="C8850" t="str">
        <f>IFERROR(__xludf.DUMMYFUNCTION("""COMPUTED_VALUE"""),"Lesotho")</f>
        <v>Lesotho</v>
      </c>
      <c r="D8850">
        <f>IFERROR(__xludf.DUMMYFUNCTION("""COMPUTED_VALUE"""),1969.0)</f>
        <v>1969</v>
      </c>
      <c r="E8850">
        <f>IFERROR(__xludf.DUMMYFUNCTION("""COMPUTED_VALUE"""),1012015.0)</f>
        <v>1012015</v>
      </c>
    </row>
    <row r="8851">
      <c r="A8851" t="str">
        <f t="shared" si="1"/>
        <v>lso#1970</v>
      </c>
      <c r="B8851" t="str">
        <f>IFERROR(__xludf.DUMMYFUNCTION("""COMPUTED_VALUE"""),"lso")</f>
        <v>lso</v>
      </c>
      <c r="C8851" t="str">
        <f>IFERROR(__xludf.DUMMYFUNCTION("""COMPUTED_VALUE"""),"Lesotho")</f>
        <v>Lesotho</v>
      </c>
      <c r="D8851">
        <f>IFERROR(__xludf.DUMMYFUNCTION("""COMPUTED_VALUE"""),1970.0)</f>
        <v>1970</v>
      </c>
      <c r="E8851">
        <f>IFERROR(__xludf.DUMMYFUNCTION("""COMPUTED_VALUE"""),1033050.0)</f>
        <v>1033050</v>
      </c>
    </row>
    <row r="8852">
      <c r="A8852" t="str">
        <f t="shared" si="1"/>
        <v>lso#1971</v>
      </c>
      <c r="B8852" t="str">
        <f>IFERROR(__xludf.DUMMYFUNCTION("""COMPUTED_VALUE"""),"lso")</f>
        <v>lso</v>
      </c>
      <c r="C8852" t="str">
        <f>IFERROR(__xludf.DUMMYFUNCTION("""COMPUTED_VALUE"""),"Lesotho")</f>
        <v>Lesotho</v>
      </c>
      <c r="D8852">
        <f>IFERROR(__xludf.DUMMYFUNCTION("""COMPUTED_VALUE"""),1971.0)</f>
        <v>1971</v>
      </c>
      <c r="E8852">
        <f>IFERROR(__xludf.DUMMYFUNCTION("""COMPUTED_VALUE"""),1054453.0)</f>
        <v>1054453</v>
      </c>
    </row>
    <row r="8853">
      <c r="A8853" t="str">
        <f t="shared" si="1"/>
        <v>lso#1972</v>
      </c>
      <c r="B8853" t="str">
        <f>IFERROR(__xludf.DUMMYFUNCTION("""COMPUTED_VALUE"""),"lso")</f>
        <v>lso</v>
      </c>
      <c r="C8853" t="str">
        <f>IFERROR(__xludf.DUMMYFUNCTION("""COMPUTED_VALUE"""),"Lesotho")</f>
        <v>Lesotho</v>
      </c>
      <c r="D8853">
        <f>IFERROR(__xludf.DUMMYFUNCTION("""COMPUTED_VALUE"""),1972.0)</f>
        <v>1972</v>
      </c>
      <c r="E8853">
        <f>IFERROR(__xludf.DUMMYFUNCTION("""COMPUTED_VALUE"""),1076340.0)</f>
        <v>1076340</v>
      </c>
    </row>
    <row r="8854">
      <c r="A8854" t="str">
        <f t="shared" si="1"/>
        <v>lso#1973</v>
      </c>
      <c r="B8854" t="str">
        <f>IFERROR(__xludf.DUMMYFUNCTION("""COMPUTED_VALUE"""),"lso")</f>
        <v>lso</v>
      </c>
      <c r="C8854" t="str">
        <f>IFERROR(__xludf.DUMMYFUNCTION("""COMPUTED_VALUE"""),"Lesotho")</f>
        <v>Lesotho</v>
      </c>
      <c r="D8854">
        <f>IFERROR(__xludf.DUMMYFUNCTION("""COMPUTED_VALUE"""),1973.0)</f>
        <v>1973</v>
      </c>
      <c r="E8854">
        <f>IFERROR(__xludf.DUMMYFUNCTION("""COMPUTED_VALUE"""),1099235.0)</f>
        <v>1099235</v>
      </c>
    </row>
    <row r="8855">
      <c r="A8855" t="str">
        <f t="shared" si="1"/>
        <v>lso#1974</v>
      </c>
      <c r="B8855" t="str">
        <f>IFERROR(__xludf.DUMMYFUNCTION("""COMPUTED_VALUE"""),"lso")</f>
        <v>lso</v>
      </c>
      <c r="C8855" t="str">
        <f>IFERROR(__xludf.DUMMYFUNCTION("""COMPUTED_VALUE"""),"Lesotho")</f>
        <v>Lesotho</v>
      </c>
      <c r="D8855">
        <f>IFERROR(__xludf.DUMMYFUNCTION("""COMPUTED_VALUE"""),1974.0)</f>
        <v>1974</v>
      </c>
      <c r="E8855">
        <f>IFERROR(__xludf.DUMMYFUNCTION("""COMPUTED_VALUE"""),1123855.0)</f>
        <v>1123855</v>
      </c>
    </row>
    <row r="8856">
      <c r="A8856" t="str">
        <f t="shared" si="1"/>
        <v>lso#1975</v>
      </c>
      <c r="B8856" t="str">
        <f>IFERROR(__xludf.DUMMYFUNCTION("""COMPUTED_VALUE"""),"lso")</f>
        <v>lso</v>
      </c>
      <c r="C8856" t="str">
        <f>IFERROR(__xludf.DUMMYFUNCTION("""COMPUTED_VALUE"""),"Lesotho")</f>
        <v>Lesotho</v>
      </c>
      <c r="D8856">
        <f>IFERROR(__xludf.DUMMYFUNCTION("""COMPUTED_VALUE"""),1975.0)</f>
        <v>1975</v>
      </c>
      <c r="E8856">
        <f>IFERROR(__xludf.DUMMYFUNCTION("""COMPUTED_VALUE"""),1150635.0)</f>
        <v>1150635</v>
      </c>
    </row>
    <row r="8857">
      <c r="A8857" t="str">
        <f t="shared" si="1"/>
        <v>lso#1976</v>
      </c>
      <c r="B8857" t="str">
        <f>IFERROR(__xludf.DUMMYFUNCTION("""COMPUTED_VALUE"""),"lso")</f>
        <v>lso</v>
      </c>
      <c r="C8857" t="str">
        <f>IFERROR(__xludf.DUMMYFUNCTION("""COMPUTED_VALUE"""),"Lesotho")</f>
        <v>Lesotho</v>
      </c>
      <c r="D8857">
        <f>IFERROR(__xludf.DUMMYFUNCTION("""COMPUTED_VALUE"""),1976.0)</f>
        <v>1976</v>
      </c>
      <c r="E8857">
        <f>IFERROR(__xludf.DUMMYFUNCTION("""COMPUTED_VALUE"""),1179723.0)</f>
        <v>1179723</v>
      </c>
    </row>
    <row r="8858">
      <c r="A8858" t="str">
        <f t="shared" si="1"/>
        <v>lso#1977</v>
      </c>
      <c r="B8858" t="str">
        <f>IFERROR(__xludf.DUMMYFUNCTION("""COMPUTED_VALUE"""),"lso")</f>
        <v>lso</v>
      </c>
      <c r="C8858" t="str">
        <f>IFERROR(__xludf.DUMMYFUNCTION("""COMPUTED_VALUE"""),"Lesotho")</f>
        <v>Lesotho</v>
      </c>
      <c r="D8858">
        <f>IFERROR(__xludf.DUMMYFUNCTION("""COMPUTED_VALUE"""),1977.0)</f>
        <v>1977</v>
      </c>
      <c r="E8858">
        <f>IFERROR(__xludf.DUMMYFUNCTION("""COMPUTED_VALUE"""),1210799.0)</f>
        <v>1210799</v>
      </c>
    </row>
    <row r="8859">
      <c r="A8859" t="str">
        <f t="shared" si="1"/>
        <v>lso#1978</v>
      </c>
      <c r="B8859" t="str">
        <f>IFERROR(__xludf.DUMMYFUNCTION("""COMPUTED_VALUE"""),"lso")</f>
        <v>lso</v>
      </c>
      <c r="C8859" t="str">
        <f>IFERROR(__xludf.DUMMYFUNCTION("""COMPUTED_VALUE"""),"Lesotho")</f>
        <v>Lesotho</v>
      </c>
      <c r="D8859">
        <f>IFERROR(__xludf.DUMMYFUNCTION("""COMPUTED_VALUE"""),1978.0)</f>
        <v>1978</v>
      </c>
      <c r="E8859">
        <f>IFERROR(__xludf.DUMMYFUNCTION("""COMPUTED_VALUE"""),1243352.0)</f>
        <v>1243352</v>
      </c>
    </row>
    <row r="8860">
      <c r="A8860" t="str">
        <f t="shared" si="1"/>
        <v>lso#1979</v>
      </c>
      <c r="B8860" t="str">
        <f>IFERROR(__xludf.DUMMYFUNCTION("""COMPUTED_VALUE"""),"lso")</f>
        <v>lso</v>
      </c>
      <c r="C8860" t="str">
        <f>IFERROR(__xludf.DUMMYFUNCTION("""COMPUTED_VALUE"""),"Lesotho")</f>
        <v>Lesotho</v>
      </c>
      <c r="D8860">
        <f>IFERROR(__xludf.DUMMYFUNCTION("""COMPUTED_VALUE"""),1979.0)</f>
        <v>1979</v>
      </c>
      <c r="E8860">
        <f>IFERROR(__xludf.DUMMYFUNCTION("""COMPUTED_VALUE"""),1276663.0)</f>
        <v>1276663</v>
      </c>
    </row>
    <row r="8861">
      <c r="A8861" t="str">
        <f t="shared" si="1"/>
        <v>lso#1980</v>
      </c>
      <c r="B8861" t="str">
        <f>IFERROR(__xludf.DUMMYFUNCTION("""COMPUTED_VALUE"""),"lso")</f>
        <v>lso</v>
      </c>
      <c r="C8861" t="str">
        <f>IFERROR(__xludf.DUMMYFUNCTION("""COMPUTED_VALUE"""),"Lesotho")</f>
        <v>Lesotho</v>
      </c>
      <c r="D8861">
        <f>IFERROR(__xludf.DUMMYFUNCTION("""COMPUTED_VALUE"""),1980.0)</f>
        <v>1980</v>
      </c>
      <c r="E8861">
        <f>IFERROR(__xludf.DUMMYFUNCTION("""COMPUTED_VALUE"""),1310118.0)</f>
        <v>1310118</v>
      </c>
    </row>
    <row r="8862">
      <c r="A8862" t="str">
        <f t="shared" si="1"/>
        <v>lso#1981</v>
      </c>
      <c r="B8862" t="str">
        <f>IFERROR(__xludf.DUMMYFUNCTION("""COMPUTED_VALUE"""),"lso")</f>
        <v>lso</v>
      </c>
      <c r="C8862" t="str">
        <f>IFERROR(__xludf.DUMMYFUNCTION("""COMPUTED_VALUE"""),"Lesotho")</f>
        <v>Lesotho</v>
      </c>
      <c r="D8862">
        <f>IFERROR(__xludf.DUMMYFUNCTION("""COMPUTED_VALUE"""),1981.0)</f>
        <v>1981</v>
      </c>
      <c r="E8862">
        <f>IFERROR(__xludf.DUMMYFUNCTION("""COMPUTED_VALUE"""),1343690.0)</f>
        <v>1343690</v>
      </c>
    </row>
    <row r="8863">
      <c r="A8863" t="str">
        <f t="shared" si="1"/>
        <v>lso#1982</v>
      </c>
      <c r="B8863" t="str">
        <f>IFERROR(__xludf.DUMMYFUNCTION("""COMPUTED_VALUE"""),"lso")</f>
        <v>lso</v>
      </c>
      <c r="C8863" t="str">
        <f>IFERROR(__xludf.DUMMYFUNCTION("""COMPUTED_VALUE"""),"Lesotho")</f>
        <v>Lesotho</v>
      </c>
      <c r="D8863">
        <f>IFERROR(__xludf.DUMMYFUNCTION("""COMPUTED_VALUE"""),1982.0)</f>
        <v>1982</v>
      </c>
      <c r="E8863">
        <f>IFERROR(__xludf.DUMMYFUNCTION("""COMPUTED_VALUE"""),1377346.0)</f>
        <v>1377346</v>
      </c>
    </row>
    <row r="8864">
      <c r="A8864" t="str">
        <f t="shared" si="1"/>
        <v>lso#1983</v>
      </c>
      <c r="B8864" t="str">
        <f>IFERROR(__xludf.DUMMYFUNCTION("""COMPUTED_VALUE"""),"lso")</f>
        <v>lso</v>
      </c>
      <c r="C8864" t="str">
        <f>IFERROR(__xludf.DUMMYFUNCTION("""COMPUTED_VALUE"""),"Lesotho")</f>
        <v>Lesotho</v>
      </c>
      <c r="D8864">
        <f>IFERROR(__xludf.DUMMYFUNCTION("""COMPUTED_VALUE"""),1983.0)</f>
        <v>1983</v>
      </c>
      <c r="E8864">
        <f>IFERROR(__xludf.DUMMYFUNCTION("""COMPUTED_VALUE"""),1410439.0)</f>
        <v>1410439</v>
      </c>
    </row>
    <row r="8865">
      <c r="A8865" t="str">
        <f t="shared" si="1"/>
        <v>lso#1984</v>
      </c>
      <c r="B8865" t="str">
        <f>IFERROR(__xludf.DUMMYFUNCTION("""COMPUTED_VALUE"""),"lso")</f>
        <v>lso</v>
      </c>
      <c r="C8865" t="str">
        <f>IFERROR(__xludf.DUMMYFUNCTION("""COMPUTED_VALUE"""),"Lesotho")</f>
        <v>Lesotho</v>
      </c>
      <c r="D8865">
        <f>IFERROR(__xludf.DUMMYFUNCTION("""COMPUTED_VALUE"""),1984.0)</f>
        <v>1984</v>
      </c>
      <c r="E8865">
        <f>IFERROR(__xludf.DUMMYFUNCTION("""COMPUTED_VALUE"""),1442212.0)</f>
        <v>1442212</v>
      </c>
    </row>
    <row r="8866">
      <c r="A8866" t="str">
        <f t="shared" si="1"/>
        <v>lso#1985</v>
      </c>
      <c r="B8866" t="str">
        <f>IFERROR(__xludf.DUMMYFUNCTION("""COMPUTED_VALUE"""),"lso")</f>
        <v>lso</v>
      </c>
      <c r="C8866" t="str">
        <f>IFERROR(__xludf.DUMMYFUNCTION("""COMPUTED_VALUE"""),"Lesotho")</f>
        <v>Lesotho</v>
      </c>
      <c r="D8866">
        <f>IFERROR(__xludf.DUMMYFUNCTION("""COMPUTED_VALUE"""),1985.0)</f>
        <v>1985</v>
      </c>
      <c r="E8866">
        <f>IFERROR(__xludf.DUMMYFUNCTION("""COMPUTED_VALUE"""),1472192.0)</f>
        <v>1472192</v>
      </c>
    </row>
    <row r="8867">
      <c r="A8867" t="str">
        <f t="shared" si="1"/>
        <v>lso#1986</v>
      </c>
      <c r="B8867" t="str">
        <f>IFERROR(__xludf.DUMMYFUNCTION("""COMPUTED_VALUE"""),"lso")</f>
        <v>lso</v>
      </c>
      <c r="C8867" t="str">
        <f>IFERROR(__xludf.DUMMYFUNCTION("""COMPUTED_VALUE"""),"Lesotho")</f>
        <v>Lesotho</v>
      </c>
      <c r="D8867">
        <f>IFERROR(__xludf.DUMMYFUNCTION("""COMPUTED_VALUE"""),1986.0)</f>
        <v>1986</v>
      </c>
      <c r="E8867">
        <f>IFERROR(__xludf.DUMMYFUNCTION("""COMPUTED_VALUE"""),1499861.0)</f>
        <v>1499861</v>
      </c>
    </row>
    <row r="8868">
      <c r="A8868" t="str">
        <f t="shared" si="1"/>
        <v>lso#1987</v>
      </c>
      <c r="B8868" t="str">
        <f>IFERROR(__xludf.DUMMYFUNCTION("""COMPUTED_VALUE"""),"lso")</f>
        <v>lso</v>
      </c>
      <c r="C8868" t="str">
        <f>IFERROR(__xludf.DUMMYFUNCTION("""COMPUTED_VALUE"""),"Lesotho")</f>
        <v>Lesotho</v>
      </c>
      <c r="D8868">
        <f>IFERROR(__xludf.DUMMYFUNCTION("""COMPUTED_VALUE"""),1987.0)</f>
        <v>1987</v>
      </c>
      <c r="E8868">
        <f>IFERROR(__xludf.DUMMYFUNCTION("""COMPUTED_VALUE"""),1525460.0)</f>
        <v>1525460</v>
      </c>
    </row>
    <row r="8869">
      <c r="A8869" t="str">
        <f t="shared" si="1"/>
        <v>lso#1988</v>
      </c>
      <c r="B8869" t="str">
        <f>IFERROR(__xludf.DUMMYFUNCTION("""COMPUTED_VALUE"""),"lso")</f>
        <v>lso</v>
      </c>
      <c r="C8869" t="str">
        <f>IFERROR(__xludf.DUMMYFUNCTION("""COMPUTED_VALUE"""),"Lesotho")</f>
        <v>Lesotho</v>
      </c>
      <c r="D8869">
        <f>IFERROR(__xludf.DUMMYFUNCTION("""COMPUTED_VALUE"""),1988.0)</f>
        <v>1988</v>
      </c>
      <c r="E8869">
        <f>IFERROR(__xludf.DUMMYFUNCTION("""COMPUTED_VALUE"""),1550262.0)</f>
        <v>1550262</v>
      </c>
    </row>
    <row r="8870">
      <c r="A8870" t="str">
        <f t="shared" si="1"/>
        <v>lso#1989</v>
      </c>
      <c r="B8870" t="str">
        <f>IFERROR(__xludf.DUMMYFUNCTION("""COMPUTED_VALUE"""),"lso")</f>
        <v>lso</v>
      </c>
      <c r="C8870" t="str">
        <f>IFERROR(__xludf.DUMMYFUNCTION("""COMPUTED_VALUE"""),"Lesotho")</f>
        <v>Lesotho</v>
      </c>
      <c r="D8870">
        <f>IFERROR(__xludf.DUMMYFUNCTION("""COMPUTED_VALUE"""),1989.0)</f>
        <v>1989</v>
      </c>
      <c r="E8870">
        <f>IFERROR(__xludf.DUMMYFUNCTION("""COMPUTED_VALUE"""),1576022.0)</f>
        <v>1576022</v>
      </c>
    </row>
    <row r="8871">
      <c r="A8871" t="str">
        <f t="shared" si="1"/>
        <v>lso#1990</v>
      </c>
      <c r="B8871" t="str">
        <f>IFERROR(__xludf.DUMMYFUNCTION("""COMPUTED_VALUE"""),"lso")</f>
        <v>lso</v>
      </c>
      <c r="C8871" t="str">
        <f>IFERROR(__xludf.DUMMYFUNCTION("""COMPUTED_VALUE"""),"Lesotho")</f>
        <v>Lesotho</v>
      </c>
      <c r="D8871">
        <f>IFERROR(__xludf.DUMMYFUNCTION("""COMPUTED_VALUE"""),1990.0)</f>
        <v>1990</v>
      </c>
      <c r="E8871">
        <f>IFERROR(__xludf.DUMMYFUNCTION("""COMPUTED_VALUE"""),1603938.0)</f>
        <v>1603938</v>
      </c>
    </row>
    <row r="8872">
      <c r="A8872" t="str">
        <f t="shared" si="1"/>
        <v>lso#1991</v>
      </c>
      <c r="B8872" t="str">
        <f>IFERROR(__xludf.DUMMYFUNCTION("""COMPUTED_VALUE"""),"lso")</f>
        <v>lso</v>
      </c>
      <c r="C8872" t="str">
        <f>IFERROR(__xludf.DUMMYFUNCTION("""COMPUTED_VALUE"""),"Lesotho")</f>
        <v>Lesotho</v>
      </c>
      <c r="D8872">
        <f>IFERROR(__xludf.DUMMYFUNCTION("""COMPUTED_VALUE"""),1991.0)</f>
        <v>1991</v>
      </c>
      <c r="E8872">
        <f>IFERROR(__xludf.DUMMYFUNCTION("""COMPUTED_VALUE"""),1634517.0)</f>
        <v>1634517</v>
      </c>
    </row>
    <row r="8873">
      <c r="A8873" t="str">
        <f t="shared" si="1"/>
        <v>lso#1992</v>
      </c>
      <c r="B8873" t="str">
        <f>IFERROR(__xludf.DUMMYFUNCTION("""COMPUTED_VALUE"""),"lso")</f>
        <v>lso</v>
      </c>
      <c r="C8873" t="str">
        <f>IFERROR(__xludf.DUMMYFUNCTION("""COMPUTED_VALUE"""),"Lesotho")</f>
        <v>Lesotho</v>
      </c>
      <c r="D8873">
        <f>IFERROR(__xludf.DUMMYFUNCTION("""COMPUTED_VALUE"""),1992.0)</f>
        <v>1992</v>
      </c>
      <c r="E8873">
        <f>IFERROR(__xludf.DUMMYFUNCTION("""COMPUTED_VALUE"""),1667121.0)</f>
        <v>1667121</v>
      </c>
    </row>
    <row r="8874">
      <c r="A8874" t="str">
        <f t="shared" si="1"/>
        <v>lso#1993</v>
      </c>
      <c r="B8874" t="str">
        <f>IFERROR(__xludf.DUMMYFUNCTION("""COMPUTED_VALUE"""),"lso")</f>
        <v>lso</v>
      </c>
      <c r="C8874" t="str">
        <f>IFERROR(__xludf.DUMMYFUNCTION("""COMPUTED_VALUE"""),"Lesotho")</f>
        <v>Lesotho</v>
      </c>
      <c r="D8874">
        <f>IFERROR(__xludf.DUMMYFUNCTION("""COMPUTED_VALUE"""),1993.0)</f>
        <v>1993</v>
      </c>
      <c r="E8874">
        <f>IFERROR(__xludf.DUMMYFUNCTION("""COMPUTED_VALUE"""),1700362.0)</f>
        <v>1700362</v>
      </c>
    </row>
    <row r="8875">
      <c r="A8875" t="str">
        <f t="shared" si="1"/>
        <v>lso#1994</v>
      </c>
      <c r="B8875" t="str">
        <f>IFERROR(__xludf.DUMMYFUNCTION("""COMPUTED_VALUE"""),"lso")</f>
        <v>lso</v>
      </c>
      <c r="C8875" t="str">
        <f>IFERROR(__xludf.DUMMYFUNCTION("""COMPUTED_VALUE"""),"Lesotho")</f>
        <v>Lesotho</v>
      </c>
      <c r="D8875">
        <f>IFERROR(__xludf.DUMMYFUNCTION("""COMPUTED_VALUE"""),1994.0)</f>
        <v>1994</v>
      </c>
      <c r="E8875">
        <f>IFERROR(__xludf.DUMMYFUNCTION("""COMPUTED_VALUE"""),1732257.0)</f>
        <v>1732257</v>
      </c>
    </row>
    <row r="8876">
      <c r="A8876" t="str">
        <f t="shared" si="1"/>
        <v>lso#1995</v>
      </c>
      <c r="B8876" t="str">
        <f>IFERROR(__xludf.DUMMYFUNCTION("""COMPUTED_VALUE"""),"lso")</f>
        <v>lso</v>
      </c>
      <c r="C8876" t="str">
        <f>IFERROR(__xludf.DUMMYFUNCTION("""COMPUTED_VALUE"""),"Lesotho")</f>
        <v>Lesotho</v>
      </c>
      <c r="D8876">
        <f>IFERROR(__xludf.DUMMYFUNCTION("""COMPUTED_VALUE"""),1995.0)</f>
        <v>1995</v>
      </c>
      <c r="E8876">
        <f>IFERROR(__xludf.DUMMYFUNCTION("""COMPUTED_VALUE"""),1761359.0)</f>
        <v>1761359</v>
      </c>
    </row>
    <row r="8877">
      <c r="A8877" t="str">
        <f t="shared" si="1"/>
        <v>lso#1996</v>
      </c>
      <c r="B8877" t="str">
        <f>IFERROR(__xludf.DUMMYFUNCTION("""COMPUTED_VALUE"""),"lso")</f>
        <v>lso</v>
      </c>
      <c r="C8877" t="str">
        <f>IFERROR(__xludf.DUMMYFUNCTION("""COMPUTED_VALUE"""),"Lesotho")</f>
        <v>Lesotho</v>
      </c>
      <c r="D8877">
        <f>IFERROR(__xludf.DUMMYFUNCTION("""COMPUTED_VALUE"""),1996.0)</f>
        <v>1996</v>
      </c>
      <c r="E8877">
        <f>IFERROR(__xludf.DUMMYFUNCTION("""COMPUTED_VALUE"""),1787273.0)</f>
        <v>1787273</v>
      </c>
    </row>
    <row r="8878">
      <c r="A8878" t="str">
        <f t="shared" si="1"/>
        <v>lso#1997</v>
      </c>
      <c r="B8878" t="str">
        <f>IFERROR(__xludf.DUMMYFUNCTION("""COMPUTED_VALUE"""),"lso")</f>
        <v>lso</v>
      </c>
      <c r="C8878" t="str">
        <f>IFERROR(__xludf.DUMMYFUNCTION("""COMPUTED_VALUE"""),"Lesotho")</f>
        <v>Lesotho</v>
      </c>
      <c r="D8878">
        <f>IFERROR(__xludf.DUMMYFUNCTION("""COMPUTED_VALUE"""),1997.0)</f>
        <v>1997</v>
      </c>
      <c r="E8878">
        <f>IFERROR(__xludf.DUMMYFUNCTION("""COMPUTED_VALUE"""),1810453.0)</f>
        <v>1810453</v>
      </c>
    </row>
    <row r="8879">
      <c r="A8879" t="str">
        <f t="shared" si="1"/>
        <v>lso#1998</v>
      </c>
      <c r="B8879" t="str">
        <f>IFERROR(__xludf.DUMMYFUNCTION("""COMPUTED_VALUE"""),"lso")</f>
        <v>lso</v>
      </c>
      <c r="C8879" t="str">
        <f>IFERROR(__xludf.DUMMYFUNCTION("""COMPUTED_VALUE"""),"Lesotho")</f>
        <v>Lesotho</v>
      </c>
      <c r="D8879">
        <f>IFERROR(__xludf.DUMMYFUNCTION("""COMPUTED_VALUE"""),1998.0)</f>
        <v>1998</v>
      </c>
      <c r="E8879">
        <f>IFERROR(__xludf.DUMMYFUNCTION("""COMPUTED_VALUE"""),1831298.0)</f>
        <v>1831298</v>
      </c>
    </row>
    <row r="8880">
      <c r="A8880" t="str">
        <f t="shared" si="1"/>
        <v>lso#1999</v>
      </c>
      <c r="B8880" t="str">
        <f>IFERROR(__xludf.DUMMYFUNCTION("""COMPUTED_VALUE"""),"lso")</f>
        <v>lso</v>
      </c>
      <c r="C8880" t="str">
        <f>IFERROR(__xludf.DUMMYFUNCTION("""COMPUTED_VALUE"""),"Lesotho")</f>
        <v>Lesotho</v>
      </c>
      <c r="D8880">
        <f>IFERROR(__xludf.DUMMYFUNCTION("""COMPUTED_VALUE"""),1999.0)</f>
        <v>1999</v>
      </c>
      <c r="E8880">
        <f>IFERROR(__xludf.DUMMYFUNCTION("""COMPUTED_VALUE"""),1850527.0)</f>
        <v>1850527</v>
      </c>
    </row>
    <row r="8881">
      <c r="A8881" t="str">
        <f t="shared" si="1"/>
        <v>lso#2000</v>
      </c>
      <c r="B8881" t="str">
        <f>IFERROR(__xludf.DUMMYFUNCTION("""COMPUTED_VALUE"""),"lso")</f>
        <v>lso</v>
      </c>
      <c r="C8881" t="str">
        <f>IFERROR(__xludf.DUMMYFUNCTION("""COMPUTED_VALUE"""),"Lesotho")</f>
        <v>Lesotho</v>
      </c>
      <c r="D8881">
        <f>IFERROR(__xludf.DUMMYFUNCTION("""COMPUTED_VALUE"""),2000.0)</f>
        <v>2000</v>
      </c>
      <c r="E8881">
        <f>IFERROR(__xludf.DUMMYFUNCTION("""COMPUTED_VALUE"""),1868699.0)</f>
        <v>1868699</v>
      </c>
    </row>
    <row r="8882">
      <c r="A8882" t="str">
        <f t="shared" si="1"/>
        <v>lso#2001</v>
      </c>
      <c r="B8882" t="str">
        <f>IFERROR(__xludf.DUMMYFUNCTION("""COMPUTED_VALUE"""),"lso")</f>
        <v>lso</v>
      </c>
      <c r="C8882" t="str">
        <f>IFERROR(__xludf.DUMMYFUNCTION("""COMPUTED_VALUE"""),"Lesotho")</f>
        <v>Lesotho</v>
      </c>
      <c r="D8882">
        <f>IFERROR(__xludf.DUMMYFUNCTION("""COMPUTED_VALUE"""),2001.0)</f>
        <v>2001</v>
      </c>
      <c r="E8882">
        <f>IFERROR(__xludf.DUMMYFUNCTION("""COMPUTED_VALUE"""),1885955.0)</f>
        <v>1885955</v>
      </c>
    </row>
    <row r="8883">
      <c r="A8883" t="str">
        <f t="shared" si="1"/>
        <v>lso#2002</v>
      </c>
      <c r="B8883" t="str">
        <f>IFERROR(__xludf.DUMMYFUNCTION("""COMPUTED_VALUE"""),"lso")</f>
        <v>lso</v>
      </c>
      <c r="C8883" t="str">
        <f>IFERROR(__xludf.DUMMYFUNCTION("""COMPUTED_VALUE"""),"Lesotho")</f>
        <v>Lesotho</v>
      </c>
      <c r="D8883">
        <f>IFERROR(__xludf.DUMMYFUNCTION("""COMPUTED_VALUE"""),2002.0)</f>
        <v>2002</v>
      </c>
      <c r="E8883">
        <f>IFERROR(__xludf.DUMMYFUNCTION("""COMPUTED_VALUE"""),1902312.0)</f>
        <v>1902312</v>
      </c>
    </row>
    <row r="8884">
      <c r="A8884" t="str">
        <f t="shared" si="1"/>
        <v>lso#2003</v>
      </c>
      <c r="B8884" t="str">
        <f>IFERROR(__xludf.DUMMYFUNCTION("""COMPUTED_VALUE"""),"lso")</f>
        <v>lso</v>
      </c>
      <c r="C8884" t="str">
        <f>IFERROR(__xludf.DUMMYFUNCTION("""COMPUTED_VALUE"""),"Lesotho")</f>
        <v>Lesotho</v>
      </c>
      <c r="D8884">
        <f>IFERROR(__xludf.DUMMYFUNCTION("""COMPUTED_VALUE"""),2003.0)</f>
        <v>2003</v>
      </c>
      <c r="E8884">
        <f>IFERROR(__xludf.DUMMYFUNCTION("""COMPUTED_VALUE"""),1918097.0)</f>
        <v>1918097</v>
      </c>
    </row>
    <row r="8885">
      <c r="A8885" t="str">
        <f t="shared" si="1"/>
        <v>lso#2004</v>
      </c>
      <c r="B8885" t="str">
        <f>IFERROR(__xludf.DUMMYFUNCTION("""COMPUTED_VALUE"""),"lso")</f>
        <v>lso</v>
      </c>
      <c r="C8885" t="str">
        <f>IFERROR(__xludf.DUMMYFUNCTION("""COMPUTED_VALUE"""),"Lesotho")</f>
        <v>Lesotho</v>
      </c>
      <c r="D8885">
        <f>IFERROR(__xludf.DUMMYFUNCTION("""COMPUTED_VALUE"""),2004.0)</f>
        <v>2004</v>
      </c>
      <c r="E8885">
        <f>IFERROR(__xludf.DUMMYFUNCTION("""COMPUTED_VALUE"""),1933728.0)</f>
        <v>1933728</v>
      </c>
    </row>
    <row r="8886">
      <c r="A8886" t="str">
        <f t="shared" si="1"/>
        <v>lso#2005</v>
      </c>
      <c r="B8886" t="str">
        <f>IFERROR(__xludf.DUMMYFUNCTION("""COMPUTED_VALUE"""),"lso")</f>
        <v>lso</v>
      </c>
      <c r="C8886" t="str">
        <f>IFERROR(__xludf.DUMMYFUNCTION("""COMPUTED_VALUE"""),"Lesotho")</f>
        <v>Lesotho</v>
      </c>
      <c r="D8886">
        <f>IFERROR(__xludf.DUMMYFUNCTION("""COMPUTED_VALUE"""),2005.0)</f>
        <v>2005</v>
      </c>
      <c r="E8886">
        <f>IFERROR(__xludf.DUMMYFUNCTION("""COMPUTED_VALUE"""),1949543.0)</f>
        <v>1949543</v>
      </c>
    </row>
    <row r="8887">
      <c r="A8887" t="str">
        <f t="shared" si="1"/>
        <v>lso#2006</v>
      </c>
      <c r="B8887" t="str">
        <f>IFERROR(__xludf.DUMMYFUNCTION("""COMPUTED_VALUE"""),"lso")</f>
        <v>lso</v>
      </c>
      <c r="C8887" t="str">
        <f>IFERROR(__xludf.DUMMYFUNCTION("""COMPUTED_VALUE"""),"Lesotho")</f>
        <v>Lesotho</v>
      </c>
      <c r="D8887">
        <f>IFERROR(__xludf.DUMMYFUNCTION("""COMPUTED_VALUE"""),2006.0)</f>
        <v>2006</v>
      </c>
      <c r="E8887">
        <f>IFERROR(__xludf.DUMMYFUNCTION("""COMPUTED_VALUE"""),1965662.0)</f>
        <v>1965662</v>
      </c>
    </row>
    <row r="8888">
      <c r="A8888" t="str">
        <f t="shared" si="1"/>
        <v>lso#2007</v>
      </c>
      <c r="B8888" t="str">
        <f>IFERROR(__xludf.DUMMYFUNCTION("""COMPUTED_VALUE"""),"lso")</f>
        <v>lso</v>
      </c>
      <c r="C8888" t="str">
        <f>IFERROR(__xludf.DUMMYFUNCTION("""COMPUTED_VALUE"""),"Lesotho")</f>
        <v>Lesotho</v>
      </c>
      <c r="D8888">
        <f>IFERROR(__xludf.DUMMYFUNCTION("""COMPUTED_VALUE"""),2007.0)</f>
        <v>2007</v>
      </c>
      <c r="E8888">
        <f>IFERROR(__xludf.DUMMYFUNCTION("""COMPUTED_VALUE"""),1982287.0)</f>
        <v>1982287</v>
      </c>
    </row>
    <row r="8889">
      <c r="A8889" t="str">
        <f t="shared" si="1"/>
        <v>lso#2008</v>
      </c>
      <c r="B8889" t="str">
        <f>IFERROR(__xludf.DUMMYFUNCTION("""COMPUTED_VALUE"""),"lso")</f>
        <v>lso</v>
      </c>
      <c r="C8889" t="str">
        <f>IFERROR(__xludf.DUMMYFUNCTION("""COMPUTED_VALUE"""),"Lesotho")</f>
        <v>Lesotho</v>
      </c>
      <c r="D8889">
        <f>IFERROR(__xludf.DUMMYFUNCTION("""COMPUTED_VALUE"""),2008.0)</f>
        <v>2008</v>
      </c>
      <c r="E8889">
        <f>IFERROR(__xludf.DUMMYFUNCTION("""COMPUTED_VALUE"""),1999930.0)</f>
        <v>1999930</v>
      </c>
    </row>
    <row r="8890">
      <c r="A8890" t="str">
        <f t="shared" si="1"/>
        <v>lso#2009</v>
      </c>
      <c r="B8890" t="str">
        <f>IFERROR(__xludf.DUMMYFUNCTION("""COMPUTED_VALUE"""),"lso")</f>
        <v>lso</v>
      </c>
      <c r="C8890" t="str">
        <f>IFERROR(__xludf.DUMMYFUNCTION("""COMPUTED_VALUE"""),"Lesotho")</f>
        <v>Lesotho</v>
      </c>
      <c r="D8890">
        <f>IFERROR(__xludf.DUMMYFUNCTION("""COMPUTED_VALUE"""),2009.0)</f>
        <v>2009</v>
      </c>
      <c r="E8890">
        <f>IFERROR(__xludf.DUMMYFUNCTION("""COMPUTED_VALUE"""),2019209.0)</f>
        <v>2019209</v>
      </c>
    </row>
    <row r="8891">
      <c r="A8891" t="str">
        <f t="shared" si="1"/>
        <v>lso#2010</v>
      </c>
      <c r="B8891" t="str">
        <f>IFERROR(__xludf.DUMMYFUNCTION("""COMPUTED_VALUE"""),"lso")</f>
        <v>lso</v>
      </c>
      <c r="C8891" t="str">
        <f>IFERROR(__xludf.DUMMYFUNCTION("""COMPUTED_VALUE"""),"Lesotho")</f>
        <v>Lesotho</v>
      </c>
      <c r="D8891">
        <f>IFERROR(__xludf.DUMMYFUNCTION("""COMPUTED_VALUE"""),2010.0)</f>
        <v>2010</v>
      </c>
      <c r="E8891">
        <f>IFERROR(__xludf.DUMMYFUNCTION("""COMPUTED_VALUE"""),2040551.0)</f>
        <v>2040551</v>
      </c>
    </row>
    <row r="8892">
      <c r="A8892" t="str">
        <f t="shared" si="1"/>
        <v>lso#2011</v>
      </c>
      <c r="B8892" t="str">
        <f>IFERROR(__xludf.DUMMYFUNCTION("""COMPUTED_VALUE"""),"lso")</f>
        <v>lso</v>
      </c>
      <c r="C8892" t="str">
        <f>IFERROR(__xludf.DUMMYFUNCTION("""COMPUTED_VALUE"""),"Lesotho")</f>
        <v>Lesotho</v>
      </c>
      <c r="D8892">
        <f>IFERROR(__xludf.DUMMYFUNCTION("""COMPUTED_VALUE"""),2011.0)</f>
        <v>2011</v>
      </c>
      <c r="E8892">
        <f>IFERROR(__xludf.DUMMYFUNCTION("""COMPUTED_VALUE"""),2064166.0)</f>
        <v>2064166</v>
      </c>
    </row>
    <row r="8893">
      <c r="A8893" t="str">
        <f t="shared" si="1"/>
        <v>lso#2012</v>
      </c>
      <c r="B8893" t="str">
        <f>IFERROR(__xludf.DUMMYFUNCTION("""COMPUTED_VALUE"""),"lso")</f>
        <v>lso</v>
      </c>
      <c r="C8893" t="str">
        <f>IFERROR(__xludf.DUMMYFUNCTION("""COMPUTED_VALUE"""),"Lesotho")</f>
        <v>Lesotho</v>
      </c>
      <c r="D8893">
        <f>IFERROR(__xludf.DUMMYFUNCTION("""COMPUTED_VALUE"""),2012.0)</f>
        <v>2012</v>
      </c>
      <c r="E8893">
        <f>IFERROR(__xludf.DUMMYFUNCTION("""COMPUTED_VALUE"""),2089928.0)</f>
        <v>2089928</v>
      </c>
    </row>
    <row r="8894">
      <c r="A8894" t="str">
        <f t="shared" si="1"/>
        <v>lso#2013</v>
      </c>
      <c r="B8894" t="str">
        <f>IFERROR(__xludf.DUMMYFUNCTION("""COMPUTED_VALUE"""),"lso")</f>
        <v>lso</v>
      </c>
      <c r="C8894" t="str">
        <f>IFERROR(__xludf.DUMMYFUNCTION("""COMPUTED_VALUE"""),"Lesotho")</f>
        <v>Lesotho</v>
      </c>
      <c r="D8894">
        <f>IFERROR(__xludf.DUMMYFUNCTION("""COMPUTED_VALUE"""),2013.0)</f>
        <v>2013</v>
      </c>
      <c r="E8894">
        <f>IFERROR(__xludf.DUMMYFUNCTION("""COMPUTED_VALUE"""),2117361.0)</f>
        <v>2117361</v>
      </c>
    </row>
    <row r="8895">
      <c r="A8895" t="str">
        <f t="shared" si="1"/>
        <v>lso#2014</v>
      </c>
      <c r="B8895" t="str">
        <f>IFERROR(__xludf.DUMMYFUNCTION("""COMPUTED_VALUE"""),"lso")</f>
        <v>lso</v>
      </c>
      <c r="C8895" t="str">
        <f>IFERROR(__xludf.DUMMYFUNCTION("""COMPUTED_VALUE"""),"Lesotho")</f>
        <v>Lesotho</v>
      </c>
      <c r="D8895">
        <f>IFERROR(__xludf.DUMMYFUNCTION("""COMPUTED_VALUE"""),2014.0)</f>
        <v>2014</v>
      </c>
      <c r="E8895">
        <f>IFERROR(__xludf.DUMMYFUNCTION("""COMPUTED_VALUE"""),2145785.0)</f>
        <v>2145785</v>
      </c>
    </row>
    <row r="8896">
      <c r="A8896" t="str">
        <f t="shared" si="1"/>
        <v>lso#2015</v>
      </c>
      <c r="B8896" t="str">
        <f>IFERROR(__xludf.DUMMYFUNCTION("""COMPUTED_VALUE"""),"lso")</f>
        <v>lso</v>
      </c>
      <c r="C8896" t="str">
        <f>IFERROR(__xludf.DUMMYFUNCTION("""COMPUTED_VALUE"""),"Lesotho")</f>
        <v>Lesotho</v>
      </c>
      <c r="D8896">
        <f>IFERROR(__xludf.DUMMYFUNCTION("""COMPUTED_VALUE"""),2015.0)</f>
        <v>2015</v>
      </c>
      <c r="E8896">
        <f>IFERROR(__xludf.DUMMYFUNCTION("""COMPUTED_VALUE"""),2174645.0)</f>
        <v>2174645</v>
      </c>
    </row>
    <row r="8897">
      <c r="A8897" t="str">
        <f t="shared" si="1"/>
        <v>lso#2016</v>
      </c>
      <c r="B8897" t="str">
        <f>IFERROR(__xludf.DUMMYFUNCTION("""COMPUTED_VALUE"""),"lso")</f>
        <v>lso</v>
      </c>
      <c r="C8897" t="str">
        <f>IFERROR(__xludf.DUMMYFUNCTION("""COMPUTED_VALUE"""),"Lesotho")</f>
        <v>Lesotho</v>
      </c>
      <c r="D8897">
        <f>IFERROR(__xludf.DUMMYFUNCTION("""COMPUTED_VALUE"""),2016.0)</f>
        <v>2016</v>
      </c>
      <c r="E8897">
        <f>IFERROR(__xludf.DUMMYFUNCTION("""COMPUTED_VALUE"""),2203821.0)</f>
        <v>2203821</v>
      </c>
    </row>
    <row r="8898">
      <c r="A8898" t="str">
        <f t="shared" si="1"/>
        <v>lso#2017</v>
      </c>
      <c r="B8898" t="str">
        <f>IFERROR(__xludf.DUMMYFUNCTION("""COMPUTED_VALUE"""),"lso")</f>
        <v>lso</v>
      </c>
      <c r="C8898" t="str">
        <f>IFERROR(__xludf.DUMMYFUNCTION("""COMPUTED_VALUE"""),"Lesotho")</f>
        <v>Lesotho</v>
      </c>
      <c r="D8898">
        <f>IFERROR(__xludf.DUMMYFUNCTION("""COMPUTED_VALUE"""),2017.0)</f>
        <v>2017</v>
      </c>
      <c r="E8898">
        <f>IFERROR(__xludf.DUMMYFUNCTION("""COMPUTED_VALUE"""),2233339.0)</f>
        <v>2233339</v>
      </c>
    </row>
    <row r="8899">
      <c r="A8899" t="str">
        <f t="shared" si="1"/>
        <v>lso#2018</v>
      </c>
      <c r="B8899" t="str">
        <f>IFERROR(__xludf.DUMMYFUNCTION("""COMPUTED_VALUE"""),"lso")</f>
        <v>lso</v>
      </c>
      <c r="C8899" t="str">
        <f>IFERROR(__xludf.DUMMYFUNCTION("""COMPUTED_VALUE"""),"Lesotho")</f>
        <v>Lesotho</v>
      </c>
      <c r="D8899">
        <f>IFERROR(__xludf.DUMMYFUNCTION("""COMPUTED_VALUE"""),2018.0)</f>
        <v>2018</v>
      </c>
      <c r="E8899">
        <f>IFERROR(__xludf.DUMMYFUNCTION("""COMPUTED_VALUE"""),2263010.0)</f>
        <v>2263010</v>
      </c>
    </row>
    <row r="8900">
      <c r="A8900" t="str">
        <f t="shared" si="1"/>
        <v>lso#2019</v>
      </c>
      <c r="B8900" t="str">
        <f>IFERROR(__xludf.DUMMYFUNCTION("""COMPUTED_VALUE"""),"lso")</f>
        <v>lso</v>
      </c>
      <c r="C8900" t="str">
        <f>IFERROR(__xludf.DUMMYFUNCTION("""COMPUTED_VALUE"""),"Lesotho")</f>
        <v>Lesotho</v>
      </c>
      <c r="D8900">
        <f>IFERROR(__xludf.DUMMYFUNCTION("""COMPUTED_VALUE"""),2019.0)</f>
        <v>2019</v>
      </c>
      <c r="E8900">
        <f>IFERROR(__xludf.DUMMYFUNCTION("""COMPUTED_VALUE"""),2292682.0)</f>
        <v>2292682</v>
      </c>
    </row>
    <row r="8901">
      <c r="A8901" t="str">
        <f t="shared" si="1"/>
        <v>lso#2020</v>
      </c>
      <c r="B8901" t="str">
        <f>IFERROR(__xludf.DUMMYFUNCTION("""COMPUTED_VALUE"""),"lso")</f>
        <v>lso</v>
      </c>
      <c r="C8901" t="str">
        <f>IFERROR(__xludf.DUMMYFUNCTION("""COMPUTED_VALUE"""),"Lesotho")</f>
        <v>Lesotho</v>
      </c>
      <c r="D8901">
        <f>IFERROR(__xludf.DUMMYFUNCTION("""COMPUTED_VALUE"""),2020.0)</f>
        <v>2020</v>
      </c>
      <c r="E8901">
        <f>IFERROR(__xludf.DUMMYFUNCTION("""COMPUTED_VALUE"""),2322217.0)</f>
        <v>2322217</v>
      </c>
    </row>
    <row r="8902">
      <c r="A8902" t="str">
        <f t="shared" si="1"/>
        <v>lso#2021</v>
      </c>
      <c r="B8902" t="str">
        <f>IFERROR(__xludf.DUMMYFUNCTION("""COMPUTED_VALUE"""),"lso")</f>
        <v>lso</v>
      </c>
      <c r="C8902" t="str">
        <f>IFERROR(__xludf.DUMMYFUNCTION("""COMPUTED_VALUE"""),"Lesotho")</f>
        <v>Lesotho</v>
      </c>
      <c r="D8902">
        <f>IFERROR(__xludf.DUMMYFUNCTION("""COMPUTED_VALUE"""),2021.0)</f>
        <v>2021</v>
      </c>
      <c r="E8902">
        <f>IFERROR(__xludf.DUMMYFUNCTION("""COMPUTED_VALUE"""),2351503.0)</f>
        <v>2351503</v>
      </c>
    </row>
    <row r="8903">
      <c r="A8903" t="str">
        <f t="shared" si="1"/>
        <v>lso#2022</v>
      </c>
      <c r="B8903" t="str">
        <f>IFERROR(__xludf.DUMMYFUNCTION("""COMPUTED_VALUE"""),"lso")</f>
        <v>lso</v>
      </c>
      <c r="C8903" t="str">
        <f>IFERROR(__xludf.DUMMYFUNCTION("""COMPUTED_VALUE"""),"Lesotho")</f>
        <v>Lesotho</v>
      </c>
      <c r="D8903">
        <f>IFERROR(__xludf.DUMMYFUNCTION("""COMPUTED_VALUE"""),2022.0)</f>
        <v>2022</v>
      </c>
      <c r="E8903">
        <f>IFERROR(__xludf.DUMMYFUNCTION("""COMPUTED_VALUE"""),2380501.0)</f>
        <v>2380501</v>
      </c>
    </row>
    <row r="8904">
      <c r="A8904" t="str">
        <f t="shared" si="1"/>
        <v>lso#2023</v>
      </c>
      <c r="B8904" t="str">
        <f>IFERROR(__xludf.DUMMYFUNCTION("""COMPUTED_VALUE"""),"lso")</f>
        <v>lso</v>
      </c>
      <c r="C8904" t="str">
        <f>IFERROR(__xludf.DUMMYFUNCTION("""COMPUTED_VALUE"""),"Lesotho")</f>
        <v>Lesotho</v>
      </c>
      <c r="D8904">
        <f>IFERROR(__xludf.DUMMYFUNCTION("""COMPUTED_VALUE"""),2023.0)</f>
        <v>2023</v>
      </c>
      <c r="E8904">
        <f>IFERROR(__xludf.DUMMYFUNCTION("""COMPUTED_VALUE"""),2409247.0)</f>
        <v>2409247</v>
      </c>
    </row>
    <row r="8905">
      <c r="A8905" t="str">
        <f t="shared" si="1"/>
        <v>lso#2024</v>
      </c>
      <c r="B8905" t="str">
        <f>IFERROR(__xludf.DUMMYFUNCTION("""COMPUTED_VALUE"""),"lso")</f>
        <v>lso</v>
      </c>
      <c r="C8905" t="str">
        <f>IFERROR(__xludf.DUMMYFUNCTION("""COMPUTED_VALUE"""),"Lesotho")</f>
        <v>Lesotho</v>
      </c>
      <c r="D8905">
        <f>IFERROR(__xludf.DUMMYFUNCTION("""COMPUTED_VALUE"""),2024.0)</f>
        <v>2024</v>
      </c>
      <c r="E8905">
        <f>IFERROR(__xludf.DUMMYFUNCTION("""COMPUTED_VALUE"""),2437840.0)</f>
        <v>2437840</v>
      </c>
    </row>
    <row r="8906">
      <c r="A8906" t="str">
        <f t="shared" si="1"/>
        <v>lso#2025</v>
      </c>
      <c r="B8906" t="str">
        <f>IFERROR(__xludf.DUMMYFUNCTION("""COMPUTED_VALUE"""),"lso")</f>
        <v>lso</v>
      </c>
      <c r="C8906" t="str">
        <f>IFERROR(__xludf.DUMMYFUNCTION("""COMPUTED_VALUE"""),"Lesotho")</f>
        <v>Lesotho</v>
      </c>
      <c r="D8906">
        <f>IFERROR(__xludf.DUMMYFUNCTION("""COMPUTED_VALUE"""),2025.0)</f>
        <v>2025</v>
      </c>
      <c r="E8906">
        <f>IFERROR(__xludf.DUMMYFUNCTION("""COMPUTED_VALUE"""),2466330.0)</f>
        <v>2466330</v>
      </c>
    </row>
    <row r="8907">
      <c r="A8907" t="str">
        <f t="shared" si="1"/>
        <v>lso#2026</v>
      </c>
      <c r="B8907" t="str">
        <f>IFERROR(__xludf.DUMMYFUNCTION("""COMPUTED_VALUE"""),"lso")</f>
        <v>lso</v>
      </c>
      <c r="C8907" t="str">
        <f>IFERROR(__xludf.DUMMYFUNCTION("""COMPUTED_VALUE"""),"Lesotho")</f>
        <v>Lesotho</v>
      </c>
      <c r="D8907">
        <f>IFERROR(__xludf.DUMMYFUNCTION("""COMPUTED_VALUE"""),2026.0)</f>
        <v>2026</v>
      </c>
      <c r="E8907">
        <f>IFERROR(__xludf.DUMMYFUNCTION("""COMPUTED_VALUE"""),2494720.0)</f>
        <v>2494720</v>
      </c>
    </row>
    <row r="8908">
      <c r="A8908" t="str">
        <f t="shared" si="1"/>
        <v>lso#2027</v>
      </c>
      <c r="B8908" t="str">
        <f>IFERROR(__xludf.DUMMYFUNCTION("""COMPUTED_VALUE"""),"lso")</f>
        <v>lso</v>
      </c>
      <c r="C8908" t="str">
        <f>IFERROR(__xludf.DUMMYFUNCTION("""COMPUTED_VALUE"""),"Lesotho")</f>
        <v>Lesotho</v>
      </c>
      <c r="D8908">
        <f>IFERROR(__xludf.DUMMYFUNCTION("""COMPUTED_VALUE"""),2027.0)</f>
        <v>2027</v>
      </c>
      <c r="E8908">
        <f>IFERROR(__xludf.DUMMYFUNCTION("""COMPUTED_VALUE"""),2523002.0)</f>
        <v>2523002</v>
      </c>
    </row>
    <row r="8909">
      <c r="A8909" t="str">
        <f t="shared" si="1"/>
        <v>lso#2028</v>
      </c>
      <c r="B8909" t="str">
        <f>IFERROR(__xludf.DUMMYFUNCTION("""COMPUTED_VALUE"""),"lso")</f>
        <v>lso</v>
      </c>
      <c r="C8909" t="str">
        <f>IFERROR(__xludf.DUMMYFUNCTION("""COMPUTED_VALUE"""),"Lesotho")</f>
        <v>Lesotho</v>
      </c>
      <c r="D8909">
        <f>IFERROR(__xludf.DUMMYFUNCTION("""COMPUTED_VALUE"""),2028.0)</f>
        <v>2028</v>
      </c>
      <c r="E8909">
        <f>IFERROR(__xludf.DUMMYFUNCTION("""COMPUTED_VALUE"""),2551249.0)</f>
        <v>2551249</v>
      </c>
    </row>
    <row r="8910">
      <c r="A8910" t="str">
        <f t="shared" si="1"/>
        <v>lso#2029</v>
      </c>
      <c r="B8910" t="str">
        <f>IFERROR(__xludf.DUMMYFUNCTION("""COMPUTED_VALUE"""),"lso")</f>
        <v>lso</v>
      </c>
      <c r="C8910" t="str">
        <f>IFERROR(__xludf.DUMMYFUNCTION("""COMPUTED_VALUE"""),"Lesotho")</f>
        <v>Lesotho</v>
      </c>
      <c r="D8910">
        <f>IFERROR(__xludf.DUMMYFUNCTION("""COMPUTED_VALUE"""),2029.0)</f>
        <v>2029</v>
      </c>
      <c r="E8910">
        <f>IFERROR(__xludf.DUMMYFUNCTION("""COMPUTED_VALUE"""),2579543.0)</f>
        <v>2579543</v>
      </c>
    </row>
    <row r="8911">
      <c r="A8911" t="str">
        <f t="shared" si="1"/>
        <v>lso#2030</v>
      </c>
      <c r="B8911" t="str">
        <f>IFERROR(__xludf.DUMMYFUNCTION("""COMPUTED_VALUE"""),"lso")</f>
        <v>lso</v>
      </c>
      <c r="C8911" t="str">
        <f>IFERROR(__xludf.DUMMYFUNCTION("""COMPUTED_VALUE"""),"Lesotho")</f>
        <v>Lesotho</v>
      </c>
      <c r="D8911">
        <f>IFERROR(__xludf.DUMMYFUNCTION("""COMPUTED_VALUE"""),2030.0)</f>
        <v>2030</v>
      </c>
      <c r="E8911">
        <f>IFERROR(__xludf.DUMMYFUNCTION("""COMPUTED_VALUE"""),2607957.0)</f>
        <v>2607957</v>
      </c>
    </row>
    <row r="8912">
      <c r="A8912" t="str">
        <f t="shared" si="1"/>
        <v>lso#2031</v>
      </c>
      <c r="B8912" t="str">
        <f>IFERROR(__xludf.DUMMYFUNCTION("""COMPUTED_VALUE"""),"lso")</f>
        <v>lso</v>
      </c>
      <c r="C8912" t="str">
        <f>IFERROR(__xludf.DUMMYFUNCTION("""COMPUTED_VALUE"""),"Lesotho")</f>
        <v>Lesotho</v>
      </c>
      <c r="D8912">
        <f>IFERROR(__xludf.DUMMYFUNCTION("""COMPUTED_VALUE"""),2031.0)</f>
        <v>2031</v>
      </c>
      <c r="E8912">
        <f>IFERROR(__xludf.DUMMYFUNCTION("""COMPUTED_VALUE"""),2636529.0)</f>
        <v>2636529</v>
      </c>
    </row>
    <row r="8913">
      <c r="A8913" t="str">
        <f t="shared" si="1"/>
        <v>lso#2032</v>
      </c>
      <c r="B8913" t="str">
        <f>IFERROR(__xludf.DUMMYFUNCTION("""COMPUTED_VALUE"""),"lso")</f>
        <v>lso</v>
      </c>
      <c r="C8913" t="str">
        <f>IFERROR(__xludf.DUMMYFUNCTION("""COMPUTED_VALUE"""),"Lesotho")</f>
        <v>Lesotho</v>
      </c>
      <c r="D8913">
        <f>IFERROR(__xludf.DUMMYFUNCTION("""COMPUTED_VALUE"""),2032.0)</f>
        <v>2032</v>
      </c>
      <c r="E8913">
        <f>IFERROR(__xludf.DUMMYFUNCTION("""COMPUTED_VALUE"""),2665243.0)</f>
        <v>2665243</v>
      </c>
    </row>
    <row r="8914">
      <c r="A8914" t="str">
        <f t="shared" si="1"/>
        <v>lso#2033</v>
      </c>
      <c r="B8914" t="str">
        <f>IFERROR(__xludf.DUMMYFUNCTION("""COMPUTED_VALUE"""),"lso")</f>
        <v>lso</v>
      </c>
      <c r="C8914" t="str">
        <f>IFERROR(__xludf.DUMMYFUNCTION("""COMPUTED_VALUE"""),"Lesotho")</f>
        <v>Lesotho</v>
      </c>
      <c r="D8914">
        <f>IFERROR(__xludf.DUMMYFUNCTION("""COMPUTED_VALUE"""),2033.0)</f>
        <v>2033</v>
      </c>
      <c r="E8914">
        <f>IFERROR(__xludf.DUMMYFUNCTION("""COMPUTED_VALUE"""),2694144.0)</f>
        <v>2694144</v>
      </c>
    </row>
    <row r="8915">
      <c r="A8915" t="str">
        <f t="shared" si="1"/>
        <v>lso#2034</v>
      </c>
      <c r="B8915" t="str">
        <f>IFERROR(__xludf.DUMMYFUNCTION("""COMPUTED_VALUE"""),"lso")</f>
        <v>lso</v>
      </c>
      <c r="C8915" t="str">
        <f>IFERROR(__xludf.DUMMYFUNCTION("""COMPUTED_VALUE"""),"Lesotho")</f>
        <v>Lesotho</v>
      </c>
      <c r="D8915">
        <f>IFERROR(__xludf.DUMMYFUNCTION("""COMPUTED_VALUE"""),2034.0)</f>
        <v>2034</v>
      </c>
      <c r="E8915">
        <f>IFERROR(__xludf.DUMMYFUNCTION("""COMPUTED_VALUE"""),2723242.0)</f>
        <v>2723242</v>
      </c>
    </row>
    <row r="8916">
      <c r="A8916" t="str">
        <f t="shared" si="1"/>
        <v>lso#2035</v>
      </c>
      <c r="B8916" t="str">
        <f>IFERROR(__xludf.DUMMYFUNCTION("""COMPUTED_VALUE"""),"lso")</f>
        <v>lso</v>
      </c>
      <c r="C8916" t="str">
        <f>IFERROR(__xludf.DUMMYFUNCTION("""COMPUTED_VALUE"""),"Lesotho")</f>
        <v>Lesotho</v>
      </c>
      <c r="D8916">
        <f>IFERROR(__xludf.DUMMYFUNCTION("""COMPUTED_VALUE"""),2035.0)</f>
        <v>2035</v>
      </c>
      <c r="E8916">
        <f>IFERROR(__xludf.DUMMYFUNCTION("""COMPUTED_VALUE"""),2752561.0)</f>
        <v>2752561</v>
      </c>
    </row>
    <row r="8917">
      <c r="A8917" t="str">
        <f t="shared" si="1"/>
        <v>lso#2036</v>
      </c>
      <c r="B8917" t="str">
        <f>IFERROR(__xludf.DUMMYFUNCTION("""COMPUTED_VALUE"""),"lso")</f>
        <v>lso</v>
      </c>
      <c r="C8917" t="str">
        <f>IFERROR(__xludf.DUMMYFUNCTION("""COMPUTED_VALUE"""),"Lesotho")</f>
        <v>Lesotho</v>
      </c>
      <c r="D8917">
        <f>IFERROR(__xludf.DUMMYFUNCTION("""COMPUTED_VALUE"""),2036.0)</f>
        <v>2036</v>
      </c>
      <c r="E8917">
        <f>IFERROR(__xludf.DUMMYFUNCTION("""COMPUTED_VALUE"""),2782100.0)</f>
        <v>2782100</v>
      </c>
    </row>
    <row r="8918">
      <c r="A8918" t="str">
        <f t="shared" si="1"/>
        <v>lso#2037</v>
      </c>
      <c r="B8918" t="str">
        <f>IFERROR(__xludf.DUMMYFUNCTION("""COMPUTED_VALUE"""),"lso")</f>
        <v>lso</v>
      </c>
      <c r="C8918" t="str">
        <f>IFERROR(__xludf.DUMMYFUNCTION("""COMPUTED_VALUE"""),"Lesotho")</f>
        <v>Lesotho</v>
      </c>
      <c r="D8918">
        <f>IFERROR(__xludf.DUMMYFUNCTION("""COMPUTED_VALUE"""),2037.0)</f>
        <v>2037</v>
      </c>
      <c r="E8918">
        <f>IFERROR(__xludf.DUMMYFUNCTION("""COMPUTED_VALUE"""),2811858.0)</f>
        <v>2811858</v>
      </c>
    </row>
    <row r="8919">
      <c r="A8919" t="str">
        <f t="shared" si="1"/>
        <v>lso#2038</v>
      </c>
      <c r="B8919" t="str">
        <f>IFERROR(__xludf.DUMMYFUNCTION("""COMPUTED_VALUE"""),"lso")</f>
        <v>lso</v>
      </c>
      <c r="C8919" t="str">
        <f>IFERROR(__xludf.DUMMYFUNCTION("""COMPUTED_VALUE"""),"Lesotho")</f>
        <v>Lesotho</v>
      </c>
      <c r="D8919">
        <f>IFERROR(__xludf.DUMMYFUNCTION("""COMPUTED_VALUE"""),2038.0)</f>
        <v>2038</v>
      </c>
      <c r="E8919">
        <f>IFERROR(__xludf.DUMMYFUNCTION("""COMPUTED_VALUE"""),2841805.0)</f>
        <v>2841805</v>
      </c>
    </row>
    <row r="8920">
      <c r="A8920" t="str">
        <f t="shared" si="1"/>
        <v>lso#2039</v>
      </c>
      <c r="B8920" t="str">
        <f>IFERROR(__xludf.DUMMYFUNCTION("""COMPUTED_VALUE"""),"lso")</f>
        <v>lso</v>
      </c>
      <c r="C8920" t="str">
        <f>IFERROR(__xludf.DUMMYFUNCTION("""COMPUTED_VALUE"""),"Lesotho")</f>
        <v>Lesotho</v>
      </c>
      <c r="D8920">
        <f>IFERROR(__xludf.DUMMYFUNCTION("""COMPUTED_VALUE"""),2039.0)</f>
        <v>2039</v>
      </c>
      <c r="E8920">
        <f>IFERROR(__xludf.DUMMYFUNCTION("""COMPUTED_VALUE"""),2871934.0)</f>
        <v>2871934</v>
      </c>
    </row>
    <row r="8921">
      <c r="A8921" t="str">
        <f t="shared" si="1"/>
        <v>lso#2040</v>
      </c>
      <c r="B8921" t="str">
        <f>IFERROR(__xludf.DUMMYFUNCTION("""COMPUTED_VALUE"""),"lso")</f>
        <v>lso</v>
      </c>
      <c r="C8921" t="str">
        <f>IFERROR(__xludf.DUMMYFUNCTION("""COMPUTED_VALUE"""),"Lesotho")</f>
        <v>Lesotho</v>
      </c>
      <c r="D8921">
        <f>IFERROR(__xludf.DUMMYFUNCTION("""COMPUTED_VALUE"""),2040.0)</f>
        <v>2040</v>
      </c>
      <c r="E8921">
        <f>IFERROR(__xludf.DUMMYFUNCTION("""COMPUTED_VALUE"""),2902197.0)</f>
        <v>2902197</v>
      </c>
    </row>
    <row r="8922">
      <c r="A8922" t="str">
        <f t="shared" si="1"/>
        <v>lbr#1950</v>
      </c>
      <c r="B8922" t="str">
        <f>IFERROR(__xludf.DUMMYFUNCTION("""COMPUTED_VALUE"""),"lbr")</f>
        <v>lbr</v>
      </c>
      <c r="C8922" t="str">
        <f>IFERROR(__xludf.DUMMYFUNCTION("""COMPUTED_VALUE"""),"Liberia")</f>
        <v>Liberia</v>
      </c>
      <c r="D8922">
        <f>IFERROR(__xludf.DUMMYFUNCTION("""COMPUTED_VALUE"""),1950.0)</f>
        <v>1950</v>
      </c>
      <c r="E8922">
        <f>IFERROR(__xludf.DUMMYFUNCTION("""COMPUTED_VALUE"""),930025.0)</f>
        <v>930025</v>
      </c>
    </row>
    <row r="8923">
      <c r="A8923" t="str">
        <f t="shared" si="1"/>
        <v>lbr#1951</v>
      </c>
      <c r="B8923" t="str">
        <f>IFERROR(__xludf.DUMMYFUNCTION("""COMPUTED_VALUE"""),"lbr")</f>
        <v>lbr</v>
      </c>
      <c r="C8923" t="str">
        <f>IFERROR(__xludf.DUMMYFUNCTION("""COMPUTED_VALUE"""),"Liberia")</f>
        <v>Liberia</v>
      </c>
      <c r="D8923">
        <f>IFERROR(__xludf.DUMMYFUNCTION("""COMPUTED_VALUE"""),1951.0)</f>
        <v>1951</v>
      </c>
      <c r="E8923">
        <f>IFERROR(__xludf.DUMMYFUNCTION("""COMPUTED_VALUE"""),942999.0)</f>
        <v>942999</v>
      </c>
    </row>
    <row r="8924">
      <c r="A8924" t="str">
        <f t="shared" si="1"/>
        <v>lbr#1952</v>
      </c>
      <c r="B8924" t="str">
        <f>IFERROR(__xludf.DUMMYFUNCTION("""COMPUTED_VALUE"""),"lbr")</f>
        <v>lbr</v>
      </c>
      <c r="C8924" t="str">
        <f>IFERROR(__xludf.DUMMYFUNCTION("""COMPUTED_VALUE"""),"Liberia")</f>
        <v>Liberia</v>
      </c>
      <c r="D8924">
        <f>IFERROR(__xludf.DUMMYFUNCTION("""COMPUTED_VALUE"""),1952.0)</f>
        <v>1952</v>
      </c>
      <c r="E8924">
        <f>IFERROR(__xludf.DUMMYFUNCTION("""COMPUTED_VALUE"""),957595.0)</f>
        <v>957595</v>
      </c>
    </row>
    <row r="8925">
      <c r="A8925" t="str">
        <f t="shared" si="1"/>
        <v>lbr#1953</v>
      </c>
      <c r="B8925" t="str">
        <f>IFERROR(__xludf.DUMMYFUNCTION("""COMPUTED_VALUE"""),"lbr")</f>
        <v>lbr</v>
      </c>
      <c r="C8925" t="str">
        <f>IFERROR(__xludf.DUMMYFUNCTION("""COMPUTED_VALUE"""),"Liberia")</f>
        <v>Liberia</v>
      </c>
      <c r="D8925">
        <f>IFERROR(__xludf.DUMMYFUNCTION("""COMPUTED_VALUE"""),1953.0)</f>
        <v>1953</v>
      </c>
      <c r="E8925">
        <f>IFERROR(__xludf.DUMMYFUNCTION("""COMPUTED_VALUE"""),973699.0)</f>
        <v>973699</v>
      </c>
    </row>
    <row r="8926">
      <c r="A8926" t="str">
        <f t="shared" si="1"/>
        <v>lbr#1954</v>
      </c>
      <c r="B8926" t="str">
        <f>IFERROR(__xludf.DUMMYFUNCTION("""COMPUTED_VALUE"""),"lbr")</f>
        <v>lbr</v>
      </c>
      <c r="C8926" t="str">
        <f>IFERROR(__xludf.DUMMYFUNCTION("""COMPUTED_VALUE"""),"Liberia")</f>
        <v>Liberia</v>
      </c>
      <c r="D8926">
        <f>IFERROR(__xludf.DUMMYFUNCTION("""COMPUTED_VALUE"""),1954.0)</f>
        <v>1954</v>
      </c>
      <c r="E8926">
        <f>IFERROR(__xludf.DUMMYFUNCTION("""COMPUTED_VALUE"""),991230.0)</f>
        <v>991230</v>
      </c>
    </row>
    <row r="8927">
      <c r="A8927" t="str">
        <f t="shared" si="1"/>
        <v>lbr#1955</v>
      </c>
      <c r="B8927" t="str">
        <f>IFERROR(__xludf.DUMMYFUNCTION("""COMPUTED_VALUE"""),"lbr")</f>
        <v>lbr</v>
      </c>
      <c r="C8927" t="str">
        <f>IFERROR(__xludf.DUMMYFUNCTION("""COMPUTED_VALUE"""),"Liberia")</f>
        <v>Liberia</v>
      </c>
      <c r="D8927">
        <f>IFERROR(__xludf.DUMMYFUNCTION("""COMPUTED_VALUE"""),1955.0)</f>
        <v>1955</v>
      </c>
      <c r="E8927">
        <f>IFERROR(__xludf.DUMMYFUNCTION("""COMPUTED_VALUE"""),1010067.0)</f>
        <v>1010067</v>
      </c>
    </row>
    <row r="8928">
      <c r="A8928" t="str">
        <f t="shared" si="1"/>
        <v>lbr#1956</v>
      </c>
      <c r="B8928" t="str">
        <f>IFERROR(__xludf.DUMMYFUNCTION("""COMPUTED_VALUE"""),"lbr")</f>
        <v>lbr</v>
      </c>
      <c r="C8928" t="str">
        <f>IFERROR(__xludf.DUMMYFUNCTION("""COMPUTED_VALUE"""),"Liberia")</f>
        <v>Liberia</v>
      </c>
      <c r="D8928">
        <f>IFERROR(__xludf.DUMMYFUNCTION("""COMPUTED_VALUE"""),1956.0)</f>
        <v>1956</v>
      </c>
      <c r="E8928">
        <f>IFERROR(__xludf.DUMMYFUNCTION("""COMPUTED_VALUE"""),1030109.0)</f>
        <v>1030109</v>
      </c>
    </row>
    <row r="8929">
      <c r="A8929" t="str">
        <f t="shared" si="1"/>
        <v>lbr#1957</v>
      </c>
      <c r="B8929" t="str">
        <f>IFERROR(__xludf.DUMMYFUNCTION("""COMPUTED_VALUE"""),"lbr")</f>
        <v>lbr</v>
      </c>
      <c r="C8929" t="str">
        <f>IFERROR(__xludf.DUMMYFUNCTION("""COMPUTED_VALUE"""),"Liberia")</f>
        <v>Liberia</v>
      </c>
      <c r="D8929">
        <f>IFERROR(__xludf.DUMMYFUNCTION("""COMPUTED_VALUE"""),1957.0)</f>
        <v>1957</v>
      </c>
      <c r="E8929">
        <f>IFERROR(__xludf.DUMMYFUNCTION("""COMPUTED_VALUE"""),1051250.0)</f>
        <v>1051250</v>
      </c>
    </row>
    <row r="8930">
      <c r="A8930" t="str">
        <f t="shared" si="1"/>
        <v>lbr#1958</v>
      </c>
      <c r="B8930" t="str">
        <f>IFERROR(__xludf.DUMMYFUNCTION("""COMPUTED_VALUE"""),"lbr")</f>
        <v>lbr</v>
      </c>
      <c r="C8930" t="str">
        <f>IFERROR(__xludf.DUMMYFUNCTION("""COMPUTED_VALUE"""),"Liberia")</f>
        <v>Liberia</v>
      </c>
      <c r="D8930">
        <f>IFERROR(__xludf.DUMMYFUNCTION("""COMPUTED_VALUE"""),1958.0)</f>
        <v>1958</v>
      </c>
      <c r="E8930">
        <f>IFERROR(__xludf.DUMMYFUNCTION("""COMPUTED_VALUE"""),1073392.0)</f>
        <v>1073392</v>
      </c>
    </row>
    <row r="8931">
      <c r="A8931" t="str">
        <f t="shared" si="1"/>
        <v>lbr#1959</v>
      </c>
      <c r="B8931" t="str">
        <f>IFERROR(__xludf.DUMMYFUNCTION("""COMPUTED_VALUE"""),"lbr")</f>
        <v>lbr</v>
      </c>
      <c r="C8931" t="str">
        <f>IFERROR(__xludf.DUMMYFUNCTION("""COMPUTED_VALUE"""),"Liberia")</f>
        <v>Liberia</v>
      </c>
      <c r="D8931">
        <f>IFERROR(__xludf.DUMMYFUNCTION("""COMPUTED_VALUE"""),1959.0)</f>
        <v>1959</v>
      </c>
      <c r="E8931">
        <f>IFERROR(__xludf.DUMMYFUNCTION("""COMPUTED_VALUE"""),1096442.0)</f>
        <v>1096442</v>
      </c>
    </row>
    <row r="8932">
      <c r="A8932" t="str">
        <f t="shared" si="1"/>
        <v>lbr#1960</v>
      </c>
      <c r="B8932" t="str">
        <f>IFERROR(__xludf.DUMMYFUNCTION("""COMPUTED_VALUE"""),"lbr")</f>
        <v>lbr</v>
      </c>
      <c r="C8932" t="str">
        <f>IFERROR(__xludf.DUMMYFUNCTION("""COMPUTED_VALUE"""),"Liberia")</f>
        <v>Liberia</v>
      </c>
      <c r="D8932">
        <f>IFERROR(__xludf.DUMMYFUNCTION("""COMPUTED_VALUE"""),1960.0)</f>
        <v>1960</v>
      </c>
      <c r="E8932">
        <f>IFERROR(__xludf.DUMMYFUNCTION("""COMPUTED_VALUE"""),1120313.0)</f>
        <v>1120313</v>
      </c>
    </row>
    <row r="8933">
      <c r="A8933" t="str">
        <f t="shared" si="1"/>
        <v>lbr#1961</v>
      </c>
      <c r="B8933" t="str">
        <f>IFERROR(__xludf.DUMMYFUNCTION("""COMPUTED_VALUE"""),"lbr")</f>
        <v>lbr</v>
      </c>
      <c r="C8933" t="str">
        <f>IFERROR(__xludf.DUMMYFUNCTION("""COMPUTED_VALUE"""),"Liberia")</f>
        <v>Liberia</v>
      </c>
      <c r="D8933">
        <f>IFERROR(__xludf.DUMMYFUNCTION("""COMPUTED_VALUE"""),1961.0)</f>
        <v>1961</v>
      </c>
      <c r="E8933">
        <f>IFERROR(__xludf.DUMMYFUNCTION("""COMPUTED_VALUE"""),1144986.0)</f>
        <v>1144986</v>
      </c>
    </row>
    <row r="8934">
      <c r="A8934" t="str">
        <f t="shared" si="1"/>
        <v>lbr#1962</v>
      </c>
      <c r="B8934" t="str">
        <f>IFERROR(__xludf.DUMMYFUNCTION("""COMPUTED_VALUE"""),"lbr")</f>
        <v>lbr</v>
      </c>
      <c r="C8934" t="str">
        <f>IFERROR(__xludf.DUMMYFUNCTION("""COMPUTED_VALUE"""),"Liberia")</f>
        <v>Liberia</v>
      </c>
      <c r="D8934">
        <f>IFERROR(__xludf.DUMMYFUNCTION("""COMPUTED_VALUE"""),1962.0)</f>
        <v>1962</v>
      </c>
      <c r="E8934">
        <f>IFERROR(__xludf.DUMMYFUNCTION("""COMPUTED_VALUE"""),1170480.0)</f>
        <v>1170480</v>
      </c>
    </row>
    <row r="8935">
      <c r="A8935" t="str">
        <f t="shared" si="1"/>
        <v>lbr#1963</v>
      </c>
      <c r="B8935" t="str">
        <f>IFERROR(__xludf.DUMMYFUNCTION("""COMPUTED_VALUE"""),"lbr")</f>
        <v>lbr</v>
      </c>
      <c r="C8935" t="str">
        <f>IFERROR(__xludf.DUMMYFUNCTION("""COMPUTED_VALUE"""),"Liberia")</f>
        <v>Liberia</v>
      </c>
      <c r="D8935">
        <f>IFERROR(__xludf.DUMMYFUNCTION("""COMPUTED_VALUE"""),1963.0)</f>
        <v>1963</v>
      </c>
      <c r="E8935">
        <f>IFERROR(__xludf.DUMMYFUNCTION("""COMPUTED_VALUE"""),1196890.0)</f>
        <v>1196890</v>
      </c>
    </row>
    <row r="8936">
      <c r="A8936" t="str">
        <f t="shared" si="1"/>
        <v>lbr#1964</v>
      </c>
      <c r="B8936" t="str">
        <f>IFERROR(__xludf.DUMMYFUNCTION("""COMPUTED_VALUE"""),"lbr")</f>
        <v>lbr</v>
      </c>
      <c r="C8936" t="str">
        <f>IFERROR(__xludf.DUMMYFUNCTION("""COMPUTED_VALUE"""),"Liberia")</f>
        <v>Liberia</v>
      </c>
      <c r="D8936">
        <f>IFERROR(__xludf.DUMMYFUNCTION("""COMPUTED_VALUE"""),1964.0)</f>
        <v>1964</v>
      </c>
      <c r="E8936">
        <f>IFERROR(__xludf.DUMMYFUNCTION("""COMPUTED_VALUE"""),1224344.0)</f>
        <v>1224344</v>
      </c>
    </row>
    <row r="8937">
      <c r="A8937" t="str">
        <f t="shared" si="1"/>
        <v>lbr#1965</v>
      </c>
      <c r="B8937" t="str">
        <f>IFERROR(__xludf.DUMMYFUNCTION("""COMPUTED_VALUE"""),"lbr")</f>
        <v>lbr</v>
      </c>
      <c r="C8937" t="str">
        <f>IFERROR(__xludf.DUMMYFUNCTION("""COMPUTED_VALUE"""),"Liberia")</f>
        <v>Liberia</v>
      </c>
      <c r="D8937">
        <f>IFERROR(__xludf.DUMMYFUNCTION("""COMPUTED_VALUE"""),1965.0)</f>
        <v>1965</v>
      </c>
      <c r="E8937">
        <f>IFERROR(__xludf.DUMMYFUNCTION("""COMPUTED_VALUE"""),1252972.0)</f>
        <v>1252972</v>
      </c>
    </row>
    <row r="8938">
      <c r="A8938" t="str">
        <f t="shared" si="1"/>
        <v>lbr#1966</v>
      </c>
      <c r="B8938" t="str">
        <f>IFERROR(__xludf.DUMMYFUNCTION("""COMPUTED_VALUE"""),"lbr")</f>
        <v>lbr</v>
      </c>
      <c r="C8938" t="str">
        <f>IFERROR(__xludf.DUMMYFUNCTION("""COMPUTED_VALUE"""),"Liberia")</f>
        <v>Liberia</v>
      </c>
      <c r="D8938">
        <f>IFERROR(__xludf.DUMMYFUNCTION("""COMPUTED_VALUE"""),1966.0)</f>
        <v>1966</v>
      </c>
      <c r="E8938">
        <f>IFERROR(__xludf.DUMMYFUNCTION("""COMPUTED_VALUE"""),1282814.0)</f>
        <v>1282814</v>
      </c>
    </row>
    <row r="8939">
      <c r="A8939" t="str">
        <f t="shared" si="1"/>
        <v>lbr#1967</v>
      </c>
      <c r="B8939" t="str">
        <f>IFERROR(__xludf.DUMMYFUNCTION("""COMPUTED_VALUE"""),"lbr")</f>
        <v>lbr</v>
      </c>
      <c r="C8939" t="str">
        <f>IFERROR(__xludf.DUMMYFUNCTION("""COMPUTED_VALUE"""),"Liberia")</f>
        <v>Liberia</v>
      </c>
      <c r="D8939">
        <f>IFERROR(__xludf.DUMMYFUNCTION("""COMPUTED_VALUE"""),1967.0)</f>
        <v>1967</v>
      </c>
      <c r="E8939">
        <f>IFERROR(__xludf.DUMMYFUNCTION("""COMPUTED_VALUE"""),1313941.0)</f>
        <v>1313941</v>
      </c>
    </row>
    <row r="8940">
      <c r="A8940" t="str">
        <f t="shared" si="1"/>
        <v>lbr#1968</v>
      </c>
      <c r="B8940" t="str">
        <f>IFERROR(__xludf.DUMMYFUNCTION("""COMPUTED_VALUE"""),"lbr")</f>
        <v>lbr</v>
      </c>
      <c r="C8940" t="str">
        <f>IFERROR(__xludf.DUMMYFUNCTION("""COMPUTED_VALUE"""),"Liberia")</f>
        <v>Liberia</v>
      </c>
      <c r="D8940">
        <f>IFERROR(__xludf.DUMMYFUNCTION("""COMPUTED_VALUE"""),1968.0)</f>
        <v>1968</v>
      </c>
      <c r="E8940">
        <f>IFERROR(__xludf.DUMMYFUNCTION("""COMPUTED_VALUE"""),1346491.0)</f>
        <v>1346491</v>
      </c>
    </row>
    <row r="8941">
      <c r="A8941" t="str">
        <f t="shared" si="1"/>
        <v>lbr#1969</v>
      </c>
      <c r="B8941" t="str">
        <f>IFERROR(__xludf.DUMMYFUNCTION("""COMPUTED_VALUE"""),"lbr")</f>
        <v>lbr</v>
      </c>
      <c r="C8941" t="str">
        <f>IFERROR(__xludf.DUMMYFUNCTION("""COMPUTED_VALUE"""),"Liberia")</f>
        <v>Liberia</v>
      </c>
      <c r="D8941">
        <f>IFERROR(__xludf.DUMMYFUNCTION("""COMPUTED_VALUE"""),1969.0)</f>
        <v>1969</v>
      </c>
      <c r="E8941">
        <f>IFERROR(__xludf.DUMMYFUNCTION("""COMPUTED_VALUE"""),1380637.0)</f>
        <v>1380637</v>
      </c>
    </row>
    <row r="8942">
      <c r="A8942" t="str">
        <f t="shared" si="1"/>
        <v>lbr#1970</v>
      </c>
      <c r="B8942" t="str">
        <f>IFERROR(__xludf.DUMMYFUNCTION("""COMPUTED_VALUE"""),"lbr")</f>
        <v>lbr</v>
      </c>
      <c r="C8942" t="str">
        <f>IFERROR(__xludf.DUMMYFUNCTION("""COMPUTED_VALUE"""),"Liberia")</f>
        <v>Liberia</v>
      </c>
      <c r="D8942">
        <f>IFERROR(__xludf.DUMMYFUNCTION("""COMPUTED_VALUE"""),1970.0)</f>
        <v>1970</v>
      </c>
      <c r="E8942">
        <f>IFERROR(__xludf.DUMMYFUNCTION("""COMPUTED_VALUE"""),1416529.0)</f>
        <v>1416529</v>
      </c>
    </row>
    <row r="8943">
      <c r="A8943" t="str">
        <f t="shared" si="1"/>
        <v>lbr#1971</v>
      </c>
      <c r="B8943" t="str">
        <f>IFERROR(__xludf.DUMMYFUNCTION("""COMPUTED_VALUE"""),"lbr")</f>
        <v>lbr</v>
      </c>
      <c r="C8943" t="str">
        <f>IFERROR(__xludf.DUMMYFUNCTION("""COMPUTED_VALUE"""),"Liberia")</f>
        <v>Liberia</v>
      </c>
      <c r="D8943">
        <f>IFERROR(__xludf.DUMMYFUNCTION("""COMPUTED_VALUE"""),1971.0)</f>
        <v>1971</v>
      </c>
      <c r="E8943">
        <f>IFERROR(__xludf.DUMMYFUNCTION("""COMPUTED_VALUE"""),1454198.0)</f>
        <v>1454198</v>
      </c>
    </row>
    <row r="8944">
      <c r="A8944" t="str">
        <f t="shared" si="1"/>
        <v>lbr#1972</v>
      </c>
      <c r="B8944" t="str">
        <f>IFERROR(__xludf.DUMMYFUNCTION("""COMPUTED_VALUE"""),"lbr")</f>
        <v>lbr</v>
      </c>
      <c r="C8944" t="str">
        <f>IFERROR(__xludf.DUMMYFUNCTION("""COMPUTED_VALUE"""),"Liberia")</f>
        <v>Liberia</v>
      </c>
      <c r="D8944">
        <f>IFERROR(__xludf.DUMMYFUNCTION("""COMPUTED_VALUE"""),1972.0)</f>
        <v>1972</v>
      </c>
      <c r="E8944">
        <f>IFERROR(__xludf.DUMMYFUNCTION("""COMPUTED_VALUE"""),1493711.0)</f>
        <v>1493711</v>
      </c>
    </row>
    <row r="8945">
      <c r="A8945" t="str">
        <f t="shared" si="1"/>
        <v>lbr#1973</v>
      </c>
      <c r="B8945" t="str">
        <f>IFERROR(__xludf.DUMMYFUNCTION("""COMPUTED_VALUE"""),"lbr")</f>
        <v>lbr</v>
      </c>
      <c r="C8945" t="str">
        <f>IFERROR(__xludf.DUMMYFUNCTION("""COMPUTED_VALUE"""),"Liberia")</f>
        <v>Liberia</v>
      </c>
      <c r="D8945">
        <f>IFERROR(__xludf.DUMMYFUNCTION("""COMPUTED_VALUE"""),1973.0)</f>
        <v>1973</v>
      </c>
      <c r="E8945">
        <f>IFERROR(__xludf.DUMMYFUNCTION("""COMPUTED_VALUE"""),1535229.0)</f>
        <v>1535229</v>
      </c>
    </row>
    <row r="8946">
      <c r="A8946" t="str">
        <f t="shared" si="1"/>
        <v>lbr#1974</v>
      </c>
      <c r="B8946" t="str">
        <f>IFERROR(__xludf.DUMMYFUNCTION("""COMPUTED_VALUE"""),"lbr")</f>
        <v>lbr</v>
      </c>
      <c r="C8946" t="str">
        <f>IFERROR(__xludf.DUMMYFUNCTION("""COMPUTED_VALUE"""),"Liberia")</f>
        <v>Liberia</v>
      </c>
      <c r="D8946">
        <f>IFERROR(__xludf.DUMMYFUNCTION("""COMPUTED_VALUE"""),1974.0)</f>
        <v>1974</v>
      </c>
      <c r="E8946">
        <f>IFERROR(__xludf.DUMMYFUNCTION("""COMPUTED_VALUE"""),1578952.0)</f>
        <v>1578952</v>
      </c>
    </row>
    <row r="8947">
      <c r="A8947" t="str">
        <f t="shared" si="1"/>
        <v>lbr#1975</v>
      </c>
      <c r="B8947" t="str">
        <f>IFERROR(__xludf.DUMMYFUNCTION("""COMPUTED_VALUE"""),"lbr")</f>
        <v>lbr</v>
      </c>
      <c r="C8947" t="str">
        <f>IFERROR(__xludf.DUMMYFUNCTION("""COMPUTED_VALUE"""),"Liberia")</f>
        <v>Liberia</v>
      </c>
      <c r="D8947">
        <f>IFERROR(__xludf.DUMMYFUNCTION("""COMPUTED_VALUE"""),1975.0)</f>
        <v>1975</v>
      </c>
      <c r="E8947">
        <f>IFERROR(__xludf.DUMMYFUNCTION("""COMPUTED_VALUE"""),1625013.0)</f>
        <v>1625013</v>
      </c>
    </row>
    <row r="8948">
      <c r="A8948" t="str">
        <f t="shared" si="1"/>
        <v>lbr#1976</v>
      </c>
      <c r="B8948" t="str">
        <f>IFERROR(__xludf.DUMMYFUNCTION("""COMPUTED_VALUE"""),"lbr")</f>
        <v>lbr</v>
      </c>
      <c r="C8948" t="str">
        <f>IFERROR(__xludf.DUMMYFUNCTION("""COMPUTED_VALUE"""),"Liberia")</f>
        <v>Liberia</v>
      </c>
      <c r="D8948">
        <f>IFERROR(__xludf.DUMMYFUNCTION("""COMPUTED_VALUE"""),1976.0)</f>
        <v>1976</v>
      </c>
      <c r="E8948">
        <f>IFERROR(__xludf.DUMMYFUNCTION("""COMPUTED_VALUE"""),1672300.0)</f>
        <v>1672300</v>
      </c>
    </row>
    <row r="8949">
      <c r="A8949" t="str">
        <f t="shared" si="1"/>
        <v>lbr#1977</v>
      </c>
      <c r="B8949" t="str">
        <f>IFERROR(__xludf.DUMMYFUNCTION("""COMPUTED_VALUE"""),"lbr")</f>
        <v>lbr</v>
      </c>
      <c r="C8949" t="str">
        <f>IFERROR(__xludf.DUMMYFUNCTION("""COMPUTED_VALUE"""),"Liberia")</f>
        <v>Liberia</v>
      </c>
      <c r="D8949">
        <f>IFERROR(__xludf.DUMMYFUNCTION("""COMPUTED_VALUE"""),1977.0)</f>
        <v>1977</v>
      </c>
      <c r="E8949">
        <f>IFERROR(__xludf.DUMMYFUNCTION("""COMPUTED_VALUE"""),1720489.0)</f>
        <v>1720489</v>
      </c>
    </row>
    <row r="8950">
      <c r="A8950" t="str">
        <f t="shared" si="1"/>
        <v>lbr#1978</v>
      </c>
      <c r="B8950" t="str">
        <f>IFERROR(__xludf.DUMMYFUNCTION("""COMPUTED_VALUE"""),"lbr")</f>
        <v>lbr</v>
      </c>
      <c r="C8950" t="str">
        <f>IFERROR(__xludf.DUMMYFUNCTION("""COMPUTED_VALUE"""),"Liberia")</f>
        <v>Liberia</v>
      </c>
      <c r="D8950">
        <f>IFERROR(__xludf.DUMMYFUNCTION("""COMPUTED_VALUE"""),1978.0)</f>
        <v>1978</v>
      </c>
      <c r="E8950">
        <f>IFERROR(__xludf.DUMMYFUNCTION("""COMPUTED_VALUE"""),1771256.0)</f>
        <v>1771256</v>
      </c>
    </row>
    <row r="8951">
      <c r="A8951" t="str">
        <f t="shared" si="1"/>
        <v>lbr#1979</v>
      </c>
      <c r="B8951" t="str">
        <f>IFERROR(__xludf.DUMMYFUNCTION("""COMPUTED_VALUE"""),"lbr")</f>
        <v>lbr</v>
      </c>
      <c r="C8951" t="str">
        <f>IFERROR(__xludf.DUMMYFUNCTION("""COMPUTED_VALUE"""),"Liberia")</f>
        <v>Liberia</v>
      </c>
      <c r="D8951">
        <f>IFERROR(__xludf.DUMMYFUNCTION("""COMPUTED_VALUE"""),1979.0)</f>
        <v>1979</v>
      </c>
      <c r="E8951">
        <f>IFERROR(__xludf.DUMMYFUNCTION("""COMPUTED_VALUE"""),1826881.0)</f>
        <v>1826881</v>
      </c>
    </row>
    <row r="8952">
      <c r="A8952" t="str">
        <f t="shared" si="1"/>
        <v>lbr#1980</v>
      </c>
      <c r="B8952" t="str">
        <f>IFERROR(__xludf.DUMMYFUNCTION("""COMPUTED_VALUE"""),"lbr")</f>
        <v>lbr</v>
      </c>
      <c r="C8952" t="str">
        <f>IFERROR(__xludf.DUMMYFUNCTION("""COMPUTED_VALUE"""),"Liberia")</f>
        <v>Liberia</v>
      </c>
      <c r="D8952">
        <f>IFERROR(__xludf.DUMMYFUNCTION("""COMPUTED_VALUE"""),1980.0)</f>
        <v>1980</v>
      </c>
      <c r="E8952">
        <f>IFERROR(__xludf.DUMMYFUNCTION("""COMPUTED_VALUE"""),1888314.0)</f>
        <v>1888314</v>
      </c>
    </row>
    <row r="8953">
      <c r="A8953" t="str">
        <f t="shared" si="1"/>
        <v>lbr#1981</v>
      </c>
      <c r="B8953" t="str">
        <f>IFERROR(__xludf.DUMMYFUNCTION("""COMPUTED_VALUE"""),"lbr")</f>
        <v>lbr</v>
      </c>
      <c r="C8953" t="str">
        <f>IFERROR(__xludf.DUMMYFUNCTION("""COMPUTED_VALUE"""),"Liberia")</f>
        <v>Liberia</v>
      </c>
      <c r="D8953">
        <f>IFERROR(__xludf.DUMMYFUNCTION("""COMPUTED_VALUE"""),1981.0)</f>
        <v>1981</v>
      </c>
      <c r="E8953">
        <f>IFERROR(__xludf.DUMMYFUNCTION("""COMPUTED_VALUE"""),1957456.0)</f>
        <v>1957456</v>
      </c>
    </row>
    <row r="8954">
      <c r="A8954" t="str">
        <f t="shared" si="1"/>
        <v>lbr#1982</v>
      </c>
      <c r="B8954" t="str">
        <f>IFERROR(__xludf.DUMMYFUNCTION("""COMPUTED_VALUE"""),"lbr")</f>
        <v>lbr</v>
      </c>
      <c r="C8954" t="str">
        <f>IFERROR(__xludf.DUMMYFUNCTION("""COMPUTED_VALUE"""),"Liberia")</f>
        <v>Liberia</v>
      </c>
      <c r="D8954">
        <f>IFERROR(__xludf.DUMMYFUNCTION("""COMPUTED_VALUE"""),1982.0)</f>
        <v>1982</v>
      </c>
      <c r="E8954">
        <f>IFERROR(__xludf.DUMMYFUNCTION("""COMPUTED_VALUE"""),2031850.0)</f>
        <v>2031850</v>
      </c>
    </row>
    <row r="8955">
      <c r="A8955" t="str">
        <f t="shared" si="1"/>
        <v>lbr#1983</v>
      </c>
      <c r="B8955" t="str">
        <f>IFERROR(__xludf.DUMMYFUNCTION("""COMPUTED_VALUE"""),"lbr")</f>
        <v>lbr</v>
      </c>
      <c r="C8955" t="str">
        <f>IFERROR(__xludf.DUMMYFUNCTION("""COMPUTED_VALUE"""),"Liberia")</f>
        <v>Liberia</v>
      </c>
      <c r="D8955">
        <f>IFERROR(__xludf.DUMMYFUNCTION("""COMPUTED_VALUE"""),1983.0)</f>
        <v>1983</v>
      </c>
      <c r="E8955">
        <f>IFERROR(__xludf.DUMMYFUNCTION("""COMPUTED_VALUE"""),2102911.0)</f>
        <v>2102911</v>
      </c>
    </row>
    <row r="8956">
      <c r="A8956" t="str">
        <f t="shared" si="1"/>
        <v>lbr#1984</v>
      </c>
      <c r="B8956" t="str">
        <f>IFERROR(__xludf.DUMMYFUNCTION("""COMPUTED_VALUE"""),"lbr")</f>
        <v>lbr</v>
      </c>
      <c r="C8956" t="str">
        <f>IFERROR(__xludf.DUMMYFUNCTION("""COMPUTED_VALUE"""),"Liberia")</f>
        <v>Liberia</v>
      </c>
      <c r="D8956">
        <f>IFERROR(__xludf.DUMMYFUNCTION("""COMPUTED_VALUE"""),1984.0)</f>
        <v>1984</v>
      </c>
      <c r="E8956">
        <f>IFERROR(__xludf.DUMMYFUNCTION("""COMPUTED_VALUE"""),2159089.0)</f>
        <v>2159089</v>
      </c>
    </row>
    <row r="8957">
      <c r="A8957" t="str">
        <f t="shared" si="1"/>
        <v>lbr#1985</v>
      </c>
      <c r="B8957" t="str">
        <f>IFERROR(__xludf.DUMMYFUNCTION("""COMPUTED_VALUE"""),"lbr")</f>
        <v>lbr</v>
      </c>
      <c r="C8957" t="str">
        <f>IFERROR(__xludf.DUMMYFUNCTION("""COMPUTED_VALUE"""),"Liberia")</f>
        <v>Liberia</v>
      </c>
      <c r="D8957">
        <f>IFERROR(__xludf.DUMMYFUNCTION("""COMPUTED_VALUE"""),1985.0)</f>
        <v>1985</v>
      </c>
      <c r="E8957">
        <f>IFERROR(__xludf.DUMMYFUNCTION("""COMPUTED_VALUE"""),2192555.0)</f>
        <v>2192555</v>
      </c>
    </row>
    <row r="8958">
      <c r="A8958" t="str">
        <f t="shared" si="1"/>
        <v>lbr#1986</v>
      </c>
      <c r="B8958" t="str">
        <f>IFERROR(__xludf.DUMMYFUNCTION("""COMPUTED_VALUE"""),"lbr")</f>
        <v>lbr</v>
      </c>
      <c r="C8958" t="str">
        <f>IFERROR(__xludf.DUMMYFUNCTION("""COMPUTED_VALUE"""),"Liberia")</f>
        <v>Liberia</v>
      </c>
      <c r="D8958">
        <f>IFERROR(__xludf.DUMMYFUNCTION("""COMPUTED_VALUE"""),1986.0)</f>
        <v>1986</v>
      </c>
      <c r="E8958">
        <f>IFERROR(__xludf.DUMMYFUNCTION("""COMPUTED_VALUE"""),2201833.0)</f>
        <v>2201833</v>
      </c>
    </row>
    <row r="8959">
      <c r="A8959" t="str">
        <f t="shared" si="1"/>
        <v>lbr#1987</v>
      </c>
      <c r="B8959" t="str">
        <f>IFERROR(__xludf.DUMMYFUNCTION("""COMPUTED_VALUE"""),"lbr")</f>
        <v>lbr</v>
      </c>
      <c r="C8959" t="str">
        <f>IFERROR(__xludf.DUMMYFUNCTION("""COMPUTED_VALUE"""),"Liberia")</f>
        <v>Liberia</v>
      </c>
      <c r="D8959">
        <f>IFERROR(__xludf.DUMMYFUNCTION("""COMPUTED_VALUE"""),1987.0)</f>
        <v>1987</v>
      </c>
      <c r="E8959">
        <f>IFERROR(__xludf.DUMMYFUNCTION("""COMPUTED_VALUE"""),2191023.0)</f>
        <v>2191023</v>
      </c>
    </row>
    <row r="8960">
      <c r="A8960" t="str">
        <f t="shared" si="1"/>
        <v>lbr#1988</v>
      </c>
      <c r="B8960" t="str">
        <f>IFERROR(__xludf.DUMMYFUNCTION("""COMPUTED_VALUE"""),"lbr")</f>
        <v>lbr</v>
      </c>
      <c r="C8960" t="str">
        <f>IFERROR(__xludf.DUMMYFUNCTION("""COMPUTED_VALUE"""),"Liberia")</f>
        <v>Liberia</v>
      </c>
      <c r="D8960">
        <f>IFERROR(__xludf.DUMMYFUNCTION("""COMPUTED_VALUE"""),1988.0)</f>
        <v>1988</v>
      </c>
      <c r="E8960">
        <f>IFERROR(__xludf.DUMMYFUNCTION("""COMPUTED_VALUE"""),2165090.0)</f>
        <v>2165090</v>
      </c>
    </row>
    <row r="8961">
      <c r="A8961" t="str">
        <f t="shared" si="1"/>
        <v>lbr#1989</v>
      </c>
      <c r="B8961" t="str">
        <f>IFERROR(__xludf.DUMMYFUNCTION("""COMPUTED_VALUE"""),"lbr")</f>
        <v>lbr</v>
      </c>
      <c r="C8961" t="str">
        <f>IFERROR(__xludf.DUMMYFUNCTION("""COMPUTED_VALUE"""),"Liberia")</f>
        <v>Liberia</v>
      </c>
      <c r="D8961">
        <f>IFERROR(__xludf.DUMMYFUNCTION("""COMPUTED_VALUE"""),1989.0)</f>
        <v>1989</v>
      </c>
      <c r="E8961">
        <f>IFERROR(__xludf.DUMMYFUNCTION("""COMPUTED_VALUE"""),2131525.0)</f>
        <v>2131525</v>
      </c>
    </row>
    <row r="8962">
      <c r="A8962" t="str">
        <f t="shared" si="1"/>
        <v>lbr#1990</v>
      </c>
      <c r="B8962" t="str">
        <f>IFERROR(__xludf.DUMMYFUNCTION("""COMPUTED_VALUE"""),"lbr")</f>
        <v>lbr</v>
      </c>
      <c r="C8962" t="str">
        <f>IFERROR(__xludf.DUMMYFUNCTION("""COMPUTED_VALUE"""),"Liberia")</f>
        <v>Liberia</v>
      </c>
      <c r="D8962">
        <f>IFERROR(__xludf.DUMMYFUNCTION("""COMPUTED_VALUE"""),1990.0)</f>
        <v>1990</v>
      </c>
      <c r="E8962">
        <f>IFERROR(__xludf.DUMMYFUNCTION("""COMPUTED_VALUE"""),2097232.0)</f>
        <v>2097232</v>
      </c>
    </row>
    <row r="8963">
      <c r="A8963" t="str">
        <f t="shared" si="1"/>
        <v>lbr#1991</v>
      </c>
      <c r="B8963" t="str">
        <f>IFERROR(__xludf.DUMMYFUNCTION("""COMPUTED_VALUE"""),"lbr")</f>
        <v>lbr</v>
      </c>
      <c r="C8963" t="str">
        <f>IFERROR(__xludf.DUMMYFUNCTION("""COMPUTED_VALUE"""),"Liberia")</f>
        <v>Liberia</v>
      </c>
      <c r="D8963">
        <f>IFERROR(__xludf.DUMMYFUNCTION("""COMPUTED_VALUE"""),1991.0)</f>
        <v>1991</v>
      </c>
      <c r="E8963">
        <f>IFERROR(__xludf.DUMMYFUNCTION("""COMPUTED_VALUE"""),2060267.0)</f>
        <v>2060267</v>
      </c>
    </row>
    <row r="8964">
      <c r="A8964" t="str">
        <f t="shared" si="1"/>
        <v>lbr#1992</v>
      </c>
      <c r="B8964" t="str">
        <f>IFERROR(__xludf.DUMMYFUNCTION("""COMPUTED_VALUE"""),"lbr")</f>
        <v>lbr</v>
      </c>
      <c r="C8964" t="str">
        <f>IFERROR(__xludf.DUMMYFUNCTION("""COMPUTED_VALUE"""),"Liberia")</f>
        <v>Liberia</v>
      </c>
      <c r="D8964">
        <f>IFERROR(__xludf.DUMMYFUNCTION("""COMPUTED_VALUE"""),1992.0)</f>
        <v>1992</v>
      </c>
      <c r="E8964">
        <f>IFERROR(__xludf.DUMMYFUNCTION("""COMPUTED_VALUE"""),2022729.0)</f>
        <v>2022729</v>
      </c>
    </row>
    <row r="8965">
      <c r="A8965" t="str">
        <f t="shared" si="1"/>
        <v>lbr#1993</v>
      </c>
      <c r="B8965" t="str">
        <f>IFERROR(__xludf.DUMMYFUNCTION("""COMPUTED_VALUE"""),"lbr")</f>
        <v>lbr</v>
      </c>
      <c r="C8965" t="str">
        <f>IFERROR(__xludf.DUMMYFUNCTION("""COMPUTED_VALUE"""),"Liberia")</f>
        <v>Liberia</v>
      </c>
      <c r="D8965">
        <f>IFERROR(__xludf.DUMMYFUNCTION("""COMPUTED_VALUE"""),1993.0)</f>
        <v>1993</v>
      </c>
      <c r="E8965">
        <f>IFERROR(__xludf.DUMMYFUNCTION("""COMPUTED_VALUE"""),2000248.0)</f>
        <v>2000248</v>
      </c>
    </row>
    <row r="8966">
      <c r="A8966" t="str">
        <f t="shared" si="1"/>
        <v>lbr#1994</v>
      </c>
      <c r="B8966" t="str">
        <f>IFERROR(__xludf.DUMMYFUNCTION("""COMPUTED_VALUE"""),"lbr")</f>
        <v>lbr</v>
      </c>
      <c r="C8966" t="str">
        <f>IFERROR(__xludf.DUMMYFUNCTION("""COMPUTED_VALUE"""),"Liberia")</f>
        <v>Liberia</v>
      </c>
      <c r="D8966">
        <f>IFERROR(__xludf.DUMMYFUNCTION("""COMPUTED_VALUE"""),1994.0)</f>
        <v>1994</v>
      </c>
      <c r="E8966">
        <f>IFERROR(__xludf.DUMMYFUNCTION("""COMPUTED_VALUE"""),2012885.0)</f>
        <v>2012885</v>
      </c>
    </row>
    <row r="8967">
      <c r="A8967" t="str">
        <f t="shared" si="1"/>
        <v>lbr#1995</v>
      </c>
      <c r="B8967" t="str">
        <f>IFERROR(__xludf.DUMMYFUNCTION("""COMPUTED_VALUE"""),"lbr")</f>
        <v>lbr</v>
      </c>
      <c r="C8967" t="str">
        <f>IFERROR(__xludf.DUMMYFUNCTION("""COMPUTED_VALUE"""),"Liberia")</f>
        <v>Liberia</v>
      </c>
      <c r="D8967">
        <f>IFERROR(__xludf.DUMMYFUNCTION("""COMPUTED_VALUE"""),1995.0)</f>
        <v>1995</v>
      </c>
      <c r="E8967">
        <f>IFERROR(__xludf.DUMMYFUNCTION("""COMPUTED_VALUE"""),2073482.0)</f>
        <v>2073482</v>
      </c>
    </row>
    <row r="8968">
      <c r="A8968" t="str">
        <f t="shared" si="1"/>
        <v>lbr#1996</v>
      </c>
      <c r="B8968" t="str">
        <f>IFERROR(__xludf.DUMMYFUNCTION("""COMPUTED_VALUE"""),"lbr")</f>
        <v>lbr</v>
      </c>
      <c r="C8968" t="str">
        <f>IFERROR(__xludf.DUMMYFUNCTION("""COMPUTED_VALUE"""),"Liberia")</f>
        <v>Liberia</v>
      </c>
      <c r="D8968">
        <f>IFERROR(__xludf.DUMMYFUNCTION("""COMPUTED_VALUE"""),1996.0)</f>
        <v>1996</v>
      </c>
      <c r="E8968">
        <f>IFERROR(__xludf.DUMMYFUNCTION("""COMPUTED_VALUE"""),2191179.0)</f>
        <v>2191179</v>
      </c>
    </row>
    <row r="8969">
      <c r="A8969" t="str">
        <f t="shared" si="1"/>
        <v>lbr#1997</v>
      </c>
      <c r="B8969" t="str">
        <f>IFERROR(__xludf.DUMMYFUNCTION("""COMPUTED_VALUE"""),"lbr")</f>
        <v>lbr</v>
      </c>
      <c r="C8969" t="str">
        <f>IFERROR(__xludf.DUMMYFUNCTION("""COMPUTED_VALUE"""),"Liberia")</f>
        <v>Liberia</v>
      </c>
      <c r="D8969">
        <f>IFERROR(__xludf.DUMMYFUNCTION("""COMPUTED_VALUE"""),1997.0)</f>
        <v>1997</v>
      </c>
      <c r="E8969">
        <f>IFERROR(__xludf.DUMMYFUNCTION("""COMPUTED_VALUE"""),2358469.0)</f>
        <v>2358469</v>
      </c>
    </row>
    <row r="8970">
      <c r="A8970" t="str">
        <f t="shared" si="1"/>
        <v>lbr#1998</v>
      </c>
      <c r="B8970" t="str">
        <f>IFERROR(__xludf.DUMMYFUNCTION("""COMPUTED_VALUE"""),"lbr")</f>
        <v>lbr</v>
      </c>
      <c r="C8970" t="str">
        <f>IFERROR(__xludf.DUMMYFUNCTION("""COMPUTED_VALUE"""),"Liberia")</f>
        <v>Liberia</v>
      </c>
      <c r="D8970">
        <f>IFERROR(__xludf.DUMMYFUNCTION("""COMPUTED_VALUE"""),1998.0)</f>
        <v>1998</v>
      </c>
      <c r="E8970">
        <f>IFERROR(__xludf.DUMMYFUNCTION("""COMPUTED_VALUE"""),2551062.0)</f>
        <v>2551062</v>
      </c>
    </row>
    <row r="8971">
      <c r="A8971" t="str">
        <f t="shared" si="1"/>
        <v>lbr#1999</v>
      </c>
      <c r="B8971" t="str">
        <f>IFERROR(__xludf.DUMMYFUNCTION("""COMPUTED_VALUE"""),"lbr")</f>
        <v>lbr</v>
      </c>
      <c r="C8971" t="str">
        <f>IFERROR(__xludf.DUMMYFUNCTION("""COMPUTED_VALUE"""),"Liberia")</f>
        <v>Liberia</v>
      </c>
      <c r="D8971">
        <f>IFERROR(__xludf.DUMMYFUNCTION("""COMPUTED_VALUE"""),1999.0)</f>
        <v>1999</v>
      </c>
      <c r="E8971">
        <f>IFERROR(__xludf.DUMMYFUNCTION("""COMPUTED_VALUE"""),2734518.0)</f>
        <v>2734518</v>
      </c>
    </row>
    <row r="8972">
      <c r="A8972" t="str">
        <f t="shared" si="1"/>
        <v>lbr#2000</v>
      </c>
      <c r="B8972" t="str">
        <f>IFERROR(__xludf.DUMMYFUNCTION("""COMPUTED_VALUE"""),"lbr")</f>
        <v>lbr</v>
      </c>
      <c r="C8972" t="str">
        <f>IFERROR(__xludf.DUMMYFUNCTION("""COMPUTED_VALUE"""),"Liberia")</f>
        <v>Liberia</v>
      </c>
      <c r="D8972">
        <f>IFERROR(__xludf.DUMMYFUNCTION("""COMPUTED_VALUE"""),2000.0)</f>
        <v>2000</v>
      </c>
      <c r="E8972">
        <f>IFERROR(__xludf.DUMMYFUNCTION("""COMPUTED_VALUE"""),2884522.0)</f>
        <v>2884522</v>
      </c>
    </row>
    <row r="8973">
      <c r="A8973" t="str">
        <f t="shared" si="1"/>
        <v>lbr#2001</v>
      </c>
      <c r="B8973" t="str">
        <f>IFERROR(__xludf.DUMMYFUNCTION("""COMPUTED_VALUE"""),"lbr")</f>
        <v>lbr</v>
      </c>
      <c r="C8973" t="str">
        <f>IFERROR(__xludf.DUMMYFUNCTION("""COMPUTED_VALUE"""),"Liberia")</f>
        <v>Liberia</v>
      </c>
      <c r="D8973">
        <f>IFERROR(__xludf.DUMMYFUNCTION("""COMPUTED_VALUE"""),2001.0)</f>
        <v>2001</v>
      </c>
      <c r="E8973">
        <f>IFERROR(__xludf.DUMMYFUNCTION("""COMPUTED_VALUE"""),2991132.0)</f>
        <v>2991132</v>
      </c>
    </row>
    <row r="8974">
      <c r="A8974" t="str">
        <f t="shared" si="1"/>
        <v>lbr#2002</v>
      </c>
      <c r="B8974" t="str">
        <f>IFERROR(__xludf.DUMMYFUNCTION("""COMPUTED_VALUE"""),"lbr")</f>
        <v>lbr</v>
      </c>
      <c r="C8974" t="str">
        <f>IFERROR(__xludf.DUMMYFUNCTION("""COMPUTED_VALUE"""),"Liberia")</f>
        <v>Liberia</v>
      </c>
      <c r="D8974">
        <f>IFERROR(__xludf.DUMMYFUNCTION("""COMPUTED_VALUE"""),2002.0)</f>
        <v>2002</v>
      </c>
      <c r="E8974">
        <f>IFERROR(__xludf.DUMMYFUNCTION("""COMPUTED_VALUE"""),3062863.0)</f>
        <v>3062863</v>
      </c>
    </row>
    <row r="8975">
      <c r="A8975" t="str">
        <f t="shared" si="1"/>
        <v>lbr#2003</v>
      </c>
      <c r="B8975" t="str">
        <f>IFERROR(__xludf.DUMMYFUNCTION("""COMPUTED_VALUE"""),"lbr")</f>
        <v>lbr</v>
      </c>
      <c r="C8975" t="str">
        <f>IFERROR(__xludf.DUMMYFUNCTION("""COMPUTED_VALUE"""),"Liberia")</f>
        <v>Liberia</v>
      </c>
      <c r="D8975">
        <f>IFERROR(__xludf.DUMMYFUNCTION("""COMPUTED_VALUE"""),2003.0)</f>
        <v>2003</v>
      </c>
      <c r="E8975">
        <f>IFERROR(__xludf.DUMMYFUNCTION("""COMPUTED_VALUE"""),3116233.0)</f>
        <v>3116233</v>
      </c>
    </row>
    <row r="8976">
      <c r="A8976" t="str">
        <f t="shared" si="1"/>
        <v>lbr#2004</v>
      </c>
      <c r="B8976" t="str">
        <f>IFERROR(__xludf.DUMMYFUNCTION("""COMPUTED_VALUE"""),"lbr")</f>
        <v>lbr</v>
      </c>
      <c r="C8976" t="str">
        <f>IFERROR(__xludf.DUMMYFUNCTION("""COMPUTED_VALUE"""),"Liberia")</f>
        <v>Liberia</v>
      </c>
      <c r="D8976">
        <f>IFERROR(__xludf.DUMMYFUNCTION("""COMPUTED_VALUE"""),2004.0)</f>
        <v>2004</v>
      </c>
      <c r="E8976">
        <f>IFERROR(__xludf.DUMMYFUNCTION("""COMPUTED_VALUE"""),3176414.0)</f>
        <v>3176414</v>
      </c>
    </row>
    <row r="8977">
      <c r="A8977" t="str">
        <f t="shared" si="1"/>
        <v>lbr#2005</v>
      </c>
      <c r="B8977" t="str">
        <f>IFERROR(__xludf.DUMMYFUNCTION("""COMPUTED_VALUE"""),"lbr")</f>
        <v>lbr</v>
      </c>
      <c r="C8977" t="str">
        <f>IFERROR(__xludf.DUMMYFUNCTION("""COMPUTED_VALUE"""),"Liberia")</f>
        <v>Liberia</v>
      </c>
      <c r="D8977">
        <f>IFERROR(__xludf.DUMMYFUNCTION("""COMPUTED_VALUE"""),2005.0)</f>
        <v>2005</v>
      </c>
      <c r="E8977">
        <f>IFERROR(__xludf.DUMMYFUNCTION("""COMPUTED_VALUE"""),3261230.0)</f>
        <v>3261230</v>
      </c>
    </row>
    <row r="8978">
      <c r="A8978" t="str">
        <f t="shared" si="1"/>
        <v>lbr#2006</v>
      </c>
      <c r="B8978" t="str">
        <f>IFERROR(__xludf.DUMMYFUNCTION("""COMPUTED_VALUE"""),"lbr")</f>
        <v>lbr</v>
      </c>
      <c r="C8978" t="str">
        <f>IFERROR(__xludf.DUMMYFUNCTION("""COMPUTED_VALUE"""),"Liberia")</f>
        <v>Liberia</v>
      </c>
      <c r="D8978">
        <f>IFERROR(__xludf.DUMMYFUNCTION("""COMPUTED_VALUE"""),2006.0)</f>
        <v>2006</v>
      </c>
      <c r="E8978">
        <f>IFERROR(__xludf.DUMMYFUNCTION("""COMPUTED_VALUE"""),3375838.0)</f>
        <v>3375838</v>
      </c>
    </row>
    <row r="8979">
      <c r="A8979" t="str">
        <f t="shared" si="1"/>
        <v>lbr#2007</v>
      </c>
      <c r="B8979" t="str">
        <f>IFERROR(__xludf.DUMMYFUNCTION("""COMPUTED_VALUE"""),"lbr")</f>
        <v>lbr</v>
      </c>
      <c r="C8979" t="str">
        <f>IFERROR(__xludf.DUMMYFUNCTION("""COMPUTED_VALUE"""),"Liberia")</f>
        <v>Liberia</v>
      </c>
      <c r="D8979">
        <f>IFERROR(__xludf.DUMMYFUNCTION("""COMPUTED_VALUE"""),2007.0)</f>
        <v>2007</v>
      </c>
      <c r="E8979">
        <f>IFERROR(__xludf.DUMMYFUNCTION("""COMPUTED_VALUE"""),3512932.0)</f>
        <v>3512932</v>
      </c>
    </row>
    <row r="8980">
      <c r="A8980" t="str">
        <f t="shared" si="1"/>
        <v>lbr#2008</v>
      </c>
      <c r="B8980" t="str">
        <f>IFERROR(__xludf.DUMMYFUNCTION("""COMPUTED_VALUE"""),"lbr")</f>
        <v>lbr</v>
      </c>
      <c r="C8980" t="str">
        <f>IFERROR(__xludf.DUMMYFUNCTION("""COMPUTED_VALUE"""),"Liberia")</f>
        <v>Liberia</v>
      </c>
      <c r="D8980">
        <f>IFERROR(__xludf.DUMMYFUNCTION("""COMPUTED_VALUE"""),2008.0)</f>
        <v>2008</v>
      </c>
      <c r="E8980">
        <f>IFERROR(__xludf.DUMMYFUNCTION("""COMPUTED_VALUE"""),3662993.0)</f>
        <v>3662993</v>
      </c>
    </row>
    <row r="8981">
      <c r="A8981" t="str">
        <f t="shared" si="1"/>
        <v>lbr#2009</v>
      </c>
      <c r="B8981" t="str">
        <f>IFERROR(__xludf.DUMMYFUNCTION("""COMPUTED_VALUE"""),"lbr")</f>
        <v>lbr</v>
      </c>
      <c r="C8981" t="str">
        <f>IFERROR(__xludf.DUMMYFUNCTION("""COMPUTED_VALUE"""),"Liberia")</f>
        <v>Liberia</v>
      </c>
      <c r="D8981">
        <f>IFERROR(__xludf.DUMMYFUNCTION("""COMPUTED_VALUE"""),2009.0)</f>
        <v>2009</v>
      </c>
      <c r="E8981">
        <f>IFERROR(__xludf.DUMMYFUNCTION("""COMPUTED_VALUE"""),3811528.0)</f>
        <v>3811528</v>
      </c>
    </row>
    <row r="8982">
      <c r="A8982" t="str">
        <f t="shared" si="1"/>
        <v>lbr#2010</v>
      </c>
      <c r="B8982" t="str">
        <f>IFERROR(__xludf.DUMMYFUNCTION("""COMPUTED_VALUE"""),"lbr")</f>
        <v>lbr</v>
      </c>
      <c r="C8982" t="str">
        <f>IFERROR(__xludf.DUMMYFUNCTION("""COMPUTED_VALUE"""),"Liberia")</f>
        <v>Liberia</v>
      </c>
      <c r="D8982">
        <f>IFERROR(__xludf.DUMMYFUNCTION("""COMPUTED_VALUE"""),2010.0)</f>
        <v>2010</v>
      </c>
      <c r="E8982">
        <f>IFERROR(__xludf.DUMMYFUNCTION("""COMPUTED_VALUE"""),3948125.0)</f>
        <v>3948125</v>
      </c>
    </row>
    <row r="8983">
      <c r="A8983" t="str">
        <f t="shared" si="1"/>
        <v>lbr#2011</v>
      </c>
      <c r="B8983" t="str">
        <f>IFERROR(__xludf.DUMMYFUNCTION("""COMPUTED_VALUE"""),"lbr")</f>
        <v>lbr</v>
      </c>
      <c r="C8983" t="str">
        <f>IFERROR(__xludf.DUMMYFUNCTION("""COMPUTED_VALUE"""),"Liberia")</f>
        <v>Liberia</v>
      </c>
      <c r="D8983">
        <f>IFERROR(__xludf.DUMMYFUNCTION("""COMPUTED_VALUE"""),2011.0)</f>
        <v>2011</v>
      </c>
      <c r="E8983">
        <f>IFERROR(__xludf.DUMMYFUNCTION("""COMPUTED_VALUE"""),4070167.0)</f>
        <v>4070167</v>
      </c>
    </row>
    <row r="8984">
      <c r="A8984" t="str">
        <f t="shared" si="1"/>
        <v>lbr#2012</v>
      </c>
      <c r="B8984" t="str">
        <f>IFERROR(__xludf.DUMMYFUNCTION("""COMPUTED_VALUE"""),"lbr")</f>
        <v>lbr</v>
      </c>
      <c r="C8984" t="str">
        <f>IFERROR(__xludf.DUMMYFUNCTION("""COMPUTED_VALUE"""),"Liberia")</f>
        <v>Liberia</v>
      </c>
      <c r="D8984">
        <f>IFERROR(__xludf.DUMMYFUNCTION("""COMPUTED_VALUE"""),2012.0)</f>
        <v>2012</v>
      </c>
      <c r="E8984">
        <f>IFERROR(__xludf.DUMMYFUNCTION("""COMPUTED_VALUE"""),4181563.0)</f>
        <v>4181563</v>
      </c>
    </row>
    <row r="8985">
      <c r="A8985" t="str">
        <f t="shared" si="1"/>
        <v>lbr#2013</v>
      </c>
      <c r="B8985" t="str">
        <f>IFERROR(__xludf.DUMMYFUNCTION("""COMPUTED_VALUE"""),"lbr")</f>
        <v>lbr</v>
      </c>
      <c r="C8985" t="str">
        <f>IFERROR(__xludf.DUMMYFUNCTION("""COMPUTED_VALUE"""),"Liberia")</f>
        <v>Liberia</v>
      </c>
      <c r="D8985">
        <f>IFERROR(__xludf.DUMMYFUNCTION("""COMPUTED_VALUE"""),2013.0)</f>
        <v>2013</v>
      </c>
      <c r="E8985">
        <f>IFERROR(__xludf.DUMMYFUNCTION("""COMPUTED_VALUE"""),4286291.0)</f>
        <v>4286291</v>
      </c>
    </row>
    <row r="8986">
      <c r="A8986" t="str">
        <f t="shared" si="1"/>
        <v>lbr#2014</v>
      </c>
      <c r="B8986" t="str">
        <f>IFERROR(__xludf.DUMMYFUNCTION("""COMPUTED_VALUE"""),"lbr")</f>
        <v>lbr</v>
      </c>
      <c r="C8986" t="str">
        <f>IFERROR(__xludf.DUMMYFUNCTION("""COMPUTED_VALUE"""),"Liberia")</f>
        <v>Liberia</v>
      </c>
      <c r="D8986">
        <f>IFERROR(__xludf.DUMMYFUNCTION("""COMPUTED_VALUE"""),2014.0)</f>
        <v>2014</v>
      </c>
      <c r="E8986">
        <f>IFERROR(__xludf.DUMMYFUNCTION("""COMPUTED_VALUE"""),4390737.0)</f>
        <v>4390737</v>
      </c>
    </row>
    <row r="8987">
      <c r="A8987" t="str">
        <f t="shared" si="1"/>
        <v>lbr#2015</v>
      </c>
      <c r="B8987" t="str">
        <f>IFERROR(__xludf.DUMMYFUNCTION("""COMPUTED_VALUE"""),"lbr")</f>
        <v>lbr</v>
      </c>
      <c r="C8987" t="str">
        <f>IFERROR(__xludf.DUMMYFUNCTION("""COMPUTED_VALUE"""),"Liberia")</f>
        <v>Liberia</v>
      </c>
      <c r="D8987">
        <f>IFERROR(__xludf.DUMMYFUNCTION("""COMPUTED_VALUE"""),2015.0)</f>
        <v>2015</v>
      </c>
      <c r="E8987">
        <f>IFERROR(__xludf.DUMMYFUNCTION("""COMPUTED_VALUE"""),4499621.0)</f>
        <v>4499621</v>
      </c>
    </row>
    <row r="8988">
      <c r="A8988" t="str">
        <f t="shared" si="1"/>
        <v>lbr#2016</v>
      </c>
      <c r="B8988" t="str">
        <f>IFERROR(__xludf.DUMMYFUNCTION("""COMPUTED_VALUE"""),"lbr")</f>
        <v>lbr</v>
      </c>
      <c r="C8988" t="str">
        <f>IFERROR(__xludf.DUMMYFUNCTION("""COMPUTED_VALUE"""),"Liberia")</f>
        <v>Liberia</v>
      </c>
      <c r="D8988">
        <f>IFERROR(__xludf.DUMMYFUNCTION("""COMPUTED_VALUE"""),2016.0)</f>
        <v>2016</v>
      </c>
      <c r="E8988">
        <f>IFERROR(__xludf.DUMMYFUNCTION("""COMPUTED_VALUE"""),4613823.0)</f>
        <v>4613823</v>
      </c>
    </row>
    <row r="8989">
      <c r="A8989" t="str">
        <f t="shared" si="1"/>
        <v>lbr#2017</v>
      </c>
      <c r="B8989" t="str">
        <f>IFERROR(__xludf.DUMMYFUNCTION("""COMPUTED_VALUE"""),"lbr")</f>
        <v>lbr</v>
      </c>
      <c r="C8989" t="str">
        <f>IFERROR(__xludf.DUMMYFUNCTION("""COMPUTED_VALUE"""),"Liberia")</f>
        <v>Liberia</v>
      </c>
      <c r="D8989">
        <f>IFERROR(__xludf.DUMMYFUNCTION("""COMPUTED_VALUE"""),2017.0)</f>
        <v>2017</v>
      </c>
      <c r="E8989">
        <f>IFERROR(__xludf.DUMMYFUNCTION("""COMPUTED_VALUE"""),4731906.0)</f>
        <v>4731906</v>
      </c>
    </row>
    <row r="8990">
      <c r="A8990" t="str">
        <f t="shared" si="1"/>
        <v>lbr#2018</v>
      </c>
      <c r="B8990" t="str">
        <f>IFERROR(__xludf.DUMMYFUNCTION("""COMPUTED_VALUE"""),"lbr")</f>
        <v>lbr</v>
      </c>
      <c r="C8990" t="str">
        <f>IFERROR(__xludf.DUMMYFUNCTION("""COMPUTED_VALUE"""),"Liberia")</f>
        <v>Liberia</v>
      </c>
      <c r="D8990">
        <f>IFERROR(__xludf.DUMMYFUNCTION("""COMPUTED_VALUE"""),2018.0)</f>
        <v>2018</v>
      </c>
      <c r="E8990">
        <f>IFERROR(__xludf.DUMMYFUNCTION("""COMPUTED_VALUE"""),4853516.0)</f>
        <v>4853516</v>
      </c>
    </row>
    <row r="8991">
      <c r="A8991" t="str">
        <f t="shared" si="1"/>
        <v>lbr#2019</v>
      </c>
      <c r="B8991" t="str">
        <f>IFERROR(__xludf.DUMMYFUNCTION("""COMPUTED_VALUE"""),"lbr")</f>
        <v>lbr</v>
      </c>
      <c r="C8991" t="str">
        <f>IFERROR(__xludf.DUMMYFUNCTION("""COMPUTED_VALUE"""),"Liberia")</f>
        <v>Liberia</v>
      </c>
      <c r="D8991">
        <f>IFERROR(__xludf.DUMMYFUNCTION("""COMPUTED_VALUE"""),2019.0)</f>
        <v>2019</v>
      </c>
      <c r="E8991">
        <f>IFERROR(__xludf.DUMMYFUNCTION("""COMPUTED_VALUE"""),4977720.0)</f>
        <v>4977720</v>
      </c>
    </row>
    <row r="8992">
      <c r="A8992" t="str">
        <f t="shared" si="1"/>
        <v>lbr#2020</v>
      </c>
      <c r="B8992" t="str">
        <f>IFERROR(__xludf.DUMMYFUNCTION("""COMPUTED_VALUE"""),"lbr")</f>
        <v>lbr</v>
      </c>
      <c r="C8992" t="str">
        <f>IFERROR(__xludf.DUMMYFUNCTION("""COMPUTED_VALUE"""),"Liberia")</f>
        <v>Liberia</v>
      </c>
      <c r="D8992">
        <f>IFERROR(__xludf.DUMMYFUNCTION("""COMPUTED_VALUE"""),2020.0)</f>
        <v>2020</v>
      </c>
      <c r="E8992">
        <f>IFERROR(__xludf.DUMMYFUNCTION("""COMPUTED_VALUE"""),5103853.0)</f>
        <v>5103853</v>
      </c>
    </row>
    <row r="8993">
      <c r="A8993" t="str">
        <f t="shared" si="1"/>
        <v>lbr#2021</v>
      </c>
      <c r="B8993" t="str">
        <f>IFERROR(__xludf.DUMMYFUNCTION("""COMPUTED_VALUE"""),"lbr")</f>
        <v>lbr</v>
      </c>
      <c r="C8993" t="str">
        <f>IFERROR(__xludf.DUMMYFUNCTION("""COMPUTED_VALUE"""),"Liberia")</f>
        <v>Liberia</v>
      </c>
      <c r="D8993">
        <f>IFERROR(__xludf.DUMMYFUNCTION("""COMPUTED_VALUE"""),2021.0)</f>
        <v>2021</v>
      </c>
      <c r="E8993">
        <f>IFERROR(__xludf.DUMMYFUNCTION("""COMPUTED_VALUE"""),5232082.0)</f>
        <v>5232082</v>
      </c>
    </row>
    <row r="8994">
      <c r="A8994" t="str">
        <f t="shared" si="1"/>
        <v>lbr#2022</v>
      </c>
      <c r="B8994" t="str">
        <f>IFERROR(__xludf.DUMMYFUNCTION("""COMPUTED_VALUE"""),"lbr")</f>
        <v>lbr</v>
      </c>
      <c r="C8994" t="str">
        <f>IFERROR(__xludf.DUMMYFUNCTION("""COMPUTED_VALUE"""),"Liberia")</f>
        <v>Liberia</v>
      </c>
      <c r="D8994">
        <f>IFERROR(__xludf.DUMMYFUNCTION("""COMPUTED_VALUE"""),2022.0)</f>
        <v>2022</v>
      </c>
      <c r="E8994">
        <f>IFERROR(__xludf.DUMMYFUNCTION("""COMPUTED_VALUE"""),5362863.0)</f>
        <v>5362863</v>
      </c>
    </row>
    <row r="8995">
      <c r="A8995" t="str">
        <f t="shared" si="1"/>
        <v>lbr#2023</v>
      </c>
      <c r="B8995" t="str">
        <f>IFERROR(__xludf.DUMMYFUNCTION("""COMPUTED_VALUE"""),"lbr")</f>
        <v>lbr</v>
      </c>
      <c r="C8995" t="str">
        <f>IFERROR(__xludf.DUMMYFUNCTION("""COMPUTED_VALUE"""),"Liberia")</f>
        <v>Liberia</v>
      </c>
      <c r="D8995">
        <f>IFERROR(__xludf.DUMMYFUNCTION("""COMPUTED_VALUE"""),2023.0)</f>
        <v>2023</v>
      </c>
      <c r="E8995">
        <f>IFERROR(__xludf.DUMMYFUNCTION("""COMPUTED_VALUE"""),5496177.0)</f>
        <v>5496177</v>
      </c>
    </row>
    <row r="8996">
      <c r="A8996" t="str">
        <f t="shared" si="1"/>
        <v>lbr#2024</v>
      </c>
      <c r="B8996" t="str">
        <f>IFERROR(__xludf.DUMMYFUNCTION("""COMPUTED_VALUE"""),"lbr")</f>
        <v>lbr</v>
      </c>
      <c r="C8996" t="str">
        <f>IFERROR(__xludf.DUMMYFUNCTION("""COMPUTED_VALUE"""),"Liberia")</f>
        <v>Liberia</v>
      </c>
      <c r="D8996">
        <f>IFERROR(__xludf.DUMMYFUNCTION("""COMPUTED_VALUE"""),2024.0)</f>
        <v>2024</v>
      </c>
      <c r="E8996">
        <f>IFERROR(__xludf.DUMMYFUNCTION("""COMPUTED_VALUE"""),5631939.0)</f>
        <v>5631939</v>
      </c>
    </row>
    <row r="8997">
      <c r="A8997" t="str">
        <f t="shared" si="1"/>
        <v>lbr#2025</v>
      </c>
      <c r="B8997" t="str">
        <f>IFERROR(__xludf.DUMMYFUNCTION("""COMPUTED_VALUE"""),"lbr")</f>
        <v>lbr</v>
      </c>
      <c r="C8997" t="str">
        <f>IFERROR(__xludf.DUMMYFUNCTION("""COMPUTED_VALUE"""),"Liberia")</f>
        <v>Liberia</v>
      </c>
      <c r="D8997">
        <f>IFERROR(__xludf.DUMMYFUNCTION("""COMPUTED_VALUE"""),2025.0)</f>
        <v>2025</v>
      </c>
      <c r="E8997">
        <f>IFERROR(__xludf.DUMMYFUNCTION("""COMPUTED_VALUE"""),5770096.0)</f>
        <v>5770096</v>
      </c>
    </row>
    <row r="8998">
      <c r="A8998" t="str">
        <f t="shared" si="1"/>
        <v>lbr#2026</v>
      </c>
      <c r="B8998" t="str">
        <f>IFERROR(__xludf.DUMMYFUNCTION("""COMPUTED_VALUE"""),"lbr")</f>
        <v>lbr</v>
      </c>
      <c r="C8998" t="str">
        <f>IFERROR(__xludf.DUMMYFUNCTION("""COMPUTED_VALUE"""),"Liberia")</f>
        <v>Liberia</v>
      </c>
      <c r="D8998">
        <f>IFERROR(__xludf.DUMMYFUNCTION("""COMPUTED_VALUE"""),2026.0)</f>
        <v>2026</v>
      </c>
      <c r="E8998">
        <f>IFERROR(__xludf.DUMMYFUNCTION("""COMPUTED_VALUE"""),5910628.0)</f>
        <v>5910628</v>
      </c>
    </row>
    <row r="8999">
      <c r="A8999" t="str">
        <f t="shared" si="1"/>
        <v>lbr#2027</v>
      </c>
      <c r="B8999" t="str">
        <f>IFERROR(__xludf.DUMMYFUNCTION("""COMPUTED_VALUE"""),"lbr")</f>
        <v>lbr</v>
      </c>
      <c r="C8999" t="str">
        <f>IFERROR(__xludf.DUMMYFUNCTION("""COMPUTED_VALUE"""),"Liberia")</f>
        <v>Liberia</v>
      </c>
      <c r="D8999">
        <f>IFERROR(__xludf.DUMMYFUNCTION("""COMPUTED_VALUE"""),2027.0)</f>
        <v>2027</v>
      </c>
      <c r="E8999">
        <f>IFERROR(__xludf.DUMMYFUNCTION("""COMPUTED_VALUE"""),6053511.0)</f>
        <v>6053511</v>
      </c>
    </row>
    <row r="9000">
      <c r="A9000" t="str">
        <f t="shared" si="1"/>
        <v>lbr#2028</v>
      </c>
      <c r="B9000" t="str">
        <f>IFERROR(__xludf.DUMMYFUNCTION("""COMPUTED_VALUE"""),"lbr")</f>
        <v>lbr</v>
      </c>
      <c r="C9000" t="str">
        <f>IFERROR(__xludf.DUMMYFUNCTION("""COMPUTED_VALUE"""),"Liberia")</f>
        <v>Liberia</v>
      </c>
      <c r="D9000">
        <f>IFERROR(__xludf.DUMMYFUNCTION("""COMPUTED_VALUE"""),2028.0)</f>
        <v>2028</v>
      </c>
      <c r="E9000">
        <f>IFERROR(__xludf.DUMMYFUNCTION("""COMPUTED_VALUE"""),6198650.0)</f>
        <v>6198650</v>
      </c>
    </row>
    <row r="9001">
      <c r="A9001" t="str">
        <f t="shared" si="1"/>
        <v>lbr#2029</v>
      </c>
      <c r="B9001" t="str">
        <f>IFERROR(__xludf.DUMMYFUNCTION("""COMPUTED_VALUE"""),"lbr")</f>
        <v>lbr</v>
      </c>
      <c r="C9001" t="str">
        <f>IFERROR(__xludf.DUMMYFUNCTION("""COMPUTED_VALUE"""),"Liberia")</f>
        <v>Liberia</v>
      </c>
      <c r="D9001">
        <f>IFERROR(__xludf.DUMMYFUNCTION("""COMPUTED_VALUE"""),2029.0)</f>
        <v>2029</v>
      </c>
      <c r="E9001">
        <f>IFERROR(__xludf.DUMMYFUNCTION("""COMPUTED_VALUE"""),6345961.0)</f>
        <v>6345961</v>
      </c>
    </row>
    <row r="9002">
      <c r="A9002" t="str">
        <f t="shared" si="1"/>
        <v>lbr#2030</v>
      </c>
      <c r="B9002" t="str">
        <f>IFERROR(__xludf.DUMMYFUNCTION("""COMPUTED_VALUE"""),"lbr")</f>
        <v>lbr</v>
      </c>
      <c r="C9002" t="str">
        <f>IFERROR(__xludf.DUMMYFUNCTION("""COMPUTED_VALUE"""),"Liberia")</f>
        <v>Liberia</v>
      </c>
      <c r="D9002">
        <f>IFERROR(__xludf.DUMMYFUNCTION("""COMPUTED_VALUE"""),2030.0)</f>
        <v>2030</v>
      </c>
      <c r="E9002">
        <f>IFERROR(__xludf.DUMMYFUNCTION("""COMPUTED_VALUE"""),6495377.0)</f>
        <v>6495377</v>
      </c>
    </row>
    <row r="9003">
      <c r="A9003" t="str">
        <f t="shared" si="1"/>
        <v>lbr#2031</v>
      </c>
      <c r="B9003" t="str">
        <f>IFERROR(__xludf.DUMMYFUNCTION("""COMPUTED_VALUE"""),"lbr")</f>
        <v>lbr</v>
      </c>
      <c r="C9003" t="str">
        <f>IFERROR(__xludf.DUMMYFUNCTION("""COMPUTED_VALUE"""),"Liberia")</f>
        <v>Liberia</v>
      </c>
      <c r="D9003">
        <f>IFERROR(__xludf.DUMMYFUNCTION("""COMPUTED_VALUE"""),2031.0)</f>
        <v>2031</v>
      </c>
      <c r="E9003">
        <f>IFERROR(__xludf.DUMMYFUNCTION("""COMPUTED_VALUE"""),6646813.0)</f>
        <v>6646813</v>
      </c>
    </row>
    <row r="9004">
      <c r="A9004" t="str">
        <f t="shared" si="1"/>
        <v>lbr#2032</v>
      </c>
      <c r="B9004" t="str">
        <f>IFERROR(__xludf.DUMMYFUNCTION("""COMPUTED_VALUE"""),"lbr")</f>
        <v>lbr</v>
      </c>
      <c r="C9004" t="str">
        <f>IFERROR(__xludf.DUMMYFUNCTION("""COMPUTED_VALUE"""),"Liberia")</f>
        <v>Liberia</v>
      </c>
      <c r="D9004">
        <f>IFERROR(__xludf.DUMMYFUNCTION("""COMPUTED_VALUE"""),2032.0)</f>
        <v>2032</v>
      </c>
      <c r="E9004">
        <f>IFERROR(__xludf.DUMMYFUNCTION("""COMPUTED_VALUE"""),6800202.0)</f>
        <v>6800202</v>
      </c>
    </row>
    <row r="9005">
      <c r="A9005" t="str">
        <f t="shared" si="1"/>
        <v>lbr#2033</v>
      </c>
      <c r="B9005" t="str">
        <f>IFERROR(__xludf.DUMMYFUNCTION("""COMPUTED_VALUE"""),"lbr")</f>
        <v>lbr</v>
      </c>
      <c r="C9005" t="str">
        <f>IFERROR(__xludf.DUMMYFUNCTION("""COMPUTED_VALUE"""),"Liberia")</f>
        <v>Liberia</v>
      </c>
      <c r="D9005">
        <f>IFERROR(__xludf.DUMMYFUNCTION("""COMPUTED_VALUE"""),2033.0)</f>
        <v>2033</v>
      </c>
      <c r="E9005">
        <f>IFERROR(__xludf.DUMMYFUNCTION("""COMPUTED_VALUE"""),6955476.0)</f>
        <v>6955476</v>
      </c>
    </row>
    <row r="9006">
      <c r="A9006" t="str">
        <f t="shared" si="1"/>
        <v>lbr#2034</v>
      </c>
      <c r="B9006" t="str">
        <f>IFERROR(__xludf.DUMMYFUNCTION("""COMPUTED_VALUE"""),"lbr")</f>
        <v>lbr</v>
      </c>
      <c r="C9006" t="str">
        <f>IFERROR(__xludf.DUMMYFUNCTION("""COMPUTED_VALUE"""),"Liberia")</f>
        <v>Liberia</v>
      </c>
      <c r="D9006">
        <f>IFERROR(__xludf.DUMMYFUNCTION("""COMPUTED_VALUE"""),2034.0)</f>
        <v>2034</v>
      </c>
      <c r="E9006">
        <f>IFERROR(__xludf.DUMMYFUNCTION("""COMPUTED_VALUE"""),7112532.0)</f>
        <v>7112532</v>
      </c>
    </row>
    <row r="9007">
      <c r="A9007" t="str">
        <f t="shared" si="1"/>
        <v>lbr#2035</v>
      </c>
      <c r="B9007" t="str">
        <f>IFERROR(__xludf.DUMMYFUNCTION("""COMPUTED_VALUE"""),"lbr")</f>
        <v>lbr</v>
      </c>
      <c r="C9007" t="str">
        <f>IFERROR(__xludf.DUMMYFUNCTION("""COMPUTED_VALUE"""),"Liberia")</f>
        <v>Liberia</v>
      </c>
      <c r="D9007">
        <f>IFERROR(__xludf.DUMMYFUNCTION("""COMPUTED_VALUE"""),2035.0)</f>
        <v>2035</v>
      </c>
      <c r="E9007">
        <f>IFERROR(__xludf.DUMMYFUNCTION("""COMPUTED_VALUE"""),7271261.0)</f>
        <v>7271261</v>
      </c>
    </row>
    <row r="9008">
      <c r="A9008" t="str">
        <f t="shared" si="1"/>
        <v>lbr#2036</v>
      </c>
      <c r="B9008" t="str">
        <f>IFERROR(__xludf.DUMMYFUNCTION("""COMPUTED_VALUE"""),"lbr")</f>
        <v>lbr</v>
      </c>
      <c r="C9008" t="str">
        <f>IFERROR(__xludf.DUMMYFUNCTION("""COMPUTED_VALUE"""),"Liberia")</f>
        <v>Liberia</v>
      </c>
      <c r="D9008">
        <f>IFERROR(__xludf.DUMMYFUNCTION("""COMPUTED_VALUE"""),2036.0)</f>
        <v>2036</v>
      </c>
      <c r="E9008">
        <f>IFERROR(__xludf.DUMMYFUNCTION("""COMPUTED_VALUE"""),7431614.0)</f>
        <v>7431614</v>
      </c>
    </row>
    <row r="9009">
      <c r="A9009" t="str">
        <f t="shared" si="1"/>
        <v>lbr#2037</v>
      </c>
      <c r="B9009" t="str">
        <f>IFERROR(__xludf.DUMMYFUNCTION("""COMPUTED_VALUE"""),"lbr")</f>
        <v>lbr</v>
      </c>
      <c r="C9009" t="str">
        <f>IFERROR(__xludf.DUMMYFUNCTION("""COMPUTED_VALUE"""),"Liberia")</f>
        <v>Liberia</v>
      </c>
      <c r="D9009">
        <f>IFERROR(__xludf.DUMMYFUNCTION("""COMPUTED_VALUE"""),2037.0)</f>
        <v>2037</v>
      </c>
      <c r="E9009">
        <f>IFERROR(__xludf.DUMMYFUNCTION("""COMPUTED_VALUE"""),7593499.0)</f>
        <v>7593499</v>
      </c>
    </row>
    <row r="9010">
      <c r="A9010" t="str">
        <f t="shared" si="1"/>
        <v>lbr#2038</v>
      </c>
      <c r="B9010" t="str">
        <f>IFERROR(__xludf.DUMMYFUNCTION("""COMPUTED_VALUE"""),"lbr")</f>
        <v>lbr</v>
      </c>
      <c r="C9010" t="str">
        <f>IFERROR(__xludf.DUMMYFUNCTION("""COMPUTED_VALUE"""),"Liberia")</f>
        <v>Liberia</v>
      </c>
      <c r="D9010">
        <f>IFERROR(__xludf.DUMMYFUNCTION("""COMPUTED_VALUE"""),2038.0)</f>
        <v>2038</v>
      </c>
      <c r="E9010">
        <f>IFERROR(__xludf.DUMMYFUNCTION("""COMPUTED_VALUE"""),7756851.0)</f>
        <v>7756851</v>
      </c>
    </row>
    <row r="9011">
      <c r="A9011" t="str">
        <f t="shared" si="1"/>
        <v>lbr#2039</v>
      </c>
      <c r="B9011" t="str">
        <f>IFERROR(__xludf.DUMMYFUNCTION("""COMPUTED_VALUE"""),"lbr")</f>
        <v>lbr</v>
      </c>
      <c r="C9011" t="str">
        <f>IFERROR(__xludf.DUMMYFUNCTION("""COMPUTED_VALUE"""),"Liberia")</f>
        <v>Liberia</v>
      </c>
      <c r="D9011">
        <f>IFERROR(__xludf.DUMMYFUNCTION("""COMPUTED_VALUE"""),2039.0)</f>
        <v>2039</v>
      </c>
      <c r="E9011">
        <f>IFERROR(__xludf.DUMMYFUNCTION("""COMPUTED_VALUE"""),7921578.0)</f>
        <v>7921578</v>
      </c>
    </row>
    <row r="9012">
      <c r="A9012" t="str">
        <f t="shared" si="1"/>
        <v>lbr#2040</v>
      </c>
      <c r="B9012" t="str">
        <f>IFERROR(__xludf.DUMMYFUNCTION("""COMPUTED_VALUE"""),"lbr")</f>
        <v>lbr</v>
      </c>
      <c r="C9012" t="str">
        <f>IFERROR(__xludf.DUMMYFUNCTION("""COMPUTED_VALUE"""),"Liberia")</f>
        <v>Liberia</v>
      </c>
      <c r="D9012">
        <f>IFERROR(__xludf.DUMMYFUNCTION("""COMPUTED_VALUE"""),2040.0)</f>
        <v>2040</v>
      </c>
      <c r="E9012">
        <f>IFERROR(__xludf.DUMMYFUNCTION("""COMPUTED_VALUE"""),8087611.0)</f>
        <v>8087611</v>
      </c>
    </row>
    <row r="9013">
      <c r="A9013" t="str">
        <f t="shared" si="1"/>
        <v>lby#1950</v>
      </c>
      <c r="B9013" t="str">
        <f>IFERROR(__xludf.DUMMYFUNCTION("""COMPUTED_VALUE"""),"lby")</f>
        <v>lby</v>
      </c>
      <c r="C9013" t="str">
        <f>IFERROR(__xludf.DUMMYFUNCTION("""COMPUTED_VALUE"""),"Libya")</f>
        <v>Libya</v>
      </c>
      <c r="D9013">
        <f>IFERROR(__xludf.DUMMYFUNCTION("""COMPUTED_VALUE"""),1950.0)</f>
        <v>1950</v>
      </c>
      <c r="E9013">
        <f>IFERROR(__xludf.DUMMYFUNCTION("""COMPUTED_VALUE"""),1124515.0)</f>
        <v>1124515</v>
      </c>
    </row>
    <row r="9014">
      <c r="A9014" t="str">
        <f t="shared" si="1"/>
        <v>lby#1951</v>
      </c>
      <c r="B9014" t="str">
        <f>IFERROR(__xludf.DUMMYFUNCTION("""COMPUTED_VALUE"""),"lby")</f>
        <v>lby</v>
      </c>
      <c r="C9014" t="str">
        <f>IFERROR(__xludf.DUMMYFUNCTION("""COMPUTED_VALUE"""),"Libya")</f>
        <v>Libya</v>
      </c>
      <c r="D9014">
        <f>IFERROR(__xludf.DUMMYFUNCTION("""COMPUTED_VALUE"""),1951.0)</f>
        <v>1951</v>
      </c>
      <c r="E9014">
        <f>IFERROR(__xludf.DUMMYFUNCTION("""COMPUTED_VALUE"""),1142972.0)</f>
        <v>1142972</v>
      </c>
    </row>
    <row r="9015">
      <c r="A9015" t="str">
        <f t="shared" si="1"/>
        <v>lby#1952</v>
      </c>
      <c r="B9015" t="str">
        <f>IFERROR(__xludf.DUMMYFUNCTION("""COMPUTED_VALUE"""),"lby")</f>
        <v>lby</v>
      </c>
      <c r="C9015" t="str">
        <f>IFERROR(__xludf.DUMMYFUNCTION("""COMPUTED_VALUE"""),"Libya")</f>
        <v>Libya</v>
      </c>
      <c r="D9015">
        <f>IFERROR(__xludf.DUMMYFUNCTION("""COMPUTED_VALUE"""),1952.0)</f>
        <v>1952</v>
      </c>
      <c r="E9015">
        <f>IFERROR(__xludf.DUMMYFUNCTION("""COMPUTED_VALUE"""),1163891.0)</f>
        <v>1163891</v>
      </c>
    </row>
    <row r="9016">
      <c r="A9016" t="str">
        <f t="shared" si="1"/>
        <v>lby#1953</v>
      </c>
      <c r="B9016" t="str">
        <f>IFERROR(__xludf.DUMMYFUNCTION("""COMPUTED_VALUE"""),"lby")</f>
        <v>lby</v>
      </c>
      <c r="C9016" t="str">
        <f>IFERROR(__xludf.DUMMYFUNCTION("""COMPUTED_VALUE"""),"Libya")</f>
        <v>Libya</v>
      </c>
      <c r="D9016">
        <f>IFERROR(__xludf.DUMMYFUNCTION("""COMPUTED_VALUE"""),1953.0)</f>
        <v>1953</v>
      </c>
      <c r="E9016">
        <f>IFERROR(__xludf.DUMMYFUNCTION("""COMPUTED_VALUE"""),1187734.0)</f>
        <v>1187734</v>
      </c>
    </row>
    <row r="9017">
      <c r="A9017" t="str">
        <f t="shared" si="1"/>
        <v>lby#1954</v>
      </c>
      <c r="B9017" t="str">
        <f>IFERROR(__xludf.DUMMYFUNCTION("""COMPUTED_VALUE"""),"lby")</f>
        <v>lby</v>
      </c>
      <c r="C9017" t="str">
        <f>IFERROR(__xludf.DUMMYFUNCTION("""COMPUTED_VALUE"""),"Libya")</f>
        <v>Libya</v>
      </c>
      <c r="D9017">
        <f>IFERROR(__xludf.DUMMYFUNCTION("""COMPUTED_VALUE"""),1954.0)</f>
        <v>1954</v>
      </c>
      <c r="E9017">
        <f>IFERROR(__xludf.DUMMYFUNCTION("""COMPUTED_VALUE"""),1214827.0)</f>
        <v>1214827</v>
      </c>
    </row>
    <row r="9018">
      <c r="A9018" t="str">
        <f t="shared" si="1"/>
        <v>lby#1955</v>
      </c>
      <c r="B9018" t="str">
        <f>IFERROR(__xludf.DUMMYFUNCTION("""COMPUTED_VALUE"""),"lby")</f>
        <v>lby</v>
      </c>
      <c r="C9018" t="str">
        <f>IFERROR(__xludf.DUMMYFUNCTION("""COMPUTED_VALUE"""),"Libya")</f>
        <v>Libya</v>
      </c>
      <c r="D9018">
        <f>IFERROR(__xludf.DUMMYFUNCTION("""COMPUTED_VALUE"""),1955.0)</f>
        <v>1955</v>
      </c>
      <c r="E9018">
        <f>IFERROR(__xludf.DUMMYFUNCTION("""COMPUTED_VALUE"""),1245358.0)</f>
        <v>1245358</v>
      </c>
    </row>
    <row r="9019">
      <c r="A9019" t="str">
        <f t="shared" si="1"/>
        <v>lby#1956</v>
      </c>
      <c r="B9019" t="str">
        <f>IFERROR(__xludf.DUMMYFUNCTION("""COMPUTED_VALUE"""),"lby")</f>
        <v>lby</v>
      </c>
      <c r="C9019" t="str">
        <f>IFERROR(__xludf.DUMMYFUNCTION("""COMPUTED_VALUE"""),"Libya")</f>
        <v>Libya</v>
      </c>
      <c r="D9019">
        <f>IFERROR(__xludf.DUMMYFUNCTION("""COMPUTED_VALUE"""),1956.0)</f>
        <v>1956</v>
      </c>
      <c r="E9019">
        <f>IFERROR(__xludf.DUMMYFUNCTION("""COMPUTED_VALUE"""),1279406.0)</f>
        <v>1279406</v>
      </c>
    </row>
    <row r="9020">
      <c r="A9020" t="str">
        <f t="shared" si="1"/>
        <v>lby#1957</v>
      </c>
      <c r="B9020" t="str">
        <f>IFERROR(__xludf.DUMMYFUNCTION("""COMPUTED_VALUE"""),"lby")</f>
        <v>lby</v>
      </c>
      <c r="C9020" t="str">
        <f>IFERROR(__xludf.DUMMYFUNCTION("""COMPUTED_VALUE"""),"Libya")</f>
        <v>Libya</v>
      </c>
      <c r="D9020">
        <f>IFERROR(__xludf.DUMMYFUNCTION("""COMPUTED_VALUE"""),1957.0)</f>
        <v>1957</v>
      </c>
      <c r="E9020">
        <f>IFERROR(__xludf.DUMMYFUNCTION("""COMPUTED_VALUE"""),1316911.0)</f>
        <v>1316911</v>
      </c>
    </row>
    <row r="9021">
      <c r="A9021" t="str">
        <f t="shared" si="1"/>
        <v>lby#1958</v>
      </c>
      <c r="B9021" t="str">
        <f>IFERROR(__xludf.DUMMYFUNCTION("""COMPUTED_VALUE"""),"lby")</f>
        <v>lby</v>
      </c>
      <c r="C9021" t="str">
        <f>IFERROR(__xludf.DUMMYFUNCTION("""COMPUTED_VALUE"""),"Libya")</f>
        <v>Libya</v>
      </c>
      <c r="D9021">
        <f>IFERROR(__xludf.DUMMYFUNCTION("""COMPUTED_VALUE"""),1958.0)</f>
        <v>1958</v>
      </c>
      <c r="E9021">
        <f>IFERROR(__xludf.DUMMYFUNCTION("""COMPUTED_VALUE"""),1357732.0)</f>
        <v>1357732</v>
      </c>
    </row>
    <row r="9022">
      <c r="A9022" t="str">
        <f t="shared" si="1"/>
        <v>lby#1959</v>
      </c>
      <c r="B9022" t="str">
        <f>IFERROR(__xludf.DUMMYFUNCTION("""COMPUTED_VALUE"""),"lby")</f>
        <v>lby</v>
      </c>
      <c r="C9022" t="str">
        <f>IFERROR(__xludf.DUMMYFUNCTION("""COMPUTED_VALUE"""),"Libya")</f>
        <v>Libya</v>
      </c>
      <c r="D9022">
        <f>IFERROR(__xludf.DUMMYFUNCTION("""COMPUTED_VALUE"""),1959.0)</f>
        <v>1959</v>
      </c>
      <c r="E9022">
        <f>IFERROR(__xludf.DUMMYFUNCTION("""COMPUTED_VALUE"""),1401620.0)</f>
        <v>1401620</v>
      </c>
    </row>
    <row r="9023">
      <c r="A9023" t="str">
        <f t="shared" si="1"/>
        <v>lby#1960</v>
      </c>
      <c r="B9023" t="str">
        <f>IFERROR(__xludf.DUMMYFUNCTION("""COMPUTED_VALUE"""),"lby")</f>
        <v>lby</v>
      </c>
      <c r="C9023" t="str">
        <f>IFERROR(__xludf.DUMMYFUNCTION("""COMPUTED_VALUE"""),"Libya")</f>
        <v>Libya</v>
      </c>
      <c r="D9023">
        <f>IFERROR(__xludf.DUMMYFUNCTION("""COMPUTED_VALUE"""),1960.0)</f>
        <v>1960</v>
      </c>
      <c r="E9023">
        <f>IFERROR(__xludf.DUMMYFUNCTION("""COMPUTED_VALUE"""),1448417.0)</f>
        <v>1448417</v>
      </c>
    </row>
    <row r="9024">
      <c r="A9024" t="str">
        <f t="shared" si="1"/>
        <v>lby#1961</v>
      </c>
      <c r="B9024" t="str">
        <f>IFERROR(__xludf.DUMMYFUNCTION("""COMPUTED_VALUE"""),"lby")</f>
        <v>lby</v>
      </c>
      <c r="C9024" t="str">
        <f>IFERROR(__xludf.DUMMYFUNCTION("""COMPUTED_VALUE"""),"Libya")</f>
        <v>Libya</v>
      </c>
      <c r="D9024">
        <f>IFERROR(__xludf.DUMMYFUNCTION("""COMPUTED_VALUE"""),1961.0)</f>
        <v>1961</v>
      </c>
      <c r="E9024">
        <f>IFERROR(__xludf.DUMMYFUNCTION("""COMPUTED_VALUE"""),1498071.0)</f>
        <v>1498071</v>
      </c>
    </row>
    <row r="9025">
      <c r="A9025" t="str">
        <f t="shared" si="1"/>
        <v>lby#1962</v>
      </c>
      <c r="B9025" t="str">
        <f>IFERROR(__xludf.DUMMYFUNCTION("""COMPUTED_VALUE"""),"lby")</f>
        <v>lby</v>
      </c>
      <c r="C9025" t="str">
        <f>IFERROR(__xludf.DUMMYFUNCTION("""COMPUTED_VALUE"""),"Libya")</f>
        <v>Libya</v>
      </c>
      <c r="D9025">
        <f>IFERROR(__xludf.DUMMYFUNCTION("""COMPUTED_VALUE"""),1962.0)</f>
        <v>1962</v>
      </c>
      <c r="E9025">
        <f>IFERROR(__xludf.DUMMYFUNCTION("""COMPUTED_VALUE"""),1550813.0)</f>
        <v>1550813</v>
      </c>
    </row>
    <row r="9026">
      <c r="A9026" t="str">
        <f t="shared" si="1"/>
        <v>lby#1963</v>
      </c>
      <c r="B9026" t="str">
        <f>IFERROR(__xludf.DUMMYFUNCTION("""COMPUTED_VALUE"""),"lby")</f>
        <v>lby</v>
      </c>
      <c r="C9026" t="str">
        <f>IFERROR(__xludf.DUMMYFUNCTION("""COMPUTED_VALUE"""),"Libya")</f>
        <v>Libya</v>
      </c>
      <c r="D9026">
        <f>IFERROR(__xludf.DUMMYFUNCTION("""COMPUTED_VALUE"""),1963.0)</f>
        <v>1963</v>
      </c>
      <c r="E9026">
        <f>IFERROR(__xludf.DUMMYFUNCTION("""COMPUTED_VALUE"""),1607171.0)</f>
        <v>1607171</v>
      </c>
    </row>
    <row r="9027">
      <c r="A9027" t="str">
        <f t="shared" si="1"/>
        <v>lby#1964</v>
      </c>
      <c r="B9027" t="str">
        <f>IFERROR(__xludf.DUMMYFUNCTION("""COMPUTED_VALUE"""),"lby")</f>
        <v>lby</v>
      </c>
      <c r="C9027" t="str">
        <f>IFERROR(__xludf.DUMMYFUNCTION("""COMPUTED_VALUE"""),"Libya")</f>
        <v>Libya</v>
      </c>
      <c r="D9027">
        <f>IFERROR(__xludf.DUMMYFUNCTION("""COMPUTED_VALUE"""),1964.0)</f>
        <v>1964</v>
      </c>
      <c r="E9027">
        <f>IFERROR(__xludf.DUMMYFUNCTION("""COMPUTED_VALUE"""),1667825.0)</f>
        <v>1667825</v>
      </c>
    </row>
    <row r="9028">
      <c r="A9028" t="str">
        <f t="shared" si="1"/>
        <v>lby#1965</v>
      </c>
      <c r="B9028" t="str">
        <f>IFERROR(__xludf.DUMMYFUNCTION("""COMPUTED_VALUE"""),"lby")</f>
        <v>lby</v>
      </c>
      <c r="C9028" t="str">
        <f>IFERROR(__xludf.DUMMYFUNCTION("""COMPUTED_VALUE"""),"Libya")</f>
        <v>Libya</v>
      </c>
      <c r="D9028">
        <f>IFERROR(__xludf.DUMMYFUNCTION("""COMPUTED_VALUE"""),1965.0)</f>
        <v>1965</v>
      </c>
      <c r="E9028">
        <f>IFERROR(__xludf.DUMMYFUNCTION("""COMPUTED_VALUE"""),1733306.0)</f>
        <v>1733306</v>
      </c>
    </row>
    <row r="9029">
      <c r="A9029" t="str">
        <f t="shared" si="1"/>
        <v>lby#1966</v>
      </c>
      <c r="B9029" t="str">
        <f>IFERROR(__xludf.DUMMYFUNCTION("""COMPUTED_VALUE"""),"lby")</f>
        <v>lby</v>
      </c>
      <c r="C9029" t="str">
        <f>IFERROR(__xludf.DUMMYFUNCTION("""COMPUTED_VALUE"""),"Libya")</f>
        <v>Libya</v>
      </c>
      <c r="D9029">
        <f>IFERROR(__xludf.DUMMYFUNCTION("""COMPUTED_VALUE"""),1966.0)</f>
        <v>1966</v>
      </c>
      <c r="E9029">
        <f>IFERROR(__xludf.DUMMYFUNCTION("""COMPUTED_VALUE"""),1803683.0)</f>
        <v>1803683</v>
      </c>
    </row>
    <row r="9030">
      <c r="A9030" t="str">
        <f t="shared" si="1"/>
        <v>lby#1967</v>
      </c>
      <c r="B9030" t="str">
        <f>IFERROR(__xludf.DUMMYFUNCTION("""COMPUTED_VALUE"""),"lby")</f>
        <v>lby</v>
      </c>
      <c r="C9030" t="str">
        <f>IFERROR(__xludf.DUMMYFUNCTION("""COMPUTED_VALUE"""),"Libya")</f>
        <v>Libya</v>
      </c>
      <c r="D9030">
        <f>IFERROR(__xludf.DUMMYFUNCTION("""COMPUTED_VALUE"""),1967.0)</f>
        <v>1967</v>
      </c>
      <c r="E9030">
        <f>IFERROR(__xludf.DUMMYFUNCTION("""COMPUTED_VALUE"""),1878877.0)</f>
        <v>1878877</v>
      </c>
    </row>
    <row r="9031">
      <c r="A9031" t="str">
        <f t="shared" si="1"/>
        <v>lby#1968</v>
      </c>
      <c r="B9031" t="str">
        <f>IFERROR(__xludf.DUMMYFUNCTION("""COMPUTED_VALUE"""),"lby")</f>
        <v>lby</v>
      </c>
      <c r="C9031" t="str">
        <f>IFERROR(__xludf.DUMMYFUNCTION("""COMPUTED_VALUE"""),"Libya")</f>
        <v>Libya</v>
      </c>
      <c r="D9031">
        <f>IFERROR(__xludf.DUMMYFUNCTION("""COMPUTED_VALUE"""),1968.0)</f>
        <v>1968</v>
      </c>
      <c r="E9031">
        <f>IFERROR(__xludf.DUMMYFUNCTION("""COMPUTED_VALUE"""),1958914.0)</f>
        <v>1958914</v>
      </c>
    </row>
    <row r="9032">
      <c r="A9032" t="str">
        <f t="shared" si="1"/>
        <v>lby#1969</v>
      </c>
      <c r="B9032" t="str">
        <f>IFERROR(__xludf.DUMMYFUNCTION("""COMPUTED_VALUE"""),"lby")</f>
        <v>lby</v>
      </c>
      <c r="C9032" t="str">
        <f>IFERROR(__xludf.DUMMYFUNCTION("""COMPUTED_VALUE"""),"Libya")</f>
        <v>Libya</v>
      </c>
      <c r="D9032">
        <f>IFERROR(__xludf.DUMMYFUNCTION("""COMPUTED_VALUE"""),1969.0)</f>
        <v>1969</v>
      </c>
      <c r="E9032">
        <f>IFERROR(__xludf.DUMMYFUNCTION("""COMPUTED_VALUE"""),2043818.0)</f>
        <v>2043818</v>
      </c>
    </row>
    <row r="9033">
      <c r="A9033" t="str">
        <f t="shared" si="1"/>
        <v>lby#1970</v>
      </c>
      <c r="B9033" t="str">
        <f>IFERROR(__xludf.DUMMYFUNCTION("""COMPUTED_VALUE"""),"lby")</f>
        <v>lby</v>
      </c>
      <c r="C9033" t="str">
        <f>IFERROR(__xludf.DUMMYFUNCTION("""COMPUTED_VALUE"""),"Libya")</f>
        <v>Libya</v>
      </c>
      <c r="D9033">
        <f>IFERROR(__xludf.DUMMYFUNCTION("""COMPUTED_VALUE"""),1970.0)</f>
        <v>1970</v>
      </c>
      <c r="E9033">
        <f>IFERROR(__xludf.DUMMYFUNCTION("""COMPUTED_VALUE"""),2133526.0)</f>
        <v>2133526</v>
      </c>
    </row>
    <row r="9034">
      <c r="A9034" t="str">
        <f t="shared" si="1"/>
        <v>lby#1971</v>
      </c>
      <c r="B9034" t="str">
        <f>IFERROR(__xludf.DUMMYFUNCTION("""COMPUTED_VALUE"""),"lby")</f>
        <v>lby</v>
      </c>
      <c r="C9034" t="str">
        <f>IFERROR(__xludf.DUMMYFUNCTION("""COMPUTED_VALUE"""),"Libya")</f>
        <v>Libya</v>
      </c>
      <c r="D9034">
        <f>IFERROR(__xludf.DUMMYFUNCTION("""COMPUTED_VALUE"""),1971.0)</f>
        <v>1971</v>
      </c>
      <c r="E9034">
        <f>IFERROR(__xludf.DUMMYFUNCTION("""COMPUTED_VALUE"""),2228146.0)</f>
        <v>2228146</v>
      </c>
    </row>
    <row r="9035">
      <c r="A9035" t="str">
        <f t="shared" si="1"/>
        <v>lby#1972</v>
      </c>
      <c r="B9035" t="str">
        <f>IFERROR(__xludf.DUMMYFUNCTION("""COMPUTED_VALUE"""),"lby")</f>
        <v>lby</v>
      </c>
      <c r="C9035" t="str">
        <f>IFERROR(__xludf.DUMMYFUNCTION("""COMPUTED_VALUE"""),"Libya")</f>
        <v>Libya</v>
      </c>
      <c r="D9035">
        <f>IFERROR(__xludf.DUMMYFUNCTION("""COMPUTED_VALUE"""),1972.0)</f>
        <v>1972</v>
      </c>
      <c r="E9035">
        <f>IFERROR(__xludf.DUMMYFUNCTION("""COMPUTED_VALUE"""),2327490.0)</f>
        <v>2327490</v>
      </c>
    </row>
    <row r="9036">
      <c r="A9036" t="str">
        <f t="shared" si="1"/>
        <v>lby#1973</v>
      </c>
      <c r="B9036" t="str">
        <f>IFERROR(__xludf.DUMMYFUNCTION("""COMPUTED_VALUE"""),"lby")</f>
        <v>lby</v>
      </c>
      <c r="C9036" t="str">
        <f>IFERROR(__xludf.DUMMYFUNCTION("""COMPUTED_VALUE"""),"Libya")</f>
        <v>Libya</v>
      </c>
      <c r="D9036">
        <f>IFERROR(__xludf.DUMMYFUNCTION("""COMPUTED_VALUE"""),1973.0)</f>
        <v>1973</v>
      </c>
      <c r="E9036">
        <f>IFERROR(__xludf.DUMMYFUNCTION("""COMPUTED_VALUE"""),2430755.0)</f>
        <v>2430755</v>
      </c>
    </row>
    <row r="9037">
      <c r="A9037" t="str">
        <f t="shared" si="1"/>
        <v>lby#1974</v>
      </c>
      <c r="B9037" t="str">
        <f>IFERROR(__xludf.DUMMYFUNCTION("""COMPUTED_VALUE"""),"lby")</f>
        <v>lby</v>
      </c>
      <c r="C9037" t="str">
        <f>IFERROR(__xludf.DUMMYFUNCTION("""COMPUTED_VALUE"""),"Libya")</f>
        <v>Libya</v>
      </c>
      <c r="D9037">
        <f>IFERROR(__xludf.DUMMYFUNCTION("""COMPUTED_VALUE"""),1974.0)</f>
        <v>1974</v>
      </c>
      <c r="E9037">
        <f>IFERROR(__xludf.DUMMYFUNCTION("""COMPUTED_VALUE"""),2536888.0)</f>
        <v>2536888</v>
      </c>
    </row>
    <row r="9038">
      <c r="A9038" t="str">
        <f t="shared" si="1"/>
        <v>lby#1975</v>
      </c>
      <c r="B9038" t="str">
        <f>IFERROR(__xludf.DUMMYFUNCTION("""COMPUTED_VALUE"""),"lby")</f>
        <v>lby</v>
      </c>
      <c r="C9038" t="str">
        <f>IFERROR(__xludf.DUMMYFUNCTION("""COMPUTED_VALUE"""),"Libya")</f>
        <v>Libya</v>
      </c>
      <c r="D9038">
        <f>IFERROR(__xludf.DUMMYFUNCTION("""COMPUTED_VALUE"""),1975.0)</f>
        <v>1975</v>
      </c>
      <c r="E9038">
        <f>IFERROR(__xludf.DUMMYFUNCTION("""COMPUTED_VALUE"""),2645139.0)</f>
        <v>2645139</v>
      </c>
    </row>
    <row r="9039">
      <c r="A9039" t="str">
        <f t="shared" si="1"/>
        <v>lby#1976</v>
      </c>
      <c r="B9039" t="str">
        <f>IFERROR(__xludf.DUMMYFUNCTION("""COMPUTED_VALUE"""),"lby")</f>
        <v>lby</v>
      </c>
      <c r="C9039" t="str">
        <f>IFERROR(__xludf.DUMMYFUNCTION("""COMPUTED_VALUE"""),"Libya")</f>
        <v>Libya</v>
      </c>
      <c r="D9039">
        <f>IFERROR(__xludf.DUMMYFUNCTION("""COMPUTED_VALUE"""),1976.0)</f>
        <v>1976</v>
      </c>
      <c r="E9039">
        <f>IFERROR(__xludf.DUMMYFUNCTION("""COMPUTED_VALUE"""),2754696.0)</f>
        <v>2754696</v>
      </c>
    </row>
    <row r="9040">
      <c r="A9040" t="str">
        <f t="shared" si="1"/>
        <v>lby#1977</v>
      </c>
      <c r="B9040" t="str">
        <f>IFERROR(__xludf.DUMMYFUNCTION("""COMPUTED_VALUE"""),"lby")</f>
        <v>lby</v>
      </c>
      <c r="C9040" t="str">
        <f>IFERROR(__xludf.DUMMYFUNCTION("""COMPUTED_VALUE"""),"Libya")</f>
        <v>Libya</v>
      </c>
      <c r="D9040">
        <f>IFERROR(__xludf.DUMMYFUNCTION("""COMPUTED_VALUE"""),1977.0)</f>
        <v>1977</v>
      </c>
      <c r="E9040">
        <f>IFERROR(__xludf.DUMMYFUNCTION("""COMPUTED_VALUE"""),2865637.0)</f>
        <v>2865637</v>
      </c>
    </row>
    <row r="9041">
      <c r="A9041" t="str">
        <f t="shared" si="1"/>
        <v>lby#1978</v>
      </c>
      <c r="B9041" t="str">
        <f>IFERROR(__xludf.DUMMYFUNCTION("""COMPUTED_VALUE"""),"lby")</f>
        <v>lby</v>
      </c>
      <c r="C9041" t="str">
        <f>IFERROR(__xludf.DUMMYFUNCTION("""COMPUTED_VALUE"""),"Libya")</f>
        <v>Libya</v>
      </c>
      <c r="D9041">
        <f>IFERROR(__xludf.DUMMYFUNCTION("""COMPUTED_VALUE"""),1978.0)</f>
        <v>1978</v>
      </c>
      <c r="E9041">
        <f>IFERROR(__xludf.DUMMYFUNCTION("""COMPUTED_VALUE"""),2979093.0)</f>
        <v>2979093</v>
      </c>
    </row>
    <row r="9042">
      <c r="A9042" t="str">
        <f t="shared" si="1"/>
        <v>lby#1979</v>
      </c>
      <c r="B9042" t="str">
        <f>IFERROR(__xludf.DUMMYFUNCTION("""COMPUTED_VALUE"""),"lby")</f>
        <v>lby</v>
      </c>
      <c r="C9042" t="str">
        <f>IFERROR(__xludf.DUMMYFUNCTION("""COMPUTED_VALUE"""),"Libya")</f>
        <v>Libya</v>
      </c>
      <c r="D9042">
        <f>IFERROR(__xludf.DUMMYFUNCTION("""COMPUTED_VALUE"""),1979.0)</f>
        <v>1979</v>
      </c>
      <c r="E9042">
        <f>IFERROR(__xludf.DUMMYFUNCTION("""COMPUTED_VALUE"""),3096729.0)</f>
        <v>3096729</v>
      </c>
    </row>
    <row r="9043">
      <c r="A9043" t="str">
        <f t="shared" si="1"/>
        <v>lby#1980</v>
      </c>
      <c r="B9043" t="str">
        <f>IFERROR(__xludf.DUMMYFUNCTION("""COMPUTED_VALUE"""),"lby")</f>
        <v>lby</v>
      </c>
      <c r="C9043" t="str">
        <f>IFERROR(__xludf.DUMMYFUNCTION("""COMPUTED_VALUE"""),"Libya")</f>
        <v>Libya</v>
      </c>
      <c r="D9043">
        <f>IFERROR(__xludf.DUMMYFUNCTION("""COMPUTED_VALUE"""),1980.0)</f>
        <v>1980</v>
      </c>
      <c r="E9043">
        <f>IFERROR(__xludf.DUMMYFUNCTION("""COMPUTED_VALUE"""),3219466.0)</f>
        <v>3219466</v>
      </c>
    </row>
    <row r="9044">
      <c r="A9044" t="str">
        <f t="shared" si="1"/>
        <v>lby#1981</v>
      </c>
      <c r="B9044" t="str">
        <f>IFERROR(__xludf.DUMMYFUNCTION("""COMPUTED_VALUE"""),"lby")</f>
        <v>lby</v>
      </c>
      <c r="C9044" t="str">
        <f>IFERROR(__xludf.DUMMYFUNCTION("""COMPUTED_VALUE"""),"Libya")</f>
        <v>Libya</v>
      </c>
      <c r="D9044">
        <f>IFERROR(__xludf.DUMMYFUNCTION("""COMPUTED_VALUE"""),1981.0)</f>
        <v>1981</v>
      </c>
      <c r="E9044">
        <f>IFERROR(__xludf.DUMMYFUNCTION("""COMPUTED_VALUE"""),3347781.0)</f>
        <v>3347781</v>
      </c>
    </row>
    <row r="9045">
      <c r="A9045" t="str">
        <f t="shared" si="1"/>
        <v>lby#1982</v>
      </c>
      <c r="B9045" t="str">
        <f>IFERROR(__xludf.DUMMYFUNCTION("""COMPUTED_VALUE"""),"lby")</f>
        <v>lby</v>
      </c>
      <c r="C9045" t="str">
        <f>IFERROR(__xludf.DUMMYFUNCTION("""COMPUTED_VALUE"""),"Libya")</f>
        <v>Libya</v>
      </c>
      <c r="D9045">
        <f>IFERROR(__xludf.DUMMYFUNCTION("""COMPUTED_VALUE"""),1982.0)</f>
        <v>1982</v>
      </c>
      <c r="E9045">
        <f>IFERROR(__xludf.DUMMYFUNCTION("""COMPUTED_VALUE"""),3480454.0)</f>
        <v>3480454</v>
      </c>
    </row>
    <row r="9046">
      <c r="A9046" t="str">
        <f t="shared" si="1"/>
        <v>lby#1983</v>
      </c>
      <c r="B9046" t="str">
        <f>IFERROR(__xludf.DUMMYFUNCTION("""COMPUTED_VALUE"""),"lby")</f>
        <v>lby</v>
      </c>
      <c r="C9046" t="str">
        <f>IFERROR(__xludf.DUMMYFUNCTION("""COMPUTED_VALUE"""),"Libya")</f>
        <v>Libya</v>
      </c>
      <c r="D9046">
        <f>IFERROR(__xludf.DUMMYFUNCTION("""COMPUTED_VALUE"""),1983.0)</f>
        <v>1983</v>
      </c>
      <c r="E9046">
        <f>IFERROR(__xludf.DUMMYFUNCTION("""COMPUTED_VALUE"""),3614689.0)</f>
        <v>3614689</v>
      </c>
    </row>
    <row r="9047">
      <c r="A9047" t="str">
        <f t="shared" si="1"/>
        <v>lby#1984</v>
      </c>
      <c r="B9047" t="str">
        <f>IFERROR(__xludf.DUMMYFUNCTION("""COMPUTED_VALUE"""),"lby")</f>
        <v>lby</v>
      </c>
      <c r="C9047" t="str">
        <f>IFERROR(__xludf.DUMMYFUNCTION("""COMPUTED_VALUE"""),"Libya")</f>
        <v>Libya</v>
      </c>
      <c r="D9047">
        <f>IFERROR(__xludf.DUMMYFUNCTION("""COMPUTED_VALUE"""),1984.0)</f>
        <v>1984</v>
      </c>
      <c r="E9047">
        <f>IFERROR(__xludf.DUMMYFUNCTION("""COMPUTED_VALUE"""),3746715.0)</f>
        <v>3746715</v>
      </c>
    </row>
    <row r="9048">
      <c r="A9048" t="str">
        <f t="shared" si="1"/>
        <v>lby#1985</v>
      </c>
      <c r="B9048" t="str">
        <f>IFERROR(__xludf.DUMMYFUNCTION("""COMPUTED_VALUE"""),"lby")</f>
        <v>lby</v>
      </c>
      <c r="C9048" t="str">
        <f>IFERROR(__xludf.DUMMYFUNCTION("""COMPUTED_VALUE"""),"Libya")</f>
        <v>Libya</v>
      </c>
      <c r="D9048">
        <f>IFERROR(__xludf.DUMMYFUNCTION("""COMPUTED_VALUE"""),1985.0)</f>
        <v>1985</v>
      </c>
      <c r="E9048">
        <f>IFERROR(__xludf.DUMMYFUNCTION("""COMPUTED_VALUE"""),3873781.0)</f>
        <v>3873781</v>
      </c>
    </row>
    <row r="9049">
      <c r="A9049" t="str">
        <f t="shared" si="1"/>
        <v>lby#1986</v>
      </c>
      <c r="B9049" t="str">
        <f>IFERROR(__xludf.DUMMYFUNCTION("""COMPUTED_VALUE"""),"lby")</f>
        <v>lby</v>
      </c>
      <c r="C9049" t="str">
        <f>IFERROR(__xludf.DUMMYFUNCTION("""COMPUTED_VALUE"""),"Libya")</f>
        <v>Libya</v>
      </c>
      <c r="D9049">
        <f>IFERROR(__xludf.DUMMYFUNCTION("""COMPUTED_VALUE"""),1986.0)</f>
        <v>1986</v>
      </c>
      <c r="E9049">
        <f>IFERROR(__xludf.DUMMYFUNCTION("""COMPUTED_VALUE"""),3994591.0)</f>
        <v>3994591</v>
      </c>
    </row>
    <row r="9050">
      <c r="A9050" t="str">
        <f t="shared" si="1"/>
        <v>lby#1987</v>
      </c>
      <c r="B9050" t="str">
        <f>IFERROR(__xludf.DUMMYFUNCTION("""COMPUTED_VALUE"""),"lby")</f>
        <v>lby</v>
      </c>
      <c r="C9050" t="str">
        <f>IFERROR(__xludf.DUMMYFUNCTION("""COMPUTED_VALUE"""),"Libya")</f>
        <v>Libya</v>
      </c>
      <c r="D9050">
        <f>IFERROR(__xludf.DUMMYFUNCTION("""COMPUTED_VALUE"""),1987.0)</f>
        <v>1987</v>
      </c>
      <c r="E9050">
        <f>IFERROR(__xludf.DUMMYFUNCTION("""COMPUTED_VALUE"""),4109703.0)</f>
        <v>4109703</v>
      </c>
    </row>
    <row r="9051">
      <c r="A9051" t="str">
        <f t="shared" si="1"/>
        <v>lby#1988</v>
      </c>
      <c r="B9051" t="str">
        <f>IFERROR(__xludf.DUMMYFUNCTION("""COMPUTED_VALUE"""),"lby")</f>
        <v>lby</v>
      </c>
      <c r="C9051" t="str">
        <f>IFERROR(__xludf.DUMMYFUNCTION("""COMPUTED_VALUE"""),"Libya")</f>
        <v>Libya</v>
      </c>
      <c r="D9051">
        <f>IFERROR(__xludf.DUMMYFUNCTION("""COMPUTED_VALUE"""),1988.0)</f>
        <v>1988</v>
      </c>
      <c r="E9051">
        <f>IFERROR(__xludf.DUMMYFUNCTION("""COMPUTED_VALUE"""),4220418.0)</f>
        <v>4220418</v>
      </c>
    </row>
    <row r="9052">
      <c r="A9052" t="str">
        <f t="shared" si="1"/>
        <v>lby#1989</v>
      </c>
      <c r="B9052" t="str">
        <f>IFERROR(__xludf.DUMMYFUNCTION("""COMPUTED_VALUE"""),"lby")</f>
        <v>lby</v>
      </c>
      <c r="C9052" t="str">
        <f>IFERROR(__xludf.DUMMYFUNCTION("""COMPUTED_VALUE"""),"Libya")</f>
        <v>Libya</v>
      </c>
      <c r="D9052">
        <f>IFERROR(__xludf.DUMMYFUNCTION("""COMPUTED_VALUE"""),1989.0)</f>
        <v>1989</v>
      </c>
      <c r="E9052">
        <f>IFERROR(__xludf.DUMMYFUNCTION("""COMPUTED_VALUE"""),4328914.0)</f>
        <v>4328914</v>
      </c>
    </row>
    <row r="9053">
      <c r="A9053" t="str">
        <f t="shared" si="1"/>
        <v>lby#1990</v>
      </c>
      <c r="B9053" t="str">
        <f>IFERROR(__xludf.DUMMYFUNCTION("""COMPUTED_VALUE"""),"lby")</f>
        <v>lby</v>
      </c>
      <c r="C9053" t="str">
        <f>IFERROR(__xludf.DUMMYFUNCTION("""COMPUTED_VALUE"""),"Libya")</f>
        <v>Libya</v>
      </c>
      <c r="D9053">
        <f>IFERROR(__xludf.DUMMYFUNCTION("""COMPUTED_VALUE"""),1990.0)</f>
        <v>1990</v>
      </c>
      <c r="E9053">
        <f>IFERROR(__xludf.DUMMYFUNCTION("""COMPUTED_VALUE"""),4436661.0)</f>
        <v>4436661</v>
      </c>
    </row>
    <row r="9054">
      <c r="A9054" t="str">
        <f t="shared" si="1"/>
        <v>lby#1991</v>
      </c>
      <c r="B9054" t="str">
        <f>IFERROR(__xludf.DUMMYFUNCTION("""COMPUTED_VALUE"""),"lby")</f>
        <v>lby</v>
      </c>
      <c r="C9054" t="str">
        <f>IFERROR(__xludf.DUMMYFUNCTION("""COMPUTED_VALUE"""),"Libya")</f>
        <v>Libya</v>
      </c>
      <c r="D9054">
        <f>IFERROR(__xludf.DUMMYFUNCTION("""COMPUTED_VALUE"""),1991.0)</f>
        <v>1991</v>
      </c>
      <c r="E9054">
        <f>IFERROR(__xludf.DUMMYFUNCTION("""COMPUTED_VALUE"""),4544293.0)</f>
        <v>4544293</v>
      </c>
    </row>
    <row r="9055">
      <c r="A9055" t="str">
        <f t="shared" si="1"/>
        <v>lby#1992</v>
      </c>
      <c r="B9055" t="str">
        <f>IFERROR(__xludf.DUMMYFUNCTION("""COMPUTED_VALUE"""),"lby")</f>
        <v>lby</v>
      </c>
      <c r="C9055" t="str">
        <f>IFERROR(__xludf.DUMMYFUNCTION("""COMPUTED_VALUE"""),"Libya")</f>
        <v>Libya</v>
      </c>
      <c r="D9055">
        <f>IFERROR(__xludf.DUMMYFUNCTION("""COMPUTED_VALUE"""),1992.0)</f>
        <v>1992</v>
      </c>
      <c r="E9055">
        <f>IFERROR(__xludf.DUMMYFUNCTION("""COMPUTED_VALUE"""),4651004.0)</f>
        <v>4651004</v>
      </c>
    </row>
    <row r="9056">
      <c r="A9056" t="str">
        <f t="shared" si="1"/>
        <v>lby#1993</v>
      </c>
      <c r="B9056" t="str">
        <f>IFERROR(__xludf.DUMMYFUNCTION("""COMPUTED_VALUE"""),"lby")</f>
        <v>lby</v>
      </c>
      <c r="C9056" t="str">
        <f>IFERROR(__xludf.DUMMYFUNCTION("""COMPUTED_VALUE"""),"Libya")</f>
        <v>Libya</v>
      </c>
      <c r="D9056">
        <f>IFERROR(__xludf.DUMMYFUNCTION("""COMPUTED_VALUE"""),1993.0)</f>
        <v>1993</v>
      </c>
      <c r="E9056">
        <f>IFERROR(__xludf.DUMMYFUNCTION("""COMPUTED_VALUE"""),4755289.0)</f>
        <v>4755289</v>
      </c>
    </row>
    <row r="9057">
      <c r="A9057" t="str">
        <f t="shared" si="1"/>
        <v>lby#1994</v>
      </c>
      <c r="B9057" t="str">
        <f>IFERROR(__xludf.DUMMYFUNCTION("""COMPUTED_VALUE"""),"lby")</f>
        <v>lby</v>
      </c>
      <c r="C9057" t="str">
        <f>IFERROR(__xludf.DUMMYFUNCTION("""COMPUTED_VALUE"""),"Libya")</f>
        <v>Libya</v>
      </c>
      <c r="D9057">
        <f>IFERROR(__xludf.DUMMYFUNCTION("""COMPUTED_VALUE"""),1994.0)</f>
        <v>1994</v>
      </c>
      <c r="E9057">
        <f>IFERROR(__xludf.DUMMYFUNCTION("""COMPUTED_VALUE"""),4855003.0)</f>
        <v>4855003</v>
      </c>
    </row>
    <row r="9058">
      <c r="A9058" t="str">
        <f t="shared" si="1"/>
        <v>lby#1995</v>
      </c>
      <c r="B9058" t="str">
        <f>IFERROR(__xludf.DUMMYFUNCTION("""COMPUTED_VALUE"""),"lby")</f>
        <v>lby</v>
      </c>
      <c r="C9058" t="str">
        <f>IFERROR(__xludf.DUMMYFUNCTION("""COMPUTED_VALUE"""),"Libya")</f>
        <v>Libya</v>
      </c>
      <c r="D9058">
        <f>IFERROR(__xludf.DUMMYFUNCTION("""COMPUTED_VALUE"""),1995.0)</f>
        <v>1995</v>
      </c>
      <c r="E9058">
        <f>IFERROR(__xludf.DUMMYFUNCTION("""COMPUTED_VALUE"""),4948798.0)</f>
        <v>4948798</v>
      </c>
    </row>
    <row r="9059">
      <c r="A9059" t="str">
        <f t="shared" si="1"/>
        <v>lby#1996</v>
      </c>
      <c r="B9059" t="str">
        <f>IFERROR(__xludf.DUMMYFUNCTION("""COMPUTED_VALUE"""),"lby")</f>
        <v>lby</v>
      </c>
      <c r="C9059" t="str">
        <f>IFERROR(__xludf.DUMMYFUNCTION("""COMPUTED_VALUE"""),"Libya")</f>
        <v>Libya</v>
      </c>
      <c r="D9059">
        <f>IFERROR(__xludf.DUMMYFUNCTION("""COMPUTED_VALUE"""),1996.0)</f>
        <v>1996</v>
      </c>
      <c r="E9059">
        <f>IFERROR(__xludf.DUMMYFUNCTION("""COMPUTED_VALUE"""),5035884.0)</f>
        <v>5035884</v>
      </c>
    </row>
    <row r="9060">
      <c r="A9060" t="str">
        <f t="shared" si="1"/>
        <v>lby#1997</v>
      </c>
      <c r="B9060" t="str">
        <f>IFERROR(__xludf.DUMMYFUNCTION("""COMPUTED_VALUE"""),"lby")</f>
        <v>lby</v>
      </c>
      <c r="C9060" t="str">
        <f>IFERROR(__xludf.DUMMYFUNCTION("""COMPUTED_VALUE"""),"Libya")</f>
        <v>Libya</v>
      </c>
      <c r="D9060">
        <f>IFERROR(__xludf.DUMMYFUNCTION("""COMPUTED_VALUE"""),1997.0)</f>
        <v>1997</v>
      </c>
      <c r="E9060">
        <f>IFERROR(__xludf.DUMMYFUNCTION("""COMPUTED_VALUE"""),5117269.0)</f>
        <v>5117269</v>
      </c>
    </row>
    <row r="9061">
      <c r="A9061" t="str">
        <f t="shared" si="1"/>
        <v>lby#1998</v>
      </c>
      <c r="B9061" t="str">
        <f>IFERROR(__xludf.DUMMYFUNCTION("""COMPUTED_VALUE"""),"lby")</f>
        <v>lby</v>
      </c>
      <c r="C9061" t="str">
        <f>IFERROR(__xludf.DUMMYFUNCTION("""COMPUTED_VALUE"""),"Libya")</f>
        <v>Libya</v>
      </c>
      <c r="D9061">
        <f>IFERROR(__xludf.DUMMYFUNCTION("""COMPUTED_VALUE"""),1998.0)</f>
        <v>1998</v>
      </c>
      <c r="E9061">
        <f>IFERROR(__xludf.DUMMYFUNCTION("""COMPUTED_VALUE"""),5195502.0)</f>
        <v>5195502</v>
      </c>
    </row>
    <row r="9062">
      <c r="A9062" t="str">
        <f t="shared" si="1"/>
        <v>lby#1999</v>
      </c>
      <c r="B9062" t="str">
        <f>IFERROR(__xludf.DUMMYFUNCTION("""COMPUTED_VALUE"""),"lby")</f>
        <v>lby</v>
      </c>
      <c r="C9062" t="str">
        <f>IFERROR(__xludf.DUMMYFUNCTION("""COMPUTED_VALUE"""),"Libya")</f>
        <v>Libya</v>
      </c>
      <c r="D9062">
        <f>IFERROR(__xludf.DUMMYFUNCTION("""COMPUTED_VALUE"""),1999.0)</f>
        <v>1999</v>
      </c>
      <c r="E9062">
        <f>IFERROR(__xludf.DUMMYFUNCTION("""COMPUTED_VALUE"""),5274163.0)</f>
        <v>5274163</v>
      </c>
    </row>
    <row r="9063">
      <c r="A9063" t="str">
        <f t="shared" si="1"/>
        <v>lby#2000</v>
      </c>
      <c r="B9063" t="str">
        <f>IFERROR(__xludf.DUMMYFUNCTION("""COMPUTED_VALUE"""),"lby")</f>
        <v>lby</v>
      </c>
      <c r="C9063" t="str">
        <f>IFERROR(__xludf.DUMMYFUNCTION("""COMPUTED_VALUE"""),"Libya")</f>
        <v>Libya</v>
      </c>
      <c r="D9063">
        <f>IFERROR(__xludf.DUMMYFUNCTION("""COMPUTED_VALUE"""),2000.0)</f>
        <v>2000</v>
      </c>
      <c r="E9063">
        <f>IFERROR(__xludf.DUMMYFUNCTION("""COMPUTED_VALUE"""),5355751.0)</f>
        <v>5355751</v>
      </c>
    </row>
    <row r="9064">
      <c r="A9064" t="str">
        <f t="shared" si="1"/>
        <v>lby#2001</v>
      </c>
      <c r="B9064" t="str">
        <f>IFERROR(__xludf.DUMMYFUNCTION("""COMPUTED_VALUE"""),"lby")</f>
        <v>lby</v>
      </c>
      <c r="C9064" t="str">
        <f>IFERROR(__xludf.DUMMYFUNCTION("""COMPUTED_VALUE"""),"Libya")</f>
        <v>Libya</v>
      </c>
      <c r="D9064">
        <f>IFERROR(__xludf.DUMMYFUNCTION("""COMPUTED_VALUE"""),2001.0)</f>
        <v>2001</v>
      </c>
      <c r="E9064">
        <f>IFERROR(__xludf.DUMMYFUNCTION("""COMPUTED_VALUE"""),5440566.0)</f>
        <v>5440566</v>
      </c>
    </row>
    <row r="9065">
      <c r="A9065" t="str">
        <f t="shared" si="1"/>
        <v>lby#2002</v>
      </c>
      <c r="B9065" t="str">
        <f>IFERROR(__xludf.DUMMYFUNCTION("""COMPUTED_VALUE"""),"lby")</f>
        <v>lby</v>
      </c>
      <c r="C9065" t="str">
        <f>IFERROR(__xludf.DUMMYFUNCTION("""COMPUTED_VALUE"""),"Libya")</f>
        <v>Libya</v>
      </c>
      <c r="D9065">
        <f>IFERROR(__xludf.DUMMYFUNCTION("""COMPUTED_VALUE"""),2002.0)</f>
        <v>2002</v>
      </c>
      <c r="E9065">
        <f>IFERROR(__xludf.DUMMYFUNCTION("""COMPUTED_VALUE"""),5527515.0)</f>
        <v>5527515</v>
      </c>
    </row>
    <row r="9066">
      <c r="A9066" t="str">
        <f t="shared" si="1"/>
        <v>lby#2003</v>
      </c>
      <c r="B9066" t="str">
        <f>IFERROR(__xludf.DUMMYFUNCTION("""COMPUTED_VALUE"""),"lby")</f>
        <v>lby</v>
      </c>
      <c r="C9066" t="str">
        <f>IFERROR(__xludf.DUMMYFUNCTION("""COMPUTED_VALUE"""),"Libya")</f>
        <v>Libya</v>
      </c>
      <c r="D9066">
        <f>IFERROR(__xludf.DUMMYFUNCTION("""COMPUTED_VALUE"""),2003.0)</f>
        <v>2003</v>
      </c>
      <c r="E9066">
        <f>IFERROR(__xludf.DUMMYFUNCTION("""COMPUTED_VALUE"""),5615952.0)</f>
        <v>5615952</v>
      </c>
    </row>
    <row r="9067">
      <c r="A9067" t="str">
        <f t="shared" si="1"/>
        <v>lby#2004</v>
      </c>
      <c r="B9067" t="str">
        <f>IFERROR(__xludf.DUMMYFUNCTION("""COMPUTED_VALUE"""),"lby")</f>
        <v>lby</v>
      </c>
      <c r="C9067" t="str">
        <f>IFERROR(__xludf.DUMMYFUNCTION("""COMPUTED_VALUE"""),"Libya")</f>
        <v>Libya</v>
      </c>
      <c r="D9067">
        <f>IFERROR(__xludf.DUMMYFUNCTION("""COMPUTED_VALUE"""),2004.0)</f>
        <v>2004</v>
      </c>
      <c r="E9067">
        <f>IFERROR(__xludf.DUMMYFUNCTION("""COMPUTED_VALUE"""),5704759.0)</f>
        <v>5704759</v>
      </c>
    </row>
    <row r="9068">
      <c r="A9068" t="str">
        <f t="shared" si="1"/>
        <v>lby#2005</v>
      </c>
      <c r="B9068" t="str">
        <f>IFERROR(__xludf.DUMMYFUNCTION("""COMPUTED_VALUE"""),"lby")</f>
        <v>lby</v>
      </c>
      <c r="C9068" t="str">
        <f>IFERROR(__xludf.DUMMYFUNCTION("""COMPUTED_VALUE"""),"Libya")</f>
        <v>Libya</v>
      </c>
      <c r="D9068">
        <f>IFERROR(__xludf.DUMMYFUNCTION("""COMPUTED_VALUE"""),2005.0)</f>
        <v>2005</v>
      </c>
      <c r="E9068">
        <f>IFERROR(__xludf.DUMMYFUNCTION("""COMPUTED_VALUE"""),5792688.0)</f>
        <v>5792688</v>
      </c>
    </row>
    <row r="9069">
      <c r="A9069" t="str">
        <f t="shared" si="1"/>
        <v>lby#2006</v>
      </c>
      <c r="B9069" t="str">
        <f>IFERROR(__xludf.DUMMYFUNCTION("""COMPUTED_VALUE"""),"lby")</f>
        <v>lby</v>
      </c>
      <c r="C9069" t="str">
        <f>IFERROR(__xludf.DUMMYFUNCTION("""COMPUTED_VALUE"""),"Libya")</f>
        <v>Libya</v>
      </c>
      <c r="D9069">
        <f>IFERROR(__xludf.DUMMYFUNCTION("""COMPUTED_VALUE"""),2006.0)</f>
        <v>2006</v>
      </c>
      <c r="E9069">
        <f>IFERROR(__xludf.DUMMYFUNCTION("""COMPUTED_VALUE"""),5881435.0)</f>
        <v>5881435</v>
      </c>
    </row>
    <row r="9070">
      <c r="A9070" t="str">
        <f t="shared" si="1"/>
        <v>lby#2007</v>
      </c>
      <c r="B9070" t="str">
        <f>IFERROR(__xludf.DUMMYFUNCTION("""COMPUTED_VALUE"""),"lby")</f>
        <v>lby</v>
      </c>
      <c r="C9070" t="str">
        <f>IFERROR(__xludf.DUMMYFUNCTION("""COMPUTED_VALUE"""),"Libya")</f>
        <v>Libya</v>
      </c>
      <c r="D9070">
        <f>IFERROR(__xludf.DUMMYFUNCTION("""COMPUTED_VALUE"""),2007.0)</f>
        <v>2007</v>
      </c>
      <c r="E9070">
        <f>IFERROR(__xludf.DUMMYFUNCTION("""COMPUTED_VALUE"""),5970362.0)</f>
        <v>5970362</v>
      </c>
    </row>
    <row r="9071">
      <c r="A9071" t="str">
        <f t="shared" si="1"/>
        <v>lby#2008</v>
      </c>
      <c r="B9071" t="str">
        <f>IFERROR(__xludf.DUMMYFUNCTION("""COMPUTED_VALUE"""),"lby")</f>
        <v>lby</v>
      </c>
      <c r="C9071" t="str">
        <f>IFERROR(__xludf.DUMMYFUNCTION("""COMPUTED_VALUE"""),"Libya")</f>
        <v>Libya</v>
      </c>
      <c r="D9071">
        <f>IFERROR(__xludf.DUMMYFUNCTION("""COMPUTED_VALUE"""),2008.0)</f>
        <v>2008</v>
      </c>
      <c r="E9071">
        <f>IFERROR(__xludf.DUMMYFUNCTION("""COMPUTED_VALUE"""),6053078.0)</f>
        <v>6053078</v>
      </c>
    </row>
    <row r="9072">
      <c r="A9072" t="str">
        <f t="shared" si="1"/>
        <v>lby#2009</v>
      </c>
      <c r="B9072" t="str">
        <f>IFERROR(__xludf.DUMMYFUNCTION("""COMPUTED_VALUE"""),"lby")</f>
        <v>lby</v>
      </c>
      <c r="C9072" t="str">
        <f>IFERROR(__xludf.DUMMYFUNCTION("""COMPUTED_VALUE"""),"Libya")</f>
        <v>Libya</v>
      </c>
      <c r="D9072">
        <f>IFERROR(__xludf.DUMMYFUNCTION("""COMPUTED_VALUE"""),2009.0)</f>
        <v>2009</v>
      </c>
      <c r="E9072">
        <f>IFERROR(__xludf.DUMMYFUNCTION("""COMPUTED_VALUE"""),6121053.0)</f>
        <v>6121053</v>
      </c>
    </row>
    <row r="9073">
      <c r="A9073" t="str">
        <f t="shared" si="1"/>
        <v>lby#2010</v>
      </c>
      <c r="B9073" t="str">
        <f>IFERROR(__xludf.DUMMYFUNCTION("""COMPUTED_VALUE"""),"lby")</f>
        <v>lby</v>
      </c>
      <c r="C9073" t="str">
        <f>IFERROR(__xludf.DUMMYFUNCTION("""COMPUTED_VALUE"""),"Libya")</f>
        <v>Libya</v>
      </c>
      <c r="D9073">
        <f>IFERROR(__xludf.DUMMYFUNCTION("""COMPUTED_VALUE"""),2010.0)</f>
        <v>2010</v>
      </c>
      <c r="E9073">
        <f>IFERROR(__xludf.DUMMYFUNCTION("""COMPUTED_VALUE"""),6169140.0)</f>
        <v>6169140</v>
      </c>
    </row>
    <row r="9074">
      <c r="A9074" t="str">
        <f t="shared" si="1"/>
        <v>lby#2011</v>
      </c>
      <c r="B9074" t="str">
        <f>IFERROR(__xludf.DUMMYFUNCTION("""COMPUTED_VALUE"""),"lby")</f>
        <v>lby</v>
      </c>
      <c r="C9074" t="str">
        <f>IFERROR(__xludf.DUMMYFUNCTION("""COMPUTED_VALUE"""),"Libya")</f>
        <v>Libya</v>
      </c>
      <c r="D9074">
        <f>IFERROR(__xludf.DUMMYFUNCTION("""COMPUTED_VALUE"""),2011.0)</f>
        <v>2011</v>
      </c>
      <c r="E9074">
        <f>IFERROR(__xludf.DUMMYFUNCTION("""COMPUTED_VALUE"""),6193501.0)</f>
        <v>6193501</v>
      </c>
    </row>
    <row r="9075">
      <c r="A9075" t="str">
        <f t="shared" si="1"/>
        <v>lby#2012</v>
      </c>
      <c r="B9075" t="str">
        <f>IFERROR(__xludf.DUMMYFUNCTION("""COMPUTED_VALUE"""),"lby")</f>
        <v>lby</v>
      </c>
      <c r="C9075" t="str">
        <f>IFERROR(__xludf.DUMMYFUNCTION("""COMPUTED_VALUE"""),"Libya")</f>
        <v>Libya</v>
      </c>
      <c r="D9075">
        <f>IFERROR(__xludf.DUMMYFUNCTION("""COMPUTED_VALUE"""),2012.0)</f>
        <v>2012</v>
      </c>
      <c r="E9075">
        <f>IFERROR(__xludf.DUMMYFUNCTION("""COMPUTED_VALUE"""),6198258.0)</f>
        <v>6198258</v>
      </c>
    </row>
    <row r="9076">
      <c r="A9076" t="str">
        <f t="shared" si="1"/>
        <v>lby#2013</v>
      </c>
      <c r="B9076" t="str">
        <f>IFERROR(__xludf.DUMMYFUNCTION("""COMPUTED_VALUE"""),"lby")</f>
        <v>lby</v>
      </c>
      <c r="C9076" t="str">
        <f>IFERROR(__xludf.DUMMYFUNCTION("""COMPUTED_VALUE"""),"Libya")</f>
        <v>Libya</v>
      </c>
      <c r="D9076">
        <f>IFERROR(__xludf.DUMMYFUNCTION("""COMPUTED_VALUE"""),2013.0)</f>
        <v>2013</v>
      </c>
      <c r="E9076">
        <f>IFERROR(__xludf.DUMMYFUNCTION("""COMPUTED_VALUE"""),6195970.0)</f>
        <v>6195970</v>
      </c>
    </row>
    <row r="9077">
      <c r="A9077" t="str">
        <f t="shared" si="1"/>
        <v>lby#2014</v>
      </c>
      <c r="B9077" t="str">
        <f>IFERROR(__xludf.DUMMYFUNCTION("""COMPUTED_VALUE"""),"lby")</f>
        <v>lby</v>
      </c>
      <c r="C9077" t="str">
        <f>IFERROR(__xludf.DUMMYFUNCTION("""COMPUTED_VALUE"""),"Libya")</f>
        <v>Libya</v>
      </c>
      <c r="D9077">
        <f>IFERROR(__xludf.DUMMYFUNCTION("""COMPUTED_VALUE"""),2014.0)</f>
        <v>2014</v>
      </c>
      <c r="E9077">
        <f>IFERROR(__xludf.DUMMYFUNCTION("""COMPUTED_VALUE"""),6204108.0)</f>
        <v>6204108</v>
      </c>
    </row>
    <row r="9078">
      <c r="A9078" t="str">
        <f t="shared" si="1"/>
        <v>lby#2015</v>
      </c>
      <c r="B9078" t="str">
        <f>IFERROR(__xludf.DUMMYFUNCTION("""COMPUTED_VALUE"""),"lby")</f>
        <v>lby</v>
      </c>
      <c r="C9078" t="str">
        <f>IFERROR(__xludf.DUMMYFUNCTION("""COMPUTED_VALUE"""),"Libya")</f>
        <v>Libya</v>
      </c>
      <c r="D9078">
        <f>IFERROR(__xludf.DUMMYFUNCTION("""COMPUTED_VALUE"""),2015.0)</f>
        <v>2015</v>
      </c>
      <c r="E9078">
        <f>IFERROR(__xludf.DUMMYFUNCTION("""COMPUTED_VALUE"""),6234955.0)</f>
        <v>6234955</v>
      </c>
    </row>
    <row r="9079">
      <c r="A9079" t="str">
        <f t="shared" si="1"/>
        <v>lby#2016</v>
      </c>
      <c r="B9079" t="str">
        <f>IFERROR(__xludf.DUMMYFUNCTION("""COMPUTED_VALUE"""),"lby")</f>
        <v>lby</v>
      </c>
      <c r="C9079" t="str">
        <f>IFERROR(__xludf.DUMMYFUNCTION("""COMPUTED_VALUE"""),"Libya")</f>
        <v>Libya</v>
      </c>
      <c r="D9079">
        <f>IFERROR(__xludf.DUMMYFUNCTION("""COMPUTED_VALUE"""),2016.0)</f>
        <v>2016</v>
      </c>
      <c r="E9079">
        <f>IFERROR(__xludf.DUMMYFUNCTION("""COMPUTED_VALUE"""),6293253.0)</f>
        <v>6293253</v>
      </c>
    </row>
    <row r="9080">
      <c r="A9080" t="str">
        <f t="shared" si="1"/>
        <v>lby#2017</v>
      </c>
      <c r="B9080" t="str">
        <f>IFERROR(__xludf.DUMMYFUNCTION("""COMPUTED_VALUE"""),"lby")</f>
        <v>lby</v>
      </c>
      <c r="C9080" t="str">
        <f>IFERROR(__xludf.DUMMYFUNCTION("""COMPUTED_VALUE"""),"Libya")</f>
        <v>Libya</v>
      </c>
      <c r="D9080">
        <f>IFERROR(__xludf.DUMMYFUNCTION("""COMPUTED_VALUE"""),2017.0)</f>
        <v>2017</v>
      </c>
      <c r="E9080">
        <f>IFERROR(__xludf.DUMMYFUNCTION("""COMPUTED_VALUE"""),6374616.0)</f>
        <v>6374616</v>
      </c>
    </row>
    <row r="9081">
      <c r="A9081" t="str">
        <f t="shared" si="1"/>
        <v>lby#2018</v>
      </c>
      <c r="B9081" t="str">
        <f>IFERROR(__xludf.DUMMYFUNCTION("""COMPUTED_VALUE"""),"lby")</f>
        <v>lby</v>
      </c>
      <c r="C9081" t="str">
        <f>IFERROR(__xludf.DUMMYFUNCTION("""COMPUTED_VALUE"""),"Libya")</f>
        <v>Libya</v>
      </c>
      <c r="D9081">
        <f>IFERROR(__xludf.DUMMYFUNCTION("""COMPUTED_VALUE"""),2018.0)</f>
        <v>2018</v>
      </c>
      <c r="E9081">
        <f>IFERROR(__xludf.DUMMYFUNCTION("""COMPUTED_VALUE"""),6470956.0)</f>
        <v>6470956</v>
      </c>
    </row>
    <row r="9082">
      <c r="A9082" t="str">
        <f t="shared" si="1"/>
        <v>lby#2019</v>
      </c>
      <c r="B9082" t="str">
        <f>IFERROR(__xludf.DUMMYFUNCTION("""COMPUTED_VALUE"""),"lby")</f>
        <v>lby</v>
      </c>
      <c r="C9082" t="str">
        <f>IFERROR(__xludf.DUMMYFUNCTION("""COMPUTED_VALUE"""),"Libya")</f>
        <v>Libya</v>
      </c>
      <c r="D9082">
        <f>IFERROR(__xludf.DUMMYFUNCTION("""COMPUTED_VALUE"""),2019.0)</f>
        <v>2019</v>
      </c>
      <c r="E9082">
        <f>IFERROR(__xludf.DUMMYFUNCTION("""COMPUTED_VALUE"""),6569864.0)</f>
        <v>6569864</v>
      </c>
    </row>
    <row r="9083">
      <c r="A9083" t="str">
        <f t="shared" si="1"/>
        <v>lby#2020</v>
      </c>
      <c r="B9083" t="str">
        <f>IFERROR(__xludf.DUMMYFUNCTION("""COMPUTED_VALUE"""),"lby")</f>
        <v>lby</v>
      </c>
      <c r="C9083" t="str">
        <f>IFERROR(__xludf.DUMMYFUNCTION("""COMPUTED_VALUE"""),"Libya")</f>
        <v>Libya</v>
      </c>
      <c r="D9083">
        <f>IFERROR(__xludf.DUMMYFUNCTION("""COMPUTED_VALUE"""),2020.0)</f>
        <v>2020</v>
      </c>
      <c r="E9083">
        <f>IFERROR(__xludf.DUMMYFUNCTION("""COMPUTED_VALUE"""),6662173.0)</f>
        <v>6662173</v>
      </c>
    </row>
    <row r="9084">
      <c r="A9084" t="str">
        <f t="shared" si="1"/>
        <v>lby#2021</v>
      </c>
      <c r="B9084" t="str">
        <f>IFERROR(__xludf.DUMMYFUNCTION("""COMPUTED_VALUE"""),"lby")</f>
        <v>lby</v>
      </c>
      <c r="C9084" t="str">
        <f>IFERROR(__xludf.DUMMYFUNCTION("""COMPUTED_VALUE"""),"Libya")</f>
        <v>Libya</v>
      </c>
      <c r="D9084">
        <f>IFERROR(__xludf.DUMMYFUNCTION("""COMPUTED_VALUE"""),2021.0)</f>
        <v>2021</v>
      </c>
      <c r="E9084">
        <f>IFERROR(__xludf.DUMMYFUNCTION("""COMPUTED_VALUE"""),6745673.0)</f>
        <v>6745673</v>
      </c>
    </row>
    <row r="9085">
      <c r="A9085" t="str">
        <f t="shared" si="1"/>
        <v>lby#2022</v>
      </c>
      <c r="B9085" t="str">
        <f>IFERROR(__xludf.DUMMYFUNCTION("""COMPUTED_VALUE"""),"lby")</f>
        <v>lby</v>
      </c>
      <c r="C9085" t="str">
        <f>IFERROR(__xludf.DUMMYFUNCTION("""COMPUTED_VALUE"""),"Libya")</f>
        <v>Libya</v>
      </c>
      <c r="D9085">
        <f>IFERROR(__xludf.DUMMYFUNCTION("""COMPUTED_VALUE"""),2022.0)</f>
        <v>2022</v>
      </c>
      <c r="E9085">
        <f>IFERROR(__xludf.DUMMYFUNCTION("""COMPUTED_VALUE"""),6822852.0)</f>
        <v>6822852</v>
      </c>
    </row>
    <row r="9086">
      <c r="A9086" t="str">
        <f t="shared" si="1"/>
        <v>lby#2023</v>
      </c>
      <c r="B9086" t="str">
        <f>IFERROR(__xludf.DUMMYFUNCTION("""COMPUTED_VALUE"""),"lby")</f>
        <v>lby</v>
      </c>
      <c r="C9086" t="str">
        <f>IFERROR(__xludf.DUMMYFUNCTION("""COMPUTED_VALUE"""),"Libya")</f>
        <v>Libya</v>
      </c>
      <c r="D9086">
        <f>IFERROR(__xludf.DUMMYFUNCTION("""COMPUTED_VALUE"""),2023.0)</f>
        <v>2023</v>
      </c>
      <c r="E9086">
        <f>IFERROR(__xludf.DUMMYFUNCTION("""COMPUTED_VALUE"""),6894768.0)</f>
        <v>6894768</v>
      </c>
    </row>
    <row r="9087">
      <c r="A9087" t="str">
        <f t="shared" si="1"/>
        <v>lby#2024</v>
      </c>
      <c r="B9087" t="str">
        <f>IFERROR(__xludf.DUMMYFUNCTION("""COMPUTED_VALUE"""),"lby")</f>
        <v>lby</v>
      </c>
      <c r="C9087" t="str">
        <f>IFERROR(__xludf.DUMMYFUNCTION("""COMPUTED_VALUE"""),"Libya")</f>
        <v>Libya</v>
      </c>
      <c r="D9087">
        <f>IFERROR(__xludf.DUMMYFUNCTION("""COMPUTED_VALUE"""),2024.0)</f>
        <v>2024</v>
      </c>
      <c r="E9087">
        <f>IFERROR(__xludf.DUMMYFUNCTION("""COMPUTED_VALUE"""),6963840.0)</f>
        <v>6963840</v>
      </c>
    </row>
    <row r="9088">
      <c r="A9088" t="str">
        <f t="shared" si="1"/>
        <v>lby#2025</v>
      </c>
      <c r="B9088" t="str">
        <f>IFERROR(__xludf.DUMMYFUNCTION("""COMPUTED_VALUE"""),"lby")</f>
        <v>lby</v>
      </c>
      <c r="C9088" t="str">
        <f>IFERROR(__xludf.DUMMYFUNCTION("""COMPUTED_VALUE"""),"Libya")</f>
        <v>Libya</v>
      </c>
      <c r="D9088">
        <f>IFERROR(__xludf.DUMMYFUNCTION("""COMPUTED_VALUE"""),2025.0)</f>
        <v>2025</v>
      </c>
      <c r="E9088">
        <f>IFERROR(__xludf.DUMMYFUNCTION("""COMPUTED_VALUE"""),7031832.0)</f>
        <v>7031832</v>
      </c>
    </row>
    <row r="9089">
      <c r="A9089" t="str">
        <f t="shared" si="1"/>
        <v>lby#2026</v>
      </c>
      <c r="B9089" t="str">
        <f>IFERROR(__xludf.DUMMYFUNCTION("""COMPUTED_VALUE"""),"lby")</f>
        <v>lby</v>
      </c>
      <c r="C9089" t="str">
        <f>IFERROR(__xludf.DUMMYFUNCTION("""COMPUTED_VALUE"""),"Libya")</f>
        <v>Libya</v>
      </c>
      <c r="D9089">
        <f>IFERROR(__xludf.DUMMYFUNCTION("""COMPUTED_VALUE"""),2026.0)</f>
        <v>2026</v>
      </c>
      <c r="E9089">
        <f>IFERROR(__xludf.DUMMYFUNCTION("""COMPUTED_VALUE"""),7098476.0)</f>
        <v>7098476</v>
      </c>
    </row>
    <row r="9090">
      <c r="A9090" t="str">
        <f t="shared" si="1"/>
        <v>lby#2027</v>
      </c>
      <c r="B9090" t="str">
        <f>IFERROR(__xludf.DUMMYFUNCTION("""COMPUTED_VALUE"""),"lby")</f>
        <v>lby</v>
      </c>
      <c r="C9090" t="str">
        <f>IFERROR(__xludf.DUMMYFUNCTION("""COMPUTED_VALUE"""),"Libya")</f>
        <v>Libya</v>
      </c>
      <c r="D9090">
        <f>IFERROR(__xludf.DUMMYFUNCTION("""COMPUTED_VALUE"""),2027.0)</f>
        <v>2027</v>
      </c>
      <c r="E9090">
        <f>IFERROR(__xludf.DUMMYFUNCTION("""COMPUTED_VALUE"""),7162726.0)</f>
        <v>7162726</v>
      </c>
    </row>
    <row r="9091">
      <c r="A9091" t="str">
        <f t="shared" si="1"/>
        <v>lby#2028</v>
      </c>
      <c r="B9091" t="str">
        <f>IFERROR(__xludf.DUMMYFUNCTION("""COMPUTED_VALUE"""),"lby")</f>
        <v>lby</v>
      </c>
      <c r="C9091" t="str">
        <f>IFERROR(__xludf.DUMMYFUNCTION("""COMPUTED_VALUE"""),"Libya")</f>
        <v>Libya</v>
      </c>
      <c r="D9091">
        <f>IFERROR(__xludf.DUMMYFUNCTION("""COMPUTED_VALUE"""),2028.0)</f>
        <v>2028</v>
      </c>
      <c r="E9091">
        <f>IFERROR(__xludf.DUMMYFUNCTION("""COMPUTED_VALUE"""),7224687.0)</f>
        <v>7224687</v>
      </c>
    </row>
    <row r="9092">
      <c r="A9092" t="str">
        <f t="shared" si="1"/>
        <v>lby#2029</v>
      </c>
      <c r="B9092" t="str">
        <f>IFERROR(__xludf.DUMMYFUNCTION("""COMPUTED_VALUE"""),"lby")</f>
        <v>lby</v>
      </c>
      <c r="C9092" t="str">
        <f>IFERROR(__xludf.DUMMYFUNCTION("""COMPUTED_VALUE"""),"Libya")</f>
        <v>Libya</v>
      </c>
      <c r="D9092">
        <f>IFERROR(__xludf.DUMMYFUNCTION("""COMPUTED_VALUE"""),2029.0)</f>
        <v>2029</v>
      </c>
      <c r="E9092">
        <f>IFERROR(__xludf.DUMMYFUNCTION("""COMPUTED_VALUE"""),7284508.0)</f>
        <v>7284508</v>
      </c>
    </row>
    <row r="9093">
      <c r="A9093" t="str">
        <f t="shared" si="1"/>
        <v>lby#2030</v>
      </c>
      <c r="B9093" t="str">
        <f>IFERROR(__xludf.DUMMYFUNCTION("""COMPUTED_VALUE"""),"lby")</f>
        <v>lby</v>
      </c>
      <c r="C9093" t="str">
        <f>IFERROR(__xludf.DUMMYFUNCTION("""COMPUTED_VALUE"""),"Libya")</f>
        <v>Libya</v>
      </c>
      <c r="D9093">
        <f>IFERROR(__xludf.DUMMYFUNCTION("""COMPUTED_VALUE"""),2030.0)</f>
        <v>2030</v>
      </c>
      <c r="E9093">
        <f>IFERROR(__xludf.DUMMYFUNCTION("""COMPUTED_VALUE"""),7342346.0)</f>
        <v>7342346</v>
      </c>
    </row>
    <row r="9094">
      <c r="A9094" t="str">
        <f t="shared" si="1"/>
        <v>lby#2031</v>
      </c>
      <c r="B9094" t="str">
        <f>IFERROR(__xludf.DUMMYFUNCTION("""COMPUTED_VALUE"""),"lby")</f>
        <v>lby</v>
      </c>
      <c r="C9094" t="str">
        <f>IFERROR(__xludf.DUMMYFUNCTION("""COMPUTED_VALUE"""),"Libya")</f>
        <v>Libya</v>
      </c>
      <c r="D9094">
        <f>IFERROR(__xludf.DUMMYFUNCTION("""COMPUTED_VALUE"""),2031.0)</f>
        <v>2031</v>
      </c>
      <c r="E9094">
        <f>IFERROR(__xludf.DUMMYFUNCTION("""COMPUTED_VALUE"""),7398213.0)</f>
        <v>7398213</v>
      </c>
    </row>
    <row r="9095">
      <c r="A9095" t="str">
        <f t="shared" si="1"/>
        <v>lby#2032</v>
      </c>
      <c r="B9095" t="str">
        <f>IFERROR(__xludf.DUMMYFUNCTION("""COMPUTED_VALUE"""),"lby")</f>
        <v>lby</v>
      </c>
      <c r="C9095" t="str">
        <f>IFERROR(__xludf.DUMMYFUNCTION("""COMPUTED_VALUE"""),"Libya")</f>
        <v>Libya</v>
      </c>
      <c r="D9095">
        <f>IFERROR(__xludf.DUMMYFUNCTION("""COMPUTED_VALUE"""),2032.0)</f>
        <v>2032</v>
      </c>
      <c r="E9095">
        <f>IFERROR(__xludf.DUMMYFUNCTION("""COMPUTED_VALUE"""),7452161.0)</f>
        <v>7452161</v>
      </c>
    </row>
    <row r="9096">
      <c r="A9096" t="str">
        <f t="shared" si="1"/>
        <v>lby#2033</v>
      </c>
      <c r="B9096" t="str">
        <f>IFERROR(__xludf.DUMMYFUNCTION("""COMPUTED_VALUE"""),"lby")</f>
        <v>lby</v>
      </c>
      <c r="C9096" t="str">
        <f>IFERROR(__xludf.DUMMYFUNCTION("""COMPUTED_VALUE"""),"Libya")</f>
        <v>Libya</v>
      </c>
      <c r="D9096">
        <f>IFERROR(__xludf.DUMMYFUNCTION("""COMPUTED_VALUE"""),2033.0)</f>
        <v>2033</v>
      </c>
      <c r="E9096">
        <f>IFERROR(__xludf.DUMMYFUNCTION("""COMPUTED_VALUE"""),7504306.0)</f>
        <v>7504306</v>
      </c>
    </row>
    <row r="9097">
      <c r="A9097" t="str">
        <f t="shared" si="1"/>
        <v>lby#2034</v>
      </c>
      <c r="B9097" t="str">
        <f>IFERROR(__xludf.DUMMYFUNCTION("""COMPUTED_VALUE"""),"lby")</f>
        <v>lby</v>
      </c>
      <c r="C9097" t="str">
        <f>IFERROR(__xludf.DUMMYFUNCTION("""COMPUTED_VALUE"""),"Libya")</f>
        <v>Libya</v>
      </c>
      <c r="D9097">
        <f>IFERROR(__xludf.DUMMYFUNCTION("""COMPUTED_VALUE"""),2034.0)</f>
        <v>2034</v>
      </c>
      <c r="E9097">
        <f>IFERROR(__xludf.DUMMYFUNCTION("""COMPUTED_VALUE"""),7554801.0)</f>
        <v>7554801</v>
      </c>
    </row>
    <row r="9098">
      <c r="A9098" t="str">
        <f t="shared" si="1"/>
        <v>lby#2035</v>
      </c>
      <c r="B9098" t="str">
        <f>IFERROR(__xludf.DUMMYFUNCTION("""COMPUTED_VALUE"""),"lby")</f>
        <v>lby</v>
      </c>
      <c r="C9098" t="str">
        <f>IFERROR(__xludf.DUMMYFUNCTION("""COMPUTED_VALUE"""),"Libya")</f>
        <v>Libya</v>
      </c>
      <c r="D9098">
        <f>IFERROR(__xludf.DUMMYFUNCTION("""COMPUTED_VALUE"""),2035.0)</f>
        <v>2035</v>
      </c>
      <c r="E9098">
        <f>IFERROR(__xludf.DUMMYFUNCTION("""COMPUTED_VALUE"""),7603743.0)</f>
        <v>7603743</v>
      </c>
    </row>
    <row r="9099">
      <c r="A9099" t="str">
        <f t="shared" si="1"/>
        <v>lby#2036</v>
      </c>
      <c r="B9099" t="str">
        <f>IFERROR(__xludf.DUMMYFUNCTION("""COMPUTED_VALUE"""),"lby")</f>
        <v>lby</v>
      </c>
      <c r="C9099" t="str">
        <f>IFERROR(__xludf.DUMMYFUNCTION("""COMPUTED_VALUE"""),"Libya")</f>
        <v>Libya</v>
      </c>
      <c r="D9099">
        <f>IFERROR(__xludf.DUMMYFUNCTION("""COMPUTED_VALUE"""),2036.0)</f>
        <v>2036</v>
      </c>
      <c r="E9099">
        <f>IFERROR(__xludf.DUMMYFUNCTION("""COMPUTED_VALUE"""),7651158.0)</f>
        <v>7651158</v>
      </c>
    </row>
    <row r="9100">
      <c r="A9100" t="str">
        <f t="shared" si="1"/>
        <v>lby#2037</v>
      </c>
      <c r="B9100" t="str">
        <f>IFERROR(__xludf.DUMMYFUNCTION("""COMPUTED_VALUE"""),"lby")</f>
        <v>lby</v>
      </c>
      <c r="C9100" t="str">
        <f>IFERROR(__xludf.DUMMYFUNCTION("""COMPUTED_VALUE"""),"Libya")</f>
        <v>Libya</v>
      </c>
      <c r="D9100">
        <f>IFERROR(__xludf.DUMMYFUNCTION("""COMPUTED_VALUE"""),2037.0)</f>
        <v>2037</v>
      </c>
      <c r="E9100">
        <f>IFERROR(__xludf.DUMMYFUNCTION("""COMPUTED_VALUE"""),7697033.0)</f>
        <v>7697033</v>
      </c>
    </row>
    <row r="9101">
      <c r="A9101" t="str">
        <f t="shared" si="1"/>
        <v>lby#2038</v>
      </c>
      <c r="B9101" t="str">
        <f>IFERROR(__xludf.DUMMYFUNCTION("""COMPUTED_VALUE"""),"lby")</f>
        <v>lby</v>
      </c>
      <c r="C9101" t="str">
        <f>IFERROR(__xludf.DUMMYFUNCTION("""COMPUTED_VALUE"""),"Libya")</f>
        <v>Libya</v>
      </c>
      <c r="D9101">
        <f>IFERROR(__xludf.DUMMYFUNCTION("""COMPUTED_VALUE"""),2038.0)</f>
        <v>2038</v>
      </c>
      <c r="E9101">
        <f>IFERROR(__xludf.DUMMYFUNCTION("""COMPUTED_VALUE"""),7741372.0)</f>
        <v>7741372</v>
      </c>
    </row>
    <row r="9102">
      <c r="A9102" t="str">
        <f t="shared" si="1"/>
        <v>lby#2039</v>
      </c>
      <c r="B9102" t="str">
        <f>IFERROR(__xludf.DUMMYFUNCTION("""COMPUTED_VALUE"""),"lby")</f>
        <v>lby</v>
      </c>
      <c r="C9102" t="str">
        <f>IFERROR(__xludf.DUMMYFUNCTION("""COMPUTED_VALUE"""),"Libya")</f>
        <v>Libya</v>
      </c>
      <c r="D9102">
        <f>IFERROR(__xludf.DUMMYFUNCTION("""COMPUTED_VALUE"""),2039.0)</f>
        <v>2039</v>
      </c>
      <c r="E9102">
        <f>IFERROR(__xludf.DUMMYFUNCTION("""COMPUTED_VALUE"""),7784117.0)</f>
        <v>7784117</v>
      </c>
    </row>
    <row r="9103">
      <c r="A9103" t="str">
        <f t="shared" si="1"/>
        <v>lby#2040</v>
      </c>
      <c r="B9103" t="str">
        <f>IFERROR(__xludf.DUMMYFUNCTION("""COMPUTED_VALUE"""),"lby")</f>
        <v>lby</v>
      </c>
      <c r="C9103" t="str">
        <f>IFERROR(__xludf.DUMMYFUNCTION("""COMPUTED_VALUE"""),"Libya")</f>
        <v>Libya</v>
      </c>
      <c r="D9103">
        <f>IFERROR(__xludf.DUMMYFUNCTION("""COMPUTED_VALUE"""),2040.0)</f>
        <v>2040</v>
      </c>
      <c r="E9103">
        <f>IFERROR(__xludf.DUMMYFUNCTION("""COMPUTED_VALUE"""),7825251.0)</f>
        <v>7825251</v>
      </c>
    </row>
    <row r="9104">
      <c r="A9104" t="str">
        <f t="shared" si="1"/>
        <v>lie#1950</v>
      </c>
      <c r="B9104" t="str">
        <f>IFERROR(__xludf.DUMMYFUNCTION("""COMPUTED_VALUE"""),"lie")</f>
        <v>lie</v>
      </c>
      <c r="C9104" t="str">
        <f>IFERROR(__xludf.DUMMYFUNCTION("""COMPUTED_VALUE"""),"Liechtenstein")</f>
        <v>Liechtenstein</v>
      </c>
      <c r="D9104">
        <f>IFERROR(__xludf.DUMMYFUNCTION("""COMPUTED_VALUE"""),1950.0)</f>
        <v>1950</v>
      </c>
      <c r="E9104">
        <f>IFERROR(__xludf.DUMMYFUNCTION("""COMPUTED_VALUE"""),13758.0)</f>
        <v>13758</v>
      </c>
    </row>
    <row r="9105">
      <c r="A9105" t="str">
        <f t="shared" si="1"/>
        <v>lie#1951</v>
      </c>
      <c r="B9105" t="str">
        <f>IFERROR(__xludf.DUMMYFUNCTION("""COMPUTED_VALUE"""),"lie")</f>
        <v>lie</v>
      </c>
      <c r="C9105" t="str">
        <f>IFERROR(__xludf.DUMMYFUNCTION("""COMPUTED_VALUE"""),"Liechtenstein")</f>
        <v>Liechtenstein</v>
      </c>
      <c r="D9105">
        <f>IFERROR(__xludf.DUMMYFUNCTION("""COMPUTED_VALUE"""),1951.0)</f>
        <v>1951</v>
      </c>
      <c r="E9105">
        <f>IFERROR(__xludf.DUMMYFUNCTION("""COMPUTED_VALUE"""),13942.0)</f>
        <v>13942</v>
      </c>
    </row>
    <row r="9106">
      <c r="A9106" t="str">
        <f t="shared" si="1"/>
        <v>lie#1952</v>
      </c>
      <c r="B9106" t="str">
        <f>IFERROR(__xludf.DUMMYFUNCTION("""COMPUTED_VALUE"""),"lie")</f>
        <v>lie</v>
      </c>
      <c r="C9106" t="str">
        <f>IFERROR(__xludf.DUMMYFUNCTION("""COMPUTED_VALUE"""),"Liechtenstein")</f>
        <v>Liechtenstein</v>
      </c>
      <c r="D9106">
        <f>IFERROR(__xludf.DUMMYFUNCTION("""COMPUTED_VALUE"""),1952.0)</f>
        <v>1952</v>
      </c>
      <c r="E9106">
        <f>IFERROR(__xludf.DUMMYFUNCTION("""COMPUTED_VALUE"""),14128.0)</f>
        <v>14128</v>
      </c>
    </row>
    <row r="9107">
      <c r="A9107" t="str">
        <f t="shared" si="1"/>
        <v>lie#1953</v>
      </c>
      <c r="B9107" t="str">
        <f>IFERROR(__xludf.DUMMYFUNCTION("""COMPUTED_VALUE"""),"lie")</f>
        <v>lie</v>
      </c>
      <c r="C9107" t="str">
        <f>IFERROR(__xludf.DUMMYFUNCTION("""COMPUTED_VALUE"""),"Liechtenstein")</f>
        <v>Liechtenstein</v>
      </c>
      <c r="D9107">
        <f>IFERROR(__xludf.DUMMYFUNCTION("""COMPUTED_VALUE"""),1953.0)</f>
        <v>1953</v>
      </c>
      <c r="E9107">
        <f>IFERROR(__xludf.DUMMYFUNCTION("""COMPUTED_VALUE"""),14338.0)</f>
        <v>14338</v>
      </c>
    </row>
    <row r="9108">
      <c r="A9108" t="str">
        <f t="shared" si="1"/>
        <v>lie#1954</v>
      </c>
      <c r="B9108" t="str">
        <f>IFERROR(__xludf.DUMMYFUNCTION("""COMPUTED_VALUE"""),"lie")</f>
        <v>lie</v>
      </c>
      <c r="C9108" t="str">
        <f>IFERROR(__xludf.DUMMYFUNCTION("""COMPUTED_VALUE"""),"Liechtenstein")</f>
        <v>Liechtenstein</v>
      </c>
      <c r="D9108">
        <f>IFERROR(__xludf.DUMMYFUNCTION("""COMPUTED_VALUE"""),1954.0)</f>
        <v>1954</v>
      </c>
      <c r="E9108">
        <f>IFERROR(__xludf.DUMMYFUNCTION("""COMPUTED_VALUE"""),14568.0)</f>
        <v>14568</v>
      </c>
    </row>
    <row r="9109">
      <c r="A9109" t="str">
        <f t="shared" si="1"/>
        <v>lie#1955</v>
      </c>
      <c r="B9109" t="str">
        <f>IFERROR(__xludf.DUMMYFUNCTION("""COMPUTED_VALUE"""),"lie")</f>
        <v>lie</v>
      </c>
      <c r="C9109" t="str">
        <f>IFERROR(__xludf.DUMMYFUNCTION("""COMPUTED_VALUE"""),"Liechtenstein")</f>
        <v>Liechtenstein</v>
      </c>
      <c r="D9109">
        <f>IFERROR(__xludf.DUMMYFUNCTION("""COMPUTED_VALUE"""),1955.0)</f>
        <v>1955</v>
      </c>
      <c r="E9109">
        <f>IFERROR(__xludf.DUMMYFUNCTION("""COMPUTED_VALUE"""),14831.0)</f>
        <v>14831</v>
      </c>
    </row>
    <row r="9110">
      <c r="A9110" t="str">
        <f t="shared" si="1"/>
        <v>lie#1956</v>
      </c>
      <c r="B9110" t="str">
        <f>IFERROR(__xludf.DUMMYFUNCTION("""COMPUTED_VALUE"""),"lie")</f>
        <v>lie</v>
      </c>
      <c r="C9110" t="str">
        <f>IFERROR(__xludf.DUMMYFUNCTION("""COMPUTED_VALUE"""),"Liechtenstein")</f>
        <v>Liechtenstein</v>
      </c>
      <c r="D9110">
        <f>IFERROR(__xludf.DUMMYFUNCTION("""COMPUTED_VALUE"""),1956.0)</f>
        <v>1956</v>
      </c>
      <c r="E9110">
        <f>IFERROR(__xludf.DUMMYFUNCTION("""COMPUTED_VALUE"""),15112.0)</f>
        <v>15112</v>
      </c>
    </row>
    <row r="9111">
      <c r="A9111" t="str">
        <f t="shared" si="1"/>
        <v>lie#1957</v>
      </c>
      <c r="B9111" t="str">
        <f>IFERROR(__xludf.DUMMYFUNCTION("""COMPUTED_VALUE"""),"lie")</f>
        <v>lie</v>
      </c>
      <c r="C9111" t="str">
        <f>IFERROR(__xludf.DUMMYFUNCTION("""COMPUTED_VALUE"""),"Liechtenstein")</f>
        <v>Liechtenstein</v>
      </c>
      <c r="D9111">
        <f>IFERROR(__xludf.DUMMYFUNCTION("""COMPUTED_VALUE"""),1957.0)</f>
        <v>1957</v>
      </c>
      <c r="E9111">
        <f>IFERROR(__xludf.DUMMYFUNCTION("""COMPUTED_VALUE"""),15431.0)</f>
        <v>15431</v>
      </c>
    </row>
    <row r="9112">
      <c r="A9112" t="str">
        <f t="shared" si="1"/>
        <v>lie#1958</v>
      </c>
      <c r="B9112" t="str">
        <f>IFERROR(__xludf.DUMMYFUNCTION("""COMPUTED_VALUE"""),"lie")</f>
        <v>lie</v>
      </c>
      <c r="C9112" t="str">
        <f>IFERROR(__xludf.DUMMYFUNCTION("""COMPUTED_VALUE"""),"Liechtenstein")</f>
        <v>Liechtenstein</v>
      </c>
      <c r="D9112">
        <f>IFERROR(__xludf.DUMMYFUNCTION("""COMPUTED_VALUE"""),1958.0)</f>
        <v>1958</v>
      </c>
      <c r="E9112">
        <f>IFERROR(__xludf.DUMMYFUNCTION("""COMPUTED_VALUE"""),15767.0)</f>
        <v>15767</v>
      </c>
    </row>
    <row r="9113">
      <c r="A9113" t="str">
        <f t="shared" si="1"/>
        <v>lie#1959</v>
      </c>
      <c r="B9113" t="str">
        <f>IFERROR(__xludf.DUMMYFUNCTION("""COMPUTED_VALUE"""),"lie")</f>
        <v>lie</v>
      </c>
      <c r="C9113" t="str">
        <f>IFERROR(__xludf.DUMMYFUNCTION("""COMPUTED_VALUE"""),"Liechtenstein")</f>
        <v>Liechtenstein</v>
      </c>
      <c r="D9113">
        <f>IFERROR(__xludf.DUMMYFUNCTION("""COMPUTED_VALUE"""),1959.0)</f>
        <v>1959</v>
      </c>
      <c r="E9113">
        <f>IFERROR(__xludf.DUMMYFUNCTION("""COMPUTED_VALUE"""),16126.0)</f>
        <v>16126</v>
      </c>
    </row>
    <row r="9114">
      <c r="A9114" t="str">
        <f t="shared" si="1"/>
        <v>lie#1960</v>
      </c>
      <c r="B9114" t="str">
        <f>IFERROR(__xludf.DUMMYFUNCTION("""COMPUTED_VALUE"""),"lie")</f>
        <v>lie</v>
      </c>
      <c r="C9114" t="str">
        <f>IFERROR(__xludf.DUMMYFUNCTION("""COMPUTED_VALUE"""),"Liechtenstein")</f>
        <v>Liechtenstein</v>
      </c>
      <c r="D9114">
        <f>IFERROR(__xludf.DUMMYFUNCTION("""COMPUTED_VALUE"""),1960.0)</f>
        <v>1960</v>
      </c>
      <c r="E9114">
        <f>IFERROR(__xludf.DUMMYFUNCTION("""COMPUTED_VALUE"""),16495.0)</f>
        <v>16495</v>
      </c>
    </row>
    <row r="9115">
      <c r="A9115" t="str">
        <f t="shared" si="1"/>
        <v>lie#1961</v>
      </c>
      <c r="B9115" t="str">
        <f>IFERROR(__xludf.DUMMYFUNCTION("""COMPUTED_VALUE"""),"lie")</f>
        <v>lie</v>
      </c>
      <c r="C9115" t="str">
        <f>IFERROR(__xludf.DUMMYFUNCTION("""COMPUTED_VALUE"""),"Liechtenstein")</f>
        <v>Liechtenstein</v>
      </c>
      <c r="D9115">
        <f>IFERROR(__xludf.DUMMYFUNCTION("""COMPUTED_VALUE"""),1961.0)</f>
        <v>1961</v>
      </c>
      <c r="E9115">
        <f>IFERROR(__xludf.DUMMYFUNCTION("""COMPUTED_VALUE"""),16894.0)</f>
        <v>16894</v>
      </c>
    </row>
    <row r="9116">
      <c r="A9116" t="str">
        <f t="shared" si="1"/>
        <v>lie#1962</v>
      </c>
      <c r="B9116" t="str">
        <f>IFERROR(__xludf.DUMMYFUNCTION("""COMPUTED_VALUE"""),"lie")</f>
        <v>lie</v>
      </c>
      <c r="C9116" t="str">
        <f>IFERROR(__xludf.DUMMYFUNCTION("""COMPUTED_VALUE"""),"Liechtenstein")</f>
        <v>Liechtenstein</v>
      </c>
      <c r="D9116">
        <f>IFERROR(__xludf.DUMMYFUNCTION("""COMPUTED_VALUE"""),1962.0)</f>
        <v>1962</v>
      </c>
      <c r="E9116">
        <f>IFERROR(__xludf.DUMMYFUNCTION("""COMPUTED_VALUE"""),17290.0)</f>
        <v>17290</v>
      </c>
    </row>
    <row r="9117">
      <c r="A9117" t="str">
        <f t="shared" si="1"/>
        <v>lie#1963</v>
      </c>
      <c r="B9117" t="str">
        <f>IFERROR(__xludf.DUMMYFUNCTION("""COMPUTED_VALUE"""),"lie")</f>
        <v>lie</v>
      </c>
      <c r="C9117" t="str">
        <f>IFERROR(__xludf.DUMMYFUNCTION("""COMPUTED_VALUE"""),"Liechtenstein")</f>
        <v>Liechtenstein</v>
      </c>
      <c r="D9117">
        <f>IFERROR(__xludf.DUMMYFUNCTION("""COMPUTED_VALUE"""),1963.0)</f>
        <v>1963</v>
      </c>
      <c r="E9117">
        <f>IFERROR(__xludf.DUMMYFUNCTION("""COMPUTED_VALUE"""),17718.0)</f>
        <v>17718</v>
      </c>
    </row>
    <row r="9118">
      <c r="A9118" t="str">
        <f t="shared" si="1"/>
        <v>lie#1964</v>
      </c>
      <c r="B9118" t="str">
        <f>IFERROR(__xludf.DUMMYFUNCTION("""COMPUTED_VALUE"""),"lie")</f>
        <v>lie</v>
      </c>
      <c r="C9118" t="str">
        <f>IFERROR(__xludf.DUMMYFUNCTION("""COMPUTED_VALUE"""),"Liechtenstein")</f>
        <v>Liechtenstein</v>
      </c>
      <c r="D9118">
        <f>IFERROR(__xludf.DUMMYFUNCTION("""COMPUTED_VALUE"""),1964.0)</f>
        <v>1964</v>
      </c>
      <c r="E9118">
        <f>IFERROR(__xludf.DUMMYFUNCTION("""COMPUTED_VALUE"""),18170.0)</f>
        <v>18170</v>
      </c>
    </row>
    <row r="9119">
      <c r="A9119" t="str">
        <f t="shared" si="1"/>
        <v>lie#1965</v>
      </c>
      <c r="B9119" t="str">
        <f>IFERROR(__xludf.DUMMYFUNCTION("""COMPUTED_VALUE"""),"lie")</f>
        <v>lie</v>
      </c>
      <c r="C9119" t="str">
        <f>IFERROR(__xludf.DUMMYFUNCTION("""COMPUTED_VALUE"""),"Liechtenstein")</f>
        <v>Liechtenstein</v>
      </c>
      <c r="D9119">
        <f>IFERROR(__xludf.DUMMYFUNCTION("""COMPUTED_VALUE"""),1965.0)</f>
        <v>1965</v>
      </c>
      <c r="E9119">
        <f>IFERROR(__xludf.DUMMYFUNCTION("""COMPUTED_VALUE"""),18649.0)</f>
        <v>18649</v>
      </c>
    </row>
    <row r="9120">
      <c r="A9120" t="str">
        <f t="shared" si="1"/>
        <v>lie#1966</v>
      </c>
      <c r="B9120" t="str">
        <f>IFERROR(__xludf.DUMMYFUNCTION("""COMPUTED_VALUE"""),"lie")</f>
        <v>lie</v>
      </c>
      <c r="C9120" t="str">
        <f>IFERROR(__xludf.DUMMYFUNCTION("""COMPUTED_VALUE"""),"Liechtenstein")</f>
        <v>Liechtenstein</v>
      </c>
      <c r="D9120">
        <f>IFERROR(__xludf.DUMMYFUNCTION("""COMPUTED_VALUE"""),1966.0)</f>
        <v>1966</v>
      </c>
      <c r="E9120">
        <f>IFERROR(__xludf.DUMMYFUNCTION("""COMPUTED_VALUE"""),19153.0)</f>
        <v>19153</v>
      </c>
    </row>
    <row r="9121">
      <c r="A9121" t="str">
        <f t="shared" si="1"/>
        <v>lie#1967</v>
      </c>
      <c r="B9121" t="str">
        <f>IFERROR(__xludf.DUMMYFUNCTION("""COMPUTED_VALUE"""),"lie")</f>
        <v>lie</v>
      </c>
      <c r="C9121" t="str">
        <f>IFERROR(__xludf.DUMMYFUNCTION("""COMPUTED_VALUE"""),"Liechtenstein")</f>
        <v>Liechtenstein</v>
      </c>
      <c r="D9121">
        <f>IFERROR(__xludf.DUMMYFUNCTION("""COMPUTED_VALUE"""),1967.0)</f>
        <v>1967</v>
      </c>
      <c r="E9121">
        <f>IFERROR(__xludf.DUMMYFUNCTION("""COMPUTED_VALUE"""),19691.0)</f>
        <v>19691</v>
      </c>
    </row>
    <row r="9122">
      <c r="A9122" t="str">
        <f t="shared" si="1"/>
        <v>lie#1968</v>
      </c>
      <c r="B9122" t="str">
        <f>IFERROR(__xludf.DUMMYFUNCTION("""COMPUTED_VALUE"""),"lie")</f>
        <v>lie</v>
      </c>
      <c r="C9122" t="str">
        <f>IFERROR(__xludf.DUMMYFUNCTION("""COMPUTED_VALUE"""),"Liechtenstein")</f>
        <v>Liechtenstein</v>
      </c>
      <c r="D9122">
        <f>IFERROR(__xludf.DUMMYFUNCTION("""COMPUTED_VALUE"""),1968.0)</f>
        <v>1968</v>
      </c>
      <c r="E9122">
        <f>IFERROR(__xludf.DUMMYFUNCTION("""COMPUTED_VALUE"""),20236.0)</f>
        <v>20236</v>
      </c>
    </row>
    <row r="9123">
      <c r="A9123" t="str">
        <f t="shared" si="1"/>
        <v>lie#1969</v>
      </c>
      <c r="B9123" t="str">
        <f>IFERROR(__xludf.DUMMYFUNCTION("""COMPUTED_VALUE"""),"lie")</f>
        <v>lie</v>
      </c>
      <c r="C9123" t="str">
        <f>IFERROR(__xludf.DUMMYFUNCTION("""COMPUTED_VALUE"""),"Liechtenstein")</f>
        <v>Liechtenstein</v>
      </c>
      <c r="D9123">
        <f>IFERROR(__xludf.DUMMYFUNCTION("""COMPUTED_VALUE"""),1969.0)</f>
        <v>1969</v>
      </c>
      <c r="E9123">
        <f>IFERROR(__xludf.DUMMYFUNCTION("""COMPUTED_VALUE"""),20765.0)</f>
        <v>20765</v>
      </c>
    </row>
    <row r="9124">
      <c r="A9124" t="str">
        <f t="shared" si="1"/>
        <v>lie#1970</v>
      </c>
      <c r="B9124" t="str">
        <f>IFERROR(__xludf.DUMMYFUNCTION("""COMPUTED_VALUE"""),"lie")</f>
        <v>lie</v>
      </c>
      <c r="C9124" t="str">
        <f>IFERROR(__xludf.DUMMYFUNCTION("""COMPUTED_VALUE"""),"Liechtenstein")</f>
        <v>Liechtenstein</v>
      </c>
      <c r="D9124">
        <f>IFERROR(__xludf.DUMMYFUNCTION("""COMPUTED_VALUE"""),1970.0)</f>
        <v>1970</v>
      </c>
      <c r="E9124">
        <f>IFERROR(__xludf.DUMMYFUNCTION("""COMPUTED_VALUE"""),21265.0)</f>
        <v>21265</v>
      </c>
    </row>
    <row r="9125">
      <c r="A9125" t="str">
        <f t="shared" si="1"/>
        <v>lie#1971</v>
      </c>
      <c r="B9125" t="str">
        <f>IFERROR(__xludf.DUMMYFUNCTION("""COMPUTED_VALUE"""),"lie")</f>
        <v>lie</v>
      </c>
      <c r="C9125" t="str">
        <f>IFERROR(__xludf.DUMMYFUNCTION("""COMPUTED_VALUE"""),"Liechtenstein")</f>
        <v>Liechtenstein</v>
      </c>
      <c r="D9125">
        <f>IFERROR(__xludf.DUMMYFUNCTION("""COMPUTED_VALUE"""),1971.0)</f>
        <v>1971</v>
      </c>
      <c r="E9125">
        <f>IFERROR(__xludf.DUMMYFUNCTION("""COMPUTED_VALUE"""),21726.0)</f>
        <v>21726</v>
      </c>
    </row>
    <row r="9126">
      <c r="A9126" t="str">
        <f t="shared" si="1"/>
        <v>lie#1972</v>
      </c>
      <c r="B9126" t="str">
        <f>IFERROR(__xludf.DUMMYFUNCTION("""COMPUTED_VALUE"""),"lie")</f>
        <v>lie</v>
      </c>
      <c r="C9126" t="str">
        <f>IFERROR(__xludf.DUMMYFUNCTION("""COMPUTED_VALUE"""),"Liechtenstein")</f>
        <v>Liechtenstein</v>
      </c>
      <c r="D9126">
        <f>IFERROR(__xludf.DUMMYFUNCTION("""COMPUTED_VALUE"""),1972.0)</f>
        <v>1972</v>
      </c>
      <c r="E9126">
        <f>IFERROR(__xludf.DUMMYFUNCTION("""COMPUTED_VALUE"""),22151.0)</f>
        <v>22151</v>
      </c>
    </row>
    <row r="9127">
      <c r="A9127" t="str">
        <f t="shared" si="1"/>
        <v>lie#1973</v>
      </c>
      <c r="B9127" t="str">
        <f>IFERROR(__xludf.DUMMYFUNCTION("""COMPUTED_VALUE"""),"lie")</f>
        <v>lie</v>
      </c>
      <c r="C9127" t="str">
        <f>IFERROR(__xludf.DUMMYFUNCTION("""COMPUTED_VALUE"""),"Liechtenstein")</f>
        <v>Liechtenstein</v>
      </c>
      <c r="D9127">
        <f>IFERROR(__xludf.DUMMYFUNCTION("""COMPUTED_VALUE"""),1973.0)</f>
        <v>1973</v>
      </c>
      <c r="E9127">
        <f>IFERROR(__xludf.DUMMYFUNCTION("""COMPUTED_VALUE"""),22563.0)</f>
        <v>22563</v>
      </c>
    </row>
    <row r="9128">
      <c r="A9128" t="str">
        <f t="shared" si="1"/>
        <v>lie#1974</v>
      </c>
      <c r="B9128" t="str">
        <f>IFERROR(__xludf.DUMMYFUNCTION("""COMPUTED_VALUE"""),"lie")</f>
        <v>lie</v>
      </c>
      <c r="C9128" t="str">
        <f>IFERROR(__xludf.DUMMYFUNCTION("""COMPUTED_VALUE"""),"Liechtenstein")</f>
        <v>Liechtenstein</v>
      </c>
      <c r="D9128">
        <f>IFERROR(__xludf.DUMMYFUNCTION("""COMPUTED_VALUE"""),1974.0)</f>
        <v>1974</v>
      </c>
      <c r="E9128">
        <f>IFERROR(__xludf.DUMMYFUNCTION("""COMPUTED_VALUE"""),22981.0)</f>
        <v>22981</v>
      </c>
    </row>
    <row r="9129">
      <c r="A9129" t="str">
        <f t="shared" si="1"/>
        <v>lie#1975</v>
      </c>
      <c r="B9129" t="str">
        <f>IFERROR(__xludf.DUMMYFUNCTION("""COMPUTED_VALUE"""),"lie")</f>
        <v>lie</v>
      </c>
      <c r="C9129" t="str">
        <f>IFERROR(__xludf.DUMMYFUNCTION("""COMPUTED_VALUE"""),"Liechtenstein")</f>
        <v>Liechtenstein</v>
      </c>
      <c r="D9129">
        <f>IFERROR(__xludf.DUMMYFUNCTION("""COMPUTED_VALUE"""),1975.0)</f>
        <v>1975</v>
      </c>
      <c r="E9129">
        <f>IFERROR(__xludf.DUMMYFUNCTION("""COMPUTED_VALUE"""),23432.0)</f>
        <v>23432</v>
      </c>
    </row>
    <row r="9130">
      <c r="A9130" t="str">
        <f t="shared" si="1"/>
        <v>lie#1976</v>
      </c>
      <c r="B9130" t="str">
        <f>IFERROR(__xludf.DUMMYFUNCTION("""COMPUTED_VALUE"""),"lie")</f>
        <v>lie</v>
      </c>
      <c r="C9130" t="str">
        <f>IFERROR(__xludf.DUMMYFUNCTION("""COMPUTED_VALUE"""),"Liechtenstein")</f>
        <v>Liechtenstein</v>
      </c>
      <c r="D9130">
        <f>IFERROR(__xludf.DUMMYFUNCTION("""COMPUTED_VALUE"""),1976.0)</f>
        <v>1976</v>
      </c>
      <c r="E9130">
        <f>IFERROR(__xludf.DUMMYFUNCTION("""COMPUTED_VALUE"""),23926.0)</f>
        <v>23926</v>
      </c>
    </row>
    <row r="9131">
      <c r="A9131" t="str">
        <f t="shared" si="1"/>
        <v>lie#1977</v>
      </c>
      <c r="B9131" t="str">
        <f>IFERROR(__xludf.DUMMYFUNCTION("""COMPUTED_VALUE"""),"lie")</f>
        <v>lie</v>
      </c>
      <c r="C9131" t="str">
        <f>IFERROR(__xludf.DUMMYFUNCTION("""COMPUTED_VALUE"""),"Liechtenstein")</f>
        <v>Liechtenstein</v>
      </c>
      <c r="D9131">
        <f>IFERROR(__xludf.DUMMYFUNCTION("""COMPUTED_VALUE"""),1977.0)</f>
        <v>1977</v>
      </c>
      <c r="E9131">
        <f>IFERROR(__xludf.DUMMYFUNCTION("""COMPUTED_VALUE"""),24440.0)</f>
        <v>24440</v>
      </c>
    </row>
    <row r="9132">
      <c r="A9132" t="str">
        <f t="shared" si="1"/>
        <v>lie#1978</v>
      </c>
      <c r="B9132" t="str">
        <f>IFERROR(__xludf.DUMMYFUNCTION("""COMPUTED_VALUE"""),"lie")</f>
        <v>lie</v>
      </c>
      <c r="C9132" t="str">
        <f>IFERROR(__xludf.DUMMYFUNCTION("""COMPUTED_VALUE"""),"Liechtenstein")</f>
        <v>Liechtenstein</v>
      </c>
      <c r="D9132">
        <f>IFERROR(__xludf.DUMMYFUNCTION("""COMPUTED_VALUE"""),1978.0)</f>
        <v>1978</v>
      </c>
      <c r="E9132">
        <f>IFERROR(__xludf.DUMMYFUNCTION("""COMPUTED_VALUE"""),24962.0)</f>
        <v>24962</v>
      </c>
    </row>
    <row r="9133">
      <c r="A9133" t="str">
        <f t="shared" si="1"/>
        <v>lie#1979</v>
      </c>
      <c r="B9133" t="str">
        <f>IFERROR(__xludf.DUMMYFUNCTION("""COMPUTED_VALUE"""),"lie")</f>
        <v>lie</v>
      </c>
      <c r="C9133" t="str">
        <f>IFERROR(__xludf.DUMMYFUNCTION("""COMPUTED_VALUE"""),"Liechtenstein")</f>
        <v>Liechtenstein</v>
      </c>
      <c r="D9133">
        <f>IFERROR(__xludf.DUMMYFUNCTION("""COMPUTED_VALUE"""),1979.0)</f>
        <v>1979</v>
      </c>
      <c r="E9133">
        <f>IFERROR(__xludf.DUMMYFUNCTION("""COMPUTED_VALUE"""),25447.0)</f>
        <v>25447</v>
      </c>
    </row>
    <row r="9134">
      <c r="A9134" t="str">
        <f t="shared" si="1"/>
        <v>lie#1980</v>
      </c>
      <c r="B9134" t="str">
        <f>IFERROR(__xludf.DUMMYFUNCTION("""COMPUTED_VALUE"""),"lie")</f>
        <v>lie</v>
      </c>
      <c r="C9134" t="str">
        <f>IFERROR(__xludf.DUMMYFUNCTION("""COMPUTED_VALUE"""),"Liechtenstein")</f>
        <v>Liechtenstein</v>
      </c>
      <c r="D9134">
        <f>IFERROR(__xludf.DUMMYFUNCTION("""COMPUTED_VALUE"""),1980.0)</f>
        <v>1980</v>
      </c>
      <c r="E9134">
        <f>IFERROR(__xludf.DUMMYFUNCTION("""COMPUTED_VALUE"""),25866.0)</f>
        <v>25866</v>
      </c>
    </row>
    <row r="9135">
      <c r="A9135" t="str">
        <f t="shared" si="1"/>
        <v>lie#1981</v>
      </c>
      <c r="B9135" t="str">
        <f>IFERROR(__xludf.DUMMYFUNCTION("""COMPUTED_VALUE"""),"lie")</f>
        <v>lie</v>
      </c>
      <c r="C9135" t="str">
        <f>IFERROR(__xludf.DUMMYFUNCTION("""COMPUTED_VALUE"""),"Liechtenstein")</f>
        <v>Liechtenstein</v>
      </c>
      <c r="D9135">
        <f>IFERROR(__xludf.DUMMYFUNCTION("""COMPUTED_VALUE"""),1981.0)</f>
        <v>1981</v>
      </c>
      <c r="E9135">
        <f>IFERROR(__xludf.DUMMYFUNCTION("""COMPUTED_VALUE"""),26224.0)</f>
        <v>26224</v>
      </c>
    </row>
    <row r="9136">
      <c r="A9136" t="str">
        <f t="shared" si="1"/>
        <v>lie#1982</v>
      </c>
      <c r="B9136" t="str">
        <f>IFERROR(__xludf.DUMMYFUNCTION("""COMPUTED_VALUE"""),"lie")</f>
        <v>lie</v>
      </c>
      <c r="C9136" t="str">
        <f>IFERROR(__xludf.DUMMYFUNCTION("""COMPUTED_VALUE"""),"Liechtenstein")</f>
        <v>Liechtenstein</v>
      </c>
      <c r="D9136">
        <f>IFERROR(__xludf.DUMMYFUNCTION("""COMPUTED_VALUE"""),1982.0)</f>
        <v>1982</v>
      </c>
      <c r="E9136">
        <f>IFERROR(__xludf.DUMMYFUNCTION("""COMPUTED_VALUE"""),26515.0)</f>
        <v>26515</v>
      </c>
    </row>
    <row r="9137">
      <c r="A9137" t="str">
        <f t="shared" si="1"/>
        <v>lie#1983</v>
      </c>
      <c r="B9137" t="str">
        <f>IFERROR(__xludf.DUMMYFUNCTION("""COMPUTED_VALUE"""),"lie")</f>
        <v>lie</v>
      </c>
      <c r="C9137" t="str">
        <f>IFERROR(__xludf.DUMMYFUNCTION("""COMPUTED_VALUE"""),"Liechtenstein")</f>
        <v>Liechtenstein</v>
      </c>
      <c r="D9137">
        <f>IFERROR(__xludf.DUMMYFUNCTION("""COMPUTED_VALUE"""),1983.0)</f>
        <v>1983</v>
      </c>
      <c r="E9137">
        <f>IFERROR(__xludf.DUMMYFUNCTION("""COMPUTED_VALUE"""),26765.0)</f>
        <v>26765</v>
      </c>
    </row>
    <row r="9138">
      <c r="A9138" t="str">
        <f t="shared" si="1"/>
        <v>lie#1984</v>
      </c>
      <c r="B9138" t="str">
        <f>IFERROR(__xludf.DUMMYFUNCTION("""COMPUTED_VALUE"""),"lie")</f>
        <v>lie</v>
      </c>
      <c r="C9138" t="str">
        <f>IFERROR(__xludf.DUMMYFUNCTION("""COMPUTED_VALUE"""),"Liechtenstein")</f>
        <v>Liechtenstein</v>
      </c>
      <c r="D9138">
        <f>IFERROR(__xludf.DUMMYFUNCTION("""COMPUTED_VALUE"""),1984.0)</f>
        <v>1984</v>
      </c>
      <c r="E9138">
        <f>IFERROR(__xludf.DUMMYFUNCTION("""COMPUTED_VALUE"""),27011.0)</f>
        <v>27011</v>
      </c>
    </row>
    <row r="9139">
      <c r="A9139" t="str">
        <f t="shared" si="1"/>
        <v>lie#1985</v>
      </c>
      <c r="B9139" t="str">
        <f>IFERROR(__xludf.DUMMYFUNCTION("""COMPUTED_VALUE"""),"lie")</f>
        <v>lie</v>
      </c>
      <c r="C9139" t="str">
        <f>IFERROR(__xludf.DUMMYFUNCTION("""COMPUTED_VALUE"""),"Liechtenstein")</f>
        <v>Liechtenstein</v>
      </c>
      <c r="D9139">
        <f>IFERROR(__xludf.DUMMYFUNCTION("""COMPUTED_VALUE"""),1985.0)</f>
        <v>1985</v>
      </c>
      <c r="E9139">
        <f>IFERROR(__xludf.DUMMYFUNCTION("""COMPUTED_VALUE"""),27257.0)</f>
        <v>27257</v>
      </c>
    </row>
    <row r="9140">
      <c r="A9140" t="str">
        <f t="shared" si="1"/>
        <v>lie#1986</v>
      </c>
      <c r="B9140" t="str">
        <f>IFERROR(__xludf.DUMMYFUNCTION("""COMPUTED_VALUE"""),"lie")</f>
        <v>lie</v>
      </c>
      <c r="C9140" t="str">
        <f>IFERROR(__xludf.DUMMYFUNCTION("""COMPUTED_VALUE"""),"Liechtenstein")</f>
        <v>Liechtenstein</v>
      </c>
      <c r="D9140">
        <f>IFERROR(__xludf.DUMMYFUNCTION("""COMPUTED_VALUE"""),1986.0)</f>
        <v>1986</v>
      </c>
      <c r="E9140">
        <f>IFERROR(__xludf.DUMMYFUNCTION("""COMPUTED_VALUE"""),27524.0)</f>
        <v>27524</v>
      </c>
    </row>
    <row r="9141">
      <c r="A9141" t="str">
        <f t="shared" si="1"/>
        <v>lie#1987</v>
      </c>
      <c r="B9141" t="str">
        <f>IFERROR(__xludf.DUMMYFUNCTION("""COMPUTED_VALUE"""),"lie")</f>
        <v>lie</v>
      </c>
      <c r="C9141" t="str">
        <f>IFERROR(__xludf.DUMMYFUNCTION("""COMPUTED_VALUE"""),"Liechtenstein")</f>
        <v>Liechtenstein</v>
      </c>
      <c r="D9141">
        <f>IFERROR(__xludf.DUMMYFUNCTION("""COMPUTED_VALUE"""),1987.0)</f>
        <v>1987</v>
      </c>
      <c r="E9141">
        <f>IFERROR(__xludf.DUMMYFUNCTION("""COMPUTED_VALUE"""),27802.0)</f>
        <v>27802</v>
      </c>
    </row>
    <row r="9142">
      <c r="A9142" t="str">
        <f t="shared" si="1"/>
        <v>lie#1988</v>
      </c>
      <c r="B9142" t="str">
        <f>IFERROR(__xludf.DUMMYFUNCTION("""COMPUTED_VALUE"""),"lie")</f>
        <v>lie</v>
      </c>
      <c r="C9142" t="str">
        <f>IFERROR(__xludf.DUMMYFUNCTION("""COMPUTED_VALUE"""),"Liechtenstein")</f>
        <v>Liechtenstein</v>
      </c>
      <c r="D9142">
        <f>IFERROR(__xludf.DUMMYFUNCTION("""COMPUTED_VALUE"""),1988.0)</f>
        <v>1988</v>
      </c>
      <c r="E9142">
        <f>IFERROR(__xludf.DUMMYFUNCTION("""COMPUTED_VALUE"""),28095.0)</f>
        <v>28095</v>
      </c>
    </row>
    <row r="9143">
      <c r="A9143" t="str">
        <f t="shared" si="1"/>
        <v>lie#1989</v>
      </c>
      <c r="B9143" t="str">
        <f>IFERROR(__xludf.DUMMYFUNCTION("""COMPUTED_VALUE"""),"lie")</f>
        <v>lie</v>
      </c>
      <c r="C9143" t="str">
        <f>IFERROR(__xludf.DUMMYFUNCTION("""COMPUTED_VALUE"""),"Liechtenstein")</f>
        <v>Liechtenstein</v>
      </c>
      <c r="D9143">
        <f>IFERROR(__xludf.DUMMYFUNCTION("""COMPUTED_VALUE"""),1989.0)</f>
        <v>1989</v>
      </c>
      <c r="E9143">
        <f>IFERROR(__xludf.DUMMYFUNCTION("""COMPUTED_VALUE"""),28407.0)</f>
        <v>28407</v>
      </c>
    </row>
    <row r="9144">
      <c r="A9144" t="str">
        <f t="shared" si="1"/>
        <v>lie#1990</v>
      </c>
      <c r="B9144" t="str">
        <f>IFERROR(__xludf.DUMMYFUNCTION("""COMPUTED_VALUE"""),"lie")</f>
        <v>lie</v>
      </c>
      <c r="C9144" t="str">
        <f>IFERROR(__xludf.DUMMYFUNCTION("""COMPUTED_VALUE"""),"Liechtenstein")</f>
        <v>Liechtenstein</v>
      </c>
      <c r="D9144">
        <f>IFERROR(__xludf.DUMMYFUNCTION("""COMPUTED_VALUE"""),1990.0)</f>
        <v>1990</v>
      </c>
      <c r="E9144">
        <f>IFERROR(__xludf.DUMMYFUNCTION("""COMPUTED_VALUE"""),28747.0)</f>
        <v>28747</v>
      </c>
    </row>
    <row r="9145">
      <c r="A9145" t="str">
        <f t="shared" si="1"/>
        <v>lie#1991</v>
      </c>
      <c r="B9145" t="str">
        <f>IFERROR(__xludf.DUMMYFUNCTION("""COMPUTED_VALUE"""),"lie")</f>
        <v>lie</v>
      </c>
      <c r="C9145" t="str">
        <f>IFERROR(__xludf.DUMMYFUNCTION("""COMPUTED_VALUE"""),"Liechtenstein")</f>
        <v>Liechtenstein</v>
      </c>
      <c r="D9145">
        <f>IFERROR(__xludf.DUMMYFUNCTION("""COMPUTED_VALUE"""),1991.0)</f>
        <v>1991</v>
      </c>
      <c r="E9145">
        <f>IFERROR(__xludf.DUMMYFUNCTION("""COMPUTED_VALUE"""),29108.0)</f>
        <v>29108</v>
      </c>
    </row>
    <row r="9146">
      <c r="A9146" t="str">
        <f t="shared" si="1"/>
        <v>lie#1992</v>
      </c>
      <c r="B9146" t="str">
        <f>IFERROR(__xludf.DUMMYFUNCTION("""COMPUTED_VALUE"""),"lie")</f>
        <v>lie</v>
      </c>
      <c r="C9146" t="str">
        <f>IFERROR(__xludf.DUMMYFUNCTION("""COMPUTED_VALUE"""),"Liechtenstein")</f>
        <v>Liechtenstein</v>
      </c>
      <c r="D9146">
        <f>IFERROR(__xludf.DUMMYFUNCTION("""COMPUTED_VALUE"""),1992.0)</f>
        <v>1992</v>
      </c>
      <c r="E9146">
        <f>IFERROR(__xludf.DUMMYFUNCTION("""COMPUTED_VALUE"""),29497.0)</f>
        <v>29497</v>
      </c>
    </row>
    <row r="9147">
      <c r="A9147" t="str">
        <f t="shared" si="1"/>
        <v>lie#1993</v>
      </c>
      <c r="B9147" t="str">
        <f>IFERROR(__xludf.DUMMYFUNCTION("""COMPUTED_VALUE"""),"lie")</f>
        <v>lie</v>
      </c>
      <c r="C9147" t="str">
        <f>IFERROR(__xludf.DUMMYFUNCTION("""COMPUTED_VALUE"""),"Liechtenstein")</f>
        <v>Liechtenstein</v>
      </c>
      <c r="D9147">
        <f>IFERROR(__xludf.DUMMYFUNCTION("""COMPUTED_VALUE"""),1993.0)</f>
        <v>1993</v>
      </c>
      <c r="E9147">
        <f>IFERROR(__xludf.DUMMYFUNCTION("""COMPUTED_VALUE"""),29919.0)</f>
        <v>29919</v>
      </c>
    </row>
    <row r="9148">
      <c r="A9148" t="str">
        <f t="shared" si="1"/>
        <v>lie#1994</v>
      </c>
      <c r="B9148" t="str">
        <f>IFERROR(__xludf.DUMMYFUNCTION("""COMPUTED_VALUE"""),"lie")</f>
        <v>lie</v>
      </c>
      <c r="C9148" t="str">
        <f>IFERROR(__xludf.DUMMYFUNCTION("""COMPUTED_VALUE"""),"Liechtenstein")</f>
        <v>Liechtenstein</v>
      </c>
      <c r="D9148">
        <f>IFERROR(__xludf.DUMMYFUNCTION("""COMPUTED_VALUE"""),1994.0)</f>
        <v>1994</v>
      </c>
      <c r="E9148">
        <f>IFERROR(__xludf.DUMMYFUNCTION("""COMPUTED_VALUE"""),30365.0)</f>
        <v>30365</v>
      </c>
    </row>
    <row r="9149">
      <c r="A9149" t="str">
        <f t="shared" si="1"/>
        <v>lie#1995</v>
      </c>
      <c r="B9149" t="str">
        <f>IFERROR(__xludf.DUMMYFUNCTION("""COMPUTED_VALUE"""),"lie")</f>
        <v>lie</v>
      </c>
      <c r="C9149" t="str">
        <f>IFERROR(__xludf.DUMMYFUNCTION("""COMPUTED_VALUE"""),"Liechtenstein")</f>
        <v>Liechtenstein</v>
      </c>
      <c r="D9149">
        <f>IFERROR(__xludf.DUMMYFUNCTION("""COMPUTED_VALUE"""),1995.0)</f>
        <v>1995</v>
      </c>
      <c r="E9149">
        <f>IFERROR(__xludf.DUMMYFUNCTION("""COMPUTED_VALUE"""),30833.0)</f>
        <v>30833</v>
      </c>
    </row>
    <row r="9150">
      <c r="A9150" t="str">
        <f t="shared" si="1"/>
        <v>lie#1996</v>
      </c>
      <c r="B9150" t="str">
        <f>IFERROR(__xludf.DUMMYFUNCTION("""COMPUTED_VALUE"""),"lie")</f>
        <v>lie</v>
      </c>
      <c r="C9150" t="str">
        <f>IFERROR(__xludf.DUMMYFUNCTION("""COMPUTED_VALUE"""),"Liechtenstein")</f>
        <v>Liechtenstein</v>
      </c>
      <c r="D9150">
        <f>IFERROR(__xludf.DUMMYFUNCTION("""COMPUTED_VALUE"""),1996.0)</f>
        <v>1996</v>
      </c>
      <c r="E9150">
        <f>IFERROR(__xludf.DUMMYFUNCTION("""COMPUTED_VALUE"""),31325.0)</f>
        <v>31325</v>
      </c>
    </row>
    <row r="9151">
      <c r="A9151" t="str">
        <f t="shared" si="1"/>
        <v>lie#1997</v>
      </c>
      <c r="B9151" t="str">
        <f>IFERROR(__xludf.DUMMYFUNCTION("""COMPUTED_VALUE"""),"lie")</f>
        <v>lie</v>
      </c>
      <c r="C9151" t="str">
        <f>IFERROR(__xludf.DUMMYFUNCTION("""COMPUTED_VALUE"""),"Liechtenstein")</f>
        <v>Liechtenstein</v>
      </c>
      <c r="D9151">
        <f>IFERROR(__xludf.DUMMYFUNCTION("""COMPUTED_VALUE"""),1997.0)</f>
        <v>1997</v>
      </c>
      <c r="E9151">
        <f>IFERROR(__xludf.DUMMYFUNCTION("""COMPUTED_VALUE"""),31838.0)</f>
        <v>31838</v>
      </c>
    </row>
    <row r="9152">
      <c r="A9152" t="str">
        <f t="shared" si="1"/>
        <v>lie#1998</v>
      </c>
      <c r="B9152" t="str">
        <f>IFERROR(__xludf.DUMMYFUNCTION("""COMPUTED_VALUE"""),"lie")</f>
        <v>lie</v>
      </c>
      <c r="C9152" t="str">
        <f>IFERROR(__xludf.DUMMYFUNCTION("""COMPUTED_VALUE"""),"Liechtenstein")</f>
        <v>Liechtenstein</v>
      </c>
      <c r="D9152">
        <f>IFERROR(__xludf.DUMMYFUNCTION("""COMPUTED_VALUE"""),1998.0)</f>
        <v>1998</v>
      </c>
      <c r="E9152">
        <f>IFERROR(__xludf.DUMMYFUNCTION("""COMPUTED_VALUE"""),32355.0)</f>
        <v>32355</v>
      </c>
    </row>
    <row r="9153">
      <c r="A9153" t="str">
        <f t="shared" si="1"/>
        <v>lie#1999</v>
      </c>
      <c r="B9153" t="str">
        <f>IFERROR(__xludf.DUMMYFUNCTION("""COMPUTED_VALUE"""),"lie")</f>
        <v>lie</v>
      </c>
      <c r="C9153" t="str">
        <f>IFERROR(__xludf.DUMMYFUNCTION("""COMPUTED_VALUE"""),"Liechtenstein")</f>
        <v>Liechtenstein</v>
      </c>
      <c r="D9153">
        <f>IFERROR(__xludf.DUMMYFUNCTION("""COMPUTED_VALUE"""),1999.0)</f>
        <v>1999</v>
      </c>
      <c r="E9153">
        <f>IFERROR(__xludf.DUMMYFUNCTION("""COMPUTED_VALUE"""),32842.0)</f>
        <v>32842</v>
      </c>
    </row>
    <row r="9154">
      <c r="A9154" t="str">
        <f t="shared" si="1"/>
        <v>lie#2000</v>
      </c>
      <c r="B9154" t="str">
        <f>IFERROR(__xludf.DUMMYFUNCTION("""COMPUTED_VALUE"""),"lie")</f>
        <v>lie</v>
      </c>
      <c r="C9154" t="str">
        <f>IFERROR(__xludf.DUMMYFUNCTION("""COMPUTED_VALUE"""),"Liechtenstein")</f>
        <v>Liechtenstein</v>
      </c>
      <c r="D9154">
        <f>IFERROR(__xludf.DUMMYFUNCTION("""COMPUTED_VALUE"""),2000.0)</f>
        <v>2000</v>
      </c>
      <c r="E9154">
        <f>IFERROR(__xludf.DUMMYFUNCTION("""COMPUTED_VALUE"""),33286.0)</f>
        <v>33286</v>
      </c>
    </row>
    <row r="9155">
      <c r="A9155" t="str">
        <f t="shared" si="1"/>
        <v>lie#2001</v>
      </c>
      <c r="B9155" t="str">
        <f>IFERROR(__xludf.DUMMYFUNCTION("""COMPUTED_VALUE"""),"lie")</f>
        <v>lie</v>
      </c>
      <c r="C9155" t="str">
        <f>IFERROR(__xludf.DUMMYFUNCTION("""COMPUTED_VALUE"""),"Liechtenstein")</f>
        <v>Liechtenstein</v>
      </c>
      <c r="D9155">
        <f>IFERROR(__xludf.DUMMYFUNCTION("""COMPUTED_VALUE"""),2001.0)</f>
        <v>2001</v>
      </c>
      <c r="E9155">
        <f>IFERROR(__xludf.DUMMYFUNCTION("""COMPUTED_VALUE"""),33671.0)</f>
        <v>33671</v>
      </c>
    </row>
    <row r="9156">
      <c r="A9156" t="str">
        <f t="shared" si="1"/>
        <v>lie#2002</v>
      </c>
      <c r="B9156" t="str">
        <f>IFERROR(__xludf.DUMMYFUNCTION("""COMPUTED_VALUE"""),"lie")</f>
        <v>lie</v>
      </c>
      <c r="C9156" t="str">
        <f>IFERROR(__xludf.DUMMYFUNCTION("""COMPUTED_VALUE"""),"Liechtenstein")</f>
        <v>Liechtenstein</v>
      </c>
      <c r="D9156">
        <f>IFERROR(__xludf.DUMMYFUNCTION("""COMPUTED_VALUE"""),2002.0)</f>
        <v>2002</v>
      </c>
      <c r="E9156">
        <f>IFERROR(__xludf.DUMMYFUNCTION("""COMPUTED_VALUE"""),34018.0)</f>
        <v>34018</v>
      </c>
    </row>
    <row r="9157">
      <c r="A9157" t="str">
        <f t="shared" si="1"/>
        <v>lie#2003</v>
      </c>
      <c r="B9157" t="str">
        <f>IFERROR(__xludf.DUMMYFUNCTION("""COMPUTED_VALUE"""),"lie")</f>
        <v>lie</v>
      </c>
      <c r="C9157" t="str">
        <f>IFERROR(__xludf.DUMMYFUNCTION("""COMPUTED_VALUE"""),"Liechtenstein")</f>
        <v>Liechtenstein</v>
      </c>
      <c r="D9157">
        <f>IFERROR(__xludf.DUMMYFUNCTION("""COMPUTED_VALUE"""),2003.0)</f>
        <v>2003</v>
      </c>
      <c r="E9157">
        <f>IFERROR(__xludf.DUMMYFUNCTION("""COMPUTED_VALUE"""),34321.0)</f>
        <v>34321</v>
      </c>
    </row>
    <row r="9158">
      <c r="A9158" t="str">
        <f t="shared" si="1"/>
        <v>lie#2004</v>
      </c>
      <c r="B9158" t="str">
        <f>IFERROR(__xludf.DUMMYFUNCTION("""COMPUTED_VALUE"""),"lie")</f>
        <v>lie</v>
      </c>
      <c r="C9158" t="str">
        <f>IFERROR(__xludf.DUMMYFUNCTION("""COMPUTED_VALUE"""),"Liechtenstein")</f>
        <v>Liechtenstein</v>
      </c>
      <c r="D9158">
        <f>IFERROR(__xludf.DUMMYFUNCTION("""COMPUTED_VALUE"""),2004.0)</f>
        <v>2004</v>
      </c>
      <c r="E9158">
        <f>IFERROR(__xludf.DUMMYFUNCTION("""COMPUTED_VALUE"""),34596.0)</f>
        <v>34596</v>
      </c>
    </row>
    <row r="9159">
      <c r="A9159" t="str">
        <f t="shared" si="1"/>
        <v>lie#2005</v>
      </c>
      <c r="B9159" t="str">
        <f>IFERROR(__xludf.DUMMYFUNCTION("""COMPUTED_VALUE"""),"lie")</f>
        <v>lie</v>
      </c>
      <c r="C9159" t="str">
        <f>IFERROR(__xludf.DUMMYFUNCTION("""COMPUTED_VALUE"""),"Liechtenstein")</f>
        <v>Liechtenstein</v>
      </c>
      <c r="D9159">
        <f>IFERROR(__xludf.DUMMYFUNCTION("""COMPUTED_VALUE"""),2005.0)</f>
        <v>2005</v>
      </c>
      <c r="E9159">
        <f>IFERROR(__xludf.DUMMYFUNCTION("""COMPUTED_VALUE"""),34852.0)</f>
        <v>34852</v>
      </c>
    </row>
    <row r="9160">
      <c r="A9160" t="str">
        <f t="shared" si="1"/>
        <v>lie#2006</v>
      </c>
      <c r="B9160" t="str">
        <f>IFERROR(__xludf.DUMMYFUNCTION("""COMPUTED_VALUE"""),"lie")</f>
        <v>lie</v>
      </c>
      <c r="C9160" t="str">
        <f>IFERROR(__xludf.DUMMYFUNCTION("""COMPUTED_VALUE"""),"Liechtenstein")</f>
        <v>Liechtenstein</v>
      </c>
      <c r="D9160">
        <f>IFERROR(__xludf.DUMMYFUNCTION("""COMPUTED_VALUE"""),2006.0)</f>
        <v>2006</v>
      </c>
      <c r="E9160">
        <f>IFERROR(__xludf.DUMMYFUNCTION("""COMPUTED_VALUE"""),35095.0)</f>
        <v>35095</v>
      </c>
    </row>
    <row r="9161">
      <c r="A9161" t="str">
        <f t="shared" si="1"/>
        <v>lie#2007</v>
      </c>
      <c r="B9161" t="str">
        <f>IFERROR(__xludf.DUMMYFUNCTION("""COMPUTED_VALUE"""),"lie")</f>
        <v>lie</v>
      </c>
      <c r="C9161" t="str">
        <f>IFERROR(__xludf.DUMMYFUNCTION("""COMPUTED_VALUE"""),"Liechtenstein")</f>
        <v>Liechtenstein</v>
      </c>
      <c r="D9161">
        <f>IFERROR(__xludf.DUMMYFUNCTION("""COMPUTED_VALUE"""),2007.0)</f>
        <v>2007</v>
      </c>
      <c r="E9161">
        <f>IFERROR(__xludf.DUMMYFUNCTION("""COMPUTED_VALUE"""),35322.0)</f>
        <v>35322</v>
      </c>
    </row>
    <row r="9162">
      <c r="A9162" t="str">
        <f t="shared" si="1"/>
        <v>lie#2008</v>
      </c>
      <c r="B9162" t="str">
        <f>IFERROR(__xludf.DUMMYFUNCTION("""COMPUTED_VALUE"""),"lie")</f>
        <v>lie</v>
      </c>
      <c r="C9162" t="str">
        <f>IFERROR(__xludf.DUMMYFUNCTION("""COMPUTED_VALUE"""),"Liechtenstein")</f>
        <v>Liechtenstein</v>
      </c>
      <c r="D9162">
        <f>IFERROR(__xludf.DUMMYFUNCTION("""COMPUTED_VALUE"""),2008.0)</f>
        <v>2008</v>
      </c>
      <c r="E9162">
        <f>IFERROR(__xludf.DUMMYFUNCTION("""COMPUTED_VALUE"""),35541.0)</f>
        <v>35541</v>
      </c>
    </row>
    <row r="9163">
      <c r="A9163" t="str">
        <f t="shared" si="1"/>
        <v>lie#2009</v>
      </c>
      <c r="B9163" t="str">
        <f>IFERROR(__xludf.DUMMYFUNCTION("""COMPUTED_VALUE"""),"lie")</f>
        <v>lie</v>
      </c>
      <c r="C9163" t="str">
        <f>IFERROR(__xludf.DUMMYFUNCTION("""COMPUTED_VALUE"""),"Liechtenstein")</f>
        <v>Liechtenstein</v>
      </c>
      <c r="D9163">
        <f>IFERROR(__xludf.DUMMYFUNCTION("""COMPUTED_VALUE"""),2009.0)</f>
        <v>2009</v>
      </c>
      <c r="E9163">
        <f>IFERROR(__xludf.DUMMYFUNCTION("""COMPUTED_VALUE"""),35766.0)</f>
        <v>35766</v>
      </c>
    </row>
    <row r="9164">
      <c r="A9164" t="str">
        <f t="shared" si="1"/>
        <v>lie#2010</v>
      </c>
      <c r="B9164" t="str">
        <f>IFERROR(__xludf.DUMMYFUNCTION("""COMPUTED_VALUE"""),"lie")</f>
        <v>lie</v>
      </c>
      <c r="C9164" t="str">
        <f>IFERROR(__xludf.DUMMYFUNCTION("""COMPUTED_VALUE"""),"Liechtenstein")</f>
        <v>Liechtenstein</v>
      </c>
      <c r="D9164">
        <f>IFERROR(__xludf.DUMMYFUNCTION("""COMPUTED_VALUE"""),2010.0)</f>
        <v>2010</v>
      </c>
      <c r="E9164">
        <f>IFERROR(__xludf.DUMMYFUNCTION("""COMPUTED_VALUE"""),36003.0)</f>
        <v>36003</v>
      </c>
    </row>
    <row r="9165">
      <c r="A9165" t="str">
        <f t="shared" si="1"/>
        <v>lie#2011</v>
      </c>
      <c r="B9165" t="str">
        <f>IFERROR(__xludf.DUMMYFUNCTION("""COMPUTED_VALUE"""),"lie")</f>
        <v>lie</v>
      </c>
      <c r="C9165" t="str">
        <f>IFERROR(__xludf.DUMMYFUNCTION("""COMPUTED_VALUE"""),"Liechtenstein")</f>
        <v>Liechtenstein</v>
      </c>
      <c r="D9165">
        <f>IFERROR(__xludf.DUMMYFUNCTION("""COMPUTED_VALUE"""),2011.0)</f>
        <v>2011</v>
      </c>
      <c r="E9165">
        <f>IFERROR(__xludf.DUMMYFUNCTION("""COMPUTED_VALUE"""),36264.0)</f>
        <v>36264</v>
      </c>
    </row>
    <row r="9166">
      <c r="A9166" t="str">
        <f t="shared" si="1"/>
        <v>lie#2012</v>
      </c>
      <c r="B9166" t="str">
        <f>IFERROR(__xludf.DUMMYFUNCTION("""COMPUTED_VALUE"""),"lie")</f>
        <v>lie</v>
      </c>
      <c r="C9166" t="str">
        <f>IFERROR(__xludf.DUMMYFUNCTION("""COMPUTED_VALUE"""),"Liechtenstein")</f>
        <v>Liechtenstein</v>
      </c>
      <c r="D9166">
        <f>IFERROR(__xludf.DUMMYFUNCTION("""COMPUTED_VALUE"""),2012.0)</f>
        <v>2012</v>
      </c>
      <c r="E9166">
        <f>IFERROR(__xludf.DUMMYFUNCTION("""COMPUTED_VALUE"""),36545.0)</f>
        <v>36545</v>
      </c>
    </row>
    <row r="9167">
      <c r="A9167" t="str">
        <f t="shared" si="1"/>
        <v>lie#2013</v>
      </c>
      <c r="B9167" t="str">
        <f>IFERROR(__xludf.DUMMYFUNCTION("""COMPUTED_VALUE"""),"lie")</f>
        <v>lie</v>
      </c>
      <c r="C9167" t="str">
        <f>IFERROR(__xludf.DUMMYFUNCTION("""COMPUTED_VALUE"""),"Liechtenstein")</f>
        <v>Liechtenstein</v>
      </c>
      <c r="D9167">
        <f>IFERROR(__xludf.DUMMYFUNCTION("""COMPUTED_VALUE"""),2013.0)</f>
        <v>2013</v>
      </c>
      <c r="E9167">
        <f>IFERROR(__xludf.DUMMYFUNCTION("""COMPUTED_VALUE"""),36834.0)</f>
        <v>36834</v>
      </c>
    </row>
    <row r="9168">
      <c r="A9168" t="str">
        <f t="shared" si="1"/>
        <v>lie#2014</v>
      </c>
      <c r="B9168" t="str">
        <f>IFERROR(__xludf.DUMMYFUNCTION("""COMPUTED_VALUE"""),"lie")</f>
        <v>lie</v>
      </c>
      <c r="C9168" t="str">
        <f>IFERROR(__xludf.DUMMYFUNCTION("""COMPUTED_VALUE"""),"Liechtenstein")</f>
        <v>Liechtenstein</v>
      </c>
      <c r="D9168">
        <f>IFERROR(__xludf.DUMMYFUNCTION("""COMPUTED_VALUE"""),2014.0)</f>
        <v>2014</v>
      </c>
      <c r="E9168">
        <f>IFERROR(__xludf.DUMMYFUNCTION("""COMPUTED_VALUE"""),37127.0)</f>
        <v>37127</v>
      </c>
    </row>
    <row r="9169">
      <c r="A9169" t="str">
        <f t="shared" si="1"/>
        <v>lie#2015</v>
      </c>
      <c r="B9169" t="str">
        <f>IFERROR(__xludf.DUMMYFUNCTION("""COMPUTED_VALUE"""),"lie")</f>
        <v>lie</v>
      </c>
      <c r="C9169" t="str">
        <f>IFERROR(__xludf.DUMMYFUNCTION("""COMPUTED_VALUE"""),"Liechtenstein")</f>
        <v>Liechtenstein</v>
      </c>
      <c r="D9169">
        <f>IFERROR(__xludf.DUMMYFUNCTION("""COMPUTED_VALUE"""),2015.0)</f>
        <v>2015</v>
      </c>
      <c r="E9169">
        <f>IFERROR(__xludf.DUMMYFUNCTION("""COMPUTED_VALUE"""),37403.0)</f>
        <v>37403</v>
      </c>
    </row>
    <row r="9170">
      <c r="A9170" t="str">
        <f t="shared" si="1"/>
        <v>lie#2016</v>
      </c>
      <c r="B9170" t="str">
        <f>IFERROR(__xludf.DUMMYFUNCTION("""COMPUTED_VALUE"""),"lie")</f>
        <v>lie</v>
      </c>
      <c r="C9170" t="str">
        <f>IFERROR(__xludf.DUMMYFUNCTION("""COMPUTED_VALUE"""),"Liechtenstein")</f>
        <v>Liechtenstein</v>
      </c>
      <c r="D9170">
        <f>IFERROR(__xludf.DUMMYFUNCTION("""COMPUTED_VALUE"""),2016.0)</f>
        <v>2016</v>
      </c>
      <c r="E9170">
        <f>IFERROR(__xludf.DUMMYFUNCTION("""COMPUTED_VALUE"""),37666.0)</f>
        <v>37666</v>
      </c>
    </row>
    <row r="9171">
      <c r="A9171" t="str">
        <f t="shared" si="1"/>
        <v>lie#2017</v>
      </c>
      <c r="B9171" t="str">
        <f>IFERROR(__xludf.DUMMYFUNCTION("""COMPUTED_VALUE"""),"lie")</f>
        <v>lie</v>
      </c>
      <c r="C9171" t="str">
        <f>IFERROR(__xludf.DUMMYFUNCTION("""COMPUTED_VALUE"""),"Liechtenstein")</f>
        <v>Liechtenstein</v>
      </c>
      <c r="D9171">
        <f>IFERROR(__xludf.DUMMYFUNCTION("""COMPUTED_VALUE"""),2017.0)</f>
        <v>2017</v>
      </c>
      <c r="E9171">
        <f>IFERROR(__xludf.DUMMYFUNCTION("""COMPUTED_VALUE"""),37922.0)</f>
        <v>37922</v>
      </c>
    </row>
    <row r="9172">
      <c r="A9172" t="str">
        <f t="shared" si="1"/>
        <v>lie#2018</v>
      </c>
      <c r="B9172" t="str">
        <f>IFERROR(__xludf.DUMMYFUNCTION("""COMPUTED_VALUE"""),"lie")</f>
        <v>lie</v>
      </c>
      <c r="C9172" t="str">
        <f>IFERROR(__xludf.DUMMYFUNCTION("""COMPUTED_VALUE"""),"Liechtenstein")</f>
        <v>Liechtenstein</v>
      </c>
      <c r="D9172">
        <f>IFERROR(__xludf.DUMMYFUNCTION("""COMPUTED_VALUE"""),2018.0)</f>
        <v>2018</v>
      </c>
      <c r="E9172">
        <f>IFERROR(__xludf.DUMMYFUNCTION("""COMPUTED_VALUE"""),38155.0)</f>
        <v>38155</v>
      </c>
    </row>
    <row r="9173">
      <c r="A9173" t="str">
        <f t="shared" si="1"/>
        <v>lie#2019</v>
      </c>
      <c r="B9173" t="str">
        <f>IFERROR(__xludf.DUMMYFUNCTION("""COMPUTED_VALUE"""),"lie")</f>
        <v>lie</v>
      </c>
      <c r="C9173" t="str">
        <f>IFERROR(__xludf.DUMMYFUNCTION("""COMPUTED_VALUE"""),"Liechtenstein")</f>
        <v>Liechtenstein</v>
      </c>
      <c r="D9173">
        <f>IFERROR(__xludf.DUMMYFUNCTION("""COMPUTED_VALUE"""),2019.0)</f>
        <v>2019</v>
      </c>
      <c r="E9173">
        <f>IFERROR(__xludf.DUMMYFUNCTION("""COMPUTED_VALUE"""),38404.0)</f>
        <v>38404</v>
      </c>
    </row>
    <row r="9174">
      <c r="A9174" t="str">
        <f t="shared" si="1"/>
        <v>lie#2020</v>
      </c>
      <c r="B9174" t="str">
        <f>IFERROR(__xludf.DUMMYFUNCTION("""COMPUTED_VALUE"""),"lie")</f>
        <v>lie</v>
      </c>
      <c r="C9174" t="str">
        <f>IFERROR(__xludf.DUMMYFUNCTION("""COMPUTED_VALUE"""),"Liechtenstein")</f>
        <v>Liechtenstein</v>
      </c>
      <c r="D9174">
        <f>IFERROR(__xludf.DUMMYFUNCTION("""COMPUTED_VALUE"""),2020.0)</f>
        <v>2020</v>
      </c>
      <c r="E9174">
        <f>IFERROR(__xludf.DUMMYFUNCTION("""COMPUTED_VALUE"""),38645.0)</f>
        <v>38645</v>
      </c>
    </row>
    <row r="9175">
      <c r="A9175" t="str">
        <f t="shared" si="1"/>
        <v>lie#2021</v>
      </c>
      <c r="B9175" t="str">
        <f>IFERROR(__xludf.DUMMYFUNCTION("""COMPUTED_VALUE"""),"lie")</f>
        <v>lie</v>
      </c>
      <c r="C9175" t="str">
        <f>IFERROR(__xludf.DUMMYFUNCTION("""COMPUTED_VALUE"""),"Liechtenstein")</f>
        <v>Liechtenstein</v>
      </c>
      <c r="D9175">
        <f>IFERROR(__xludf.DUMMYFUNCTION("""COMPUTED_VALUE"""),2021.0)</f>
        <v>2021</v>
      </c>
      <c r="E9175">
        <f>IFERROR(__xludf.DUMMYFUNCTION("""COMPUTED_VALUE"""),38888.0)</f>
        <v>38888</v>
      </c>
    </row>
    <row r="9176">
      <c r="A9176" t="str">
        <f t="shared" si="1"/>
        <v>lie#2022</v>
      </c>
      <c r="B9176" t="str">
        <f>IFERROR(__xludf.DUMMYFUNCTION("""COMPUTED_VALUE"""),"lie")</f>
        <v>lie</v>
      </c>
      <c r="C9176" t="str">
        <f>IFERROR(__xludf.DUMMYFUNCTION("""COMPUTED_VALUE"""),"Liechtenstein")</f>
        <v>Liechtenstein</v>
      </c>
      <c r="D9176">
        <f>IFERROR(__xludf.DUMMYFUNCTION("""COMPUTED_VALUE"""),2022.0)</f>
        <v>2022</v>
      </c>
      <c r="E9176">
        <f>IFERROR(__xludf.DUMMYFUNCTION("""COMPUTED_VALUE"""),39135.0)</f>
        <v>39135</v>
      </c>
    </row>
    <row r="9177">
      <c r="A9177" t="str">
        <f t="shared" si="1"/>
        <v>lie#2023</v>
      </c>
      <c r="B9177" t="str">
        <f>IFERROR(__xludf.DUMMYFUNCTION("""COMPUTED_VALUE"""),"lie")</f>
        <v>lie</v>
      </c>
      <c r="C9177" t="str">
        <f>IFERROR(__xludf.DUMMYFUNCTION("""COMPUTED_VALUE"""),"Liechtenstein")</f>
        <v>Liechtenstein</v>
      </c>
      <c r="D9177">
        <f>IFERROR(__xludf.DUMMYFUNCTION("""COMPUTED_VALUE"""),2023.0)</f>
        <v>2023</v>
      </c>
      <c r="E9177">
        <f>IFERROR(__xludf.DUMMYFUNCTION("""COMPUTED_VALUE"""),39368.0)</f>
        <v>39368</v>
      </c>
    </row>
    <row r="9178">
      <c r="A9178" t="str">
        <f t="shared" si="1"/>
        <v>lie#2024</v>
      </c>
      <c r="B9178" t="str">
        <f>IFERROR(__xludf.DUMMYFUNCTION("""COMPUTED_VALUE"""),"lie")</f>
        <v>lie</v>
      </c>
      <c r="C9178" t="str">
        <f>IFERROR(__xludf.DUMMYFUNCTION("""COMPUTED_VALUE"""),"Liechtenstein")</f>
        <v>Liechtenstein</v>
      </c>
      <c r="D9178">
        <f>IFERROR(__xludf.DUMMYFUNCTION("""COMPUTED_VALUE"""),2024.0)</f>
        <v>2024</v>
      </c>
      <c r="E9178">
        <f>IFERROR(__xludf.DUMMYFUNCTION("""COMPUTED_VALUE"""),39603.0)</f>
        <v>39603</v>
      </c>
    </row>
    <row r="9179">
      <c r="A9179" t="str">
        <f t="shared" si="1"/>
        <v>lie#2025</v>
      </c>
      <c r="B9179" t="str">
        <f>IFERROR(__xludf.DUMMYFUNCTION("""COMPUTED_VALUE"""),"lie")</f>
        <v>lie</v>
      </c>
      <c r="C9179" t="str">
        <f>IFERROR(__xludf.DUMMYFUNCTION("""COMPUTED_VALUE"""),"Liechtenstein")</f>
        <v>Liechtenstein</v>
      </c>
      <c r="D9179">
        <f>IFERROR(__xludf.DUMMYFUNCTION("""COMPUTED_VALUE"""),2025.0)</f>
        <v>2025</v>
      </c>
      <c r="E9179">
        <f>IFERROR(__xludf.DUMMYFUNCTION("""COMPUTED_VALUE"""),39844.0)</f>
        <v>39844</v>
      </c>
    </row>
    <row r="9180">
      <c r="A9180" t="str">
        <f t="shared" si="1"/>
        <v>lie#2026</v>
      </c>
      <c r="B9180" t="str">
        <f>IFERROR(__xludf.DUMMYFUNCTION("""COMPUTED_VALUE"""),"lie")</f>
        <v>lie</v>
      </c>
      <c r="C9180" t="str">
        <f>IFERROR(__xludf.DUMMYFUNCTION("""COMPUTED_VALUE"""),"Liechtenstein")</f>
        <v>Liechtenstein</v>
      </c>
      <c r="D9180">
        <f>IFERROR(__xludf.DUMMYFUNCTION("""COMPUTED_VALUE"""),2026.0)</f>
        <v>2026</v>
      </c>
      <c r="E9180">
        <f>IFERROR(__xludf.DUMMYFUNCTION("""COMPUTED_VALUE"""),40065.0)</f>
        <v>40065</v>
      </c>
    </row>
    <row r="9181">
      <c r="A9181" t="str">
        <f t="shared" si="1"/>
        <v>lie#2027</v>
      </c>
      <c r="B9181" t="str">
        <f>IFERROR(__xludf.DUMMYFUNCTION("""COMPUTED_VALUE"""),"lie")</f>
        <v>lie</v>
      </c>
      <c r="C9181" t="str">
        <f>IFERROR(__xludf.DUMMYFUNCTION("""COMPUTED_VALUE"""),"Liechtenstein")</f>
        <v>Liechtenstein</v>
      </c>
      <c r="D9181">
        <f>IFERROR(__xludf.DUMMYFUNCTION("""COMPUTED_VALUE"""),2027.0)</f>
        <v>2027</v>
      </c>
      <c r="E9181">
        <f>IFERROR(__xludf.DUMMYFUNCTION("""COMPUTED_VALUE"""),40297.0)</f>
        <v>40297</v>
      </c>
    </row>
    <row r="9182">
      <c r="A9182" t="str">
        <f t="shared" si="1"/>
        <v>lie#2028</v>
      </c>
      <c r="B9182" t="str">
        <f>IFERROR(__xludf.DUMMYFUNCTION("""COMPUTED_VALUE"""),"lie")</f>
        <v>lie</v>
      </c>
      <c r="C9182" t="str">
        <f>IFERROR(__xludf.DUMMYFUNCTION("""COMPUTED_VALUE"""),"Liechtenstein")</f>
        <v>Liechtenstein</v>
      </c>
      <c r="D9182">
        <f>IFERROR(__xludf.DUMMYFUNCTION("""COMPUTED_VALUE"""),2028.0)</f>
        <v>2028</v>
      </c>
      <c r="E9182">
        <f>IFERROR(__xludf.DUMMYFUNCTION("""COMPUTED_VALUE"""),40506.0)</f>
        <v>40506</v>
      </c>
    </row>
    <row r="9183">
      <c r="A9183" t="str">
        <f t="shared" si="1"/>
        <v>lie#2029</v>
      </c>
      <c r="B9183" t="str">
        <f>IFERROR(__xludf.DUMMYFUNCTION("""COMPUTED_VALUE"""),"lie")</f>
        <v>lie</v>
      </c>
      <c r="C9183" t="str">
        <f>IFERROR(__xludf.DUMMYFUNCTION("""COMPUTED_VALUE"""),"Liechtenstein")</f>
        <v>Liechtenstein</v>
      </c>
      <c r="D9183">
        <f>IFERROR(__xludf.DUMMYFUNCTION("""COMPUTED_VALUE"""),2029.0)</f>
        <v>2029</v>
      </c>
      <c r="E9183">
        <f>IFERROR(__xludf.DUMMYFUNCTION("""COMPUTED_VALUE"""),40722.0)</f>
        <v>40722</v>
      </c>
    </row>
    <row r="9184">
      <c r="A9184" t="str">
        <f t="shared" si="1"/>
        <v>lie#2030</v>
      </c>
      <c r="B9184" t="str">
        <f>IFERROR(__xludf.DUMMYFUNCTION("""COMPUTED_VALUE"""),"lie")</f>
        <v>lie</v>
      </c>
      <c r="C9184" t="str">
        <f>IFERROR(__xludf.DUMMYFUNCTION("""COMPUTED_VALUE"""),"Liechtenstein")</f>
        <v>Liechtenstein</v>
      </c>
      <c r="D9184">
        <f>IFERROR(__xludf.DUMMYFUNCTION("""COMPUTED_VALUE"""),2030.0)</f>
        <v>2030</v>
      </c>
      <c r="E9184">
        <f>IFERROR(__xludf.DUMMYFUNCTION("""COMPUTED_VALUE"""),40918.0)</f>
        <v>40918</v>
      </c>
    </row>
    <row r="9185">
      <c r="A9185" t="str">
        <f t="shared" si="1"/>
        <v>lie#2031</v>
      </c>
      <c r="B9185" t="str">
        <f>IFERROR(__xludf.DUMMYFUNCTION("""COMPUTED_VALUE"""),"lie")</f>
        <v>lie</v>
      </c>
      <c r="C9185" t="str">
        <f>IFERROR(__xludf.DUMMYFUNCTION("""COMPUTED_VALUE"""),"Liechtenstein")</f>
        <v>Liechtenstein</v>
      </c>
      <c r="D9185">
        <f>IFERROR(__xludf.DUMMYFUNCTION("""COMPUTED_VALUE"""),2031.0)</f>
        <v>2031</v>
      </c>
      <c r="E9185">
        <f>IFERROR(__xludf.DUMMYFUNCTION("""COMPUTED_VALUE"""),41109.0)</f>
        <v>41109</v>
      </c>
    </row>
    <row r="9186">
      <c r="A9186" t="str">
        <f t="shared" si="1"/>
        <v>lie#2032</v>
      </c>
      <c r="B9186" t="str">
        <f>IFERROR(__xludf.DUMMYFUNCTION("""COMPUTED_VALUE"""),"lie")</f>
        <v>lie</v>
      </c>
      <c r="C9186" t="str">
        <f>IFERROR(__xludf.DUMMYFUNCTION("""COMPUTED_VALUE"""),"Liechtenstein")</f>
        <v>Liechtenstein</v>
      </c>
      <c r="D9186">
        <f>IFERROR(__xludf.DUMMYFUNCTION("""COMPUTED_VALUE"""),2032.0)</f>
        <v>2032</v>
      </c>
      <c r="E9186">
        <f>IFERROR(__xludf.DUMMYFUNCTION("""COMPUTED_VALUE"""),41294.0)</f>
        <v>41294</v>
      </c>
    </row>
    <row r="9187">
      <c r="A9187" t="str">
        <f t="shared" si="1"/>
        <v>lie#2033</v>
      </c>
      <c r="B9187" t="str">
        <f>IFERROR(__xludf.DUMMYFUNCTION("""COMPUTED_VALUE"""),"lie")</f>
        <v>lie</v>
      </c>
      <c r="C9187" t="str">
        <f>IFERROR(__xludf.DUMMYFUNCTION("""COMPUTED_VALUE"""),"Liechtenstein")</f>
        <v>Liechtenstein</v>
      </c>
      <c r="D9187">
        <f>IFERROR(__xludf.DUMMYFUNCTION("""COMPUTED_VALUE"""),2033.0)</f>
        <v>2033</v>
      </c>
      <c r="E9187">
        <f>IFERROR(__xludf.DUMMYFUNCTION("""COMPUTED_VALUE"""),41461.0)</f>
        <v>41461</v>
      </c>
    </row>
    <row r="9188">
      <c r="A9188" t="str">
        <f t="shared" si="1"/>
        <v>lie#2034</v>
      </c>
      <c r="B9188" t="str">
        <f>IFERROR(__xludf.DUMMYFUNCTION("""COMPUTED_VALUE"""),"lie")</f>
        <v>lie</v>
      </c>
      <c r="C9188" t="str">
        <f>IFERROR(__xludf.DUMMYFUNCTION("""COMPUTED_VALUE"""),"Liechtenstein")</f>
        <v>Liechtenstein</v>
      </c>
      <c r="D9188">
        <f>IFERROR(__xludf.DUMMYFUNCTION("""COMPUTED_VALUE"""),2034.0)</f>
        <v>2034</v>
      </c>
      <c r="E9188">
        <f>IFERROR(__xludf.DUMMYFUNCTION("""COMPUTED_VALUE"""),41621.0)</f>
        <v>41621</v>
      </c>
    </row>
    <row r="9189">
      <c r="A9189" t="str">
        <f t="shared" si="1"/>
        <v>lie#2035</v>
      </c>
      <c r="B9189" t="str">
        <f>IFERROR(__xludf.DUMMYFUNCTION("""COMPUTED_VALUE"""),"lie")</f>
        <v>lie</v>
      </c>
      <c r="C9189" t="str">
        <f>IFERROR(__xludf.DUMMYFUNCTION("""COMPUTED_VALUE"""),"Liechtenstein")</f>
        <v>Liechtenstein</v>
      </c>
      <c r="D9189">
        <f>IFERROR(__xludf.DUMMYFUNCTION("""COMPUTED_VALUE"""),2035.0)</f>
        <v>2035</v>
      </c>
      <c r="E9189">
        <f>IFERROR(__xludf.DUMMYFUNCTION("""COMPUTED_VALUE"""),41770.0)</f>
        <v>41770</v>
      </c>
    </row>
    <row r="9190">
      <c r="A9190" t="str">
        <f t="shared" si="1"/>
        <v>lie#2036</v>
      </c>
      <c r="B9190" t="str">
        <f>IFERROR(__xludf.DUMMYFUNCTION("""COMPUTED_VALUE"""),"lie")</f>
        <v>lie</v>
      </c>
      <c r="C9190" t="str">
        <f>IFERROR(__xludf.DUMMYFUNCTION("""COMPUTED_VALUE"""),"Liechtenstein")</f>
        <v>Liechtenstein</v>
      </c>
      <c r="D9190">
        <f>IFERROR(__xludf.DUMMYFUNCTION("""COMPUTED_VALUE"""),2036.0)</f>
        <v>2036</v>
      </c>
      <c r="E9190">
        <f>IFERROR(__xludf.DUMMYFUNCTION("""COMPUTED_VALUE"""),41911.0)</f>
        <v>41911</v>
      </c>
    </row>
    <row r="9191">
      <c r="A9191" t="str">
        <f t="shared" si="1"/>
        <v>lie#2037</v>
      </c>
      <c r="B9191" t="str">
        <f>IFERROR(__xludf.DUMMYFUNCTION("""COMPUTED_VALUE"""),"lie")</f>
        <v>lie</v>
      </c>
      <c r="C9191" t="str">
        <f>IFERROR(__xludf.DUMMYFUNCTION("""COMPUTED_VALUE"""),"Liechtenstein")</f>
        <v>Liechtenstein</v>
      </c>
      <c r="D9191">
        <f>IFERROR(__xludf.DUMMYFUNCTION("""COMPUTED_VALUE"""),2037.0)</f>
        <v>2037</v>
      </c>
      <c r="E9191">
        <f>IFERROR(__xludf.DUMMYFUNCTION("""COMPUTED_VALUE"""),42048.0)</f>
        <v>42048</v>
      </c>
    </row>
    <row r="9192">
      <c r="A9192" t="str">
        <f t="shared" si="1"/>
        <v>lie#2038</v>
      </c>
      <c r="B9192" t="str">
        <f>IFERROR(__xludf.DUMMYFUNCTION("""COMPUTED_VALUE"""),"lie")</f>
        <v>lie</v>
      </c>
      <c r="C9192" t="str">
        <f>IFERROR(__xludf.DUMMYFUNCTION("""COMPUTED_VALUE"""),"Liechtenstein")</f>
        <v>Liechtenstein</v>
      </c>
      <c r="D9192">
        <f>IFERROR(__xludf.DUMMYFUNCTION("""COMPUTED_VALUE"""),2038.0)</f>
        <v>2038</v>
      </c>
      <c r="E9192">
        <f>IFERROR(__xludf.DUMMYFUNCTION("""COMPUTED_VALUE"""),42160.0)</f>
        <v>42160</v>
      </c>
    </row>
    <row r="9193">
      <c r="A9193" t="str">
        <f t="shared" si="1"/>
        <v>lie#2039</v>
      </c>
      <c r="B9193" t="str">
        <f>IFERROR(__xludf.DUMMYFUNCTION("""COMPUTED_VALUE"""),"lie")</f>
        <v>lie</v>
      </c>
      <c r="C9193" t="str">
        <f>IFERROR(__xludf.DUMMYFUNCTION("""COMPUTED_VALUE"""),"Liechtenstein")</f>
        <v>Liechtenstein</v>
      </c>
      <c r="D9193">
        <f>IFERROR(__xludf.DUMMYFUNCTION("""COMPUTED_VALUE"""),2039.0)</f>
        <v>2039</v>
      </c>
      <c r="E9193">
        <f>IFERROR(__xludf.DUMMYFUNCTION("""COMPUTED_VALUE"""),42274.0)</f>
        <v>42274</v>
      </c>
    </row>
    <row r="9194">
      <c r="A9194" t="str">
        <f t="shared" si="1"/>
        <v>lie#2040</v>
      </c>
      <c r="B9194" t="str">
        <f>IFERROR(__xludf.DUMMYFUNCTION("""COMPUTED_VALUE"""),"lie")</f>
        <v>lie</v>
      </c>
      <c r="C9194" t="str">
        <f>IFERROR(__xludf.DUMMYFUNCTION("""COMPUTED_VALUE"""),"Liechtenstein")</f>
        <v>Liechtenstein</v>
      </c>
      <c r="D9194">
        <f>IFERROR(__xludf.DUMMYFUNCTION("""COMPUTED_VALUE"""),2040.0)</f>
        <v>2040</v>
      </c>
      <c r="E9194">
        <f>IFERROR(__xludf.DUMMYFUNCTION("""COMPUTED_VALUE"""),42378.0)</f>
        <v>42378</v>
      </c>
    </row>
    <row r="9195">
      <c r="A9195" t="str">
        <f t="shared" si="1"/>
        <v>ltu#1950</v>
      </c>
      <c r="B9195" t="str">
        <f>IFERROR(__xludf.DUMMYFUNCTION("""COMPUTED_VALUE"""),"ltu")</f>
        <v>ltu</v>
      </c>
      <c r="C9195" t="str">
        <f>IFERROR(__xludf.DUMMYFUNCTION("""COMPUTED_VALUE"""),"Lithuania")</f>
        <v>Lithuania</v>
      </c>
      <c r="D9195">
        <f>IFERROR(__xludf.DUMMYFUNCTION("""COMPUTED_VALUE"""),1950.0)</f>
        <v>1950</v>
      </c>
      <c r="E9195">
        <f>IFERROR(__xludf.DUMMYFUNCTION("""COMPUTED_VALUE"""),2567403.0)</f>
        <v>2567403</v>
      </c>
    </row>
    <row r="9196">
      <c r="A9196" t="str">
        <f t="shared" si="1"/>
        <v>ltu#1951</v>
      </c>
      <c r="B9196" t="str">
        <f>IFERROR(__xludf.DUMMYFUNCTION("""COMPUTED_VALUE"""),"ltu")</f>
        <v>ltu</v>
      </c>
      <c r="C9196" t="str">
        <f>IFERROR(__xludf.DUMMYFUNCTION("""COMPUTED_VALUE"""),"Lithuania")</f>
        <v>Lithuania</v>
      </c>
      <c r="D9196">
        <f>IFERROR(__xludf.DUMMYFUNCTION("""COMPUTED_VALUE"""),1951.0)</f>
        <v>1951</v>
      </c>
      <c r="E9196">
        <f>IFERROR(__xludf.DUMMYFUNCTION("""COMPUTED_VALUE"""),2569611.0)</f>
        <v>2569611</v>
      </c>
    </row>
    <row r="9197">
      <c r="A9197" t="str">
        <f t="shared" si="1"/>
        <v>ltu#1952</v>
      </c>
      <c r="B9197" t="str">
        <f>IFERROR(__xludf.DUMMYFUNCTION("""COMPUTED_VALUE"""),"ltu")</f>
        <v>ltu</v>
      </c>
      <c r="C9197" t="str">
        <f>IFERROR(__xludf.DUMMYFUNCTION("""COMPUTED_VALUE"""),"Lithuania")</f>
        <v>Lithuania</v>
      </c>
      <c r="D9197">
        <f>IFERROR(__xludf.DUMMYFUNCTION("""COMPUTED_VALUE"""),1952.0)</f>
        <v>1952</v>
      </c>
      <c r="E9197">
        <f>IFERROR(__xludf.DUMMYFUNCTION("""COMPUTED_VALUE"""),2578047.0)</f>
        <v>2578047</v>
      </c>
    </row>
    <row r="9198">
      <c r="A9198" t="str">
        <f t="shared" si="1"/>
        <v>ltu#1953</v>
      </c>
      <c r="B9198" t="str">
        <f>IFERROR(__xludf.DUMMYFUNCTION("""COMPUTED_VALUE"""),"ltu")</f>
        <v>ltu</v>
      </c>
      <c r="C9198" t="str">
        <f>IFERROR(__xludf.DUMMYFUNCTION("""COMPUTED_VALUE"""),"Lithuania")</f>
        <v>Lithuania</v>
      </c>
      <c r="D9198">
        <f>IFERROR(__xludf.DUMMYFUNCTION("""COMPUTED_VALUE"""),1953.0)</f>
        <v>1953</v>
      </c>
      <c r="E9198">
        <f>IFERROR(__xludf.DUMMYFUNCTION("""COMPUTED_VALUE"""),2591373.0)</f>
        <v>2591373</v>
      </c>
    </row>
    <row r="9199">
      <c r="A9199" t="str">
        <f t="shared" si="1"/>
        <v>ltu#1954</v>
      </c>
      <c r="B9199" t="str">
        <f>IFERROR(__xludf.DUMMYFUNCTION("""COMPUTED_VALUE"""),"ltu")</f>
        <v>ltu</v>
      </c>
      <c r="C9199" t="str">
        <f>IFERROR(__xludf.DUMMYFUNCTION("""COMPUTED_VALUE"""),"Lithuania")</f>
        <v>Lithuania</v>
      </c>
      <c r="D9199">
        <f>IFERROR(__xludf.DUMMYFUNCTION("""COMPUTED_VALUE"""),1954.0)</f>
        <v>1954</v>
      </c>
      <c r="E9199">
        <f>IFERROR(__xludf.DUMMYFUNCTION("""COMPUTED_VALUE"""),2608522.0)</f>
        <v>2608522</v>
      </c>
    </row>
    <row r="9200">
      <c r="A9200" t="str">
        <f t="shared" si="1"/>
        <v>ltu#1955</v>
      </c>
      <c r="B9200" t="str">
        <f>IFERROR(__xludf.DUMMYFUNCTION("""COMPUTED_VALUE"""),"ltu")</f>
        <v>ltu</v>
      </c>
      <c r="C9200" t="str">
        <f>IFERROR(__xludf.DUMMYFUNCTION("""COMPUTED_VALUE"""),"Lithuania")</f>
        <v>Lithuania</v>
      </c>
      <c r="D9200">
        <f>IFERROR(__xludf.DUMMYFUNCTION("""COMPUTED_VALUE"""),1955.0)</f>
        <v>1955</v>
      </c>
      <c r="E9200">
        <f>IFERROR(__xludf.DUMMYFUNCTION("""COMPUTED_VALUE"""),2628745.0)</f>
        <v>2628745</v>
      </c>
    </row>
    <row r="9201">
      <c r="A9201" t="str">
        <f t="shared" si="1"/>
        <v>ltu#1956</v>
      </c>
      <c r="B9201" t="str">
        <f>IFERROR(__xludf.DUMMYFUNCTION("""COMPUTED_VALUE"""),"ltu")</f>
        <v>ltu</v>
      </c>
      <c r="C9201" t="str">
        <f>IFERROR(__xludf.DUMMYFUNCTION("""COMPUTED_VALUE"""),"Lithuania")</f>
        <v>Lithuania</v>
      </c>
      <c r="D9201">
        <f>IFERROR(__xludf.DUMMYFUNCTION("""COMPUTED_VALUE"""),1956.0)</f>
        <v>1956</v>
      </c>
      <c r="E9201">
        <f>IFERROR(__xludf.DUMMYFUNCTION("""COMPUTED_VALUE"""),2651625.0)</f>
        <v>2651625</v>
      </c>
    </row>
    <row r="9202">
      <c r="A9202" t="str">
        <f t="shared" si="1"/>
        <v>ltu#1957</v>
      </c>
      <c r="B9202" t="str">
        <f>IFERROR(__xludf.DUMMYFUNCTION("""COMPUTED_VALUE"""),"ltu")</f>
        <v>ltu</v>
      </c>
      <c r="C9202" t="str">
        <f>IFERROR(__xludf.DUMMYFUNCTION("""COMPUTED_VALUE"""),"Lithuania")</f>
        <v>Lithuania</v>
      </c>
      <c r="D9202">
        <f>IFERROR(__xludf.DUMMYFUNCTION("""COMPUTED_VALUE"""),1957.0)</f>
        <v>1957</v>
      </c>
      <c r="E9202">
        <f>IFERROR(__xludf.DUMMYFUNCTION("""COMPUTED_VALUE"""),2676999.0)</f>
        <v>2676999</v>
      </c>
    </row>
    <row r="9203">
      <c r="A9203" t="str">
        <f t="shared" si="1"/>
        <v>ltu#1958</v>
      </c>
      <c r="B9203" t="str">
        <f>IFERROR(__xludf.DUMMYFUNCTION("""COMPUTED_VALUE"""),"ltu")</f>
        <v>ltu</v>
      </c>
      <c r="C9203" t="str">
        <f>IFERROR(__xludf.DUMMYFUNCTION("""COMPUTED_VALUE"""),"Lithuania")</f>
        <v>Lithuania</v>
      </c>
      <c r="D9203">
        <f>IFERROR(__xludf.DUMMYFUNCTION("""COMPUTED_VALUE"""),1958.0)</f>
        <v>1958</v>
      </c>
      <c r="E9203">
        <f>IFERROR(__xludf.DUMMYFUNCTION("""COMPUTED_VALUE"""),2704985.0)</f>
        <v>2704985</v>
      </c>
    </row>
    <row r="9204">
      <c r="A9204" t="str">
        <f t="shared" si="1"/>
        <v>ltu#1959</v>
      </c>
      <c r="B9204" t="str">
        <f>IFERROR(__xludf.DUMMYFUNCTION("""COMPUTED_VALUE"""),"ltu")</f>
        <v>ltu</v>
      </c>
      <c r="C9204" t="str">
        <f>IFERROR(__xludf.DUMMYFUNCTION("""COMPUTED_VALUE"""),"Lithuania")</f>
        <v>Lithuania</v>
      </c>
      <c r="D9204">
        <f>IFERROR(__xludf.DUMMYFUNCTION("""COMPUTED_VALUE"""),1959.0)</f>
        <v>1959</v>
      </c>
      <c r="E9204">
        <f>IFERROR(__xludf.DUMMYFUNCTION("""COMPUTED_VALUE"""),2735866.0)</f>
        <v>2735866</v>
      </c>
    </row>
    <row r="9205">
      <c r="A9205" t="str">
        <f t="shared" si="1"/>
        <v>ltu#1960</v>
      </c>
      <c r="B9205" t="str">
        <f>IFERROR(__xludf.DUMMYFUNCTION("""COMPUTED_VALUE"""),"ltu")</f>
        <v>ltu</v>
      </c>
      <c r="C9205" t="str">
        <f>IFERROR(__xludf.DUMMYFUNCTION("""COMPUTED_VALUE"""),"Lithuania")</f>
        <v>Lithuania</v>
      </c>
      <c r="D9205">
        <f>IFERROR(__xludf.DUMMYFUNCTION("""COMPUTED_VALUE"""),1960.0)</f>
        <v>1960</v>
      </c>
      <c r="E9205">
        <f>IFERROR(__xludf.DUMMYFUNCTION("""COMPUTED_VALUE"""),2769866.0)</f>
        <v>2769866</v>
      </c>
    </row>
    <row r="9206">
      <c r="A9206" t="str">
        <f t="shared" si="1"/>
        <v>ltu#1961</v>
      </c>
      <c r="B9206" t="str">
        <f>IFERROR(__xludf.DUMMYFUNCTION("""COMPUTED_VALUE"""),"ltu")</f>
        <v>ltu</v>
      </c>
      <c r="C9206" t="str">
        <f>IFERROR(__xludf.DUMMYFUNCTION("""COMPUTED_VALUE"""),"Lithuania")</f>
        <v>Lithuania</v>
      </c>
      <c r="D9206">
        <f>IFERROR(__xludf.DUMMYFUNCTION("""COMPUTED_VALUE"""),1961.0)</f>
        <v>1961</v>
      </c>
      <c r="E9206">
        <f>IFERROR(__xludf.DUMMYFUNCTION("""COMPUTED_VALUE"""),2806913.0)</f>
        <v>2806913</v>
      </c>
    </row>
    <row r="9207">
      <c r="A9207" t="str">
        <f t="shared" si="1"/>
        <v>ltu#1962</v>
      </c>
      <c r="B9207" t="str">
        <f>IFERROR(__xludf.DUMMYFUNCTION("""COMPUTED_VALUE"""),"ltu")</f>
        <v>ltu</v>
      </c>
      <c r="C9207" t="str">
        <f>IFERROR(__xludf.DUMMYFUNCTION("""COMPUTED_VALUE"""),"Lithuania")</f>
        <v>Lithuania</v>
      </c>
      <c r="D9207">
        <f>IFERROR(__xludf.DUMMYFUNCTION("""COMPUTED_VALUE"""),1962.0)</f>
        <v>1962</v>
      </c>
      <c r="E9207">
        <f>IFERROR(__xludf.DUMMYFUNCTION("""COMPUTED_VALUE"""),2846388.0)</f>
        <v>2846388</v>
      </c>
    </row>
    <row r="9208">
      <c r="A9208" t="str">
        <f t="shared" si="1"/>
        <v>ltu#1963</v>
      </c>
      <c r="B9208" t="str">
        <f>IFERROR(__xludf.DUMMYFUNCTION("""COMPUTED_VALUE"""),"ltu")</f>
        <v>ltu</v>
      </c>
      <c r="C9208" t="str">
        <f>IFERROR(__xludf.DUMMYFUNCTION("""COMPUTED_VALUE"""),"Lithuania")</f>
        <v>Lithuania</v>
      </c>
      <c r="D9208">
        <f>IFERROR(__xludf.DUMMYFUNCTION("""COMPUTED_VALUE"""),1963.0)</f>
        <v>1963</v>
      </c>
      <c r="E9208">
        <f>IFERROR(__xludf.DUMMYFUNCTION("""COMPUTED_VALUE"""),2887074.0)</f>
        <v>2887074</v>
      </c>
    </row>
    <row r="9209">
      <c r="A9209" t="str">
        <f t="shared" si="1"/>
        <v>ltu#1964</v>
      </c>
      <c r="B9209" t="str">
        <f>IFERROR(__xludf.DUMMYFUNCTION("""COMPUTED_VALUE"""),"ltu")</f>
        <v>ltu</v>
      </c>
      <c r="C9209" t="str">
        <f>IFERROR(__xludf.DUMMYFUNCTION("""COMPUTED_VALUE"""),"Lithuania")</f>
        <v>Lithuania</v>
      </c>
      <c r="D9209">
        <f>IFERROR(__xludf.DUMMYFUNCTION("""COMPUTED_VALUE"""),1964.0)</f>
        <v>1964</v>
      </c>
      <c r="E9209">
        <f>IFERROR(__xludf.DUMMYFUNCTION("""COMPUTED_VALUE"""),2927380.0)</f>
        <v>2927380</v>
      </c>
    </row>
    <row r="9210">
      <c r="A9210" t="str">
        <f t="shared" si="1"/>
        <v>ltu#1965</v>
      </c>
      <c r="B9210" t="str">
        <f>IFERROR(__xludf.DUMMYFUNCTION("""COMPUTED_VALUE"""),"ltu")</f>
        <v>ltu</v>
      </c>
      <c r="C9210" t="str">
        <f>IFERROR(__xludf.DUMMYFUNCTION("""COMPUTED_VALUE"""),"Lithuania")</f>
        <v>Lithuania</v>
      </c>
      <c r="D9210">
        <f>IFERROR(__xludf.DUMMYFUNCTION("""COMPUTED_VALUE"""),1965.0)</f>
        <v>1965</v>
      </c>
      <c r="E9210">
        <f>IFERROR(__xludf.DUMMYFUNCTION("""COMPUTED_VALUE"""),2966162.0)</f>
        <v>2966162</v>
      </c>
    </row>
    <row r="9211">
      <c r="A9211" t="str">
        <f t="shared" si="1"/>
        <v>ltu#1966</v>
      </c>
      <c r="B9211" t="str">
        <f>IFERROR(__xludf.DUMMYFUNCTION("""COMPUTED_VALUE"""),"ltu")</f>
        <v>ltu</v>
      </c>
      <c r="C9211" t="str">
        <f>IFERROR(__xludf.DUMMYFUNCTION("""COMPUTED_VALUE"""),"Lithuania")</f>
        <v>Lithuania</v>
      </c>
      <c r="D9211">
        <f>IFERROR(__xludf.DUMMYFUNCTION("""COMPUTED_VALUE"""),1966.0)</f>
        <v>1966</v>
      </c>
      <c r="E9211">
        <f>IFERROR(__xludf.DUMMYFUNCTION("""COMPUTED_VALUE"""),3002790.0)</f>
        <v>3002790</v>
      </c>
    </row>
    <row r="9212">
      <c r="A9212" t="str">
        <f t="shared" si="1"/>
        <v>ltu#1967</v>
      </c>
      <c r="B9212" t="str">
        <f>IFERROR(__xludf.DUMMYFUNCTION("""COMPUTED_VALUE"""),"ltu")</f>
        <v>ltu</v>
      </c>
      <c r="C9212" t="str">
        <f>IFERROR(__xludf.DUMMYFUNCTION("""COMPUTED_VALUE"""),"Lithuania")</f>
        <v>Lithuania</v>
      </c>
      <c r="D9212">
        <f>IFERROR(__xludf.DUMMYFUNCTION("""COMPUTED_VALUE"""),1967.0)</f>
        <v>1967</v>
      </c>
      <c r="E9212">
        <f>IFERROR(__xludf.DUMMYFUNCTION("""COMPUTED_VALUE"""),3037440.0)</f>
        <v>3037440</v>
      </c>
    </row>
    <row r="9213">
      <c r="A9213" t="str">
        <f t="shared" si="1"/>
        <v>ltu#1968</v>
      </c>
      <c r="B9213" t="str">
        <f>IFERROR(__xludf.DUMMYFUNCTION("""COMPUTED_VALUE"""),"ltu")</f>
        <v>ltu</v>
      </c>
      <c r="C9213" t="str">
        <f>IFERROR(__xludf.DUMMYFUNCTION("""COMPUTED_VALUE"""),"Lithuania")</f>
        <v>Lithuania</v>
      </c>
      <c r="D9213">
        <f>IFERROR(__xludf.DUMMYFUNCTION("""COMPUTED_VALUE"""),1968.0)</f>
        <v>1968</v>
      </c>
      <c r="E9213">
        <f>IFERROR(__xludf.DUMMYFUNCTION("""COMPUTED_VALUE"""),3070690.0)</f>
        <v>3070690</v>
      </c>
    </row>
    <row r="9214">
      <c r="A9214" t="str">
        <f t="shared" si="1"/>
        <v>ltu#1969</v>
      </c>
      <c r="B9214" t="str">
        <f>IFERROR(__xludf.DUMMYFUNCTION("""COMPUTED_VALUE"""),"ltu")</f>
        <v>ltu</v>
      </c>
      <c r="C9214" t="str">
        <f>IFERROR(__xludf.DUMMYFUNCTION("""COMPUTED_VALUE"""),"Lithuania")</f>
        <v>Lithuania</v>
      </c>
      <c r="D9214">
        <f>IFERROR(__xludf.DUMMYFUNCTION("""COMPUTED_VALUE"""),1969.0)</f>
        <v>1969</v>
      </c>
      <c r="E9214">
        <f>IFERROR(__xludf.DUMMYFUNCTION("""COMPUTED_VALUE"""),3103511.0)</f>
        <v>3103511</v>
      </c>
    </row>
    <row r="9215">
      <c r="A9215" t="str">
        <f t="shared" si="1"/>
        <v>ltu#1970</v>
      </c>
      <c r="B9215" t="str">
        <f>IFERROR(__xludf.DUMMYFUNCTION("""COMPUTED_VALUE"""),"ltu")</f>
        <v>ltu</v>
      </c>
      <c r="C9215" t="str">
        <f>IFERROR(__xludf.DUMMYFUNCTION("""COMPUTED_VALUE"""),"Lithuania")</f>
        <v>Lithuania</v>
      </c>
      <c r="D9215">
        <f>IFERROR(__xludf.DUMMYFUNCTION("""COMPUTED_VALUE"""),1970.0)</f>
        <v>1970</v>
      </c>
      <c r="E9215">
        <f>IFERROR(__xludf.DUMMYFUNCTION("""COMPUTED_VALUE"""),3136580.0)</f>
        <v>3136580</v>
      </c>
    </row>
    <row r="9216">
      <c r="A9216" t="str">
        <f t="shared" si="1"/>
        <v>ltu#1971</v>
      </c>
      <c r="B9216" t="str">
        <f>IFERROR(__xludf.DUMMYFUNCTION("""COMPUTED_VALUE"""),"ltu")</f>
        <v>ltu</v>
      </c>
      <c r="C9216" t="str">
        <f>IFERROR(__xludf.DUMMYFUNCTION("""COMPUTED_VALUE"""),"Lithuania")</f>
        <v>Lithuania</v>
      </c>
      <c r="D9216">
        <f>IFERROR(__xludf.DUMMYFUNCTION("""COMPUTED_VALUE"""),1971.0)</f>
        <v>1971</v>
      </c>
      <c r="E9216">
        <f>IFERROR(__xludf.DUMMYFUNCTION("""COMPUTED_VALUE"""),3170071.0)</f>
        <v>3170071</v>
      </c>
    </row>
    <row r="9217">
      <c r="A9217" t="str">
        <f t="shared" si="1"/>
        <v>ltu#1972</v>
      </c>
      <c r="B9217" t="str">
        <f>IFERROR(__xludf.DUMMYFUNCTION("""COMPUTED_VALUE"""),"ltu")</f>
        <v>ltu</v>
      </c>
      <c r="C9217" t="str">
        <f>IFERROR(__xludf.DUMMYFUNCTION("""COMPUTED_VALUE"""),"Lithuania")</f>
        <v>Lithuania</v>
      </c>
      <c r="D9217">
        <f>IFERROR(__xludf.DUMMYFUNCTION("""COMPUTED_VALUE"""),1972.0)</f>
        <v>1972</v>
      </c>
      <c r="E9217">
        <f>IFERROR(__xludf.DUMMYFUNCTION("""COMPUTED_VALUE"""),3203628.0)</f>
        <v>3203628</v>
      </c>
    </row>
    <row r="9218">
      <c r="A9218" t="str">
        <f t="shared" si="1"/>
        <v>ltu#1973</v>
      </c>
      <c r="B9218" t="str">
        <f>IFERROR(__xludf.DUMMYFUNCTION("""COMPUTED_VALUE"""),"ltu")</f>
        <v>ltu</v>
      </c>
      <c r="C9218" t="str">
        <f>IFERROR(__xludf.DUMMYFUNCTION("""COMPUTED_VALUE"""),"Lithuania")</f>
        <v>Lithuania</v>
      </c>
      <c r="D9218">
        <f>IFERROR(__xludf.DUMMYFUNCTION("""COMPUTED_VALUE"""),1973.0)</f>
        <v>1973</v>
      </c>
      <c r="E9218">
        <f>IFERROR(__xludf.DUMMYFUNCTION("""COMPUTED_VALUE"""),3236731.0)</f>
        <v>3236731</v>
      </c>
    </row>
    <row r="9219">
      <c r="A9219" t="str">
        <f t="shared" si="1"/>
        <v>ltu#1974</v>
      </c>
      <c r="B9219" t="str">
        <f>IFERROR(__xludf.DUMMYFUNCTION("""COMPUTED_VALUE"""),"ltu")</f>
        <v>ltu</v>
      </c>
      <c r="C9219" t="str">
        <f>IFERROR(__xludf.DUMMYFUNCTION("""COMPUTED_VALUE"""),"Lithuania")</f>
        <v>Lithuania</v>
      </c>
      <c r="D9219">
        <f>IFERROR(__xludf.DUMMYFUNCTION("""COMPUTED_VALUE"""),1974.0)</f>
        <v>1974</v>
      </c>
      <c r="E9219">
        <f>IFERROR(__xludf.DUMMYFUNCTION("""COMPUTED_VALUE"""),3268642.0)</f>
        <v>3268642</v>
      </c>
    </row>
    <row r="9220">
      <c r="A9220" t="str">
        <f t="shared" si="1"/>
        <v>ltu#1975</v>
      </c>
      <c r="B9220" t="str">
        <f>IFERROR(__xludf.DUMMYFUNCTION("""COMPUTED_VALUE"""),"ltu")</f>
        <v>ltu</v>
      </c>
      <c r="C9220" t="str">
        <f>IFERROR(__xludf.DUMMYFUNCTION("""COMPUTED_VALUE"""),"Lithuania")</f>
        <v>Lithuania</v>
      </c>
      <c r="D9220">
        <f>IFERROR(__xludf.DUMMYFUNCTION("""COMPUTED_VALUE"""),1975.0)</f>
        <v>1975</v>
      </c>
      <c r="E9220">
        <f>IFERROR(__xludf.DUMMYFUNCTION("""COMPUTED_VALUE"""),3298873.0)</f>
        <v>3298873</v>
      </c>
    </row>
    <row r="9221">
      <c r="A9221" t="str">
        <f t="shared" si="1"/>
        <v>ltu#1976</v>
      </c>
      <c r="B9221" t="str">
        <f>IFERROR(__xludf.DUMMYFUNCTION("""COMPUTED_VALUE"""),"ltu")</f>
        <v>ltu</v>
      </c>
      <c r="C9221" t="str">
        <f>IFERROR(__xludf.DUMMYFUNCTION("""COMPUTED_VALUE"""),"Lithuania")</f>
        <v>Lithuania</v>
      </c>
      <c r="D9221">
        <f>IFERROR(__xludf.DUMMYFUNCTION("""COMPUTED_VALUE"""),1976.0)</f>
        <v>1976</v>
      </c>
      <c r="E9221">
        <f>IFERROR(__xludf.DUMMYFUNCTION("""COMPUTED_VALUE"""),3327257.0)</f>
        <v>3327257</v>
      </c>
    </row>
    <row r="9222">
      <c r="A9222" t="str">
        <f t="shared" si="1"/>
        <v>ltu#1977</v>
      </c>
      <c r="B9222" t="str">
        <f>IFERROR(__xludf.DUMMYFUNCTION("""COMPUTED_VALUE"""),"ltu")</f>
        <v>ltu</v>
      </c>
      <c r="C9222" t="str">
        <f>IFERROR(__xludf.DUMMYFUNCTION("""COMPUTED_VALUE"""),"Lithuania")</f>
        <v>Lithuania</v>
      </c>
      <c r="D9222">
        <f>IFERROR(__xludf.DUMMYFUNCTION("""COMPUTED_VALUE"""),1977.0)</f>
        <v>1977</v>
      </c>
      <c r="E9222">
        <f>IFERROR(__xludf.DUMMYFUNCTION("""COMPUTED_VALUE"""),3354062.0)</f>
        <v>3354062</v>
      </c>
    </row>
    <row r="9223">
      <c r="A9223" t="str">
        <f t="shared" si="1"/>
        <v>ltu#1978</v>
      </c>
      <c r="B9223" t="str">
        <f>IFERROR(__xludf.DUMMYFUNCTION("""COMPUTED_VALUE"""),"ltu")</f>
        <v>ltu</v>
      </c>
      <c r="C9223" t="str">
        <f>IFERROR(__xludf.DUMMYFUNCTION("""COMPUTED_VALUE"""),"Lithuania")</f>
        <v>Lithuania</v>
      </c>
      <c r="D9223">
        <f>IFERROR(__xludf.DUMMYFUNCTION("""COMPUTED_VALUE"""),1978.0)</f>
        <v>1978</v>
      </c>
      <c r="E9223">
        <f>IFERROR(__xludf.DUMMYFUNCTION("""COMPUTED_VALUE"""),3379798.0)</f>
        <v>3379798</v>
      </c>
    </row>
    <row r="9224">
      <c r="A9224" t="str">
        <f t="shared" si="1"/>
        <v>ltu#1979</v>
      </c>
      <c r="B9224" t="str">
        <f>IFERROR(__xludf.DUMMYFUNCTION("""COMPUTED_VALUE"""),"ltu")</f>
        <v>ltu</v>
      </c>
      <c r="C9224" t="str">
        <f>IFERROR(__xludf.DUMMYFUNCTION("""COMPUTED_VALUE"""),"Lithuania")</f>
        <v>Lithuania</v>
      </c>
      <c r="D9224">
        <f>IFERROR(__xludf.DUMMYFUNCTION("""COMPUTED_VALUE"""),1979.0)</f>
        <v>1979</v>
      </c>
      <c r="E9224">
        <f>IFERROR(__xludf.DUMMYFUNCTION("""COMPUTED_VALUE"""),3405176.0)</f>
        <v>3405176</v>
      </c>
    </row>
    <row r="9225">
      <c r="A9225" t="str">
        <f t="shared" si="1"/>
        <v>ltu#1980</v>
      </c>
      <c r="B9225" t="str">
        <f>IFERROR(__xludf.DUMMYFUNCTION("""COMPUTED_VALUE"""),"ltu")</f>
        <v>ltu</v>
      </c>
      <c r="C9225" t="str">
        <f>IFERROR(__xludf.DUMMYFUNCTION("""COMPUTED_VALUE"""),"Lithuania")</f>
        <v>Lithuania</v>
      </c>
      <c r="D9225">
        <f>IFERROR(__xludf.DUMMYFUNCTION("""COMPUTED_VALUE"""),1980.0)</f>
        <v>1980</v>
      </c>
      <c r="E9225">
        <f>IFERROR(__xludf.DUMMYFUNCTION("""COMPUTED_VALUE"""),3430759.0)</f>
        <v>3430759</v>
      </c>
    </row>
    <row r="9226">
      <c r="A9226" t="str">
        <f t="shared" si="1"/>
        <v>ltu#1981</v>
      </c>
      <c r="B9226" t="str">
        <f>IFERROR(__xludf.DUMMYFUNCTION("""COMPUTED_VALUE"""),"ltu")</f>
        <v>ltu</v>
      </c>
      <c r="C9226" t="str">
        <f>IFERROR(__xludf.DUMMYFUNCTION("""COMPUTED_VALUE"""),"Lithuania")</f>
        <v>Lithuania</v>
      </c>
      <c r="D9226">
        <f>IFERROR(__xludf.DUMMYFUNCTION("""COMPUTED_VALUE"""),1981.0)</f>
        <v>1981</v>
      </c>
      <c r="E9226">
        <f>IFERROR(__xludf.DUMMYFUNCTION("""COMPUTED_VALUE"""),3456142.0)</f>
        <v>3456142</v>
      </c>
    </row>
    <row r="9227">
      <c r="A9227" t="str">
        <f t="shared" si="1"/>
        <v>ltu#1982</v>
      </c>
      <c r="B9227" t="str">
        <f>IFERROR(__xludf.DUMMYFUNCTION("""COMPUTED_VALUE"""),"ltu")</f>
        <v>ltu</v>
      </c>
      <c r="C9227" t="str">
        <f>IFERROR(__xludf.DUMMYFUNCTION("""COMPUTED_VALUE"""),"Lithuania")</f>
        <v>Lithuania</v>
      </c>
      <c r="D9227">
        <f>IFERROR(__xludf.DUMMYFUNCTION("""COMPUTED_VALUE"""),1982.0)</f>
        <v>1982</v>
      </c>
      <c r="E9227">
        <f>IFERROR(__xludf.DUMMYFUNCTION("""COMPUTED_VALUE"""),3481132.0)</f>
        <v>3481132</v>
      </c>
    </row>
    <row r="9228">
      <c r="A9228" t="str">
        <f t="shared" si="1"/>
        <v>ltu#1983</v>
      </c>
      <c r="B9228" t="str">
        <f>IFERROR(__xludf.DUMMYFUNCTION("""COMPUTED_VALUE"""),"ltu")</f>
        <v>ltu</v>
      </c>
      <c r="C9228" t="str">
        <f>IFERROR(__xludf.DUMMYFUNCTION("""COMPUTED_VALUE"""),"Lithuania")</f>
        <v>Lithuania</v>
      </c>
      <c r="D9228">
        <f>IFERROR(__xludf.DUMMYFUNCTION("""COMPUTED_VALUE"""),1983.0)</f>
        <v>1983</v>
      </c>
      <c r="E9228">
        <f>IFERROR(__xludf.DUMMYFUNCTION("""COMPUTED_VALUE"""),3506539.0)</f>
        <v>3506539</v>
      </c>
    </row>
    <row r="9229">
      <c r="A9229" t="str">
        <f t="shared" si="1"/>
        <v>ltu#1984</v>
      </c>
      <c r="B9229" t="str">
        <f>IFERROR(__xludf.DUMMYFUNCTION("""COMPUTED_VALUE"""),"ltu")</f>
        <v>ltu</v>
      </c>
      <c r="C9229" t="str">
        <f>IFERROR(__xludf.DUMMYFUNCTION("""COMPUTED_VALUE"""),"Lithuania")</f>
        <v>Lithuania</v>
      </c>
      <c r="D9229">
        <f>IFERROR(__xludf.DUMMYFUNCTION("""COMPUTED_VALUE"""),1984.0)</f>
        <v>1984</v>
      </c>
      <c r="E9229">
        <f>IFERROR(__xludf.DUMMYFUNCTION("""COMPUTED_VALUE"""),3533478.0)</f>
        <v>3533478</v>
      </c>
    </row>
    <row r="9230">
      <c r="A9230" t="str">
        <f t="shared" si="1"/>
        <v>ltu#1985</v>
      </c>
      <c r="B9230" t="str">
        <f>IFERROR(__xludf.DUMMYFUNCTION("""COMPUTED_VALUE"""),"ltu")</f>
        <v>ltu</v>
      </c>
      <c r="C9230" t="str">
        <f>IFERROR(__xludf.DUMMYFUNCTION("""COMPUTED_VALUE"""),"Lithuania")</f>
        <v>Lithuania</v>
      </c>
      <c r="D9230">
        <f>IFERROR(__xludf.DUMMYFUNCTION("""COMPUTED_VALUE"""),1985.0)</f>
        <v>1985</v>
      </c>
      <c r="E9230">
        <f>IFERROR(__xludf.DUMMYFUNCTION("""COMPUTED_VALUE"""),3562396.0)</f>
        <v>3562396</v>
      </c>
    </row>
    <row r="9231">
      <c r="A9231" t="str">
        <f t="shared" si="1"/>
        <v>ltu#1986</v>
      </c>
      <c r="B9231" t="str">
        <f>IFERROR(__xludf.DUMMYFUNCTION("""COMPUTED_VALUE"""),"ltu")</f>
        <v>ltu</v>
      </c>
      <c r="C9231" t="str">
        <f>IFERROR(__xludf.DUMMYFUNCTION("""COMPUTED_VALUE"""),"Lithuania")</f>
        <v>Lithuania</v>
      </c>
      <c r="D9231">
        <f>IFERROR(__xludf.DUMMYFUNCTION("""COMPUTED_VALUE"""),1986.0)</f>
        <v>1986</v>
      </c>
      <c r="E9231">
        <f>IFERROR(__xludf.DUMMYFUNCTION("""COMPUTED_VALUE"""),3594056.0)</f>
        <v>3594056</v>
      </c>
    </row>
    <row r="9232">
      <c r="A9232" t="str">
        <f t="shared" si="1"/>
        <v>ltu#1987</v>
      </c>
      <c r="B9232" t="str">
        <f>IFERROR(__xludf.DUMMYFUNCTION("""COMPUTED_VALUE"""),"ltu")</f>
        <v>ltu</v>
      </c>
      <c r="C9232" t="str">
        <f>IFERROR(__xludf.DUMMYFUNCTION("""COMPUTED_VALUE"""),"Lithuania")</f>
        <v>Lithuania</v>
      </c>
      <c r="D9232">
        <f>IFERROR(__xludf.DUMMYFUNCTION("""COMPUTED_VALUE"""),1987.0)</f>
        <v>1987</v>
      </c>
      <c r="E9232">
        <f>IFERROR(__xludf.DUMMYFUNCTION("""COMPUTED_VALUE"""),3627328.0)</f>
        <v>3627328</v>
      </c>
    </row>
    <row r="9233">
      <c r="A9233" t="str">
        <f t="shared" si="1"/>
        <v>ltu#1988</v>
      </c>
      <c r="B9233" t="str">
        <f>IFERROR(__xludf.DUMMYFUNCTION("""COMPUTED_VALUE"""),"ltu")</f>
        <v>ltu</v>
      </c>
      <c r="C9233" t="str">
        <f>IFERROR(__xludf.DUMMYFUNCTION("""COMPUTED_VALUE"""),"Lithuania")</f>
        <v>Lithuania</v>
      </c>
      <c r="D9233">
        <f>IFERROR(__xludf.DUMMYFUNCTION("""COMPUTED_VALUE"""),1988.0)</f>
        <v>1988</v>
      </c>
      <c r="E9233">
        <f>IFERROR(__xludf.DUMMYFUNCTION("""COMPUTED_VALUE"""),3658490.0)</f>
        <v>3658490</v>
      </c>
    </row>
    <row r="9234">
      <c r="A9234" t="str">
        <f t="shared" si="1"/>
        <v>ltu#1989</v>
      </c>
      <c r="B9234" t="str">
        <f>IFERROR(__xludf.DUMMYFUNCTION("""COMPUTED_VALUE"""),"ltu")</f>
        <v>ltu</v>
      </c>
      <c r="C9234" t="str">
        <f>IFERROR(__xludf.DUMMYFUNCTION("""COMPUTED_VALUE"""),"Lithuania")</f>
        <v>Lithuania</v>
      </c>
      <c r="D9234">
        <f>IFERROR(__xludf.DUMMYFUNCTION("""COMPUTED_VALUE"""),1989.0)</f>
        <v>1989</v>
      </c>
      <c r="E9234">
        <f>IFERROR(__xludf.DUMMYFUNCTION("""COMPUTED_VALUE"""),3682557.0)</f>
        <v>3682557</v>
      </c>
    </row>
    <row r="9235">
      <c r="A9235" t="str">
        <f t="shared" si="1"/>
        <v>ltu#1990</v>
      </c>
      <c r="B9235" t="str">
        <f>IFERROR(__xludf.DUMMYFUNCTION("""COMPUTED_VALUE"""),"ltu")</f>
        <v>ltu</v>
      </c>
      <c r="C9235" t="str">
        <f>IFERROR(__xludf.DUMMYFUNCTION("""COMPUTED_VALUE"""),"Lithuania")</f>
        <v>Lithuania</v>
      </c>
      <c r="D9235">
        <f>IFERROR(__xludf.DUMMYFUNCTION("""COMPUTED_VALUE"""),1990.0)</f>
        <v>1990</v>
      </c>
      <c r="E9235">
        <f>IFERROR(__xludf.DUMMYFUNCTION("""COMPUTED_VALUE"""),3696034.0)</f>
        <v>3696034</v>
      </c>
    </row>
    <row r="9236">
      <c r="A9236" t="str">
        <f t="shared" si="1"/>
        <v>ltu#1991</v>
      </c>
      <c r="B9236" t="str">
        <f>IFERROR(__xludf.DUMMYFUNCTION("""COMPUTED_VALUE"""),"ltu")</f>
        <v>ltu</v>
      </c>
      <c r="C9236" t="str">
        <f>IFERROR(__xludf.DUMMYFUNCTION("""COMPUTED_VALUE"""),"Lithuania")</f>
        <v>Lithuania</v>
      </c>
      <c r="D9236">
        <f>IFERROR(__xludf.DUMMYFUNCTION("""COMPUTED_VALUE"""),1991.0)</f>
        <v>1991</v>
      </c>
      <c r="E9236">
        <f>IFERROR(__xludf.DUMMYFUNCTION("""COMPUTED_VALUE"""),3697453.0)</f>
        <v>3697453</v>
      </c>
    </row>
    <row r="9237">
      <c r="A9237" t="str">
        <f t="shared" si="1"/>
        <v>ltu#1992</v>
      </c>
      <c r="B9237" t="str">
        <f>IFERROR(__xludf.DUMMYFUNCTION("""COMPUTED_VALUE"""),"ltu")</f>
        <v>ltu</v>
      </c>
      <c r="C9237" t="str">
        <f>IFERROR(__xludf.DUMMYFUNCTION("""COMPUTED_VALUE"""),"Lithuania")</f>
        <v>Lithuania</v>
      </c>
      <c r="D9237">
        <f>IFERROR(__xludf.DUMMYFUNCTION("""COMPUTED_VALUE"""),1992.0)</f>
        <v>1992</v>
      </c>
      <c r="E9237">
        <f>IFERROR(__xludf.DUMMYFUNCTION("""COMPUTED_VALUE"""),3688100.0)</f>
        <v>3688100</v>
      </c>
    </row>
    <row r="9238">
      <c r="A9238" t="str">
        <f t="shared" si="1"/>
        <v>ltu#1993</v>
      </c>
      <c r="B9238" t="str">
        <f>IFERROR(__xludf.DUMMYFUNCTION("""COMPUTED_VALUE"""),"ltu")</f>
        <v>ltu</v>
      </c>
      <c r="C9238" t="str">
        <f>IFERROR(__xludf.DUMMYFUNCTION("""COMPUTED_VALUE"""),"Lithuania")</f>
        <v>Lithuania</v>
      </c>
      <c r="D9238">
        <f>IFERROR(__xludf.DUMMYFUNCTION("""COMPUTED_VALUE"""),1993.0)</f>
        <v>1993</v>
      </c>
      <c r="E9238">
        <f>IFERROR(__xludf.DUMMYFUNCTION("""COMPUTED_VALUE"""),3670647.0)</f>
        <v>3670647</v>
      </c>
    </row>
    <row r="9239">
      <c r="A9239" t="str">
        <f t="shared" si="1"/>
        <v>ltu#1994</v>
      </c>
      <c r="B9239" t="str">
        <f>IFERROR(__xludf.DUMMYFUNCTION("""COMPUTED_VALUE"""),"ltu")</f>
        <v>ltu</v>
      </c>
      <c r="C9239" t="str">
        <f>IFERROR(__xludf.DUMMYFUNCTION("""COMPUTED_VALUE"""),"Lithuania")</f>
        <v>Lithuania</v>
      </c>
      <c r="D9239">
        <f>IFERROR(__xludf.DUMMYFUNCTION("""COMPUTED_VALUE"""),1994.0)</f>
        <v>1994</v>
      </c>
      <c r="E9239">
        <f>IFERROR(__xludf.DUMMYFUNCTION("""COMPUTED_VALUE"""),3649134.0)</f>
        <v>3649134</v>
      </c>
    </row>
    <row r="9240">
      <c r="A9240" t="str">
        <f t="shared" si="1"/>
        <v>ltu#1995</v>
      </c>
      <c r="B9240" t="str">
        <f>IFERROR(__xludf.DUMMYFUNCTION("""COMPUTED_VALUE"""),"ltu")</f>
        <v>ltu</v>
      </c>
      <c r="C9240" t="str">
        <f>IFERROR(__xludf.DUMMYFUNCTION("""COMPUTED_VALUE"""),"Lithuania")</f>
        <v>Lithuania</v>
      </c>
      <c r="D9240">
        <f>IFERROR(__xludf.DUMMYFUNCTION("""COMPUTED_VALUE"""),1995.0)</f>
        <v>1995</v>
      </c>
      <c r="E9240">
        <f>IFERROR(__xludf.DUMMYFUNCTION("""COMPUTED_VALUE"""),3626602.0)</f>
        <v>3626602</v>
      </c>
    </row>
    <row r="9241">
      <c r="A9241" t="str">
        <f t="shared" si="1"/>
        <v>ltu#1996</v>
      </c>
      <c r="B9241" t="str">
        <f>IFERROR(__xludf.DUMMYFUNCTION("""COMPUTED_VALUE"""),"ltu")</f>
        <v>ltu</v>
      </c>
      <c r="C9241" t="str">
        <f>IFERROR(__xludf.DUMMYFUNCTION("""COMPUTED_VALUE"""),"Lithuania")</f>
        <v>Lithuania</v>
      </c>
      <c r="D9241">
        <f>IFERROR(__xludf.DUMMYFUNCTION("""COMPUTED_VALUE"""),1996.0)</f>
        <v>1996</v>
      </c>
      <c r="E9241">
        <f>IFERROR(__xludf.DUMMYFUNCTION("""COMPUTED_VALUE"""),3603745.0)</f>
        <v>3603745</v>
      </c>
    </row>
    <row r="9242">
      <c r="A9242" t="str">
        <f t="shared" si="1"/>
        <v>ltu#1997</v>
      </c>
      <c r="B9242" t="str">
        <f>IFERROR(__xludf.DUMMYFUNCTION("""COMPUTED_VALUE"""),"ltu")</f>
        <v>ltu</v>
      </c>
      <c r="C9242" t="str">
        <f>IFERROR(__xludf.DUMMYFUNCTION("""COMPUTED_VALUE"""),"Lithuania")</f>
        <v>Lithuania</v>
      </c>
      <c r="D9242">
        <f>IFERROR(__xludf.DUMMYFUNCTION("""COMPUTED_VALUE"""),1997.0)</f>
        <v>1997</v>
      </c>
      <c r="E9242">
        <f>IFERROR(__xludf.DUMMYFUNCTION("""COMPUTED_VALUE"""),3579904.0)</f>
        <v>3579904</v>
      </c>
    </row>
    <row r="9243">
      <c r="A9243" t="str">
        <f t="shared" si="1"/>
        <v>ltu#1998</v>
      </c>
      <c r="B9243" t="str">
        <f>IFERROR(__xludf.DUMMYFUNCTION("""COMPUTED_VALUE"""),"ltu")</f>
        <v>ltu</v>
      </c>
      <c r="C9243" t="str">
        <f>IFERROR(__xludf.DUMMYFUNCTION("""COMPUTED_VALUE"""),"Lithuania")</f>
        <v>Lithuania</v>
      </c>
      <c r="D9243">
        <f>IFERROR(__xludf.DUMMYFUNCTION("""COMPUTED_VALUE"""),1998.0)</f>
        <v>1998</v>
      </c>
      <c r="E9243">
        <f>IFERROR(__xludf.DUMMYFUNCTION("""COMPUTED_VALUE"""),3555133.0)</f>
        <v>3555133</v>
      </c>
    </row>
    <row r="9244">
      <c r="A9244" t="str">
        <f t="shared" si="1"/>
        <v>ltu#1999</v>
      </c>
      <c r="B9244" t="str">
        <f>IFERROR(__xludf.DUMMYFUNCTION("""COMPUTED_VALUE"""),"ltu")</f>
        <v>ltu</v>
      </c>
      <c r="C9244" t="str">
        <f>IFERROR(__xludf.DUMMYFUNCTION("""COMPUTED_VALUE"""),"Lithuania")</f>
        <v>Lithuania</v>
      </c>
      <c r="D9244">
        <f>IFERROR(__xludf.DUMMYFUNCTION("""COMPUTED_VALUE"""),1999.0)</f>
        <v>1999</v>
      </c>
      <c r="E9244">
        <f>IFERROR(__xludf.DUMMYFUNCTION("""COMPUTED_VALUE"""),3529178.0)</f>
        <v>3529178</v>
      </c>
    </row>
    <row r="9245">
      <c r="A9245" t="str">
        <f t="shared" si="1"/>
        <v>ltu#2000</v>
      </c>
      <c r="B9245" t="str">
        <f>IFERROR(__xludf.DUMMYFUNCTION("""COMPUTED_VALUE"""),"ltu")</f>
        <v>ltu</v>
      </c>
      <c r="C9245" t="str">
        <f>IFERROR(__xludf.DUMMYFUNCTION("""COMPUTED_VALUE"""),"Lithuania")</f>
        <v>Lithuania</v>
      </c>
      <c r="D9245">
        <f>IFERROR(__xludf.DUMMYFUNCTION("""COMPUTED_VALUE"""),2000.0)</f>
        <v>2000</v>
      </c>
      <c r="E9245">
        <f>IFERROR(__xludf.DUMMYFUNCTION("""COMPUTED_VALUE"""),3501835.0)</f>
        <v>3501835</v>
      </c>
    </row>
    <row r="9246">
      <c r="A9246" t="str">
        <f t="shared" si="1"/>
        <v>ltu#2001</v>
      </c>
      <c r="B9246" t="str">
        <f>IFERROR(__xludf.DUMMYFUNCTION("""COMPUTED_VALUE"""),"ltu")</f>
        <v>ltu</v>
      </c>
      <c r="C9246" t="str">
        <f>IFERROR(__xludf.DUMMYFUNCTION("""COMPUTED_VALUE"""),"Lithuania")</f>
        <v>Lithuania</v>
      </c>
      <c r="D9246">
        <f>IFERROR(__xludf.DUMMYFUNCTION("""COMPUTED_VALUE"""),2001.0)</f>
        <v>2001</v>
      </c>
      <c r="E9246">
        <f>IFERROR(__xludf.DUMMYFUNCTION("""COMPUTED_VALUE"""),3473617.0)</f>
        <v>3473617</v>
      </c>
    </row>
    <row r="9247">
      <c r="A9247" t="str">
        <f t="shared" si="1"/>
        <v>ltu#2002</v>
      </c>
      <c r="B9247" t="str">
        <f>IFERROR(__xludf.DUMMYFUNCTION("""COMPUTED_VALUE"""),"ltu")</f>
        <v>ltu</v>
      </c>
      <c r="C9247" t="str">
        <f>IFERROR(__xludf.DUMMYFUNCTION("""COMPUTED_VALUE"""),"Lithuania")</f>
        <v>Lithuania</v>
      </c>
      <c r="D9247">
        <f>IFERROR(__xludf.DUMMYFUNCTION("""COMPUTED_VALUE"""),2002.0)</f>
        <v>2002</v>
      </c>
      <c r="E9247">
        <f>IFERROR(__xludf.DUMMYFUNCTION("""COMPUTED_VALUE"""),3444754.0)</f>
        <v>3444754</v>
      </c>
    </row>
    <row r="9248">
      <c r="A9248" t="str">
        <f t="shared" si="1"/>
        <v>ltu#2003</v>
      </c>
      <c r="B9248" t="str">
        <f>IFERROR(__xludf.DUMMYFUNCTION("""COMPUTED_VALUE"""),"ltu")</f>
        <v>ltu</v>
      </c>
      <c r="C9248" t="str">
        <f>IFERROR(__xludf.DUMMYFUNCTION("""COMPUTED_VALUE"""),"Lithuania")</f>
        <v>Lithuania</v>
      </c>
      <c r="D9248">
        <f>IFERROR(__xludf.DUMMYFUNCTION("""COMPUTED_VALUE"""),2003.0)</f>
        <v>2003</v>
      </c>
      <c r="E9248">
        <f>IFERROR(__xludf.DUMMYFUNCTION("""COMPUTED_VALUE"""),3414352.0)</f>
        <v>3414352</v>
      </c>
    </row>
    <row r="9249">
      <c r="A9249" t="str">
        <f t="shared" si="1"/>
        <v>ltu#2004</v>
      </c>
      <c r="B9249" t="str">
        <f>IFERROR(__xludf.DUMMYFUNCTION("""COMPUTED_VALUE"""),"ltu")</f>
        <v>ltu</v>
      </c>
      <c r="C9249" t="str">
        <f>IFERROR(__xludf.DUMMYFUNCTION("""COMPUTED_VALUE"""),"Lithuania")</f>
        <v>Lithuania</v>
      </c>
      <c r="D9249">
        <f>IFERROR(__xludf.DUMMYFUNCTION("""COMPUTED_VALUE"""),2004.0)</f>
        <v>2004</v>
      </c>
      <c r="E9249">
        <f>IFERROR(__xludf.DUMMYFUNCTION("""COMPUTED_VALUE"""),3381118.0)</f>
        <v>3381118</v>
      </c>
    </row>
    <row r="9250">
      <c r="A9250" t="str">
        <f t="shared" si="1"/>
        <v>ltu#2005</v>
      </c>
      <c r="B9250" t="str">
        <f>IFERROR(__xludf.DUMMYFUNCTION("""COMPUTED_VALUE"""),"ltu")</f>
        <v>ltu</v>
      </c>
      <c r="C9250" t="str">
        <f>IFERROR(__xludf.DUMMYFUNCTION("""COMPUTED_VALUE"""),"Lithuania")</f>
        <v>Lithuania</v>
      </c>
      <c r="D9250">
        <f>IFERROR(__xludf.DUMMYFUNCTION("""COMPUTED_VALUE"""),2005.0)</f>
        <v>2005</v>
      </c>
      <c r="E9250">
        <f>IFERROR(__xludf.DUMMYFUNCTION("""COMPUTED_VALUE"""),3344252.0)</f>
        <v>3344252</v>
      </c>
    </row>
    <row r="9251">
      <c r="A9251" t="str">
        <f t="shared" si="1"/>
        <v>ltu#2006</v>
      </c>
      <c r="B9251" t="str">
        <f>IFERROR(__xludf.DUMMYFUNCTION("""COMPUTED_VALUE"""),"ltu")</f>
        <v>ltu</v>
      </c>
      <c r="C9251" t="str">
        <f>IFERROR(__xludf.DUMMYFUNCTION("""COMPUTED_VALUE"""),"Lithuania")</f>
        <v>Lithuania</v>
      </c>
      <c r="D9251">
        <f>IFERROR(__xludf.DUMMYFUNCTION("""COMPUTED_VALUE"""),2006.0)</f>
        <v>2006</v>
      </c>
      <c r="E9251">
        <f>IFERROR(__xludf.DUMMYFUNCTION("""COMPUTED_VALUE"""),3303671.0)</f>
        <v>3303671</v>
      </c>
    </row>
    <row r="9252">
      <c r="A9252" t="str">
        <f t="shared" si="1"/>
        <v>ltu#2007</v>
      </c>
      <c r="B9252" t="str">
        <f>IFERROR(__xludf.DUMMYFUNCTION("""COMPUTED_VALUE"""),"ltu")</f>
        <v>ltu</v>
      </c>
      <c r="C9252" t="str">
        <f>IFERROR(__xludf.DUMMYFUNCTION("""COMPUTED_VALUE"""),"Lithuania")</f>
        <v>Lithuania</v>
      </c>
      <c r="D9252">
        <f>IFERROR(__xludf.DUMMYFUNCTION("""COMPUTED_VALUE"""),2007.0)</f>
        <v>2007</v>
      </c>
      <c r="E9252">
        <f>IFERROR(__xludf.DUMMYFUNCTION("""COMPUTED_VALUE"""),3260091.0)</f>
        <v>3260091</v>
      </c>
    </row>
    <row r="9253">
      <c r="A9253" t="str">
        <f t="shared" si="1"/>
        <v>ltu#2008</v>
      </c>
      <c r="B9253" t="str">
        <f>IFERROR(__xludf.DUMMYFUNCTION("""COMPUTED_VALUE"""),"ltu")</f>
        <v>ltu</v>
      </c>
      <c r="C9253" t="str">
        <f>IFERROR(__xludf.DUMMYFUNCTION("""COMPUTED_VALUE"""),"Lithuania")</f>
        <v>Lithuania</v>
      </c>
      <c r="D9253">
        <f>IFERROR(__xludf.DUMMYFUNCTION("""COMPUTED_VALUE"""),2008.0)</f>
        <v>2008</v>
      </c>
      <c r="E9253">
        <f>IFERROR(__xludf.DUMMYFUNCTION("""COMPUTED_VALUE"""),3214627.0)</f>
        <v>3214627</v>
      </c>
    </row>
    <row r="9254">
      <c r="A9254" t="str">
        <f t="shared" si="1"/>
        <v>ltu#2009</v>
      </c>
      <c r="B9254" t="str">
        <f>IFERROR(__xludf.DUMMYFUNCTION("""COMPUTED_VALUE"""),"ltu")</f>
        <v>ltu</v>
      </c>
      <c r="C9254" t="str">
        <f>IFERROR(__xludf.DUMMYFUNCTION("""COMPUTED_VALUE"""),"Lithuania")</f>
        <v>Lithuania</v>
      </c>
      <c r="D9254">
        <f>IFERROR(__xludf.DUMMYFUNCTION("""COMPUTED_VALUE"""),2009.0)</f>
        <v>2009</v>
      </c>
      <c r="E9254">
        <f>IFERROR(__xludf.DUMMYFUNCTION("""COMPUTED_VALUE"""),3168772.0)</f>
        <v>3168772</v>
      </c>
    </row>
    <row r="9255">
      <c r="A9255" t="str">
        <f t="shared" si="1"/>
        <v>ltu#2010</v>
      </c>
      <c r="B9255" t="str">
        <f>IFERROR(__xludf.DUMMYFUNCTION("""COMPUTED_VALUE"""),"ltu")</f>
        <v>ltu</v>
      </c>
      <c r="C9255" t="str">
        <f>IFERROR(__xludf.DUMMYFUNCTION("""COMPUTED_VALUE"""),"Lithuania")</f>
        <v>Lithuania</v>
      </c>
      <c r="D9255">
        <f>IFERROR(__xludf.DUMMYFUNCTION("""COMPUTED_VALUE"""),2010.0)</f>
        <v>2010</v>
      </c>
      <c r="E9255">
        <f>IFERROR(__xludf.DUMMYFUNCTION("""COMPUTED_VALUE"""),3123803.0)</f>
        <v>3123803</v>
      </c>
    </row>
    <row r="9256">
      <c r="A9256" t="str">
        <f t="shared" si="1"/>
        <v>ltu#2011</v>
      </c>
      <c r="B9256" t="str">
        <f>IFERROR(__xludf.DUMMYFUNCTION("""COMPUTED_VALUE"""),"ltu")</f>
        <v>ltu</v>
      </c>
      <c r="C9256" t="str">
        <f>IFERROR(__xludf.DUMMYFUNCTION("""COMPUTED_VALUE"""),"Lithuania")</f>
        <v>Lithuania</v>
      </c>
      <c r="D9256">
        <f>IFERROR(__xludf.DUMMYFUNCTION("""COMPUTED_VALUE"""),2011.0)</f>
        <v>2011</v>
      </c>
      <c r="E9256">
        <f>IFERROR(__xludf.DUMMYFUNCTION("""COMPUTED_VALUE"""),3079881.0)</f>
        <v>3079881</v>
      </c>
    </row>
    <row r="9257">
      <c r="A9257" t="str">
        <f t="shared" si="1"/>
        <v>ltu#2012</v>
      </c>
      <c r="B9257" t="str">
        <f>IFERROR(__xludf.DUMMYFUNCTION("""COMPUTED_VALUE"""),"ltu")</f>
        <v>ltu</v>
      </c>
      <c r="C9257" t="str">
        <f>IFERROR(__xludf.DUMMYFUNCTION("""COMPUTED_VALUE"""),"Lithuania")</f>
        <v>Lithuania</v>
      </c>
      <c r="D9257">
        <f>IFERROR(__xludf.DUMMYFUNCTION("""COMPUTED_VALUE"""),2012.0)</f>
        <v>2012</v>
      </c>
      <c r="E9257">
        <f>IFERROR(__xludf.DUMMYFUNCTION("""COMPUTED_VALUE"""),3037246.0)</f>
        <v>3037246</v>
      </c>
    </row>
    <row r="9258">
      <c r="A9258" t="str">
        <f t="shared" si="1"/>
        <v>ltu#2013</v>
      </c>
      <c r="B9258" t="str">
        <f>IFERROR(__xludf.DUMMYFUNCTION("""COMPUTED_VALUE"""),"ltu")</f>
        <v>ltu</v>
      </c>
      <c r="C9258" t="str">
        <f>IFERROR(__xludf.DUMMYFUNCTION("""COMPUTED_VALUE"""),"Lithuania")</f>
        <v>Lithuania</v>
      </c>
      <c r="D9258">
        <f>IFERROR(__xludf.DUMMYFUNCTION("""COMPUTED_VALUE"""),2013.0)</f>
        <v>2013</v>
      </c>
      <c r="E9258">
        <f>IFERROR(__xludf.DUMMYFUNCTION("""COMPUTED_VALUE"""),2997334.0)</f>
        <v>2997334</v>
      </c>
    </row>
    <row r="9259">
      <c r="A9259" t="str">
        <f t="shared" si="1"/>
        <v>ltu#2014</v>
      </c>
      <c r="B9259" t="str">
        <f>IFERROR(__xludf.DUMMYFUNCTION("""COMPUTED_VALUE"""),"ltu")</f>
        <v>ltu</v>
      </c>
      <c r="C9259" t="str">
        <f>IFERROR(__xludf.DUMMYFUNCTION("""COMPUTED_VALUE"""),"Lithuania")</f>
        <v>Lithuania</v>
      </c>
      <c r="D9259">
        <f>IFERROR(__xludf.DUMMYFUNCTION("""COMPUTED_VALUE"""),2014.0)</f>
        <v>2014</v>
      </c>
      <c r="E9259">
        <f>IFERROR(__xludf.DUMMYFUNCTION("""COMPUTED_VALUE"""),2961846.0)</f>
        <v>2961846</v>
      </c>
    </row>
    <row r="9260">
      <c r="A9260" t="str">
        <f t="shared" si="1"/>
        <v>ltu#2015</v>
      </c>
      <c r="B9260" t="str">
        <f>IFERROR(__xludf.DUMMYFUNCTION("""COMPUTED_VALUE"""),"ltu")</f>
        <v>ltu</v>
      </c>
      <c r="C9260" t="str">
        <f>IFERROR(__xludf.DUMMYFUNCTION("""COMPUTED_VALUE"""),"Lithuania")</f>
        <v>Lithuania</v>
      </c>
      <c r="D9260">
        <f>IFERROR(__xludf.DUMMYFUNCTION("""COMPUTED_VALUE"""),2015.0)</f>
        <v>2015</v>
      </c>
      <c r="E9260">
        <f>IFERROR(__xludf.DUMMYFUNCTION("""COMPUTED_VALUE"""),2931926.0)</f>
        <v>2931926</v>
      </c>
    </row>
    <row r="9261">
      <c r="A9261" t="str">
        <f t="shared" si="1"/>
        <v>ltu#2016</v>
      </c>
      <c r="B9261" t="str">
        <f>IFERROR(__xludf.DUMMYFUNCTION("""COMPUTED_VALUE"""),"ltu")</f>
        <v>ltu</v>
      </c>
      <c r="C9261" t="str">
        <f>IFERROR(__xludf.DUMMYFUNCTION("""COMPUTED_VALUE"""),"Lithuania")</f>
        <v>Lithuania</v>
      </c>
      <c r="D9261">
        <f>IFERROR(__xludf.DUMMYFUNCTION("""COMPUTED_VALUE"""),2016.0)</f>
        <v>2016</v>
      </c>
      <c r="E9261">
        <f>IFERROR(__xludf.DUMMYFUNCTION("""COMPUTED_VALUE"""),2908249.0)</f>
        <v>2908249</v>
      </c>
    </row>
    <row r="9262">
      <c r="A9262" t="str">
        <f t="shared" si="1"/>
        <v>ltu#2017</v>
      </c>
      <c r="B9262" t="str">
        <f>IFERROR(__xludf.DUMMYFUNCTION("""COMPUTED_VALUE"""),"ltu")</f>
        <v>ltu</v>
      </c>
      <c r="C9262" t="str">
        <f>IFERROR(__xludf.DUMMYFUNCTION("""COMPUTED_VALUE"""),"Lithuania")</f>
        <v>Lithuania</v>
      </c>
      <c r="D9262">
        <f>IFERROR(__xludf.DUMMYFUNCTION("""COMPUTED_VALUE"""),2017.0)</f>
        <v>2017</v>
      </c>
      <c r="E9262">
        <f>IFERROR(__xludf.DUMMYFUNCTION("""COMPUTED_VALUE"""),2890297.0)</f>
        <v>2890297</v>
      </c>
    </row>
    <row r="9263">
      <c r="A9263" t="str">
        <f t="shared" si="1"/>
        <v>ltu#2018</v>
      </c>
      <c r="B9263" t="str">
        <f>IFERROR(__xludf.DUMMYFUNCTION("""COMPUTED_VALUE"""),"ltu")</f>
        <v>ltu</v>
      </c>
      <c r="C9263" t="str">
        <f>IFERROR(__xludf.DUMMYFUNCTION("""COMPUTED_VALUE"""),"Lithuania")</f>
        <v>Lithuania</v>
      </c>
      <c r="D9263">
        <f>IFERROR(__xludf.DUMMYFUNCTION("""COMPUTED_VALUE"""),2018.0)</f>
        <v>2018</v>
      </c>
      <c r="E9263">
        <f>IFERROR(__xludf.DUMMYFUNCTION("""COMPUTED_VALUE"""),2876475.0)</f>
        <v>2876475</v>
      </c>
    </row>
    <row r="9264">
      <c r="A9264" t="str">
        <f t="shared" si="1"/>
        <v>ltu#2019</v>
      </c>
      <c r="B9264" t="str">
        <f>IFERROR(__xludf.DUMMYFUNCTION("""COMPUTED_VALUE"""),"ltu")</f>
        <v>ltu</v>
      </c>
      <c r="C9264" t="str">
        <f>IFERROR(__xludf.DUMMYFUNCTION("""COMPUTED_VALUE"""),"Lithuania")</f>
        <v>Lithuania</v>
      </c>
      <c r="D9264">
        <f>IFERROR(__xludf.DUMMYFUNCTION("""COMPUTED_VALUE"""),2019.0)</f>
        <v>2019</v>
      </c>
      <c r="E9264">
        <f>IFERROR(__xludf.DUMMYFUNCTION("""COMPUTED_VALUE"""),2864459.0)</f>
        <v>2864459</v>
      </c>
    </row>
    <row r="9265">
      <c r="A9265" t="str">
        <f t="shared" si="1"/>
        <v>ltu#2020</v>
      </c>
      <c r="B9265" t="str">
        <f>IFERROR(__xludf.DUMMYFUNCTION("""COMPUTED_VALUE"""),"ltu")</f>
        <v>ltu</v>
      </c>
      <c r="C9265" t="str">
        <f>IFERROR(__xludf.DUMMYFUNCTION("""COMPUTED_VALUE"""),"Lithuania")</f>
        <v>Lithuania</v>
      </c>
      <c r="D9265">
        <f>IFERROR(__xludf.DUMMYFUNCTION("""COMPUTED_VALUE"""),2020.0)</f>
        <v>2020</v>
      </c>
      <c r="E9265">
        <f>IFERROR(__xludf.DUMMYFUNCTION("""COMPUTED_VALUE"""),2852478.0)</f>
        <v>2852478</v>
      </c>
    </row>
    <row r="9266">
      <c r="A9266" t="str">
        <f t="shared" si="1"/>
        <v>ltu#2021</v>
      </c>
      <c r="B9266" t="str">
        <f>IFERROR(__xludf.DUMMYFUNCTION("""COMPUTED_VALUE"""),"ltu")</f>
        <v>ltu</v>
      </c>
      <c r="C9266" t="str">
        <f>IFERROR(__xludf.DUMMYFUNCTION("""COMPUTED_VALUE"""),"Lithuania")</f>
        <v>Lithuania</v>
      </c>
      <c r="D9266">
        <f>IFERROR(__xludf.DUMMYFUNCTION("""COMPUTED_VALUE"""),2021.0)</f>
        <v>2021</v>
      </c>
      <c r="E9266">
        <f>IFERROR(__xludf.DUMMYFUNCTION("""COMPUTED_VALUE"""),2839999.0)</f>
        <v>2839999</v>
      </c>
    </row>
    <row r="9267">
      <c r="A9267" t="str">
        <f t="shared" si="1"/>
        <v>ltu#2022</v>
      </c>
      <c r="B9267" t="str">
        <f>IFERROR(__xludf.DUMMYFUNCTION("""COMPUTED_VALUE"""),"ltu")</f>
        <v>ltu</v>
      </c>
      <c r="C9267" t="str">
        <f>IFERROR(__xludf.DUMMYFUNCTION("""COMPUTED_VALUE"""),"Lithuania")</f>
        <v>Lithuania</v>
      </c>
      <c r="D9267">
        <f>IFERROR(__xludf.DUMMYFUNCTION("""COMPUTED_VALUE"""),2022.0)</f>
        <v>2022</v>
      </c>
      <c r="E9267">
        <f>IFERROR(__xludf.DUMMYFUNCTION("""COMPUTED_VALUE"""),2827266.0)</f>
        <v>2827266</v>
      </c>
    </row>
    <row r="9268">
      <c r="A9268" t="str">
        <f t="shared" si="1"/>
        <v>ltu#2023</v>
      </c>
      <c r="B9268" t="str">
        <f>IFERROR(__xludf.DUMMYFUNCTION("""COMPUTED_VALUE"""),"ltu")</f>
        <v>ltu</v>
      </c>
      <c r="C9268" t="str">
        <f>IFERROR(__xludf.DUMMYFUNCTION("""COMPUTED_VALUE"""),"Lithuania")</f>
        <v>Lithuania</v>
      </c>
      <c r="D9268">
        <f>IFERROR(__xludf.DUMMYFUNCTION("""COMPUTED_VALUE"""),2023.0)</f>
        <v>2023</v>
      </c>
      <c r="E9268">
        <f>IFERROR(__xludf.DUMMYFUNCTION("""COMPUTED_VALUE"""),2814245.0)</f>
        <v>2814245</v>
      </c>
    </row>
    <row r="9269">
      <c r="A9269" t="str">
        <f t="shared" si="1"/>
        <v>ltu#2024</v>
      </c>
      <c r="B9269" t="str">
        <f>IFERROR(__xludf.DUMMYFUNCTION("""COMPUTED_VALUE"""),"ltu")</f>
        <v>ltu</v>
      </c>
      <c r="C9269" t="str">
        <f>IFERROR(__xludf.DUMMYFUNCTION("""COMPUTED_VALUE"""),"Lithuania")</f>
        <v>Lithuania</v>
      </c>
      <c r="D9269">
        <f>IFERROR(__xludf.DUMMYFUNCTION("""COMPUTED_VALUE"""),2024.0)</f>
        <v>2024</v>
      </c>
      <c r="E9269">
        <f>IFERROR(__xludf.DUMMYFUNCTION("""COMPUTED_VALUE"""),2801129.0)</f>
        <v>2801129</v>
      </c>
    </row>
    <row r="9270">
      <c r="A9270" t="str">
        <f t="shared" si="1"/>
        <v>ltu#2025</v>
      </c>
      <c r="B9270" t="str">
        <f>IFERROR(__xludf.DUMMYFUNCTION("""COMPUTED_VALUE"""),"ltu")</f>
        <v>ltu</v>
      </c>
      <c r="C9270" t="str">
        <f>IFERROR(__xludf.DUMMYFUNCTION("""COMPUTED_VALUE"""),"Lithuania")</f>
        <v>Lithuania</v>
      </c>
      <c r="D9270">
        <f>IFERROR(__xludf.DUMMYFUNCTION("""COMPUTED_VALUE"""),2025.0)</f>
        <v>2025</v>
      </c>
      <c r="E9270">
        <f>IFERROR(__xludf.DUMMYFUNCTION("""COMPUTED_VALUE"""),2788010.0)</f>
        <v>2788010</v>
      </c>
    </row>
    <row r="9271">
      <c r="A9271" t="str">
        <f t="shared" si="1"/>
        <v>ltu#2026</v>
      </c>
      <c r="B9271" t="str">
        <f>IFERROR(__xludf.DUMMYFUNCTION("""COMPUTED_VALUE"""),"ltu")</f>
        <v>ltu</v>
      </c>
      <c r="C9271" t="str">
        <f>IFERROR(__xludf.DUMMYFUNCTION("""COMPUTED_VALUE"""),"Lithuania")</f>
        <v>Lithuania</v>
      </c>
      <c r="D9271">
        <f>IFERROR(__xludf.DUMMYFUNCTION("""COMPUTED_VALUE"""),2026.0)</f>
        <v>2026</v>
      </c>
      <c r="E9271">
        <f>IFERROR(__xludf.DUMMYFUNCTION("""COMPUTED_VALUE"""),2774739.0)</f>
        <v>2774739</v>
      </c>
    </row>
    <row r="9272">
      <c r="A9272" t="str">
        <f t="shared" si="1"/>
        <v>ltu#2027</v>
      </c>
      <c r="B9272" t="str">
        <f>IFERROR(__xludf.DUMMYFUNCTION("""COMPUTED_VALUE"""),"ltu")</f>
        <v>ltu</v>
      </c>
      <c r="C9272" t="str">
        <f>IFERROR(__xludf.DUMMYFUNCTION("""COMPUTED_VALUE"""),"Lithuania")</f>
        <v>Lithuania</v>
      </c>
      <c r="D9272">
        <f>IFERROR(__xludf.DUMMYFUNCTION("""COMPUTED_VALUE"""),2027.0)</f>
        <v>2027</v>
      </c>
      <c r="E9272">
        <f>IFERROR(__xludf.DUMMYFUNCTION("""COMPUTED_VALUE"""),2761063.0)</f>
        <v>2761063</v>
      </c>
    </row>
    <row r="9273">
      <c r="A9273" t="str">
        <f t="shared" si="1"/>
        <v>ltu#2028</v>
      </c>
      <c r="B9273" t="str">
        <f>IFERROR(__xludf.DUMMYFUNCTION("""COMPUTED_VALUE"""),"ltu")</f>
        <v>ltu</v>
      </c>
      <c r="C9273" t="str">
        <f>IFERROR(__xludf.DUMMYFUNCTION("""COMPUTED_VALUE"""),"Lithuania")</f>
        <v>Lithuania</v>
      </c>
      <c r="D9273">
        <f>IFERROR(__xludf.DUMMYFUNCTION("""COMPUTED_VALUE"""),2028.0)</f>
        <v>2028</v>
      </c>
      <c r="E9273">
        <f>IFERROR(__xludf.DUMMYFUNCTION("""COMPUTED_VALUE"""),2746987.0)</f>
        <v>2746987</v>
      </c>
    </row>
    <row r="9274">
      <c r="A9274" t="str">
        <f t="shared" si="1"/>
        <v>ltu#2029</v>
      </c>
      <c r="B9274" t="str">
        <f>IFERROR(__xludf.DUMMYFUNCTION("""COMPUTED_VALUE"""),"ltu")</f>
        <v>ltu</v>
      </c>
      <c r="C9274" t="str">
        <f>IFERROR(__xludf.DUMMYFUNCTION("""COMPUTED_VALUE"""),"Lithuania")</f>
        <v>Lithuania</v>
      </c>
      <c r="D9274">
        <f>IFERROR(__xludf.DUMMYFUNCTION("""COMPUTED_VALUE"""),2029.0)</f>
        <v>2029</v>
      </c>
      <c r="E9274">
        <f>IFERROR(__xludf.DUMMYFUNCTION("""COMPUTED_VALUE"""),2732518.0)</f>
        <v>2732518</v>
      </c>
    </row>
    <row r="9275">
      <c r="A9275" t="str">
        <f t="shared" si="1"/>
        <v>ltu#2030</v>
      </c>
      <c r="B9275" t="str">
        <f>IFERROR(__xludf.DUMMYFUNCTION("""COMPUTED_VALUE"""),"ltu")</f>
        <v>ltu</v>
      </c>
      <c r="C9275" t="str">
        <f>IFERROR(__xludf.DUMMYFUNCTION("""COMPUTED_VALUE"""),"Lithuania")</f>
        <v>Lithuania</v>
      </c>
      <c r="D9275">
        <f>IFERROR(__xludf.DUMMYFUNCTION("""COMPUTED_VALUE"""),2030.0)</f>
        <v>2030</v>
      </c>
      <c r="E9275">
        <f>IFERROR(__xludf.DUMMYFUNCTION("""COMPUTED_VALUE"""),2717731.0)</f>
        <v>2717731</v>
      </c>
    </row>
    <row r="9276">
      <c r="A9276" t="str">
        <f t="shared" si="1"/>
        <v>ltu#2031</v>
      </c>
      <c r="B9276" t="str">
        <f>IFERROR(__xludf.DUMMYFUNCTION("""COMPUTED_VALUE"""),"ltu")</f>
        <v>ltu</v>
      </c>
      <c r="C9276" t="str">
        <f>IFERROR(__xludf.DUMMYFUNCTION("""COMPUTED_VALUE"""),"Lithuania")</f>
        <v>Lithuania</v>
      </c>
      <c r="D9276">
        <f>IFERROR(__xludf.DUMMYFUNCTION("""COMPUTED_VALUE"""),2031.0)</f>
        <v>2031</v>
      </c>
      <c r="E9276">
        <f>IFERROR(__xludf.DUMMYFUNCTION("""COMPUTED_VALUE"""),2702561.0)</f>
        <v>2702561</v>
      </c>
    </row>
    <row r="9277">
      <c r="A9277" t="str">
        <f t="shared" si="1"/>
        <v>ltu#2032</v>
      </c>
      <c r="B9277" t="str">
        <f>IFERROR(__xludf.DUMMYFUNCTION("""COMPUTED_VALUE"""),"ltu")</f>
        <v>ltu</v>
      </c>
      <c r="C9277" t="str">
        <f>IFERROR(__xludf.DUMMYFUNCTION("""COMPUTED_VALUE"""),"Lithuania")</f>
        <v>Lithuania</v>
      </c>
      <c r="D9277">
        <f>IFERROR(__xludf.DUMMYFUNCTION("""COMPUTED_VALUE"""),2032.0)</f>
        <v>2032</v>
      </c>
      <c r="E9277">
        <f>IFERROR(__xludf.DUMMYFUNCTION("""COMPUTED_VALUE"""),2687021.0)</f>
        <v>2687021</v>
      </c>
    </row>
    <row r="9278">
      <c r="A9278" t="str">
        <f t="shared" si="1"/>
        <v>ltu#2033</v>
      </c>
      <c r="B9278" t="str">
        <f>IFERROR(__xludf.DUMMYFUNCTION("""COMPUTED_VALUE"""),"ltu")</f>
        <v>ltu</v>
      </c>
      <c r="C9278" t="str">
        <f>IFERROR(__xludf.DUMMYFUNCTION("""COMPUTED_VALUE"""),"Lithuania")</f>
        <v>Lithuania</v>
      </c>
      <c r="D9278">
        <f>IFERROR(__xludf.DUMMYFUNCTION("""COMPUTED_VALUE"""),2033.0)</f>
        <v>2033</v>
      </c>
      <c r="E9278">
        <f>IFERROR(__xludf.DUMMYFUNCTION("""COMPUTED_VALUE"""),2671180.0)</f>
        <v>2671180</v>
      </c>
    </row>
    <row r="9279">
      <c r="A9279" t="str">
        <f t="shared" si="1"/>
        <v>ltu#2034</v>
      </c>
      <c r="B9279" t="str">
        <f>IFERROR(__xludf.DUMMYFUNCTION("""COMPUTED_VALUE"""),"ltu")</f>
        <v>ltu</v>
      </c>
      <c r="C9279" t="str">
        <f>IFERROR(__xludf.DUMMYFUNCTION("""COMPUTED_VALUE"""),"Lithuania")</f>
        <v>Lithuania</v>
      </c>
      <c r="D9279">
        <f>IFERROR(__xludf.DUMMYFUNCTION("""COMPUTED_VALUE"""),2034.0)</f>
        <v>2034</v>
      </c>
      <c r="E9279">
        <f>IFERROR(__xludf.DUMMYFUNCTION("""COMPUTED_VALUE"""),2655143.0)</f>
        <v>2655143</v>
      </c>
    </row>
    <row r="9280">
      <c r="A9280" t="str">
        <f t="shared" si="1"/>
        <v>ltu#2035</v>
      </c>
      <c r="B9280" t="str">
        <f>IFERROR(__xludf.DUMMYFUNCTION("""COMPUTED_VALUE"""),"ltu")</f>
        <v>ltu</v>
      </c>
      <c r="C9280" t="str">
        <f>IFERROR(__xludf.DUMMYFUNCTION("""COMPUTED_VALUE"""),"Lithuania")</f>
        <v>Lithuania</v>
      </c>
      <c r="D9280">
        <f>IFERROR(__xludf.DUMMYFUNCTION("""COMPUTED_VALUE"""),2035.0)</f>
        <v>2035</v>
      </c>
      <c r="E9280">
        <f>IFERROR(__xludf.DUMMYFUNCTION("""COMPUTED_VALUE"""),2638998.0)</f>
        <v>2638998</v>
      </c>
    </row>
    <row r="9281">
      <c r="A9281" t="str">
        <f t="shared" si="1"/>
        <v>ltu#2036</v>
      </c>
      <c r="B9281" t="str">
        <f>IFERROR(__xludf.DUMMYFUNCTION("""COMPUTED_VALUE"""),"ltu")</f>
        <v>ltu</v>
      </c>
      <c r="C9281" t="str">
        <f>IFERROR(__xludf.DUMMYFUNCTION("""COMPUTED_VALUE"""),"Lithuania")</f>
        <v>Lithuania</v>
      </c>
      <c r="D9281">
        <f>IFERROR(__xludf.DUMMYFUNCTION("""COMPUTED_VALUE"""),2036.0)</f>
        <v>2036</v>
      </c>
      <c r="E9281">
        <f>IFERROR(__xludf.DUMMYFUNCTION("""COMPUTED_VALUE"""),2622766.0)</f>
        <v>2622766</v>
      </c>
    </row>
    <row r="9282">
      <c r="A9282" t="str">
        <f t="shared" si="1"/>
        <v>ltu#2037</v>
      </c>
      <c r="B9282" t="str">
        <f>IFERROR(__xludf.DUMMYFUNCTION("""COMPUTED_VALUE"""),"ltu")</f>
        <v>ltu</v>
      </c>
      <c r="C9282" t="str">
        <f>IFERROR(__xludf.DUMMYFUNCTION("""COMPUTED_VALUE"""),"Lithuania")</f>
        <v>Lithuania</v>
      </c>
      <c r="D9282">
        <f>IFERROR(__xludf.DUMMYFUNCTION("""COMPUTED_VALUE"""),2037.0)</f>
        <v>2037</v>
      </c>
      <c r="E9282">
        <f>IFERROR(__xludf.DUMMYFUNCTION("""COMPUTED_VALUE"""),2606474.0)</f>
        <v>2606474</v>
      </c>
    </row>
    <row r="9283">
      <c r="A9283" t="str">
        <f t="shared" si="1"/>
        <v>ltu#2038</v>
      </c>
      <c r="B9283" t="str">
        <f>IFERROR(__xludf.DUMMYFUNCTION("""COMPUTED_VALUE"""),"ltu")</f>
        <v>ltu</v>
      </c>
      <c r="C9283" t="str">
        <f>IFERROR(__xludf.DUMMYFUNCTION("""COMPUTED_VALUE"""),"Lithuania")</f>
        <v>Lithuania</v>
      </c>
      <c r="D9283">
        <f>IFERROR(__xludf.DUMMYFUNCTION("""COMPUTED_VALUE"""),2038.0)</f>
        <v>2038</v>
      </c>
      <c r="E9283">
        <f>IFERROR(__xludf.DUMMYFUNCTION("""COMPUTED_VALUE"""),2590178.0)</f>
        <v>2590178</v>
      </c>
    </row>
    <row r="9284">
      <c r="A9284" t="str">
        <f t="shared" si="1"/>
        <v>ltu#2039</v>
      </c>
      <c r="B9284" t="str">
        <f>IFERROR(__xludf.DUMMYFUNCTION("""COMPUTED_VALUE"""),"ltu")</f>
        <v>ltu</v>
      </c>
      <c r="C9284" t="str">
        <f>IFERROR(__xludf.DUMMYFUNCTION("""COMPUTED_VALUE"""),"Lithuania")</f>
        <v>Lithuania</v>
      </c>
      <c r="D9284">
        <f>IFERROR(__xludf.DUMMYFUNCTION("""COMPUTED_VALUE"""),2039.0)</f>
        <v>2039</v>
      </c>
      <c r="E9284">
        <f>IFERROR(__xludf.DUMMYFUNCTION("""COMPUTED_VALUE"""),2573978.0)</f>
        <v>2573978</v>
      </c>
    </row>
    <row r="9285">
      <c r="A9285" t="str">
        <f t="shared" si="1"/>
        <v>ltu#2040</v>
      </c>
      <c r="B9285" t="str">
        <f>IFERROR(__xludf.DUMMYFUNCTION("""COMPUTED_VALUE"""),"ltu")</f>
        <v>ltu</v>
      </c>
      <c r="C9285" t="str">
        <f>IFERROR(__xludf.DUMMYFUNCTION("""COMPUTED_VALUE"""),"Lithuania")</f>
        <v>Lithuania</v>
      </c>
      <c r="D9285">
        <f>IFERROR(__xludf.DUMMYFUNCTION("""COMPUTED_VALUE"""),2040.0)</f>
        <v>2040</v>
      </c>
      <c r="E9285">
        <f>IFERROR(__xludf.DUMMYFUNCTION("""COMPUTED_VALUE"""),2557900.0)</f>
        <v>2557900</v>
      </c>
    </row>
    <row r="9286">
      <c r="A9286" t="str">
        <f t="shared" si="1"/>
        <v>lux#1950</v>
      </c>
      <c r="B9286" t="str">
        <f>IFERROR(__xludf.DUMMYFUNCTION("""COMPUTED_VALUE"""),"lux")</f>
        <v>lux</v>
      </c>
      <c r="C9286" t="str">
        <f>IFERROR(__xludf.DUMMYFUNCTION("""COMPUTED_VALUE"""),"Luxembourg")</f>
        <v>Luxembourg</v>
      </c>
      <c r="D9286">
        <f>IFERROR(__xludf.DUMMYFUNCTION("""COMPUTED_VALUE"""),1950.0)</f>
        <v>1950</v>
      </c>
      <c r="E9286">
        <f>IFERROR(__xludf.DUMMYFUNCTION("""COMPUTED_VALUE"""),296001.0)</f>
        <v>296001</v>
      </c>
    </row>
    <row r="9287">
      <c r="A9287" t="str">
        <f t="shared" si="1"/>
        <v>lux#1951</v>
      </c>
      <c r="B9287" t="str">
        <f>IFERROR(__xludf.DUMMYFUNCTION("""COMPUTED_VALUE"""),"lux")</f>
        <v>lux</v>
      </c>
      <c r="C9287" t="str">
        <f>IFERROR(__xludf.DUMMYFUNCTION("""COMPUTED_VALUE"""),"Luxembourg")</f>
        <v>Luxembourg</v>
      </c>
      <c r="D9287">
        <f>IFERROR(__xludf.DUMMYFUNCTION("""COMPUTED_VALUE"""),1951.0)</f>
        <v>1951</v>
      </c>
      <c r="E9287">
        <f>IFERROR(__xludf.DUMMYFUNCTION("""COMPUTED_VALUE"""),297588.0)</f>
        <v>297588</v>
      </c>
    </row>
    <row r="9288">
      <c r="A9288" t="str">
        <f t="shared" si="1"/>
        <v>lux#1952</v>
      </c>
      <c r="B9288" t="str">
        <f>IFERROR(__xludf.DUMMYFUNCTION("""COMPUTED_VALUE"""),"lux")</f>
        <v>lux</v>
      </c>
      <c r="C9288" t="str">
        <f>IFERROR(__xludf.DUMMYFUNCTION("""COMPUTED_VALUE"""),"Luxembourg")</f>
        <v>Luxembourg</v>
      </c>
      <c r="D9288">
        <f>IFERROR(__xludf.DUMMYFUNCTION("""COMPUTED_VALUE"""),1952.0)</f>
        <v>1952</v>
      </c>
      <c r="E9288">
        <f>IFERROR(__xludf.DUMMYFUNCTION("""COMPUTED_VALUE"""),299496.0)</f>
        <v>299496</v>
      </c>
    </row>
    <row r="9289">
      <c r="A9289" t="str">
        <f t="shared" si="1"/>
        <v>lux#1953</v>
      </c>
      <c r="B9289" t="str">
        <f>IFERROR(__xludf.DUMMYFUNCTION("""COMPUTED_VALUE"""),"lux")</f>
        <v>lux</v>
      </c>
      <c r="C9289" t="str">
        <f>IFERROR(__xludf.DUMMYFUNCTION("""COMPUTED_VALUE"""),"Luxembourg")</f>
        <v>Luxembourg</v>
      </c>
      <c r="D9289">
        <f>IFERROR(__xludf.DUMMYFUNCTION("""COMPUTED_VALUE"""),1953.0)</f>
        <v>1953</v>
      </c>
      <c r="E9289">
        <f>IFERROR(__xludf.DUMMYFUNCTION("""COMPUTED_VALUE"""),301505.0)</f>
        <v>301505</v>
      </c>
    </row>
    <row r="9290">
      <c r="A9290" t="str">
        <f t="shared" si="1"/>
        <v>lux#1954</v>
      </c>
      <c r="B9290" t="str">
        <f>IFERROR(__xludf.DUMMYFUNCTION("""COMPUTED_VALUE"""),"lux")</f>
        <v>lux</v>
      </c>
      <c r="C9290" t="str">
        <f>IFERROR(__xludf.DUMMYFUNCTION("""COMPUTED_VALUE"""),"Luxembourg")</f>
        <v>Luxembourg</v>
      </c>
      <c r="D9290">
        <f>IFERROR(__xludf.DUMMYFUNCTION("""COMPUTED_VALUE"""),1954.0)</f>
        <v>1954</v>
      </c>
      <c r="E9290">
        <f>IFERROR(__xludf.DUMMYFUNCTION("""COMPUTED_VALUE"""),303451.0)</f>
        <v>303451</v>
      </c>
    </row>
    <row r="9291">
      <c r="A9291" t="str">
        <f t="shared" si="1"/>
        <v>lux#1955</v>
      </c>
      <c r="B9291" t="str">
        <f>IFERROR(__xludf.DUMMYFUNCTION("""COMPUTED_VALUE"""),"lux")</f>
        <v>lux</v>
      </c>
      <c r="C9291" t="str">
        <f>IFERROR(__xludf.DUMMYFUNCTION("""COMPUTED_VALUE"""),"Luxembourg")</f>
        <v>Luxembourg</v>
      </c>
      <c r="D9291">
        <f>IFERROR(__xludf.DUMMYFUNCTION("""COMPUTED_VALUE"""),1955.0)</f>
        <v>1955</v>
      </c>
      <c r="E9291">
        <f>IFERROR(__xludf.DUMMYFUNCTION("""COMPUTED_VALUE"""),305261.0)</f>
        <v>305261</v>
      </c>
    </row>
    <row r="9292">
      <c r="A9292" t="str">
        <f t="shared" si="1"/>
        <v>lux#1956</v>
      </c>
      <c r="B9292" t="str">
        <f>IFERROR(__xludf.DUMMYFUNCTION("""COMPUTED_VALUE"""),"lux")</f>
        <v>lux</v>
      </c>
      <c r="C9292" t="str">
        <f>IFERROR(__xludf.DUMMYFUNCTION("""COMPUTED_VALUE"""),"Luxembourg")</f>
        <v>Luxembourg</v>
      </c>
      <c r="D9292">
        <f>IFERROR(__xludf.DUMMYFUNCTION("""COMPUTED_VALUE"""),1956.0)</f>
        <v>1956</v>
      </c>
      <c r="E9292">
        <f>IFERROR(__xludf.DUMMYFUNCTION("""COMPUTED_VALUE"""),306945.0)</f>
        <v>306945</v>
      </c>
    </row>
    <row r="9293">
      <c r="A9293" t="str">
        <f t="shared" si="1"/>
        <v>lux#1957</v>
      </c>
      <c r="B9293" t="str">
        <f>IFERROR(__xludf.DUMMYFUNCTION("""COMPUTED_VALUE"""),"lux")</f>
        <v>lux</v>
      </c>
      <c r="C9293" t="str">
        <f>IFERROR(__xludf.DUMMYFUNCTION("""COMPUTED_VALUE"""),"Luxembourg")</f>
        <v>Luxembourg</v>
      </c>
      <c r="D9293">
        <f>IFERROR(__xludf.DUMMYFUNCTION("""COMPUTED_VALUE"""),1957.0)</f>
        <v>1957</v>
      </c>
      <c r="E9293">
        <f>IFERROR(__xludf.DUMMYFUNCTION("""COMPUTED_VALUE"""),308564.0)</f>
        <v>308564</v>
      </c>
    </row>
    <row r="9294">
      <c r="A9294" t="str">
        <f t="shared" si="1"/>
        <v>lux#1958</v>
      </c>
      <c r="B9294" t="str">
        <f>IFERROR(__xludf.DUMMYFUNCTION("""COMPUTED_VALUE"""),"lux")</f>
        <v>lux</v>
      </c>
      <c r="C9294" t="str">
        <f>IFERROR(__xludf.DUMMYFUNCTION("""COMPUTED_VALUE"""),"Luxembourg")</f>
        <v>Luxembourg</v>
      </c>
      <c r="D9294">
        <f>IFERROR(__xludf.DUMMYFUNCTION("""COMPUTED_VALUE"""),1958.0)</f>
        <v>1958</v>
      </c>
      <c r="E9294">
        <f>IFERROR(__xludf.DUMMYFUNCTION("""COMPUTED_VALUE"""),310257.0)</f>
        <v>310257</v>
      </c>
    </row>
    <row r="9295">
      <c r="A9295" t="str">
        <f t="shared" si="1"/>
        <v>lux#1959</v>
      </c>
      <c r="B9295" t="str">
        <f>IFERROR(__xludf.DUMMYFUNCTION("""COMPUTED_VALUE"""),"lux")</f>
        <v>lux</v>
      </c>
      <c r="C9295" t="str">
        <f>IFERROR(__xludf.DUMMYFUNCTION("""COMPUTED_VALUE"""),"Luxembourg")</f>
        <v>Luxembourg</v>
      </c>
      <c r="D9295">
        <f>IFERROR(__xludf.DUMMYFUNCTION("""COMPUTED_VALUE"""),1959.0)</f>
        <v>1959</v>
      </c>
      <c r="E9295">
        <f>IFERROR(__xludf.DUMMYFUNCTION("""COMPUTED_VALUE"""),312220.0)</f>
        <v>312220</v>
      </c>
    </row>
    <row r="9296">
      <c r="A9296" t="str">
        <f t="shared" si="1"/>
        <v>lux#1960</v>
      </c>
      <c r="B9296" t="str">
        <f>IFERROR(__xludf.DUMMYFUNCTION("""COMPUTED_VALUE"""),"lux")</f>
        <v>lux</v>
      </c>
      <c r="C9296" t="str">
        <f>IFERROR(__xludf.DUMMYFUNCTION("""COMPUTED_VALUE"""),"Luxembourg")</f>
        <v>Luxembourg</v>
      </c>
      <c r="D9296">
        <f>IFERROR(__xludf.DUMMYFUNCTION("""COMPUTED_VALUE"""),1960.0)</f>
        <v>1960</v>
      </c>
      <c r="E9296">
        <f>IFERROR(__xludf.DUMMYFUNCTION("""COMPUTED_VALUE"""),314588.0)</f>
        <v>314588</v>
      </c>
    </row>
    <row r="9297">
      <c r="A9297" t="str">
        <f t="shared" si="1"/>
        <v>lux#1961</v>
      </c>
      <c r="B9297" t="str">
        <f>IFERROR(__xludf.DUMMYFUNCTION("""COMPUTED_VALUE"""),"lux")</f>
        <v>lux</v>
      </c>
      <c r="C9297" t="str">
        <f>IFERROR(__xludf.DUMMYFUNCTION("""COMPUTED_VALUE"""),"Luxembourg")</f>
        <v>Luxembourg</v>
      </c>
      <c r="D9297">
        <f>IFERROR(__xludf.DUMMYFUNCTION("""COMPUTED_VALUE"""),1961.0)</f>
        <v>1961</v>
      </c>
      <c r="E9297">
        <f>IFERROR(__xludf.DUMMYFUNCTION("""COMPUTED_VALUE"""),317441.0)</f>
        <v>317441</v>
      </c>
    </row>
    <row r="9298">
      <c r="A9298" t="str">
        <f t="shared" si="1"/>
        <v>lux#1962</v>
      </c>
      <c r="B9298" t="str">
        <f>IFERROR(__xludf.DUMMYFUNCTION("""COMPUTED_VALUE"""),"lux")</f>
        <v>lux</v>
      </c>
      <c r="C9298" t="str">
        <f>IFERROR(__xludf.DUMMYFUNCTION("""COMPUTED_VALUE"""),"Luxembourg")</f>
        <v>Luxembourg</v>
      </c>
      <c r="D9298">
        <f>IFERROR(__xludf.DUMMYFUNCTION("""COMPUTED_VALUE"""),1962.0)</f>
        <v>1962</v>
      </c>
      <c r="E9298">
        <f>IFERROR(__xludf.DUMMYFUNCTION("""COMPUTED_VALUE"""),320703.0)</f>
        <v>320703</v>
      </c>
    </row>
    <row r="9299">
      <c r="A9299" t="str">
        <f t="shared" si="1"/>
        <v>lux#1963</v>
      </c>
      <c r="B9299" t="str">
        <f>IFERROR(__xludf.DUMMYFUNCTION("""COMPUTED_VALUE"""),"lux")</f>
        <v>lux</v>
      </c>
      <c r="C9299" t="str">
        <f>IFERROR(__xludf.DUMMYFUNCTION("""COMPUTED_VALUE"""),"Luxembourg")</f>
        <v>Luxembourg</v>
      </c>
      <c r="D9299">
        <f>IFERROR(__xludf.DUMMYFUNCTION("""COMPUTED_VALUE"""),1963.0)</f>
        <v>1963</v>
      </c>
      <c r="E9299">
        <f>IFERROR(__xludf.DUMMYFUNCTION("""COMPUTED_VALUE"""),324121.0)</f>
        <v>324121</v>
      </c>
    </row>
    <row r="9300">
      <c r="A9300" t="str">
        <f t="shared" si="1"/>
        <v>lux#1964</v>
      </c>
      <c r="B9300" t="str">
        <f>IFERROR(__xludf.DUMMYFUNCTION("""COMPUTED_VALUE"""),"lux")</f>
        <v>lux</v>
      </c>
      <c r="C9300" t="str">
        <f>IFERROR(__xludf.DUMMYFUNCTION("""COMPUTED_VALUE"""),"Luxembourg")</f>
        <v>Luxembourg</v>
      </c>
      <c r="D9300">
        <f>IFERROR(__xludf.DUMMYFUNCTION("""COMPUTED_VALUE"""),1964.0)</f>
        <v>1964</v>
      </c>
      <c r="E9300">
        <f>IFERROR(__xludf.DUMMYFUNCTION("""COMPUTED_VALUE"""),327366.0)</f>
        <v>327366</v>
      </c>
    </row>
    <row r="9301">
      <c r="A9301" t="str">
        <f t="shared" si="1"/>
        <v>lux#1965</v>
      </c>
      <c r="B9301" t="str">
        <f>IFERROR(__xludf.DUMMYFUNCTION("""COMPUTED_VALUE"""),"lux")</f>
        <v>lux</v>
      </c>
      <c r="C9301" t="str">
        <f>IFERROR(__xludf.DUMMYFUNCTION("""COMPUTED_VALUE"""),"Luxembourg")</f>
        <v>Luxembourg</v>
      </c>
      <c r="D9301">
        <f>IFERROR(__xludf.DUMMYFUNCTION("""COMPUTED_VALUE"""),1965.0)</f>
        <v>1965</v>
      </c>
      <c r="E9301">
        <f>IFERROR(__xludf.DUMMYFUNCTION("""COMPUTED_VALUE"""),330161.0)</f>
        <v>330161</v>
      </c>
    </row>
    <row r="9302">
      <c r="A9302" t="str">
        <f t="shared" si="1"/>
        <v>lux#1966</v>
      </c>
      <c r="B9302" t="str">
        <f>IFERROR(__xludf.DUMMYFUNCTION("""COMPUTED_VALUE"""),"lux")</f>
        <v>lux</v>
      </c>
      <c r="C9302" t="str">
        <f>IFERROR(__xludf.DUMMYFUNCTION("""COMPUTED_VALUE"""),"Luxembourg")</f>
        <v>Luxembourg</v>
      </c>
      <c r="D9302">
        <f>IFERROR(__xludf.DUMMYFUNCTION("""COMPUTED_VALUE"""),1966.0)</f>
        <v>1966</v>
      </c>
      <c r="E9302">
        <f>IFERROR(__xludf.DUMMYFUNCTION("""COMPUTED_VALUE"""),332419.0)</f>
        <v>332419</v>
      </c>
    </row>
    <row r="9303">
      <c r="A9303" t="str">
        <f t="shared" si="1"/>
        <v>lux#1967</v>
      </c>
      <c r="B9303" t="str">
        <f>IFERROR(__xludf.DUMMYFUNCTION("""COMPUTED_VALUE"""),"lux")</f>
        <v>lux</v>
      </c>
      <c r="C9303" t="str">
        <f>IFERROR(__xludf.DUMMYFUNCTION("""COMPUTED_VALUE"""),"Luxembourg")</f>
        <v>Luxembourg</v>
      </c>
      <c r="D9303">
        <f>IFERROR(__xludf.DUMMYFUNCTION("""COMPUTED_VALUE"""),1967.0)</f>
        <v>1967</v>
      </c>
      <c r="E9303">
        <f>IFERROR(__xludf.DUMMYFUNCTION("""COMPUTED_VALUE"""),334227.0)</f>
        <v>334227</v>
      </c>
    </row>
    <row r="9304">
      <c r="A9304" t="str">
        <f t="shared" si="1"/>
        <v>lux#1968</v>
      </c>
      <c r="B9304" t="str">
        <f>IFERROR(__xludf.DUMMYFUNCTION("""COMPUTED_VALUE"""),"lux")</f>
        <v>lux</v>
      </c>
      <c r="C9304" t="str">
        <f>IFERROR(__xludf.DUMMYFUNCTION("""COMPUTED_VALUE"""),"Luxembourg")</f>
        <v>Luxembourg</v>
      </c>
      <c r="D9304">
        <f>IFERROR(__xludf.DUMMYFUNCTION("""COMPUTED_VALUE"""),1968.0)</f>
        <v>1968</v>
      </c>
      <c r="E9304">
        <f>IFERROR(__xludf.DUMMYFUNCTION("""COMPUTED_VALUE"""),335834.0)</f>
        <v>335834</v>
      </c>
    </row>
    <row r="9305">
      <c r="A9305" t="str">
        <f t="shared" si="1"/>
        <v>lux#1969</v>
      </c>
      <c r="B9305" t="str">
        <f>IFERROR(__xludf.DUMMYFUNCTION("""COMPUTED_VALUE"""),"lux")</f>
        <v>lux</v>
      </c>
      <c r="C9305" t="str">
        <f>IFERROR(__xludf.DUMMYFUNCTION("""COMPUTED_VALUE"""),"Luxembourg")</f>
        <v>Luxembourg</v>
      </c>
      <c r="D9305">
        <f>IFERROR(__xludf.DUMMYFUNCTION("""COMPUTED_VALUE"""),1969.0)</f>
        <v>1969</v>
      </c>
      <c r="E9305">
        <f>IFERROR(__xludf.DUMMYFUNCTION("""COMPUTED_VALUE"""),337567.0)</f>
        <v>337567</v>
      </c>
    </row>
    <row r="9306">
      <c r="A9306" t="str">
        <f t="shared" si="1"/>
        <v>lux#1970</v>
      </c>
      <c r="B9306" t="str">
        <f>IFERROR(__xludf.DUMMYFUNCTION("""COMPUTED_VALUE"""),"lux")</f>
        <v>lux</v>
      </c>
      <c r="C9306" t="str">
        <f>IFERROR(__xludf.DUMMYFUNCTION("""COMPUTED_VALUE"""),"Luxembourg")</f>
        <v>Luxembourg</v>
      </c>
      <c r="D9306">
        <f>IFERROR(__xludf.DUMMYFUNCTION("""COMPUTED_VALUE"""),1970.0)</f>
        <v>1970</v>
      </c>
      <c r="E9306">
        <f>IFERROR(__xludf.DUMMYFUNCTION("""COMPUTED_VALUE"""),339668.0)</f>
        <v>339668</v>
      </c>
    </row>
    <row r="9307">
      <c r="A9307" t="str">
        <f t="shared" si="1"/>
        <v>lux#1971</v>
      </c>
      <c r="B9307" t="str">
        <f>IFERROR(__xludf.DUMMYFUNCTION("""COMPUTED_VALUE"""),"lux")</f>
        <v>lux</v>
      </c>
      <c r="C9307" t="str">
        <f>IFERROR(__xludf.DUMMYFUNCTION("""COMPUTED_VALUE"""),"Luxembourg")</f>
        <v>Luxembourg</v>
      </c>
      <c r="D9307">
        <f>IFERROR(__xludf.DUMMYFUNCTION("""COMPUTED_VALUE"""),1971.0)</f>
        <v>1971</v>
      </c>
      <c r="E9307">
        <f>IFERROR(__xludf.DUMMYFUNCTION("""COMPUTED_VALUE"""),342226.0)</f>
        <v>342226</v>
      </c>
    </row>
    <row r="9308">
      <c r="A9308" t="str">
        <f t="shared" si="1"/>
        <v>lux#1972</v>
      </c>
      <c r="B9308" t="str">
        <f>IFERROR(__xludf.DUMMYFUNCTION("""COMPUTED_VALUE"""),"lux")</f>
        <v>lux</v>
      </c>
      <c r="C9308" t="str">
        <f>IFERROR(__xludf.DUMMYFUNCTION("""COMPUTED_VALUE"""),"Luxembourg")</f>
        <v>Luxembourg</v>
      </c>
      <c r="D9308">
        <f>IFERROR(__xludf.DUMMYFUNCTION("""COMPUTED_VALUE"""),1972.0)</f>
        <v>1972</v>
      </c>
      <c r="E9308">
        <f>IFERROR(__xludf.DUMMYFUNCTION("""COMPUTED_VALUE"""),345103.0)</f>
        <v>345103</v>
      </c>
    </row>
    <row r="9309">
      <c r="A9309" t="str">
        <f t="shared" si="1"/>
        <v>lux#1973</v>
      </c>
      <c r="B9309" t="str">
        <f>IFERROR(__xludf.DUMMYFUNCTION("""COMPUTED_VALUE"""),"lux")</f>
        <v>lux</v>
      </c>
      <c r="C9309" t="str">
        <f>IFERROR(__xludf.DUMMYFUNCTION("""COMPUTED_VALUE"""),"Luxembourg")</f>
        <v>Luxembourg</v>
      </c>
      <c r="D9309">
        <f>IFERROR(__xludf.DUMMYFUNCTION("""COMPUTED_VALUE"""),1973.0)</f>
        <v>1973</v>
      </c>
      <c r="E9309">
        <f>IFERROR(__xludf.DUMMYFUNCTION("""COMPUTED_VALUE"""),348173.0)</f>
        <v>348173</v>
      </c>
    </row>
    <row r="9310">
      <c r="A9310" t="str">
        <f t="shared" si="1"/>
        <v>lux#1974</v>
      </c>
      <c r="B9310" t="str">
        <f>IFERROR(__xludf.DUMMYFUNCTION("""COMPUTED_VALUE"""),"lux")</f>
        <v>lux</v>
      </c>
      <c r="C9310" t="str">
        <f>IFERROR(__xludf.DUMMYFUNCTION("""COMPUTED_VALUE"""),"Luxembourg")</f>
        <v>Luxembourg</v>
      </c>
      <c r="D9310">
        <f>IFERROR(__xludf.DUMMYFUNCTION("""COMPUTED_VALUE"""),1974.0)</f>
        <v>1974</v>
      </c>
      <c r="E9310">
        <f>IFERROR(__xludf.DUMMYFUNCTION("""COMPUTED_VALUE"""),351189.0)</f>
        <v>351189</v>
      </c>
    </row>
    <row r="9311">
      <c r="A9311" t="str">
        <f t="shared" si="1"/>
        <v>lux#1975</v>
      </c>
      <c r="B9311" t="str">
        <f>IFERROR(__xludf.DUMMYFUNCTION("""COMPUTED_VALUE"""),"lux")</f>
        <v>lux</v>
      </c>
      <c r="C9311" t="str">
        <f>IFERROR(__xludf.DUMMYFUNCTION("""COMPUTED_VALUE"""),"Luxembourg")</f>
        <v>Luxembourg</v>
      </c>
      <c r="D9311">
        <f>IFERROR(__xludf.DUMMYFUNCTION("""COMPUTED_VALUE"""),1975.0)</f>
        <v>1975</v>
      </c>
      <c r="E9311">
        <f>IFERROR(__xludf.DUMMYFUNCTION("""COMPUTED_VALUE"""),353983.0)</f>
        <v>353983</v>
      </c>
    </row>
    <row r="9312">
      <c r="A9312" t="str">
        <f t="shared" si="1"/>
        <v>lux#1976</v>
      </c>
      <c r="B9312" t="str">
        <f>IFERROR(__xludf.DUMMYFUNCTION("""COMPUTED_VALUE"""),"lux")</f>
        <v>lux</v>
      </c>
      <c r="C9312" t="str">
        <f>IFERROR(__xludf.DUMMYFUNCTION("""COMPUTED_VALUE"""),"Luxembourg")</f>
        <v>Luxembourg</v>
      </c>
      <c r="D9312">
        <f>IFERROR(__xludf.DUMMYFUNCTION("""COMPUTED_VALUE"""),1976.0)</f>
        <v>1976</v>
      </c>
      <c r="E9312">
        <f>IFERROR(__xludf.DUMMYFUNCTION("""COMPUTED_VALUE"""),356564.0)</f>
        <v>356564</v>
      </c>
    </row>
    <row r="9313">
      <c r="A9313" t="str">
        <f t="shared" si="1"/>
        <v>lux#1977</v>
      </c>
      <c r="B9313" t="str">
        <f>IFERROR(__xludf.DUMMYFUNCTION("""COMPUTED_VALUE"""),"lux")</f>
        <v>lux</v>
      </c>
      <c r="C9313" t="str">
        <f>IFERROR(__xludf.DUMMYFUNCTION("""COMPUTED_VALUE"""),"Luxembourg")</f>
        <v>Luxembourg</v>
      </c>
      <c r="D9313">
        <f>IFERROR(__xludf.DUMMYFUNCTION("""COMPUTED_VALUE"""),1977.0)</f>
        <v>1977</v>
      </c>
      <c r="E9313">
        <f>IFERROR(__xludf.DUMMYFUNCTION("""COMPUTED_VALUE"""),358968.0)</f>
        <v>358968</v>
      </c>
    </row>
    <row r="9314">
      <c r="A9314" t="str">
        <f t="shared" si="1"/>
        <v>lux#1978</v>
      </c>
      <c r="B9314" t="str">
        <f>IFERROR(__xludf.DUMMYFUNCTION("""COMPUTED_VALUE"""),"lux")</f>
        <v>lux</v>
      </c>
      <c r="C9314" t="str">
        <f>IFERROR(__xludf.DUMMYFUNCTION("""COMPUTED_VALUE"""),"Luxembourg")</f>
        <v>Luxembourg</v>
      </c>
      <c r="D9314">
        <f>IFERROR(__xludf.DUMMYFUNCTION("""COMPUTED_VALUE"""),1978.0)</f>
        <v>1978</v>
      </c>
      <c r="E9314">
        <f>IFERROR(__xludf.DUMMYFUNCTION("""COMPUTED_VALUE"""),361073.0)</f>
        <v>361073</v>
      </c>
    </row>
    <row r="9315">
      <c r="A9315" t="str">
        <f t="shared" si="1"/>
        <v>lux#1979</v>
      </c>
      <c r="B9315" t="str">
        <f>IFERROR(__xludf.DUMMYFUNCTION("""COMPUTED_VALUE"""),"lux")</f>
        <v>lux</v>
      </c>
      <c r="C9315" t="str">
        <f>IFERROR(__xludf.DUMMYFUNCTION("""COMPUTED_VALUE"""),"Luxembourg")</f>
        <v>Luxembourg</v>
      </c>
      <c r="D9315">
        <f>IFERROR(__xludf.DUMMYFUNCTION("""COMPUTED_VALUE"""),1979.0)</f>
        <v>1979</v>
      </c>
      <c r="E9315">
        <f>IFERROR(__xludf.DUMMYFUNCTION("""COMPUTED_VALUE"""),362789.0)</f>
        <v>362789</v>
      </c>
    </row>
    <row r="9316">
      <c r="A9316" t="str">
        <f t="shared" si="1"/>
        <v>lux#1980</v>
      </c>
      <c r="B9316" t="str">
        <f>IFERROR(__xludf.DUMMYFUNCTION("""COMPUTED_VALUE"""),"lux")</f>
        <v>lux</v>
      </c>
      <c r="C9316" t="str">
        <f>IFERROR(__xludf.DUMMYFUNCTION("""COMPUTED_VALUE"""),"Luxembourg")</f>
        <v>Luxembourg</v>
      </c>
      <c r="D9316">
        <f>IFERROR(__xludf.DUMMYFUNCTION("""COMPUTED_VALUE"""),1980.0)</f>
        <v>1980</v>
      </c>
      <c r="E9316">
        <f>IFERROR(__xludf.DUMMYFUNCTION("""COMPUTED_VALUE"""),364038.0)</f>
        <v>364038</v>
      </c>
    </row>
    <row r="9317">
      <c r="A9317" t="str">
        <f t="shared" si="1"/>
        <v>lux#1981</v>
      </c>
      <c r="B9317" t="str">
        <f>IFERROR(__xludf.DUMMYFUNCTION("""COMPUTED_VALUE"""),"lux")</f>
        <v>lux</v>
      </c>
      <c r="C9317" t="str">
        <f>IFERROR(__xludf.DUMMYFUNCTION("""COMPUTED_VALUE"""),"Luxembourg")</f>
        <v>Luxembourg</v>
      </c>
      <c r="D9317">
        <f>IFERROR(__xludf.DUMMYFUNCTION("""COMPUTED_VALUE"""),1981.0)</f>
        <v>1981</v>
      </c>
      <c r="E9317">
        <f>IFERROR(__xludf.DUMMYFUNCTION("""COMPUTED_VALUE"""),364781.0)</f>
        <v>364781</v>
      </c>
    </row>
    <row r="9318">
      <c r="A9318" t="str">
        <f t="shared" si="1"/>
        <v>lux#1982</v>
      </c>
      <c r="B9318" t="str">
        <f>IFERROR(__xludf.DUMMYFUNCTION("""COMPUTED_VALUE"""),"lux")</f>
        <v>lux</v>
      </c>
      <c r="C9318" t="str">
        <f>IFERROR(__xludf.DUMMYFUNCTION("""COMPUTED_VALUE"""),"Luxembourg")</f>
        <v>Luxembourg</v>
      </c>
      <c r="D9318">
        <f>IFERROR(__xludf.DUMMYFUNCTION("""COMPUTED_VALUE"""),1982.0)</f>
        <v>1982</v>
      </c>
      <c r="E9318">
        <f>IFERROR(__xludf.DUMMYFUNCTION("""COMPUTED_VALUE"""),365098.0)</f>
        <v>365098</v>
      </c>
    </row>
    <row r="9319">
      <c r="A9319" t="str">
        <f t="shared" si="1"/>
        <v>lux#1983</v>
      </c>
      <c r="B9319" t="str">
        <f>IFERROR(__xludf.DUMMYFUNCTION("""COMPUTED_VALUE"""),"lux")</f>
        <v>lux</v>
      </c>
      <c r="C9319" t="str">
        <f>IFERROR(__xludf.DUMMYFUNCTION("""COMPUTED_VALUE"""),"Luxembourg")</f>
        <v>Luxembourg</v>
      </c>
      <c r="D9319">
        <f>IFERROR(__xludf.DUMMYFUNCTION("""COMPUTED_VALUE"""),1983.0)</f>
        <v>1983</v>
      </c>
      <c r="E9319">
        <f>IFERROR(__xludf.DUMMYFUNCTION("""COMPUTED_VALUE"""),365305.0)</f>
        <v>365305</v>
      </c>
    </row>
    <row r="9320">
      <c r="A9320" t="str">
        <f t="shared" si="1"/>
        <v>lux#1984</v>
      </c>
      <c r="B9320" t="str">
        <f>IFERROR(__xludf.DUMMYFUNCTION("""COMPUTED_VALUE"""),"lux")</f>
        <v>lux</v>
      </c>
      <c r="C9320" t="str">
        <f>IFERROR(__xludf.DUMMYFUNCTION("""COMPUTED_VALUE"""),"Luxembourg")</f>
        <v>Luxembourg</v>
      </c>
      <c r="D9320">
        <f>IFERROR(__xludf.DUMMYFUNCTION("""COMPUTED_VALUE"""),1984.0)</f>
        <v>1984</v>
      </c>
      <c r="E9320">
        <f>IFERROR(__xludf.DUMMYFUNCTION("""COMPUTED_VALUE"""),365795.0)</f>
        <v>365795</v>
      </c>
    </row>
    <row r="9321">
      <c r="A9321" t="str">
        <f t="shared" si="1"/>
        <v>lux#1985</v>
      </c>
      <c r="B9321" t="str">
        <f>IFERROR(__xludf.DUMMYFUNCTION("""COMPUTED_VALUE"""),"lux")</f>
        <v>lux</v>
      </c>
      <c r="C9321" t="str">
        <f>IFERROR(__xludf.DUMMYFUNCTION("""COMPUTED_VALUE"""),"Luxembourg")</f>
        <v>Luxembourg</v>
      </c>
      <c r="D9321">
        <f>IFERROR(__xludf.DUMMYFUNCTION("""COMPUTED_VALUE"""),1985.0)</f>
        <v>1985</v>
      </c>
      <c r="E9321">
        <f>IFERROR(__xludf.DUMMYFUNCTION("""COMPUTED_VALUE"""),366884.0)</f>
        <v>366884</v>
      </c>
    </row>
    <row r="9322">
      <c r="A9322" t="str">
        <f t="shared" si="1"/>
        <v>lux#1986</v>
      </c>
      <c r="B9322" t="str">
        <f>IFERROR(__xludf.DUMMYFUNCTION("""COMPUTED_VALUE"""),"lux")</f>
        <v>lux</v>
      </c>
      <c r="C9322" t="str">
        <f>IFERROR(__xludf.DUMMYFUNCTION("""COMPUTED_VALUE"""),"Luxembourg")</f>
        <v>Luxembourg</v>
      </c>
      <c r="D9322">
        <f>IFERROR(__xludf.DUMMYFUNCTION("""COMPUTED_VALUE"""),1986.0)</f>
        <v>1986</v>
      </c>
      <c r="E9322">
        <f>IFERROR(__xludf.DUMMYFUNCTION("""COMPUTED_VALUE"""),368666.0)</f>
        <v>368666</v>
      </c>
    </row>
    <row r="9323">
      <c r="A9323" t="str">
        <f t="shared" si="1"/>
        <v>lux#1987</v>
      </c>
      <c r="B9323" t="str">
        <f>IFERROR(__xludf.DUMMYFUNCTION("""COMPUTED_VALUE"""),"lux")</f>
        <v>lux</v>
      </c>
      <c r="C9323" t="str">
        <f>IFERROR(__xludf.DUMMYFUNCTION("""COMPUTED_VALUE"""),"Luxembourg")</f>
        <v>Luxembourg</v>
      </c>
      <c r="D9323">
        <f>IFERROR(__xludf.DUMMYFUNCTION("""COMPUTED_VALUE"""),1987.0)</f>
        <v>1987</v>
      </c>
      <c r="E9323">
        <f>IFERROR(__xludf.DUMMYFUNCTION("""COMPUTED_VALUE"""),371078.0)</f>
        <v>371078</v>
      </c>
    </row>
    <row r="9324">
      <c r="A9324" t="str">
        <f t="shared" si="1"/>
        <v>lux#1988</v>
      </c>
      <c r="B9324" t="str">
        <f>IFERROR(__xludf.DUMMYFUNCTION("""COMPUTED_VALUE"""),"lux")</f>
        <v>lux</v>
      </c>
      <c r="C9324" t="str">
        <f>IFERROR(__xludf.DUMMYFUNCTION("""COMPUTED_VALUE"""),"Luxembourg")</f>
        <v>Luxembourg</v>
      </c>
      <c r="D9324">
        <f>IFERROR(__xludf.DUMMYFUNCTION("""COMPUTED_VALUE"""),1988.0)</f>
        <v>1988</v>
      </c>
      <c r="E9324">
        <f>IFERROR(__xludf.DUMMYFUNCTION("""COMPUTED_VALUE"""),374118.0)</f>
        <v>374118</v>
      </c>
    </row>
    <row r="9325">
      <c r="A9325" t="str">
        <f t="shared" si="1"/>
        <v>lux#1989</v>
      </c>
      <c r="B9325" t="str">
        <f>IFERROR(__xludf.DUMMYFUNCTION("""COMPUTED_VALUE"""),"lux")</f>
        <v>lux</v>
      </c>
      <c r="C9325" t="str">
        <f>IFERROR(__xludf.DUMMYFUNCTION("""COMPUTED_VALUE"""),"Luxembourg")</f>
        <v>Luxembourg</v>
      </c>
      <c r="D9325">
        <f>IFERROR(__xludf.DUMMYFUNCTION("""COMPUTED_VALUE"""),1989.0)</f>
        <v>1989</v>
      </c>
      <c r="E9325">
        <f>IFERROR(__xludf.DUMMYFUNCTION("""COMPUTED_VALUE"""),377706.0)</f>
        <v>377706</v>
      </c>
    </row>
    <row r="9326">
      <c r="A9326" t="str">
        <f t="shared" si="1"/>
        <v>lux#1990</v>
      </c>
      <c r="B9326" t="str">
        <f>IFERROR(__xludf.DUMMYFUNCTION("""COMPUTED_VALUE"""),"lux")</f>
        <v>lux</v>
      </c>
      <c r="C9326" t="str">
        <f>IFERROR(__xludf.DUMMYFUNCTION("""COMPUTED_VALUE"""),"Luxembourg")</f>
        <v>Luxembourg</v>
      </c>
      <c r="D9326">
        <f>IFERROR(__xludf.DUMMYFUNCTION("""COMPUTED_VALUE"""),1990.0)</f>
        <v>1990</v>
      </c>
      <c r="E9326">
        <f>IFERROR(__xludf.DUMMYFUNCTION("""COMPUTED_VALUE"""),381791.0)</f>
        <v>381791</v>
      </c>
    </row>
    <row r="9327">
      <c r="A9327" t="str">
        <f t="shared" si="1"/>
        <v>lux#1991</v>
      </c>
      <c r="B9327" t="str">
        <f>IFERROR(__xludf.DUMMYFUNCTION("""COMPUTED_VALUE"""),"lux")</f>
        <v>lux</v>
      </c>
      <c r="C9327" t="str">
        <f>IFERROR(__xludf.DUMMYFUNCTION("""COMPUTED_VALUE"""),"Luxembourg")</f>
        <v>Luxembourg</v>
      </c>
      <c r="D9327">
        <f>IFERROR(__xludf.DUMMYFUNCTION("""COMPUTED_VALUE"""),1991.0)</f>
        <v>1991</v>
      </c>
      <c r="E9327">
        <f>IFERROR(__xludf.DUMMYFUNCTION("""COMPUTED_VALUE"""),386352.0)</f>
        <v>386352</v>
      </c>
    </row>
    <row r="9328">
      <c r="A9328" t="str">
        <f t="shared" si="1"/>
        <v>lux#1992</v>
      </c>
      <c r="B9328" t="str">
        <f>IFERROR(__xludf.DUMMYFUNCTION("""COMPUTED_VALUE"""),"lux")</f>
        <v>lux</v>
      </c>
      <c r="C9328" t="str">
        <f>IFERROR(__xludf.DUMMYFUNCTION("""COMPUTED_VALUE"""),"Luxembourg")</f>
        <v>Luxembourg</v>
      </c>
      <c r="D9328">
        <f>IFERROR(__xludf.DUMMYFUNCTION("""COMPUTED_VALUE"""),1992.0)</f>
        <v>1992</v>
      </c>
      <c r="E9328">
        <f>IFERROR(__xludf.DUMMYFUNCTION("""COMPUTED_VALUE"""),391394.0)</f>
        <v>391394</v>
      </c>
    </row>
    <row r="9329">
      <c r="A9329" t="str">
        <f t="shared" si="1"/>
        <v>lux#1993</v>
      </c>
      <c r="B9329" t="str">
        <f>IFERROR(__xludf.DUMMYFUNCTION("""COMPUTED_VALUE"""),"lux")</f>
        <v>lux</v>
      </c>
      <c r="C9329" t="str">
        <f>IFERROR(__xludf.DUMMYFUNCTION("""COMPUTED_VALUE"""),"Luxembourg")</f>
        <v>Luxembourg</v>
      </c>
      <c r="D9329">
        <f>IFERROR(__xludf.DUMMYFUNCTION("""COMPUTED_VALUE"""),1993.0)</f>
        <v>1993</v>
      </c>
      <c r="E9329">
        <f>IFERROR(__xludf.DUMMYFUNCTION("""COMPUTED_VALUE"""),396810.0)</f>
        <v>396810</v>
      </c>
    </row>
    <row r="9330">
      <c r="A9330" t="str">
        <f t="shared" si="1"/>
        <v>lux#1994</v>
      </c>
      <c r="B9330" t="str">
        <f>IFERROR(__xludf.DUMMYFUNCTION("""COMPUTED_VALUE"""),"lux")</f>
        <v>lux</v>
      </c>
      <c r="C9330" t="str">
        <f>IFERROR(__xludf.DUMMYFUNCTION("""COMPUTED_VALUE"""),"Luxembourg")</f>
        <v>Luxembourg</v>
      </c>
      <c r="D9330">
        <f>IFERROR(__xludf.DUMMYFUNCTION("""COMPUTED_VALUE"""),1994.0)</f>
        <v>1994</v>
      </c>
      <c r="E9330">
        <f>IFERROR(__xludf.DUMMYFUNCTION("""COMPUTED_VALUE"""),402433.0)</f>
        <v>402433</v>
      </c>
    </row>
    <row r="9331">
      <c r="A9331" t="str">
        <f t="shared" si="1"/>
        <v>lux#1995</v>
      </c>
      <c r="B9331" t="str">
        <f>IFERROR(__xludf.DUMMYFUNCTION("""COMPUTED_VALUE"""),"lux")</f>
        <v>lux</v>
      </c>
      <c r="C9331" t="str">
        <f>IFERROR(__xludf.DUMMYFUNCTION("""COMPUTED_VALUE"""),"Luxembourg")</f>
        <v>Luxembourg</v>
      </c>
      <c r="D9331">
        <f>IFERROR(__xludf.DUMMYFUNCTION("""COMPUTED_VALUE"""),1995.0)</f>
        <v>1995</v>
      </c>
      <c r="E9331">
        <f>IFERROR(__xludf.DUMMYFUNCTION("""COMPUTED_VALUE"""),408149.0)</f>
        <v>408149</v>
      </c>
    </row>
    <row r="9332">
      <c r="A9332" t="str">
        <f t="shared" si="1"/>
        <v>lux#1996</v>
      </c>
      <c r="B9332" t="str">
        <f>IFERROR(__xludf.DUMMYFUNCTION("""COMPUTED_VALUE"""),"lux")</f>
        <v>lux</v>
      </c>
      <c r="C9332" t="str">
        <f>IFERROR(__xludf.DUMMYFUNCTION("""COMPUTED_VALUE"""),"Luxembourg")</f>
        <v>Luxembourg</v>
      </c>
      <c r="D9332">
        <f>IFERROR(__xludf.DUMMYFUNCTION("""COMPUTED_VALUE"""),1996.0)</f>
        <v>1996</v>
      </c>
      <c r="E9332">
        <f>IFERROR(__xludf.DUMMYFUNCTION("""COMPUTED_VALUE"""),413999.0)</f>
        <v>413999</v>
      </c>
    </row>
    <row r="9333">
      <c r="A9333" t="str">
        <f t="shared" si="1"/>
        <v>lux#1997</v>
      </c>
      <c r="B9333" t="str">
        <f>IFERROR(__xludf.DUMMYFUNCTION("""COMPUTED_VALUE"""),"lux")</f>
        <v>lux</v>
      </c>
      <c r="C9333" t="str">
        <f>IFERROR(__xludf.DUMMYFUNCTION("""COMPUTED_VALUE"""),"Luxembourg")</f>
        <v>Luxembourg</v>
      </c>
      <c r="D9333">
        <f>IFERROR(__xludf.DUMMYFUNCTION("""COMPUTED_VALUE"""),1997.0)</f>
        <v>1997</v>
      </c>
      <c r="E9333">
        <f>IFERROR(__xludf.DUMMYFUNCTION("""COMPUTED_VALUE"""),419974.0)</f>
        <v>419974</v>
      </c>
    </row>
    <row r="9334">
      <c r="A9334" t="str">
        <f t="shared" si="1"/>
        <v>lux#1998</v>
      </c>
      <c r="B9334" t="str">
        <f>IFERROR(__xludf.DUMMYFUNCTION("""COMPUTED_VALUE"""),"lux")</f>
        <v>lux</v>
      </c>
      <c r="C9334" t="str">
        <f>IFERROR(__xludf.DUMMYFUNCTION("""COMPUTED_VALUE"""),"Luxembourg")</f>
        <v>Luxembourg</v>
      </c>
      <c r="D9334">
        <f>IFERROR(__xludf.DUMMYFUNCTION("""COMPUTED_VALUE"""),1998.0)</f>
        <v>1998</v>
      </c>
      <c r="E9334">
        <f>IFERROR(__xludf.DUMMYFUNCTION("""COMPUTED_VALUE"""),425833.0)</f>
        <v>425833</v>
      </c>
    </row>
    <row r="9335">
      <c r="A9335" t="str">
        <f t="shared" si="1"/>
        <v>lux#1999</v>
      </c>
      <c r="B9335" t="str">
        <f>IFERROR(__xludf.DUMMYFUNCTION("""COMPUTED_VALUE"""),"lux")</f>
        <v>lux</v>
      </c>
      <c r="C9335" t="str">
        <f>IFERROR(__xludf.DUMMYFUNCTION("""COMPUTED_VALUE"""),"Luxembourg")</f>
        <v>Luxembourg</v>
      </c>
      <c r="D9335">
        <f>IFERROR(__xludf.DUMMYFUNCTION("""COMPUTED_VALUE"""),1999.0)</f>
        <v>1999</v>
      </c>
      <c r="E9335">
        <f>IFERROR(__xludf.DUMMYFUNCTION("""COMPUTED_VALUE"""),431262.0)</f>
        <v>431262</v>
      </c>
    </row>
    <row r="9336">
      <c r="A9336" t="str">
        <f t="shared" si="1"/>
        <v>lux#2000</v>
      </c>
      <c r="B9336" t="str">
        <f>IFERROR(__xludf.DUMMYFUNCTION("""COMPUTED_VALUE"""),"lux")</f>
        <v>lux</v>
      </c>
      <c r="C9336" t="str">
        <f>IFERROR(__xludf.DUMMYFUNCTION("""COMPUTED_VALUE"""),"Luxembourg")</f>
        <v>Luxembourg</v>
      </c>
      <c r="D9336">
        <f>IFERROR(__xludf.DUMMYFUNCTION("""COMPUTED_VALUE"""),2000.0)</f>
        <v>2000</v>
      </c>
      <c r="E9336">
        <f>IFERROR(__xludf.DUMMYFUNCTION("""COMPUTED_VALUE"""),436103.0)</f>
        <v>436103</v>
      </c>
    </row>
    <row r="9337">
      <c r="A9337" t="str">
        <f t="shared" si="1"/>
        <v>lux#2001</v>
      </c>
      <c r="B9337" t="str">
        <f>IFERROR(__xludf.DUMMYFUNCTION("""COMPUTED_VALUE"""),"lux")</f>
        <v>lux</v>
      </c>
      <c r="C9337" t="str">
        <f>IFERROR(__xludf.DUMMYFUNCTION("""COMPUTED_VALUE"""),"Luxembourg")</f>
        <v>Luxembourg</v>
      </c>
      <c r="D9337">
        <f>IFERROR(__xludf.DUMMYFUNCTION("""COMPUTED_VALUE"""),2001.0)</f>
        <v>2001</v>
      </c>
      <c r="E9337">
        <f>IFERROR(__xludf.DUMMYFUNCTION("""COMPUTED_VALUE"""),440198.0)</f>
        <v>440198</v>
      </c>
    </row>
    <row r="9338">
      <c r="A9338" t="str">
        <f t="shared" si="1"/>
        <v>lux#2002</v>
      </c>
      <c r="B9338" t="str">
        <f>IFERROR(__xludf.DUMMYFUNCTION("""COMPUTED_VALUE"""),"lux")</f>
        <v>lux</v>
      </c>
      <c r="C9338" t="str">
        <f>IFERROR(__xludf.DUMMYFUNCTION("""COMPUTED_VALUE"""),"Luxembourg")</f>
        <v>Luxembourg</v>
      </c>
      <c r="D9338">
        <f>IFERROR(__xludf.DUMMYFUNCTION("""COMPUTED_VALUE"""),2002.0)</f>
        <v>2002</v>
      </c>
      <c r="E9338">
        <f>IFERROR(__xludf.DUMMYFUNCTION("""COMPUTED_VALUE"""),443726.0)</f>
        <v>443726</v>
      </c>
    </row>
    <row r="9339">
      <c r="A9339" t="str">
        <f t="shared" si="1"/>
        <v>lux#2003</v>
      </c>
      <c r="B9339" t="str">
        <f>IFERROR(__xludf.DUMMYFUNCTION("""COMPUTED_VALUE"""),"lux")</f>
        <v>lux</v>
      </c>
      <c r="C9339" t="str">
        <f>IFERROR(__xludf.DUMMYFUNCTION("""COMPUTED_VALUE"""),"Luxembourg")</f>
        <v>Luxembourg</v>
      </c>
      <c r="D9339">
        <f>IFERROR(__xludf.DUMMYFUNCTION("""COMPUTED_VALUE"""),2003.0)</f>
        <v>2003</v>
      </c>
      <c r="E9339">
        <f>IFERROR(__xludf.DUMMYFUNCTION("""COMPUTED_VALUE"""),447322.0)</f>
        <v>447322</v>
      </c>
    </row>
    <row r="9340">
      <c r="A9340" t="str">
        <f t="shared" si="1"/>
        <v>lux#2004</v>
      </c>
      <c r="B9340" t="str">
        <f>IFERROR(__xludf.DUMMYFUNCTION("""COMPUTED_VALUE"""),"lux")</f>
        <v>lux</v>
      </c>
      <c r="C9340" t="str">
        <f>IFERROR(__xludf.DUMMYFUNCTION("""COMPUTED_VALUE"""),"Luxembourg")</f>
        <v>Luxembourg</v>
      </c>
      <c r="D9340">
        <f>IFERROR(__xludf.DUMMYFUNCTION("""COMPUTED_VALUE"""),2004.0)</f>
        <v>2004</v>
      </c>
      <c r="E9340">
        <f>IFERROR(__xludf.DUMMYFUNCTION("""COMPUTED_VALUE"""),451819.0)</f>
        <v>451819</v>
      </c>
    </row>
    <row r="9341">
      <c r="A9341" t="str">
        <f t="shared" si="1"/>
        <v>lux#2005</v>
      </c>
      <c r="B9341" t="str">
        <f>IFERROR(__xludf.DUMMYFUNCTION("""COMPUTED_VALUE"""),"lux")</f>
        <v>lux</v>
      </c>
      <c r="C9341" t="str">
        <f>IFERROR(__xludf.DUMMYFUNCTION("""COMPUTED_VALUE"""),"Luxembourg")</f>
        <v>Luxembourg</v>
      </c>
      <c r="D9341">
        <f>IFERROR(__xludf.DUMMYFUNCTION("""COMPUTED_VALUE"""),2005.0)</f>
        <v>2005</v>
      </c>
      <c r="E9341">
        <f>IFERROR(__xludf.DUMMYFUNCTION("""COMPUTED_VALUE"""),457842.0)</f>
        <v>457842</v>
      </c>
    </row>
    <row r="9342">
      <c r="A9342" t="str">
        <f t="shared" si="1"/>
        <v>lux#2006</v>
      </c>
      <c r="B9342" t="str">
        <f>IFERROR(__xludf.DUMMYFUNCTION("""COMPUTED_VALUE"""),"lux")</f>
        <v>lux</v>
      </c>
      <c r="C9342" t="str">
        <f>IFERROR(__xludf.DUMMYFUNCTION("""COMPUTED_VALUE"""),"Luxembourg")</f>
        <v>Luxembourg</v>
      </c>
      <c r="D9342">
        <f>IFERROR(__xludf.DUMMYFUNCTION("""COMPUTED_VALUE"""),2006.0)</f>
        <v>2006</v>
      </c>
      <c r="E9342">
        <f>IFERROR(__xludf.DUMMYFUNCTION("""COMPUTED_VALUE"""),465554.0)</f>
        <v>465554</v>
      </c>
    </row>
    <row r="9343">
      <c r="A9343" t="str">
        <f t="shared" si="1"/>
        <v>lux#2007</v>
      </c>
      <c r="B9343" t="str">
        <f>IFERROR(__xludf.DUMMYFUNCTION("""COMPUTED_VALUE"""),"lux")</f>
        <v>lux</v>
      </c>
      <c r="C9343" t="str">
        <f>IFERROR(__xludf.DUMMYFUNCTION("""COMPUTED_VALUE"""),"Luxembourg")</f>
        <v>Luxembourg</v>
      </c>
      <c r="D9343">
        <f>IFERROR(__xludf.DUMMYFUNCTION("""COMPUTED_VALUE"""),2007.0)</f>
        <v>2007</v>
      </c>
      <c r="E9343">
        <f>IFERROR(__xludf.DUMMYFUNCTION("""COMPUTED_VALUE"""),474722.0)</f>
        <v>474722</v>
      </c>
    </row>
    <row r="9344">
      <c r="A9344" t="str">
        <f t="shared" si="1"/>
        <v>lux#2008</v>
      </c>
      <c r="B9344" t="str">
        <f>IFERROR(__xludf.DUMMYFUNCTION("""COMPUTED_VALUE"""),"lux")</f>
        <v>lux</v>
      </c>
      <c r="C9344" t="str">
        <f>IFERROR(__xludf.DUMMYFUNCTION("""COMPUTED_VALUE"""),"Luxembourg")</f>
        <v>Luxembourg</v>
      </c>
      <c r="D9344">
        <f>IFERROR(__xludf.DUMMYFUNCTION("""COMPUTED_VALUE"""),2008.0)</f>
        <v>2008</v>
      </c>
      <c r="E9344">
        <f>IFERROR(__xludf.DUMMYFUNCTION("""COMPUTED_VALUE"""),485105.0)</f>
        <v>485105</v>
      </c>
    </row>
    <row r="9345">
      <c r="A9345" t="str">
        <f t="shared" si="1"/>
        <v>lux#2009</v>
      </c>
      <c r="B9345" t="str">
        <f>IFERROR(__xludf.DUMMYFUNCTION("""COMPUTED_VALUE"""),"lux")</f>
        <v>lux</v>
      </c>
      <c r="C9345" t="str">
        <f>IFERROR(__xludf.DUMMYFUNCTION("""COMPUTED_VALUE"""),"Luxembourg")</f>
        <v>Luxembourg</v>
      </c>
      <c r="D9345">
        <f>IFERROR(__xludf.DUMMYFUNCTION("""COMPUTED_VALUE"""),2009.0)</f>
        <v>2009</v>
      </c>
      <c r="E9345">
        <f>IFERROR(__xludf.DUMMYFUNCTION("""COMPUTED_VALUE"""),496279.0)</f>
        <v>496279</v>
      </c>
    </row>
    <row r="9346">
      <c r="A9346" t="str">
        <f t="shared" si="1"/>
        <v>lux#2010</v>
      </c>
      <c r="B9346" t="str">
        <f>IFERROR(__xludf.DUMMYFUNCTION("""COMPUTED_VALUE"""),"lux")</f>
        <v>lux</v>
      </c>
      <c r="C9346" t="str">
        <f>IFERROR(__xludf.DUMMYFUNCTION("""COMPUTED_VALUE"""),"Luxembourg")</f>
        <v>Luxembourg</v>
      </c>
      <c r="D9346">
        <f>IFERROR(__xludf.DUMMYFUNCTION("""COMPUTED_VALUE"""),2010.0)</f>
        <v>2010</v>
      </c>
      <c r="E9346">
        <f>IFERROR(__xludf.DUMMYFUNCTION("""COMPUTED_VALUE"""),507889.0)</f>
        <v>507889</v>
      </c>
    </row>
    <row r="9347">
      <c r="A9347" t="str">
        <f t="shared" si="1"/>
        <v>lux#2011</v>
      </c>
      <c r="B9347" t="str">
        <f>IFERROR(__xludf.DUMMYFUNCTION("""COMPUTED_VALUE"""),"lux")</f>
        <v>lux</v>
      </c>
      <c r="C9347" t="str">
        <f>IFERROR(__xludf.DUMMYFUNCTION("""COMPUTED_VALUE"""),"Luxembourg")</f>
        <v>Luxembourg</v>
      </c>
      <c r="D9347">
        <f>IFERROR(__xludf.DUMMYFUNCTION("""COMPUTED_VALUE"""),2011.0)</f>
        <v>2011</v>
      </c>
      <c r="E9347">
        <f>IFERROR(__xludf.DUMMYFUNCTION("""COMPUTED_VALUE"""),519941.0)</f>
        <v>519941</v>
      </c>
    </row>
    <row r="9348">
      <c r="A9348" t="str">
        <f t="shared" si="1"/>
        <v>lux#2012</v>
      </c>
      <c r="B9348" t="str">
        <f>IFERROR(__xludf.DUMMYFUNCTION("""COMPUTED_VALUE"""),"lux")</f>
        <v>lux</v>
      </c>
      <c r="C9348" t="str">
        <f>IFERROR(__xludf.DUMMYFUNCTION("""COMPUTED_VALUE"""),"Luxembourg")</f>
        <v>Luxembourg</v>
      </c>
      <c r="D9348">
        <f>IFERROR(__xludf.DUMMYFUNCTION("""COMPUTED_VALUE"""),2012.0)</f>
        <v>2012</v>
      </c>
      <c r="E9348">
        <f>IFERROR(__xludf.DUMMYFUNCTION("""COMPUTED_VALUE"""),532387.0)</f>
        <v>532387</v>
      </c>
    </row>
    <row r="9349">
      <c r="A9349" t="str">
        <f t="shared" si="1"/>
        <v>lux#2013</v>
      </c>
      <c r="B9349" t="str">
        <f>IFERROR(__xludf.DUMMYFUNCTION("""COMPUTED_VALUE"""),"lux")</f>
        <v>lux</v>
      </c>
      <c r="C9349" t="str">
        <f>IFERROR(__xludf.DUMMYFUNCTION("""COMPUTED_VALUE"""),"Luxembourg")</f>
        <v>Luxembourg</v>
      </c>
      <c r="D9349">
        <f>IFERROR(__xludf.DUMMYFUNCTION("""COMPUTED_VALUE"""),2013.0)</f>
        <v>2013</v>
      </c>
      <c r="E9349">
        <f>IFERROR(__xludf.DUMMYFUNCTION("""COMPUTED_VALUE"""),544721.0)</f>
        <v>544721</v>
      </c>
    </row>
    <row r="9350">
      <c r="A9350" t="str">
        <f t="shared" si="1"/>
        <v>lux#2014</v>
      </c>
      <c r="B9350" t="str">
        <f>IFERROR(__xludf.DUMMYFUNCTION("""COMPUTED_VALUE"""),"lux")</f>
        <v>lux</v>
      </c>
      <c r="C9350" t="str">
        <f>IFERROR(__xludf.DUMMYFUNCTION("""COMPUTED_VALUE"""),"Luxembourg")</f>
        <v>Luxembourg</v>
      </c>
      <c r="D9350">
        <f>IFERROR(__xludf.DUMMYFUNCTION("""COMPUTED_VALUE"""),2014.0)</f>
        <v>2014</v>
      </c>
      <c r="E9350">
        <f>IFERROR(__xludf.DUMMYFUNCTION("""COMPUTED_VALUE"""),556316.0)</f>
        <v>556316</v>
      </c>
    </row>
    <row r="9351">
      <c r="A9351" t="str">
        <f t="shared" si="1"/>
        <v>lux#2015</v>
      </c>
      <c r="B9351" t="str">
        <f>IFERROR(__xludf.DUMMYFUNCTION("""COMPUTED_VALUE"""),"lux")</f>
        <v>lux</v>
      </c>
      <c r="C9351" t="str">
        <f>IFERROR(__xludf.DUMMYFUNCTION("""COMPUTED_VALUE"""),"Luxembourg")</f>
        <v>Luxembourg</v>
      </c>
      <c r="D9351">
        <f>IFERROR(__xludf.DUMMYFUNCTION("""COMPUTED_VALUE"""),2015.0)</f>
        <v>2015</v>
      </c>
      <c r="E9351">
        <f>IFERROR(__xludf.DUMMYFUNCTION("""COMPUTED_VALUE"""),566741.0)</f>
        <v>566741</v>
      </c>
    </row>
    <row r="9352">
      <c r="A9352" t="str">
        <f t="shared" si="1"/>
        <v>lux#2016</v>
      </c>
      <c r="B9352" t="str">
        <f>IFERROR(__xludf.DUMMYFUNCTION("""COMPUTED_VALUE"""),"lux")</f>
        <v>lux</v>
      </c>
      <c r="C9352" t="str">
        <f>IFERROR(__xludf.DUMMYFUNCTION("""COMPUTED_VALUE"""),"Luxembourg")</f>
        <v>Luxembourg</v>
      </c>
      <c r="D9352">
        <f>IFERROR(__xludf.DUMMYFUNCTION("""COMPUTED_VALUE"""),2016.0)</f>
        <v>2016</v>
      </c>
      <c r="E9352">
        <f>IFERROR(__xludf.DUMMYFUNCTION("""COMPUTED_VALUE"""),575747.0)</f>
        <v>575747</v>
      </c>
    </row>
    <row r="9353">
      <c r="A9353" t="str">
        <f t="shared" si="1"/>
        <v>lux#2017</v>
      </c>
      <c r="B9353" t="str">
        <f>IFERROR(__xludf.DUMMYFUNCTION("""COMPUTED_VALUE"""),"lux")</f>
        <v>lux</v>
      </c>
      <c r="C9353" t="str">
        <f>IFERROR(__xludf.DUMMYFUNCTION("""COMPUTED_VALUE"""),"Luxembourg")</f>
        <v>Luxembourg</v>
      </c>
      <c r="D9353">
        <f>IFERROR(__xludf.DUMMYFUNCTION("""COMPUTED_VALUE"""),2017.0)</f>
        <v>2017</v>
      </c>
      <c r="E9353">
        <f>IFERROR(__xludf.DUMMYFUNCTION("""COMPUTED_VALUE"""),583455.0)</f>
        <v>583455</v>
      </c>
    </row>
    <row r="9354">
      <c r="A9354" t="str">
        <f t="shared" si="1"/>
        <v>lux#2018</v>
      </c>
      <c r="B9354" t="str">
        <f>IFERROR(__xludf.DUMMYFUNCTION("""COMPUTED_VALUE"""),"lux")</f>
        <v>lux</v>
      </c>
      <c r="C9354" t="str">
        <f>IFERROR(__xludf.DUMMYFUNCTION("""COMPUTED_VALUE"""),"Luxembourg")</f>
        <v>Luxembourg</v>
      </c>
      <c r="D9354">
        <f>IFERROR(__xludf.DUMMYFUNCTION("""COMPUTED_VALUE"""),2018.0)</f>
        <v>2018</v>
      </c>
      <c r="E9354">
        <f>IFERROR(__xludf.DUMMYFUNCTION("""COMPUTED_VALUE"""),590321.0)</f>
        <v>590321</v>
      </c>
    </row>
    <row r="9355">
      <c r="A9355" t="str">
        <f t="shared" si="1"/>
        <v>lux#2019</v>
      </c>
      <c r="B9355" t="str">
        <f>IFERROR(__xludf.DUMMYFUNCTION("""COMPUTED_VALUE"""),"lux")</f>
        <v>lux</v>
      </c>
      <c r="C9355" t="str">
        <f>IFERROR(__xludf.DUMMYFUNCTION("""COMPUTED_VALUE"""),"Luxembourg")</f>
        <v>Luxembourg</v>
      </c>
      <c r="D9355">
        <f>IFERROR(__xludf.DUMMYFUNCTION("""COMPUTED_VALUE"""),2019.0)</f>
        <v>2019</v>
      </c>
      <c r="E9355">
        <f>IFERROR(__xludf.DUMMYFUNCTION("""COMPUTED_VALUE"""),596992.0)</f>
        <v>596992</v>
      </c>
    </row>
    <row r="9356">
      <c r="A9356" t="str">
        <f t="shared" si="1"/>
        <v>lux#2020</v>
      </c>
      <c r="B9356" t="str">
        <f>IFERROR(__xludf.DUMMYFUNCTION("""COMPUTED_VALUE"""),"lux")</f>
        <v>lux</v>
      </c>
      <c r="C9356" t="str">
        <f>IFERROR(__xludf.DUMMYFUNCTION("""COMPUTED_VALUE"""),"Luxembourg")</f>
        <v>Luxembourg</v>
      </c>
      <c r="D9356">
        <f>IFERROR(__xludf.DUMMYFUNCTION("""COMPUTED_VALUE"""),2020.0)</f>
        <v>2020</v>
      </c>
      <c r="E9356">
        <f>IFERROR(__xludf.DUMMYFUNCTION("""COMPUTED_VALUE"""),603944.0)</f>
        <v>603944</v>
      </c>
    </row>
    <row r="9357">
      <c r="A9357" t="str">
        <f t="shared" si="1"/>
        <v>lux#2021</v>
      </c>
      <c r="B9357" t="str">
        <f>IFERROR(__xludf.DUMMYFUNCTION("""COMPUTED_VALUE"""),"lux")</f>
        <v>lux</v>
      </c>
      <c r="C9357" t="str">
        <f>IFERROR(__xludf.DUMMYFUNCTION("""COMPUTED_VALUE"""),"Luxembourg")</f>
        <v>Luxembourg</v>
      </c>
      <c r="D9357">
        <f>IFERROR(__xludf.DUMMYFUNCTION("""COMPUTED_VALUE"""),2021.0)</f>
        <v>2021</v>
      </c>
      <c r="E9357">
        <f>IFERROR(__xludf.DUMMYFUNCTION("""COMPUTED_VALUE"""),611338.0)</f>
        <v>611338</v>
      </c>
    </row>
    <row r="9358">
      <c r="A9358" t="str">
        <f t="shared" si="1"/>
        <v>lux#2022</v>
      </c>
      <c r="B9358" t="str">
        <f>IFERROR(__xludf.DUMMYFUNCTION("""COMPUTED_VALUE"""),"lux")</f>
        <v>lux</v>
      </c>
      <c r="C9358" t="str">
        <f>IFERROR(__xludf.DUMMYFUNCTION("""COMPUTED_VALUE"""),"Luxembourg")</f>
        <v>Luxembourg</v>
      </c>
      <c r="D9358">
        <f>IFERROR(__xludf.DUMMYFUNCTION("""COMPUTED_VALUE"""),2022.0)</f>
        <v>2022</v>
      </c>
      <c r="E9358">
        <f>IFERROR(__xludf.DUMMYFUNCTION("""COMPUTED_VALUE"""),618998.0)</f>
        <v>618998</v>
      </c>
    </row>
    <row r="9359">
      <c r="A9359" t="str">
        <f t="shared" si="1"/>
        <v>lux#2023</v>
      </c>
      <c r="B9359" t="str">
        <f>IFERROR(__xludf.DUMMYFUNCTION("""COMPUTED_VALUE"""),"lux")</f>
        <v>lux</v>
      </c>
      <c r="C9359" t="str">
        <f>IFERROR(__xludf.DUMMYFUNCTION("""COMPUTED_VALUE"""),"Luxembourg")</f>
        <v>Luxembourg</v>
      </c>
      <c r="D9359">
        <f>IFERROR(__xludf.DUMMYFUNCTION("""COMPUTED_VALUE"""),2023.0)</f>
        <v>2023</v>
      </c>
      <c r="E9359">
        <f>IFERROR(__xludf.DUMMYFUNCTION("""COMPUTED_VALUE"""),626791.0)</f>
        <v>626791</v>
      </c>
    </row>
    <row r="9360">
      <c r="A9360" t="str">
        <f t="shared" si="1"/>
        <v>lux#2024</v>
      </c>
      <c r="B9360" t="str">
        <f>IFERROR(__xludf.DUMMYFUNCTION("""COMPUTED_VALUE"""),"lux")</f>
        <v>lux</v>
      </c>
      <c r="C9360" t="str">
        <f>IFERROR(__xludf.DUMMYFUNCTION("""COMPUTED_VALUE"""),"Luxembourg")</f>
        <v>Luxembourg</v>
      </c>
      <c r="D9360">
        <f>IFERROR(__xludf.DUMMYFUNCTION("""COMPUTED_VALUE"""),2024.0)</f>
        <v>2024</v>
      </c>
      <c r="E9360">
        <f>IFERROR(__xludf.DUMMYFUNCTION("""COMPUTED_VALUE"""),634437.0)</f>
        <v>634437</v>
      </c>
    </row>
    <row r="9361">
      <c r="A9361" t="str">
        <f t="shared" si="1"/>
        <v>lux#2025</v>
      </c>
      <c r="B9361" t="str">
        <f>IFERROR(__xludf.DUMMYFUNCTION("""COMPUTED_VALUE"""),"lux")</f>
        <v>lux</v>
      </c>
      <c r="C9361" t="str">
        <f>IFERROR(__xludf.DUMMYFUNCTION("""COMPUTED_VALUE"""),"Luxembourg")</f>
        <v>Luxembourg</v>
      </c>
      <c r="D9361">
        <f>IFERROR(__xludf.DUMMYFUNCTION("""COMPUTED_VALUE"""),2025.0)</f>
        <v>2025</v>
      </c>
      <c r="E9361">
        <f>IFERROR(__xludf.DUMMYFUNCTION("""COMPUTED_VALUE"""),641757.0)</f>
        <v>641757</v>
      </c>
    </row>
    <row r="9362">
      <c r="A9362" t="str">
        <f t="shared" si="1"/>
        <v>lux#2026</v>
      </c>
      <c r="B9362" t="str">
        <f>IFERROR(__xludf.DUMMYFUNCTION("""COMPUTED_VALUE"""),"lux")</f>
        <v>lux</v>
      </c>
      <c r="C9362" t="str">
        <f>IFERROR(__xludf.DUMMYFUNCTION("""COMPUTED_VALUE"""),"Luxembourg")</f>
        <v>Luxembourg</v>
      </c>
      <c r="D9362">
        <f>IFERROR(__xludf.DUMMYFUNCTION("""COMPUTED_VALUE"""),2026.0)</f>
        <v>2026</v>
      </c>
      <c r="E9362">
        <f>IFERROR(__xludf.DUMMYFUNCTION("""COMPUTED_VALUE"""),648718.0)</f>
        <v>648718</v>
      </c>
    </row>
    <row r="9363">
      <c r="A9363" t="str">
        <f t="shared" si="1"/>
        <v>lux#2027</v>
      </c>
      <c r="B9363" t="str">
        <f>IFERROR(__xludf.DUMMYFUNCTION("""COMPUTED_VALUE"""),"lux")</f>
        <v>lux</v>
      </c>
      <c r="C9363" t="str">
        <f>IFERROR(__xludf.DUMMYFUNCTION("""COMPUTED_VALUE"""),"Luxembourg")</f>
        <v>Luxembourg</v>
      </c>
      <c r="D9363">
        <f>IFERROR(__xludf.DUMMYFUNCTION("""COMPUTED_VALUE"""),2027.0)</f>
        <v>2027</v>
      </c>
      <c r="E9363">
        <f>IFERROR(__xludf.DUMMYFUNCTION("""COMPUTED_VALUE"""),655418.0)</f>
        <v>655418</v>
      </c>
    </row>
    <row r="9364">
      <c r="A9364" t="str">
        <f t="shared" si="1"/>
        <v>lux#2028</v>
      </c>
      <c r="B9364" t="str">
        <f>IFERROR(__xludf.DUMMYFUNCTION("""COMPUTED_VALUE"""),"lux")</f>
        <v>lux</v>
      </c>
      <c r="C9364" t="str">
        <f>IFERROR(__xludf.DUMMYFUNCTION("""COMPUTED_VALUE"""),"Luxembourg")</f>
        <v>Luxembourg</v>
      </c>
      <c r="D9364">
        <f>IFERROR(__xludf.DUMMYFUNCTION("""COMPUTED_VALUE"""),2028.0)</f>
        <v>2028</v>
      </c>
      <c r="E9364">
        <f>IFERROR(__xludf.DUMMYFUNCTION("""COMPUTED_VALUE"""),661932.0)</f>
        <v>661932</v>
      </c>
    </row>
    <row r="9365">
      <c r="A9365" t="str">
        <f t="shared" si="1"/>
        <v>lux#2029</v>
      </c>
      <c r="B9365" t="str">
        <f>IFERROR(__xludf.DUMMYFUNCTION("""COMPUTED_VALUE"""),"lux")</f>
        <v>lux</v>
      </c>
      <c r="C9365" t="str">
        <f>IFERROR(__xludf.DUMMYFUNCTION("""COMPUTED_VALUE"""),"Luxembourg")</f>
        <v>Luxembourg</v>
      </c>
      <c r="D9365">
        <f>IFERROR(__xludf.DUMMYFUNCTION("""COMPUTED_VALUE"""),2029.0)</f>
        <v>2029</v>
      </c>
      <c r="E9365">
        <f>IFERROR(__xludf.DUMMYFUNCTION("""COMPUTED_VALUE"""),668387.0)</f>
        <v>668387</v>
      </c>
    </row>
    <row r="9366">
      <c r="A9366" t="str">
        <f t="shared" si="1"/>
        <v>lux#2030</v>
      </c>
      <c r="B9366" t="str">
        <f>IFERROR(__xludf.DUMMYFUNCTION("""COMPUTED_VALUE"""),"lux")</f>
        <v>lux</v>
      </c>
      <c r="C9366" t="str">
        <f>IFERROR(__xludf.DUMMYFUNCTION("""COMPUTED_VALUE"""),"Luxembourg")</f>
        <v>Luxembourg</v>
      </c>
      <c r="D9366">
        <f>IFERROR(__xludf.DUMMYFUNCTION("""COMPUTED_VALUE"""),2030.0)</f>
        <v>2030</v>
      </c>
      <c r="E9366">
        <f>IFERROR(__xludf.DUMMYFUNCTION("""COMPUTED_VALUE"""),674864.0)</f>
        <v>674864</v>
      </c>
    </row>
    <row r="9367">
      <c r="A9367" t="str">
        <f t="shared" si="1"/>
        <v>lux#2031</v>
      </c>
      <c r="B9367" t="str">
        <f>IFERROR(__xludf.DUMMYFUNCTION("""COMPUTED_VALUE"""),"lux")</f>
        <v>lux</v>
      </c>
      <c r="C9367" t="str">
        <f>IFERROR(__xludf.DUMMYFUNCTION("""COMPUTED_VALUE"""),"Luxembourg")</f>
        <v>Luxembourg</v>
      </c>
      <c r="D9367">
        <f>IFERROR(__xludf.DUMMYFUNCTION("""COMPUTED_VALUE"""),2031.0)</f>
        <v>2031</v>
      </c>
      <c r="E9367">
        <f>IFERROR(__xludf.DUMMYFUNCTION("""COMPUTED_VALUE"""),681385.0)</f>
        <v>681385</v>
      </c>
    </row>
    <row r="9368">
      <c r="A9368" t="str">
        <f t="shared" si="1"/>
        <v>lux#2032</v>
      </c>
      <c r="B9368" t="str">
        <f>IFERROR(__xludf.DUMMYFUNCTION("""COMPUTED_VALUE"""),"lux")</f>
        <v>lux</v>
      </c>
      <c r="C9368" t="str">
        <f>IFERROR(__xludf.DUMMYFUNCTION("""COMPUTED_VALUE"""),"Luxembourg")</f>
        <v>Luxembourg</v>
      </c>
      <c r="D9368">
        <f>IFERROR(__xludf.DUMMYFUNCTION("""COMPUTED_VALUE"""),2032.0)</f>
        <v>2032</v>
      </c>
      <c r="E9368">
        <f>IFERROR(__xludf.DUMMYFUNCTION("""COMPUTED_VALUE"""),687929.0)</f>
        <v>687929</v>
      </c>
    </row>
    <row r="9369">
      <c r="A9369" t="str">
        <f t="shared" si="1"/>
        <v>lux#2033</v>
      </c>
      <c r="B9369" t="str">
        <f>IFERROR(__xludf.DUMMYFUNCTION("""COMPUTED_VALUE"""),"lux")</f>
        <v>lux</v>
      </c>
      <c r="C9369" t="str">
        <f>IFERROR(__xludf.DUMMYFUNCTION("""COMPUTED_VALUE"""),"Luxembourg")</f>
        <v>Luxembourg</v>
      </c>
      <c r="D9369">
        <f>IFERROR(__xludf.DUMMYFUNCTION("""COMPUTED_VALUE"""),2033.0)</f>
        <v>2033</v>
      </c>
      <c r="E9369">
        <f>IFERROR(__xludf.DUMMYFUNCTION("""COMPUTED_VALUE"""),694466.0)</f>
        <v>694466</v>
      </c>
    </row>
    <row r="9370">
      <c r="A9370" t="str">
        <f t="shared" si="1"/>
        <v>lux#2034</v>
      </c>
      <c r="B9370" t="str">
        <f>IFERROR(__xludf.DUMMYFUNCTION("""COMPUTED_VALUE"""),"lux")</f>
        <v>lux</v>
      </c>
      <c r="C9370" t="str">
        <f>IFERROR(__xludf.DUMMYFUNCTION("""COMPUTED_VALUE"""),"Luxembourg")</f>
        <v>Luxembourg</v>
      </c>
      <c r="D9370">
        <f>IFERROR(__xludf.DUMMYFUNCTION("""COMPUTED_VALUE"""),2034.0)</f>
        <v>2034</v>
      </c>
      <c r="E9370">
        <f>IFERROR(__xludf.DUMMYFUNCTION("""COMPUTED_VALUE"""),700955.0)</f>
        <v>700955</v>
      </c>
    </row>
    <row r="9371">
      <c r="A9371" t="str">
        <f t="shared" si="1"/>
        <v>lux#2035</v>
      </c>
      <c r="B9371" t="str">
        <f>IFERROR(__xludf.DUMMYFUNCTION("""COMPUTED_VALUE"""),"lux")</f>
        <v>lux</v>
      </c>
      <c r="C9371" t="str">
        <f>IFERROR(__xludf.DUMMYFUNCTION("""COMPUTED_VALUE"""),"Luxembourg")</f>
        <v>Luxembourg</v>
      </c>
      <c r="D9371">
        <f>IFERROR(__xludf.DUMMYFUNCTION("""COMPUTED_VALUE"""),2035.0)</f>
        <v>2035</v>
      </c>
      <c r="E9371">
        <f>IFERROR(__xludf.DUMMYFUNCTION("""COMPUTED_VALUE"""),707373.0)</f>
        <v>707373</v>
      </c>
    </row>
    <row r="9372">
      <c r="A9372" t="str">
        <f t="shared" si="1"/>
        <v>lux#2036</v>
      </c>
      <c r="B9372" t="str">
        <f>IFERROR(__xludf.DUMMYFUNCTION("""COMPUTED_VALUE"""),"lux")</f>
        <v>lux</v>
      </c>
      <c r="C9372" t="str">
        <f>IFERROR(__xludf.DUMMYFUNCTION("""COMPUTED_VALUE"""),"Luxembourg")</f>
        <v>Luxembourg</v>
      </c>
      <c r="D9372">
        <f>IFERROR(__xludf.DUMMYFUNCTION("""COMPUTED_VALUE"""),2036.0)</f>
        <v>2036</v>
      </c>
      <c r="E9372">
        <f>IFERROR(__xludf.DUMMYFUNCTION("""COMPUTED_VALUE"""),713713.0)</f>
        <v>713713</v>
      </c>
    </row>
    <row r="9373">
      <c r="A9373" t="str">
        <f t="shared" si="1"/>
        <v>lux#2037</v>
      </c>
      <c r="B9373" t="str">
        <f>IFERROR(__xludf.DUMMYFUNCTION("""COMPUTED_VALUE"""),"lux")</f>
        <v>lux</v>
      </c>
      <c r="C9373" t="str">
        <f>IFERROR(__xludf.DUMMYFUNCTION("""COMPUTED_VALUE"""),"Luxembourg")</f>
        <v>Luxembourg</v>
      </c>
      <c r="D9373">
        <f>IFERROR(__xludf.DUMMYFUNCTION("""COMPUTED_VALUE"""),2037.0)</f>
        <v>2037</v>
      </c>
      <c r="E9373">
        <f>IFERROR(__xludf.DUMMYFUNCTION("""COMPUTED_VALUE"""),719995.0)</f>
        <v>719995</v>
      </c>
    </row>
    <row r="9374">
      <c r="A9374" t="str">
        <f t="shared" si="1"/>
        <v>lux#2038</v>
      </c>
      <c r="B9374" t="str">
        <f>IFERROR(__xludf.DUMMYFUNCTION("""COMPUTED_VALUE"""),"lux")</f>
        <v>lux</v>
      </c>
      <c r="C9374" t="str">
        <f>IFERROR(__xludf.DUMMYFUNCTION("""COMPUTED_VALUE"""),"Luxembourg")</f>
        <v>Luxembourg</v>
      </c>
      <c r="D9374">
        <f>IFERROR(__xludf.DUMMYFUNCTION("""COMPUTED_VALUE"""),2038.0)</f>
        <v>2038</v>
      </c>
      <c r="E9374">
        <f>IFERROR(__xludf.DUMMYFUNCTION("""COMPUTED_VALUE"""),726203.0)</f>
        <v>726203</v>
      </c>
    </row>
    <row r="9375">
      <c r="A9375" t="str">
        <f t="shared" si="1"/>
        <v>lux#2039</v>
      </c>
      <c r="B9375" t="str">
        <f>IFERROR(__xludf.DUMMYFUNCTION("""COMPUTED_VALUE"""),"lux")</f>
        <v>lux</v>
      </c>
      <c r="C9375" t="str">
        <f>IFERROR(__xludf.DUMMYFUNCTION("""COMPUTED_VALUE"""),"Luxembourg")</f>
        <v>Luxembourg</v>
      </c>
      <c r="D9375">
        <f>IFERROR(__xludf.DUMMYFUNCTION("""COMPUTED_VALUE"""),2039.0)</f>
        <v>2039</v>
      </c>
      <c r="E9375">
        <f>IFERROR(__xludf.DUMMYFUNCTION("""COMPUTED_VALUE"""),732355.0)</f>
        <v>732355</v>
      </c>
    </row>
    <row r="9376">
      <c r="A9376" t="str">
        <f t="shared" si="1"/>
        <v>lux#2040</v>
      </c>
      <c r="B9376" t="str">
        <f>IFERROR(__xludf.DUMMYFUNCTION("""COMPUTED_VALUE"""),"lux")</f>
        <v>lux</v>
      </c>
      <c r="C9376" t="str">
        <f>IFERROR(__xludf.DUMMYFUNCTION("""COMPUTED_VALUE"""),"Luxembourg")</f>
        <v>Luxembourg</v>
      </c>
      <c r="D9376">
        <f>IFERROR(__xludf.DUMMYFUNCTION("""COMPUTED_VALUE"""),2040.0)</f>
        <v>2040</v>
      </c>
      <c r="E9376">
        <f>IFERROR(__xludf.DUMMYFUNCTION("""COMPUTED_VALUE"""),738428.0)</f>
        <v>738428</v>
      </c>
    </row>
    <row r="9377">
      <c r="A9377" t="str">
        <f t="shared" si="1"/>
        <v>mkd#1950</v>
      </c>
      <c r="B9377" t="str">
        <f>IFERROR(__xludf.DUMMYFUNCTION("""COMPUTED_VALUE"""),"mkd")</f>
        <v>mkd</v>
      </c>
      <c r="C9377" t="str">
        <f>IFERROR(__xludf.DUMMYFUNCTION("""COMPUTED_VALUE"""),"Macedonia, FYR")</f>
        <v>Macedonia, FYR</v>
      </c>
      <c r="D9377">
        <f>IFERROR(__xludf.DUMMYFUNCTION("""COMPUTED_VALUE"""),1950.0)</f>
        <v>1950</v>
      </c>
      <c r="E9377">
        <f>IFERROR(__xludf.DUMMYFUNCTION("""COMPUTED_VALUE"""),1254445.0)</f>
        <v>1254445</v>
      </c>
    </row>
    <row r="9378">
      <c r="A9378" t="str">
        <f t="shared" si="1"/>
        <v>mkd#1951</v>
      </c>
      <c r="B9378" t="str">
        <f>IFERROR(__xludf.DUMMYFUNCTION("""COMPUTED_VALUE"""),"mkd")</f>
        <v>mkd</v>
      </c>
      <c r="C9378" t="str">
        <f>IFERROR(__xludf.DUMMYFUNCTION("""COMPUTED_VALUE"""),"Macedonia, FYR")</f>
        <v>Macedonia, FYR</v>
      </c>
      <c r="D9378">
        <f>IFERROR(__xludf.DUMMYFUNCTION("""COMPUTED_VALUE"""),1951.0)</f>
        <v>1951</v>
      </c>
      <c r="E9378">
        <f>IFERROR(__xludf.DUMMYFUNCTION("""COMPUTED_VALUE"""),1290408.0)</f>
        <v>1290408</v>
      </c>
    </row>
    <row r="9379">
      <c r="A9379" t="str">
        <f t="shared" si="1"/>
        <v>mkd#1952</v>
      </c>
      <c r="B9379" t="str">
        <f>IFERROR(__xludf.DUMMYFUNCTION("""COMPUTED_VALUE"""),"mkd")</f>
        <v>mkd</v>
      </c>
      <c r="C9379" t="str">
        <f>IFERROR(__xludf.DUMMYFUNCTION("""COMPUTED_VALUE"""),"Macedonia, FYR")</f>
        <v>Macedonia, FYR</v>
      </c>
      <c r="D9379">
        <f>IFERROR(__xludf.DUMMYFUNCTION("""COMPUTED_VALUE"""),1952.0)</f>
        <v>1952</v>
      </c>
      <c r="E9379">
        <f>IFERROR(__xludf.DUMMYFUNCTION("""COMPUTED_VALUE"""),1320981.0)</f>
        <v>1320981</v>
      </c>
    </row>
    <row r="9380">
      <c r="A9380" t="str">
        <f t="shared" si="1"/>
        <v>mkd#1953</v>
      </c>
      <c r="B9380" t="str">
        <f>IFERROR(__xludf.DUMMYFUNCTION("""COMPUTED_VALUE"""),"mkd")</f>
        <v>mkd</v>
      </c>
      <c r="C9380" t="str">
        <f>IFERROR(__xludf.DUMMYFUNCTION("""COMPUTED_VALUE"""),"Macedonia, FYR")</f>
        <v>Macedonia, FYR</v>
      </c>
      <c r="D9380">
        <f>IFERROR(__xludf.DUMMYFUNCTION("""COMPUTED_VALUE"""),1953.0)</f>
        <v>1953</v>
      </c>
      <c r="E9380">
        <f>IFERROR(__xludf.DUMMYFUNCTION("""COMPUTED_VALUE"""),1347463.0)</f>
        <v>1347463</v>
      </c>
    </row>
    <row r="9381">
      <c r="A9381" t="str">
        <f t="shared" si="1"/>
        <v>mkd#1954</v>
      </c>
      <c r="B9381" t="str">
        <f>IFERROR(__xludf.DUMMYFUNCTION("""COMPUTED_VALUE"""),"mkd")</f>
        <v>mkd</v>
      </c>
      <c r="C9381" t="str">
        <f>IFERROR(__xludf.DUMMYFUNCTION("""COMPUTED_VALUE"""),"Macedonia, FYR")</f>
        <v>Macedonia, FYR</v>
      </c>
      <c r="D9381">
        <f>IFERROR(__xludf.DUMMYFUNCTION("""COMPUTED_VALUE"""),1954.0)</f>
        <v>1954</v>
      </c>
      <c r="E9381">
        <f>IFERROR(__xludf.DUMMYFUNCTION("""COMPUTED_VALUE"""),1370978.0)</f>
        <v>1370978</v>
      </c>
    </row>
    <row r="9382">
      <c r="A9382" t="str">
        <f t="shared" si="1"/>
        <v>mkd#1955</v>
      </c>
      <c r="B9382" t="str">
        <f>IFERROR(__xludf.DUMMYFUNCTION("""COMPUTED_VALUE"""),"mkd")</f>
        <v>mkd</v>
      </c>
      <c r="C9382" t="str">
        <f>IFERROR(__xludf.DUMMYFUNCTION("""COMPUTED_VALUE"""),"Macedonia, FYR")</f>
        <v>Macedonia, FYR</v>
      </c>
      <c r="D9382">
        <f>IFERROR(__xludf.DUMMYFUNCTION("""COMPUTED_VALUE"""),1955.0)</f>
        <v>1955</v>
      </c>
      <c r="E9382">
        <f>IFERROR(__xludf.DUMMYFUNCTION("""COMPUTED_VALUE"""),1392449.0)</f>
        <v>1392449</v>
      </c>
    </row>
    <row r="9383">
      <c r="A9383" t="str">
        <f t="shared" si="1"/>
        <v>mkd#1956</v>
      </c>
      <c r="B9383" t="str">
        <f>IFERROR(__xludf.DUMMYFUNCTION("""COMPUTED_VALUE"""),"mkd")</f>
        <v>mkd</v>
      </c>
      <c r="C9383" t="str">
        <f>IFERROR(__xludf.DUMMYFUNCTION("""COMPUTED_VALUE"""),"Macedonia, FYR")</f>
        <v>Macedonia, FYR</v>
      </c>
      <c r="D9383">
        <f>IFERROR(__xludf.DUMMYFUNCTION("""COMPUTED_VALUE"""),1956.0)</f>
        <v>1956</v>
      </c>
      <c r="E9383">
        <f>IFERROR(__xludf.DUMMYFUNCTION("""COMPUTED_VALUE"""),1412613.0)</f>
        <v>1412613</v>
      </c>
    </row>
    <row r="9384">
      <c r="A9384" t="str">
        <f t="shared" si="1"/>
        <v>mkd#1957</v>
      </c>
      <c r="B9384" t="str">
        <f>IFERROR(__xludf.DUMMYFUNCTION("""COMPUTED_VALUE"""),"mkd")</f>
        <v>mkd</v>
      </c>
      <c r="C9384" t="str">
        <f>IFERROR(__xludf.DUMMYFUNCTION("""COMPUTED_VALUE"""),"Macedonia, FYR")</f>
        <v>Macedonia, FYR</v>
      </c>
      <c r="D9384">
        <f>IFERROR(__xludf.DUMMYFUNCTION("""COMPUTED_VALUE"""),1957.0)</f>
        <v>1957</v>
      </c>
      <c r="E9384">
        <f>IFERROR(__xludf.DUMMYFUNCTION("""COMPUTED_VALUE"""),1432019.0)</f>
        <v>1432019</v>
      </c>
    </row>
    <row r="9385">
      <c r="A9385" t="str">
        <f t="shared" si="1"/>
        <v>mkd#1958</v>
      </c>
      <c r="B9385" t="str">
        <f>IFERROR(__xludf.DUMMYFUNCTION("""COMPUTED_VALUE"""),"mkd")</f>
        <v>mkd</v>
      </c>
      <c r="C9385" t="str">
        <f>IFERROR(__xludf.DUMMYFUNCTION("""COMPUTED_VALUE"""),"Macedonia, FYR")</f>
        <v>Macedonia, FYR</v>
      </c>
      <c r="D9385">
        <f>IFERROR(__xludf.DUMMYFUNCTION("""COMPUTED_VALUE"""),1958.0)</f>
        <v>1958</v>
      </c>
      <c r="E9385">
        <f>IFERROR(__xludf.DUMMYFUNCTION("""COMPUTED_VALUE"""),1451015.0)</f>
        <v>1451015</v>
      </c>
    </row>
    <row r="9386">
      <c r="A9386" t="str">
        <f t="shared" si="1"/>
        <v>mkd#1959</v>
      </c>
      <c r="B9386" t="str">
        <f>IFERROR(__xludf.DUMMYFUNCTION("""COMPUTED_VALUE"""),"mkd")</f>
        <v>mkd</v>
      </c>
      <c r="C9386" t="str">
        <f>IFERROR(__xludf.DUMMYFUNCTION("""COMPUTED_VALUE"""),"Macedonia, FYR")</f>
        <v>Macedonia, FYR</v>
      </c>
      <c r="D9386">
        <f>IFERROR(__xludf.DUMMYFUNCTION("""COMPUTED_VALUE"""),1959.0)</f>
        <v>1959</v>
      </c>
      <c r="E9386">
        <f>IFERROR(__xludf.DUMMYFUNCTION("""COMPUTED_VALUE"""),1469843.0)</f>
        <v>1469843</v>
      </c>
    </row>
    <row r="9387">
      <c r="A9387" t="str">
        <f t="shared" si="1"/>
        <v>mkd#1960</v>
      </c>
      <c r="B9387" t="str">
        <f>IFERROR(__xludf.DUMMYFUNCTION("""COMPUTED_VALUE"""),"mkd")</f>
        <v>mkd</v>
      </c>
      <c r="C9387" t="str">
        <f>IFERROR(__xludf.DUMMYFUNCTION("""COMPUTED_VALUE"""),"Macedonia, FYR")</f>
        <v>Macedonia, FYR</v>
      </c>
      <c r="D9387">
        <f>IFERROR(__xludf.DUMMYFUNCTION("""COMPUTED_VALUE"""),1960.0)</f>
        <v>1960</v>
      </c>
      <c r="E9387">
        <f>IFERROR(__xludf.DUMMYFUNCTION("""COMPUTED_VALUE"""),1488667.0)</f>
        <v>1488667</v>
      </c>
    </row>
    <row r="9388">
      <c r="A9388" t="str">
        <f t="shared" si="1"/>
        <v>mkd#1961</v>
      </c>
      <c r="B9388" t="str">
        <f>IFERROR(__xludf.DUMMYFUNCTION("""COMPUTED_VALUE"""),"mkd")</f>
        <v>mkd</v>
      </c>
      <c r="C9388" t="str">
        <f>IFERROR(__xludf.DUMMYFUNCTION("""COMPUTED_VALUE"""),"Macedonia, FYR")</f>
        <v>Macedonia, FYR</v>
      </c>
      <c r="D9388">
        <f>IFERROR(__xludf.DUMMYFUNCTION("""COMPUTED_VALUE"""),1961.0)</f>
        <v>1961</v>
      </c>
      <c r="E9388">
        <f>IFERROR(__xludf.DUMMYFUNCTION("""COMPUTED_VALUE"""),1507654.0)</f>
        <v>1507654</v>
      </c>
    </row>
    <row r="9389">
      <c r="A9389" t="str">
        <f t="shared" si="1"/>
        <v>mkd#1962</v>
      </c>
      <c r="B9389" t="str">
        <f>IFERROR(__xludf.DUMMYFUNCTION("""COMPUTED_VALUE"""),"mkd")</f>
        <v>mkd</v>
      </c>
      <c r="C9389" t="str">
        <f>IFERROR(__xludf.DUMMYFUNCTION("""COMPUTED_VALUE"""),"Macedonia, FYR")</f>
        <v>Macedonia, FYR</v>
      </c>
      <c r="D9389">
        <f>IFERROR(__xludf.DUMMYFUNCTION("""COMPUTED_VALUE"""),1962.0)</f>
        <v>1962</v>
      </c>
      <c r="E9389">
        <f>IFERROR(__xludf.DUMMYFUNCTION("""COMPUTED_VALUE"""),1527111.0)</f>
        <v>1527111</v>
      </c>
    </row>
    <row r="9390">
      <c r="A9390" t="str">
        <f t="shared" si="1"/>
        <v>mkd#1963</v>
      </c>
      <c r="B9390" t="str">
        <f>IFERROR(__xludf.DUMMYFUNCTION("""COMPUTED_VALUE"""),"mkd")</f>
        <v>mkd</v>
      </c>
      <c r="C9390" t="str">
        <f>IFERROR(__xludf.DUMMYFUNCTION("""COMPUTED_VALUE"""),"Macedonia, FYR")</f>
        <v>Macedonia, FYR</v>
      </c>
      <c r="D9390">
        <f>IFERROR(__xludf.DUMMYFUNCTION("""COMPUTED_VALUE"""),1963.0)</f>
        <v>1963</v>
      </c>
      <c r="E9390">
        <f>IFERROR(__xludf.DUMMYFUNCTION("""COMPUTED_VALUE"""),1547450.0)</f>
        <v>1547450</v>
      </c>
    </row>
    <row r="9391">
      <c r="A9391" t="str">
        <f t="shared" si="1"/>
        <v>mkd#1964</v>
      </c>
      <c r="B9391" t="str">
        <f>IFERROR(__xludf.DUMMYFUNCTION("""COMPUTED_VALUE"""),"mkd")</f>
        <v>mkd</v>
      </c>
      <c r="C9391" t="str">
        <f>IFERROR(__xludf.DUMMYFUNCTION("""COMPUTED_VALUE"""),"Macedonia, FYR")</f>
        <v>Macedonia, FYR</v>
      </c>
      <c r="D9391">
        <f>IFERROR(__xludf.DUMMYFUNCTION("""COMPUTED_VALUE"""),1964.0)</f>
        <v>1964</v>
      </c>
      <c r="E9391">
        <f>IFERROR(__xludf.DUMMYFUNCTION("""COMPUTED_VALUE"""),1569141.0)</f>
        <v>1569141</v>
      </c>
    </row>
    <row r="9392">
      <c r="A9392" t="str">
        <f t="shared" si="1"/>
        <v>mkd#1965</v>
      </c>
      <c r="B9392" t="str">
        <f>IFERROR(__xludf.DUMMYFUNCTION("""COMPUTED_VALUE"""),"mkd")</f>
        <v>mkd</v>
      </c>
      <c r="C9392" t="str">
        <f>IFERROR(__xludf.DUMMYFUNCTION("""COMPUTED_VALUE"""),"Macedonia, FYR")</f>
        <v>Macedonia, FYR</v>
      </c>
      <c r="D9392">
        <f>IFERROR(__xludf.DUMMYFUNCTION("""COMPUTED_VALUE"""),1965.0)</f>
        <v>1965</v>
      </c>
      <c r="E9392">
        <f>IFERROR(__xludf.DUMMYFUNCTION("""COMPUTED_VALUE"""),1592432.0)</f>
        <v>1592432</v>
      </c>
    </row>
    <row r="9393">
      <c r="A9393" t="str">
        <f t="shared" si="1"/>
        <v>mkd#1966</v>
      </c>
      <c r="B9393" t="str">
        <f>IFERROR(__xludf.DUMMYFUNCTION("""COMPUTED_VALUE"""),"mkd")</f>
        <v>mkd</v>
      </c>
      <c r="C9393" t="str">
        <f>IFERROR(__xludf.DUMMYFUNCTION("""COMPUTED_VALUE"""),"Macedonia, FYR")</f>
        <v>Macedonia, FYR</v>
      </c>
      <c r="D9393">
        <f>IFERROR(__xludf.DUMMYFUNCTION("""COMPUTED_VALUE"""),1966.0)</f>
        <v>1966</v>
      </c>
      <c r="E9393">
        <f>IFERROR(__xludf.DUMMYFUNCTION("""COMPUTED_VALUE"""),1617794.0)</f>
        <v>1617794</v>
      </c>
    </row>
    <row r="9394">
      <c r="A9394" t="str">
        <f t="shared" si="1"/>
        <v>mkd#1967</v>
      </c>
      <c r="B9394" t="str">
        <f>IFERROR(__xludf.DUMMYFUNCTION("""COMPUTED_VALUE"""),"mkd")</f>
        <v>mkd</v>
      </c>
      <c r="C9394" t="str">
        <f>IFERROR(__xludf.DUMMYFUNCTION("""COMPUTED_VALUE"""),"Macedonia, FYR")</f>
        <v>Macedonia, FYR</v>
      </c>
      <c r="D9394">
        <f>IFERROR(__xludf.DUMMYFUNCTION("""COMPUTED_VALUE"""),1967.0)</f>
        <v>1967</v>
      </c>
      <c r="E9394">
        <f>IFERROR(__xludf.DUMMYFUNCTION("""COMPUTED_VALUE"""),1644943.0)</f>
        <v>1644943</v>
      </c>
    </row>
    <row r="9395">
      <c r="A9395" t="str">
        <f t="shared" si="1"/>
        <v>mkd#1968</v>
      </c>
      <c r="B9395" t="str">
        <f>IFERROR(__xludf.DUMMYFUNCTION("""COMPUTED_VALUE"""),"mkd")</f>
        <v>mkd</v>
      </c>
      <c r="C9395" t="str">
        <f>IFERROR(__xludf.DUMMYFUNCTION("""COMPUTED_VALUE"""),"Macedonia, FYR")</f>
        <v>Macedonia, FYR</v>
      </c>
      <c r="D9395">
        <f>IFERROR(__xludf.DUMMYFUNCTION("""COMPUTED_VALUE"""),1968.0)</f>
        <v>1968</v>
      </c>
      <c r="E9395">
        <f>IFERROR(__xludf.DUMMYFUNCTION("""COMPUTED_VALUE"""),1672399.0)</f>
        <v>1672399</v>
      </c>
    </row>
    <row r="9396">
      <c r="A9396" t="str">
        <f t="shared" si="1"/>
        <v>mkd#1969</v>
      </c>
      <c r="B9396" t="str">
        <f>IFERROR(__xludf.DUMMYFUNCTION("""COMPUTED_VALUE"""),"mkd")</f>
        <v>mkd</v>
      </c>
      <c r="C9396" t="str">
        <f>IFERROR(__xludf.DUMMYFUNCTION("""COMPUTED_VALUE"""),"Macedonia, FYR")</f>
        <v>Macedonia, FYR</v>
      </c>
      <c r="D9396">
        <f>IFERROR(__xludf.DUMMYFUNCTION("""COMPUTED_VALUE"""),1969.0)</f>
        <v>1969</v>
      </c>
      <c r="E9396">
        <f>IFERROR(__xludf.DUMMYFUNCTION("""COMPUTED_VALUE"""),1698143.0)</f>
        <v>1698143</v>
      </c>
    </row>
    <row r="9397">
      <c r="A9397" t="str">
        <f t="shared" si="1"/>
        <v>mkd#1970</v>
      </c>
      <c r="B9397" t="str">
        <f>IFERROR(__xludf.DUMMYFUNCTION("""COMPUTED_VALUE"""),"mkd")</f>
        <v>mkd</v>
      </c>
      <c r="C9397" t="str">
        <f>IFERROR(__xludf.DUMMYFUNCTION("""COMPUTED_VALUE"""),"Macedonia, FYR")</f>
        <v>Macedonia, FYR</v>
      </c>
      <c r="D9397">
        <f>IFERROR(__xludf.DUMMYFUNCTION("""COMPUTED_VALUE"""),1970.0)</f>
        <v>1970</v>
      </c>
      <c r="E9397">
        <f>IFERROR(__xludf.DUMMYFUNCTION("""COMPUTED_VALUE"""),1720800.0)</f>
        <v>1720800</v>
      </c>
    </row>
    <row r="9398">
      <c r="A9398" t="str">
        <f t="shared" si="1"/>
        <v>mkd#1971</v>
      </c>
      <c r="B9398" t="str">
        <f>IFERROR(__xludf.DUMMYFUNCTION("""COMPUTED_VALUE"""),"mkd")</f>
        <v>mkd</v>
      </c>
      <c r="C9398" t="str">
        <f>IFERROR(__xludf.DUMMYFUNCTION("""COMPUTED_VALUE"""),"Macedonia, FYR")</f>
        <v>Macedonia, FYR</v>
      </c>
      <c r="D9398">
        <f>IFERROR(__xludf.DUMMYFUNCTION("""COMPUTED_VALUE"""),1971.0)</f>
        <v>1971</v>
      </c>
      <c r="E9398">
        <f>IFERROR(__xludf.DUMMYFUNCTION("""COMPUTED_VALUE"""),1739521.0)</f>
        <v>1739521</v>
      </c>
    </row>
    <row r="9399">
      <c r="A9399" t="str">
        <f t="shared" si="1"/>
        <v>mkd#1972</v>
      </c>
      <c r="B9399" t="str">
        <f>IFERROR(__xludf.DUMMYFUNCTION("""COMPUTED_VALUE"""),"mkd")</f>
        <v>mkd</v>
      </c>
      <c r="C9399" t="str">
        <f>IFERROR(__xludf.DUMMYFUNCTION("""COMPUTED_VALUE"""),"Macedonia, FYR")</f>
        <v>Macedonia, FYR</v>
      </c>
      <c r="D9399">
        <f>IFERROR(__xludf.DUMMYFUNCTION("""COMPUTED_VALUE"""),1972.0)</f>
        <v>1972</v>
      </c>
      <c r="E9399">
        <f>IFERROR(__xludf.DUMMYFUNCTION("""COMPUTED_VALUE"""),1754956.0)</f>
        <v>1754956</v>
      </c>
    </row>
    <row r="9400">
      <c r="A9400" t="str">
        <f t="shared" si="1"/>
        <v>mkd#1973</v>
      </c>
      <c r="B9400" t="str">
        <f>IFERROR(__xludf.DUMMYFUNCTION("""COMPUTED_VALUE"""),"mkd")</f>
        <v>mkd</v>
      </c>
      <c r="C9400" t="str">
        <f>IFERROR(__xludf.DUMMYFUNCTION("""COMPUTED_VALUE"""),"Macedonia, FYR")</f>
        <v>Macedonia, FYR</v>
      </c>
      <c r="D9400">
        <f>IFERROR(__xludf.DUMMYFUNCTION("""COMPUTED_VALUE"""),1973.0)</f>
        <v>1973</v>
      </c>
      <c r="E9400">
        <f>IFERROR(__xludf.DUMMYFUNCTION("""COMPUTED_VALUE"""),1768992.0)</f>
        <v>1768992</v>
      </c>
    </row>
    <row r="9401">
      <c r="A9401" t="str">
        <f t="shared" si="1"/>
        <v>mkd#1974</v>
      </c>
      <c r="B9401" t="str">
        <f>IFERROR(__xludf.DUMMYFUNCTION("""COMPUTED_VALUE"""),"mkd")</f>
        <v>mkd</v>
      </c>
      <c r="C9401" t="str">
        <f>IFERROR(__xludf.DUMMYFUNCTION("""COMPUTED_VALUE"""),"Macedonia, FYR")</f>
        <v>Macedonia, FYR</v>
      </c>
      <c r="D9401">
        <f>IFERROR(__xludf.DUMMYFUNCTION("""COMPUTED_VALUE"""),1974.0)</f>
        <v>1974</v>
      </c>
      <c r="E9401">
        <f>IFERROR(__xludf.DUMMYFUNCTION("""COMPUTED_VALUE"""),1784398.0)</f>
        <v>1784398</v>
      </c>
    </row>
    <row r="9402">
      <c r="A9402" t="str">
        <f t="shared" si="1"/>
        <v>mkd#1975</v>
      </c>
      <c r="B9402" t="str">
        <f>IFERROR(__xludf.DUMMYFUNCTION("""COMPUTED_VALUE"""),"mkd")</f>
        <v>mkd</v>
      </c>
      <c r="C9402" t="str">
        <f>IFERROR(__xludf.DUMMYFUNCTION("""COMPUTED_VALUE"""),"Macedonia, FYR")</f>
        <v>Macedonia, FYR</v>
      </c>
      <c r="D9402">
        <f>IFERROR(__xludf.DUMMYFUNCTION("""COMPUTED_VALUE"""),1975.0)</f>
        <v>1975</v>
      </c>
      <c r="E9402">
        <f>IFERROR(__xludf.DUMMYFUNCTION("""COMPUTED_VALUE"""),1803010.0)</f>
        <v>1803010</v>
      </c>
    </row>
    <row r="9403">
      <c r="A9403" t="str">
        <f t="shared" si="1"/>
        <v>mkd#1976</v>
      </c>
      <c r="B9403" t="str">
        <f>IFERROR(__xludf.DUMMYFUNCTION("""COMPUTED_VALUE"""),"mkd")</f>
        <v>mkd</v>
      </c>
      <c r="C9403" t="str">
        <f>IFERROR(__xludf.DUMMYFUNCTION("""COMPUTED_VALUE"""),"Macedonia, FYR")</f>
        <v>Macedonia, FYR</v>
      </c>
      <c r="D9403">
        <f>IFERROR(__xludf.DUMMYFUNCTION("""COMPUTED_VALUE"""),1976.0)</f>
        <v>1976</v>
      </c>
      <c r="E9403">
        <f>IFERROR(__xludf.DUMMYFUNCTION("""COMPUTED_VALUE"""),1825552.0)</f>
        <v>1825552</v>
      </c>
    </row>
    <row r="9404">
      <c r="A9404" t="str">
        <f t="shared" si="1"/>
        <v>mkd#1977</v>
      </c>
      <c r="B9404" t="str">
        <f>IFERROR(__xludf.DUMMYFUNCTION("""COMPUTED_VALUE"""),"mkd")</f>
        <v>mkd</v>
      </c>
      <c r="C9404" t="str">
        <f>IFERROR(__xludf.DUMMYFUNCTION("""COMPUTED_VALUE"""),"Macedonia, FYR")</f>
        <v>Macedonia, FYR</v>
      </c>
      <c r="D9404">
        <f>IFERROR(__xludf.DUMMYFUNCTION("""COMPUTED_VALUE"""),1977.0)</f>
        <v>1977</v>
      </c>
      <c r="E9404">
        <f>IFERROR(__xludf.DUMMYFUNCTION("""COMPUTED_VALUE"""),1851069.0)</f>
        <v>1851069</v>
      </c>
    </row>
    <row r="9405">
      <c r="A9405" t="str">
        <f t="shared" si="1"/>
        <v>mkd#1978</v>
      </c>
      <c r="B9405" t="str">
        <f>IFERROR(__xludf.DUMMYFUNCTION("""COMPUTED_VALUE"""),"mkd")</f>
        <v>mkd</v>
      </c>
      <c r="C9405" t="str">
        <f>IFERROR(__xludf.DUMMYFUNCTION("""COMPUTED_VALUE"""),"Macedonia, FYR")</f>
        <v>Macedonia, FYR</v>
      </c>
      <c r="D9405">
        <f>IFERROR(__xludf.DUMMYFUNCTION("""COMPUTED_VALUE"""),1978.0)</f>
        <v>1978</v>
      </c>
      <c r="E9405">
        <f>IFERROR(__xludf.DUMMYFUNCTION("""COMPUTED_VALUE"""),1877688.0)</f>
        <v>1877688</v>
      </c>
    </row>
    <row r="9406">
      <c r="A9406" t="str">
        <f t="shared" si="1"/>
        <v>mkd#1979</v>
      </c>
      <c r="B9406" t="str">
        <f>IFERROR(__xludf.DUMMYFUNCTION("""COMPUTED_VALUE"""),"mkd")</f>
        <v>mkd</v>
      </c>
      <c r="C9406" t="str">
        <f>IFERROR(__xludf.DUMMYFUNCTION("""COMPUTED_VALUE"""),"Macedonia, FYR")</f>
        <v>Macedonia, FYR</v>
      </c>
      <c r="D9406">
        <f>IFERROR(__xludf.DUMMYFUNCTION("""COMPUTED_VALUE"""),1979.0)</f>
        <v>1979</v>
      </c>
      <c r="E9406">
        <f>IFERROR(__xludf.DUMMYFUNCTION("""COMPUTED_VALUE"""),1902719.0)</f>
        <v>1902719</v>
      </c>
    </row>
    <row r="9407">
      <c r="A9407" t="str">
        <f t="shared" si="1"/>
        <v>mkd#1980</v>
      </c>
      <c r="B9407" t="str">
        <f>IFERROR(__xludf.DUMMYFUNCTION("""COMPUTED_VALUE"""),"mkd")</f>
        <v>mkd</v>
      </c>
      <c r="C9407" t="str">
        <f>IFERROR(__xludf.DUMMYFUNCTION("""COMPUTED_VALUE"""),"Macedonia, FYR")</f>
        <v>Macedonia, FYR</v>
      </c>
      <c r="D9407">
        <f>IFERROR(__xludf.DUMMYFUNCTION("""COMPUTED_VALUE"""),1980.0)</f>
        <v>1980</v>
      </c>
      <c r="E9407">
        <f>IFERROR(__xludf.DUMMYFUNCTION("""COMPUTED_VALUE"""),1924197.0)</f>
        <v>1924197</v>
      </c>
    </row>
    <row r="9408">
      <c r="A9408" t="str">
        <f t="shared" si="1"/>
        <v>mkd#1981</v>
      </c>
      <c r="B9408" t="str">
        <f>IFERROR(__xludf.DUMMYFUNCTION("""COMPUTED_VALUE"""),"mkd")</f>
        <v>mkd</v>
      </c>
      <c r="C9408" t="str">
        <f>IFERROR(__xludf.DUMMYFUNCTION("""COMPUTED_VALUE"""),"Macedonia, FYR")</f>
        <v>Macedonia, FYR</v>
      </c>
      <c r="D9408">
        <f>IFERROR(__xludf.DUMMYFUNCTION("""COMPUTED_VALUE"""),1981.0)</f>
        <v>1981</v>
      </c>
      <c r="E9408">
        <f>IFERROR(__xludf.DUMMYFUNCTION("""COMPUTED_VALUE"""),1941530.0)</f>
        <v>1941530</v>
      </c>
    </row>
    <row r="9409">
      <c r="A9409" t="str">
        <f t="shared" si="1"/>
        <v>mkd#1982</v>
      </c>
      <c r="B9409" t="str">
        <f>IFERROR(__xludf.DUMMYFUNCTION("""COMPUTED_VALUE"""),"mkd")</f>
        <v>mkd</v>
      </c>
      <c r="C9409" t="str">
        <f>IFERROR(__xludf.DUMMYFUNCTION("""COMPUTED_VALUE"""),"Macedonia, FYR")</f>
        <v>Macedonia, FYR</v>
      </c>
      <c r="D9409">
        <f>IFERROR(__xludf.DUMMYFUNCTION("""COMPUTED_VALUE"""),1982.0)</f>
        <v>1982</v>
      </c>
      <c r="E9409">
        <f>IFERROR(__xludf.DUMMYFUNCTION("""COMPUTED_VALUE"""),1955243.0)</f>
        <v>1955243</v>
      </c>
    </row>
    <row r="9410">
      <c r="A9410" t="str">
        <f t="shared" si="1"/>
        <v>mkd#1983</v>
      </c>
      <c r="B9410" t="str">
        <f>IFERROR(__xludf.DUMMYFUNCTION("""COMPUTED_VALUE"""),"mkd")</f>
        <v>mkd</v>
      </c>
      <c r="C9410" t="str">
        <f>IFERROR(__xludf.DUMMYFUNCTION("""COMPUTED_VALUE"""),"Macedonia, FYR")</f>
        <v>Macedonia, FYR</v>
      </c>
      <c r="D9410">
        <f>IFERROR(__xludf.DUMMYFUNCTION("""COMPUTED_VALUE"""),1983.0)</f>
        <v>1983</v>
      </c>
      <c r="E9410">
        <f>IFERROR(__xludf.DUMMYFUNCTION("""COMPUTED_VALUE"""),1965895.0)</f>
        <v>1965895</v>
      </c>
    </row>
    <row r="9411">
      <c r="A9411" t="str">
        <f t="shared" si="1"/>
        <v>mkd#1984</v>
      </c>
      <c r="B9411" t="str">
        <f>IFERROR(__xludf.DUMMYFUNCTION("""COMPUTED_VALUE"""),"mkd")</f>
        <v>mkd</v>
      </c>
      <c r="C9411" t="str">
        <f>IFERROR(__xludf.DUMMYFUNCTION("""COMPUTED_VALUE"""),"Macedonia, FYR")</f>
        <v>Macedonia, FYR</v>
      </c>
      <c r="D9411">
        <f>IFERROR(__xludf.DUMMYFUNCTION("""COMPUTED_VALUE"""),1984.0)</f>
        <v>1984</v>
      </c>
      <c r="E9411">
        <f>IFERROR(__xludf.DUMMYFUNCTION("""COMPUTED_VALUE"""),1974415.0)</f>
        <v>1974415</v>
      </c>
    </row>
    <row r="9412">
      <c r="A9412" t="str">
        <f t="shared" si="1"/>
        <v>mkd#1985</v>
      </c>
      <c r="B9412" t="str">
        <f>IFERROR(__xludf.DUMMYFUNCTION("""COMPUTED_VALUE"""),"mkd")</f>
        <v>mkd</v>
      </c>
      <c r="C9412" t="str">
        <f>IFERROR(__xludf.DUMMYFUNCTION("""COMPUTED_VALUE"""),"Macedonia, FYR")</f>
        <v>Macedonia, FYR</v>
      </c>
      <c r="D9412">
        <f>IFERROR(__xludf.DUMMYFUNCTION("""COMPUTED_VALUE"""),1985.0)</f>
        <v>1985</v>
      </c>
      <c r="E9412">
        <f>IFERROR(__xludf.DUMMYFUNCTION("""COMPUTED_VALUE"""),1981534.0)</f>
        <v>1981534</v>
      </c>
    </row>
    <row r="9413">
      <c r="A9413" t="str">
        <f t="shared" si="1"/>
        <v>mkd#1986</v>
      </c>
      <c r="B9413" t="str">
        <f>IFERROR(__xludf.DUMMYFUNCTION("""COMPUTED_VALUE"""),"mkd")</f>
        <v>mkd</v>
      </c>
      <c r="C9413" t="str">
        <f>IFERROR(__xludf.DUMMYFUNCTION("""COMPUTED_VALUE"""),"Macedonia, FYR")</f>
        <v>Macedonia, FYR</v>
      </c>
      <c r="D9413">
        <f>IFERROR(__xludf.DUMMYFUNCTION("""COMPUTED_VALUE"""),1986.0)</f>
        <v>1986</v>
      </c>
      <c r="E9413">
        <f>IFERROR(__xludf.DUMMYFUNCTION("""COMPUTED_VALUE"""),1987538.0)</f>
        <v>1987538</v>
      </c>
    </row>
    <row r="9414">
      <c r="A9414" t="str">
        <f t="shared" si="1"/>
        <v>mkd#1987</v>
      </c>
      <c r="B9414" t="str">
        <f>IFERROR(__xludf.DUMMYFUNCTION("""COMPUTED_VALUE"""),"mkd")</f>
        <v>mkd</v>
      </c>
      <c r="C9414" t="str">
        <f>IFERROR(__xludf.DUMMYFUNCTION("""COMPUTED_VALUE"""),"Macedonia, FYR")</f>
        <v>Macedonia, FYR</v>
      </c>
      <c r="D9414">
        <f>IFERROR(__xludf.DUMMYFUNCTION("""COMPUTED_VALUE"""),1987.0)</f>
        <v>1987</v>
      </c>
      <c r="E9414">
        <f>IFERROR(__xludf.DUMMYFUNCTION("""COMPUTED_VALUE"""),1992274.0)</f>
        <v>1992274</v>
      </c>
    </row>
    <row r="9415">
      <c r="A9415" t="str">
        <f t="shared" si="1"/>
        <v>mkd#1988</v>
      </c>
      <c r="B9415" t="str">
        <f>IFERROR(__xludf.DUMMYFUNCTION("""COMPUTED_VALUE"""),"mkd")</f>
        <v>mkd</v>
      </c>
      <c r="C9415" t="str">
        <f>IFERROR(__xludf.DUMMYFUNCTION("""COMPUTED_VALUE"""),"Macedonia, FYR")</f>
        <v>Macedonia, FYR</v>
      </c>
      <c r="D9415">
        <f>IFERROR(__xludf.DUMMYFUNCTION("""COMPUTED_VALUE"""),1988.0)</f>
        <v>1988</v>
      </c>
      <c r="E9415">
        <f>IFERROR(__xludf.DUMMYFUNCTION("""COMPUTED_VALUE"""),1995513.0)</f>
        <v>1995513</v>
      </c>
    </row>
    <row r="9416">
      <c r="A9416" t="str">
        <f t="shared" si="1"/>
        <v>mkd#1989</v>
      </c>
      <c r="B9416" t="str">
        <f>IFERROR(__xludf.DUMMYFUNCTION("""COMPUTED_VALUE"""),"mkd")</f>
        <v>mkd</v>
      </c>
      <c r="C9416" t="str">
        <f>IFERROR(__xludf.DUMMYFUNCTION("""COMPUTED_VALUE"""),"Macedonia, FYR")</f>
        <v>Macedonia, FYR</v>
      </c>
      <c r="D9416">
        <f>IFERROR(__xludf.DUMMYFUNCTION("""COMPUTED_VALUE"""),1989.0)</f>
        <v>1989</v>
      </c>
      <c r="E9416">
        <f>IFERROR(__xludf.DUMMYFUNCTION("""COMPUTED_VALUE"""),1996870.0)</f>
        <v>1996870</v>
      </c>
    </row>
    <row r="9417">
      <c r="A9417" t="str">
        <f t="shared" si="1"/>
        <v>mkd#1990</v>
      </c>
      <c r="B9417" t="str">
        <f>IFERROR(__xludf.DUMMYFUNCTION("""COMPUTED_VALUE"""),"mkd")</f>
        <v>mkd</v>
      </c>
      <c r="C9417" t="str">
        <f>IFERROR(__xludf.DUMMYFUNCTION("""COMPUTED_VALUE"""),"Macedonia, FYR")</f>
        <v>Macedonia, FYR</v>
      </c>
      <c r="D9417">
        <f>IFERROR(__xludf.DUMMYFUNCTION("""COMPUTED_VALUE"""),1990.0)</f>
        <v>1990</v>
      </c>
      <c r="E9417">
        <f>IFERROR(__xludf.DUMMYFUNCTION("""COMPUTED_VALUE"""),1996228.0)</f>
        <v>1996228</v>
      </c>
    </row>
    <row r="9418">
      <c r="A9418" t="str">
        <f t="shared" si="1"/>
        <v>mkd#1991</v>
      </c>
      <c r="B9418" t="str">
        <f>IFERROR(__xludf.DUMMYFUNCTION("""COMPUTED_VALUE"""),"mkd")</f>
        <v>mkd</v>
      </c>
      <c r="C9418" t="str">
        <f>IFERROR(__xludf.DUMMYFUNCTION("""COMPUTED_VALUE"""),"Macedonia, FYR")</f>
        <v>Macedonia, FYR</v>
      </c>
      <c r="D9418">
        <f>IFERROR(__xludf.DUMMYFUNCTION("""COMPUTED_VALUE"""),1991.0)</f>
        <v>1991</v>
      </c>
      <c r="E9418">
        <f>IFERROR(__xludf.DUMMYFUNCTION("""COMPUTED_VALUE"""),1993302.0)</f>
        <v>1993302</v>
      </c>
    </row>
    <row r="9419">
      <c r="A9419" t="str">
        <f t="shared" si="1"/>
        <v>mkd#1992</v>
      </c>
      <c r="B9419" t="str">
        <f>IFERROR(__xludf.DUMMYFUNCTION("""COMPUTED_VALUE"""),"mkd")</f>
        <v>mkd</v>
      </c>
      <c r="C9419" t="str">
        <f>IFERROR(__xludf.DUMMYFUNCTION("""COMPUTED_VALUE"""),"Macedonia, FYR")</f>
        <v>Macedonia, FYR</v>
      </c>
      <c r="D9419">
        <f>IFERROR(__xludf.DUMMYFUNCTION("""COMPUTED_VALUE"""),1992.0)</f>
        <v>1992</v>
      </c>
      <c r="E9419">
        <f>IFERROR(__xludf.DUMMYFUNCTION("""COMPUTED_VALUE"""),1988659.0)</f>
        <v>1988659</v>
      </c>
    </row>
    <row r="9420">
      <c r="A9420" t="str">
        <f t="shared" si="1"/>
        <v>mkd#1993</v>
      </c>
      <c r="B9420" t="str">
        <f>IFERROR(__xludf.DUMMYFUNCTION("""COMPUTED_VALUE"""),"mkd")</f>
        <v>mkd</v>
      </c>
      <c r="C9420" t="str">
        <f>IFERROR(__xludf.DUMMYFUNCTION("""COMPUTED_VALUE"""),"Macedonia, FYR")</f>
        <v>Macedonia, FYR</v>
      </c>
      <c r="D9420">
        <f>IFERROR(__xludf.DUMMYFUNCTION("""COMPUTED_VALUE"""),1993.0)</f>
        <v>1993</v>
      </c>
      <c r="E9420">
        <f>IFERROR(__xludf.DUMMYFUNCTION("""COMPUTED_VALUE"""),1984028.0)</f>
        <v>1984028</v>
      </c>
    </row>
    <row r="9421">
      <c r="A9421" t="str">
        <f t="shared" si="1"/>
        <v>mkd#1994</v>
      </c>
      <c r="B9421" t="str">
        <f>IFERROR(__xludf.DUMMYFUNCTION("""COMPUTED_VALUE"""),"mkd")</f>
        <v>mkd</v>
      </c>
      <c r="C9421" t="str">
        <f>IFERROR(__xludf.DUMMYFUNCTION("""COMPUTED_VALUE"""),"Macedonia, FYR")</f>
        <v>Macedonia, FYR</v>
      </c>
      <c r="D9421">
        <f>IFERROR(__xludf.DUMMYFUNCTION("""COMPUTED_VALUE"""),1994.0)</f>
        <v>1994</v>
      </c>
      <c r="E9421">
        <f>IFERROR(__xludf.DUMMYFUNCTION("""COMPUTED_VALUE"""),1981703.0)</f>
        <v>1981703</v>
      </c>
    </row>
    <row r="9422">
      <c r="A9422" t="str">
        <f t="shared" si="1"/>
        <v>mkd#1995</v>
      </c>
      <c r="B9422" t="str">
        <f>IFERROR(__xludf.DUMMYFUNCTION("""COMPUTED_VALUE"""),"mkd")</f>
        <v>mkd</v>
      </c>
      <c r="C9422" t="str">
        <f>IFERROR(__xludf.DUMMYFUNCTION("""COMPUTED_VALUE"""),"Macedonia, FYR")</f>
        <v>Macedonia, FYR</v>
      </c>
      <c r="D9422">
        <f>IFERROR(__xludf.DUMMYFUNCTION("""COMPUTED_VALUE"""),1995.0)</f>
        <v>1995</v>
      </c>
      <c r="E9422">
        <f>IFERROR(__xludf.DUMMYFUNCTION("""COMPUTED_VALUE"""),1983252.0)</f>
        <v>1983252</v>
      </c>
    </row>
    <row r="9423">
      <c r="A9423" t="str">
        <f t="shared" si="1"/>
        <v>mkd#1996</v>
      </c>
      <c r="B9423" t="str">
        <f>IFERROR(__xludf.DUMMYFUNCTION("""COMPUTED_VALUE"""),"mkd")</f>
        <v>mkd</v>
      </c>
      <c r="C9423" t="str">
        <f>IFERROR(__xludf.DUMMYFUNCTION("""COMPUTED_VALUE"""),"Macedonia, FYR")</f>
        <v>Macedonia, FYR</v>
      </c>
      <c r="D9423">
        <f>IFERROR(__xludf.DUMMYFUNCTION("""COMPUTED_VALUE"""),1996.0)</f>
        <v>1996</v>
      </c>
      <c r="E9423">
        <f>IFERROR(__xludf.DUMMYFUNCTION("""COMPUTED_VALUE"""),1989443.0)</f>
        <v>1989443</v>
      </c>
    </row>
    <row r="9424">
      <c r="A9424" t="str">
        <f t="shared" si="1"/>
        <v>mkd#1997</v>
      </c>
      <c r="B9424" t="str">
        <f>IFERROR(__xludf.DUMMYFUNCTION("""COMPUTED_VALUE"""),"mkd")</f>
        <v>mkd</v>
      </c>
      <c r="C9424" t="str">
        <f>IFERROR(__xludf.DUMMYFUNCTION("""COMPUTED_VALUE"""),"Macedonia, FYR")</f>
        <v>Macedonia, FYR</v>
      </c>
      <c r="D9424">
        <f>IFERROR(__xludf.DUMMYFUNCTION("""COMPUTED_VALUE"""),1997.0)</f>
        <v>1997</v>
      </c>
      <c r="E9424">
        <f>IFERROR(__xludf.DUMMYFUNCTION("""COMPUTED_VALUE"""),1999599.0)</f>
        <v>1999599</v>
      </c>
    </row>
    <row r="9425">
      <c r="A9425" t="str">
        <f t="shared" si="1"/>
        <v>mkd#1998</v>
      </c>
      <c r="B9425" t="str">
        <f>IFERROR(__xludf.DUMMYFUNCTION("""COMPUTED_VALUE"""),"mkd")</f>
        <v>mkd</v>
      </c>
      <c r="C9425" t="str">
        <f>IFERROR(__xludf.DUMMYFUNCTION("""COMPUTED_VALUE"""),"Macedonia, FYR")</f>
        <v>Macedonia, FYR</v>
      </c>
      <c r="D9425">
        <f>IFERROR(__xludf.DUMMYFUNCTION("""COMPUTED_VALUE"""),1998.0)</f>
        <v>1998</v>
      </c>
      <c r="E9425">
        <f>IFERROR(__xludf.DUMMYFUNCTION("""COMPUTED_VALUE"""),2012057.0)</f>
        <v>2012057</v>
      </c>
    </row>
    <row r="9426">
      <c r="A9426" t="str">
        <f t="shared" si="1"/>
        <v>mkd#1999</v>
      </c>
      <c r="B9426" t="str">
        <f>IFERROR(__xludf.DUMMYFUNCTION("""COMPUTED_VALUE"""),"mkd")</f>
        <v>mkd</v>
      </c>
      <c r="C9426" t="str">
        <f>IFERROR(__xludf.DUMMYFUNCTION("""COMPUTED_VALUE"""),"Macedonia, FYR")</f>
        <v>Macedonia, FYR</v>
      </c>
      <c r="D9426">
        <f>IFERROR(__xludf.DUMMYFUNCTION("""COMPUTED_VALUE"""),1999.0)</f>
        <v>1999</v>
      </c>
      <c r="E9426">
        <f>IFERROR(__xludf.DUMMYFUNCTION("""COMPUTED_VALUE"""),2024394.0)</f>
        <v>2024394</v>
      </c>
    </row>
    <row r="9427">
      <c r="A9427" t="str">
        <f t="shared" si="1"/>
        <v>mkd#2000</v>
      </c>
      <c r="B9427" t="str">
        <f>IFERROR(__xludf.DUMMYFUNCTION("""COMPUTED_VALUE"""),"mkd")</f>
        <v>mkd</v>
      </c>
      <c r="C9427" t="str">
        <f>IFERROR(__xludf.DUMMYFUNCTION("""COMPUTED_VALUE"""),"Macedonia, FYR")</f>
        <v>Macedonia, FYR</v>
      </c>
      <c r="D9427">
        <f>IFERROR(__xludf.DUMMYFUNCTION("""COMPUTED_VALUE"""),2000.0)</f>
        <v>2000</v>
      </c>
      <c r="E9427">
        <f>IFERROR(__xludf.DUMMYFUNCTION("""COMPUTED_VALUE"""),2034819.0)</f>
        <v>2034819</v>
      </c>
    </row>
    <row r="9428">
      <c r="A9428" t="str">
        <f t="shared" si="1"/>
        <v>mkd#2001</v>
      </c>
      <c r="B9428" t="str">
        <f>IFERROR(__xludf.DUMMYFUNCTION("""COMPUTED_VALUE"""),"mkd")</f>
        <v>mkd</v>
      </c>
      <c r="C9428" t="str">
        <f>IFERROR(__xludf.DUMMYFUNCTION("""COMPUTED_VALUE"""),"Macedonia, FYR")</f>
        <v>Macedonia, FYR</v>
      </c>
      <c r="D9428">
        <f>IFERROR(__xludf.DUMMYFUNCTION("""COMPUTED_VALUE"""),2001.0)</f>
        <v>2001</v>
      </c>
      <c r="E9428">
        <f>IFERROR(__xludf.DUMMYFUNCTION("""COMPUTED_VALUE"""),2042842.0)</f>
        <v>2042842</v>
      </c>
    </row>
    <row r="9429">
      <c r="A9429" t="str">
        <f t="shared" si="1"/>
        <v>mkd#2002</v>
      </c>
      <c r="B9429" t="str">
        <f>IFERROR(__xludf.DUMMYFUNCTION("""COMPUTED_VALUE"""),"mkd")</f>
        <v>mkd</v>
      </c>
      <c r="C9429" t="str">
        <f>IFERROR(__xludf.DUMMYFUNCTION("""COMPUTED_VALUE"""),"Macedonia, FYR")</f>
        <v>Macedonia, FYR</v>
      </c>
      <c r="D9429">
        <f>IFERROR(__xludf.DUMMYFUNCTION("""COMPUTED_VALUE"""),2002.0)</f>
        <v>2002</v>
      </c>
      <c r="E9429">
        <f>IFERROR(__xludf.DUMMYFUNCTION("""COMPUTED_VALUE"""),2048928.0)</f>
        <v>2048928</v>
      </c>
    </row>
    <row r="9430">
      <c r="A9430" t="str">
        <f t="shared" si="1"/>
        <v>mkd#2003</v>
      </c>
      <c r="B9430" t="str">
        <f>IFERROR(__xludf.DUMMYFUNCTION("""COMPUTED_VALUE"""),"mkd")</f>
        <v>mkd</v>
      </c>
      <c r="C9430" t="str">
        <f>IFERROR(__xludf.DUMMYFUNCTION("""COMPUTED_VALUE"""),"Macedonia, FYR")</f>
        <v>Macedonia, FYR</v>
      </c>
      <c r="D9430">
        <f>IFERROR(__xludf.DUMMYFUNCTION("""COMPUTED_VALUE"""),2003.0)</f>
        <v>2003</v>
      </c>
      <c r="E9430">
        <f>IFERROR(__xludf.DUMMYFUNCTION("""COMPUTED_VALUE"""),2053426.0)</f>
        <v>2053426</v>
      </c>
    </row>
    <row r="9431">
      <c r="A9431" t="str">
        <f t="shared" si="1"/>
        <v>mkd#2004</v>
      </c>
      <c r="B9431" t="str">
        <f>IFERROR(__xludf.DUMMYFUNCTION("""COMPUTED_VALUE"""),"mkd")</f>
        <v>mkd</v>
      </c>
      <c r="C9431" t="str">
        <f>IFERROR(__xludf.DUMMYFUNCTION("""COMPUTED_VALUE"""),"Macedonia, FYR")</f>
        <v>Macedonia, FYR</v>
      </c>
      <c r="D9431">
        <f>IFERROR(__xludf.DUMMYFUNCTION("""COMPUTED_VALUE"""),2004.0)</f>
        <v>2004</v>
      </c>
      <c r="E9431">
        <f>IFERROR(__xludf.DUMMYFUNCTION("""COMPUTED_VALUE"""),2057047.0)</f>
        <v>2057047</v>
      </c>
    </row>
    <row r="9432">
      <c r="A9432" t="str">
        <f t="shared" si="1"/>
        <v>mkd#2005</v>
      </c>
      <c r="B9432" t="str">
        <f>IFERROR(__xludf.DUMMYFUNCTION("""COMPUTED_VALUE"""),"mkd")</f>
        <v>mkd</v>
      </c>
      <c r="C9432" t="str">
        <f>IFERROR(__xludf.DUMMYFUNCTION("""COMPUTED_VALUE"""),"Macedonia, FYR")</f>
        <v>Macedonia, FYR</v>
      </c>
      <c r="D9432">
        <f>IFERROR(__xludf.DUMMYFUNCTION("""COMPUTED_VALUE"""),2005.0)</f>
        <v>2005</v>
      </c>
      <c r="E9432">
        <f>IFERROR(__xludf.DUMMYFUNCTION("""COMPUTED_VALUE"""),2060272.0)</f>
        <v>2060272</v>
      </c>
    </row>
    <row r="9433">
      <c r="A9433" t="str">
        <f t="shared" si="1"/>
        <v>mkd#2006</v>
      </c>
      <c r="B9433" t="str">
        <f>IFERROR(__xludf.DUMMYFUNCTION("""COMPUTED_VALUE"""),"mkd")</f>
        <v>mkd</v>
      </c>
      <c r="C9433" t="str">
        <f>IFERROR(__xludf.DUMMYFUNCTION("""COMPUTED_VALUE"""),"Macedonia, FYR")</f>
        <v>Macedonia, FYR</v>
      </c>
      <c r="D9433">
        <f>IFERROR(__xludf.DUMMYFUNCTION("""COMPUTED_VALUE"""),2006.0)</f>
        <v>2006</v>
      </c>
      <c r="E9433">
        <f>IFERROR(__xludf.DUMMYFUNCTION("""COMPUTED_VALUE"""),2063145.0)</f>
        <v>2063145</v>
      </c>
    </row>
    <row r="9434">
      <c r="A9434" t="str">
        <f t="shared" si="1"/>
        <v>mkd#2007</v>
      </c>
      <c r="B9434" t="str">
        <f>IFERROR(__xludf.DUMMYFUNCTION("""COMPUTED_VALUE"""),"mkd")</f>
        <v>mkd</v>
      </c>
      <c r="C9434" t="str">
        <f>IFERROR(__xludf.DUMMYFUNCTION("""COMPUTED_VALUE"""),"Macedonia, FYR")</f>
        <v>Macedonia, FYR</v>
      </c>
      <c r="D9434">
        <f>IFERROR(__xludf.DUMMYFUNCTION("""COMPUTED_VALUE"""),2007.0)</f>
        <v>2007</v>
      </c>
      <c r="E9434">
        <f>IFERROR(__xludf.DUMMYFUNCTION("""COMPUTED_VALUE"""),2065458.0)</f>
        <v>2065458</v>
      </c>
    </row>
    <row r="9435">
      <c r="A9435" t="str">
        <f t="shared" si="1"/>
        <v>mkd#2008</v>
      </c>
      <c r="B9435" t="str">
        <f>IFERROR(__xludf.DUMMYFUNCTION("""COMPUTED_VALUE"""),"mkd")</f>
        <v>mkd</v>
      </c>
      <c r="C9435" t="str">
        <f>IFERROR(__xludf.DUMMYFUNCTION("""COMPUTED_VALUE"""),"Macedonia, FYR")</f>
        <v>Macedonia, FYR</v>
      </c>
      <c r="D9435">
        <f>IFERROR(__xludf.DUMMYFUNCTION("""COMPUTED_VALUE"""),2008.0)</f>
        <v>2008</v>
      </c>
      <c r="E9435">
        <f>IFERROR(__xludf.DUMMYFUNCTION("""COMPUTED_VALUE"""),2067378.0)</f>
        <v>2067378</v>
      </c>
    </row>
    <row r="9436">
      <c r="A9436" t="str">
        <f t="shared" si="1"/>
        <v>mkd#2009</v>
      </c>
      <c r="B9436" t="str">
        <f>IFERROR(__xludf.DUMMYFUNCTION("""COMPUTED_VALUE"""),"mkd")</f>
        <v>mkd</v>
      </c>
      <c r="C9436" t="str">
        <f>IFERROR(__xludf.DUMMYFUNCTION("""COMPUTED_VALUE"""),"Macedonia, FYR")</f>
        <v>Macedonia, FYR</v>
      </c>
      <c r="D9436">
        <f>IFERROR(__xludf.DUMMYFUNCTION("""COMPUTED_VALUE"""),2009.0)</f>
        <v>2009</v>
      </c>
      <c r="E9436">
        <f>IFERROR(__xludf.DUMMYFUNCTION("""COMPUTED_VALUE"""),2069093.0)</f>
        <v>2069093</v>
      </c>
    </row>
    <row r="9437">
      <c r="A9437" t="str">
        <f t="shared" si="1"/>
        <v>mkd#2010</v>
      </c>
      <c r="B9437" t="str">
        <f>IFERROR(__xludf.DUMMYFUNCTION("""COMPUTED_VALUE"""),"mkd")</f>
        <v>mkd</v>
      </c>
      <c r="C9437" t="str">
        <f>IFERROR(__xludf.DUMMYFUNCTION("""COMPUTED_VALUE"""),"Macedonia, FYR")</f>
        <v>Macedonia, FYR</v>
      </c>
      <c r="D9437">
        <f>IFERROR(__xludf.DUMMYFUNCTION("""COMPUTED_VALUE"""),2010.0)</f>
        <v>2010</v>
      </c>
      <c r="E9437">
        <f>IFERROR(__xludf.DUMMYFUNCTION("""COMPUTED_VALUE"""),2070739.0)</f>
        <v>2070739</v>
      </c>
    </row>
    <row r="9438">
      <c r="A9438" t="str">
        <f t="shared" si="1"/>
        <v>mkd#2011</v>
      </c>
      <c r="B9438" t="str">
        <f>IFERROR(__xludf.DUMMYFUNCTION("""COMPUTED_VALUE"""),"mkd")</f>
        <v>mkd</v>
      </c>
      <c r="C9438" t="str">
        <f>IFERROR(__xludf.DUMMYFUNCTION("""COMPUTED_VALUE"""),"Macedonia, FYR")</f>
        <v>Macedonia, FYR</v>
      </c>
      <c r="D9438">
        <f>IFERROR(__xludf.DUMMYFUNCTION("""COMPUTED_VALUE"""),2011.0)</f>
        <v>2011</v>
      </c>
      <c r="E9438">
        <f>IFERROR(__xludf.DUMMYFUNCTION("""COMPUTED_VALUE"""),2072383.0)</f>
        <v>2072383</v>
      </c>
    </row>
    <row r="9439">
      <c r="A9439" t="str">
        <f t="shared" si="1"/>
        <v>mkd#2012</v>
      </c>
      <c r="B9439" t="str">
        <f>IFERROR(__xludf.DUMMYFUNCTION("""COMPUTED_VALUE"""),"mkd")</f>
        <v>mkd</v>
      </c>
      <c r="C9439" t="str">
        <f>IFERROR(__xludf.DUMMYFUNCTION("""COMPUTED_VALUE"""),"Macedonia, FYR")</f>
        <v>Macedonia, FYR</v>
      </c>
      <c r="D9439">
        <f>IFERROR(__xludf.DUMMYFUNCTION("""COMPUTED_VALUE"""),2012.0)</f>
        <v>2012</v>
      </c>
      <c r="E9439">
        <f>IFERROR(__xludf.DUMMYFUNCTION("""COMPUTED_VALUE"""),2074036.0)</f>
        <v>2074036</v>
      </c>
    </row>
    <row r="9440">
      <c r="A9440" t="str">
        <f t="shared" si="1"/>
        <v>mkd#2013</v>
      </c>
      <c r="B9440" t="str">
        <f>IFERROR(__xludf.DUMMYFUNCTION("""COMPUTED_VALUE"""),"mkd")</f>
        <v>mkd</v>
      </c>
      <c r="C9440" t="str">
        <f>IFERROR(__xludf.DUMMYFUNCTION("""COMPUTED_VALUE"""),"Macedonia, FYR")</f>
        <v>Macedonia, FYR</v>
      </c>
      <c r="D9440">
        <f>IFERROR(__xludf.DUMMYFUNCTION("""COMPUTED_VALUE"""),2013.0)</f>
        <v>2013</v>
      </c>
      <c r="E9440">
        <f>IFERROR(__xludf.DUMMYFUNCTION("""COMPUTED_VALUE"""),2075739.0)</f>
        <v>2075739</v>
      </c>
    </row>
    <row r="9441">
      <c r="A9441" t="str">
        <f t="shared" si="1"/>
        <v>mkd#2014</v>
      </c>
      <c r="B9441" t="str">
        <f>IFERROR(__xludf.DUMMYFUNCTION("""COMPUTED_VALUE"""),"mkd")</f>
        <v>mkd</v>
      </c>
      <c r="C9441" t="str">
        <f>IFERROR(__xludf.DUMMYFUNCTION("""COMPUTED_VALUE"""),"Macedonia, FYR")</f>
        <v>Macedonia, FYR</v>
      </c>
      <c r="D9441">
        <f>IFERROR(__xludf.DUMMYFUNCTION("""COMPUTED_VALUE"""),2014.0)</f>
        <v>2014</v>
      </c>
      <c r="E9441">
        <f>IFERROR(__xludf.DUMMYFUNCTION("""COMPUTED_VALUE"""),2077495.0)</f>
        <v>2077495</v>
      </c>
    </row>
    <row r="9442">
      <c r="A9442" t="str">
        <f t="shared" si="1"/>
        <v>mkd#2015</v>
      </c>
      <c r="B9442" t="str">
        <f>IFERROR(__xludf.DUMMYFUNCTION("""COMPUTED_VALUE"""),"mkd")</f>
        <v>mkd</v>
      </c>
      <c r="C9442" t="str">
        <f>IFERROR(__xludf.DUMMYFUNCTION("""COMPUTED_VALUE"""),"Macedonia, FYR")</f>
        <v>Macedonia, FYR</v>
      </c>
      <c r="D9442">
        <f>IFERROR(__xludf.DUMMYFUNCTION("""COMPUTED_VALUE"""),2015.0)</f>
        <v>2015</v>
      </c>
      <c r="E9442">
        <f>IFERROR(__xludf.DUMMYFUNCTION("""COMPUTED_VALUE"""),2079308.0)</f>
        <v>2079308</v>
      </c>
    </row>
    <row r="9443">
      <c r="A9443" t="str">
        <f t="shared" si="1"/>
        <v>mkd#2016</v>
      </c>
      <c r="B9443" t="str">
        <f>IFERROR(__xludf.DUMMYFUNCTION("""COMPUTED_VALUE"""),"mkd")</f>
        <v>mkd</v>
      </c>
      <c r="C9443" t="str">
        <f>IFERROR(__xludf.DUMMYFUNCTION("""COMPUTED_VALUE"""),"Macedonia, FYR")</f>
        <v>Macedonia, FYR</v>
      </c>
      <c r="D9443">
        <f>IFERROR(__xludf.DUMMYFUNCTION("""COMPUTED_VALUE"""),2016.0)</f>
        <v>2016</v>
      </c>
      <c r="E9443">
        <f>IFERROR(__xludf.DUMMYFUNCTION("""COMPUTED_VALUE"""),2081206.0)</f>
        <v>2081206</v>
      </c>
    </row>
    <row r="9444">
      <c r="A9444" t="str">
        <f t="shared" si="1"/>
        <v>mkd#2017</v>
      </c>
      <c r="B9444" t="str">
        <f>IFERROR(__xludf.DUMMYFUNCTION("""COMPUTED_VALUE"""),"mkd")</f>
        <v>mkd</v>
      </c>
      <c r="C9444" t="str">
        <f>IFERROR(__xludf.DUMMYFUNCTION("""COMPUTED_VALUE"""),"Macedonia, FYR")</f>
        <v>Macedonia, FYR</v>
      </c>
      <c r="D9444">
        <f>IFERROR(__xludf.DUMMYFUNCTION("""COMPUTED_VALUE"""),2017.0)</f>
        <v>2017</v>
      </c>
      <c r="E9444">
        <f>IFERROR(__xludf.DUMMYFUNCTION("""COMPUTED_VALUE"""),2083160.0)</f>
        <v>2083160</v>
      </c>
    </row>
    <row r="9445">
      <c r="A9445" t="str">
        <f t="shared" si="1"/>
        <v>mkd#2018</v>
      </c>
      <c r="B9445" t="str">
        <f>IFERROR(__xludf.DUMMYFUNCTION("""COMPUTED_VALUE"""),"mkd")</f>
        <v>mkd</v>
      </c>
      <c r="C9445" t="str">
        <f>IFERROR(__xludf.DUMMYFUNCTION("""COMPUTED_VALUE"""),"Macedonia, FYR")</f>
        <v>Macedonia, FYR</v>
      </c>
      <c r="D9445">
        <f>IFERROR(__xludf.DUMMYFUNCTION("""COMPUTED_VALUE"""),2018.0)</f>
        <v>2018</v>
      </c>
      <c r="E9445">
        <f>IFERROR(__xludf.DUMMYFUNCTION("""COMPUTED_VALUE"""),2085051.0)</f>
        <v>2085051</v>
      </c>
    </row>
    <row r="9446">
      <c r="A9446" t="str">
        <f t="shared" si="1"/>
        <v>mkd#2019</v>
      </c>
      <c r="B9446" t="str">
        <f>IFERROR(__xludf.DUMMYFUNCTION("""COMPUTED_VALUE"""),"mkd")</f>
        <v>mkd</v>
      </c>
      <c r="C9446" t="str">
        <f>IFERROR(__xludf.DUMMYFUNCTION("""COMPUTED_VALUE"""),"Macedonia, FYR")</f>
        <v>Macedonia, FYR</v>
      </c>
      <c r="D9446">
        <f>IFERROR(__xludf.DUMMYFUNCTION("""COMPUTED_VALUE"""),2019.0)</f>
        <v>2019</v>
      </c>
      <c r="E9446">
        <f>IFERROR(__xludf.DUMMYFUNCTION("""COMPUTED_VALUE"""),2086720.0)</f>
        <v>2086720</v>
      </c>
    </row>
    <row r="9447">
      <c r="A9447" t="str">
        <f t="shared" si="1"/>
        <v>mkd#2020</v>
      </c>
      <c r="B9447" t="str">
        <f>IFERROR(__xludf.DUMMYFUNCTION("""COMPUTED_VALUE"""),"mkd")</f>
        <v>mkd</v>
      </c>
      <c r="C9447" t="str">
        <f>IFERROR(__xludf.DUMMYFUNCTION("""COMPUTED_VALUE"""),"Macedonia, FYR")</f>
        <v>Macedonia, FYR</v>
      </c>
      <c r="D9447">
        <f>IFERROR(__xludf.DUMMYFUNCTION("""COMPUTED_VALUE"""),2020.0)</f>
        <v>2020</v>
      </c>
      <c r="E9447">
        <f>IFERROR(__xludf.DUMMYFUNCTION("""COMPUTED_VALUE"""),2088035.0)</f>
        <v>2088035</v>
      </c>
    </row>
    <row r="9448">
      <c r="A9448" t="str">
        <f t="shared" si="1"/>
        <v>mkd#2021</v>
      </c>
      <c r="B9448" t="str">
        <f>IFERROR(__xludf.DUMMYFUNCTION("""COMPUTED_VALUE"""),"mkd")</f>
        <v>mkd</v>
      </c>
      <c r="C9448" t="str">
        <f>IFERROR(__xludf.DUMMYFUNCTION("""COMPUTED_VALUE"""),"Macedonia, FYR")</f>
        <v>Macedonia, FYR</v>
      </c>
      <c r="D9448">
        <f>IFERROR(__xludf.DUMMYFUNCTION("""COMPUTED_VALUE"""),2021.0)</f>
        <v>2021</v>
      </c>
      <c r="E9448">
        <f>IFERROR(__xludf.DUMMYFUNCTION("""COMPUTED_VALUE"""),2088955.0)</f>
        <v>2088955</v>
      </c>
    </row>
    <row r="9449">
      <c r="A9449" t="str">
        <f t="shared" si="1"/>
        <v>mkd#2022</v>
      </c>
      <c r="B9449" t="str">
        <f>IFERROR(__xludf.DUMMYFUNCTION("""COMPUTED_VALUE"""),"mkd")</f>
        <v>mkd</v>
      </c>
      <c r="C9449" t="str">
        <f>IFERROR(__xludf.DUMMYFUNCTION("""COMPUTED_VALUE"""),"Macedonia, FYR")</f>
        <v>Macedonia, FYR</v>
      </c>
      <c r="D9449">
        <f>IFERROR(__xludf.DUMMYFUNCTION("""COMPUTED_VALUE"""),2022.0)</f>
        <v>2022</v>
      </c>
      <c r="E9449">
        <f>IFERROR(__xludf.DUMMYFUNCTION("""COMPUTED_VALUE"""),2089472.0)</f>
        <v>2089472</v>
      </c>
    </row>
    <row r="9450">
      <c r="A9450" t="str">
        <f t="shared" si="1"/>
        <v>mkd#2023</v>
      </c>
      <c r="B9450" t="str">
        <f>IFERROR(__xludf.DUMMYFUNCTION("""COMPUTED_VALUE"""),"mkd")</f>
        <v>mkd</v>
      </c>
      <c r="C9450" t="str">
        <f>IFERROR(__xludf.DUMMYFUNCTION("""COMPUTED_VALUE"""),"Macedonia, FYR")</f>
        <v>Macedonia, FYR</v>
      </c>
      <c r="D9450">
        <f>IFERROR(__xludf.DUMMYFUNCTION("""COMPUTED_VALUE"""),2023.0)</f>
        <v>2023</v>
      </c>
      <c r="E9450">
        <f>IFERROR(__xludf.DUMMYFUNCTION("""COMPUTED_VALUE"""),2089555.0)</f>
        <v>2089555</v>
      </c>
    </row>
    <row r="9451">
      <c r="A9451" t="str">
        <f t="shared" si="1"/>
        <v>mkd#2024</v>
      </c>
      <c r="B9451" t="str">
        <f>IFERROR(__xludf.DUMMYFUNCTION("""COMPUTED_VALUE"""),"mkd")</f>
        <v>mkd</v>
      </c>
      <c r="C9451" t="str">
        <f>IFERROR(__xludf.DUMMYFUNCTION("""COMPUTED_VALUE"""),"Macedonia, FYR")</f>
        <v>Macedonia, FYR</v>
      </c>
      <c r="D9451">
        <f>IFERROR(__xludf.DUMMYFUNCTION("""COMPUTED_VALUE"""),2024.0)</f>
        <v>2024</v>
      </c>
      <c r="E9451">
        <f>IFERROR(__xludf.DUMMYFUNCTION("""COMPUTED_VALUE"""),2089175.0)</f>
        <v>2089175</v>
      </c>
    </row>
    <row r="9452">
      <c r="A9452" t="str">
        <f t="shared" si="1"/>
        <v>mkd#2025</v>
      </c>
      <c r="B9452" t="str">
        <f>IFERROR(__xludf.DUMMYFUNCTION("""COMPUTED_VALUE"""),"mkd")</f>
        <v>mkd</v>
      </c>
      <c r="C9452" t="str">
        <f>IFERROR(__xludf.DUMMYFUNCTION("""COMPUTED_VALUE"""),"Macedonia, FYR")</f>
        <v>Macedonia, FYR</v>
      </c>
      <c r="D9452">
        <f>IFERROR(__xludf.DUMMYFUNCTION("""COMPUTED_VALUE"""),2025.0)</f>
        <v>2025</v>
      </c>
      <c r="E9452">
        <f>IFERROR(__xludf.DUMMYFUNCTION("""COMPUTED_VALUE"""),2088336.0)</f>
        <v>2088336</v>
      </c>
    </row>
    <row r="9453">
      <c r="A9453" t="str">
        <f t="shared" si="1"/>
        <v>mkd#2026</v>
      </c>
      <c r="B9453" t="str">
        <f>IFERROR(__xludf.DUMMYFUNCTION("""COMPUTED_VALUE"""),"mkd")</f>
        <v>mkd</v>
      </c>
      <c r="C9453" t="str">
        <f>IFERROR(__xludf.DUMMYFUNCTION("""COMPUTED_VALUE"""),"Macedonia, FYR")</f>
        <v>Macedonia, FYR</v>
      </c>
      <c r="D9453">
        <f>IFERROR(__xludf.DUMMYFUNCTION("""COMPUTED_VALUE"""),2026.0)</f>
        <v>2026</v>
      </c>
      <c r="E9453">
        <f>IFERROR(__xludf.DUMMYFUNCTION("""COMPUTED_VALUE"""),2086986.0)</f>
        <v>2086986</v>
      </c>
    </row>
    <row r="9454">
      <c r="A9454" t="str">
        <f t="shared" si="1"/>
        <v>mkd#2027</v>
      </c>
      <c r="B9454" t="str">
        <f>IFERROR(__xludf.DUMMYFUNCTION("""COMPUTED_VALUE"""),"mkd")</f>
        <v>mkd</v>
      </c>
      <c r="C9454" t="str">
        <f>IFERROR(__xludf.DUMMYFUNCTION("""COMPUTED_VALUE"""),"Macedonia, FYR")</f>
        <v>Macedonia, FYR</v>
      </c>
      <c r="D9454">
        <f>IFERROR(__xludf.DUMMYFUNCTION("""COMPUTED_VALUE"""),2027.0)</f>
        <v>2027</v>
      </c>
      <c r="E9454">
        <f>IFERROR(__xludf.DUMMYFUNCTION("""COMPUTED_VALUE"""),2085130.0)</f>
        <v>2085130</v>
      </c>
    </row>
    <row r="9455">
      <c r="A9455" t="str">
        <f t="shared" si="1"/>
        <v>mkd#2028</v>
      </c>
      <c r="B9455" t="str">
        <f>IFERROR(__xludf.DUMMYFUNCTION("""COMPUTED_VALUE"""),"mkd")</f>
        <v>mkd</v>
      </c>
      <c r="C9455" t="str">
        <f>IFERROR(__xludf.DUMMYFUNCTION("""COMPUTED_VALUE"""),"Macedonia, FYR")</f>
        <v>Macedonia, FYR</v>
      </c>
      <c r="D9455">
        <f>IFERROR(__xludf.DUMMYFUNCTION("""COMPUTED_VALUE"""),2028.0)</f>
        <v>2028</v>
      </c>
      <c r="E9455">
        <f>IFERROR(__xludf.DUMMYFUNCTION("""COMPUTED_VALUE"""),2082747.0)</f>
        <v>2082747</v>
      </c>
    </row>
    <row r="9456">
      <c r="A9456" t="str">
        <f t="shared" si="1"/>
        <v>mkd#2029</v>
      </c>
      <c r="B9456" t="str">
        <f>IFERROR(__xludf.DUMMYFUNCTION("""COMPUTED_VALUE"""),"mkd")</f>
        <v>mkd</v>
      </c>
      <c r="C9456" t="str">
        <f>IFERROR(__xludf.DUMMYFUNCTION("""COMPUTED_VALUE"""),"Macedonia, FYR")</f>
        <v>Macedonia, FYR</v>
      </c>
      <c r="D9456">
        <f>IFERROR(__xludf.DUMMYFUNCTION("""COMPUTED_VALUE"""),2029.0)</f>
        <v>2029</v>
      </c>
      <c r="E9456">
        <f>IFERROR(__xludf.DUMMYFUNCTION("""COMPUTED_VALUE"""),2079826.0)</f>
        <v>2079826</v>
      </c>
    </row>
    <row r="9457">
      <c r="A9457" t="str">
        <f t="shared" si="1"/>
        <v>mkd#2030</v>
      </c>
      <c r="B9457" t="str">
        <f>IFERROR(__xludf.DUMMYFUNCTION("""COMPUTED_VALUE"""),"mkd")</f>
        <v>mkd</v>
      </c>
      <c r="C9457" t="str">
        <f>IFERROR(__xludf.DUMMYFUNCTION("""COMPUTED_VALUE"""),"Macedonia, FYR")</f>
        <v>Macedonia, FYR</v>
      </c>
      <c r="D9457">
        <f>IFERROR(__xludf.DUMMYFUNCTION("""COMPUTED_VALUE"""),2030.0)</f>
        <v>2030</v>
      </c>
      <c r="E9457">
        <f>IFERROR(__xludf.DUMMYFUNCTION("""COMPUTED_VALUE"""),2076350.0)</f>
        <v>2076350</v>
      </c>
    </row>
    <row r="9458">
      <c r="A9458" t="str">
        <f t="shared" si="1"/>
        <v>mkd#2031</v>
      </c>
      <c r="B9458" t="str">
        <f>IFERROR(__xludf.DUMMYFUNCTION("""COMPUTED_VALUE"""),"mkd")</f>
        <v>mkd</v>
      </c>
      <c r="C9458" t="str">
        <f>IFERROR(__xludf.DUMMYFUNCTION("""COMPUTED_VALUE"""),"Macedonia, FYR")</f>
        <v>Macedonia, FYR</v>
      </c>
      <c r="D9458">
        <f>IFERROR(__xludf.DUMMYFUNCTION("""COMPUTED_VALUE"""),2031.0)</f>
        <v>2031</v>
      </c>
      <c r="E9458">
        <f>IFERROR(__xludf.DUMMYFUNCTION("""COMPUTED_VALUE"""),2072332.0)</f>
        <v>2072332</v>
      </c>
    </row>
    <row r="9459">
      <c r="A9459" t="str">
        <f t="shared" si="1"/>
        <v>mkd#2032</v>
      </c>
      <c r="B9459" t="str">
        <f>IFERROR(__xludf.DUMMYFUNCTION("""COMPUTED_VALUE"""),"mkd")</f>
        <v>mkd</v>
      </c>
      <c r="C9459" t="str">
        <f>IFERROR(__xludf.DUMMYFUNCTION("""COMPUTED_VALUE"""),"Macedonia, FYR")</f>
        <v>Macedonia, FYR</v>
      </c>
      <c r="D9459">
        <f>IFERROR(__xludf.DUMMYFUNCTION("""COMPUTED_VALUE"""),2032.0)</f>
        <v>2032</v>
      </c>
      <c r="E9459">
        <f>IFERROR(__xludf.DUMMYFUNCTION("""COMPUTED_VALUE"""),2067776.0)</f>
        <v>2067776</v>
      </c>
    </row>
    <row r="9460">
      <c r="A9460" t="str">
        <f t="shared" si="1"/>
        <v>mkd#2033</v>
      </c>
      <c r="B9460" t="str">
        <f>IFERROR(__xludf.DUMMYFUNCTION("""COMPUTED_VALUE"""),"mkd")</f>
        <v>mkd</v>
      </c>
      <c r="C9460" t="str">
        <f>IFERROR(__xludf.DUMMYFUNCTION("""COMPUTED_VALUE"""),"Macedonia, FYR")</f>
        <v>Macedonia, FYR</v>
      </c>
      <c r="D9460">
        <f>IFERROR(__xludf.DUMMYFUNCTION("""COMPUTED_VALUE"""),2033.0)</f>
        <v>2033</v>
      </c>
      <c r="E9460">
        <f>IFERROR(__xludf.DUMMYFUNCTION("""COMPUTED_VALUE"""),2062712.0)</f>
        <v>2062712</v>
      </c>
    </row>
    <row r="9461">
      <c r="A9461" t="str">
        <f t="shared" si="1"/>
        <v>mkd#2034</v>
      </c>
      <c r="B9461" t="str">
        <f>IFERROR(__xludf.DUMMYFUNCTION("""COMPUTED_VALUE"""),"mkd")</f>
        <v>mkd</v>
      </c>
      <c r="C9461" t="str">
        <f>IFERROR(__xludf.DUMMYFUNCTION("""COMPUTED_VALUE"""),"Macedonia, FYR")</f>
        <v>Macedonia, FYR</v>
      </c>
      <c r="D9461">
        <f>IFERROR(__xludf.DUMMYFUNCTION("""COMPUTED_VALUE"""),2034.0)</f>
        <v>2034</v>
      </c>
      <c r="E9461">
        <f>IFERROR(__xludf.DUMMYFUNCTION("""COMPUTED_VALUE"""),2057166.0)</f>
        <v>2057166</v>
      </c>
    </row>
    <row r="9462">
      <c r="A9462" t="str">
        <f t="shared" si="1"/>
        <v>mkd#2035</v>
      </c>
      <c r="B9462" t="str">
        <f>IFERROR(__xludf.DUMMYFUNCTION("""COMPUTED_VALUE"""),"mkd")</f>
        <v>mkd</v>
      </c>
      <c r="C9462" t="str">
        <f>IFERROR(__xludf.DUMMYFUNCTION("""COMPUTED_VALUE"""),"Macedonia, FYR")</f>
        <v>Macedonia, FYR</v>
      </c>
      <c r="D9462">
        <f>IFERROR(__xludf.DUMMYFUNCTION("""COMPUTED_VALUE"""),2035.0)</f>
        <v>2035</v>
      </c>
      <c r="E9462">
        <f>IFERROR(__xludf.DUMMYFUNCTION("""COMPUTED_VALUE"""),2051170.0)</f>
        <v>2051170</v>
      </c>
    </row>
    <row r="9463">
      <c r="A9463" t="str">
        <f t="shared" si="1"/>
        <v>mkd#2036</v>
      </c>
      <c r="B9463" t="str">
        <f>IFERROR(__xludf.DUMMYFUNCTION("""COMPUTED_VALUE"""),"mkd")</f>
        <v>mkd</v>
      </c>
      <c r="C9463" t="str">
        <f>IFERROR(__xludf.DUMMYFUNCTION("""COMPUTED_VALUE"""),"Macedonia, FYR")</f>
        <v>Macedonia, FYR</v>
      </c>
      <c r="D9463">
        <f>IFERROR(__xludf.DUMMYFUNCTION("""COMPUTED_VALUE"""),2036.0)</f>
        <v>2036</v>
      </c>
      <c r="E9463">
        <f>IFERROR(__xludf.DUMMYFUNCTION("""COMPUTED_VALUE"""),2044743.0)</f>
        <v>2044743</v>
      </c>
    </row>
    <row r="9464">
      <c r="A9464" t="str">
        <f t="shared" si="1"/>
        <v>mkd#2037</v>
      </c>
      <c r="B9464" t="str">
        <f>IFERROR(__xludf.DUMMYFUNCTION("""COMPUTED_VALUE"""),"mkd")</f>
        <v>mkd</v>
      </c>
      <c r="C9464" t="str">
        <f>IFERROR(__xludf.DUMMYFUNCTION("""COMPUTED_VALUE"""),"Macedonia, FYR")</f>
        <v>Macedonia, FYR</v>
      </c>
      <c r="D9464">
        <f>IFERROR(__xludf.DUMMYFUNCTION("""COMPUTED_VALUE"""),2037.0)</f>
        <v>2037</v>
      </c>
      <c r="E9464">
        <f>IFERROR(__xludf.DUMMYFUNCTION("""COMPUTED_VALUE"""),2037913.0)</f>
        <v>2037913</v>
      </c>
    </row>
    <row r="9465">
      <c r="A9465" t="str">
        <f t="shared" si="1"/>
        <v>mkd#2038</v>
      </c>
      <c r="B9465" t="str">
        <f>IFERROR(__xludf.DUMMYFUNCTION("""COMPUTED_VALUE"""),"mkd")</f>
        <v>mkd</v>
      </c>
      <c r="C9465" t="str">
        <f>IFERROR(__xludf.DUMMYFUNCTION("""COMPUTED_VALUE"""),"Macedonia, FYR")</f>
        <v>Macedonia, FYR</v>
      </c>
      <c r="D9465">
        <f>IFERROR(__xludf.DUMMYFUNCTION("""COMPUTED_VALUE"""),2038.0)</f>
        <v>2038</v>
      </c>
      <c r="E9465">
        <f>IFERROR(__xludf.DUMMYFUNCTION("""COMPUTED_VALUE"""),2030725.0)</f>
        <v>2030725</v>
      </c>
    </row>
    <row r="9466">
      <c r="A9466" t="str">
        <f t="shared" si="1"/>
        <v>mkd#2039</v>
      </c>
      <c r="B9466" t="str">
        <f>IFERROR(__xludf.DUMMYFUNCTION("""COMPUTED_VALUE"""),"mkd")</f>
        <v>mkd</v>
      </c>
      <c r="C9466" t="str">
        <f>IFERROR(__xludf.DUMMYFUNCTION("""COMPUTED_VALUE"""),"Macedonia, FYR")</f>
        <v>Macedonia, FYR</v>
      </c>
      <c r="D9466">
        <f>IFERROR(__xludf.DUMMYFUNCTION("""COMPUTED_VALUE"""),2039.0)</f>
        <v>2039</v>
      </c>
      <c r="E9466">
        <f>IFERROR(__xludf.DUMMYFUNCTION("""COMPUTED_VALUE"""),2023251.0)</f>
        <v>2023251</v>
      </c>
    </row>
    <row r="9467">
      <c r="A9467" t="str">
        <f t="shared" si="1"/>
        <v>mkd#2040</v>
      </c>
      <c r="B9467" t="str">
        <f>IFERROR(__xludf.DUMMYFUNCTION("""COMPUTED_VALUE"""),"mkd")</f>
        <v>mkd</v>
      </c>
      <c r="C9467" t="str">
        <f>IFERROR(__xludf.DUMMYFUNCTION("""COMPUTED_VALUE"""),"Macedonia, FYR")</f>
        <v>Macedonia, FYR</v>
      </c>
      <c r="D9467">
        <f>IFERROR(__xludf.DUMMYFUNCTION("""COMPUTED_VALUE"""),2040.0)</f>
        <v>2040</v>
      </c>
      <c r="E9467">
        <f>IFERROR(__xludf.DUMMYFUNCTION("""COMPUTED_VALUE"""),2015548.0)</f>
        <v>2015548</v>
      </c>
    </row>
    <row r="9468">
      <c r="A9468" t="str">
        <f t="shared" si="1"/>
        <v>mdg#1950</v>
      </c>
      <c r="B9468" t="str">
        <f>IFERROR(__xludf.DUMMYFUNCTION("""COMPUTED_VALUE"""),"mdg")</f>
        <v>mdg</v>
      </c>
      <c r="C9468" t="str">
        <f>IFERROR(__xludf.DUMMYFUNCTION("""COMPUTED_VALUE"""),"Madagascar")</f>
        <v>Madagascar</v>
      </c>
      <c r="D9468">
        <f>IFERROR(__xludf.DUMMYFUNCTION("""COMPUTED_VALUE"""),1950.0)</f>
        <v>1950</v>
      </c>
      <c r="E9468">
        <f>IFERROR(__xludf.DUMMYFUNCTION("""COMPUTED_VALUE"""),4083554.0)</f>
        <v>4083554</v>
      </c>
    </row>
    <row r="9469">
      <c r="A9469" t="str">
        <f t="shared" si="1"/>
        <v>mdg#1951</v>
      </c>
      <c r="B9469" t="str">
        <f>IFERROR(__xludf.DUMMYFUNCTION("""COMPUTED_VALUE"""),"mdg")</f>
        <v>mdg</v>
      </c>
      <c r="C9469" t="str">
        <f>IFERROR(__xludf.DUMMYFUNCTION("""COMPUTED_VALUE"""),"Madagascar")</f>
        <v>Madagascar</v>
      </c>
      <c r="D9469">
        <f>IFERROR(__xludf.DUMMYFUNCTION("""COMPUTED_VALUE"""),1951.0)</f>
        <v>1951</v>
      </c>
      <c r="E9469">
        <f>IFERROR(__xludf.DUMMYFUNCTION("""COMPUTED_VALUE"""),4168386.0)</f>
        <v>4168386</v>
      </c>
    </row>
    <row r="9470">
      <c r="A9470" t="str">
        <f t="shared" si="1"/>
        <v>mdg#1952</v>
      </c>
      <c r="B9470" t="str">
        <f>IFERROR(__xludf.DUMMYFUNCTION("""COMPUTED_VALUE"""),"mdg")</f>
        <v>mdg</v>
      </c>
      <c r="C9470" t="str">
        <f>IFERROR(__xludf.DUMMYFUNCTION("""COMPUTED_VALUE"""),"Madagascar")</f>
        <v>Madagascar</v>
      </c>
      <c r="D9470">
        <f>IFERROR(__xludf.DUMMYFUNCTION("""COMPUTED_VALUE"""),1952.0)</f>
        <v>1952</v>
      </c>
      <c r="E9470">
        <f>IFERROR(__xludf.DUMMYFUNCTION("""COMPUTED_VALUE"""),4256770.0)</f>
        <v>4256770</v>
      </c>
    </row>
    <row r="9471">
      <c r="A9471" t="str">
        <f t="shared" si="1"/>
        <v>mdg#1953</v>
      </c>
      <c r="B9471" t="str">
        <f>IFERROR(__xludf.DUMMYFUNCTION("""COMPUTED_VALUE"""),"mdg")</f>
        <v>mdg</v>
      </c>
      <c r="C9471" t="str">
        <f>IFERROR(__xludf.DUMMYFUNCTION("""COMPUTED_VALUE"""),"Madagascar")</f>
        <v>Madagascar</v>
      </c>
      <c r="D9471">
        <f>IFERROR(__xludf.DUMMYFUNCTION("""COMPUTED_VALUE"""),1953.0)</f>
        <v>1953</v>
      </c>
      <c r="E9471">
        <f>IFERROR(__xludf.DUMMYFUNCTION("""COMPUTED_VALUE"""),4348720.0)</f>
        <v>4348720</v>
      </c>
    </row>
    <row r="9472">
      <c r="A9472" t="str">
        <f t="shared" si="1"/>
        <v>mdg#1954</v>
      </c>
      <c r="B9472" t="str">
        <f>IFERROR(__xludf.DUMMYFUNCTION("""COMPUTED_VALUE"""),"mdg")</f>
        <v>mdg</v>
      </c>
      <c r="C9472" t="str">
        <f>IFERROR(__xludf.DUMMYFUNCTION("""COMPUTED_VALUE"""),"Madagascar")</f>
        <v>Madagascar</v>
      </c>
      <c r="D9472">
        <f>IFERROR(__xludf.DUMMYFUNCTION("""COMPUTED_VALUE"""),1954.0)</f>
        <v>1954</v>
      </c>
      <c r="E9472">
        <f>IFERROR(__xludf.DUMMYFUNCTION("""COMPUTED_VALUE"""),4444288.0)</f>
        <v>4444288</v>
      </c>
    </row>
    <row r="9473">
      <c r="A9473" t="str">
        <f t="shared" si="1"/>
        <v>mdg#1955</v>
      </c>
      <c r="B9473" t="str">
        <f>IFERROR(__xludf.DUMMYFUNCTION("""COMPUTED_VALUE"""),"mdg")</f>
        <v>mdg</v>
      </c>
      <c r="C9473" t="str">
        <f>IFERROR(__xludf.DUMMYFUNCTION("""COMPUTED_VALUE"""),"Madagascar")</f>
        <v>Madagascar</v>
      </c>
      <c r="D9473">
        <f>IFERROR(__xludf.DUMMYFUNCTION("""COMPUTED_VALUE"""),1955.0)</f>
        <v>1955</v>
      </c>
      <c r="E9473">
        <f>IFERROR(__xludf.DUMMYFUNCTION("""COMPUTED_VALUE"""),4543542.0)</f>
        <v>4543542</v>
      </c>
    </row>
    <row r="9474">
      <c r="A9474" t="str">
        <f t="shared" si="1"/>
        <v>mdg#1956</v>
      </c>
      <c r="B9474" t="str">
        <f>IFERROR(__xludf.DUMMYFUNCTION("""COMPUTED_VALUE"""),"mdg")</f>
        <v>mdg</v>
      </c>
      <c r="C9474" t="str">
        <f>IFERROR(__xludf.DUMMYFUNCTION("""COMPUTED_VALUE"""),"Madagascar")</f>
        <v>Madagascar</v>
      </c>
      <c r="D9474">
        <f>IFERROR(__xludf.DUMMYFUNCTION("""COMPUTED_VALUE"""),1956.0)</f>
        <v>1956</v>
      </c>
      <c r="E9474">
        <f>IFERROR(__xludf.DUMMYFUNCTION("""COMPUTED_VALUE"""),4646576.0)</f>
        <v>4646576</v>
      </c>
    </row>
    <row r="9475">
      <c r="A9475" t="str">
        <f t="shared" si="1"/>
        <v>mdg#1957</v>
      </c>
      <c r="B9475" t="str">
        <f>IFERROR(__xludf.DUMMYFUNCTION("""COMPUTED_VALUE"""),"mdg")</f>
        <v>mdg</v>
      </c>
      <c r="C9475" t="str">
        <f>IFERROR(__xludf.DUMMYFUNCTION("""COMPUTED_VALUE"""),"Madagascar")</f>
        <v>Madagascar</v>
      </c>
      <c r="D9475">
        <f>IFERROR(__xludf.DUMMYFUNCTION("""COMPUTED_VALUE"""),1957.0)</f>
        <v>1957</v>
      </c>
      <c r="E9475">
        <f>IFERROR(__xludf.DUMMYFUNCTION("""COMPUTED_VALUE"""),4753523.0)</f>
        <v>4753523</v>
      </c>
    </row>
    <row r="9476">
      <c r="A9476" t="str">
        <f t="shared" si="1"/>
        <v>mdg#1958</v>
      </c>
      <c r="B9476" t="str">
        <f>IFERROR(__xludf.DUMMYFUNCTION("""COMPUTED_VALUE"""),"mdg")</f>
        <v>mdg</v>
      </c>
      <c r="C9476" t="str">
        <f>IFERROR(__xludf.DUMMYFUNCTION("""COMPUTED_VALUE"""),"Madagascar")</f>
        <v>Madagascar</v>
      </c>
      <c r="D9476">
        <f>IFERROR(__xludf.DUMMYFUNCTION("""COMPUTED_VALUE"""),1958.0)</f>
        <v>1958</v>
      </c>
      <c r="E9476">
        <f>IFERROR(__xludf.DUMMYFUNCTION("""COMPUTED_VALUE"""),4864524.0)</f>
        <v>4864524</v>
      </c>
    </row>
    <row r="9477">
      <c r="A9477" t="str">
        <f t="shared" si="1"/>
        <v>mdg#1959</v>
      </c>
      <c r="B9477" t="str">
        <f>IFERROR(__xludf.DUMMYFUNCTION("""COMPUTED_VALUE"""),"mdg")</f>
        <v>mdg</v>
      </c>
      <c r="C9477" t="str">
        <f>IFERROR(__xludf.DUMMYFUNCTION("""COMPUTED_VALUE"""),"Madagascar")</f>
        <v>Madagascar</v>
      </c>
      <c r="D9477">
        <f>IFERROR(__xludf.DUMMYFUNCTION("""COMPUTED_VALUE"""),1959.0)</f>
        <v>1959</v>
      </c>
      <c r="E9477">
        <f>IFERROR(__xludf.DUMMYFUNCTION("""COMPUTED_VALUE"""),4979753.0)</f>
        <v>4979753</v>
      </c>
    </row>
    <row r="9478">
      <c r="A9478" t="str">
        <f t="shared" si="1"/>
        <v>mdg#1960</v>
      </c>
      <c r="B9478" t="str">
        <f>IFERROR(__xludf.DUMMYFUNCTION("""COMPUTED_VALUE"""),"mdg")</f>
        <v>mdg</v>
      </c>
      <c r="C9478" t="str">
        <f>IFERROR(__xludf.DUMMYFUNCTION("""COMPUTED_VALUE"""),"Madagascar")</f>
        <v>Madagascar</v>
      </c>
      <c r="D9478">
        <f>IFERROR(__xludf.DUMMYFUNCTION("""COMPUTED_VALUE"""),1960.0)</f>
        <v>1960</v>
      </c>
      <c r="E9478">
        <f>IFERROR(__xludf.DUMMYFUNCTION("""COMPUTED_VALUE"""),5099373.0)</f>
        <v>5099373</v>
      </c>
    </row>
    <row r="9479">
      <c r="A9479" t="str">
        <f t="shared" si="1"/>
        <v>mdg#1961</v>
      </c>
      <c r="B9479" t="str">
        <f>IFERROR(__xludf.DUMMYFUNCTION("""COMPUTED_VALUE"""),"mdg")</f>
        <v>mdg</v>
      </c>
      <c r="C9479" t="str">
        <f>IFERROR(__xludf.DUMMYFUNCTION("""COMPUTED_VALUE"""),"Madagascar")</f>
        <v>Madagascar</v>
      </c>
      <c r="D9479">
        <f>IFERROR(__xludf.DUMMYFUNCTION("""COMPUTED_VALUE"""),1961.0)</f>
        <v>1961</v>
      </c>
      <c r="E9479">
        <f>IFERROR(__xludf.DUMMYFUNCTION("""COMPUTED_VALUE"""),5223568.0)</f>
        <v>5223568</v>
      </c>
    </row>
    <row r="9480">
      <c r="A9480" t="str">
        <f t="shared" si="1"/>
        <v>mdg#1962</v>
      </c>
      <c r="B9480" t="str">
        <f>IFERROR(__xludf.DUMMYFUNCTION("""COMPUTED_VALUE"""),"mdg")</f>
        <v>mdg</v>
      </c>
      <c r="C9480" t="str">
        <f>IFERROR(__xludf.DUMMYFUNCTION("""COMPUTED_VALUE"""),"Madagascar")</f>
        <v>Madagascar</v>
      </c>
      <c r="D9480">
        <f>IFERROR(__xludf.DUMMYFUNCTION("""COMPUTED_VALUE"""),1962.0)</f>
        <v>1962</v>
      </c>
      <c r="E9480">
        <f>IFERROR(__xludf.DUMMYFUNCTION("""COMPUTED_VALUE"""),5352503.0)</f>
        <v>5352503</v>
      </c>
    </row>
    <row r="9481">
      <c r="A9481" t="str">
        <f t="shared" si="1"/>
        <v>mdg#1963</v>
      </c>
      <c r="B9481" t="str">
        <f>IFERROR(__xludf.DUMMYFUNCTION("""COMPUTED_VALUE"""),"mdg")</f>
        <v>mdg</v>
      </c>
      <c r="C9481" t="str">
        <f>IFERROR(__xludf.DUMMYFUNCTION("""COMPUTED_VALUE"""),"Madagascar")</f>
        <v>Madagascar</v>
      </c>
      <c r="D9481">
        <f>IFERROR(__xludf.DUMMYFUNCTION("""COMPUTED_VALUE"""),1963.0)</f>
        <v>1963</v>
      </c>
      <c r="E9481">
        <f>IFERROR(__xludf.DUMMYFUNCTION("""COMPUTED_VALUE"""),5486319.0)</f>
        <v>5486319</v>
      </c>
    </row>
    <row r="9482">
      <c r="A9482" t="str">
        <f t="shared" si="1"/>
        <v>mdg#1964</v>
      </c>
      <c r="B9482" t="str">
        <f>IFERROR(__xludf.DUMMYFUNCTION("""COMPUTED_VALUE"""),"mdg")</f>
        <v>mdg</v>
      </c>
      <c r="C9482" t="str">
        <f>IFERROR(__xludf.DUMMYFUNCTION("""COMPUTED_VALUE"""),"Madagascar")</f>
        <v>Madagascar</v>
      </c>
      <c r="D9482">
        <f>IFERROR(__xludf.DUMMYFUNCTION("""COMPUTED_VALUE"""),1964.0)</f>
        <v>1964</v>
      </c>
      <c r="E9482">
        <f>IFERROR(__xludf.DUMMYFUNCTION("""COMPUTED_VALUE"""),5625164.0)</f>
        <v>5625164</v>
      </c>
    </row>
    <row r="9483">
      <c r="A9483" t="str">
        <f t="shared" si="1"/>
        <v>mdg#1965</v>
      </c>
      <c r="B9483" t="str">
        <f>IFERROR(__xludf.DUMMYFUNCTION("""COMPUTED_VALUE"""),"mdg")</f>
        <v>mdg</v>
      </c>
      <c r="C9483" t="str">
        <f>IFERROR(__xludf.DUMMYFUNCTION("""COMPUTED_VALUE"""),"Madagascar")</f>
        <v>Madagascar</v>
      </c>
      <c r="D9483">
        <f>IFERROR(__xludf.DUMMYFUNCTION("""COMPUTED_VALUE"""),1965.0)</f>
        <v>1965</v>
      </c>
      <c r="E9483">
        <f>IFERROR(__xludf.DUMMYFUNCTION("""COMPUTED_VALUE"""),5769218.0)</f>
        <v>5769218</v>
      </c>
    </row>
    <row r="9484">
      <c r="A9484" t="str">
        <f t="shared" si="1"/>
        <v>mdg#1966</v>
      </c>
      <c r="B9484" t="str">
        <f>IFERROR(__xludf.DUMMYFUNCTION("""COMPUTED_VALUE"""),"mdg")</f>
        <v>mdg</v>
      </c>
      <c r="C9484" t="str">
        <f>IFERROR(__xludf.DUMMYFUNCTION("""COMPUTED_VALUE"""),"Madagascar")</f>
        <v>Madagascar</v>
      </c>
      <c r="D9484">
        <f>IFERROR(__xludf.DUMMYFUNCTION("""COMPUTED_VALUE"""),1966.0)</f>
        <v>1966</v>
      </c>
      <c r="E9484">
        <f>IFERROR(__xludf.DUMMYFUNCTION("""COMPUTED_VALUE"""),5918595.0)</f>
        <v>5918595</v>
      </c>
    </row>
    <row r="9485">
      <c r="A9485" t="str">
        <f t="shared" si="1"/>
        <v>mdg#1967</v>
      </c>
      <c r="B9485" t="str">
        <f>IFERROR(__xludf.DUMMYFUNCTION("""COMPUTED_VALUE"""),"mdg")</f>
        <v>mdg</v>
      </c>
      <c r="C9485" t="str">
        <f>IFERROR(__xludf.DUMMYFUNCTION("""COMPUTED_VALUE"""),"Madagascar")</f>
        <v>Madagascar</v>
      </c>
      <c r="D9485">
        <f>IFERROR(__xludf.DUMMYFUNCTION("""COMPUTED_VALUE"""),1967.0)</f>
        <v>1967</v>
      </c>
      <c r="E9485">
        <f>IFERROR(__xludf.DUMMYFUNCTION("""COMPUTED_VALUE"""),6073526.0)</f>
        <v>6073526</v>
      </c>
    </row>
    <row r="9486">
      <c r="A9486" t="str">
        <f t="shared" si="1"/>
        <v>mdg#1968</v>
      </c>
      <c r="B9486" t="str">
        <f>IFERROR(__xludf.DUMMYFUNCTION("""COMPUTED_VALUE"""),"mdg")</f>
        <v>mdg</v>
      </c>
      <c r="C9486" t="str">
        <f>IFERROR(__xludf.DUMMYFUNCTION("""COMPUTED_VALUE"""),"Madagascar")</f>
        <v>Madagascar</v>
      </c>
      <c r="D9486">
        <f>IFERROR(__xludf.DUMMYFUNCTION("""COMPUTED_VALUE"""),1968.0)</f>
        <v>1968</v>
      </c>
      <c r="E9486">
        <f>IFERROR(__xludf.DUMMYFUNCTION("""COMPUTED_VALUE"""),6234465.0)</f>
        <v>6234465</v>
      </c>
    </row>
    <row r="9487">
      <c r="A9487" t="str">
        <f t="shared" si="1"/>
        <v>mdg#1969</v>
      </c>
      <c r="B9487" t="str">
        <f>IFERROR(__xludf.DUMMYFUNCTION("""COMPUTED_VALUE"""),"mdg")</f>
        <v>mdg</v>
      </c>
      <c r="C9487" t="str">
        <f>IFERROR(__xludf.DUMMYFUNCTION("""COMPUTED_VALUE"""),"Madagascar")</f>
        <v>Madagascar</v>
      </c>
      <c r="D9487">
        <f>IFERROR(__xludf.DUMMYFUNCTION("""COMPUTED_VALUE"""),1969.0)</f>
        <v>1969</v>
      </c>
      <c r="E9487">
        <f>IFERROR(__xludf.DUMMYFUNCTION("""COMPUTED_VALUE"""),6401921.0)</f>
        <v>6401921</v>
      </c>
    </row>
    <row r="9488">
      <c r="A9488" t="str">
        <f t="shared" si="1"/>
        <v>mdg#1970</v>
      </c>
      <c r="B9488" t="str">
        <f>IFERROR(__xludf.DUMMYFUNCTION("""COMPUTED_VALUE"""),"mdg")</f>
        <v>mdg</v>
      </c>
      <c r="C9488" t="str">
        <f>IFERROR(__xludf.DUMMYFUNCTION("""COMPUTED_VALUE"""),"Madagascar")</f>
        <v>Madagascar</v>
      </c>
      <c r="D9488">
        <f>IFERROR(__xludf.DUMMYFUNCTION("""COMPUTED_VALUE"""),1970.0)</f>
        <v>1970</v>
      </c>
      <c r="E9488">
        <f>IFERROR(__xludf.DUMMYFUNCTION("""COMPUTED_VALUE"""),6576305.0)</f>
        <v>6576305</v>
      </c>
    </row>
    <row r="9489">
      <c r="A9489" t="str">
        <f t="shared" si="1"/>
        <v>mdg#1971</v>
      </c>
      <c r="B9489" t="str">
        <f>IFERROR(__xludf.DUMMYFUNCTION("""COMPUTED_VALUE"""),"mdg")</f>
        <v>mdg</v>
      </c>
      <c r="C9489" t="str">
        <f>IFERROR(__xludf.DUMMYFUNCTION("""COMPUTED_VALUE"""),"Madagascar")</f>
        <v>Madagascar</v>
      </c>
      <c r="D9489">
        <f>IFERROR(__xludf.DUMMYFUNCTION("""COMPUTED_VALUE"""),1971.0)</f>
        <v>1971</v>
      </c>
      <c r="E9489">
        <f>IFERROR(__xludf.DUMMYFUNCTION("""COMPUTED_VALUE"""),6757850.0)</f>
        <v>6757850</v>
      </c>
    </row>
    <row r="9490">
      <c r="A9490" t="str">
        <f t="shared" si="1"/>
        <v>mdg#1972</v>
      </c>
      <c r="B9490" t="str">
        <f>IFERROR(__xludf.DUMMYFUNCTION("""COMPUTED_VALUE"""),"mdg")</f>
        <v>mdg</v>
      </c>
      <c r="C9490" t="str">
        <f>IFERROR(__xludf.DUMMYFUNCTION("""COMPUTED_VALUE"""),"Madagascar")</f>
        <v>Madagascar</v>
      </c>
      <c r="D9490">
        <f>IFERROR(__xludf.DUMMYFUNCTION("""COMPUTED_VALUE"""),1972.0)</f>
        <v>1972</v>
      </c>
      <c r="E9490">
        <f>IFERROR(__xludf.DUMMYFUNCTION("""COMPUTED_VALUE"""),6946620.0)</f>
        <v>6946620</v>
      </c>
    </row>
    <row r="9491">
      <c r="A9491" t="str">
        <f t="shared" si="1"/>
        <v>mdg#1973</v>
      </c>
      <c r="B9491" t="str">
        <f>IFERROR(__xludf.DUMMYFUNCTION("""COMPUTED_VALUE"""),"mdg")</f>
        <v>mdg</v>
      </c>
      <c r="C9491" t="str">
        <f>IFERROR(__xludf.DUMMYFUNCTION("""COMPUTED_VALUE"""),"Madagascar")</f>
        <v>Madagascar</v>
      </c>
      <c r="D9491">
        <f>IFERROR(__xludf.DUMMYFUNCTION("""COMPUTED_VALUE"""),1973.0)</f>
        <v>1973</v>
      </c>
      <c r="E9491">
        <f>IFERROR(__xludf.DUMMYFUNCTION("""COMPUTED_VALUE"""),7142627.0)</f>
        <v>7142627</v>
      </c>
    </row>
    <row r="9492">
      <c r="A9492" t="str">
        <f t="shared" si="1"/>
        <v>mdg#1974</v>
      </c>
      <c r="B9492" t="str">
        <f>IFERROR(__xludf.DUMMYFUNCTION("""COMPUTED_VALUE"""),"mdg")</f>
        <v>mdg</v>
      </c>
      <c r="C9492" t="str">
        <f>IFERROR(__xludf.DUMMYFUNCTION("""COMPUTED_VALUE"""),"Madagascar")</f>
        <v>Madagascar</v>
      </c>
      <c r="D9492">
        <f>IFERROR(__xludf.DUMMYFUNCTION("""COMPUTED_VALUE"""),1974.0)</f>
        <v>1974</v>
      </c>
      <c r="E9492">
        <f>IFERROR(__xludf.DUMMYFUNCTION("""COMPUTED_VALUE"""),7345780.0)</f>
        <v>7345780</v>
      </c>
    </row>
    <row r="9493">
      <c r="A9493" t="str">
        <f t="shared" si="1"/>
        <v>mdg#1975</v>
      </c>
      <c r="B9493" t="str">
        <f>IFERROR(__xludf.DUMMYFUNCTION("""COMPUTED_VALUE"""),"mdg")</f>
        <v>mdg</v>
      </c>
      <c r="C9493" t="str">
        <f>IFERROR(__xludf.DUMMYFUNCTION("""COMPUTED_VALUE"""),"Madagascar")</f>
        <v>Madagascar</v>
      </c>
      <c r="D9493">
        <f>IFERROR(__xludf.DUMMYFUNCTION("""COMPUTED_VALUE"""),1975.0)</f>
        <v>1975</v>
      </c>
      <c r="E9493">
        <f>IFERROR(__xludf.DUMMYFUNCTION("""COMPUTED_VALUE"""),7556026.0)</f>
        <v>7556026</v>
      </c>
    </row>
    <row r="9494">
      <c r="A9494" t="str">
        <f t="shared" si="1"/>
        <v>mdg#1976</v>
      </c>
      <c r="B9494" t="str">
        <f>IFERROR(__xludf.DUMMYFUNCTION("""COMPUTED_VALUE"""),"mdg")</f>
        <v>mdg</v>
      </c>
      <c r="C9494" t="str">
        <f>IFERROR(__xludf.DUMMYFUNCTION("""COMPUTED_VALUE"""),"Madagascar")</f>
        <v>Madagascar</v>
      </c>
      <c r="D9494">
        <f>IFERROR(__xludf.DUMMYFUNCTION("""COMPUTED_VALUE"""),1976.0)</f>
        <v>1976</v>
      </c>
      <c r="E9494">
        <f>IFERROR(__xludf.DUMMYFUNCTION("""COMPUTED_VALUE"""),7773449.0)</f>
        <v>7773449</v>
      </c>
    </row>
    <row r="9495">
      <c r="A9495" t="str">
        <f t="shared" si="1"/>
        <v>mdg#1977</v>
      </c>
      <c r="B9495" t="str">
        <f>IFERROR(__xludf.DUMMYFUNCTION("""COMPUTED_VALUE"""),"mdg")</f>
        <v>mdg</v>
      </c>
      <c r="C9495" t="str">
        <f>IFERROR(__xludf.DUMMYFUNCTION("""COMPUTED_VALUE"""),"Madagascar")</f>
        <v>Madagascar</v>
      </c>
      <c r="D9495">
        <f>IFERROR(__xludf.DUMMYFUNCTION("""COMPUTED_VALUE"""),1977.0)</f>
        <v>1977</v>
      </c>
      <c r="E9495">
        <f>IFERROR(__xludf.DUMMYFUNCTION("""COMPUTED_VALUE"""),7998164.0)</f>
        <v>7998164</v>
      </c>
    </row>
    <row r="9496">
      <c r="A9496" t="str">
        <f t="shared" si="1"/>
        <v>mdg#1978</v>
      </c>
      <c r="B9496" t="str">
        <f>IFERROR(__xludf.DUMMYFUNCTION("""COMPUTED_VALUE"""),"mdg")</f>
        <v>mdg</v>
      </c>
      <c r="C9496" t="str">
        <f>IFERROR(__xludf.DUMMYFUNCTION("""COMPUTED_VALUE"""),"Madagascar")</f>
        <v>Madagascar</v>
      </c>
      <c r="D9496">
        <f>IFERROR(__xludf.DUMMYFUNCTION("""COMPUTED_VALUE"""),1978.0)</f>
        <v>1978</v>
      </c>
      <c r="E9496">
        <f>IFERROR(__xludf.DUMMYFUNCTION("""COMPUTED_VALUE"""),8230218.0)</f>
        <v>8230218</v>
      </c>
    </row>
    <row r="9497">
      <c r="A9497" t="str">
        <f t="shared" si="1"/>
        <v>mdg#1979</v>
      </c>
      <c r="B9497" t="str">
        <f>IFERROR(__xludf.DUMMYFUNCTION("""COMPUTED_VALUE"""),"mdg")</f>
        <v>mdg</v>
      </c>
      <c r="C9497" t="str">
        <f>IFERROR(__xludf.DUMMYFUNCTION("""COMPUTED_VALUE"""),"Madagascar")</f>
        <v>Madagascar</v>
      </c>
      <c r="D9497">
        <f>IFERROR(__xludf.DUMMYFUNCTION("""COMPUTED_VALUE"""),1979.0)</f>
        <v>1979</v>
      </c>
      <c r="E9497">
        <f>IFERROR(__xludf.DUMMYFUNCTION("""COMPUTED_VALUE"""),8469672.0)</f>
        <v>8469672</v>
      </c>
    </row>
    <row r="9498">
      <c r="A9498" t="str">
        <f t="shared" si="1"/>
        <v>mdg#1980</v>
      </c>
      <c r="B9498" t="str">
        <f>IFERROR(__xludf.DUMMYFUNCTION("""COMPUTED_VALUE"""),"mdg")</f>
        <v>mdg</v>
      </c>
      <c r="C9498" t="str">
        <f>IFERROR(__xludf.DUMMYFUNCTION("""COMPUTED_VALUE"""),"Madagascar")</f>
        <v>Madagascar</v>
      </c>
      <c r="D9498">
        <f>IFERROR(__xludf.DUMMYFUNCTION("""COMPUTED_VALUE"""),1980.0)</f>
        <v>1980</v>
      </c>
      <c r="E9498">
        <f>IFERROR(__xludf.DUMMYFUNCTION("""COMPUTED_VALUE"""),8716553.0)</f>
        <v>8716553</v>
      </c>
    </row>
    <row r="9499">
      <c r="A9499" t="str">
        <f t="shared" si="1"/>
        <v>mdg#1981</v>
      </c>
      <c r="B9499" t="str">
        <f>IFERROR(__xludf.DUMMYFUNCTION("""COMPUTED_VALUE"""),"mdg")</f>
        <v>mdg</v>
      </c>
      <c r="C9499" t="str">
        <f>IFERROR(__xludf.DUMMYFUNCTION("""COMPUTED_VALUE"""),"Madagascar")</f>
        <v>Madagascar</v>
      </c>
      <c r="D9499">
        <f>IFERROR(__xludf.DUMMYFUNCTION("""COMPUTED_VALUE"""),1981.0)</f>
        <v>1981</v>
      </c>
      <c r="E9499">
        <f>IFERROR(__xludf.DUMMYFUNCTION("""COMPUTED_VALUE"""),8971345.0)</f>
        <v>8971345</v>
      </c>
    </row>
    <row r="9500">
      <c r="A9500" t="str">
        <f t="shared" si="1"/>
        <v>mdg#1982</v>
      </c>
      <c r="B9500" t="str">
        <f>IFERROR(__xludf.DUMMYFUNCTION("""COMPUTED_VALUE"""),"mdg")</f>
        <v>mdg</v>
      </c>
      <c r="C9500" t="str">
        <f>IFERROR(__xludf.DUMMYFUNCTION("""COMPUTED_VALUE"""),"Madagascar")</f>
        <v>Madagascar</v>
      </c>
      <c r="D9500">
        <f>IFERROR(__xludf.DUMMYFUNCTION("""COMPUTED_VALUE"""),1982.0)</f>
        <v>1982</v>
      </c>
      <c r="E9500">
        <f>IFERROR(__xludf.DUMMYFUNCTION("""COMPUTED_VALUE"""),9234129.0)</f>
        <v>9234129</v>
      </c>
    </row>
    <row r="9501">
      <c r="A9501" t="str">
        <f t="shared" si="1"/>
        <v>mdg#1983</v>
      </c>
      <c r="B9501" t="str">
        <f>IFERROR(__xludf.DUMMYFUNCTION("""COMPUTED_VALUE"""),"mdg")</f>
        <v>mdg</v>
      </c>
      <c r="C9501" t="str">
        <f>IFERROR(__xludf.DUMMYFUNCTION("""COMPUTED_VALUE"""),"Madagascar")</f>
        <v>Madagascar</v>
      </c>
      <c r="D9501">
        <f>IFERROR(__xludf.DUMMYFUNCTION("""COMPUTED_VALUE"""),1983.0)</f>
        <v>1983</v>
      </c>
      <c r="E9501">
        <f>IFERROR(__xludf.DUMMYFUNCTION("""COMPUTED_VALUE"""),9504281.0)</f>
        <v>9504281</v>
      </c>
    </row>
    <row r="9502">
      <c r="A9502" t="str">
        <f t="shared" si="1"/>
        <v>mdg#1984</v>
      </c>
      <c r="B9502" t="str">
        <f>IFERROR(__xludf.DUMMYFUNCTION("""COMPUTED_VALUE"""),"mdg")</f>
        <v>mdg</v>
      </c>
      <c r="C9502" t="str">
        <f>IFERROR(__xludf.DUMMYFUNCTION("""COMPUTED_VALUE"""),"Madagascar")</f>
        <v>Madagascar</v>
      </c>
      <c r="D9502">
        <f>IFERROR(__xludf.DUMMYFUNCTION("""COMPUTED_VALUE"""),1984.0)</f>
        <v>1984</v>
      </c>
      <c r="E9502">
        <f>IFERROR(__xludf.DUMMYFUNCTION("""COMPUTED_VALUE"""),9780872.0)</f>
        <v>9780872</v>
      </c>
    </row>
    <row r="9503">
      <c r="A9503" t="str">
        <f t="shared" si="1"/>
        <v>mdg#1985</v>
      </c>
      <c r="B9503" t="str">
        <f>IFERROR(__xludf.DUMMYFUNCTION("""COMPUTED_VALUE"""),"mdg")</f>
        <v>mdg</v>
      </c>
      <c r="C9503" t="str">
        <f>IFERROR(__xludf.DUMMYFUNCTION("""COMPUTED_VALUE"""),"Madagascar")</f>
        <v>Madagascar</v>
      </c>
      <c r="D9503">
        <f>IFERROR(__xludf.DUMMYFUNCTION("""COMPUTED_VALUE"""),1985.0)</f>
        <v>1985</v>
      </c>
      <c r="E9503">
        <f>IFERROR(__xludf.DUMMYFUNCTION("""COMPUTED_VALUE"""),1.0063495E7)</f>
        <v>10063495</v>
      </c>
    </row>
    <row r="9504">
      <c r="A9504" t="str">
        <f t="shared" si="1"/>
        <v>mdg#1986</v>
      </c>
      <c r="B9504" t="str">
        <f>IFERROR(__xludf.DUMMYFUNCTION("""COMPUTED_VALUE"""),"mdg")</f>
        <v>mdg</v>
      </c>
      <c r="C9504" t="str">
        <f>IFERROR(__xludf.DUMMYFUNCTION("""COMPUTED_VALUE"""),"Madagascar")</f>
        <v>Madagascar</v>
      </c>
      <c r="D9504">
        <f>IFERROR(__xludf.DUMMYFUNCTION("""COMPUTED_VALUE"""),1986.0)</f>
        <v>1986</v>
      </c>
      <c r="E9504">
        <f>IFERROR(__xludf.DUMMYFUNCTION("""COMPUTED_VALUE"""),1.035212E7)</f>
        <v>10352120</v>
      </c>
    </row>
    <row r="9505">
      <c r="A9505" t="str">
        <f t="shared" si="1"/>
        <v>mdg#1987</v>
      </c>
      <c r="B9505" t="str">
        <f>IFERROR(__xludf.DUMMYFUNCTION("""COMPUTED_VALUE"""),"mdg")</f>
        <v>mdg</v>
      </c>
      <c r="C9505" t="str">
        <f>IFERROR(__xludf.DUMMYFUNCTION("""COMPUTED_VALUE"""),"Madagascar")</f>
        <v>Madagascar</v>
      </c>
      <c r="D9505">
        <f>IFERROR(__xludf.DUMMYFUNCTION("""COMPUTED_VALUE"""),1987.0)</f>
        <v>1987</v>
      </c>
      <c r="E9505">
        <f>IFERROR(__xludf.DUMMYFUNCTION("""COMPUTED_VALUE"""),1.0647754E7)</f>
        <v>10647754</v>
      </c>
    </row>
    <row r="9506">
      <c r="A9506" t="str">
        <f t="shared" si="1"/>
        <v>mdg#1988</v>
      </c>
      <c r="B9506" t="str">
        <f>IFERROR(__xludf.DUMMYFUNCTION("""COMPUTED_VALUE"""),"mdg")</f>
        <v>mdg</v>
      </c>
      <c r="C9506" t="str">
        <f>IFERROR(__xludf.DUMMYFUNCTION("""COMPUTED_VALUE"""),"Madagascar")</f>
        <v>Madagascar</v>
      </c>
      <c r="D9506">
        <f>IFERROR(__xludf.DUMMYFUNCTION("""COMPUTED_VALUE"""),1988.0)</f>
        <v>1988</v>
      </c>
      <c r="E9506">
        <f>IFERROR(__xludf.DUMMYFUNCTION("""COMPUTED_VALUE"""),1.0952395E7)</f>
        <v>10952395</v>
      </c>
    </row>
    <row r="9507">
      <c r="A9507" t="str">
        <f t="shared" si="1"/>
        <v>mdg#1989</v>
      </c>
      <c r="B9507" t="str">
        <f>IFERROR(__xludf.DUMMYFUNCTION("""COMPUTED_VALUE"""),"mdg")</f>
        <v>mdg</v>
      </c>
      <c r="C9507" t="str">
        <f>IFERROR(__xludf.DUMMYFUNCTION("""COMPUTED_VALUE"""),"Madagascar")</f>
        <v>Madagascar</v>
      </c>
      <c r="D9507">
        <f>IFERROR(__xludf.DUMMYFUNCTION("""COMPUTED_VALUE"""),1989.0)</f>
        <v>1989</v>
      </c>
      <c r="E9507">
        <f>IFERROR(__xludf.DUMMYFUNCTION("""COMPUTED_VALUE"""),1.1268658E7)</f>
        <v>11268658</v>
      </c>
    </row>
    <row r="9508">
      <c r="A9508" t="str">
        <f t="shared" si="1"/>
        <v>mdg#1990</v>
      </c>
      <c r="B9508" t="str">
        <f>IFERROR(__xludf.DUMMYFUNCTION("""COMPUTED_VALUE"""),"mdg")</f>
        <v>mdg</v>
      </c>
      <c r="C9508" t="str">
        <f>IFERROR(__xludf.DUMMYFUNCTION("""COMPUTED_VALUE"""),"Madagascar")</f>
        <v>Madagascar</v>
      </c>
      <c r="D9508">
        <f>IFERROR(__xludf.DUMMYFUNCTION("""COMPUTED_VALUE"""),1990.0)</f>
        <v>1990</v>
      </c>
      <c r="E9508">
        <f>IFERROR(__xludf.DUMMYFUNCTION("""COMPUTED_VALUE"""),1.1598633E7)</f>
        <v>11598633</v>
      </c>
    </row>
    <row r="9509">
      <c r="A9509" t="str">
        <f t="shared" si="1"/>
        <v>mdg#1991</v>
      </c>
      <c r="B9509" t="str">
        <f>IFERROR(__xludf.DUMMYFUNCTION("""COMPUTED_VALUE"""),"mdg")</f>
        <v>mdg</v>
      </c>
      <c r="C9509" t="str">
        <f>IFERROR(__xludf.DUMMYFUNCTION("""COMPUTED_VALUE"""),"Madagascar")</f>
        <v>Madagascar</v>
      </c>
      <c r="D9509">
        <f>IFERROR(__xludf.DUMMYFUNCTION("""COMPUTED_VALUE"""),1991.0)</f>
        <v>1991</v>
      </c>
      <c r="E9509">
        <f>IFERROR(__xludf.DUMMYFUNCTION("""COMPUTED_VALUE"""),1.1942819E7)</f>
        <v>11942819</v>
      </c>
    </row>
    <row r="9510">
      <c r="A9510" t="str">
        <f t="shared" si="1"/>
        <v>mdg#1992</v>
      </c>
      <c r="B9510" t="str">
        <f>IFERROR(__xludf.DUMMYFUNCTION("""COMPUTED_VALUE"""),"mdg")</f>
        <v>mdg</v>
      </c>
      <c r="C9510" t="str">
        <f>IFERROR(__xludf.DUMMYFUNCTION("""COMPUTED_VALUE"""),"Madagascar")</f>
        <v>Madagascar</v>
      </c>
      <c r="D9510">
        <f>IFERROR(__xludf.DUMMYFUNCTION("""COMPUTED_VALUE"""),1992.0)</f>
        <v>1992</v>
      </c>
      <c r="E9510">
        <f>IFERROR(__xludf.DUMMYFUNCTION("""COMPUTED_VALUE"""),1.2301336E7)</f>
        <v>12301336</v>
      </c>
    </row>
    <row r="9511">
      <c r="A9511" t="str">
        <f t="shared" si="1"/>
        <v>mdg#1993</v>
      </c>
      <c r="B9511" t="str">
        <f>IFERROR(__xludf.DUMMYFUNCTION("""COMPUTED_VALUE"""),"mdg")</f>
        <v>mdg</v>
      </c>
      <c r="C9511" t="str">
        <f>IFERROR(__xludf.DUMMYFUNCTION("""COMPUTED_VALUE"""),"Madagascar")</f>
        <v>Madagascar</v>
      </c>
      <c r="D9511">
        <f>IFERROR(__xludf.DUMMYFUNCTION("""COMPUTED_VALUE"""),1993.0)</f>
        <v>1993</v>
      </c>
      <c r="E9511">
        <f>IFERROR(__xludf.DUMMYFUNCTION("""COMPUTED_VALUE"""),1.267546E7)</f>
        <v>12675460</v>
      </c>
    </row>
    <row r="9512">
      <c r="A9512" t="str">
        <f t="shared" si="1"/>
        <v>mdg#1994</v>
      </c>
      <c r="B9512" t="str">
        <f>IFERROR(__xludf.DUMMYFUNCTION("""COMPUTED_VALUE"""),"mdg")</f>
        <v>mdg</v>
      </c>
      <c r="C9512" t="str">
        <f>IFERROR(__xludf.DUMMYFUNCTION("""COMPUTED_VALUE"""),"Madagascar")</f>
        <v>Madagascar</v>
      </c>
      <c r="D9512">
        <f>IFERROR(__xludf.DUMMYFUNCTION("""COMPUTED_VALUE"""),1994.0)</f>
        <v>1994</v>
      </c>
      <c r="E9512">
        <f>IFERROR(__xludf.DUMMYFUNCTION("""COMPUTED_VALUE"""),1.3066543E7)</f>
        <v>13066543</v>
      </c>
    </row>
    <row r="9513">
      <c r="A9513" t="str">
        <f t="shared" si="1"/>
        <v>mdg#1995</v>
      </c>
      <c r="B9513" t="str">
        <f>IFERROR(__xludf.DUMMYFUNCTION("""COMPUTED_VALUE"""),"mdg")</f>
        <v>mdg</v>
      </c>
      <c r="C9513" t="str">
        <f>IFERROR(__xludf.DUMMYFUNCTION("""COMPUTED_VALUE"""),"Madagascar")</f>
        <v>Madagascar</v>
      </c>
      <c r="D9513">
        <f>IFERROR(__xludf.DUMMYFUNCTION("""COMPUTED_VALUE"""),1995.0)</f>
        <v>1995</v>
      </c>
      <c r="E9513">
        <f>IFERROR(__xludf.DUMMYFUNCTION("""COMPUTED_VALUE"""),1.34754E7)</f>
        <v>13475400</v>
      </c>
    </row>
    <row r="9514">
      <c r="A9514" t="str">
        <f t="shared" si="1"/>
        <v>mdg#1996</v>
      </c>
      <c r="B9514" t="str">
        <f>IFERROR(__xludf.DUMMYFUNCTION("""COMPUTED_VALUE"""),"mdg")</f>
        <v>mdg</v>
      </c>
      <c r="C9514" t="str">
        <f>IFERROR(__xludf.DUMMYFUNCTION("""COMPUTED_VALUE"""),"Madagascar")</f>
        <v>Madagascar</v>
      </c>
      <c r="D9514">
        <f>IFERROR(__xludf.DUMMYFUNCTION("""COMPUTED_VALUE"""),1996.0)</f>
        <v>1996</v>
      </c>
      <c r="E9514">
        <f>IFERROR(__xludf.DUMMYFUNCTION("""COMPUTED_VALUE"""),1.3902688E7)</f>
        <v>13902688</v>
      </c>
    </row>
    <row r="9515">
      <c r="A9515" t="str">
        <f t="shared" si="1"/>
        <v>mdg#1997</v>
      </c>
      <c r="B9515" t="str">
        <f>IFERROR(__xludf.DUMMYFUNCTION("""COMPUTED_VALUE"""),"mdg")</f>
        <v>mdg</v>
      </c>
      <c r="C9515" t="str">
        <f>IFERROR(__xludf.DUMMYFUNCTION("""COMPUTED_VALUE"""),"Madagascar")</f>
        <v>Madagascar</v>
      </c>
      <c r="D9515">
        <f>IFERROR(__xludf.DUMMYFUNCTION("""COMPUTED_VALUE"""),1997.0)</f>
        <v>1997</v>
      </c>
      <c r="E9515">
        <f>IFERROR(__xludf.DUMMYFUNCTION("""COMPUTED_VALUE"""),1.4347854E7)</f>
        <v>14347854</v>
      </c>
    </row>
    <row r="9516">
      <c r="A9516" t="str">
        <f t="shared" si="1"/>
        <v>mdg#1998</v>
      </c>
      <c r="B9516" t="str">
        <f>IFERROR(__xludf.DUMMYFUNCTION("""COMPUTED_VALUE"""),"mdg")</f>
        <v>mdg</v>
      </c>
      <c r="C9516" t="str">
        <f>IFERROR(__xludf.DUMMYFUNCTION("""COMPUTED_VALUE"""),"Madagascar")</f>
        <v>Madagascar</v>
      </c>
      <c r="D9516">
        <f>IFERROR(__xludf.DUMMYFUNCTION("""COMPUTED_VALUE"""),1998.0)</f>
        <v>1998</v>
      </c>
      <c r="E9516">
        <f>IFERROR(__xludf.DUMMYFUNCTION("""COMPUTED_VALUE"""),1.4808791E7)</f>
        <v>14808791</v>
      </c>
    </row>
    <row r="9517">
      <c r="A9517" t="str">
        <f t="shared" si="1"/>
        <v>mdg#1999</v>
      </c>
      <c r="B9517" t="str">
        <f>IFERROR(__xludf.DUMMYFUNCTION("""COMPUTED_VALUE"""),"mdg")</f>
        <v>mdg</v>
      </c>
      <c r="C9517" t="str">
        <f>IFERROR(__xludf.DUMMYFUNCTION("""COMPUTED_VALUE"""),"Madagascar")</f>
        <v>Madagascar</v>
      </c>
      <c r="D9517">
        <f>IFERROR(__xludf.DUMMYFUNCTION("""COMPUTED_VALUE"""),1999.0)</f>
        <v>1999</v>
      </c>
      <c r="E9517">
        <f>IFERROR(__xludf.DUMMYFUNCTION("""COMPUTED_VALUE"""),1.5282521E7)</f>
        <v>15282521</v>
      </c>
    </row>
    <row r="9518">
      <c r="A9518" t="str">
        <f t="shared" si="1"/>
        <v>mdg#2000</v>
      </c>
      <c r="B9518" t="str">
        <f>IFERROR(__xludf.DUMMYFUNCTION("""COMPUTED_VALUE"""),"mdg")</f>
        <v>mdg</v>
      </c>
      <c r="C9518" t="str">
        <f>IFERROR(__xludf.DUMMYFUNCTION("""COMPUTED_VALUE"""),"Madagascar")</f>
        <v>Madagascar</v>
      </c>
      <c r="D9518">
        <f>IFERROR(__xludf.DUMMYFUNCTION("""COMPUTED_VALUE"""),2000.0)</f>
        <v>2000</v>
      </c>
      <c r="E9518">
        <f>IFERROR(__xludf.DUMMYFUNCTION("""COMPUTED_VALUE"""),1.5766806E7)</f>
        <v>15766806</v>
      </c>
    </row>
    <row r="9519">
      <c r="A9519" t="str">
        <f t="shared" si="1"/>
        <v>mdg#2001</v>
      </c>
      <c r="B9519" t="str">
        <f>IFERROR(__xludf.DUMMYFUNCTION("""COMPUTED_VALUE"""),"mdg")</f>
        <v>mdg</v>
      </c>
      <c r="C9519" t="str">
        <f>IFERROR(__xludf.DUMMYFUNCTION("""COMPUTED_VALUE"""),"Madagascar")</f>
        <v>Madagascar</v>
      </c>
      <c r="D9519">
        <f>IFERROR(__xludf.DUMMYFUNCTION("""COMPUTED_VALUE"""),2001.0)</f>
        <v>2001</v>
      </c>
      <c r="E9519">
        <f>IFERROR(__xludf.DUMMYFUNCTION("""COMPUTED_VALUE"""),1.6260932E7)</f>
        <v>16260932</v>
      </c>
    </row>
    <row r="9520">
      <c r="A9520" t="str">
        <f t="shared" si="1"/>
        <v>mdg#2002</v>
      </c>
      <c r="B9520" t="str">
        <f>IFERROR(__xludf.DUMMYFUNCTION("""COMPUTED_VALUE"""),"mdg")</f>
        <v>mdg</v>
      </c>
      <c r="C9520" t="str">
        <f>IFERROR(__xludf.DUMMYFUNCTION("""COMPUTED_VALUE"""),"Madagascar")</f>
        <v>Madagascar</v>
      </c>
      <c r="D9520">
        <f>IFERROR(__xludf.DUMMYFUNCTION("""COMPUTED_VALUE"""),2002.0)</f>
        <v>2002</v>
      </c>
      <c r="E9520">
        <f>IFERROR(__xludf.DUMMYFUNCTION("""COMPUTED_VALUE"""),1.6765117E7)</f>
        <v>16765117</v>
      </c>
    </row>
    <row r="9521">
      <c r="A9521" t="str">
        <f t="shared" si="1"/>
        <v>mdg#2003</v>
      </c>
      <c r="B9521" t="str">
        <f>IFERROR(__xludf.DUMMYFUNCTION("""COMPUTED_VALUE"""),"mdg")</f>
        <v>mdg</v>
      </c>
      <c r="C9521" t="str">
        <f>IFERROR(__xludf.DUMMYFUNCTION("""COMPUTED_VALUE"""),"Madagascar")</f>
        <v>Madagascar</v>
      </c>
      <c r="D9521">
        <f>IFERROR(__xludf.DUMMYFUNCTION("""COMPUTED_VALUE"""),2003.0)</f>
        <v>2003</v>
      </c>
      <c r="E9521">
        <f>IFERROR(__xludf.DUMMYFUNCTION("""COMPUTED_VALUE"""),1.7279141E7)</f>
        <v>17279141</v>
      </c>
    </row>
    <row r="9522">
      <c r="A9522" t="str">
        <f t="shared" si="1"/>
        <v>mdg#2004</v>
      </c>
      <c r="B9522" t="str">
        <f>IFERROR(__xludf.DUMMYFUNCTION("""COMPUTED_VALUE"""),"mdg")</f>
        <v>mdg</v>
      </c>
      <c r="C9522" t="str">
        <f>IFERROR(__xludf.DUMMYFUNCTION("""COMPUTED_VALUE"""),"Madagascar")</f>
        <v>Madagascar</v>
      </c>
      <c r="D9522">
        <f>IFERROR(__xludf.DUMMYFUNCTION("""COMPUTED_VALUE"""),2004.0)</f>
        <v>2004</v>
      </c>
      <c r="E9522">
        <f>IFERROR(__xludf.DUMMYFUNCTION("""COMPUTED_VALUE"""),1.7802997E7)</f>
        <v>17802997</v>
      </c>
    </row>
    <row r="9523">
      <c r="A9523" t="str">
        <f t="shared" si="1"/>
        <v>mdg#2005</v>
      </c>
      <c r="B9523" t="str">
        <f>IFERROR(__xludf.DUMMYFUNCTION("""COMPUTED_VALUE"""),"mdg")</f>
        <v>mdg</v>
      </c>
      <c r="C9523" t="str">
        <f>IFERROR(__xludf.DUMMYFUNCTION("""COMPUTED_VALUE"""),"Madagascar")</f>
        <v>Madagascar</v>
      </c>
      <c r="D9523">
        <f>IFERROR(__xludf.DUMMYFUNCTION("""COMPUTED_VALUE"""),2005.0)</f>
        <v>2005</v>
      </c>
      <c r="E9523">
        <f>IFERROR(__xludf.DUMMYFUNCTION("""COMPUTED_VALUE"""),1.8336724E7)</f>
        <v>18336724</v>
      </c>
    </row>
    <row r="9524">
      <c r="A9524" t="str">
        <f t="shared" si="1"/>
        <v>mdg#2006</v>
      </c>
      <c r="B9524" t="str">
        <f>IFERROR(__xludf.DUMMYFUNCTION("""COMPUTED_VALUE"""),"mdg")</f>
        <v>mdg</v>
      </c>
      <c r="C9524" t="str">
        <f>IFERROR(__xludf.DUMMYFUNCTION("""COMPUTED_VALUE"""),"Madagascar")</f>
        <v>Madagascar</v>
      </c>
      <c r="D9524">
        <f>IFERROR(__xludf.DUMMYFUNCTION("""COMPUTED_VALUE"""),2006.0)</f>
        <v>2006</v>
      </c>
      <c r="E9524">
        <f>IFERROR(__xludf.DUMMYFUNCTION("""COMPUTED_VALUE"""),1.8880268E7)</f>
        <v>18880268</v>
      </c>
    </row>
    <row r="9525">
      <c r="A9525" t="str">
        <f t="shared" si="1"/>
        <v>mdg#2007</v>
      </c>
      <c r="B9525" t="str">
        <f>IFERROR(__xludf.DUMMYFUNCTION("""COMPUTED_VALUE"""),"mdg")</f>
        <v>mdg</v>
      </c>
      <c r="C9525" t="str">
        <f>IFERROR(__xludf.DUMMYFUNCTION("""COMPUTED_VALUE"""),"Madagascar")</f>
        <v>Madagascar</v>
      </c>
      <c r="D9525">
        <f>IFERROR(__xludf.DUMMYFUNCTION("""COMPUTED_VALUE"""),2007.0)</f>
        <v>2007</v>
      </c>
      <c r="E9525">
        <f>IFERROR(__xludf.DUMMYFUNCTION("""COMPUTED_VALUE"""),1.9433523E7)</f>
        <v>19433523</v>
      </c>
    </row>
    <row r="9526">
      <c r="A9526" t="str">
        <f t="shared" si="1"/>
        <v>mdg#2008</v>
      </c>
      <c r="B9526" t="str">
        <f>IFERROR(__xludf.DUMMYFUNCTION("""COMPUTED_VALUE"""),"mdg")</f>
        <v>mdg</v>
      </c>
      <c r="C9526" t="str">
        <f>IFERROR(__xludf.DUMMYFUNCTION("""COMPUTED_VALUE"""),"Madagascar")</f>
        <v>Madagascar</v>
      </c>
      <c r="D9526">
        <f>IFERROR(__xludf.DUMMYFUNCTION("""COMPUTED_VALUE"""),2008.0)</f>
        <v>2008</v>
      </c>
      <c r="E9526">
        <f>IFERROR(__xludf.DUMMYFUNCTION("""COMPUTED_VALUE"""),1.9996469E7)</f>
        <v>19996469</v>
      </c>
    </row>
    <row r="9527">
      <c r="A9527" t="str">
        <f t="shared" si="1"/>
        <v>mdg#2009</v>
      </c>
      <c r="B9527" t="str">
        <f>IFERROR(__xludf.DUMMYFUNCTION("""COMPUTED_VALUE"""),"mdg")</f>
        <v>mdg</v>
      </c>
      <c r="C9527" t="str">
        <f>IFERROR(__xludf.DUMMYFUNCTION("""COMPUTED_VALUE"""),"Madagascar")</f>
        <v>Madagascar</v>
      </c>
      <c r="D9527">
        <f>IFERROR(__xludf.DUMMYFUNCTION("""COMPUTED_VALUE"""),2009.0)</f>
        <v>2009</v>
      </c>
      <c r="E9527">
        <f>IFERROR(__xludf.DUMMYFUNCTION("""COMPUTED_VALUE"""),2.0569121E7)</f>
        <v>20569121</v>
      </c>
    </row>
    <row r="9528">
      <c r="A9528" t="str">
        <f t="shared" si="1"/>
        <v>mdg#2010</v>
      </c>
      <c r="B9528" t="str">
        <f>IFERROR(__xludf.DUMMYFUNCTION("""COMPUTED_VALUE"""),"mdg")</f>
        <v>mdg</v>
      </c>
      <c r="C9528" t="str">
        <f>IFERROR(__xludf.DUMMYFUNCTION("""COMPUTED_VALUE"""),"Madagascar")</f>
        <v>Madagascar</v>
      </c>
      <c r="D9528">
        <f>IFERROR(__xludf.DUMMYFUNCTION("""COMPUTED_VALUE"""),2010.0)</f>
        <v>2010</v>
      </c>
      <c r="E9528">
        <f>IFERROR(__xludf.DUMMYFUNCTION("""COMPUTED_VALUE"""),2.115164E7)</f>
        <v>21151640</v>
      </c>
    </row>
    <row r="9529">
      <c r="A9529" t="str">
        <f t="shared" si="1"/>
        <v>mdg#2011</v>
      </c>
      <c r="B9529" t="str">
        <f>IFERROR(__xludf.DUMMYFUNCTION("""COMPUTED_VALUE"""),"mdg")</f>
        <v>mdg</v>
      </c>
      <c r="C9529" t="str">
        <f>IFERROR(__xludf.DUMMYFUNCTION("""COMPUTED_VALUE"""),"Madagascar")</f>
        <v>Madagascar</v>
      </c>
      <c r="D9529">
        <f>IFERROR(__xludf.DUMMYFUNCTION("""COMPUTED_VALUE"""),2011.0)</f>
        <v>2011</v>
      </c>
      <c r="E9529">
        <f>IFERROR(__xludf.DUMMYFUNCTION("""COMPUTED_VALUE"""),2.1743949E7)</f>
        <v>21743949</v>
      </c>
    </row>
    <row r="9530">
      <c r="A9530" t="str">
        <f t="shared" si="1"/>
        <v>mdg#2012</v>
      </c>
      <c r="B9530" t="str">
        <f>IFERROR(__xludf.DUMMYFUNCTION("""COMPUTED_VALUE"""),"mdg")</f>
        <v>mdg</v>
      </c>
      <c r="C9530" t="str">
        <f>IFERROR(__xludf.DUMMYFUNCTION("""COMPUTED_VALUE"""),"Madagascar")</f>
        <v>Madagascar</v>
      </c>
      <c r="D9530">
        <f>IFERROR(__xludf.DUMMYFUNCTION("""COMPUTED_VALUE"""),2012.0)</f>
        <v>2012</v>
      </c>
      <c r="E9530">
        <f>IFERROR(__xludf.DUMMYFUNCTION("""COMPUTED_VALUE"""),2.2346573E7)</f>
        <v>22346573</v>
      </c>
    </row>
    <row r="9531">
      <c r="A9531" t="str">
        <f t="shared" si="1"/>
        <v>mdg#2013</v>
      </c>
      <c r="B9531" t="str">
        <f>IFERROR(__xludf.DUMMYFUNCTION("""COMPUTED_VALUE"""),"mdg")</f>
        <v>mdg</v>
      </c>
      <c r="C9531" t="str">
        <f>IFERROR(__xludf.DUMMYFUNCTION("""COMPUTED_VALUE"""),"Madagascar")</f>
        <v>Madagascar</v>
      </c>
      <c r="D9531">
        <f>IFERROR(__xludf.DUMMYFUNCTION("""COMPUTED_VALUE"""),2013.0)</f>
        <v>2013</v>
      </c>
      <c r="E9531">
        <f>IFERROR(__xludf.DUMMYFUNCTION("""COMPUTED_VALUE"""),2.2961146E7)</f>
        <v>22961146</v>
      </c>
    </row>
    <row r="9532">
      <c r="A9532" t="str">
        <f t="shared" si="1"/>
        <v>mdg#2014</v>
      </c>
      <c r="B9532" t="str">
        <f>IFERROR(__xludf.DUMMYFUNCTION("""COMPUTED_VALUE"""),"mdg")</f>
        <v>mdg</v>
      </c>
      <c r="C9532" t="str">
        <f>IFERROR(__xludf.DUMMYFUNCTION("""COMPUTED_VALUE"""),"Madagascar")</f>
        <v>Madagascar</v>
      </c>
      <c r="D9532">
        <f>IFERROR(__xludf.DUMMYFUNCTION("""COMPUTED_VALUE"""),2014.0)</f>
        <v>2014</v>
      </c>
      <c r="E9532">
        <f>IFERROR(__xludf.DUMMYFUNCTION("""COMPUTED_VALUE"""),2.3589801E7)</f>
        <v>23589801</v>
      </c>
    </row>
    <row r="9533">
      <c r="A9533" t="str">
        <f t="shared" si="1"/>
        <v>mdg#2015</v>
      </c>
      <c r="B9533" t="str">
        <f>IFERROR(__xludf.DUMMYFUNCTION("""COMPUTED_VALUE"""),"mdg")</f>
        <v>mdg</v>
      </c>
      <c r="C9533" t="str">
        <f>IFERROR(__xludf.DUMMYFUNCTION("""COMPUTED_VALUE"""),"Madagascar")</f>
        <v>Madagascar</v>
      </c>
      <c r="D9533">
        <f>IFERROR(__xludf.DUMMYFUNCTION("""COMPUTED_VALUE"""),2015.0)</f>
        <v>2015</v>
      </c>
      <c r="E9533">
        <f>IFERROR(__xludf.DUMMYFUNCTION("""COMPUTED_VALUE"""),2.4234088E7)</f>
        <v>24234088</v>
      </c>
    </row>
    <row r="9534">
      <c r="A9534" t="str">
        <f t="shared" si="1"/>
        <v>mdg#2016</v>
      </c>
      <c r="B9534" t="str">
        <f>IFERROR(__xludf.DUMMYFUNCTION("""COMPUTED_VALUE"""),"mdg")</f>
        <v>mdg</v>
      </c>
      <c r="C9534" t="str">
        <f>IFERROR(__xludf.DUMMYFUNCTION("""COMPUTED_VALUE"""),"Madagascar")</f>
        <v>Madagascar</v>
      </c>
      <c r="D9534">
        <f>IFERROR(__xludf.DUMMYFUNCTION("""COMPUTED_VALUE"""),2016.0)</f>
        <v>2016</v>
      </c>
      <c r="E9534">
        <f>IFERROR(__xludf.DUMMYFUNCTION("""COMPUTED_VALUE"""),2.4894551E7)</f>
        <v>24894551</v>
      </c>
    </row>
    <row r="9535">
      <c r="A9535" t="str">
        <f t="shared" si="1"/>
        <v>mdg#2017</v>
      </c>
      <c r="B9535" t="str">
        <f>IFERROR(__xludf.DUMMYFUNCTION("""COMPUTED_VALUE"""),"mdg")</f>
        <v>mdg</v>
      </c>
      <c r="C9535" t="str">
        <f>IFERROR(__xludf.DUMMYFUNCTION("""COMPUTED_VALUE"""),"Madagascar")</f>
        <v>Madagascar</v>
      </c>
      <c r="D9535">
        <f>IFERROR(__xludf.DUMMYFUNCTION("""COMPUTED_VALUE"""),2017.0)</f>
        <v>2017</v>
      </c>
      <c r="E9535">
        <f>IFERROR(__xludf.DUMMYFUNCTION("""COMPUTED_VALUE"""),2.5570895E7)</f>
        <v>25570895</v>
      </c>
    </row>
    <row r="9536">
      <c r="A9536" t="str">
        <f t="shared" si="1"/>
        <v>mdg#2018</v>
      </c>
      <c r="B9536" t="str">
        <f>IFERROR(__xludf.DUMMYFUNCTION("""COMPUTED_VALUE"""),"mdg")</f>
        <v>mdg</v>
      </c>
      <c r="C9536" t="str">
        <f>IFERROR(__xludf.DUMMYFUNCTION("""COMPUTED_VALUE"""),"Madagascar")</f>
        <v>Madagascar</v>
      </c>
      <c r="D9536">
        <f>IFERROR(__xludf.DUMMYFUNCTION("""COMPUTED_VALUE"""),2018.0)</f>
        <v>2018</v>
      </c>
      <c r="E9536">
        <f>IFERROR(__xludf.DUMMYFUNCTION("""COMPUTED_VALUE"""),2.626281E7)</f>
        <v>26262810</v>
      </c>
    </row>
    <row r="9537">
      <c r="A9537" t="str">
        <f t="shared" si="1"/>
        <v>mdg#2019</v>
      </c>
      <c r="B9537" t="str">
        <f>IFERROR(__xludf.DUMMYFUNCTION("""COMPUTED_VALUE"""),"mdg")</f>
        <v>mdg</v>
      </c>
      <c r="C9537" t="str">
        <f>IFERROR(__xludf.DUMMYFUNCTION("""COMPUTED_VALUE"""),"Madagascar")</f>
        <v>Madagascar</v>
      </c>
      <c r="D9537">
        <f>IFERROR(__xludf.DUMMYFUNCTION("""COMPUTED_VALUE"""),2019.0)</f>
        <v>2019</v>
      </c>
      <c r="E9537">
        <f>IFERROR(__xludf.DUMMYFUNCTION("""COMPUTED_VALUE"""),2.6969642E7)</f>
        <v>26969642</v>
      </c>
    </row>
    <row r="9538">
      <c r="A9538" t="str">
        <f t="shared" si="1"/>
        <v>mdg#2020</v>
      </c>
      <c r="B9538" t="str">
        <f>IFERROR(__xludf.DUMMYFUNCTION("""COMPUTED_VALUE"""),"mdg")</f>
        <v>mdg</v>
      </c>
      <c r="C9538" t="str">
        <f>IFERROR(__xludf.DUMMYFUNCTION("""COMPUTED_VALUE"""),"Madagascar")</f>
        <v>Madagascar</v>
      </c>
      <c r="D9538">
        <f>IFERROR(__xludf.DUMMYFUNCTION("""COMPUTED_VALUE"""),2020.0)</f>
        <v>2020</v>
      </c>
      <c r="E9538">
        <f>IFERROR(__xludf.DUMMYFUNCTION("""COMPUTED_VALUE"""),2.7690798E7)</f>
        <v>27690798</v>
      </c>
    </row>
    <row r="9539">
      <c r="A9539" t="str">
        <f t="shared" si="1"/>
        <v>mdg#2021</v>
      </c>
      <c r="B9539" t="str">
        <f>IFERROR(__xludf.DUMMYFUNCTION("""COMPUTED_VALUE"""),"mdg")</f>
        <v>mdg</v>
      </c>
      <c r="C9539" t="str">
        <f>IFERROR(__xludf.DUMMYFUNCTION("""COMPUTED_VALUE"""),"Madagascar")</f>
        <v>Madagascar</v>
      </c>
      <c r="D9539">
        <f>IFERROR(__xludf.DUMMYFUNCTION("""COMPUTED_VALUE"""),2021.0)</f>
        <v>2021</v>
      </c>
      <c r="E9539">
        <f>IFERROR(__xludf.DUMMYFUNCTION("""COMPUTED_VALUE"""),2.8426106E7)</f>
        <v>28426106</v>
      </c>
    </row>
    <row r="9540">
      <c r="A9540" t="str">
        <f t="shared" si="1"/>
        <v>mdg#2022</v>
      </c>
      <c r="B9540" t="str">
        <f>IFERROR(__xludf.DUMMYFUNCTION("""COMPUTED_VALUE"""),"mdg")</f>
        <v>mdg</v>
      </c>
      <c r="C9540" t="str">
        <f>IFERROR(__xludf.DUMMYFUNCTION("""COMPUTED_VALUE"""),"Madagascar")</f>
        <v>Madagascar</v>
      </c>
      <c r="D9540">
        <f>IFERROR(__xludf.DUMMYFUNCTION("""COMPUTED_VALUE"""),2022.0)</f>
        <v>2022</v>
      </c>
      <c r="E9540">
        <f>IFERROR(__xludf.DUMMYFUNCTION("""COMPUTED_VALUE"""),2.9175412E7)</f>
        <v>29175412</v>
      </c>
    </row>
    <row r="9541">
      <c r="A9541" t="str">
        <f t="shared" si="1"/>
        <v>mdg#2023</v>
      </c>
      <c r="B9541" t="str">
        <f>IFERROR(__xludf.DUMMYFUNCTION("""COMPUTED_VALUE"""),"mdg")</f>
        <v>mdg</v>
      </c>
      <c r="C9541" t="str">
        <f>IFERROR(__xludf.DUMMYFUNCTION("""COMPUTED_VALUE"""),"Madagascar")</f>
        <v>Madagascar</v>
      </c>
      <c r="D9541">
        <f>IFERROR(__xludf.DUMMYFUNCTION("""COMPUTED_VALUE"""),2023.0)</f>
        <v>2023</v>
      </c>
      <c r="E9541">
        <f>IFERROR(__xludf.DUMMYFUNCTION("""COMPUTED_VALUE"""),2.9938052E7)</f>
        <v>29938052</v>
      </c>
    </row>
    <row r="9542">
      <c r="A9542" t="str">
        <f t="shared" si="1"/>
        <v>mdg#2024</v>
      </c>
      <c r="B9542" t="str">
        <f>IFERROR(__xludf.DUMMYFUNCTION("""COMPUTED_VALUE"""),"mdg")</f>
        <v>mdg</v>
      </c>
      <c r="C9542" t="str">
        <f>IFERROR(__xludf.DUMMYFUNCTION("""COMPUTED_VALUE"""),"Madagascar")</f>
        <v>Madagascar</v>
      </c>
      <c r="D9542">
        <f>IFERROR(__xludf.DUMMYFUNCTION("""COMPUTED_VALUE"""),2024.0)</f>
        <v>2024</v>
      </c>
      <c r="E9542">
        <f>IFERROR(__xludf.DUMMYFUNCTION("""COMPUTED_VALUE"""),3.0713196E7)</f>
        <v>30713196</v>
      </c>
    </row>
    <row r="9543">
      <c r="A9543" t="str">
        <f t="shared" si="1"/>
        <v>mdg#2025</v>
      </c>
      <c r="B9543" t="str">
        <f>IFERROR(__xludf.DUMMYFUNCTION("""COMPUTED_VALUE"""),"mdg")</f>
        <v>mdg</v>
      </c>
      <c r="C9543" t="str">
        <f>IFERROR(__xludf.DUMMYFUNCTION("""COMPUTED_VALUE"""),"Madagascar")</f>
        <v>Madagascar</v>
      </c>
      <c r="D9543">
        <f>IFERROR(__xludf.DUMMYFUNCTION("""COMPUTED_VALUE"""),2025.0)</f>
        <v>2025</v>
      </c>
      <c r="E9543">
        <f>IFERROR(__xludf.DUMMYFUNCTION("""COMPUTED_VALUE"""),3.1500077E7)</f>
        <v>31500077</v>
      </c>
    </row>
    <row r="9544">
      <c r="A9544" t="str">
        <f t="shared" si="1"/>
        <v>mdg#2026</v>
      </c>
      <c r="B9544" t="str">
        <f>IFERROR(__xludf.DUMMYFUNCTION("""COMPUTED_VALUE"""),"mdg")</f>
        <v>mdg</v>
      </c>
      <c r="C9544" t="str">
        <f>IFERROR(__xludf.DUMMYFUNCTION("""COMPUTED_VALUE"""),"Madagascar")</f>
        <v>Madagascar</v>
      </c>
      <c r="D9544">
        <f>IFERROR(__xludf.DUMMYFUNCTION("""COMPUTED_VALUE"""),2026.0)</f>
        <v>2026</v>
      </c>
      <c r="E9544">
        <f>IFERROR(__xludf.DUMMYFUNCTION("""COMPUTED_VALUE"""),3.2298311E7)</f>
        <v>32298311</v>
      </c>
    </row>
    <row r="9545">
      <c r="A9545" t="str">
        <f t="shared" si="1"/>
        <v>mdg#2027</v>
      </c>
      <c r="B9545" t="str">
        <f>IFERROR(__xludf.DUMMYFUNCTION("""COMPUTED_VALUE"""),"mdg")</f>
        <v>mdg</v>
      </c>
      <c r="C9545" t="str">
        <f>IFERROR(__xludf.DUMMYFUNCTION("""COMPUTED_VALUE"""),"Madagascar")</f>
        <v>Madagascar</v>
      </c>
      <c r="D9545">
        <f>IFERROR(__xludf.DUMMYFUNCTION("""COMPUTED_VALUE"""),2027.0)</f>
        <v>2027</v>
      </c>
      <c r="E9545">
        <f>IFERROR(__xludf.DUMMYFUNCTION("""COMPUTED_VALUE"""),3.3107434E7)</f>
        <v>33107434</v>
      </c>
    </row>
    <row r="9546">
      <c r="A9546" t="str">
        <f t="shared" si="1"/>
        <v>mdg#2028</v>
      </c>
      <c r="B9546" t="str">
        <f>IFERROR(__xludf.DUMMYFUNCTION("""COMPUTED_VALUE"""),"mdg")</f>
        <v>mdg</v>
      </c>
      <c r="C9546" t="str">
        <f>IFERROR(__xludf.DUMMYFUNCTION("""COMPUTED_VALUE"""),"Madagascar")</f>
        <v>Madagascar</v>
      </c>
      <c r="D9546">
        <f>IFERROR(__xludf.DUMMYFUNCTION("""COMPUTED_VALUE"""),2028.0)</f>
        <v>2028</v>
      </c>
      <c r="E9546">
        <f>IFERROR(__xludf.DUMMYFUNCTION("""COMPUTED_VALUE"""),3.3926654E7)</f>
        <v>33926654</v>
      </c>
    </row>
    <row r="9547">
      <c r="A9547" t="str">
        <f t="shared" si="1"/>
        <v>mdg#2029</v>
      </c>
      <c r="B9547" t="str">
        <f>IFERROR(__xludf.DUMMYFUNCTION("""COMPUTED_VALUE"""),"mdg")</f>
        <v>mdg</v>
      </c>
      <c r="C9547" t="str">
        <f>IFERROR(__xludf.DUMMYFUNCTION("""COMPUTED_VALUE"""),"Madagascar")</f>
        <v>Madagascar</v>
      </c>
      <c r="D9547">
        <f>IFERROR(__xludf.DUMMYFUNCTION("""COMPUTED_VALUE"""),2029.0)</f>
        <v>2029</v>
      </c>
      <c r="E9547">
        <f>IFERROR(__xludf.DUMMYFUNCTION("""COMPUTED_VALUE"""),3.4755062E7)</f>
        <v>34755062</v>
      </c>
    </row>
    <row r="9548">
      <c r="A9548" t="str">
        <f t="shared" si="1"/>
        <v>mdg#2030</v>
      </c>
      <c r="B9548" t="str">
        <f>IFERROR(__xludf.DUMMYFUNCTION("""COMPUTED_VALUE"""),"mdg")</f>
        <v>mdg</v>
      </c>
      <c r="C9548" t="str">
        <f>IFERROR(__xludf.DUMMYFUNCTION("""COMPUTED_VALUE"""),"Madagascar")</f>
        <v>Madagascar</v>
      </c>
      <c r="D9548">
        <f>IFERROR(__xludf.DUMMYFUNCTION("""COMPUTED_VALUE"""),2030.0)</f>
        <v>2030</v>
      </c>
      <c r="E9548">
        <f>IFERROR(__xludf.DUMMYFUNCTION("""COMPUTED_VALUE"""),3.5591943E7)</f>
        <v>35591943</v>
      </c>
    </row>
    <row r="9549">
      <c r="A9549" t="str">
        <f t="shared" si="1"/>
        <v>mdg#2031</v>
      </c>
      <c r="B9549" t="str">
        <f>IFERROR(__xludf.DUMMYFUNCTION("""COMPUTED_VALUE"""),"mdg")</f>
        <v>mdg</v>
      </c>
      <c r="C9549" t="str">
        <f>IFERROR(__xludf.DUMMYFUNCTION("""COMPUTED_VALUE"""),"Madagascar")</f>
        <v>Madagascar</v>
      </c>
      <c r="D9549">
        <f>IFERROR(__xludf.DUMMYFUNCTION("""COMPUTED_VALUE"""),2031.0)</f>
        <v>2031</v>
      </c>
      <c r="E9549">
        <f>IFERROR(__xludf.DUMMYFUNCTION("""COMPUTED_VALUE"""),3.6436782E7)</f>
        <v>36436782</v>
      </c>
    </row>
    <row r="9550">
      <c r="A9550" t="str">
        <f t="shared" si="1"/>
        <v>mdg#2032</v>
      </c>
      <c r="B9550" t="str">
        <f>IFERROR(__xludf.DUMMYFUNCTION("""COMPUTED_VALUE"""),"mdg")</f>
        <v>mdg</v>
      </c>
      <c r="C9550" t="str">
        <f>IFERROR(__xludf.DUMMYFUNCTION("""COMPUTED_VALUE"""),"Madagascar")</f>
        <v>Madagascar</v>
      </c>
      <c r="D9550">
        <f>IFERROR(__xludf.DUMMYFUNCTION("""COMPUTED_VALUE"""),2032.0)</f>
        <v>2032</v>
      </c>
      <c r="E9550">
        <f>IFERROR(__xludf.DUMMYFUNCTION("""COMPUTED_VALUE"""),3.7289343E7)</f>
        <v>37289343</v>
      </c>
    </row>
    <row r="9551">
      <c r="A9551" t="str">
        <f t="shared" si="1"/>
        <v>mdg#2033</v>
      </c>
      <c r="B9551" t="str">
        <f>IFERROR(__xludf.DUMMYFUNCTION("""COMPUTED_VALUE"""),"mdg")</f>
        <v>mdg</v>
      </c>
      <c r="C9551" t="str">
        <f>IFERROR(__xludf.DUMMYFUNCTION("""COMPUTED_VALUE"""),"Madagascar")</f>
        <v>Madagascar</v>
      </c>
      <c r="D9551">
        <f>IFERROR(__xludf.DUMMYFUNCTION("""COMPUTED_VALUE"""),2033.0)</f>
        <v>2033</v>
      </c>
      <c r="E9551">
        <f>IFERROR(__xludf.DUMMYFUNCTION("""COMPUTED_VALUE"""),3.8149373E7)</f>
        <v>38149373</v>
      </c>
    </row>
    <row r="9552">
      <c r="A9552" t="str">
        <f t="shared" si="1"/>
        <v>mdg#2034</v>
      </c>
      <c r="B9552" t="str">
        <f>IFERROR(__xludf.DUMMYFUNCTION("""COMPUTED_VALUE"""),"mdg")</f>
        <v>mdg</v>
      </c>
      <c r="C9552" t="str">
        <f>IFERROR(__xludf.DUMMYFUNCTION("""COMPUTED_VALUE"""),"Madagascar")</f>
        <v>Madagascar</v>
      </c>
      <c r="D9552">
        <f>IFERROR(__xludf.DUMMYFUNCTION("""COMPUTED_VALUE"""),2034.0)</f>
        <v>2034</v>
      </c>
      <c r="E9552">
        <f>IFERROR(__xludf.DUMMYFUNCTION("""COMPUTED_VALUE"""),3.9016761E7)</f>
        <v>39016761</v>
      </c>
    </row>
    <row r="9553">
      <c r="A9553" t="str">
        <f t="shared" si="1"/>
        <v>mdg#2035</v>
      </c>
      <c r="B9553" t="str">
        <f>IFERROR(__xludf.DUMMYFUNCTION("""COMPUTED_VALUE"""),"mdg")</f>
        <v>mdg</v>
      </c>
      <c r="C9553" t="str">
        <f>IFERROR(__xludf.DUMMYFUNCTION("""COMPUTED_VALUE"""),"Madagascar")</f>
        <v>Madagascar</v>
      </c>
      <c r="D9553">
        <f>IFERROR(__xludf.DUMMYFUNCTION("""COMPUTED_VALUE"""),2035.0)</f>
        <v>2035</v>
      </c>
      <c r="E9553">
        <f>IFERROR(__xludf.DUMMYFUNCTION("""COMPUTED_VALUE"""),3.9891388E7)</f>
        <v>39891388</v>
      </c>
    </row>
    <row r="9554">
      <c r="A9554" t="str">
        <f t="shared" si="1"/>
        <v>mdg#2036</v>
      </c>
      <c r="B9554" t="str">
        <f>IFERROR(__xludf.DUMMYFUNCTION("""COMPUTED_VALUE"""),"mdg")</f>
        <v>mdg</v>
      </c>
      <c r="C9554" t="str">
        <f>IFERROR(__xludf.DUMMYFUNCTION("""COMPUTED_VALUE"""),"Madagascar")</f>
        <v>Madagascar</v>
      </c>
      <c r="D9554">
        <f>IFERROR(__xludf.DUMMYFUNCTION("""COMPUTED_VALUE"""),2036.0)</f>
        <v>2036</v>
      </c>
      <c r="E9554">
        <f>IFERROR(__xludf.DUMMYFUNCTION("""COMPUTED_VALUE"""),4.0772971E7)</f>
        <v>40772971</v>
      </c>
    </row>
    <row r="9555">
      <c r="A9555" t="str">
        <f t="shared" si="1"/>
        <v>mdg#2037</v>
      </c>
      <c r="B9555" t="str">
        <f>IFERROR(__xludf.DUMMYFUNCTION("""COMPUTED_VALUE"""),"mdg")</f>
        <v>mdg</v>
      </c>
      <c r="C9555" t="str">
        <f>IFERROR(__xludf.DUMMYFUNCTION("""COMPUTED_VALUE"""),"Madagascar")</f>
        <v>Madagascar</v>
      </c>
      <c r="D9555">
        <f>IFERROR(__xludf.DUMMYFUNCTION("""COMPUTED_VALUE"""),2037.0)</f>
        <v>2037</v>
      </c>
      <c r="E9555">
        <f>IFERROR(__xludf.DUMMYFUNCTION("""COMPUTED_VALUE"""),4.1661283E7)</f>
        <v>41661283</v>
      </c>
    </row>
    <row r="9556">
      <c r="A9556" t="str">
        <f t="shared" si="1"/>
        <v>mdg#2038</v>
      </c>
      <c r="B9556" t="str">
        <f>IFERROR(__xludf.DUMMYFUNCTION("""COMPUTED_VALUE"""),"mdg")</f>
        <v>mdg</v>
      </c>
      <c r="C9556" t="str">
        <f>IFERROR(__xludf.DUMMYFUNCTION("""COMPUTED_VALUE"""),"Madagascar")</f>
        <v>Madagascar</v>
      </c>
      <c r="D9556">
        <f>IFERROR(__xludf.DUMMYFUNCTION("""COMPUTED_VALUE"""),2038.0)</f>
        <v>2038</v>
      </c>
      <c r="E9556">
        <f>IFERROR(__xludf.DUMMYFUNCTION("""COMPUTED_VALUE"""),4.2556397E7)</f>
        <v>42556397</v>
      </c>
    </row>
    <row r="9557">
      <c r="A9557" t="str">
        <f t="shared" si="1"/>
        <v>mdg#2039</v>
      </c>
      <c r="B9557" t="str">
        <f>IFERROR(__xludf.DUMMYFUNCTION("""COMPUTED_VALUE"""),"mdg")</f>
        <v>mdg</v>
      </c>
      <c r="C9557" t="str">
        <f>IFERROR(__xludf.DUMMYFUNCTION("""COMPUTED_VALUE"""),"Madagascar")</f>
        <v>Madagascar</v>
      </c>
      <c r="D9557">
        <f>IFERROR(__xludf.DUMMYFUNCTION("""COMPUTED_VALUE"""),2039.0)</f>
        <v>2039</v>
      </c>
      <c r="E9557">
        <f>IFERROR(__xludf.DUMMYFUNCTION("""COMPUTED_VALUE"""),4.3458494E7)</f>
        <v>43458494</v>
      </c>
    </row>
    <row r="9558">
      <c r="A9558" t="str">
        <f t="shared" si="1"/>
        <v>mdg#2040</v>
      </c>
      <c r="B9558" t="str">
        <f>IFERROR(__xludf.DUMMYFUNCTION("""COMPUTED_VALUE"""),"mdg")</f>
        <v>mdg</v>
      </c>
      <c r="C9558" t="str">
        <f>IFERROR(__xludf.DUMMYFUNCTION("""COMPUTED_VALUE"""),"Madagascar")</f>
        <v>Madagascar</v>
      </c>
      <c r="D9558">
        <f>IFERROR(__xludf.DUMMYFUNCTION("""COMPUTED_VALUE"""),2040.0)</f>
        <v>2040</v>
      </c>
      <c r="E9558">
        <f>IFERROR(__xludf.DUMMYFUNCTION("""COMPUTED_VALUE"""),4.4367656E7)</f>
        <v>44367656</v>
      </c>
    </row>
    <row r="9559">
      <c r="A9559" t="str">
        <f t="shared" si="1"/>
        <v>mwi#1950</v>
      </c>
      <c r="B9559" t="str">
        <f>IFERROR(__xludf.DUMMYFUNCTION("""COMPUTED_VALUE"""),"mwi")</f>
        <v>mwi</v>
      </c>
      <c r="C9559" t="str">
        <f>IFERROR(__xludf.DUMMYFUNCTION("""COMPUTED_VALUE"""),"Malawi")</f>
        <v>Malawi</v>
      </c>
      <c r="D9559">
        <f>IFERROR(__xludf.DUMMYFUNCTION("""COMPUTED_VALUE"""),1950.0)</f>
        <v>1950</v>
      </c>
      <c r="E9559">
        <f>IFERROR(__xludf.DUMMYFUNCTION("""COMPUTED_VALUE"""),2953871.0)</f>
        <v>2953871</v>
      </c>
    </row>
    <row r="9560">
      <c r="A9560" t="str">
        <f t="shared" si="1"/>
        <v>mwi#1951</v>
      </c>
      <c r="B9560" t="str">
        <f>IFERROR(__xludf.DUMMYFUNCTION("""COMPUTED_VALUE"""),"mwi")</f>
        <v>mwi</v>
      </c>
      <c r="C9560" t="str">
        <f>IFERROR(__xludf.DUMMYFUNCTION("""COMPUTED_VALUE"""),"Malawi")</f>
        <v>Malawi</v>
      </c>
      <c r="D9560">
        <f>IFERROR(__xludf.DUMMYFUNCTION("""COMPUTED_VALUE"""),1951.0)</f>
        <v>1951</v>
      </c>
      <c r="E9560">
        <f>IFERROR(__xludf.DUMMYFUNCTION("""COMPUTED_VALUE"""),3008067.0)</f>
        <v>3008067</v>
      </c>
    </row>
    <row r="9561">
      <c r="A9561" t="str">
        <f t="shared" si="1"/>
        <v>mwi#1952</v>
      </c>
      <c r="B9561" t="str">
        <f>IFERROR(__xludf.DUMMYFUNCTION("""COMPUTED_VALUE"""),"mwi")</f>
        <v>mwi</v>
      </c>
      <c r="C9561" t="str">
        <f>IFERROR(__xludf.DUMMYFUNCTION("""COMPUTED_VALUE"""),"Malawi")</f>
        <v>Malawi</v>
      </c>
      <c r="D9561">
        <f>IFERROR(__xludf.DUMMYFUNCTION("""COMPUTED_VALUE"""),1952.0)</f>
        <v>1952</v>
      </c>
      <c r="E9561">
        <f>IFERROR(__xludf.DUMMYFUNCTION("""COMPUTED_VALUE"""),3065034.0)</f>
        <v>3065034</v>
      </c>
    </row>
    <row r="9562">
      <c r="A9562" t="str">
        <f t="shared" si="1"/>
        <v>mwi#1953</v>
      </c>
      <c r="B9562" t="str">
        <f>IFERROR(__xludf.DUMMYFUNCTION("""COMPUTED_VALUE"""),"mwi")</f>
        <v>mwi</v>
      </c>
      <c r="C9562" t="str">
        <f>IFERROR(__xludf.DUMMYFUNCTION("""COMPUTED_VALUE"""),"Malawi")</f>
        <v>Malawi</v>
      </c>
      <c r="D9562">
        <f>IFERROR(__xludf.DUMMYFUNCTION("""COMPUTED_VALUE"""),1953.0)</f>
        <v>1953</v>
      </c>
      <c r="E9562">
        <f>IFERROR(__xludf.DUMMYFUNCTION("""COMPUTED_VALUE"""),3124734.0)</f>
        <v>3124734</v>
      </c>
    </row>
    <row r="9563">
      <c r="A9563" t="str">
        <f t="shared" si="1"/>
        <v>mwi#1954</v>
      </c>
      <c r="B9563" t="str">
        <f>IFERROR(__xludf.DUMMYFUNCTION("""COMPUTED_VALUE"""),"mwi")</f>
        <v>mwi</v>
      </c>
      <c r="C9563" t="str">
        <f>IFERROR(__xludf.DUMMYFUNCTION("""COMPUTED_VALUE"""),"Malawi")</f>
        <v>Malawi</v>
      </c>
      <c r="D9563">
        <f>IFERROR(__xludf.DUMMYFUNCTION("""COMPUTED_VALUE"""),1954.0)</f>
        <v>1954</v>
      </c>
      <c r="E9563">
        <f>IFERROR(__xludf.DUMMYFUNCTION("""COMPUTED_VALUE"""),3187173.0)</f>
        <v>3187173</v>
      </c>
    </row>
    <row r="9564">
      <c r="A9564" t="str">
        <f t="shared" si="1"/>
        <v>mwi#1955</v>
      </c>
      <c r="B9564" t="str">
        <f>IFERROR(__xludf.DUMMYFUNCTION("""COMPUTED_VALUE"""),"mwi")</f>
        <v>mwi</v>
      </c>
      <c r="C9564" t="str">
        <f>IFERROR(__xludf.DUMMYFUNCTION("""COMPUTED_VALUE"""),"Malawi")</f>
        <v>Malawi</v>
      </c>
      <c r="D9564">
        <f>IFERROR(__xludf.DUMMYFUNCTION("""COMPUTED_VALUE"""),1955.0)</f>
        <v>1955</v>
      </c>
      <c r="E9564">
        <f>IFERROR(__xludf.DUMMYFUNCTION("""COMPUTED_VALUE"""),3252332.0)</f>
        <v>3252332</v>
      </c>
    </row>
    <row r="9565">
      <c r="A9565" t="str">
        <f t="shared" si="1"/>
        <v>mwi#1956</v>
      </c>
      <c r="B9565" t="str">
        <f>IFERROR(__xludf.DUMMYFUNCTION("""COMPUTED_VALUE"""),"mwi")</f>
        <v>mwi</v>
      </c>
      <c r="C9565" t="str">
        <f>IFERROR(__xludf.DUMMYFUNCTION("""COMPUTED_VALUE"""),"Malawi")</f>
        <v>Malawi</v>
      </c>
      <c r="D9565">
        <f>IFERROR(__xludf.DUMMYFUNCTION("""COMPUTED_VALUE"""),1956.0)</f>
        <v>1956</v>
      </c>
      <c r="E9565">
        <f>IFERROR(__xludf.DUMMYFUNCTION("""COMPUTED_VALUE"""),3320220.0)</f>
        <v>3320220</v>
      </c>
    </row>
    <row r="9566">
      <c r="A9566" t="str">
        <f t="shared" si="1"/>
        <v>mwi#1957</v>
      </c>
      <c r="B9566" t="str">
        <f>IFERROR(__xludf.DUMMYFUNCTION("""COMPUTED_VALUE"""),"mwi")</f>
        <v>mwi</v>
      </c>
      <c r="C9566" t="str">
        <f>IFERROR(__xludf.DUMMYFUNCTION("""COMPUTED_VALUE"""),"Malawi")</f>
        <v>Malawi</v>
      </c>
      <c r="D9566">
        <f>IFERROR(__xludf.DUMMYFUNCTION("""COMPUTED_VALUE"""),1957.0)</f>
        <v>1957</v>
      </c>
      <c r="E9566">
        <f>IFERROR(__xludf.DUMMYFUNCTION("""COMPUTED_VALUE"""),3390797.0)</f>
        <v>3390797</v>
      </c>
    </row>
    <row r="9567">
      <c r="A9567" t="str">
        <f t="shared" si="1"/>
        <v>mwi#1958</v>
      </c>
      <c r="B9567" t="str">
        <f>IFERROR(__xludf.DUMMYFUNCTION("""COMPUTED_VALUE"""),"mwi")</f>
        <v>mwi</v>
      </c>
      <c r="C9567" t="str">
        <f>IFERROR(__xludf.DUMMYFUNCTION("""COMPUTED_VALUE"""),"Malawi")</f>
        <v>Malawi</v>
      </c>
      <c r="D9567">
        <f>IFERROR(__xludf.DUMMYFUNCTION("""COMPUTED_VALUE"""),1958.0)</f>
        <v>1958</v>
      </c>
      <c r="E9567">
        <f>IFERROR(__xludf.DUMMYFUNCTION("""COMPUTED_VALUE"""),3464047.0)</f>
        <v>3464047</v>
      </c>
    </row>
    <row r="9568">
      <c r="A9568" t="str">
        <f t="shared" si="1"/>
        <v>mwi#1959</v>
      </c>
      <c r="B9568" t="str">
        <f>IFERROR(__xludf.DUMMYFUNCTION("""COMPUTED_VALUE"""),"mwi")</f>
        <v>mwi</v>
      </c>
      <c r="C9568" t="str">
        <f>IFERROR(__xludf.DUMMYFUNCTION("""COMPUTED_VALUE"""),"Malawi")</f>
        <v>Malawi</v>
      </c>
      <c r="D9568">
        <f>IFERROR(__xludf.DUMMYFUNCTION("""COMPUTED_VALUE"""),1959.0)</f>
        <v>1959</v>
      </c>
      <c r="E9568">
        <f>IFERROR(__xludf.DUMMYFUNCTION("""COMPUTED_VALUE"""),3539970.0)</f>
        <v>3539970</v>
      </c>
    </row>
    <row r="9569">
      <c r="A9569" t="str">
        <f t="shared" si="1"/>
        <v>mwi#1960</v>
      </c>
      <c r="B9569" t="str">
        <f>IFERROR(__xludf.DUMMYFUNCTION("""COMPUTED_VALUE"""),"mwi")</f>
        <v>mwi</v>
      </c>
      <c r="C9569" t="str">
        <f>IFERROR(__xludf.DUMMYFUNCTION("""COMPUTED_VALUE"""),"Malawi")</f>
        <v>Malawi</v>
      </c>
      <c r="D9569">
        <f>IFERROR(__xludf.DUMMYFUNCTION("""COMPUTED_VALUE"""),1960.0)</f>
        <v>1960</v>
      </c>
      <c r="E9569">
        <f>IFERROR(__xludf.DUMMYFUNCTION("""COMPUTED_VALUE"""),3618595.0)</f>
        <v>3618595</v>
      </c>
    </row>
    <row r="9570">
      <c r="A9570" t="str">
        <f t="shared" si="1"/>
        <v>mwi#1961</v>
      </c>
      <c r="B9570" t="str">
        <f>IFERROR(__xludf.DUMMYFUNCTION("""COMPUTED_VALUE"""),"mwi")</f>
        <v>mwi</v>
      </c>
      <c r="C9570" t="str">
        <f>IFERROR(__xludf.DUMMYFUNCTION("""COMPUTED_VALUE"""),"Malawi")</f>
        <v>Malawi</v>
      </c>
      <c r="D9570">
        <f>IFERROR(__xludf.DUMMYFUNCTION("""COMPUTED_VALUE"""),1961.0)</f>
        <v>1961</v>
      </c>
      <c r="E9570">
        <f>IFERROR(__xludf.DUMMYFUNCTION("""COMPUTED_VALUE"""),3700023.0)</f>
        <v>3700023</v>
      </c>
    </row>
    <row r="9571">
      <c r="A9571" t="str">
        <f t="shared" si="1"/>
        <v>mwi#1962</v>
      </c>
      <c r="B9571" t="str">
        <f>IFERROR(__xludf.DUMMYFUNCTION("""COMPUTED_VALUE"""),"mwi")</f>
        <v>mwi</v>
      </c>
      <c r="C9571" t="str">
        <f>IFERROR(__xludf.DUMMYFUNCTION("""COMPUTED_VALUE"""),"Malawi")</f>
        <v>Malawi</v>
      </c>
      <c r="D9571">
        <f>IFERROR(__xludf.DUMMYFUNCTION("""COMPUTED_VALUE"""),1962.0)</f>
        <v>1962</v>
      </c>
      <c r="E9571">
        <f>IFERROR(__xludf.DUMMYFUNCTION("""COMPUTED_VALUE"""),3784439.0)</f>
        <v>3784439</v>
      </c>
    </row>
    <row r="9572">
      <c r="A9572" t="str">
        <f t="shared" si="1"/>
        <v>mwi#1963</v>
      </c>
      <c r="B9572" t="str">
        <f>IFERROR(__xludf.DUMMYFUNCTION("""COMPUTED_VALUE"""),"mwi")</f>
        <v>mwi</v>
      </c>
      <c r="C9572" t="str">
        <f>IFERROR(__xludf.DUMMYFUNCTION("""COMPUTED_VALUE"""),"Malawi")</f>
        <v>Malawi</v>
      </c>
      <c r="D9572">
        <f>IFERROR(__xludf.DUMMYFUNCTION("""COMPUTED_VALUE"""),1963.0)</f>
        <v>1963</v>
      </c>
      <c r="E9572">
        <f>IFERROR(__xludf.DUMMYFUNCTION("""COMPUTED_VALUE"""),3872118.0)</f>
        <v>3872118</v>
      </c>
    </row>
    <row r="9573">
      <c r="A9573" t="str">
        <f t="shared" si="1"/>
        <v>mwi#1964</v>
      </c>
      <c r="B9573" t="str">
        <f>IFERROR(__xludf.DUMMYFUNCTION("""COMPUTED_VALUE"""),"mwi")</f>
        <v>mwi</v>
      </c>
      <c r="C9573" t="str">
        <f>IFERROR(__xludf.DUMMYFUNCTION("""COMPUTED_VALUE"""),"Malawi")</f>
        <v>Malawi</v>
      </c>
      <c r="D9573">
        <f>IFERROR(__xludf.DUMMYFUNCTION("""COMPUTED_VALUE"""),1964.0)</f>
        <v>1964</v>
      </c>
      <c r="E9573">
        <f>IFERROR(__xludf.DUMMYFUNCTION("""COMPUTED_VALUE"""),3963417.0)</f>
        <v>3963417</v>
      </c>
    </row>
    <row r="9574">
      <c r="A9574" t="str">
        <f t="shared" si="1"/>
        <v>mwi#1965</v>
      </c>
      <c r="B9574" t="str">
        <f>IFERROR(__xludf.DUMMYFUNCTION("""COMPUTED_VALUE"""),"mwi")</f>
        <v>mwi</v>
      </c>
      <c r="C9574" t="str">
        <f>IFERROR(__xludf.DUMMYFUNCTION("""COMPUTED_VALUE"""),"Malawi")</f>
        <v>Malawi</v>
      </c>
      <c r="D9574">
        <f>IFERROR(__xludf.DUMMYFUNCTION("""COMPUTED_VALUE"""),1965.0)</f>
        <v>1965</v>
      </c>
      <c r="E9574">
        <f>IFERROR(__xludf.DUMMYFUNCTION("""COMPUTED_VALUE"""),4058673.0)</f>
        <v>4058673</v>
      </c>
    </row>
    <row r="9575">
      <c r="A9575" t="str">
        <f t="shared" si="1"/>
        <v>mwi#1966</v>
      </c>
      <c r="B9575" t="str">
        <f>IFERROR(__xludf.DUMMYFUNCTION("""COMPUTED_VALUE"""),"mwi")</f>
        <v>mwi</v>
      </c>
      <c r="C9575" t="str">
        <f>IFERROR(__xludf.DUMMYFUNCTION("""COMPUTED_VALUE"""),"Malawi")</f>
        <v>Malawi</v>
      </c>
      <c r="D9575">
        <f>IFERROR(__xludf.DUMMYFUNCTION("""COMPUTED_VALUE"""),1966.0)</f>
        <v>1966</v>
      </c>
      <c r="E9575">
        <f>IFERROR(__xludf.DUMMYFUNCTION("""COMPUTED_VALUE"""),4158124.0)</f>
        <v>4158124</v>
      </c>
    </row>
    <row r="9576">
      <c r="A9576" t="str">
        <f t="shared" si="1"/>
        <v>mwi#1967</v>
      </c>
      <c r="B9576" t="str">
        <f>IFERROR(__xludf.DUMMYFUNCTION("""COMPUTED_VALUE"""),"mwi")</f>
        <v>mwi</v>
      </c>
      <c r="C9576" t="str">
        <f>IFERROR(__xludf.DUMMYFUNCTION("""COMPUTED_VALUE"""),"Malawi")</f>
        <v>Malawi</v>
      </c>
      <c r="D9576">
        <f>IFERROR(__xludf.DUMMYFUNCTION("""COMPUTED_VALUE"""),1967.0)</f>
        <v>1967</v>
      </c>
      <c r="E9576">
        <f>IFERROR(__xludf.DUMMYFUNCTION("""COMPUTED_VALUE"""),4262005.0)</f>
        <v>4262005</v>
      </c>
    </row>
    <row r="9577">
      <c r="A9577" t="str">
        <f t="shared" si="1"/>
        <v>mwi#1968</v>
      </c>
      <c r="B9577" t="str">
        <f>IFERROR(__xludf.DUMMYFUNCTION("""COMPUTED_VALUE"""),"mwi")</f>
        <v>mwi</v>
      </c>
      <c r="C9577" t="str">
        <f>IFERROR(__xludf.DUMMYFUNCTION("""COMPUTED_VALUE"""),"Malawi")</f>
        <v>Malawi</v>
      </c>
      <c r="D9577">
        <f>IFERROR(__xludf.DUMMYFUNCTION("""COMPUTED_VALUE"""),1968.0)</f>
        <v>1968</v>
      </c>
      <c r="E9577">
        <f>IFERROR(__xludf.DUMMYFUNCTION("""COMPUTED_VALUE"""),4370650.0)</f>
        <v>4370650</v>
      </c>
    </row>
    <row r="9578">
      <c r="A9578" t="str">
        <f t="shared" si="1"/>
        <v>mwi#1969</v>
      </c>
      <c r="B9578" t="str">
        <f>IFERROR(__xludf.DUMMYFUNCTION("""COMPUTED_VALUE"""),"mwi")</f>
        <v>mwi</v>
      </c>
      <c r="C9578" t="str">
        <f>IFERROR(__xludf.DUMMYFUNCTION("""COMPUTED_VALUE"""),"Malawi")</f>
        <v>Malawi</v>
      </c>
      <c r="D9578">
        <f>IFERROR(__xludf.DUMMYFUNCTION("""COMPUTED_VALUE"""),1969.0)</f>
        <v>1969</v>
      </c>
      <c r="E9578">
        <f>IFERROR(__xludf.DUMMYFUNCTION("""COMPUTED_VALUE"""),4484439.0)</f>
        <v>4484439</v>
      </c>
    </row>
    <row r="9579">
      <c r="A9579" t="str">
        <f t="shared" si="1"/>
        <v>mwi#1970</v>
      </c>
      <c r="B9579" t="str">
        <f>IFERROR(__xludf.DUMMYFUNCTION("""COMPUTED_VALUE"""),"mwi")</f>
        <v>mwi</v>
      </c>
      <c r="C9579" t="str">
        <f>IFERROR(__xludf.DUMMYFUNCTION("""COMPUTED_VALUE"""),"Malawi")</f>
        <v>Malawi</v>
      </c>
      <c r="D9579">
        <f>IFERROR(__xludf.DUMMYFUNCTION("""COMPUTED_VALUE"""),1970.0)</f>
        <v>1970</v>
      </c>
      <c r="E9579">
        <f>IFERROR(__xludf.DUMMYFUNCTION("""COMPUTED_VALUE"""),4603723.0)</f>
        <v>4603723</v>
      </c>
    </row>
    <row r="9580">
      <c r="A9580" t="str">
        <f t="shared" si="1"/>
        <v>mwi#1971</v>
      </c>
      <c r="B9580" t="str">
        <f>IFERROR(__xludf.DUMMYFUNCTION("""COMPUTED_VALUE"""),"mwi")</f>
        <v>mwi</v>
      </c>
      <c r="C9580" t="str">
        <f>IFERROR(__xludf.DUMMYFUNCTION("""COMPUTED_VALUE"""),"Malawi")</f>
        <v>Malawi</v>
      </c>
      <c r="D9580">
        <f>IFERROR(__xludf.DUMMYFUNCTION("""COMPUTED_VALUE"""),1971.0)</f>
        <v>1971</v>
      </c>
      <c r="E9580">
        <f>IFERROR(__xludf.DUMMYFUNCTION("""COMPUTED_VALUE"""),4728703.0)</f>
        <v>4728703</v>
      </c>
    </row>
    <row r="9581">
      <c r="A9581" t="str">
        <f t="shared" si="1"/>
        <v>mwi#1972</v>
      </c>
      <c r="B9581" t="str">
        <f>IFERROR(__xludf.DUMMYFUNCTION("""COMPUTED_VALUE"""),"mwi")</f>
        <v>mwi</v>
      </c>
      <c r="C9581" t="str">
        <f>IFERROR(__xludf.DUMMYFUNCTION("""COMPUTED_VALUE"""),"Malawi")</f>
        <v>Malawi</v>
      </c>
      <c r="D9581">
        <f>IFERROR(__xludf.DUMMYFUNCTION("""COMPUTED_VALUE"""),1972.0)</f>
        <v>1972</v>
      </c>
      <c r="E9581">
        <f>IFERROR(__xludf.DUMMYFUNCTION("""COMPUTED_VALUE"""),4859610.0)</f>
        <v>4859610</v>
      </c>
    </row>
    <row r="9582">
      <c r="A9582" t="str">
        <f t="shared" si="1"/>
        <v>mwi#1973</v>
      </c>
      <c r="B9582" t="str">
        <f>IFERROR(__xludf.DUMMYFUNCTION("""COMPUTED_VALUE"""),"mwi")</f>
        <v>mwi</v>
      </c>
      <c r="C9582" t="str">
        <f>IFERROR(__xludf.DUMMYFUNCTION("""COMPUTED_VALUE"""),"Malawi")</f>
        <v>Malawi</v>
      </c>
      <c r="D9582">
        <f>IFERROR(__xludf.DUMMYFUNCTION("""COMPUTED_VALUE"""),1973.0)</f>
        <v>1973</v>
      </c>
      <c r="E9582">
        <f>IFERROR(__xludf.DUMMYFUNCTION("""COMPUTED_VALUE"""),4996940.0)</f>
        <v>4996940</v>
      </c>
    </row>
    <row r="9583">
      <c r="A9583" t="str">
        <f t="shared" si="1"/>
        <v>mwi#1974</v>
      </c>
      <c r="B9583" t="str">
        <f>IFERROR(__xludf.DUMMYFUNCTION("""COMPUTED_VALUE"""),"mwi")</f>
        <v>mwi</v>
      </c>
      <c r="C9583" t="str">
        <f>IFERROR(__xludf.DUMMYFUNCTION("""COMPUTED_VALUE"""),"Malawi")</f>
        <v>Malawi</v>
      </c>
      <c r="D9583">
        <f>IFERROR(__xludf.DUMMYFUNCTION("""COMPUTED_VALUE"""),1974.0)</f>
        <v>1974</v>
      </c>
      <c r="E9583">
        <f>IFERROR(__xludf.DUMMYFUNCTION("""COMPUTED_VALUE"""),5141202.0)</f>
        <v>5141202</v>
      </c>
    </row>
    <row r="9584">
      <c r="A9584" t="str">
        <f t="shared" si="1"/>
        <v>mwi#1975</v>
      </c>
      <c r="B9584" t="str">
        <f>IFERROR(__xludf.DUMMYFUNCTION("""COMPUTED_VALUE"""),"mwi")</f>
        <v>mwi</v>
      </c>
      <c r="C9584" t="str">
        <f>IFERROR(__xludf.DUMMYFUNCTION("""COMPUTED_VALUE"""),"Malawi")</f>
        <v>Malawi</v>
      </c>
      <c r="D9584">
        <f>IFERROR(__xludf.DUMMYFUNCTION("""COMPUTED_VALUE"""),1975.0)</f>
        <v>1975</v>
      </c>
      <c r="E9584">
        <f>IFERROR(__xludf.DUMMYFUNCTION("""COMPUTED_VALUE"""),5292808.0)</f>
        <v>5292808</v>
      </c>
    </row>
    <row r="9585">
      <c r="A9585" t="str">
        <f t="shared" si="1"/>
        <v>mwi#1976</v>
      </c>
      <c r="B9585" t="str">
        <f>IFERROR(__xludf.DUMMYFUNCTION("""COMPUTED_VALUE"""),"mwi")</f>
        <v>mwi</v>
      </c>
      <c r="C9585" t="str">
        <f>IFERROR(__xludf.DUMMYFUNCTION("""COMPUTED_VALUE"""),"Malawi")</f>
        <v>Malawi</v>
      </c>
      <c r="D9585">
        <f>IFERROR(__xludf.DUMMYFUNCTION("""COMPUTED_VALUE"""),1976.0)</f>
        <v>1976</v>
      </c>
      <c r="E9585">
        <f>IFERROR(__xludf.DUMMYFUNCTION("""COMPUTED_VALUE"""),5454705.0)</f>
        <v>5454705</v>
      </c>
    </row>
    <row r="9586">
      <c r="A9586" t="str">
        <f t="shared" si="1"/>
        <v>mwi#1977</v>
      </c>
      <c r="B9586" t="str">
        <f>IFERROR(__xludf.DUMMYFUNCTION("""COMPUTED_VALUE"""),"mwi")</f>
        <v>mwi</v>
      </c>
      <c r="C9586" t="str">
        <f>IFERROR(__xludf.DUMMYFUNCTION("""COMPUTED_VALUE"""),"Malawi")</f>
        <v>Malawi</v>
      </c>
      <c r="D9586">
        <f>IFERROR(__xludf.DUMMYFUNCTION("""COMPUTED_VALUE"""),1977.0)</f>
        <v>1977</v>
      </c>
      <c r="E9586">
        <f>IFERROR(__xludf.DUMMYFUNCTION("""COMPUTED_VALUE"""),5627533.0)</f>
        <v>5627533</v>
      </c>
    </row>
    <row r="9587">
      <c r="A9587" t="str">
        <f t="shared" si="1"/>
        <v>mwi#1978</v>
      </c>
      <c r="B9587" t="str">
        <f>IFERROR(__xludf.DUMMYFUNCTION("""COMPUTED_VALUE"""),"mwi")</f>
        <v>mwi</v>
      </c>
      <c r="C9587" t="str">
        <f>IFERROR(__xludf.DUMMYFUNCTION("""COMPUTED_VALUE"""),"Malawi")</f>
        <v>Malawi</v>
      </c>
      <c r="D9587">
        <f>IFERROR(__xludf.DUMMYFUNCTION("""COMPUTED_VALUE"""),1978.0)</f>
        <v>1978</v>
      </c>
      <c r="E9587">
        <f>IFERROR(__xludf.DUMMYFUNCTION("""COMPUTED_VALUE"""),5806845.0)</f>
        <v>5806845</v>
      </c>
    </row>
    <row r="9588">
      <c r="A9588" t="str">
        <f t="shared" si="1"/>
        <v>mwi#1979</v>
      </c>
      <c r="B9588" t="str">
        <f>IFERROR(__xludf.DUMMYFUNCTION("""COMPUTED_VALUE"""),"mwi")</f>
        <v>mwi</v>
      </c>
      <c r="C9588" t="str">
        <f>IFERROR(__xludf.DUMMYFUNCTION("""COMPUTED_VALUE"""),"Malawi")</f>
        <v>Malawi</v>
      </c>
      <c r="D9588">
        <f>IFERROR(__xludf.DUMMYFUNCTION("""COMPUTED_VALUE"""),1979.0)</f>
        <v>1979</v>
      </c>
      <c r="E9588">
        <f>IFERROR(__xludf.DUMMYFUNCTION("""COMPUTED_VALUE"""),5986332.0)</f>
        <v>5986332</v>
      </c>
    </row>
    <row r="9589">
      <c r="A9589" t="str">
        <f t="shared" si="1"/>
        <v>mwi#1980</v>
      </c>
      <c r="B9589" t="str">
        <f>IFERROR(__xludf.DUMMYFUNCTION("""COMPUTED_VALUE"""),"mwi")</f>
        <v>mwi</v>
      </c>
      <c r="C9589" t="str">
        <f>IFERROR(__xludf.DUMMYFUNCTION("""COMPUTED_VALUE"""),"Malawi")</f>
        <v>Malawi</v>
      </c>
      <c r="D9589">
        <f>IFERROR(__xludf.DUMMYFUNCTION("""COMPUTED_VALUE"""),1980.0)</f>
        <v>1980</v>
      </c>
      <c r="E9589">
        <f>IFERROR(__xludf.DUMMYFUNCTION("""COMPUTED_VALUE"""),6163080.0)</f>
        <v>6163080</v>
      </c>
    </row>
    <row r="9590">
      <c r="A9590" t="str">
        <f t="shared" si="1"/>
        <v>mwi#1981</v>
      </c>
      <c r="B9590" t="str">
        <f>IFERROR(__xludf.DUMMYFUNCTION("""COMPUTED_VALUE"""),"mwi")</f>
        <v>mwi</v>
      </c>
      <c r="C9590" t="str">
        <f>IFERROR(__xludf.DUMMYFUNCTION("""COMPUTED_VALUE"""),"Malawi")</f>
        <v>Malawi</v>
      </c>
      <c r="D9590">
        <f>IFERROR(__xludf.DUMMYFUNCTION("""COMPUTED_VALUE"""),1981.0)</f>
        <v>1981</v>
      </c>
      <c r="E9590">
        <f>IFERROR(__xludf.DUMMYFUNCTION("""COMPUTED_VALUE"""),6327569.0)</f>
        <v>6327569</v>
      </c>
    </row>
    <row r="9591">
      <c r="A9591" t="str">
        <f t="shared" si="1"/>
        <v>mwi#1982</v>
      </c>
      <c r="B9591" t="str">
        <f>IFERROR(__xludf.DUMMYFUNCTION("""COMPUTED_VALUE"""),"mwi")</f>
        <v>mwi</v>
      </c>
      <c r="C9591" t="str">
        <f>IFERROR(__xludf.DUMMYFUNCTION("""COMPUTED_VALUE"""),"Malawi")</f>
        <v>Malawi</v>
      </c>
      <c r="D9591">
        <f>IFERROR(__xludf.DUMMYFUNCTION("""COMPUTED_VALUE"""),1982.0)</f>
        <v>1982</v>
      </c>
      <c r="E9591">
        <f>IFERROR(__xludf.DUMMYFUNCTION("""COMPUTED_VALUE"""),6484452.0)</f>
        <v>6484452</v>
      </c>
    </row>
    <row r="9592">
      <c r="A9592" t="str">
        <f t="shared" si="1"/>
        <v>mwi#1983</v>
      </c>
      <c r="B9592" t="str">
        <f>IFERROR(__xludf.DUMMYFUNCTION("""COMPUTED_VALUE"""),"mwi")</f>
        <v>mwi</v>
      </c>
      <c r="C9592" t="str">
        <f>IFERROR(__xludf.DUMMYFUNCTION("""COMPUTED_VALUE"""),"Malawi")</f>
        <v>Malawi</v>
      </c>
      <c r="D9592">
        <f>IFERROR(__xludf.DUMMYFUNCTION("""COMPUTED_VALUE"""),1983.0)</f>
        <v>1983</v>
      </c>
      <c r="E9592">
        <f>IFERROR(__xludf.DUMMYFUNCTION("""COMPUTED_VALUE"""),6661358.0)</f>
        <v>6661358</v>
      </c>
    </row>
    <row r="9593">
      <c r="A9593" t="str">
        <f t="shared" si="1"/>
        <v>mwi#1984</v>
      </c>
      <c r="B9593" t="str">
        <f>IFERROR(__xludf.DUMMYFUNCTION("""COMPUTED_VALUE"""),"mwi")</f>
        <v>mwi</v>
      </c>
      <c r="C9593" t="str">
        <f>IFERROR(__xludf.DUMMYFUNCTION("""COMPUTED_VALUE"""),"Malawi")</f>
        <v>Malawi</v>
      </c>
      <c r="D9593">
        <f>IFERROR(__xludf.DUMMYFUNCTION("""COMPUTED_VALUE"""),1984.0)</f>
        <v>1984</v>
      </c>
      <c r="E9593">
        <f>IFERROR(__xludf.DUMMYFUNCTION("""COMPUTED_VALUE"""),6895928.0)</f>
        <v>6895928</v>
      </c>
    </row>
    <row r="9594">
      <c r="A9594" t="str">
        <f t="shared" si="1"/>
        <v>mwi#1985</v>
      </c>
      <c r="B9594" t="str">
        <f>IFERROR(__xludf.DUMMYFUNCTION("""COMPUTED_VALUE"""),"mwi")</f>
        <v>mwi</v>
      </c>
      <c r="C9594" t="str">
        <f>IFERROR(__xludf.DUMMYFUNCTION("""COMPUTED_VALUE"""),"Malawi")</f>
        <v>Malawi</v>
      </c>
      <c r="D9594">
        <f>IFERROR(__xludf.DUMMYFUNCTION("""COMPUTED_VALUE"""),1985.0)</f>
        <v>1985</v>
      </c>
      <c r="E9594">
        <f>IFERROR(__xludf.DUMMYFUNCTION("""COMPUTED_VALUE"""),7211105.0)</f>
        <v>7211105</v>
      </c>
    </row>
    <row r="9595">
      <c r="A9595" t="str">
        <f t="shared" si="1"/>
        <v>mwi#1986</v>
      </c>
      <c r="B9595" t="str">
        <f>IFERROR(__xludf.DUMMYFUNCTION("""COMPUTED_VALUE"""),"mwi")</f>
        <v>mwi</v>
      </c>
      <c r="C9595" t="str">
        <f>IFERROR(__xludf.DUMMYFUNCTION("""COMPUTED_VALUE"""),"Malawi")</f>
        <v>Malawi</v>
      </c>
      <c r="D9595">
        <f>IFERROR(__xludf.DUMMYFUNCTION("""COMPUTED_VALUE"""),1986.0)</f>
        <v>1986</v>
      </c>
      <c r="E9595">
        <f>IFERROR(__xludf.DUMMYFUNCTION("""COMPUTED_VALUE"""),7625305.0)</f>
        <v>7625305</v>
      </c>
    </row>
    <row r="9596">
      <c r="A9596" t="str">
        <f t="shared" si="1"/>
        <v>mwi#1987</v>
      </c>
      <c r="B9596" t="str">
        <f>IFERROR(__xludf.DUMMYFUNCTION("""COMPUTED_VALUE"""),"mwi")</f>
        <v>mwi</v>
      </c>
      <c r="C9596" t="str">
        <f>IFERROR(__xludf.DUMMYFUNCTION("""COMPUTED_VALUE"""),"Malawi")</f>
        <v>Malawi</v>
      </c>
      <c r="D9596">
        <f>IFERROR(__xludf.DUMMYFUNCTION("""COMPUTED_VALUE"""),1987.0)</f>
        <v>1987</v>
      </c>
      <c r="E9596">
        <f>IFERROR(__xludf.DUMMYFUNCTION("""COMPUTED_VALUE"""),8120093.0)</f>
        <v>8120093</v>
      </c>
    </row>
    <row r="9597">
      <c r="A9597" t="str">
        <f t="shared" si="1"/>
        <v>mwi#1988</v>
      </c>
      <c r="B9597" t="str">
        <f>IFERROR(__xludf.DUMMYFUNCTION("""COMPUTED_VALUE"""),"mwi")</f>
        <v>mwi</v>
      </c>
      <c r="C9597" t="str">
        <f>IFERROR(__xludf.DUMMYFUNCTION("""COMPUTED_VALUE"""),"Malawi")</f>
        <v>Malawi</v>
      </c>
      <c r="D9597">
        <f>IFERROR(__xludf.DUMMYFUNCTION("""COMPUTED_VALUE"""),1988.0)</f>
        <v>1988</v>
      </c>
      <c r="E9597">
        <f>IFERROR(__xludf.DUMMYFUNCTION("""COMPUTED_VALUE"""),8636935.0)</f>
        <v>8636935</v>
      </c>
    </row>
    <row r="9598">
      <c r="A9598" t="str">
        <f t="shared" si="1"/>
        <v>mwi#1989</v>
      </c>
      <c r="B9598" t="str">
        <f>IFERROR(__xludf.DUMMYFUNCTION("""COMPUTED_VALUE"""),"mwi")</f>
        <v>mwi</v>
      </c>
      <c r="C9598" t="str">
        <f>IFERROR(__xludf.DUMMYFUNCTION("""COMPUTED_VALUE"""),"Malawi")</f>
        <v>Malawi</v>
      </c>
      <c r="D9598">
        <f>IFERROR(__xludf.DUMMYFUNCTION("""COMPUTED_VALUE"""),1989.0)</f>
        <v>1989</v>
      </c>
      <c r="E9598">
        <f>IFERROR(__xludf.DUMMYFUNCTION("""COMPUTED_VALUE"""),9094671.0)</f>
        <v>9094671</v>
      </c>
    </row>
    <row r="9599">
      <c r="A9599" t="str">
        <f t="shared" si="1"/>
        <v>mwi#1990</v>
      </c>
      <c r="B9599" t="str">
        <f>IFERROR(__xludf.DUMMYFUNCTION("""COMPUTED_VALUE"""),"mwi")</f>
        <v>mwi</v>
      </c>
      <c r="C9599" t="str">
        <f>IFERROR(__xludf.DUMMYFUNCTION("""COMPUTED_VALUE"""),"Malawi")</f>
        <v>Malawi</v>
      </c>
      <c r="D9599">
        <f>IFERROR(__xludf.DUMMYFUNCTION("""COMPUTED_VALUE"""),1990.0)</f>
        <v>1990</v>
      </c>
      <c r="E9599">
        <f>IFERROR(__xludf.DUMMYFUNCTION("""COMPUTED_VALUE"""),9437553.0)</f>
        <v>9437553</v>
      </c>
    </row>
    <row r="9600">
      <c r="A9600" t="str">
        <f t="shared" si="1"/>
        <v>mwi#1991</v>
      </c>
      <c r="B9600" t="str">
        <f>IFERROR(__xludf.DUMMYFUNCTION("""COMPUTED_VALUE"""),"mwi")</f>
        <v>mwi</v>
      </c>
      <c r="C9600" t="str">
        <f>IFERROR(__xludf.DUMMYFUNCTION("""COMPUTED_VALUE"""),"Malawi")</f>
        <v>Malawi</v>
      </c>
      <c r="D9600">
        <f>IFERROR(__xludf.DUMMYFUNCTION("""COMPUTED_VALUE"""),1991.0)</f>
        <v>1991</v>
      </c>
      <c r="E9600">
        <f>IFERROR(__xludf.DUMMYFUNCTION("""COMPUTED_VALUE"""),9641153.0)</f>
        <v>9641153</v>
      </c>
    </row>
    <row r="9601">
      <c r="A9601" t="str">
        <f t="shared" si="1"/>
        <v>mwi#1992</v>
      </c>
      <c r="B9601" t="str">
        <f>IFERROR(__xludf.DUMMYFUNCTION("""COMPUTED_VALUE"""),"mwi")</f>
        <v>mwi</v>
      </c>
      <c r="C9601" t="str">
        <f>IFERROR(__xludf.DUMMYFUNCTION("""COMPUTED_VALUE"""),"Malawi")</f>
        <v>Malawi</v>
      </c>
      <c r="D9601">
        <f>IFERROR(__xludf.DUMMYFUNCTION("""COMPUTED_VALUE"""),1992.0)</f>
        <v>1992</v>
      </c>
      <c r="E9601">
        <f>IFERROR(__xludf.DUMMYFUNCTION("""COMPUTED_VALUE"""),9729717.0)</f>
        <v>9729717</v>
      </c>
    </row>
    <row r="9602">
      <c r="A9602" t="str">
        <f t="shared" si="1"/>
        <v>mwi#1993</v>
      </c>
      <c r="B9602" t="str">
        <f>IFERROR(__xludf.DUMMYFUNCTION("""COMPUTED_VALUE"""),"mwi")</f>
        <v>mwi</v>
      </c>
      <c r="C9602" t="str">
        <f>IFERROR(__xludf.DUMMYFUNCTION("""COMPUTED_VALUE"""),"Malawi")</f>
        <v>Malawi</v>
      </c>
      <c r="D9602">
        <f>IFERROR(__xludf.DUMMYFUNCTION("""COMPUTED_VALUE"""),1993.0)</f>
        <v>1993</v>
      </c>
      <c r="E9602">
        <f>IFERROR(__xludf.DUMMYFUNCTION("""COMPUTED_VALUE"""),9755857.0)</f>
        <v>9755857</v>
      </c>
    </row>
    <row r="9603">
      <c r="A9603" t="str">
        <f t="shared" si="1"/>
        <v>mwi#1994</v>
      </c>
      <c r="B9603" t="str">
        <f>IFERROR(__xludf.DUMMYFUNCTION("""COMPUTED_VALUE"""),"mwi")</f>
        <v>mwi</v>
      </c>
      <c r="C9603" t="str">
        <f>IFERROR(__xludf.DUMMYFUNCTION("""COMPUTED_VALUE"""),"Malawi")</f>
        <v>Malawi</v>
      </c>
      <c r="D9603">
        <f>IFERROR(__xludf.DUMMYFUNCTION("""COMPUTED_VALUE"""),1994.0)</f>
        <v>1994</v>
      </c>
      <c r="E9603">
        <f>IFERROR(__xludf.DUMMYFUNCTION("""COMPUTED_VALUE"""),9796976.0)</f>
        <v>9796976</v>
      </c>
    </row>
    <row r="9604">
      <c r="A9604" t="str">
        <f t="shared" si="1"/>
        <v>mwi#1995</v>
      </c>
      <c r="B9604" t="str">
        <f>IFERROR(__xludf.DUMMYFUNCTION("""COMPUTED_VALUE"""),"mwi")</f>
        <v>mwi</v>
      </c>
      <c r="C9604" t="str">
        <f>IFERROR(__xludf.DUMMYFUNCTION("""COMPUTED_VALUE"""),"Malawi")</f>
        <v>Malawi</v>
      </c>
      <c r="D9604">
        <f>IFERROR(__xludf.DUMMYFUNCTION("""COMPUTED_VALUE"""),1995.0)</f>
        <v>1995</v>
      </c>
      <c r="E9604">
        <f>IFERROR(__xludf.DUMMYFUNCTION("""COMPUTED_VALUE"""),9909088.0)</f>
        <v>9909088</v>
      </c>
    </row>
    <row r="9605">
      <c r="A9605" t="str">
        <f t="shared" si="1"/>
        <v>mwi#1996</v>
      </c>
      <c r="B9605" t="str">
        <f>IFERROR(__xludf.DUMMYFUNCTION("""COMPUTED_VALUE"""),"mwi")</f>
        <v>mwi</v>
      </c>
      <c r="C9605" t="str">
        <f>IFERROR(__xludf.DUMMYFUNCTION("""COMPUTED_VALUE"""),"Malawi")</f>
        <v>Malawi</v>
      </c>
      <c r="D9605">
        <f>IFERROR(__xludf.DUMMYFUNCTION("""COMPUTED_VALUE"""),1996.0)</f>
        <v>1996</v>
      </c>
      <c r="E9605">
        <f>IFERROR(__xludf.DUMMYFUNCTION("""COMPUTED_VALUE"""),1.0109789E7)</f>
        <v>10109789</v>
      </c>
    </row>
    <row r="9606">
      <c r="A9606" t="str">
        <f t="shared" si="1"/>
        <v>mwi#1997</v>
      </c>
      <c r="B9606" t="str">
        <f>IFERROR(__xludf.DUMMYFUNCTION("""COMPUTED_VALUE"""),"mwi")</f>
        <v>mwi</v>
      </c>
      <c r="C9606" t="str">
        <f>IFERROR(__xludf.DUMMYFUNCTION("""COMPUTED_VALUE"""),"Malawi")</f>
        <v>Malawi</v>
      </c>
      <c r="D9606">
        <f>IFERROR(__xludf.DUMMYFUNCTION("""COMPUTED_VALUE"""),1997.0)</f>
        <v>1997</v>
      </c>
      <c r="E9606">
        <f>IFERROR(__xludf.DUMMYFUNCTION("""COMPUTED_VALUE"""),1.0381862E7)</f>
        <v>10381862</v>
      </c>
    </row>
    <row r="9607">
      <c r="A9607" t="str">
        <f t="shared" si="1"/>
        <v>mwi#1998</v>
      </c>
      <c r="B9607" t="str">
        <f>IFERROR(__xludf.DUMMYFUNCTION("""COMPUTED_VALUE"""),"mwi")</f>
        <v>mwi</v>
      </c>
      <c r="C9607" t="str">
        <f>IFERROR(__xludf.DUMMYFUNCTION("""COMPUTED_VALUE"""),"Malawi")</f>
        <v>Malawi</v>
      </c>
      <c r="D9607">
        <f>IFERROR(__xludf.DUMMYFUNCTION("""COMPUTED_VALUE"""),1998.0)</f>
        <v>1998</v>
      </c>
      <c r="E9607">
        <f>IFERROR(__xludf.DUMMYFUNCTION("""COMPUTED_VALUE"""),1.0704744E7)</f>
        <v>10704744</v>
      </c>
    </row>
    <row r="9608">
      <c r="A9608" t="str">
        <f t="shared" si="1"/>
        <v>mwi#1999</v>
      </c>
      <c r="B9608" t="str">
        <f>IFERROR(__xludf.DUMMYFUNCTION("""COMPUTED_VALUE"""),"mwi")</f>
        <v>mwi</v>
      </c>
      <c r="C9608" t="str">
        <f>IFERROR(__xludf.DUMMYFUNCTION("""COMPUTED_VALUE"""),"Malawi")</f>
        <v>Malawi</v>
      </c>
      <c r="D9608">
        <f>IFERROR(__xludf.DUMMYFUNCTION("""COMPUTED_VALUE"""),1999.0)</f>
        <v>1999</v>
      </c>
      <c r="E9608">
        <f>IFERROR(__xludf.DUMMYFUNCTION("""COMPUTED_VALUE"""),1.1044356E7)</f>
        <v>11044356</v>
      </c>
    </row>
    <row r="9609">
      <c r="A9609" t="str">
        <f t="shared" si="1"/>
        <v>mwi#2000</v>
      </c>
      <c r="B9609" t="str">
        <f>IFERROR(__xludf.DUMMYFUNCTION("""COMPUTED_VALUE"""),"mwi")</f>
        <v>mwi</v>
      </c>
      <c r="C9609" t="str">
        <f>IFERROR(__xludf.DUMMYFUNCTION("""COMPUTED_VALUE"""),"Malawi")</f>
        <v>Malawi</v>
      </c>
      <c r="D9609">
        <f>IFERROR(__xludf.DUMMYFUNCTION("""COMPUTED_VALUE"""),2000.0)</f>
        <v>2000</v>
      </c>
      <c r="E9609">
        <f>IFERROR(__xludf.DUMMYFUNCTION("""COMPUTED_VALUE"""),1.1376172E7)</f>
        <v>11376172</v>
      </c>
    </row>
    <row r="9610">
      <c r="A9610" t="str">
        <f t="shared" si="1"/>
        <v>mwi#2001</v>
      </c>
      <c r="B9610" t="str">
        <f>IFERROR(__xludf.DUMMYFUNCTION("""COMPUTED_VALUE"""),"mwi")</f>
        <v>mwi</v>
      </c>
      <c r="C9610" t="str">
        <f>IFERROR(__xludf.DUMMYFUNCTION("""COMPUTED_VALUE"""),"Malawi")</f>
        <v>Malawi</v>
      </c>
      <c r="D9610">
        <f>IFERROR(__xludf.DUMMYFUNCTION("""COMPUTED_VALUE"""),2001.0)</f>
        <v>2001</v>
      </c>
      <c r="E9610">
        <f>IFERROR(__xludf.DUMMYFUNCTION("""COMPUTED_VALUE"""),1.1695863E7)</f>
        <v>11695863</v>
      </c>
    </row>
    <row r="9611">
      <c r="A9611" t="str">
        <f t="shared" si="1"/>
        <v>mwi#2002</v>
      </c>
      <c r="B9611" t="str">
        <f>IFERROR(__xludf.DUMMYFUNCTION("""COMPUTED_VALUE"""),"mwi")</f>
        <v>mwi</v>
      </c>
      <c r="C9611" t="str">
        <f>IFERROR(__xludf.DUMMYFUNCTION("""COMPUTED_VALUE"""),"Malawi")</f>
        <v>Malawi</v>
      </c>
      <c r="D9611">
        <f>IFERROR(__xludf.DUMMYFUNCTION("""COMPUTED_VALUE"""),2002.0)</f>
        <v>2002</v>
      </c>
      <c r="E9611">
        <f>IFERROR(__xludf.DUMMYFUNCTION("""COMPUTED_VALUE"""),1.2013711E7)</f>
        <v>12013711</v>
      </c>
    </row>
    <row r="9612">
      <c r="A9612" t="str">
        <f t="shared" si="1"/>
        <v>mwi#2003</v>
      </c>
      <c r="B9612" t="str">
        <f>IFERROR(__xludf.DUMMYFUNCTION("""COMPUTED_VALUE"""),"mwi")</f>
        <v>mwi</v>
      </c>
      <c r="C9612" t="str">
        <f>IFERROR(__xludf.DUMMYFUNCTION("""COMPUTED_VALUE"""),"Malawi")</f>
        <v>Malawi</v>
      </c>
      <c r="D9612">
        <f>IFERROR(__xludf.DUMMYFUNCTION("""COMPUTED_VALUE"""),2003.0)</f>
        <v>2003</v>
      </c>
      <c r="E9612">
        <f>IFERROR(__xludf.DUMMYFUNCTION("""COMPUTED_VALUE"""),1.2336687E7)</f>
        <v>12336687</v>
      </c>
    </row>
    <row r="9613">
      <c r="A9613" t="str">
        <f t="shared" si="1"/>
        <v>mwi#2004</v>
      </c>
      <c r="B9613" t="str">
        <f>IFERROR(__xludf.DUMMYFUNCTION("""COMPUTED_VALUE"""),"mwi")</f>
        <v>mwi</v>
      </c>
      <c r="C9613" t="str">
        <f>IFERROR(__xludf.DUMMYFUNCTION("""COMPUTED_VALUE"""),"Malawi")</f>
        <v>Malawi</v>
      </c>
      <c r="D9613">
        <f>IFERROR(__xludf.DUMMYFUNCTION("""COMPUTED_VALUE"""),2004.0)</f>
        <v>2004</v>
      </c>
      <c r="E9613">
        <f>IFERROR(__xludf.DUMMYFUNCTION("""COMPUTED_VALUE"""),1.2676038E7)</f>
        <v>12676038</v>
      </c>
    </row>
    <row r="9614">
      <c r="A9614" t="str">
        <f t="shared" si="1"/>
        <v>mwi#2005</v>
      </c>
      <c r="B9614" t="str">
        <f>IFERROR(__xludf.DUMMYFUNCTION("""COMPUTED_VALUE"""),"mwi")</f>
        <v>mwi</v>
      </c>
      <c r="C9614" t="str">
        <f>IFERROR(__xludf.DUMMYFUNCTION("""COMPUTED_VALUE"""),"Malawi")</f>
        <v>Malawi</v>
      </c>
      <c r="D9614">
        <f>IFERROR(__xludf.DUMMYFUNCTION("""COMPUTED_VALUE"""),2005.0)</f>
        <v>2005</v>
      </c>
      <c r="E9614">
        <f>IFERROR(__xludf.DUMMYFUNCTION("""COMPUTED_VALUE"""),1.3039711E7)</f>
        <v>13039711</v>
      </c>
    </row>
    <row r="9615">
      <c r="A9615" t="str">
        <f t="shared" si="1"/>
        <v>mwi#2006</v>
      </c>
      <c r="B9615" t="str">
        <f>IFERROR(__xludf.DUMMYFUNCTION("""COMPUTED_VALUE"""),"mwi")</f>
        <v>mwi</v>
      </c>
      <c r="C9615" t="str">
        <f>IFERROR(__xludf.DUMMYFUNCTION("""COMPUTED_VALUE"""),"Malawi")</f>
        <v>Malawi</v>
      </c>
      <c r="D9615">
        <f>IFERROR(__xludf.DUMMYFUNCTION("""COMPUTED_VALUE"""),2006.0)</f>
        <v>2006</v>
      </c>
      <c r="E9615">
        <f>IFERROR(__xludf.DUMMYFUNCTION("""COMPUTED_VALUE"""),1.3429262E7)</f>
        <v>13429262</v>
      </c>
    </row>
    <row r="9616">
      <c r="A9616" t="str">
        <f t="shared" si="1"/>
        <v>mwi#2007</v>
      </c>
      <c r="B9616" t="str">
        <f>IFERROR(__xludf.DUMMYFUNCTION("""COMPUTED_VALUE"""),"mwi")</f>
        <v>mwi</v>
      </c>
      <c r="C9616" t="str">
        <f>IFERROR(__xludf.DUMMYFUNCTION("""COMPUTED_VALUE"""),"Malawi")</f>
        <v>Malawi</v>
      </c>
      <c r="D9616">
        <f>IFERROR(__xludf.DUMMYFUNCTION("""COMPUTED_VALUE"""),2007.0)</f>
        <v>2007</v>
      </c>
      <c r="E9616">
        <f>IFERROR(__xludf.DUMMYFUNCTION("""COMPUTED_VALUE"""),1.3840969E7)</f>
        <v>13840969</v>
      </c>
    </row>
    <row r="9617">
      <c r="A9617" t="str">
        <f t="shared" si="1"/>
        <v>mwi#2008</v>
      </c>
      <c r="B9617" t="str">
        <f>IFERROR(__xludf.DUMMYFUNCTION("""COMPUTED_VALUE"""),"mwi")</f>
        <v>mwi</v>
      </c>
      <c r="C9617" t="str">
        <f>IFERROR(__xludf.DUMMYFUNCTION("""COMPUTED_VALUE"""),"Malawi")</f>
        <v>Malawi</v>
      </c>
      <c r="D9617">
        <f>IFERROR(__xludf.DUMMYFUNCTION("""COMPUTED_VALUE"""),2008.0)</f>
        <v>2008</v>
      </c>
      <c r="E9617">
        <f>IFERROR(__xludf.DUMMYFUNCTION("""COMPUTED_VALUE"""),1.4271234E7)</f>
        <v>14271234</v>
      </c>
    </row>
    <row r="9618">
      <c r="A9618" t="str">
        <f t="shared" si="1"/>
        <v>mwi#2009</v>
      </c>
      <c r="B9618" t="str">
        <f>IFERROR(__xludf.DUMMYFUNCTION("""COMPUTED_VALUE"""),"mwi")</f>
        <v>mwi</v>
      </c>
      <c r="C9618" t="str">
        <f>IFERROR(__xludf.DUMMYFUNCTION("""COMPUTED_VALUE"""),"Malawi")</f>
        <v>Malawi</v>
      </c>
      <c r="D9618">
        <f>IFERROR(__xludf.DUMMYFUNCTION("""COMPUTED_VALUE"""),2009.0)</f>
        <v>2009</v>
      </c>
      <c r="E9618">
        <f>IFERROR(__xludf.DUMMYFUNCTION("""COMPUTED_VALUE"""),1.4714602E7)</f>
        <v>14714602</v>
      </c>
    </row>
    <row r="9619">
      <c r="A9619" t="str">
        <f t="shared" si="1"/>
        <v>mwi#2010</v>
      </c>
      <c r="B9619" t="str">
        <f>IFERROR(__xludf.DUMMYFUNCTION("""COMPUTED_VALUE"""),"mwi")</f>
        <v>mwi</v>
      </c>
      <c r="C9619" t="str">
        <f>IFERROR(__xludf.DUMMYFUNCTION("""COMPUTED_VALUE"""),"Malawi")</f>
        <v>Malawi</v>
      </c>
      <c r="D9619">
        <f>IFERROR(__xludf.DUMMYFUNCTION("""COMPUTED_VALUE"""),2010.0)</f>
        <v>2010</v>
      </c>
      <c r="E9619">
        <f>IFERROR(__xludf.DUMMYFUNCTION("""COMPUTED_VALUE"""),1.5167095E7)</f>
        <v>15167095</v>
      </c>
    </row>
    <row r="9620">
      <c r="A9620" t="str">
        <f t="shared" si="1"/>
        <v>mwi#2011</v>
      </c>
      <c r="B9620" t="str">
        <f>IFERROR(__xludf.DUMMYFUNCTION("""COMPUTED_VALUE"""),"mwi")</f>
        <v>mwi</v>
      </c>
      <c r="C9620" t="str">
        <f>IFERROR(__xludf.DUMMYFUNCTION("""COMPUTED_VALUE"""),"Malawi")</f>
        <v>Malawi</v>
      </c>
      <c r="D9620">
        <f>IFERROR(__xludf.DUMMYFUNCTION("""COMPUTED_VALUE"""),2011.0)</f>
        <v>2011</v>
      </c>
      <c r="E9620">
        <f>IFERROR(__xludf.DUMMYFUNCTION("""COMPUTED_VALUE"""),1.5627618E7)</f>
        <v>15627618</v>
      </c>
    </row>
    <row r="9621">
      <c r="A9621" t="str">
        <f t="shared" si="1"/>
        <v>mwi#2012</v>
      </c>
      <c r="B9621" t="str">
        <f>IFERROR(__xludf.DUMMYFUNCTION("""COMPUTED_VALUE"""),"mwi")</f>
        <v>mwi</v>
      </c>
      <c r="C9621" t="str">
        <f>IFERROR(__xludf.DUMMYFUNCTION("""COMPUTED_VALUE"""),"Malawi")</f>
        <v>Malawi</v>
      </c>
      <c r="D9621">
        <f>IFERROR(__xludf.DUMMYFUNCTION("""COMPUTED_VALUE"""),2012.0)</f>
        <v>2012</v>
      </c>
      <c r="E9621">
        <f>IFERROR(__xludf.DUMMYFUNCTION("""COMPUTED_VALUE"""),1.6097305E7)</f>
        <v>16097305</v>
      </c>
    </row>
    <row r="9622">
      <c r="A9622" t="str">
        <f t="shared" si="1"/>
        <v>mwi#2013</v>
      </c>
      <c r="B9622" t="str">
        <f>IFERROR(__xludf.DUMMYFUNCTION("""COMPUTED_VALUE"""),"mwi")</f>
        <v>mwi</v>
      </c>
      <c r="C9622" t="str">
        <f>IFERROR(__xludf.DUMMYFUNCTION("""COMPUTED_VALUE"""),"Malawi")</f>
        <v>Malawi</v>
      </c>
      <c r="D9622">
        <f>IFERROR(__xludf.DUMMYFUNCTION("""COMPUTED_VALUE"""),2013.0)</f>
        <v>2013</v>
      </c>
      <c r="E9622">
        <f>IFERROR(__xludf.DUMMYFUNCTION("""COMPUTED_VALUE"""),1.6577147E7)</f>
        <v>16577147</v>
      </c>
    </row>
    <row r="9623">
      <c r="A9623" t="str">
        <f t="shared" si="1"/>
        <v>mwi#2014</v>
      </c>
      <c r="B9623" t="str">
        <f>IFERROR(__xludf.DUMMYFUNCTION("""COMPUTED_VALUE"""),"mwi")</f>
        <v>mwi</v>
      </c>
      <c r="C9623" t="str">
        <f>IFERROR(__xludf.DUMMYFUNCTION("""COMPUTED_VALUE"""),"Malawi")</f>
        <v>Malawi</v>
      </c>
      <c r="D9623">
        <f>IFERROR(__xludf.DUMMYFUNCTION("""COMPUTED_VALUE"""),2014.0)</f>
        <v>2014</v>
      </c>
      <c r="E9623">
        <f>IFERROR(__xludf.DUMMYFUNCTION("""COMPUTED_VALUE"""),1.7068838E7)</f>
        <v>17068838</v>
      </c>
    </row>
    <row r="9624">
      <c r="A9624" t="str">
        <f t="shared" si="1"/>
        <v>mwi#2015</v>
      </c>
      <c r="B9624" t="str">
        <f>IFERROR(__xludf.DUMMYFUNCTION("""COMPUTED_VALUE"""),"mwi")</f>
        <v>mwi</v>
      </c>
      <c r="C9624" t="str">
        <f>IFERROR(__xludf.DUMMYFUNCTION("""COMPUTED_VALUE"""),"Malawi")</f>
        <v>Malawi</v>
      </c>
      <c r="D9624">
        <f>IFERROR(__xludf.DUMMYFUNCTION("""COMPUTED_VALUE"""),2015.0)</f>
        <v>2015</v>
      </c>
      <c r="E9624">
        <f>IFERROR(__xludf.DUMMYFUNCTION("""COMPUTED_VALUE"""),1.7573607E7)</f>
        <v>17573607</v>
      </c>
    </row>
    <row r="9625">
      <c r="A9625" t="str">
        <f t="shared" si="1"/>
        <v>mwi#2016</v>
      </c>
      <c r="B9625" t="str">
        <f>IFERROR(__xludf.DUMMYFUNCTION("""COMPUTED_VALUE"""),"mwi")</f>
        <v>mwi</v>
      </c>
      <c r="C9625" t="str">
        <f>IFERROR(__xludf.DUMMYFUNCTION("""COMPUTED_VALUE"""),"Malawi")</f>
        <v>Malawi</v>
      </c>
      <c r="D9625">
        <f>IFERROR(__xludf.DUMMYFUNCTION("""COMPUTED_VALUE"""),2016.0)</f>
        <v>2016</v>
      </c>
      <c r="E9625">
        <f>IFERROR(__xludf.DUMMYFUNCTION("""COMPUTED_VALUE"""),1.8091575E7)</f>
        <v>18091575</v>
      </c>
    </row>
    <row r="9626">
      <c r="A9626" t="str">
        <f t="shared" si="1"/>
        <v>mwi#2017</v>
      </c>
      <c r="B9626" t="str">
        <f>IFERROR(__xludf.DUMMYFUNCTION("""COMPUTED_VALUE"""),"mwi")</f>
        <v>mwi</v>
      </c>
      <c r="C9626" t="str">
        <f>IFERROR(__xludf.DUMMYFUNCTION("""COMPUTED_VALUE"""),"Malawi")</f>
        <v>Malawi</v>
      </c>
      <c r="D9626">
        <f>IFERROR(__xludf.DUMMYFUNCTION("""COMPUTED_VALUE"""),2017.0)</f>
        <v>2017</v>
      </c>
      <c r="E9626">
        <f>IFERROR(__xludf.DUMMYFUNCTION("""COMPUTED_VALUE"""),1.8622104E7)</f>
        <v>18622104</v>
      </c>
    </row>
    <row r="9627">
      <c r="A9627" t="str">
        <f t="shared" si="1"/>
        <v>mwi#2018</v>
      </c>
      <c r="B9627" t="str">
        <f>IFERROR(__xludf.DUMMYFUNCTION("""COMPUTED_VALUE"""),"mwi")</f>
        <v>mwi</v>
      </c>
      <c r="C9627" t="str">
        <f>IFERROR(__xludf.DUMMYFUNCTION("""COMPUTED_VALUE"""),"Malawi")</f>
        <v>Malawi</v>
      </c>
      <c r="D9627">
        <f>IFERROR(__xludf.DUMMYFUNCTION("""COMPUTED_VALUE"""),2018.0)</f>
        <v>2018</v>
      </c>
      <c r="E9627">
        <f>IFERROR(__xludf.DUMMYFUNCTION("""COMPUTED_VALUE"""),1.9164728E7)</f>
        <v>19164728</v>
      </c>
    </row>
    <row r="9628">
      <c r="A9628" t="str">
        <f t="shared" si="1"/>
        <v>mwi#2019</v>
      </c>
      <c r="B9628" t="str">
        <f>IFERROR(__xludf.DUMMYFUNCTION("""COMPUTED_VALUE"""),"mwi")</f>
        <v>mwi</v>
      </c>
      <c r="C9628" t="str">
        <f>IFERROR(__xludf.DUMMYFUNCTION("""COMPUTED_VALUE"""),"Malawi")</f>
        <v>Malawi</v>
      </c>
      <c r="D9628">
        <f>IFERROR(__xludf.DUMMYFUNCTION("""COMPUTED_VALUE"""),2019.0)</f>
        <v>2019</v>
      </c>
      <c r="E9628">
        <f>IFERROR(__xludf.DUMMYFUNCTION("""COMPUTED_VALUE"""),1.9718743E7)</f>
        <v>19718743</v>
      </c>
    </row>
    <row r="9629">
      <c r="A9629" t="str">
        <f t="shared" si="1"/>
        <v>mwi#2020</v>
      </c>
      <c r="B9629" t="str">
        <f>IFERROR(__xludf.DUMMYFUNCTION("""COMPUTED_VALUE"""),"mwi")</f>
        <v>mwi</v>
      </c>
      <c r="C9629" t="str">
        <f>IFERROR(__xludf.DUMMYFUNCTION("""COMPUTED_VALUE"""),"Malawi")</f>
        <v>Malawi</v>
      </c>
      <c r="D9629">
        <f>IFERROR(__xludf.DUMMYFUNCTION("""COMPUTED_VALUE"""),2020.0)</f>
        <v>2020</v>
      </c>
      <c r="E9629">
        <f>IFERROR(__xludf.DUMMYFUNCTION("""COMPUTED_VALUE"""),2.0283691E7)</f>
        <v>20283691</v>
      </c>
    </row>
    <row r="9630">
      <c r="A9630" t="str">
        <f t="shared" si="1"/>
        <v>mwi#2021</v>
      </c>
      <c r="B9630" t="str">
        <f>IFERROR(__xludf.DUMMYFUNCTION("""COMPUTED_VALUE"""),"mwi")</f>
        <v>mwi</v>
      </c>
      <c r="C9630" t="str">
        <f>IFERROR(__xludf.DUMMYFUNCTION("""COMPUTED_VALUE"""),"Malawi")</f>
        <v>Malawi</v>
      </c>
      <c r="D9630">
        <f>IFERROR(__xludf.DUMMYFUNCTION("""COMPUTED_VALUE"""),2021.0)</f>
        <v>2021</v>
      </c>
      <c r="E9630">
        <f>IFERROR(__xludf.DUMMYFUNCTION("""COMPUTED_VALUE"""),2.0859191E7)</f>
        <v>20859191</v>
      </c>
    </row>
    <row r="9631">
      <c r="A9631" t="str">
        <f t="shared" si="1"/>
        <v>mwi#2022</v>
      </c>
      <c r="B9631" t="str">
        <f>IFERROR(__xludf.DUMMYFUNCTION("""COMPUTED_VALUE"""),"mwi")</f>
        <v>mwi</v>
      </c>
      <c r="C9631" t="str">
        <f>IFERROR(__xludf.DUMMYFUNCTION("""COMPUTED_VALUE"""),"Malawi")</f>
        <v>Malawi</v>
      </c>
      <c r="D9631">
        <f>IFERROR(__xludf.DUMMYFUNCTION("""COMPUTED_VALUE"""),2022.0)</f>
        <v>2022</v>
      </c>
      <c r="E9631">
        <f>IFERROR(__xludf.DUMMYFUNCTION("""COMPUTED_VALUE"""),2.1445468E7)</f>
        <v>21445468</v>
      </c>
    </row>
    <row r="9632">
      <c r="A9632" t="str">
        <f t="shared" si="1"/>
        <v>mwi#2023</v>
      </c>
      <c r="B9632" t="str">
        <f>IFERROR(__xludf.DUMMYFUNCTION("""COMPUTED_VALUE"""),"mwi")</f>
        <v>mwi</v>
      </c>
      <c r="C9632" t="str">
        <f>IFERROR(__xludf.DUMMYFUNCTION("""COMPUTED_VALUE"""),"Malawi")</f>
        <v>Malawi</v>
      </c>
      <c r="D9632">
        <f>IFERROR(__xludf.DUMMYFUNCTION("""COMPUTED_VALUE"""),2023.0)</f>
        <v>2023</v>
      </c>
      <c r="E9632">
        <f>IFERROR(__xludf.DUMMYFUNCTION("""COMPUTED_VALUE"""),2.2043258E7)</f>
        <v>22043258</v>
      </c>
    </row>
    <row r="9633">
      <c r="A9633" t="str">
        <f t="shared" si="1"/>
        <v>mwi#2024</v>
      </c>
      <c r="B9633" t="str">
        <f>IFERROR(__xludf.DUMMYFUNCTION("""COMPUTED_VALUE"""),"mwi")</f>
        <v>mwi</v>
      </c>
      <c r="C9633" t="str">
        <f>IFERROR(__xludf.DUMMYFUNCTION("""COMPUTED_VALUE"""),"Malawi")</f>
        <v>Malawi</v>
      </c>
      <c r="D9633">
        <f>IFERROR(__xludf.DUMMYFUNCTION("""COMPUTED_VALUE"""),2024.0)</f>
        <v>2024</v>
      </c>
      <c r="E9633">
        <f>IFERROR(__xludf.DUMMYFUNCTION("""COMPUTED_VALUE"""),2.2653625E7)</f>
        <v>22653625</v>
      </c>
    </row>
    <row r="9634">
      <c r="A9634" t="str">
        <f t="shared" si="1"/>
        <v>mwi#2025</v>
      </c>
      <c r="B9634" t="str">
        <f>IFERROR(__xludf.DUMMYFUNCTION("""COMPUTED_VALUE"""),"mwi")</f>
        <v>mwi</v>
      </c>
      <c r="C9634" t="str">
        <f>IFERROR(__xludf.DUMMYFUNCTION("""COMPUTED_VALUE"""),"Malawi")</f>
        <v>Malawi</v>
      </c>
      <c r="D9634">
        <f>IFERROR(__xludf.DUMMYFUNCTION("""COMPUTED_VALUE"""),2025.0)</f>
        <v>2025</v>
      </c>
      <c r="E9634">
        <f>IFERROR(__xludf.DUMMYFUNCTION("""COMPUTED_VALUE"""),2.3277224E7)</f>
        <v>23277224</v>
      </c>
    </row>
    <row r="9635">
      <c r="A9635" t="str">
        <f t="shared" si="1"/>
        <v>mwi#2026</v>
      </c>
      <c r="B9635" t="str">
        <f>IFERROR(__xludf.DUMMYFUNCTION("""COMPUTED_VALUE"""),"mwi")</f>
        <v>mwi</v>
      </c>
      <c r="C9635" t="str">
        <f>IFERROR(__xludf.DUMMYFUNCTION("""COMPUTED_VALUE"""),"Malawi")</f>
        <v>Malawi</v>
      </c>
      <c r="D9635">
        <f>IFERROR(__xludf.DUMMYFUNCTION("""COMPUTED_VALUE"""),2026.0)</f>
        <v>2026</v>
      </c>
      <c r="E9635">
        <f>IFERROR(__xludf.DUMMYFUNCTION("""COMPUTED_VALUE"""),2.3914217E7)</f>
        <v>23914217</v>
      </c>
    </row>
    <row r="9636">
      <c r="A9636" t="str">
        <f t="shared" si="1"/>
        <v>mwi#2027</v>
      </c>
      <c r="B9636" t="str">
        <f>IFERROR(__xludf.DUMMYFUNCTION("""COMPUTED_VALUE"""),"mwi")</f>
        <v>mwi</v>
      </c>
      <c r="C9636" t="str">
        <f>IFERROR(__xludf.DUMMYFUNCTION("""COMPUTED_VALUE"""),"Malawi")</f>
        <v>Malawi</v>
      </c>
      <c r="D9636">
        <f>IFERROR(__xludf.DUMMYFUNCTION("""COMPUTED_VALUE"""),2027.0)</f>
        <v>2027</v>
      </c>
      <c r="E9636">
        <f>IFERROR(__xludf.DUMMYFUNCTION("""COMPUTED_VALUE"""),2.4564021E7)</f>
        <v>24564021</v>
      </c>
    </row>
    <row r="9637">
      <c r="A9637" t="str">
        <f t="shared" si="1"/>
        <v>mwi#2028</v>
      </c>
      <c r="B9637" t="str">
        <f>IFERROR(__xludf.DUMMYFUNCTION("""COMPUTED_VALUE"""),"mwi")</f>
        <v>mwi</v>
      </c>
      <c r="C9637" t="str">
        <f>IFERROR(__xludf.DUMMYFUNCTION("""COMPUTED_VALUE"""),"Malawi")</f>
        <v>Malawi</v>
      </c>
      <c r="D9637">
        <f>IFERROR(__xludf.DUMMYFUNCTION("""COMPUTED_VALUE"""),2028.0)</f>
        <v>2028</v>
      </c>
      <c r="E9637">
        <f>IFERROR(__xludf.DUMMYFUNCTION("""COMPUTED_VALUE"""),2.5225545E7)</f>
        <v>25225545</v>
      </c>
    </row>
    <row r="9638">
      <c r="A9638" t="str">
        <f t="shared" si="1"/>
        <v>mwi#2029</v>
      </c>
      <c r="B9638" t="str">
        <f>IFERROR(__xludf.DUMMYFUNCTION("""COMPUTED_VALUE"""),"mwi")</f>
        <v>mwi</v>
      </c>
      <c r="C9638" t="str">
        <f>IFERROR(__xludf.DUMMYFUNCTION("""COMPUTED_VALUE"""),"Malawi")</f>
        <v>Malawi</v>
      </c>
      <c r="D9638">
        <f>IFERROR(__xludf.DUMMYFUNCTION("""COMPUTED_VALUE"""),2029.0)</f>
        <v>2029</v>
      </c>
      <c r="E9638">
        <f>IFERROR(__xludf.DUMMYFUNCTION("""COMPUTED_VALUE"""),2.5897347E7)</f>
        <v>25897347</v>
      </c>
    </row>
    <row r="9639">
      <c r="A9639" t="str">
        <f t="shared" si="1"/>
        <v>mwi#2030</v>
      </c>
      <c r="B9639" t="str">
        <f>IFERROR(__xludf.DUMMYFUNCTION("""COMPUTED_VALUE"""),"mwi")</f>
        <v>mwi</v>
      </c>
      <c r="C9639" t="str">
        <f>IFERROR(__xludf.DUMMYFUNCTION("""COMPUTED_VALUE"""),"Malawi")</f>
        <v>Malawi</v>
      </c>
      <c r="D9639">
        <f>IFERROR(__xludf.DUMMYFUNCTION("""COMPUTED_VALUE"""),2030.0)</f>
        <v>2030</v>
      </c>
      <c r="E9639">
        <f>IFERROR(__xludf.DUMMYFUNCTION("""COMPUTED_VALUE"""),2.6578247E7)</f>
        <v>26578247</v>
      </c>
    </row>
    <row r="9640">
      <c r="A9640" t="str">
        <f t="shared" si="1"/>
        <v>mwi#2031</v>
      </c>
      <c r="B9640" t="str">
        <f>IFERROR(__xludf.DUMMYFUNCTION("""COMPUTED_VALUE"""),"mwi")</f>
        <v>mwi</v>
      </c>
      <c r="C9640" t="str">
        <f>IFERROR(__xludf.DUMMYFUNCTION("""COMPUTED_VALUE"""),"Malawi")</f>
        <v>Malawi</v>
      </c>
      <c r="D9640">
        <f>IFERROR(__xludf.DUMMYFUNCTION("""COMPUTED_VALUE"""),2031.0)</f>
        <v>2031</v>
      </c>
      <c r="E9640">
        <f>IFERROR(__xludf.DUMMYFUNCTION("""COMPUTED_VALUE"""),2.726773E7)</f>
        <v>27267730</v>
      </c>
    </row>
    <row r="9641">
      <c r="A9641" t="str">
        <f t="shared" si="1"/>
        <v>mwi#2032</v>
      </c>
      <c r="B9641" t="str">
        <f>IFERROR(__xludf.DUMMYFUNCTION("""COMPUTED_VALUE"""),"mwi")</f>
        <v>mwi</v>
      </c>
      <c r="C9641" t="str">
        <f>IFERROR(__xludf.DUMMYFUNCTION("""COMPUTED_VALUE"""),"Malawi")</f>
        <v>Malawi</v>
      </c>
      <c r="D9641">
        <f>IFERROR(__xludf.DUMMYFUNCTION("""COMPUTED_VALUE"""),2032.0)</f>
        <v>2032</v>
      </c>
      <c r="E9641">
        <f>IFERROR(__xludf.DUMMYFUNCTION("""COMPUTED_VALUE"""),2.796573E7)</f>
        <v>27965730</v>
      </c>
    </row>
    <row r="9642">
      <c r="A9642" t="str">
        <f t="shared" si="1"/>
        <v>mwi#2033</v>
      </c>
      <c r="B9642" t="str">
        <f>IFERROR(__xludf.DUMMYFUNCTION("""COMPUTED_VALUE"""),"mwi")</f>
        <v>mwi</v>
      </c>
      <c r="C9642" t="str">
        <f>IFERROR(__xludf.DUMMYFUNCTION("""COMPUTED_VALUE"""),"Malawi")</f>
        <v>Malawi</v>
      </c>
      <c r="D9642">
        <f>IFERROR(__xludf.DUMMYFUNCTION("""COMPUTED_VALUE"""),2033.0)</f>
        <v>2033</v>
      </c>
      <c r="E9642">
        <f>IFERROR(__xludf.DUMMYFUNCTION("""COMPUTED_VALUE"""),2.8672108E7)</f>
        <v>28672108</v>
      </c>
    </row>
    <row r="9643">
      <c r="A9643" t="str">
        <f t="shared" si="1"/>
        <v>mwi#2034</v>
      </c>
      <c r="B9643" t="str">
        <f>IFERROR(__xludf.DUMMYFUNCTION("""COMPUTED_VALUE"""),"mwi")</f>
        <v>mwi</v>
      </c>
      <c r="C9643" t="str">
        <f>IFERROR(__xludf.DUMMYFUNCTION("""COMPUTED_VALUE"""),"Malawi")</f>
        <v>Malawi</v>
      </c>
      <c r="D9643">
        <f>IFERROR(__xludf.DUMMYFUNCTION("""COMPUTED_VALUE"""),2034.0)</f>
        <v>2034</v>
      </c>
      <c r="E9643">
        <f>IFERROR(__xludf.DUMMYFUNCTION("""COMPUTED_VALUE"""),2.9386842E7)</f>
        <v>29386842</v>
      </c>
    </row>
    <row r="9644">
      <c r="A9644" t="str">
        <f t="shared" si="1"/>
        <v>mwi#2035</v>
      </c>
      <c r="B9644" t="str">
        <f>IFERROR(__xludf.DUMMYFUNCTION("""COMPUTED_VALUE"""),"mwi")</f>
        <v>mwi</v>
      </c>
      <c r="C9644" t="str">
        <f>IFERROR(__xludf.DUMMYFUNCTION("""COMPUTED_VALUE"""),"Malawi")</f>
        <v>Malawi</v>
      </c>
      <c r="D9644">
        <f>IFERROR(__xludf.DUMMYFUNCTION("""COMPUTED_VALUE"""),2035.0)</f>
        <v>2035</v>
      </c>
      <c r="E9644">
        <f>IFERROR(__xludf.DUMMYFUNCTION("""COMPUTED_VALUE"""),3.0109857E7)</f>
        <v>30109857</v>
      </c>
    </row>
    <row r="9645">
      <c r="A9645" t="str">
        <f t="shared" si="1"/>
        <v>mwi#2036</v>
      </c>
      <c r="B9645" t="str">
        <f>IFERROR(__xludf.DUMMYFUNCTION("""COMPUTED_VALUE"""),"mwi")</f>
        <v>mwi</v>
      </c>
      <c r="C9645" t="str">
        <f>IFERROR(__xludf.DUMMYFUNCTION("""COMPUTED_VALUE"""),"Malawi")</f>
        <v>Malawi</v>
      </c>
      <c r="D9645">
        <f>IFERROR(__xludf.DUMMYFUNCTION("""COMPUTED_VALUE"""),2036.0)</f>
        <v>2036</v>
      </c>
      <c r="E9645">
        <f>IFERROR(__xludf.DUMMYFUNCTION("""COMPUTED_VALUE"""),3.0840793E7)</f>
        <v>30840793</v>
      </c>
    </row>
    <row r="9646">
      <c r="A9646" t="str">
        <f t="shared" si="1"/>
        <v>mwi#2037</v>
      </c>
      <c r="B9646" t="str">
        <f>IFERROR(__xludf.DUMMYFUNCTION("""COMPUTED_VALUE"""),"mwi")</f>
        <v>mwi</v>
      </c>
      <c r="C9646" t="str">
        <f>IFERROR(__xludf.DUMMYFUNCTION("""COMPUTED_VALUE"""),"Malawi")</f>
        <v>Malawi</v>
      </c>
      <c r="D9646">
        <f>IFERROR(__xludf.DUMMYFUNCTION("""COMPUTED_VALUE"""),2037.0)</f>
        <v>2037</v>
      </c>
      <c r="E9646">
        <f>IFERROR(__xludf.DUMMYFUNCTION("""COMPUTED_VALUE"""),3.1579218E7)</f>
        <v>31579218</v>
      </c>
    </row>
    <row r="9647">
      <c r="A9647" t="str">
        <f t="shared" si="1"/>
        <v>mwi#2038</v>
      </c>
      <c r="B9647" t="str">
        <f>IFERROR(__xludf.DUMMYFUNCTION("""COMPUTED_VALUE"""),"mwi")</f>
        <v>mwi</v>
      </c>
      <c r="C9647" t="str">
        <f>IFERROR(__xludf.DUMMYFUNCTION("""COMPUTED_VALUE"""),"Malawi")</f>
        <v>Malawi</v>
      </c>
      <c r="D9647">
        <f>IFERROR(__xludf.DUMMYFUNCTION("""COMPUTED_VALUE"""),2038.0)</f>
        <v>2038</v>
      </c>
      <c r="E9647">
        <f>IFERROR(__xludf.DUMMYFUNCTION("""COMPUTED_VALUE"""),3.2324869E7)</f>
        <v>32324869</v>
      </c>
    </row>
    <row r="9648">
      <c r="A9648" t="str">
        <f t="shared" si="1"/>
        <v>mwi#2039</v>
      </c>
      <c r="B9648" t="str">
        <f>IFERROR(__xludf.DUMMYFUNCTION("""COMPUTED_VALUE"""),"mwi")</f>
        <v>mwi</v>
      </c>
      <c r="C9648" t="str">
        <f>IFERROR(__xludf.DUMMYFUNCTION("""COMPUTED_VALUE"""),"Malawi")</f>
        <v>Malawi</v>
      </c>
      <c r="D9648">
        <f>IFERROR(__xludf.DUMMYFUNCTION("""COMPUTED_VALUE"""),2039.0)</f>
        <v>2039</v>
      </c>
      <c r="E9648">
        <f>IFERROR(__xludf.DUMMYFUNCTION("""COMPUTED_VALUE"""),3.3077454E7)</f>
        <v>33077454</v>
      </c>
    </row>
    <row r="9649">
      <c r="A9649" t="str">
        <f t="shared" si="1"/>
        <v>mwi#2040</v>
      </c>
      <c r="B9649" t="str">
        <f>IFERROR(__xludf.DUMMYFUNCTION("""COMPUTED_VALUE"""),"mwi")</f>
        <v>mwi</v>
      </c>
      <c r="C9649" t="str">
        <f>IFERROR(__xludf.DUMMYFUNCTION("""COMPUTED_VALUE"""),"Malawi")</f>
        <v>Malawi</v>
      </c>
      <c r="D9649">
        <f>IFERROR(__xludf.DUMMYFUNCTION("""COMPUTED_VALUE"""),2040.0)</f>
        <v>2040</v>
      </c>
      <c r="E9649">
        <f>IFERROR(__xludf.DUMMYFUNCTION("""COMPUTED_VALUE"""),3.3836707E7)</f>
        <v>33836707</v>
      </c>
    </row>
    <row r="9650">
      <c r="A9650" t="str">
        <f t="shared" si="1"/>
        <v>mys#1950</v>
      </c>
      <c r="B9650" t="str">
        <f>IFERROR(__xludf.DUMMYFUNCTION("""COMPUTED_VALUE"""),"mys")</f>
        <v>mys</v>
      </c>
      <c r="C9650" t="str">
        <f>IFERROR(__xludf.DUMMYFUNCTION("""COMPUTED_VALUE"""),"Malaysia")</f>
        <v>Malaysia</v>
      </c>
      <c r="D9650">
        <f>IFERROR(__xludf.DUMMYFUNCTION("""COMPUTED_VALUE"""),1950.0)</f>
        <v>1950</v>
      </c>
      <c r="E9650">
        <f>IFERROR(__xludf.DUMMYFUNCTION("""COMPUTED_VALUE"""),6109915.0)</f>
        <v>6109915</v>
      </c>
    </row>
    <row r="9651">
      <c r="A9651" t="str">
        <f t="shared" si="1"/>
        <v>mys#1951</v>
      </c>
      <c r="B9651" t="str">
        <f>IFERROR(__xludf.DUMMYFUNCTION("""COMPUTED_VALUE"""),"mys")</f>
        <v>mys</v>
      </c>
      <c r="C9651" t="str">
        <f>IFERROR(__xludf.DUMMYFUNCTION("""COMPUTED_VALUE"""),"Malaysia")</f>
        <v>Malaysia</v>
      </c>
      <c r="D9651">
        <f>IFERROR(__xludf.DUMMYFUNCTION("""COMPUTED_VALUE"""),1951.0)</f>
        <v>1951</v>
      </c>
      <c r="E9651">
        <f>IFERROR(__xludf.DUMMYFUNCTION("""COMPUTED_VALUE"""),6271486.0)</f>
        <v>6271486</v>
      </c>
    </row>
    <row r="9652">
      <c r="A9652" t="str">
        <f t="shared" si="1"/>
        <v>mys#1952</v>
      </c>
      <c r="B9652" t="str">
        <f>IFERROR(__xludf.DUMMYFUNCTION("""COMPUTED_VALUE"""),"mys")</f>
        <v>mys</v>
      </c>
      <c r="C9652" t="str">
        <f>IFERROR(__xludf.DUMMYFUNCTION("""COMPUTED_VALUE"""),"Malaysia")</f>
        <v>Malaysia</v>
      </c>
      <c r="D9652">
        <f>IFERROR(__xludf.DUMMYFUNCTION("""COMPUTED_VALUE"""),1952.0)</f>
        <v>1952</v>
      </c>
      <c r="E9652">
        <f>IFERROR(__xludf.DUMMYFUNCTION("""COMPUTED_VALUE"""),6450083.0)</f>
        <v>6450083</v>
      </c>
    </row>
    <row r="9653">
      <c r="A9653" t="str">
        <f t="shared" si="1"/>
        <v>mys#1953</v>
      </c>
      <c r="B9653" t="str">
        <f>IFERROR(__xludf.DUMMYFUNCTION("""COMPUTED_VALUE"""),"mys")</f>
        <v>mys</v>
      </c>
      <c r="C9653" t="str">
        <f>IFERROR(__xludf.DUMMYFUNCTION("""COMPUTED_VALUE"""),"Malaysia")</f>
        <v>Malaysia</v>
      </c>
      <c r="D9653">
        <f>IFERROR(__xludf.DUMMYFUNCTION("""COMPUTED_VALUE"""),1953.0)</f>
        <v>1953</v>
      </c>
      <c r="E9653">
        <f>IFERROR(__xludf.DUMMYFUNCTION("""COMPUTED_VALUE"""),6640041.0)</f>
        <v>6640041</v>
      </c>
    </row>
    <row r="9654">
      <c r="A9654" t="str">
        <f t="shared" si="1"/>
        <v>mys#1954</v>
      </c>
      <c r="B9654" t="str">
        <f>IFERROR(__xludf.DUMMYFUNCTION("""COMPUTED_VALUE"""),"mys")</f>
        <v>mys</v>
      </c>
      <c r="C9654" t="str">
        <f>IFERROR(__xludf.DUMMYFUNCTION("""COMPUTED_VALUE"""),"Malaysia")</f>
        <v>Malaysia</v>
      </c>
      <c r="D9654">
        <f>IFERROR(__xludf.DUMMYFUNCTION("""COMPUTED_VALUE"""),1954.0)</f>
        <v>1954</v>
      </c>
      <c r="E9654">
        <f>IFERROR(__xludf.DUMMYFUNCTION("""COMPUTED_VALUE"""),6837358.0)</f>
        <v>6837358</v>
      </c>
    </row>
    <row r="9655">
      <c r="A9655" t="str">
        <f t="shared" si="1"/>
        <v>mys#1955</v>
      </c>
      <c r="B9655" t="str">
        <f>IFERROR(__xludf.DUMMYFUNCTION("""COMPUTED_VALUE"""),"mys")</f>
        <v>mys</v>
      </c>
      <c r="C9655" t="str">
        <f>IFERROR(__xludf.DUMMYFUNCTION("""COMPUTED_VALUE"""),"Malaysia")</f>
        <v>Malaysia</v>
      </c>
      <c r="D9655">
        <f>IFERROR(__xludf.DUMMYFUNCTION("""COMPUTED_VALUE"""),1955.0)</f>
        <v>1955</v>
      </c>
      <c r="E9655">
        <f>IFERROR(__xludf.DUMMYFUNCTION("""COMPUTED_VALUE"""),7039719.0)</f>
        <v>7039719</v>
      </c>
    </row>
    <row r="9656">
      <c r="A9656" t="str">
        <f t="shared" si="1"/>
        <v>mys#1956</v>
      </c>
      <c r="B9656" t="str">
        <f>IFERROR(__xludf.DUMMYFUNCTION("""COMPUTED_VALUE"""),"mys")</f>
        <v>mys</v>
      </c>
      <c r="C9656" t="str">
        <f>IFERROR(__xludf.DUMMYFUNCTION("""COMPUTED_VALUE"""),"Malaysia")</f>
        <v>Malaysia</v>
      </c>
      <c r="D9656">
        <f>IFERROR(__xludf.DUMMYFUNCTION("""COMPUTED_VALUE"""),1956.0)</f>
        <v>1956</v>
      </c>
      <c r="E9656">
        <f>IFERROR(__xludf.DUMMYFUNCTION("""COMPUTED_VALUE"""),7246538.0)</f>
        <v>7246538</v>
      </c>
    </row>
    <row r="9657">
      <c r="A9657" t="str">
        <f t="shared" si="1"/>
        <v>mys#1957</v>
      </c>
      <c r="B9657" t="str">
        <f>IFERROR(__xludf.DUMMYFUNCTION("""COMPUTED_VALUE"""),"mys")</f>
        <v>mys</v>
      </c>
      <c r="C9657" t="str">
        <f>IFERROR(__xludf.DUMMYFUNCTION("""COMPUTED_VALUE"""),"Malaysia")</f>
        <v>Malaysia</v>
      </c>
      <c r="D9657">
        <f>IFERROR(__xludf.DUMMYFUNCTION("""COMPUTED_VALUE"""),1957.0)</f>
        <v>1957</v>
      </c>
      <c r="E9657">
        <f>IFERROR(__xludf.DUMMYFUNCTION("""COMPUTED_VALUE"""),7458898.0)</f>
        <v>7458898</v>
      </c>
    </row>
    <row r="9658">
      <c r="A9658" t="str">
        <f t="shared" si="1"/>
        <v>mys#1958</v>
      </c>
      <c r="B9658" t="str">
        <f>IFERROR(__xludf.DUMMYFUNCTION("""COMPUTED_VALUE"""),"mys")</f>
        <v>mys</v>
      </c>
      <c r="C9658" t="str">
        <f>IFERROR(__xludf.DUMMYFUNCTION("""COMPUTED_VALUE"""),"Malaysia")</f>
        <v>Malaysia</v>
      </c>
      <c r="D9658">
        <f>IFERROR(__xludf.DUMMYFUNCTION("""COMPUTED_VALUE"""),1958.0)</f>
        <v>1958</v>
      </c>
      <c r="E9658">
        <f>IFERROR(__xludf.DUMMYFUNCTION("""COMPUTED_VALUE"""),7679270.0)</f>
        <v>7679270</v>
      </c>
    </row>
    <row r="9659">
      <c r="A9659" t="str">
        <f t="shared" si="1"/>
        <v>mys#1959</v>
      </c>
      <c r="B9659" t="str">
        <f>IFERROR(__xludf.DUMMYFUNCTION("""COMPUTED_VALUE"""),"mys")</f>
        <v>mys</v>
      </c>
      <c r="C9659" t="str">
        <f>IFERROR(__xludf.DUMMYFUNCTION("""COMPUTED_VALUE"""),"Malaysia")</f>
        <v>Malaysia</v>
      </c>
      <c r="D9659">
        <f>IFERROR(__xludf.DUMMYFUNCTION("""COMPUTED_VALUE"""),1959.0)</f>
        <v>1959</v>
      </c>
      <c r="E9659">
        <f>IFERROR(__xludf.DUMMYFUNCTION("""COMPUTED_VALUE"""),7911036.0)</f>
        <v>7911036</v>
      </c>
    </row>
    <row r="9660">
      <c r="A9660" t="str">
        <f t="shared" si="1"/>
        <v>mys#1960</v>
      </c>
      <c r="B9660" t="str">
        <f>IFERROR(__xludf.DUMMYFUNCTION("""COMPUTED_VALUE"""),"mys")</f>
        <v>mys</v>
      </c>
      <c r="C9660" t="str">
        <f>IFERROR(__xludf.DUMMYFUNCTION("""COMPUTED_VALUE"""),"Malaysia")</f>
        <v>Malaysia</v>
      </c>
      <c r="D9660">
        <f>IFERROR(__xludf.DUMMYFUNCTION("""COMPUTED_VALUE"""),1960.0)</f>
        <v>1960</v>
      </c>
      <c r="E9660">
        <f>IFERROR(__xludf.DUMMYFUNCTION("""COMPUTED_VALUE"""),8157106.0)</f>
        <v>8157106</v>
      </c>
    </row>
    <row r="9661">
      <c r="A9661" t="str">
        <f t="shared" si="1"/>
        <v>mys#1961</v>
      </c>
      <c r="B9661" t="str">
        <f>IFERROR(__xludf.DUMMYFUNCTION("""COMPUTED_VALUE"""),"mys")</f>
        <v>mys</v>
      </c>
      <c r="C9661" t="str">
        <f>IFERROR(__xludf.DUMMYFUNCTION("""COMPUTED_VALUE"""),"Malaysia")</f>
        <v>Malaysia</v>
      </c>
      <c r="D9661">
        <f>IFERROR(__xludf.DUMMYFUNCTION("""COMPUTED_VALUE"""),1961.0)</f>
        <v>1961</v>
      </c>
      <c r="E9661">
        <f>IFERROR(__xludf.DUMMYFUNCTION("""COMPUTED_VALUE"""),8418460.0)</f>
        <v>8418460</v>
      </c>
    </row>
    <row r="9662">
      <c r="A9662" t="str">
        <f t="shared" si="1"/>
        <v>mys#1962</v>
      </c>
      <c r="B9662" t="str">
        <f>IFERROR(__xludf.DUMMYFUNCTION("""COMPUTED_VALUE"""),"mys")</f>
        <v>mys</v>
      </c>
      <c r="C9662" t="str">
        <f>IFERROR(__xludf.DUMMYFUNCTION("""COMPUTED_VALUE"""),"Malaysia")</f>
        <v>Malaysia</v>
      </c>
      <c r="D9662">
        <f>IFERROR(__xludf.DUMMYFUNCTION("""COMPUTED_VALUE"""),1962.0)</f>
        <v>1962</v>
      </c>
      <c r="E9662">
        <f>IFERROR(__xludf.DUMMYFUNCTION("""COMPUTED_VALUE"""),8692815.0)</f>
        <v>8692815</v>
      </c>
    </row>
    <row r="9663">
      <c r="A9663" t="str">
        <f t="shared" si="1"/>
        <v>mys#1963</v>
      </c>
      <c r="B9663" t="str">
        <f>IFERROR(__xludf.DUMMYFUNCTION("""COMPUTED_VALUE"""),"mys")</f>
        <v>mys</v>
      </c>
      <c r="C9663" t="str">
        <f>IFERROR(__xludf.DUMMYFUNCTION("""COMPUTED_VALUE"""),"Malaysia")</f>
        <v>Malaysia</v>
      </c>
      <c r="D9663">
        <f>IFERROR(__xludf.DUMMYFUNCTION("""COMPUTED_VALUE"""),1963.0)</f>
        <v>1963</v>
      </c>
      <c r="E9663">
        <f>IFERROR(__xludf.DUMMYFUNCTION("""COMPUTED_VALUE"""),8974084.0)</f>
        <v>8974084</v>
      </c>
    </row>
    <row r="9664">
      <c r="A9664" t="str">
        <f t="shared" si="1"/>
        <v>mys#1964</v>
      </c>
      <c r="B9664" t="str">
        <f>IFERROR(__xludf.DUMMYFUNCTION("""COMPUTED_VALUE"""),"mys")</f>
        <v>mys</v>
      </c>
      <c r="C9664" t="str">
        <f>IFERROR(__xludf.DUMMYFUNCTION("""COMPUTED_VALUE"""),"Malaysia")</f>
        <v>Malaysia</v>
      </c>
      <c r="D9664">
        <f>IFERROR(__xludf.DUMMYFUNCTION("""COMPUTED_VALUE"""),1964.0)</f>
        <v>1964</v>
      </c>
      <c r="E9664">
        <f>IFERROR(__xludf.DUMMYFUNCTION("""COMPUTED_VALUE"""),9253963.0)</f>
        <v>9253963</v>
      </c>
    </row>
    <row r="9665">
      <c r="A9665" t="str">
        <f t="shared" si="1"/>
        <v>mys#1965</v>
      </c>
      <c r="B9665" t="str">
        <f>IFERROR(__xludf.DUMMYFUNCTION("""COMPUTED_VALUE"""),"mys")</f>
        <v>mys</v>
      </c>
      <c r="C9665" t="str">
        <f>IFERROR(__xludf.DUMMYFUNCTION("""COMPUTED_VALUE"""),"Malaysia")</f>
        <v>Malaysia</v>
      </c>
      <c r="D9665">
        <f>IFERROR(__xludf.DUMMYFUNCTION("""COMPUTED_VALUE"""),1965.0)</f>
        <v>1965</v>
      </c>
      <c r="E9665">
        <f>IFERROR(__xludf.DUMMYFUNCTION("""COMPUTED_VALUE"""),9526563.0)</f>
        <v>9526563</v>
      </c>
    </row>
    <row r="9666">
      <c r="A9666" t="str">
        <f t="shared" si="1"/>
        <v>mys#1966</v>
      </c>
      <c r="B9666" t="str">
        <f>IFERROR(__xludf.DUMMYFUNCTION("""COMPUTED_VALUE"""),"mys")</f>
        <v>mys</v>
      </c>
      <c r="C9666" t="str">
        <f>IFERROR(__xludf.DUMMYFUNCTION("""COMPUTED_VALUE"""),"Malaysia")</f>
        <v>Malaysia</v>
      </c>
      <c r="D9666">
        <f>IFERROR(__xludf.DUMMYFUNCTION("""COMPUTED_VALUE"""),1966.0)</f>
        <v>1966</v>
      </c>
      <c r="E9666">
        <f>IFERROR(__xludf.DUMMYFUNCTION("""COMPUTED_VALUE"""),9789982.0)</f>
        <v>9789982</v>
      </c>
    </row>
    <row r="9667">
      <c r="A9667" t="str">
        <f t="shared" si="1"/>
        <v>mys#1967</v>
      </c>
      <c r="B9667" t="str">
        <f>IFERROR(__xludf.DUMMYFUNCTION("""COMPUTED_VALUE"""),"mys")</f>
        <v>mys</v>
      </c>
      <c r="C9667" t="str">
        <f>IFERROR(__xludf.DUMMYFUNCTION("""COMPUTED_VALUE"""),"Malaysia")</f>
        <v>Malaysia</v>
      </c>
      <c r="D9667">
        <f>IFERROR(__xludf.DUMMYFUNCTION("""COMPUTED_VALUE"""),1967.0)</f>
        <v>1967</v>
      </c>
      <c r="E9667">
        <f>IFERROR(__xludf.DUMMYFUNCTION("""COMPUTED_VALUE"""),1.0046172E7)</f>
        <v>10046172</v>
      </c>
    </row>
    <row r="9668">
      <c r="A9668" t="str">
        <f t="shared" si="1"/>
        <v>mys#1968</v>
      </c>
      <c r="B9668" t="str">
        <f>IFERROR(__xludf.DUMMYFUNCTION("""COMPUTED_VALUE"""),"mys")</f>
        <v>mys</v>
      </c>
      <c r="C9668" t="str">
        <f>IFERROR(__xludf.DUMMYFUNCTION("""COMPUTED_VALUE"""),"Malaysia")</f>
        <v>Malaysia</v>
      </c>
      <c r="D9668">
        <f>IFERROR(__xludf.DUMMYFUNCTION("""COMPUTED_VALUE"""),1968.0)</f>
        <v>1968</v>
      </c>
      <c r="E9668">
        <f>IFERROR(__xludf.DUMMYFUNCTION("""COMPUTED_VALUE"""),1.0297801E7)</f>
        <v>10297801</v>
      </c>
    </row>
    <row r="9669">
      <c r="A9669" t="str">
        <f t="shared" si="1"/>
        <v>mys#1969</v>
      </c>
      <c r="B9669" t="str">
        <f>IFERROR(__xludf.DUMMYFUNCTION("""COMPUTED_VALUE"""),"mys")</f>
        <v>mys</v>
      </c>
      <c r="C9669" t="str">
        <f>IFERROR(__xludf.DUMMYFUNCTION("""COMPUTED_VALUE"""),"Malaysia")</f>
        <v>Malaysia</v>
      </c>
      <c r="D9669">
        <f>IFERROR(__xludf.DUMMYFUNCTION("""COMPUTED_VALUE"""),1969.0)</f>
        <v>1969</v>
      </c>
      <c r="E9669">
        <f>IFERROR(__xludf.DUMMYFUNCTION("""COMPUTED_VALUE"""),1.0549226E7)</f>
        <v>10549226</v>
      </c>
    </row>
    <row r="9670">
      <c r="A9670" t="str">
        <f t="shared" si="1"/>
        <v>mys#1970</v>
      </c>
      <c r="B9670" t="str">
        <f>IFERROR(__xludf.DUMMYFUNCTION("""COMPUTED_VALUE"""),"mys")</f>
        <v>mys</v>
      </c>
      <c r="C9670" t="str">
        <f>IFERROR(__xludf.DUMMYFUNCTION("""COMPUTED_VALUE"""),"Malaysia")</f>
        <v>Malaysia</v>
      </c>
      <c r="D9670">
        <f>IFERROR(__xludf.DUMMYFUNCTION("""COMPUTED_VALUE"""),1970.0)</f>
        <v>1970</v>
      </c>
      <c r="E9670">
        <f>IFERROR(__xludf.DUMMYFUNCTION("""COMPUTED_VALUE"""),1.0803978E7)</f>
        <v>10803978</v>
      </c>
    </row>
    <row r="9671">
      <c r="A9671" t="str">
        <f t="shared" si="1"/>
        <v>mys#1971</v>
      </c>
      <c r="B9671" t="str">
        <f>IFERROR(__xludf.DUMMYFUNCTION("""COMPUTED_VALUE"""),"mys")</f>
        <v>mys</v>
      </c>
      <c r="C9671" t="str">
        <f>IFERROR(__xludf.DUMMYFUNCTION("""COMPUTED_VALUE"""),"Malaysia")</f>
        <v>Malaysia</v>
      </c>
      <c r="D9671">
        <f>IFERROR(__xludf.DUMMYFUNCTION("""COMPUTED_VALUE"""),1971.0)</f>
        <v>1971</v>
      </c>
      <c r="E9671">
        <f>IFERROR(__xludf.DUMMYFUNCTION("""COMPUTED_VALUE"""),1.1062338E7)</f>
        <v>11062338</v>
      </c>
    </row>
    <row r="9672">
      <c r="A9672" t="str">
        <f t="shared" si="1"/>
        <v>mys#1972</v>
      </c>
      <c r="B9672" t="str">
        <f>IFERROR(__xludf.DUMMYFUNCTION("""COMPUTED_VALUE"""),"mys")</f>
        <v>mys</v>
      </c>
      <c r="C9672" t="str">
        <f>IFERROR(__xludf.DUMMYFUNCTION("""COMPUTED_VALUE"""),"Malaysia")</f>
        <v>Malaysia</v>
      </c>
      <c r="D9672">
        <f>IFERROR(__xludf.DUMMYFUNCTION("""COMPUTED_VALUE"""),1972.0)</f>
        <v>1972</v>
      </c>
      <c r="E9672">
        <f>IFERROR(__xludf.DUMMYFUNCTION("""COMPUTED_VALUE"""),1.1324251E7)</f>
        <v>11324251</v>
      </c>
    </row>
    <row r="9673">
      <c r="A9673" t="str">
        <f t="shared" si="1"/>
        <v>mys#1973</v>
      </c>
      <c r="B9673" t="str">
        <f>IFERROR(__xludf.DUMMYFUNCTION("""COMPUTED_VALUE"""),"mys")</f>
        <v>mys</v>
      </c>
      <c r="C9673" t="str">
        <f>IFERROR(__xludf.DUMMYFUNCTION("""COMPUTED_VALUE"""),"Malaysia")</f>
        <v>Malaysia</v>
      </c>
      <c r="D9673">
        <f>IFERROR(__xludf.DUMMYFUNCTION("""COMPUTED_VALUE"""),1973.0)</f>
        <v>1973</v>
      </c>
      <c r="E9673">
        <f>IFERROR(__xludf.DUMMYFUNCTION("""COMPUTED_VALUE"""),1.1592698E7)</f>
        <v>11592698</v>
      </c>
    </row>
    <row r="9674">
      <c r="A9674" t="str">
        <f t="shared" si="1"/>
        <v>mys#1974</v>
      </c>
      <c r="B9674" t="str">
        <f>IFERROR(__xludf.DUMMYFUNCTION("""COMPUTED_VALUE"""),"mys")</f>
        <v>mys</v>
      </c>
      <c r="C9674" t="str">
        <f>IFERROR(__xludf.DUMMYFUNCTION("""COMPUTED_VALUE"""),"Malaysia")</f>
        <v>Malaysia</v>
      </c>
      <c r="D9674">
        <f>IFERROR(__xludf.DUMMYFUNCTION("""COMPUTED_VALUE"""),1974.0)</f>
        <v>1974</v>
      </c>
      <c r="E9674">
        <f>IFERROR(__xludf.DUMMYFUNCTION("""COMPUTED_VALUE"""),1.1871233E7)</f>
        <v>11871233</v>
      </c>
    </row>
    <row r="9675">
      <c r="A9675" t="str">
        <f t="shared" si="1"/>
        <v>mys#1975</v>
      </c>
      <c r="B9675" t="str">
        <f>IFERROR(__xludf.DUMMYFUNCTION("""COMPUTED_VALUE"""),"mys")</f>
        <v>mys</v>
      </c>
      <c r="C9675" t="str">
        <f>IFERROR(__xludf.DUMMYFUNCTION("""COMPUTED_VALUE"""),"Malaysia")</f>
        <v>Malaysia</v>
      </c>
      <c r="D9675">
        <f>IFERROR(__xludf.DUMMYFUNCTION("""COMPUTED_VALUE"""),1975.0)</f>
        <v>1975</v>
      </c>
      <c r="E9675">
        <f>IFERROR(__xludf.DUMMYFUNCTION("""COMPUTED_VALUE"""),1.2162369E7)</f>
        <v>12162369</v>
      </c>
    </row>
    <row r="9676">
      <c r="A9676" t="str">
        <f t="shared" si="1"/>
        <v>mys#1976</v>
      </c>
      <c r="B9676" t="str">
        <f>IFERROR(__xludf.DUMMYFUNCTION("""COMPUTED_VALUE"""),"mys")</f>
        <v>mys</v>
      </c>
      <c r="C9676" t="str">
        <f>IFERROR(__xludf.DUMMYFUNCTION("""COMPUTED_VALUE"""),"Malaysia")</f>
        <v>Malaysia</v>
      </c>
      <c r="D9676">
        <f>IFERROR(__xludf.DUMMYFUNCTION("""COMPUTED_VALUE"""),1976.0)</f>
        <v>1976</v>
      </c>
      <c r="E9676">
        <f>IFERROR(__xludf.DUMMYFUNCTION("""COMPUTED_VALUE"""),1.2468893E7)</f>
        <v>12468893</v>
      </c>
    </row>
    <row r="9677">
      <c r="A9677" t="str">
        <f t="shared" si="1"/>
        <v>mys#1977</v>
      </c>
      <c r="B9677" t="str">
        <f>IFERROR(__xludf.DUMMYFUNCTION("""COMPUTED_VALUE"""),"mys")</f>
        <v>mys</v>
      </c>
      <c r="C9677" t="str">
        <f>IFERROR(__xludf.DUMMYFUNCTION("""COMPUTED_VALUE"""),"Malaysia")</f>
        <v>Malaysia</v>
      </c>
      <c r="D9677">
        <f>IFERROR(__xludf.DUMMYFUNCTION("""COMPUTED_VALUE"""),1977.0)</f>
        <v>1977</v>
      </c>
      <c r="E9677">
        <f>IFERROR(__xludf.DUMMYFUNCTION("""COMPUTED_VALUE"""),1.2790546E7)</f>
        <v>12790546</v>
      </c>
    </row>
    <row r="9678">
      <c r="A9678" t="str">
        <f t="shared" si="1"/>
        <v>mys#1978</v>
      </c>
      <c r="B9678" t="str">
        <f>IFERROR(__xludf.DUMMYFUNCTION("""COMPUTED_VALUE"""),"mys")</f>
        <v>mys</v>
      </c>
      <c r="C9678" t="str">
        <f>IFERROR(__xludf.DUMMYFUNCTION("""COMPUTED_VALUE"""),"Malaysia")</f>
        <v>Malaysia</v>
      </c>
      <c r="D9678">
        <f>IFERROR(__xludf.DUMMYFUNCTION("""COMPUTED_VALUE"""),1978.0)</f>
        <v>1978</v>
      </c>
      <c r="E9678">
        <f>IFERROR(__xludf.DUMMYFUNCTION("""COMPUTED_VALUE"""),1.3123069E7)</f>
        <v>13123069</v>
      </c>
    </row>
    <row r="9679">
      <c r="A9679" t="str">
        <f t="shared" si="1"/>
        <v>mys#1979</v>
      </c>
      <c r="B9679" t="str">
        <f>IFERROR(__xludf.DUMMYFUNCTION("""COMPUTED_VALUE"""),"mys")</f>
        <v>mys</v>
      </c>
      <c r="C9679" t="str">
        <f>IFERROR(__xludf.DUMMYFUNCTION("""COMPUTED_VALUE"""),"Malaysia")</f>
        <v>Malaysia</v>
      </c>
      <c r="D9679">
        <f>IFERROR(__xludf.DUMMYFUNCTION("""COMPUTED_VALUE"""),1979.0)</f>
        <v>1979</v>
      </c>
      <c r="E9679">
        <f>IFERROR(__xludf.DUMMYFUNCTION("""COMPUTED_VALUE"""),1.3460201E7)</f>
        <v>13460201</v>
      </c>
    </row>
    <row r="9680">
      <c r="A9680" t="str">
        <f t="shared" si="1"/>
        <v>mys#1980</v>
      </c>
      <c r="B9680" t="str">
        <f>IFERROR(__xludf.DUMMYFUNCTION("""COMPUTED_VALUE"""),"mys")</f>
        <v>mys</v>
      </c>
      <c r="C9680" t="str">
        <f>IFERROR(__xludf.DUMMYFUNCTION("""COMPUTED_VALUE"""),"Malaysia")</f>
        <v>Malaysia</v>
      </c>
      <c r="D9680">
        <f>IFERROR(__xludf.DUMMYFUNCTION("""COMPUTED_VALUE"""),1980.0)</f>
        <v>1980</v>
      </c>
      <c r="E9680">
        <f>IFERROR(__xludf.DUMMYFUNCTION("""COMPUTED_VALUE"""),1.3798125E7)</f>
        <v>13798125</v>
      </c>
    </row>
    <row r="9681">
      <c r="A9681" t="str">
        <f t="shared" si="1"/>
        <v>mys#1981</v>
      </c>
      <c r="B9681" t="str">
        <f>IFERROR(__xludf.DUMMYFUNCTION("""COMPUTED_VALUE"""),"mys")</f>
        <v>mys</v>
      </c>
      <c r="C9681" t="str">
        <f>IFERROR(__xludf.DUMMYFUNCTION("""COMPUTED_VALUE"""),"Malaysia")</f>
        <v>Malaysia</v>
      </c>
      <c r="D9681">
        <f>IFERROR(__xludf.DUMMYFUNCTION("""COMPUTED_VALUE"""),1981.0)</f>
        <v>1981</v>
      </c>
      <c r="E9681">
        <f>IFERROR(__xludf.DUMMYFUNCTION("""COMPUTED_VALUE"""),1.413384E7)</f>
        <v>14133840</v>
      </c>
    </row>
    <row r="9682">
      <c r="A9682" t="str">
        <f t="shared" si="1"/>
        <v>mys#1982</v>
      </c>
      <c r="B9682" t="str">
        <f>IFERROR(__xludf.DUMMYFUNCTION("""COMPUTED_VALUE"""),"mys")</f>
        <v>mys</v>
      </c>
      <c r="C9682" t="str">
        <f>IFERROR(__xludf.DUMMYFUNCTION("""COMPUTED_VALUE"""),"Malaysia")</f>
        <v>Malaysia</v>
      </c>
      <c r="D9682">
        <f>IFERROR(__xludf.DUMMYFUNCTION("""COMPUTED_VALUE"""),1982.0)</f>
        <v>1982</v>
      </c>
      <c r="E9682">
        <f>IFERROR(__xludf.DUMMYFUNCTION("""COMPUTED_VALUE"""),1.4470633E7)</f>
        <v>14470633</v>
      </c>
    </row>
    <row r="9683">
      <c r="A9683" t="str">
        <f t="shared" si="1"/>
        <v>mys#1983</v>
      </c>
      <c r="B9683" t="str">
        <f>IFERROR(__xludf.DUMMYFUNCTION("""COMPUTED_VALUE"""),"mys")</f>
        <v>mys</v>
      </c>
      <c r="C9683" t="str">
        <f>IFERROR(__xludf.DUMMYFUNCTION("""COMPUTED_VALUE"""),"Malaysia")</f>
        <v>Malaysia</v>
      </c>
      <c r="D9683">
        <f>IFERROR(__xludf.DUMMYFUNCTION("""COMPUTED_VALUE"""),1983.0)</f>
        <v>1983</v>
      </c>
      <c r="E9683">
        <f>IFERROR(__xludf.DUMMYFUNCTION("""COMPUTED_VALUE"""),1.4818617E7)</f>
        <v>14818617</v>
      </c>
    </row>
    <row r="9684">
      <c r="A9684" t="str">
        <f t="shared" si="1"/>
        <v>mys#1984</v>
      </c>
      <c r="B9684" t="str">
        <f>IFERROR(__xludf.DUMMYFUNCTION("""COMPUTED_VALUE"""),"mys")</f>
        <v>mys</v>
      </c>
      <c r="C9684" t="str">
        <f>IFERROR(__xludf.DUMMYFUNCTION("""COMPUTED_VALUE"""),"Malaysia")</f>
        <v>Malaysia</v>
      </c>
      <c r="D9684">
        <f>IFERROR(__xludf.DUMMYFUNCTION("""COMPUTED_VALUE"""),1984.0)</f>
        <v>1984</v>
      </c>
      <c r="E9684">
        <f>IFERROR(__xludf.DUMMYFUNCTION("""COMPUTED_VALUE"""),1.5191625E7)</f>
        <v>15191625</v>
      </c>
    </row>
    <row r="9685">
      <c r="A9685" t="str">
        <f t="shared" si="1"/>
        <v>mys#1985</v>
      </c>
      <c r="B9685" t="str">
        <f>IFERROR(__xludf.DUMMYFUNCTION("""COMPUTED_VALUE"""),"mys")</f>
        <v>mys</v>
      </c>
      <c r="C9685" t="str">
        <f>IFERROR(__xludf.DUMMYFUNCTION("""COMPUTED_VALUE"""),"Malaysia")</f>
        <v>Malaysia</v>
      </c>
      <c r="D9685">
        <f>IFERROR(__xludf.DUMMYFUNCTION("""COMPUTED_VALUE"""),1985.0)</f>
        <v>1985</v>
      </c>
      <c r="E9685">
        <f>IFERROR(__xludf.DUMMYFUNCTION("""COMPUTED_VALUE"""),1.5598942E7)</f>
        <v>15598942</v>
      </c>
    </row>
    <row r="9686">
      <c r="A9686" t="str">
        <f t="shared" si="1"/>
        <v>mys#1986</v>
      </c>
      <c r="B9686" t="str">
        <f>IFERROR(__xludf.DUMMYFUNCTION("""COMPUTED_VALUE"""),"mys")</f>
        <v>mys</v>
      </c>
      <c r="C9686" t="str">
        <f>IFERROR(__xludf.DUMMYFUNCTION("""COMPUTED_VALUE"""),"Malaysia")</f>
        <v>Malaysia</v>
      </c>
      <c r="D9686">
        <f>IFERROR(__xludf.DUMMYFUNCTION("""COMPUTED_VALUE"""),1986.0)</f>
        <v>1986</v>
      </c>
      <c r="E9686">
        <f>IFERROR(__xludf.DUMMYFUNCTION("""COMPUTED_VALUE"""),1.6045047E7)</f>
        <v>16045047</v>
      </c>
    </row>
    <row r="9687">
      <c r="A9687" t="str">
        <f t="shared" si="1"/>
        <v>mys#1987</v>
      </c>
      <c r="B9687" t="str">
        <f>IFERROR(__xludf.DUMMYFUNCTION("""COMPUTED_VALUE"""),"mys")</f>
        <v>mys</v>
      </c>
      <c r="C9687" t="str">
        <f>IFERROR(__xludf.DUMMYFUNCTION("""COMPUTED_VALUE"""),"Malaysia")</f>
        <v>Malaysia</v>
      </c>
      <c r="D9687">
        <f>IFERROR(__xludf.DUMMYFUNCTION("""COMPUTED_VALUE"""),1987.0)</f>
        <v>1987</v>
      </c>
      <c r="E9687">
        <f>IFERROR(__xludf.DUMMYFUNCTION("""COMPUTED_VALUE"""),1.6525108E7)</f>
        <v>16525108</v>
      </c>
    </row>
    <row r="9688">
      <c r="A9688" t="str">
        <f t="shared" si="1"/>
        <v>mys#1988</v>
      </c>
      <c r="B9688" t="str">
        <f>IFERROR(__xludf.DUMMYFUNCTION("""COMPUTED_VALUE"""),"mys")</f>
        <v>mys</v>
      </c>
      <c r="C9688" t="str">
        <f>IFERROR(__xludf.DUMMYFUNCTION("""COMPUTED_VALUE"""),"Malaysia")</f>
        <v>Malaysia</v>
      </c>
      <c r="D9688">
        <f>IFERROR(__xludf.DUMMYFUNCTION("""COMPUTED_VALUE"""),1988.0)</f>
        <v>1988</v>
      </c>
      <c r="E9688">
        <f>IFERROR(__xludf.DUMMYFUNCTION("""COMPUTED_VALUE"""),1.7027588E7)</f>
        <v>17027588</v>
      </c>
    </row>
    <row r="9689">
      <c r="A9689" t="str">
        <f t="shared" si="1"/>
        <v>mys#1989</v>
      </c>
      <c r="B9689" t="str">
        <f>IFERROR(__xludf.DUMMYFUNCTION("""COMPUTED_VALUE"""),"mys")</f>
        <v>mys</v>
      </c>
      <c r="C9689" t="str">
        <f>IFERROR(__xludf.DUMMYFUNCTION("""COMPUTED_VALUE"""),"Malaysia")</f>
        <v>Malaysia</v>
      </c>
      <c r="D9689">
        <f>IFERROR(__xludf.DUMMYFUNCTION("""COMPUTED_VALUE"""),1989.0)</f>
        <v>1989</v>
      </c>
      <c r="E9689">
        <f>IFERROR(__xludf.DUMMYFUNCTION("""COMPUTED_VALUE"""),1.7535971E7)</f>
        <v>17535971</v>
      </c>
    </row>
    <row r="9690">
      <c r="A9690" t="str">
        <f t="shared" si="1"/>
        <v>mys#1990</v>
      </c>
      <c r="B9690" t="str">
        <f>IFERROR(__xludf.DUMMYFUNCTION("""COMPUTED_VALUE"""),"mys")</f>
        <v>mys</v>
      </c>
      <c r="C9690" t="str">
        <f>IFERROR(__xludf.DUMMYFUNCTION("""COMPUTED_VALUE"""),"Malaysia")</f>
        <v>Malaysia</v>
      </c>
      <c r="D9690">
        <f>IFERROR(__xludf.DUMMYFUNCTION("""COMPUTED_VALUE"""),1990.0)</f>
        <v>1990</v>
      </c>
      <c r="E9690">
        <f>IFERROR(__xludf.DUMMYFUNCTION("""COMPUTED_VALUE"""),1.8038321E7)</f>
        <v>18038321</v>
      </c>
    </row>
    <row r="9691">
      <c r="A9691" t="str">
        <f t="shared" si="1"/>
        <v>mys#1991</v>
      </c>
      <c r="B9691" t="str">
        <f>IFERROR(__xludf.DUMMYFUNCTION("""COMPUTED_VALUE"""),"mys")</f>
        <v>mys</v>
      </c>
      <c r="C9691" t="str">
        <f>IFERROR(__xludf.DUMMYFUNCTION("""COMPUTED_VALUE"""),"Malaysia")</f>
        <v>Malaysia</v>
      </c>
      <c r="D9691">
        <f>IFERROR(__xludf.DUMMYFUNCTION("""COMPUTED_VALUE"""),1991.0)</f>
        <v>1991</v>
      </c>
      <c r="E9691">
        <f>IFERROR(__xludf.DUMMYFUNCTION("""COMPUTED_VALUE"""),1.8529454E7)</f>
        <v>18529454</v>
      </c>
    </row>
    <row r="9692">
      <c r="A9692" t="str">
        <f t="shared" si="1"/>
        <v>mys#1992</v>
      </c>
      <c r="B9692" t="str">
        <f>IFERROR(__xludf.DUMMYFUNCTION("""COMPUTED_VALUE"""),"mys")</f>
        <v>mys</v>
      </c>
      <c r="C9692" t="str">
        <f>IFERROR(__xludf.DUMMYFUNCTION("""COMPUTED_VALUE"""),"Malaysia")</f>
        <v>Malaysia</v>
      </c>
      <c r="D9692">
        <f>IFERROR(__xludf.DUMMYFUNCTION("""COMPUTED_VALUE"""),1992.0)</f>
        <v>1992</v>
      </c>
      <c r="E9692">
        <f>IFERROR(__xludf.DUMMYFUNCTION("""COMPUTED_VALUE"""),1.9012724E7)</f>
        <v>19012724</v>
      </c>
    </row>
    <row r="9693">
      <c r="A9693" t="str">
        <f t="shared" si="1"/>
        <v>mys#1993</v>
      </c>
      <c r="B9693" t="str">
        <f>IFERROR(__xludf.DUMMYFUNCTION("""COMPUTED_VALUE"""),"mys")</f>
        <v>mys</v>
      </c>
      <c r="C9693" t="str">
        <f>IFERROR(__xludf.DUMMYFUNCTION("""COMPUTED_VALUE"""),"Malaysia")</f>
        <v>Malaysia</v>
      </c>
      <c r="D9693">
        <f>IFERROR(__xludf.DUMMYFUNCTION("""COMPUTED_VALUE"""),1993.0)</f>
        <v>1993</v>
      </c>
      <c r="E9693">
        <f>IFERROR(__xludf.DUMMYFUNCTION("""COMPUTED_VALUE"""),1.9494967E7)</f>
        <v>19494967</v>
      </c>
    </row>
    <row r="9694">
      <c r="A9694" t="str">
        <f t="shared" si="1"/>
        <v>mys#1994</v>
      </c>
      <c r="B9694" t="str">
        <f>IFERROR(__xludf.DUMMYFUNCTION("""COMPUTED_VALUE"""),"mys")</f>
        <v>mys</v>
      </c>
      <c r="C9694" t="str">
        <f>IFERROR(__xludf.DUMMYFUNCTION("""COMPUTED_VALUE"""),"Malaysia")</f>
        <v>Malaysia</v>
      </c>
      <c r="D9694">
        <f>IFERROR(__xludf.DUMMYFUNCTION("""COMPUTED_VALUE"""),1994.0)</f>
        <v>1994</v>
      </c>
      <c r="E9694">
        <f>IFERROR(__xludf.DUMMYFUNCTION("""COMPUTED_VALUE"""),1.9986894E7)</f>
        <v>19986894</v>
      </c>
    </row>
    <row r="9695">
      <c r="A9695" t="str">
        <f t="shared" si="1"/>
        <v>mys#1995</v>
      </c>
      <c r="B9695" t="str">
        <f>IFERROR(__xludf.DUMMYFUNCTION("""COMPUTED_VALUE"""),"mys")</f>
        <v>mys</v>
      </c>
      <c r="C9695" t="str">
        <f>IFERROR(__xludf.DUMMYFUNCTION("""COMPUTED_VALUE"""),"Malaysia")</f>
        <v>Malaysia</v>
      </c>
      <c r="D9695">
        <f>IFERROR(__xludf.DUMMYFUNCTION("""COMPUTED_VALUE"""),1995.0)</f>
        <v>1995</v>
      </c>
      <c r="E9695">
        <f>IFERROR(__xludf.DUMMYFUNCTION("""COMPUTED_VALUE"""),2.0495597E7)</f>
        <v>20495597</v>
      </c>
    </row>
    <row r="9696">
      <c r="A9696" t="str">
        <f t="shared" si="1"/>
        <v>mys#1996</v>
      </c>
      <c r="B9696" t="str">
        <f>IFERROR(__xludf.DUMMYFUNCTION("""COMPUTED_VALUE"""),"mys")</f>
        <v>mys</v>
      </c>
      <c r="C9696" t="str">
        <f>IFERROR(__xludf.DUMMYFUNCTION("""COMPUTED_VALUE"""),"Malaysia")</f>
        <v>Malaysia</v>
      </c>
      <c r="D9696">
        <f>IFERROR(__xludf.DUMMYFUNCTION("""COMPUTED_VALUE"""),1996.0)</f>
        <v>1996</v>
      </c>
      <c r="E9696">
        <f>IFERROR(__xludf.DUMMYFUNCTION("""COMPUTED_VALUE"""),2.1023321E7)</f>
        <v>21023321</v>
      </c>
    </row>
    <row r="9697">
      <c r="A9697" t="str">
        <f t="shared" si="1"/>
        <v>mys#1997</v>
      </c>
      <c r="B9697" t="str">
        <f>IFERROR(__xludf.DUMMYFUNCTION("""COMPUTED_VALUE"""),"mys")</f>
        <v>mys</v>
      </c>
      <c r="C9697" t="str">
        <f>IFERROR(__xludf.DUMMYFUNCTION("""COMPUTED_VALUE"""),"Malaysia")</f>
        <v>Malaysia</v>
      </c>
      <c r="D9697">
        <f>IFERROR(__xludf.DUMMYFUNCTION("""COMPUTED_VALUE"""),1997.0)</f>
        <v>1997</v>
      </c>
      <c r="E9697">
        <f>IFERROR(__xludf.DUMMYFUNCTION("""COMPUTED_VALUE"""),2.1565325E7)</f>
        <v>21565325</v>
      </c>
    </row>
    <row r="9698">
      <c r="A9698" t="str">
        <f t="shared" si="1"/>
        <v>mys#1998</v>
      </c>
      <c r="B9698" t="str">
        <f>IFERROR(__xludf.DUMMYFUNCTION("""COMPUTED_VALUE"""),"mys")</f>
        <v>mys</v>
      </c>
      <c r="C9698" t="str">
        <f>IFERROR(__xludf.DUMMYFUNCTION("""COMPUTED_VALUE"""),"Malaysia")</f>
        <v>Malaysia</v>
      </c>
      <c r="D9698">
        <f>IFERROR(__xludf.DUMMYFUNCTION("""COMPUTED_VALUE"""),1998.0)</f>
        <v>1998</v>
      </c>
      <c r="E9698">
        <f>IFERROR(__xludf.DUMMYFUNCTION("""COMPUTED_VALUE"""),2.2113464E7)</f>
        <v>22113464</v>
      </c>
    </row>
    <row r="9699">
      <c r="A9699" t="str">
        <f t="shared" si="1"/>
        <v>mys#1999</v>
      </c>
      <c r="B9699" t="str">
        <f>IFERROR(__xludf.DUMMYFUNCTION("""COMPUTED_VALUE"""),"mys")</f>
        <v>mys</v>
      </c>
      <c r="C9699" t="str">
        <f>IFERROR(__xludf.DUMMYFUNCTION("""COMPUTED_VALUE"""),"Malaysia")</f>
        <v>Malaysia</v>
      </c>
      <c r="D9699">
        <f>IFERROR(__xludf.DUMMYFUNCTION("""COMPUTED_VALUE"""),1999.0)</f>
        <v>1999</v>
      </c>
      <c r="E9699">
        <f>IFERROR(__xludf.DUMMYFUNCTION("""COMPUTED_VALUE"""),2.2656286E7)</f>
        <v>22656286</v>
      </c>
    </row>
    <row r="9700">
      <c r="A9700" t="str">
        <f t="shared" si="1"/>
        <v>mys#2000</v>
      </c>
      <c r="B9700" t="str">
        <f>IFERROR(__xludf.DUMMYFUNCTION("""COMPUTED_VALUE"""),"mys")</f>
        <v>mys</v>
      </c>
      <c r="C9700" t="str">
        <f>IFERROR(__xludf.DUMMYFUNCTION("""COMPUTED_VALUE"""),"Malaysia")</f>
        <v>Malaysia</v>
      </c>
      <c r="D9700">
        <f>IFERROR(__xludf.DUMMYFUNCTION("""COMPUTED_VALUE"""),2000.0)</f>
        <v>2000</v>
      </c>
      <c r="E9700">
        <f>IFERROR(__xludf.DUMMYFUNCTION("""COMPUTED_VALUE"""),2.3185608E7)</f>
        <v>23185608</v>
      </c>
    </row>
    <row r="9701">
      <c r="A9701" t="str">
        <f t="shared" si="1"/>
        <v>mys#2001</v>
      </c>
      <c r="B9701" t="str">
        <f>IFERROR(__xludf.DUMMYFUNCTION("""COMPUTED_VALUE"""),"mys")</f>
        <v>mys</v>
      </c>
      <c r="C9701" t="str">
        <f>IFERROR(__xludf.DUMMYFUNCTION("""COMPUTED_VALUE"""),"Malaysia")</f>
        <v>Malaysia</v>
      </c>
      <c r="D9701">
        <f>IFERROR(__xludf.DUMMYFUNCTION("""COMPUTED_VALUE"""),2001.0)</f>
        <v>2001</v>
      </c>
      <c r="E9701">
        <f>IFERROR(__xludf.DUMMYFUNCTION("""COMPUTED_VALUE"""),2.3698907E7)</f>
        <v>23698907</v>
      </c>
    </row>
    <row r="9702">
      <c r="A9702" t="str">
        <f t="shared" si="1"/>
        <v>mys#2002</v>
      </c>
      <c r="B9702" t="str">
        <f>IFERROR(__xludf.DUMMYFUNCTION("""COMPUTED_VALUE"""),"mys")</f>
        <v>mys</v>
      </c>
      <c r="C9702" t="str">
        <f>IFERROR(__xludf.DUMMYFUNCTION("""COMPUTED_VALUE"""),"Malaysia")</f>
        <v>Malaysia</v>
      </c>
      <c r="D9702">
        <f>IFERROR(__xludf.DUMMYFUNCTION("""COMPUTED_VALUE"""),2002.0)</f>
        <v>2002</v>
      </c>
      <c r="E9702">
        <f>IFERROR(__xludf.DUMMYFUNCTION("""COMPUTED_VALUE"""),2.4198811E7)</f>
        <v>24198811</v>
      </c>
    </row>
    <row r="9703">
      <c r="A9703" t="str">
        <f t="shared" si="1"/>
        <v>mys#2003</v>
      </c>
      <c r="B9703" t="str">
        <f>IFERROR(__xludf.DUMMYFUNCTION("""COMPUTED_VALUE"""),"mys")</f>
        <v>mys</v>
      </c>
      <c r="C9703" t="str">
        <f>IFERROR(__xludf.DUMMYFUNCTION("""COMPUTED_VALUE"""),"Malaysia")</f>
        <v>Malaysia</v>
      </c>
      <c r="D9703">
        <f>IFERROR(__xludf.DUMMYFUNCTION("""COMPUTED_VALUE"""),2003.0)</f>
        <v>2003</v>
      </c>
      <c r="E9703">
        <f>IFERROR(__xludf.DUMMYFUNCTION("""COMPUTED_VALUE"""),2.4688703E7)</f>
        <v>24688703</v>
      </c>
    </row>
    <row r="9704">
      <c r="A9704" t="str">
        <f t="shared" si="1"/>
        <v>mys#2004</v>
      </c>
      <c r="B9704" t="str">
        <f>IFERROR(__xludf.DUMMYFUNCTION("""COMPUTED_VALUE"""),"mys")</f>
        <v>mys</v>
      </c>
      <c r="C9704" t="str">
        <f>IFERROR(__xludf.DUMMYFUNCTION("""COMPUTED_VALUE"""),"Malaysia")</f>
        <v>Malaysia</v>
      </c>
      <c r="D9704">
        <f>IFERROR(__xludf.DUMMYFUNCTION("""COMPUTED_VALUE"""),2004.0)</f>
        <v>2004</v>
      </c>
      <c r="E9704">
        <f>IFERROR(__xludf.DUMMYFUNCTION("""COMPUTED_VALUE"""),2.5174109E7)</f>
        <v>25174109</v>
      </c>
    </row>
    <row r="9705">
      <c r="A9705" t="str">
        <f t="shared" si="1"/>
        <v>mys#2005</v>
      </c>
      <c r="B9705" t="str">
        <f>IFERROR(__xludf.DUMMYFUNCTION("""COMPUTED_VALUE"""),"mys")</f>
        <v>mys</v>
      </c>
      <c r="C9705" t="str">
        <f>IFERROR(__xludf.DUMMYFUNCTION("""COMPUTED_VALUE"""),"Malaysia")</f>
        <v>Malaysia</v>
      </c>
      <c r="D9705">
        <f>IFERROR(__xludf.DUMMYFUNCTION("""COMPUTED_VALUE"""),2005.0)</f>
        <v>2005</v>
      </c>
      <c r="E9705">
        <f>IFERROR(__xludf.DUMMYFUNCTION("""COMPUTED_VALUE"""),2.5659393E7)</f>
        <v>25659393</v>
      </c>
    </row>
    <row r="9706">
      <c r="A9706" t="str">
        <f t="shared" si="1"/>
        <v>mys#2006</v>
      </c>
      <c r="B9706" t="str">
        <f>IFERROR(__xludf.DUMMYFUNCTION("""COMPUTED_VALUE"""),"mys")</f>
        <v>mys</v>
      </c>
      <c r="C9706" t="str">
        <f>IFERROR(__xludf.DUMMYFUNCTION("""COMPUTED_VALUE"""),"Malaysia")</f>
        <v>Malaysia</v>
      </c>
      <c r="D9706">
        <f>IFERROR(__xludf.DUMMYFUNCTION("""COMPUTED_VALUE"""),2006.0)</f>
        <v>2006</v>
      </c>
      <c r="E9706">
        <f>IFERROR(__xludf.DUMMYFUNCTION("""COMPUTED_VALUE"""),2.6143566E7)</f>
        <v>26143566</v>
      </c>
    </row>
    <row r="9707">
      <c r="A9707" t="str">
        <f t="shared" si="1"/>
        <v>mys#2007</v>
      </c>
      <c r="B9707" t="str">
        <f>IFERROR(__xludf.DUMMYFUNCTION("""COMPUTED_VALUE"""),"mys")</f>
        <v>mys</v>
      </c>
      <c r="C9707" t="str">
        <f>IFERROR(__xludf.DUMMYFUNCTION("""COMPUTED_VALUE"""),"Malaysia")</f>
        <v>Malaysia</v>
      </c>
      <c r="D9707">
        <f>IFERROR(__xludf.DUMMYFUNCTION("""COMPUTED_VALUE"""),2007.0)</f>
        <v>2007</v>
      </c>
      <c r="E9707">
        <f>IFERROR(__xludf.DUMMYFUNCTION("""COMPUTED_VALUE"""),2.6625845E7)</f>
        <v>26625845</v>
      </c>
    </row>
    <row r="9708">
      <c r="A9708" t="str">
        <f t="shared" si="1"/>
        <v>mys#2008</v>
      </c>
      <c r="B9708" t="str">
        <f>IFERROR(__xludf.DUMMYFUNCTION("""COMPUTED_VALUE"""),"mys")</f>
        <v>mys</v>
      </c>
      <c r="C9708" t="str">
        <f>IFERROR(__xludf.DUMMYFUNCTION("""COMPUTED_VALUE"""),"Malaysia")</f>
        <v>Malaysia</v>
      </c>
      <c r="D9708">
        <f>IFERROR(__xludf.DUMMYFUNCTION("""COMPUTED_VALUE"""),2008.0)</f>
        <v>2008</v>
      </c>
      <c r="E9708">
        <f>IFERROR(__xludf.DUMMYFUNCTION("""COMPUTED_VALUE"""),2.7111069E7)</f>
        <v>27111069</v>
      </c>
    </row>
    <row r="9709">
      <c r="A9709" t="str">
        <f t="shared" si="1"/>
        <v>mys#2009</v>
      </c>
      <c r="B9709" t="str">
        <f>IFERROR(__xludf.DUMMYFUNCTION("""COMPUTED_VALUE"""),"mys")</f>
        <v>mys</v>
      </c>
      <c r="C9709" t="str">
        <f>IFERROR(__xludf.DUMMYFUNCTION("""COMPUTED_VALUE"""),"Malaysia")</f>
        <v>Malaysia</v>
      </c>
      <c r="D9709">
        <f>IFERROR(__xludf.DUMMYFUNCTION("""COMPUTED_VALUE"""),2009.0)</f>
        <v>2009</v>
      </c>
      <c r="E9709">
        <f>IFERROR(__xludf.DUMMYFUNCTION("""COMPUTED_VALUE"""),2.7605383E7)</f>
        <v>27605383</v>
      </c>
    </row>
    <row r="9710">
      <c r="A9710" t="str">
        <f t="shared" si="1"/>
        <v>mys#2010</v>
      </c>
      <c r="B9710" t="str">
        <f>IFERROR(__xludf.DUMMYFUNCTION("""COMPUTED_VALUE"""),"mys")</f>
        <v>mys</v>
      </c>
      <c r="C9710" t="str">
        <f>IFERROR(__xludf.DUMMYFUNCTION("""COMPUTED_VALUE"""),"Malaysia")</f>
        <v>Malaysia</v>
      </c>
      <c r="D9710">
        <f>IFERROR(__xludf.DUMMYFUNCTION("""COMPUTED_VALUE"""),2010.0)</f>
        <v>2010</v>
      </c>
      <c r="E9710">
        <f>IFERROR(__xludf.DUMMYFUNCTION("""COMPUTED_VALUE"""),2.8112289E7)</f>
        <v>28112289</v>
      </c>
    </row>
    <row r="9711">
      <c r="A9711" t="str">
        <f t="shared" si="1"/>
        <v>mys#2011</v>
      </c>
      <c r="B9711" t="str">
        <f>IFERROR(__xludf.DUMMYFUNCTION("""COMPUTED_VALUE"""),"mys")</f>
        <v>mys</v>
      </c>
      <c r="C9711" t="str">
        <f>IFERROR(__xludf.DUMMYFUNCTION("""COMPUTED_VALUE"""),"Malaysia")</f>
        <v>Malaysia</v>
      </c>
      <c r="D9711">
        <f>IFERROR(__xludf.DUMMYFUNCTION("""COMPUTED_VALUE"""),2011.0)</f>
        <v>2011</v>
      </c>
      <c r="E9711">
        <f>IFERROR(__xludf.DUMMYFUNCTION("""COMPUTED_VALUE"""),2.8635128E7)</f>
        <v>28635128</v>
      </c>
    </row>
    <row r="9712">
      <c r="A9712" t="str">
        <f t="shared" si="1"/>
        <v>mys#2012</v>
      </c>
      <c r="B9712" t="str">
        <f>IFERROR(__xludf.DUMMYFUNCTION("""COMPUTED_VALUE"""),"mys")</f>
        <v>mys</v>
      </c>
      <c r="C9712" t="str">
        <f>IFERROR(__xludf.DUMMYFUNCTION("""COMPUTED_VALUE"""),"Malaysia")</f>
        <v>Malaysia</v>
      </c>
      <c r="D9712">
        <f>IFERROR(__xludf.DUMMYFUNCTION("""COMPUTED_VALUE"""),2012.0)</f>
        <v>2012</v>
      </c>
      <c r="E9712">
        <f>IFERROR(__xludf.DUMMYFUNCTION("""COMPUTED_VALUE"""),2.9170456E7)</f>
        <v>29170456</v>
      </c>
    </row>
    <row r="9713">
      <c r="A9713" t="str">
        <f t="shared" si="1"/>
        <v>mys#2013</v>
      </c>
      <c r="B9713" t="str">
        <f>IFERROR(__xludf.DUMMYFUNCTION("""COMPUTED_VALUE"""),"mys")</f>
        <v>mys</v>
      </c>
      <c r="C9713" t="str">
        <f>IFERROR(__xludf.DUMMYFUNCTION("""COMPUTED_VALUE"""),"Malaysia")</f>
        <v>Malaysia</v>
      </c>
      <c r="D9713">
        <f>IFERROR(__xludf.DUMMYFUNCTION("""COMPUTED_VALUE"""),2013.0)</f>
        <v>2013</v>
      </c>
      <c r="E9713">
        <f>IFERROR(__xludf.DUMMYFUNCTION("""COMPUTED_VALUE"""),2.9706724E7)</f>
        <v>29706724</v>
      </c>
    </row>
    <row r="9714">
      <c r="A9714" t="str">
        <f t="shared" si="1"/>
        <v>mys#2014</v>
      </c>
      <c r="B9714" t="str">
        <f>IFERROR(__xludf.DUMMYFUNCTION("""COMPUTED_VALUE"""),"mys")</f>
        <v>mys</v>
      </c>
      <c r="C9714" t="str">
        <f>IFERROR(__xludf.DUMMYFUNCTION("""COMPUTED_VALUE"""),"Malaysia")</f>
        <v>Malaysia</v>
      </c>
      <c r="D9714">
        <f>IFERROR(__xludf.DUMMYFUNCTION("""COMPUTED_VALUE"""),2014.0)</f>
        <v>2014</v>
      </c>
      <c r="E9714">
        <f>IFERROR(__xludf.DUMMYFUNCTION("""COMPUTED_VALUE"""),3.0228017E7)</f>
        <v>30228017</v>
      </c>
    </row>
    <row r="9715">
      <c r="A9715" t="str">
        <f t="shared" si="1"/>
        <v>mys#2015</v>
      </c>
      <c r="B9715" t="str">
        <f>IFERROR(__xludf.DUMMYFUNCTION("""COMPUTED_VALUE"""),"mys")</f>
        <v>mys</v>
      </c>
      <c r="C9715" t="str">
        <f>IFERROR(__xludf.DUMMYFUNCTION("""COMPUTED_VALUE"""),"Malaysia")</f>
        <v>Malaysia</v>
      </c>
      <c r="D9715">
        <f>IFERROR(__xludf.DUMMYFUNCTION("""COMPUTED_VALUE"""),2015.0)</f>
        <v>2015</v>
      </c>
      <c r="E9715">
        <f>IFERROR(__xludf.DUMMYFUNCTION("""COMPUTED_VALUE"""),3.0723155E7)</f>
        <v>30723155</v>
      </c>
    </row>
    <row r="9716">
      <c r="A9716" t="str">
        <f t="shared" si="1"/>
        <v>mys#2016</v>
      </c>
      <c r="B9716" t="str">
        <f>IFERROR(__xludf.DUMMYFUNCTION("""COMPUTED_VALUE"""),"mys")</f>
        <v>mys</v>
      </c>
      <c r="C9716" t="str">
        <f>IFERROR(__xludf.DUMMYFUNCTION("""COMPUTED_VALUE"""),"Malaysia")</f>
        <v>Malaysia</v>
      </c>
      <c r="D9716">
        <f>IFERROR(__xludf.DUMMYFUNCTION("""COMPUTED_VALUE"""),2016.0)</f>
        <v>2016</v>
      </c>
      <c r="E9716">
        <f>IFERROR(__xludf.DUMMYFUNCTION("""COMPUTED_VALUE"""),3.1187265E7)</f>
        <v>31187265</v>
      </c>
    </row>
    <row r="9717">
      <c r="A9717" t="str">
        <f t="shared" si="1"/>
        <v>mys#2017</v>
      </c>
      <c r="B9717" t="str">
        <f>IFERROR(__xludf.DUMMYFUNCTION("""COMPUTED_VALUE"""),"mys")</f>
        <v>mys</v>
      </c>
      <c r="C9717" t="str">
        <f>IFERROR(__xludf.DUMMYFUNCTION("""COMPUTED_VALUE"""),"Malaysia")</f>
        <v>Malaysia</v>
      </c>
      <c r="D9717">
        <f>IFERROR(__xludf.DUMMYFUNCTION("""COMPUTED_VALUE"""),2017.0)</f>
        <v>2017</v>
      </c>
      <c r="E9717">
        <f>IFERROR(__xludf.DUMMYFUNCTION("""COMPUTED_VALUE"""),3.1624264E7)</f>
        <v>31624264</v>
      </c>
    </row>
    <row r="9718">
      <c r="A9718" t="str">
        <f t="shared" si="1"/>
        <v>mys#2018</v>
      </c>
      <c r="B9718" t="str">
        <f>IFERROR(__xludf.DUMMYFUNCTION("""COMPUTED_VALUE"""),"mys")</f>
        <v>mys</v>
      </c>
      <c r="C9718" t="str">
        <f>IFERROR(__xludf.DUMMYFUNCTION("""COMPUTED_VALUE"""),"Malaysia")</f>
        <v>Malaysia</v>
      </c>
      <c r="D9718">
        <f>IFERROR(__xludf.DUMMYFUNCTION("""COMPUTED_VALUE"""),2018.0)</f>
        <v>2018</v>
      </c>
      <c r="E9718">
        <f>IFERROR(__xludf.DUMMYFUNCTION("""COMPUTED_VALUE"""),3.2042458E7)</f>
        <v>32042458</v>
      </c>
    </row>
    <row r="9719">
      <c r="A9719" t="str">
        <f t="shared" si="1"/>
        <v>mys#2019</v>
      </c>
      <c r="B9719" t="str">
        <f>IFERROR(__xludf.DUMMYFUNCTION("""COMPUTED_VALUE"""),"mys")</f>
        <v>mys</v>
      </c>
      <c r="C9719" t="str">
        <f>IFERROR(__xludf.DUMMYFUNCTION("""COMPUTED_VALUE"""),"Malaysia")</f>
        <v>Malaysia</v>
      </c>
      <c r="D9719">
        <f>IFERROR(__xludf.DUMMYFUNCTION("""COMPUTED_VALUE"""),2019.0)</f>
        <v>2019</v>
      </c>
      <c r="E9719">
        <f>IFERROR(__xludf.DUMMYFUNCTION("""COMPUTED_VALUE"""),3.2454455E7)</f>
        <v>32454455</v>
      </c>
    </row>
    <row r="9720">
      <c r="A9720" t="str">
        <f t="shared" si="1"/>
        <v>mys#2020</v>
      </c>
      <c r="B9720" t="str">
        <f>IFERROR(__xludf.DUMMYFUNCTION("""COMPUTED_VALUE"""),"mys")</f>
        <v>mys</v>
      </c>
      <c r="C9720" t="str">
        <f>IFERROR(__xludf.DUMMYFUNCTION("""COMPUTED_VALUE"""),"Malaysia")</f>
        <v>Malaysia</v>
      </c>
      <c r="D9720">
        <f>IFERROR(__xludf.DUMMYFUNCTION("""COMPUTED_VALUE"""),2020.0)</f>
        <v>2020</v>
      </c>
      <c r="E9720">
        <f>IFERROR(__xludf.DUMMYFUNCTION("""COMPUTED_VALUE"""),3.2869323E7)</f>
        <v>32869323</v>
      </c>
    </row>
    <row r="9721">
      <c r="A9721" t="str">
        <f t="shared" si="1"/>
        <v>mys#2021</v>
      </c>
      <c r="B9721" t="str">
        <f>IFERROR(__xludf.DUMMYFUNCTION("""COMPUTED_VALUE"""),"mys")</f>
        <v>mys</v>
      </c>
      <c r="C9721" t="str">
        <f>IFERROR(__xludf.DUMMYFUNCTION("""COMPUTED_VALUE"""),"Malaysia")</f>
        <v>Malaysia</v>
      </c>
      <c r="D9721">
        <f>IFERROR(__xludf.DUMMYFUNCTION("""COMPUTED_VALUE"""),2021.0)</f>
        <v>2021</v>
      </c>
      <c r="E9721">
        <f>IFERROR(__xludf.DUMMYFUNCTION("""COMPUTED_VALUE"""),3.3289213E7)</f>
        <v>33289213</v>
      </c>
    </row>
    <row r="9722">
      <c r="A9722" t="str">
        <f t="shared" si="1"/>
        <v>mys#2022</v>
      </c>
      <c r="B9722" t="str">
        <f>IFERROR(__xludf.DUMMYFUNCTION("""COMPUTED_VALUE"""),"mys")</f>
        <v>mys</v>
      </c>
      <c r="C9722" t="str">
        <f>IFERROR(__xludf.DUMMYFUNCTION("""COMPUTED_VALUE"""),"Malaysia")</f>
        <v>Malaysia</v>
      </c>
      <c r="D9722">
        <f>IFERROR(__xludf.DUMMYFUNCTION("""COMPUTED_VALUE"""),2022.0)</f>
        <v>2022</v>
      </c>
      <c r="E9722">
        <f>IFERROR(__xludf.DUMMYFUNCTION("""COMPUTED_VALUE"""),3.3710811E7)</f>
        <v>33710811</v>
      </c>
    </row>
    <row r="9723">
      <c r="A9723" t="str">
        <f t="shared" si="1"/>
        <v>mys#2023</v>
      </c>
      <c r="B9723" t="str">
        <f>IFERROR(__xludf.DUMMYFUNCTION("""COMPUTED_VALUE"""),"mys")</f>
        <v>mys</v>
      </c>
      <c r="C9723" t="str">
        <f>IFERROR(__xludf.DUMMYFUNCTION("""COMPUTED_VALUE"""),"Malaysia")</f>
        <v>Malaysia</v>
      </c>
      <c r="D9723">
        <f>IFERROR(__xludf.DUMMYFUNCTION("""COMPUTED_VALUE"""),2023.0)</f>
        <v>2023</v>
      </c>
      <c r="E9723">
        <f>IFERROR(__xludf.DUMMYFUNCTION("""COMPUTED_VALUE"""),3.413117E7)</f>
        <v>34131170</v>
      </c>
    </row>
    <row r="9724">
      <c r="A9724" t="str">
        <f t="shared" si="1"/>
        <v>mys#2024</v>
      </c>
      <c r="B9724" t="str">
        <f>IFERROR(__xludf.DUMMYFUNCTION("""COMPUTED_VALUE"""),"mys")</f>
        <v>mys</v>
      </c>
      <c r="C9724" t="str">
        <f>IFERROR(__xludf.DUMMYFUNCTION("""COMPUTED_VALUE"""),"Malaysia")</f>
        <v>Malaysia</v>
      </c>
      <c r="D9724">
        <f>IFERROR(__xludf.DUMMYFUNCTION("""COMPUTED_VALUE"""),2024.0)</f>
        <v>2024</v>
      </c>
      <c r="E9724">
        <f>IFERROR(__xludf.DUMMYFUNCTION("""COMPUTED_VALUE"""),3.4545393E7)</f>
        <v>34545393</v>
      </c>
    </row>
    <row r="9725">
      <c r="A9725" t="str">
        <f t="shared" si="1"/>
        <v>mys#2025</v>
      </c>
      <c r="B9725" t="str">
        <f>IFERROR(__xludf.DUMMYFUNCTION("""COMPUTED_VALUE"""),"mys")</f>
        <v>mys</v>
      </c>
      <c r="C9725" t="str">
        <f>IFERROR(__xludf.DUMMYFUNCTION("""COMPUTED_VALUE"""),"Malaysia")</f>
        <v>Malaysia</v>
      </c>
      <c r="D9725">
        <f>IFERROR(__xludf.DUMMYFUNCTION("""COMPUTED_VALUE"""),2025.0)</f>
        <v>2025</v>
      </c>
      <c r="E9725">
        <f>IFERROR(__xludf.DUMMYFUNCTION("""COMPUTED_VALUE"""),3.4949758E7)</f>
        <v>34949758</v>
      </c>
    </row>
    <row r="9726">
      <c r="A9726" t="str">
        <f t="shared" si="1"/>
        <v>mys#2026</v>
      </c>
      <c r="B9726" t="str">
        <f>IFERROR(__xludf.DUMMYFUNCTION("""COMPUTED_VALUE"""),"mys")</f>
        <v>mys</v>
      </c>
      <c r="C9726" t="str">
        <f>IFERROR(__xludf.DUMMYFUNCTION("""COMPUTED_VALUE"""),"Malaysia")</f>
        <v>Malaysia</v>
      </c>
      <c r="D9726">
        <f>IFERROR(__xludf.DUMMYFUNCTION("""COMPUTED_VALUE"""),2026.0)</f>
        <v>2026</v>
      </c>
      <c r="E9726">
        <f>IFERROR(__xludf.DUMMYFUNCTION("""COMPUTED_VALUE"""),3.5343767E7)</f>
        <v>35343767</v>
      </c>
    </row>
    <row r="9727">
      <c r="A9727" t="str">
        <f t="shared" si="1"/>
        <v>mys#2027</v>
      </c>
      <c r="B9727" t="str">
        <f>IFERROR(__xludf.DUMMYFUNCTION("""COMPUTED_VALUE"""),"mys")</f>
        <v>mys</v>
      </c>
      <c r="C9727" t="str">
        <f>IFERROR(__xludf.DUMMYFUNCTION("""COMPUTED_VALUE"""),"Malaysia")</f>
        <v>Malaysia</v>
      </c>
      <c r="D9727">
        <f>IFERROR(__xludf.DUMMYFUNCTION("""COMPUTED_VALUE"""),2027.0)</f>
        <v>2027</v>
      </c>
      <c r="E9727">
        <f>IFERROR(__xludf.DUMMYFUNCTION("""COMPUTED_VALUE"""),3.5728205E7)</f>
        <v>35728205</v>
      </c>
    </row>
    <row r="9728">
      <c r="A9728" t="str">
        <f t="shared" si="1"/>
        <v>mys#2028</v>
      </c>
      <c r="B9728" t="str">
        <f>IFERROR(__xludf.DUMMYFUNCTION("""COMPUTED_VALUE"""),"mys")</f>
        <v>mys</v>
      </c>
      <c r="C9728" t="str">
        <f>IFERROR(__xludf.DUMMYFUNCTION("""COMPUTED_VALUE"""),"Malaysia")</f>
        <v>Malaysia</v>
      </c>
      <c r="D9728">
        <f>IFERROR(__xludf.DUMMYFUNCTION("""COMPUTED_VALUE"""),2028.0)</f>
        <v>2028</v>
      </c>
      <c r="E9728">
        <f>IFERROR(__xludf.DUMMYFUNCTION("""COMPUTED_VALUE"""),3.6102129E7)</f>
        <v>36102129</v>
      </c>
    </row>
    <row r="9729">
      <c r="A9729" t="str">
        <f t="shared" si="1"/>
        <v>mys#2029</v>
      </c>
      <c r="B9729" t="str">
        <f>IFERROR(__xludf.DUMMYFUNCTION("""COMPUTED_VALUE"""),"mys")</f>
        <v>mys</v>
      </c>
      <c r="C9729" t="str">
        <f>IFERROR(__xludf.DUMMYFUNCTION("""COMPUTED_VALUE"""),"Malaysia")</f>
        <v>Malaysia</v>
      </c>
      <c r="D9729">
        <f>IFERROR(__xludf.DUMMYFUNCTION("""COMPUTED_VALUE"""),2029.0)</f>
        <v>2029</v>
      </c>
      <c r="E9729">
        <f>IFERROR(__xludf.DUMMYFUNCTION("""COMPUTED_VALUE"""),3.6464597E7)</f>
        <v>36464597</v>
      </c>
    </row>
    <row r="9730">
      <c r="A9730" t="str">
        <f t="shared" si="1"/>
        <v>mys#2030</v>
      </c>
      <c r="B9730" t="str">
        <f>IFERROR(__xludf.DUMMYFUNCTION("""COMPUTED_VALUE"""),"mys")</f>
        <v>mys</v>
      </c>
      <c r="C9730" t="str">
        <f>IFERROR(__xludf.DUMMYFUNCTION("""COMPUTED_VALUE"""),"Malaysia")</f>
        <v>Malaysia</v>
      </c>
      <c r="D9730">
        <f>IFERROR(__xludf.DUMMYFUNCTION("""COMPUTED_VALUE"""),2030.0)</f>
        <v>2030</v>
      </c>
      <c r="E9730">
        <f>IFERROR(__xludf.DUMMYFUNCTION("""COMPUTED_VALUE"""),3.6814968E7)</f>
        <v>36814968</v>
      </c>
    </row>
    <row r="9731">
      <c r="A9731" t="str">
        <f t="shared" si="1"/>
        <v>mys#2031</v>
      </c>
      <c r="B9731" t="str">
        <f>IFERROR(__xludf.DUMMYFUNCTION("""COMPUTED_VALUE"""),"mys")</f>
        <v>mys</v>
      </c>
      <c r="C9731" t="str">
        <f>IFERROR(__xludf.DUMMYFUNCTION("""COMPUTED_VALUE"""),"Malaysia")</f>
        <v>Malaysia</v>
      </c>
      <c r="D9731">
        <f>IFERROR(__xludf.DUMMYFUNCTION("""COMPUTED_VALUE"""),2031.0)</f>
        <v>2031</v>
      </c>
      <c r="E9731">
        <f>IFERROR(__xludf.DUMMYFUNCTION("""COMPUTED_VALUE"""),3.7152789E7)</f>
        <v>37152789</v>
      </c>
    </row>
    <row r="9732">
      <c r="A9732" t="str">
        <f t="shared" si="1"/>
        <v>mys#2032</v>
      </c>
      <c r="B9732" t="str">
        <f>IFERROR(__xludf.DUMMYFUNCTION("""COMPUTED_VALUE"""),"mys")</f>
        <v>mys</v>
      </c>
      <c r="C9732" t="str">
        <f>IFERROR(__xludf.DUMMYFUNCTION("""COMPUTED_VALUE"""),"Malaysia")</f>
        <v>Malaysia</v>
      </c>
      <c r="D9732">
        <f>IFERROR(__xludf.DUMMYFUNCTION("""COMPUTED_VALUE"""),2032.0)</f>
        <v>2032</v>
      </c>
      <c r="E9732">
        <f>IFERROR(__xludf.DUMMYFUNCTION("""COMPUTED_VALUE"""),3.7477978E7)</f>
        <v>37477978</v>
      </c>
    </row>
    <row r="9733">
      <c r="A9733" t="str">
        <f t="shared" si="1"/>
        <v>mys#2033</v>
      </c>
      <c r="B9733" t="str">
        <f>IFERROR(__xludf.DUMMYFUNCTION("""COMPUTED_VALUE"""),"mys")</f>
        <v>mys</v>
      </c>
      <c r="C9733" t="str">
        <f>IFERROR(__xludf.DUMMYFUNCTION("""COMPUTED_VALUE"""),"Malaysia")</f>
        <v>Malaysia</v>
      </c>
      <c r="D9733">
        <f>IFERROR(__xludf.DUMMYFUNCTION("""COMPUTED_VALUE"""),2033.0)</f>
        <v>2033</v>
      </c>
      <c r="E9733">
        <f>IFERROR(__xludf.DUMMYFUNCTION("""COMPUTED_VALUE"""),3.7790724E7)</f>
        <v>37790724</v>
      </c>
    </row>
    <row r="9734">
      <c r="A9734" t="str">
        <f t="shared" si="1"/>
        <v>mys#2034</v>
      </c>
      <c r="B9734" t="str">
        <f>IFERROR(__xludf.DUMMYFUNCTION("""COMPUTED_VALUE"""),"mys")</f>
        <v>mys</v>
      </c>
      <c r="C9734" t="str">
        <f>IFERROR(__xludf.DUMMYFUNCTION("""COMPUTED_VALUE"""),"Malaysia")</f>
        <v>Malaysia</v>
      </c>
      <c r="D9734">
        <f>IFERROR(__xludf.DUMMYFUNCTION("""COMPUTED_VALUE"""),2034.0)</f>
        <v>2034</v>
      </c>
      <c r="E9734">
        <f>IFERROR(__xludf.DUMMYFUNCTION("""COMPUTED_VALUE"""),3.8091467E7)</f>
        <v>38091467</v>
      </c>
    </row>
    <row r="9735">
      <c r="A9735" t="str">
        <f t="shared" si="1"/>
        <v>mys#2035</v>
      </c>
      <c r="B9735" t="str">
        <f>IFERROR(__xludf.DUMMYFUNCTION("""COMPUTED_VALUE"""),"mys")</f>
        <v>mys</v>
      </c>
      <c r="C9735" t="str">
        <f>IFERROR(__xludf.DUMMYFUNCTION("""COMPUTED_VALUE"""),"Malaysia")</f>
        <v>Malaysia</v>
      </c>
      <c r="D9735">
        <f>IFERROR(__xludf.DUMMYFUNCTION("""COMPUTED_VALUE"""),2035.0)</f>
        <v>2035</v>
      </c>
      <c r="E9735">
        <f>IFERROR(__xludf.DUMMYFUNCTION("""COMPUTED_VALUE"""),3.838067E7)</f>
        <v>38380670</v>
      </c>
    </row>
    <row r="9736">
      <c r="A9736" t="str">
        <f t="shared" si="1"/>
        <v>mys#2036</v>
      </c>
      <c r="B9736" t="str">
        <f>IFERROR(__xludf.DUMMYFUNCTION("""COMPUTED_VALUE"""),"mys")</f>
        <v>mys</v>
      </c>
      <c r="C9736" t="str">
        <f>IFERROR(__xludf.DUMMYFUNCTION("""COMPUTED_VALUE"""),"Malaysia")</f>
        <v>Malaysia</v>
      </c>
      <c r="D9736">
        <f>IFERROR(__xludf.DUMMYFUNCTION("""COMPUTED_VALUE"""),2036.0)</f>
        <v>2036</v>
      </c>
      <c r="E9736">
        <f>IFERROR(__xludf.DUMMYFUNCTION("""COMPUTED_VALUE"""),3.8658468E7)</f>
        <v>38658468</v>
      </c>
    </row>
    <row r="9737">
      <c r="A9737" t="str">
        <f t="shared" si="1"/>
        <v>mys#2037</v>
      </c>
      <c r="B9737" t="str">
        <f>IFERROR(__xludf.DUMMYFUNCTION("""COMPUTED_VALUE"""),"mys")</f>
        <v>mys</v>
      </c>
      <c r="C9737" t="str">
        <f>IFERROR(__xludf.DUMMYFUNCTION("""COMPUTED_VALUE"""),"Malaysia")</f>
        <v>Malaysia</v>
      </c>
      <c r="D9737">
        <f>IFERROR(__xludf.DUMMYFUNCTION("""COMPUTED_VALUE"""),2037.0)</f>
        <v>2037</v>
      </c>
      <c r="E9737">
        <f>IFERROR(__xludf.DUMMYFUNCTION("""COMPUTED_VALUE"""),3.892516E7)</f>
        <v>38925160</v>
      </c>
    </row>
    <row r="9738">
      <c r="A9738" t="str">
        <f t="shared" si="1"/>
        <v>mys#2038</v>
      </c>
      <c r="B9738" t="str">
        <f>IFERROR(__xludf.DUMMYFUNCTION("""COMPUTED_VALUE"""),"mys")</f>
        <v>mys</v>
      </c>
      <c r="C9738" t="str">
        <f>IFERROR(__xludf.DUMMYFUNCTION("""COMPUTED_VALUE"""),"Malaysia")</f>
        <v>Malaysia</v>
      </c>
      <c r="D9738">
        <f>IFERROR(__xludf.DUMMYFUNCTION("""COMPUTED_VALUE"""),2038.0)</f>
        <v>2038</v>
      </c>
      <c r="E9738">
        <f>IFERROR(__xludf.DUMMYFUNCTION("""COMPUTED_VALUE"""),3.9181636E7)</f>
        <v>39181636</v>
      </c>
    </row>
    <row r="9739">
      <c r="A9739" t="str">
        <f t="shared" si="1"/>
        <v>mys#2039</v>
      </c>
      <c r="B9739" t="str">
        <f>IFERROR(__xludf.DUMMYFUNCTION("""COMPUTED_VALUE"""),"mys")</f>
        <v>mys</v>
      </c>
      <c r="C9739" t="str">
        <f>IFERROR(__xludf.DUMMYFUNCTION("""COMPUTED_VALUE"""),"Malaysia")</f>
        <v>Malaysia</v>
      </c>
      <c r="D9739">
        <f>IFERROR(__xludf.DUMMYFUNCTION("""COMPUTED_VALUE"""),2039.0)</f>
        <v>2039</v>
      </c>
      <c r="E9739">
        <f>IFERROR(__xludf.DUMMYFUNCTION("""COMPUTED_VALUE"""),3.9429022E7)</f>
        <v>39429022</v>
      </c>
    </row>
    <row r="9740">
      <c r="A9740" t="str">
        <f t="shared" si="1"/>
        <v>mys#2040</v>
      </c>
      <c r="B9740" t="str">
        <f>IFERROR(__xludf.DUMMYFUNCTION("""COMPUTED_VALUE"""),"mys")</f>
        <v>mys</v>
      </c>
      <c r="C9740" t="str">
        <f>IFERROR(__xludf.DUMMYFUNCTION("""COMPUTED_VALUE"""),"Malaysia")</f>
        <v>Malaysia</v>
      </c>
      <c r="D9740">
        <f>IFERROR(__xludf.DUMMYFUNCTION("""COMPUTED_VALUE"""),2040.0)</f>
        <v>2040</v>
      </c>
      <c r="E9740">
        <f>IFERROR(__xludf.DUMMYFUNCTION("""COMPUTED_VALUE"""),3.9668262E7)</f>
        <v>39668262</v>
      </c>
    </row>
    <row r="9741">
      <c r="A9741" t="str">
        <f t="shared" si="1"/>
        <v>mdv#1950</v>
      </c>
      <c r="B9741" t="str">
        <f>IFERROR(__xludf.DUMMYFUNCTION("""COMPUTED_VALUE"""),"mdv")</f>
        <v>mdv</v>
      </c>
      <c r="C9741" t="str">
        <f>IFERROR(__xludf.DUMMYFUNCTION("""COMPUTED_VALUE"""),"Maldives")</f>
        <v>Maldives</v>
      </c>
      <c r="D9741">
        <f>IFERROR(__xludf.DUMMYFUNCTION("""COMPUTED_VALUE"""),1950.0)</f>
        <v>1950</v>
      </c>
      <c r="E9741">
        <f>IFERROR(__xludf.DUMMYFUNCTION("""COMPUTED_VALUE"""),73714.0)</f>
        <v>73714</v>
      </c>
    </row>
    <row r="9742">
      <c r="A9742" t="str">
        <f t="shared" si="1"/>
        <v>mdv#1951</v>
      </c>
      <c r="B9742" t="str">
        <f>IFERROR(__xludf.DUMMYFUNCTION("""COMPUTED_VALUE"""),"mdv")</f>
        <v>mdv</v>
      </c>
      <c r="C9742" t="str">
        <f>IFERROR(__xludf.DUMMYFUNCTION("""COMPUTED_VALUE"""),"Maldives")</f>
        <v>Maldives</v>
      </c>
      <c r="D9742">
        <f>IFERROR(__xludf.DUMMYFUNCTION("""COMPUTED_VALUE"""),1951.0)</f>
        <v>1951</v>
      </c>
      <c r="E9742">
        <f>IFERROR(__xludf.DUMMYFUNCTION("""COMPUTED_VALUE"""),74223.0)</f>
        <v>74223</v>
      </c>
    </row>
    <row r="9743">
      <c r="A9743" t="str">
        <f t="shared" si="1"/>
        <v>mdv#1952</v>
      </c>
      <c r="B9743" t="str">
        <f>IFERROR(__xludf.DUMMYFUNCTION("""COMPUTED_VALUE"""),"mdv")</f>
        <v>mdv</v>
      </c>
      <c r="C9743" t="str">
        <f>IFERROR(__xludf.DUMMYFUNCTION("""COMPUTED_VALUE"""),"Maldives")</f>
        <v>Maldives</v>
      </c>
      <c r="D9743">
        <f>IFERROR(__xludf.DUMMYFUNCTION("""COMPUTED_VALUE"""),1952.0)</f>
        <v>1952</v>
      </c>
      <c r="E9743">
        <f>IFERROR(__xludf.DUMMYFUNCTION("""COMPUTED_VALUE"""),75194.0)</f>
        <v>75194</v>
      </c>
    </row>
    <row r="9744">
      <c r="A9744" t="str">
        <f t="shared" si="1"/>
        <v>mdv#1953</v>
      </c>
      <c r="B9744" t="str">
        <f>IFERROR(__xludf.DUMMYFUNCTION("""COMPUTED_VALUE"""),"mdv")</f>
        <v>mdv</v>
      </c>
      <c r="C9744" t="str">
        <f>IFERROR(__xludf.DUMMYFUNCTION("""COMPUTED_VALUE"""),"Maldives")</f>
        <v>Maldives</v>
      </c>
      <c r="D9744">
        <f>IFERROR(__xludf.DUMMYFUNCTION("""COMPUTED_VALUE"""),1953.0)</f>
        <v>1953</v>
      </c>
      <c r="E9744">
        <f>IFERROR(__xludf.DUMMYFUNCTION("""COMPUTED_VALUE"""),76486.0)</f>
        <v>76486</v>
      </c>
    </row>
    <row r="9745">
      <c r="A9745" t="str">
        <f t="shared" si="1"/>
        <v>mdv#1954</v>
      </c>
      <c r="B9745" t="str">
        <f>IFERROR(__xludf.DUMMYFUNCTION("""COMPUTED_VALUE"""),"mdv")</f>
        <v>mdv</v>
      </c>
      <c r="C9745" t="str">
        <f>IFERROR(__xludf.DUMMYFUNCTION("""COMPUTED_VALUE"""),"Maldives")</f>
        <v>Maldives</v>
      </c>
      <c r="D9745">
        <f>IFERROR(__xludf.DUMMYFUNCTION("""COMPUTED_VALUE"""),1954.0)</f>
        <v>1954</v>
      </c>
      <c r="E9745">
        <f>IFERROR(__xludf.DUMMYFUNCTION("""COMPUTED_VALUE"""),78016.0)</f>
        <v>78016</v>
      </c>
    </row>
    <row r="9746">
      <c r="A9746" t="str">
        <f t="shared" si="1"/>
        <v>mdv#1955</v>
      </c>
      <c r="B9746" t="str">
        <f>IFERROR(__xludf.DUMMYFUNCTION("""COMPUTED_VALUE"""),"mdv")</f>
        <v>mdv</v>
      </c>
      <c r="C9746" t="str">
        <f>IFERROR(__xludf.DUMMYFUNCTION("""COMPUTED_VALUE"""),"Maldives")</f>
        <v>Maldives</v>
      </c>
      <c r="D9746">
        <f>IFERROR(__xludf.DUMMYFUNCTION("""COMPUTED_VALUE"""),1955.0)</f>
        <v>1955</v>
      </c>
      <c r="E9746">
        <f>IFERROR(__xludf.DUMMYFUNCTION("""COMPUTED_VALUE"""),79714.0)</f>
        <v>79714</v>
      </c>
    </row>
    <row r="9747">
      <c r="A9747" t="str">
        <f t="shared" si="1"/>
        <v>mdv#1956</v>
      </c>
      <c r="B9747" t="str">
        <f>IFERROR(__xludf.DUMMYFUNCTION("""COMPUTED_VALUE"""),"mdv")</f>
        <v>mdv</v>
      </c>
      <c r="C9747" t="str">
        <f>IFERROR(__xludf.DUMMYFUNCTION("""COMPUTED_VALUE"""),"Maldives")</f>
        <v>Maldives</v>
      </c>
      <c r="D9747">
        <f>IFERROR(__xludf.DUMMYFUNCTION("""COMPUTED_VALUE"""),1956.0)</f>
        <v>1956</v>
      </c>
      <c r="E9747">
        <f>IFERROR(__xludf.DUMMYFUNCTION("""COMPUTED_VALUE"""),81520.0)</f>
        <v>81520</v>
      </c>
    </row>
    <row r="9748">
      <c r="A9748" t="str">
        <f t="shared" si="1"/>
        <v>mdv#1957</v>
      </c>
      <c r="B9748" t="str">
        <f>IFERROR(__xludf.DUMMYFUNCTION("""COMPUTED_VALUE"""),"mdv")</f>
        <v>mdv</v>
      </c>
      <c r="C9748" t="str">
        <f>IFERROR(__xludf.DUMMYFUNCTION("""COMPUTED_VALUE"""),"Maldives")</f>
        <v>Maldives</v>
      </c>
      <c r="D9748">
        <f>IFERROR(__xludf.DUMMYFUNCTION("""COMPUTED_VALUE"""),1957.0)</f>
        <v>1957</v>
      </c>
      <c r="E9748">
        <f>IFERROR(__xludf.DUMMYFUNCTION("""COMPUTED_VALUE"""),83435.0)</f>
        <v>83435</v>
      </c>
    </row>
    <row r="9749">
      <c r="A9749" t="str">
        <f t="shared" si="1"/>
        <v>mdv#1958</v>
      </c>
      <c r="B9749" t="str">
        <f>IFERROR(__xludf.DUMMYFUNCTION("""COMPUTED_VALUE"""),"mdv")</f>
        <v>mdv</v>
      </c>
      <c r="C9749" t="str">
        <f>IFERROR(__xludf.DUMMYFUNCTION("""COMPUTED_VALUE"""),"Maldives")</f>
        <v>Maldives</v>
      </c>
      <c r="D9749">
        <f>IFERROR(__xludf.DUMMYFUNCTION("""COMPUTED_VALUE"""),1958.0)</f>
        <v>1958</v>
      </c>
      <c r="E9749">
        <f>IFERROR(__xludf.DUMMYFUNCTION("""COMPUTED_VALUE"""),85451.0)</f>
        <v>85451</v>
      </c>
    </row>
    <row r="9750">
      <c r="A9750" t="str">
        <f t="shared" si="1"/>
        <v>mdv#1959</v>
      </c>
      <c r="B9750" t="str">
        <f>IFERROR(__xludf.DUMMYFUNCTION("""COMPUTED_VALUE"""),"mdv")</f>
        <v>mdv</v>
      </c>
      <c r="C9750" t="str">
        <f>IFERROR(__xludf.DUMMYFUNCTION("""COMPUTED_VALUE"""),"Maldives")</f>
        <v>Maldives</v>
      </c>
      <c r="D9750">
        <f>IFERROR(__xludf.DUMMYFUNCTION("""COMPUTED_VALUE"""),1959.0)</f>
        <v>1959</v>
      </c>
      <c r="E9750">
        <f>IFERROR(__xludf.DUMMYFUNCTION("""COMPUTED_VALUE"""),87590.0)</f>
        <v>87590</v>
      </c>
    </row>
    <row r="9751">
      <c r="A9751" t="str">
        <f t="shared" si="1"/>
        <v>mdv#1960</v>
      </c>
      <c r="B9751" t="str">
        <f>IFERROR(__xludf.DUMMYFUNCTION("""COMPUTED_VALUE"""),"mdv")</f>
        <v>mdv</v>
      </c>
      <c r="C9751" t="str">
        <f>IFERROR(__xludf.DUMMYFUNCTION("""COMPUTED_VALUE"""),"Maldives")</f>
        <v>Maldives</v>
      </c>
      <c r="D9751">
        <f>IFERROR(__xludf.DUMMYFUNCTION("""COMPUTED_VALUE"""),1960.0)</f>
        <v>1960</v>
      </c>
      <c r="E9751">
        <f>IFERROR(__xludf.DUMMYFUNCTION("""COMPUTED_VALUE"""),89887.0)</f>
        <v>89887</v>
      </c>
    </row>
    <row r="9752">
      <c r="A9752" t="str">
        <f t="shared" si="1"/>
        <v>mdv#1961</v>
      </c>
      <c r="B9752" t="str">
        <f>IFERROR(__xludf.DUMMYFUNCTION("""COMPUTED_VALUE"""),"mdv")</f>
        <v>mdv</v>
      </c>
      <c r="C9752" t="str">
        <f>IFERROR(__xludf.DUMMYFUNCTION("""COMPUTED_VALUE"""),"Maldives")</f>
        <v>Maldives</v>
      </c>
      <c r="D9752">
        <f>IFERROR(__xludf.DUMMYFUNCTION("""COMPUTED_VALUE"""),1961.0)</f>
        <v>1961</v>
      </c>
      <c r="E9752">
        <f>IFERROR(__xludf.DUMMYFUNCTION("""COMPUTED_VALUE"""),92350.0)</f>
        <v>92350</v>
      </c>
    </row>
    <row r="9753">
      <c r="A9753" t="str">
        <f t="shared" si="1"/>
        <v>mdv#1962</v>
      </c>
      <c r="B9753" t="str">
        <f>IFERROR(__xludf.DUMMYFUNCTION("""COMPUTED_VALUE"""),"mdv")</f>
        <v>mdv</v>
      </c>
      <c r="C9753" t="str">
        <f>IFERROR(__xludf.DUMMYFUNCTION("""COMPUTED_VALUE"""),"Maldives")</f>
        <v>Maldives</v>
      </c>
      <c r="D9753">
        <f>IFERROR(__xludf.DUMMYFUNCTION("""COMPUTED_VALUE"""),1962.0)</f>
        <v>1962</v>
      </c>
      <c r="E9753">
        <f>IFERROR(__xludf.DUMMYFUNCTION("""COMPUTED_VALUE"""),94938.0)</f>
        <v>94938</v>
      </c>
    </row>
    <row r="9754">
      <c r="A9754" t="str">
        <f t="shared" si="1"/>
        <v>mdv#1963</v>
      </c>
      <c r="B9754" t="str">
        <f>IFERROR(__xludf.DUMMYFUNCTION("""COMPUTED_VALUE"""),"mdv")</f>
        <v>mdv</v>
      </c>
      <c r="C9754" t="str">
        <f>IFERROR(__xludf.DUMMYFUNCTION("""COMPUTED_VALUE"""),"Maldives")</f>
        <v>Maldives</v>
      </c>
      <c r="D9754">
        <f>IFERROR(__xludf.DUMMYFUNCTION("""COMPUTED_VALUE"""),1963.0)</f>
        <v>1963</v>
      </c>
      <c r="E9754">
        <f>IFERROR(__xludf.DUMMYFUNCTION("""COMPUTED_VALUE"""),97584.0)</f>
        <v>97584</v>
      </c>
    </row>
    <row r="9755">
      <c r="A9755" t="str">
        <f t="shared" si="1"/>
        <v>mdv#1964</v>
      </c>
      <c r="B9755" t="str">
        <f>IFERROR(__xludf.DUMMYFUNCTION("""COMPUTED_VALUE"""),"mdv")</f>
        <v>mdv</v>
      </c>
      <c r="C9755" t="str">
        <f>IFERROR(__xludf.DUMMYFUNCTION("""COMPUTED_VALUE"""),"Maldives")</f>
        <v>Maldives</v>
      </c>
      <c r="D9755">
        <f>IFERROR(__xludf.DUMMYFUNCTION("""COMPUTED_VALUE"""),1964.0)</f>
        <v>1964</v>
      </c>
      <c r="E9755">
        <f>IFERROR(__xludf.DUMMYFUNCTION("""COMPUTED_VALUE"""),100214.0)</f>
        <v>100214</v>
      </c>
    </row>
    <row r="9756">
      <c r="A9756" t="str">
        <f t="shared" si="1"/>
        <v>mdv#1965</v>
      </c>
      <c r="B9756" t="str">
        <f>IFERROR(__xludf.DUMMYFUNCTION("""COMPUTED_VALUE"""),"mdv")</f>
        <v>mdv</v>
      </c>
      <c r="C9756" t="str">
        <f>IFERROR(__xludf.DUMMYFUNCTION("""COMPUTED_VALUE"""),"Maldives")</f>
        <v>Maldives</v>
      </c>
      <c r="D9756">
        <f>IFERROR(__xludf.DUMMYFUNCTION("""COMPUTED_VALUE"""),1965.0)</f>
        <v>1965</v>
      </c>
      <c r="E9756">
        <f>IFERROR(__xludf.DUMMYFUNCTION("""COMPUTED_VALUE"""),102766.0)</f>
        <v>102766</v>
      </c>
    </row>
    <row r="9757">
      <c r="A9757" t="str">
        <f t="shared" si="1"/>
        <v>mdv#1966</v>
      </c>
      <c r="B9757" t="str">
        <f>IFERROR(__xludf.DUMMYFUNCTION("""COMPUTED_VALUE"""),"mdv")</f>
        <v>mdv</v>
      </c>
      <c r="C9757" t="str">
        <f>IFERROR(__xludf.DUMMYFUNCTION("""COMPUTED_VALUE"""),"Maldives")</f>
        <v>Maldives</v>
      </c>
      <c r="D9757">
        <f>IFERROR(__xludf.DUMMYFUNCTION("""COMPUTED_VALUE"""),1966.0)</f>
        <v>1966</v>
      </c>
      <c r="E9757">
        <f>IFERROR(__xludf.DUMMYFUNCTION("""COMPUTED_VALUE"""),105190.0)</f>
        <v>105190</v>
      </c>
    </row>
    <row r="9758">
      <c r="A9758" t="str">
        <f t="shared" si="1"/>
        <v>mdv#1967</v>
      </c>
      <c r="B9758" t="str">
        <f>IFERROR(__xludf.DUMMYFUNCTION("""COMPUTED_VALUE"""),"mdv")</f>
        <v>mdv</v>
      </c>
      <c r="C9758" t="str">
        <f>IFERROR(__xludf.DUMMYFUNCTION("""COMPUTED_VALUE"""),"Maldives")</f>
        <v>Maldives</v>
      </c>
      <c r="D9758">
        <f>IFERROR(__xludf.DUMMYFUNCTION("""COMPUTED_VALUE"""),1967.0)</f>
        <v>1967</v>
      </c>
      <c r="E9758">
        <f>IFERROR(__xludf.DUMMYFUNCTION("""COMPUTED_VALUE"""),107538.0)</f>
        <v>107538</v>
      </c>
    </row>
    <row r="9759">
      <c r="A9759" t="str">
        <f t="shared" si="1"/>
        <v>mdv#1968</v>
      </c>
      <c r="B9759" t="str">
        <f>IFERROR(__xludf.DUMMYFUNCTION("""COMPUTED_VALUE"""),"mdv")</f>
        <v>mdv</v>
      </c>
      <c r="C9759" t="str">
        <f>IFERROR(__xludf.DUMMYFUNCTION("""COMPUTED_VALUE"""),"Maldives")</f>
        <v>Maldives</v>
      </c>
      <c r="D9759">
        <f>IFERROR(__xludf.DUMMYFUNCTION("""COMPUTED_VALUE"""),1968.0)</f>
        <v>1968</v>
      </c>
      <c r="E9759">
        <f>IFERROR(__xludf.DUMMYFUNCTION("""COMPUTED_VALUE"""),109959.0)</f>
        <v>109959</v>
      </c>
    </row>
    <row r="9760">
      <c r="A9760" t="str">
        <f t="shared" si="1"/>
        <v>mdv#1969</v>
      </c>
      <c r="B9760" t="str">
        <f>IFERROR(__xludf.DUMMYFUNCTION("""COMPUTED_VALUE"""),"mdv")</f>
        <v>mdv</v>
      </c>
      <c r="C9760" t="str">
        <f>IFERROR(__xludf.DUMMYFUNCTION("""COMPUTED_VALUE"""),"Maldives")</f>
        <v>Maldives</v>
      </c>
      <c r="D9760">
        <f>IFERROR(__xludf.DUMMYFUNCTION("""COMPUTED_VALUE"""),1969.0)</f>
        <v>1969</v>
      </c>
      <c r="E9760">
        <f>IFERROR(__xludf.DUMMYFUNCTION("""COMPUTED_VALUE"""),112651.0)</f>
        <v>112651</v>
      </c>
    </row>
    <row r="9761">
      <c r="A9761" t="str">
        <f t="shared" si="1"/>
        <v>mdv#1970</v>
      </c>
      <c r="B9761" t="str">
        <f>IFERROR(__xludf.DUMMYFUNCTION("""COMPUTED_VALUE"""),"mdv")</f>
        <v>mdv</v>
      </c>
      <c r="C9761" t="str">
        <f>IFERROR(__xludf.DUMMYFUNCTION("""COMPUTED_VALUE"""),"Maldives")</f>
        <v>Maldives</v>
      </c>
      <c r="D9761">
        <f>IFERROR(__xludf.DUMMYFUNCTION("""COMPUTED_VALUE"""),1970.0)</f>
        <v>1970</v>
      </c>
      <c r="E9761">
        <f>IFERROR(__xludf.DUMMYFUNCTION("""COMPUTED_VALUE"""),115768.0)</f>
        <v>115768</v>
      </c>
    </row>
    <row r="9762">
      <c r="A9762" t="str">
        <f t="shared" si="1"/>
        <v>mdv#1971</v>
      </c>
      <c r="B9762" t="str">
        <f>IFERROR(__xludf.DUMMYFUNCTION("""COMPUTED_VALUE"""),"mdv")</f>
        <v>mdv</v>
      </c>
      <c r="C9762" t="str">
        <f>IFERROR(__xludf.DUMMYFUNCTION("""COMPUTED_VALUE"""),"Maldives")</f>
        <v>Maldives</v>
      </c>
      <c r="D9762">
        <f>IFERROR(__xludf.DUMMYFUNCTION("""COMPUTED_VALUE"""),1971.0)</f>
        <v>1971</v>
      </c>
      <c r="E9762">
        <f>IFERROR(__xludf.DUMMYFUNCTION("""COMPUTED_VALUE"""),119378.0)</f>
        <v>119378</v>
      </c>
    </row>
    <row r="9763">
      <c r="A9763" t="str">
        <f t="shared" si="1"/>
        <v>mdv#1972</v>
      </c>
      <c r="B9763" t="str">
        <f>IFERROR(__xludf.DUMMYFUNCTION("""COMPUTED_VALUE"""),"mdv")</f>
        <v>mdv</v>
      </c>
      <c r="C9763" t="str">
        <f>IFERROR(__xludf.DUMMYFUNCTION("""COMPUTED_VALUE"""),"Maldives")</f>
        <v>Maldives</v>
      </c>
      <c r="D9763">
        <f>IFERROR(__xludf.DUMMYFUNCTION("""COMPUTED_VALUE"""),1972.0)</f>
        <v>1972</v>
      </c>
      <c r="E9763">
        <f>IFERROR(__xludf.DUMMYFUNCTION("""COMPUTED_VALUE"""),123441.0)</f>
        <v>123441</v>
      </c>
    </row>
    <row r="9764">
      <c r="A9764" t="str">
        <f t="shared" si="1"/>
        <v>mdv#1973</v>
      </c>
      <c r="B9764" t="str">
        <f>IFERROR(__xludf.DUMMYFUNCTION("""COMPUTED_VALUE"""),"mdv")</f>
        <v>mdv</v>
      </c>
      <c r="C9764" t="str">
        <f>IFERROR(__xludf.DUMMYFUNCTION("""COMPUTED_VALUE"""),"Maldives")</f>
        <v>Maldives</v>
      </c>
      <c r="D9764">
        <f>IFERROR(__xludf.DUMMYFUNCTION("""COMPUTED_VALUE"""),1973.0)</f>
        <v>1973</v>
      </c>
      <c r="E9764">
        <f>IFERROR(__xludf.DUMMYFUNCTION("""COMPUTED_VALUE"""),127791.0)</f>
        <v>127791</v>
      </c>
    </row>
    <row r="9765">
      <c r="A9765" t="str">
        <f t="shared" si="1"/>
        <v>mdv#1974</v>
      </c>
      <c r="B9765" t="str">
        <f>IFERROR(__xludf.DUMMYFUNCTION("""COMPUTED_VALUE"""),"mdv")</f>
        <v>mdv</v>
      </c>
      <c r="C9765" t="str">
        <f>IFERROR(__xludf.DUMMYFUNCTION("""COMPUTED_VALUE"""),"Maldives")</f>
        <v>Maldives</v>
      </c>
      <c r="D9765">
        <f>IFERROR(__xludf.DUMMYFUNCTION("""COMPUTED_VALUE"""),1974.0)</f>
        <v>1974</v>
      </c>
      <c r="E9765">
        <f>IFERROR(__xludf.DUMMYFUNCTION("""COMPUTED_VALUE"""),132195.0)</f>
        <v>132195</v>
      </c>
    </row>
    <row r="9766">
      <c r="A9766" t="str">
        <f t="shared" si="1"/>
        <v>mdv#1975</v>
      </c>
      <c r="B9766" t="str">
        <f>IFERROR(__xludf.DUMMYFUNCTION("""COMPUTED_VALUE"""),"mdv")</f>
        <v>mdv</v>
      </c>
      <c r="C9766" t="str">
        <f>IFERROR(__xludf.DUMMYFUNCTION("""COMPUTED_VALUE"""),"Maldives")</f>
        <v>Maldives</v>
      </c>
      <c r="D9766">
        <f>IFERROR(__xludf.DUMMYFUNCTION("""COMPUTED_VALUE"""),1975.0)</f>
        <v>1975</v>
      </c>
      <c r="E9766">
        <f>IFERROR(__xludf.DUMMYFUNCTION("""COMPUTED_VALUE"""),136519.0)</f>
        <v>136519</v>
      </c>
    </row>
    <row r="9767">
      <c r="A9767" t="str">
        <f t="shared" si="1"/>
        <v>mdv#1976</v>
      </c>
      <c r="B9767" t="str">
        <f>IFERROR(__xludf.DUMMYFUNCTION("""COMPUTED_VALUE"""),"mdv")</f>
        <v>mdv</v>
      </c>
      <c r="C9767" t="str">
        <f>IFERROR(__xludf.DUMMYFUNCTION("""COMPUTED_VALUE"""),"Maldives")</f>
        <v>Maldives</v>
      </c>
      <c r="D9767">
        <f>IFERROR(__xludf.DUMMYFUNCTION("""COMPUTED_VALUE"""),1976.0)</f>
        <v>1976</v>
      </c>
      <c r="E9767">
        <f>IFERROR(__xludf.DUMMYFUNCTION("""COMPUTED_VALUE"""),140665.0)</f>
        <v>140665</v>
      </c>
    </row>
    <row r="9768">
      <c r="A9768" t="str">
        <f t="shared" si="1"/>
        <v>mdv#1977</v>
      </c>
      <c r="B9768" t="str">
        <f>IFERROR(__xludf.DUMMYFUNCTION("""COMPUTED_VALUE"""),"mdv")</f>
        <v>mdv</v>
      </c>
      <c r="C9768" t="str">
        <f>IFERROR(__xludf.DUMMYFUNCTION("""COMPUTED_VALUE"""),"Maldives")</f>
        <v>Maldives</v>
      </c>
      <c r="D9768">
        <f>IFERROR(__xludf.DUMMYFUNCTION("""COMPUTED_VALUE"""),1977.0)</f>
        <v>1977</v>
      </c>
      <c r="E9768">
        <f>IFERROR(__xludf.DUMMYFUNCTION("""COMPUTED_VALUE"""),144736.0)</f>
        <v>144736</v>
      </c>
    </row>
    <row r="9769">
      <c r="A9769" t="str">
        <f t="shared" si="1"/>
        <v>mdv#1978</v>
      </c>
      <c r="B9769" t="str">
        <f>IFERROR(__xludf.DUMMYFUNCTION("""COMPUTED_VALUE"""),"mdv")</f>
        <v>mdv</v>
      </c>
      <c r="C9769" t="str">
        <f>IFERROR(__xludf.DUMMYFUNCTION("""COMPUTED_VALUE"""),"Maldives")</f>
        <v>Maldives</v>
      </c>
      <c r="D9769">
        <f>IFERROR(__xludf.DUMMYFUNCTION("""COMPUTED_VALUE"""),1978.0)</f>
        <v>1978</v>
      </c>
      <c r="E9769">
        <f>IFERROR(__xludf.DUMMYFUNCTION("""COMPUTED_VALUE"""),148892.0)</f>
        <v>148892</v>
      </c>
    </row>
    <row r="9770">
      <c r="A9770" t="str">
        <f t="shared" si="1"/>
        <v>mdv#1979</v>
      </c>
      <c r="B9770" t="str">
        <f>IFERROR(__xludf.DUMMYFUNCTION("""COMPUTED_VALUE"""),"mdv")</f>
        <v>mdv</v>
      </c>
      <c r="C9770" t="str">
        <f>IFERROR(__xludf.DUMMYFUNCTION("""COMPUTED_VALUE"""),"Maldives")</f>
        <v>Maldives</v>
      </c>
      <c r="D9770">
        <f>IFERROR(__xludf.DUMMYFUNCTION("""COMPUTED_VALUE"""),1979.0)</f>
        <v>1979</v>
      </c>
      <c r="E9770">
        <f>IFERROR(__xludf.DUMMYFUNCTION("""COMPUTED_VALUE"""),153386.0)</f>
        <v>153386</v>
      </c>
    </row>
    <row r="9771">
      <c r="A9771" t="str">
        <f t="shared" si="1"/>
        <v>mdv#1980</v>
      </c>
      <c r="B9771" t="str">
        <f>IFERROR(__xludf.DUMMYFUNCTION("""COMPUTED_VALUE"""),"mdv")</f>
        <v>mdv</v>
      </c>
      <c r="C9771" t="str">
        <f>IFERROR(__xludf.DUMMYFUNCTION("""COMPUTED_VALUE"""),"Maldives")</f>
        <v>Maldives</v>
      </c>
      <c r="D9771">
        <f>IFERROR(__xludf.DUMMYFUNCTION("""COMPUTED_VALUE"""),1980.0)</f>
        <v>1980</v>
      </c>
      <c r="E9771">
        <f>IFERROR(__xludf.DUMMYFUNCTION("""COMPUTED_VALUE"""),158385.0)</f>
        <v>158385</v>
      </c>
    </row>
    <row r="9772">
      <c r="A9772" t="str">
        <f t="shared" si="1"/>
        <v>mdv#1981</v>
      </c>
      <c r="B9772" t="str">
        <f>IFERROR(__xludf.DUMMYFUNCTION("""COMPUTED_VALUE"""),"mdv")</f>
        <v>mdv</v>
      </c>
      <c r="C9772" t="str">
        <f>IFERROR(__xludf.DUMMYFUNCTION("""COMPUTED_VALUE"""),"Maldives")</f>
        <v>Maldives</v>
      </c>
      <c r="D9772">
        <f>IFERROR(__xludf.DUMMYFUNCTION("""COMPUTED_VALUE"""),1981.0)</f>
        <v>1981</v>
      </c>
      <c r="E9772">
        <f>IFERROR(__xludf.DUMMYFUNCTION("""COMPUTED_VALUE"""),163935.0)</f>
        <v>163935</v>
      </c>
    </row>
    <row r="9773">
      <c r="A9773" t="str">
        <f t="shared" si="1"/>
        <v>mdv#1982</v>
      </c>
      <c r="B9773" t="str">
        <f>IFERROR(__xludf.DUMMYFUNCTION("""COMPUTED_VALUE"""),"mdv")</f>
        <v>mdv</v>
      </c>
      <c r="C9773" t="str">
        <f>IFERROR(__xludf.DUMMYFUNCTION("""COMPUTED_VALUE"""),"Maldives")</f>
        <v>Maldives</v>
      </c>
      <c r="D9773">
        <f>IFERROR(__xludf.DUMMYFUNCTION("""COMPUTED_VALUE"""),1982.0)</f>
        <v>1982</v>
      </c>
      <c r="E9773">
        <f>IFERROR(__xludf.DUMMYFUNCTION("""COMPUTED_VALUE"""),169960.0)</f>
        <v>169960</v>
      </c>
    </row>
    <row r="9774">
      <c r="A9774" t="str">
        <f t="shared" si="1"/>
        <v>mdv#1983</v>
      </c>
      <c r="B9774" t="str">
        <f>IFERROR(__xludf.DUMMYFUNCTION("""COMPUTED_VALUE"""),"mdv")</f>
        <v>mdv</v>
      </c>
      <c r="C9774" t="str">
        <f>IFERROR(__xludf.DUMMYFUNCTION("""COMPUTED_VALUE"""),"Maldives")</f>
        <v>Maldives</v>
      </c>
      <c r="D9774">
        <f>IFERROR(__xludf.DUMMYFUNCTION("""COMPUTED_VALUE"""),1983.0)</f>
        <v>1983</v>
      </c>
      <c r="E9774">
        <f>IFERROR(__xludf.DUMMYFUNCTION("""COMPUTED_VALUE"""),176356.0)</f>
        <v>176356</v>
      </c>
    </row>
    <row r="9775">
      <c r="A9775" t="str">
        <f t="shared" si="1"/>
        <v>mdv#1984</v>
      </c>
      <c r="B9775" t="str">
        <f>IFERROR(__xludf.DUMMYFUNCTION("""COMPUTED_VALUE"""),"mdv")</f>
        <v>mdv</v>
      </c>
      <c r="C9775" t="str">
        <f>IFERROR(__xludf.DUMMYFUNCTION("""COMPUTED_VALUE"""),"Maldives")</f>
        <v>Maldives</v>
      </c>
      <c r="D9775">
        <f>IFERROR(__xludf.DUMMYFUNCTION("""COMPUTED_VALUE"""),1984.0)</f>
        <v>1984</v>
      </c>
      <c r="E9775">
        <f>IFERROR(__xludf.DUMMYFUNCTION("""COMPUTED_VALUE"""),182953.0)</f>
        <v>182953</v>
      </c>
    </row>
    <row r="9776">
      <c r="A9776" t="str">
        <f t="shared" si="1"/>
        <v>mdv#1985</v>
      </c>
      <c r="B9776" t="str">
        <f>IFERROR(__xludf.DUMMYFUNCTION("""COMPUTED_VALUE"""),"mdv")</f>
        <v>mdv</v>
      </c>
      <c r="C9776" t="str">
        <f>IFERROR(__xludf.DUMMYFUNCTION("""COMPUTED_VALUE"""),"Maldives")</f>
        <v>Maldives</v>
      </c>
      <c r="D9776">
        <f>IFERROR(__xludf.DUMMYFUNCTION("""COMPUTED_VALUE"""),1985.0)</f>
        <v>1985</v>
      </c>
      <c r="E9776">
        <f>IFERROR(__xludf.DUMMYFUNCTION("""COMPUTED_VALUE"""),189637.0)</f>
        <v>189637</v>
      </c>
    </row>
    <row r="9777">
      <c r="A9777" t="str">
        <f t="shared" si="1"/>
        <v>mdv#1986</v>
      </c>
      <c r="B9777" t="str">
        <f>IFERROR(__xludf.DUMMYFUNCTION("""COMPUTED_VALUE"""),"mdv")</f>
        <v>mdv</v>
      </c>
      <c r="C9777" t="str">
        <f>IFERROR(__xludf.DUMMYFUNCTION("""COMPUTED_VALUE"""),"Maldives")</f>
        <v>Maldives</v>
      </c>
      <c r="D9777">
        <f>IFERROR(__xludf.DUMMYFUNCTION("""COMPUTED_VALUE"""),1986.0)</f>
        <v>1986</v>
      </c>
      <c r="E9777">
        <f>IFERROR(__xludf.DUMMYFUNCTION("""COMPUTED_VALUE"""),196357.0)</f>
        <v>196357</v>
      </c>
    </row>
    <row r="9778">
      <c r="A9778" t="str">
        <f t="shared" si="1"/>
        <v>mdv#1987</v>
      </c>
      <c r="B9778" t="str">
        <f>IFERROR(__xludf.DUMMYFUNCTION("""COMPUTED_VALUE"""),"mdv")</f>
        <v>mdv</v>
      </c>
      <c r="C9778" t="str">
        <f>IFERROR(__xludf.DUMMYFUNCTION("""COMPUTED_VALUE"""),"Maldives")</f>
        <v>Maldives</v>
      </c>
      <c r="D9778">
        <f>IFERROR(__xludf.DUMMYFUNCTION("""COMPUTED_VALUE"""),1987.0)</f>
        <v>1987</v>
      </c>
      <c r="E9778">
        <f>IFERROR(__xludf.DUMMYFUNCTION("""COMPUTED_VALUE"""),203124.0)</f>
        <v>203124</v>
      </c>
    </row>
    <row r="9779">
      <c r="A9779" t="str">
        <f t="shared" si="1"/>
        <v>mdv#1988</v>
      </c>
      <c r="B9779" t="str">
        <f>IFERROR(__xludf.DUMMYFUNCTION("""COMPUTED_VALUE"""),"mdv")</f>
        <v>mdv</v>
      </c>
      <c r="C9779" t="str">
        <f>IFERROR(__xludf.DUMMYFUNCTION("""COMPUTED_VALUE"""),"Maldives")</f>
        <v>Maldives</v>
      </c>
      <c r="D9779">
        <f>IFERROR(__xludf.DUMMYFUNCTION("""COMPUTED_VALUE"""),1988.0)</f>
        <v>1988</v>
      </c>
      <c r="E9779">
        <f>IFERROR(__xludf.DUMMYFUNCTION("""COMPUTED_VALUE"""),209885.0)</f>
        <v>209885</v>
      </c>
    </row>
    <row r="9780">
      <c r="A9780" t="str">
        <f t="shared" si="1"/>
        <v>mdv#1989</v>
      </c>
      <c r="B9780" t="str">
        <f>IFERROR(__xludf.DUMMYFUNCTION("""COMPUTED_VALUE"""),"mdv")</f>
        <v>mdv</v>
      </c>
      <c r="C9780" t="str">
        <f>IFERROR(__xludf.DUMMYFUNCTION("""COMPUTED_VALUE"""),"Maldives")</f>
        <v>Maldives</v>
      </c>
      <c r="D9780">
        <f>IFERROR(__xludf.DUMMYFUNCTION("""COMPUTED_VALUE"""),1989.0)</f>
        <v>1989</v>
      </c>
      <c r="E9780">
        <f>IFERROR(__xludf.DUMMYFUNCTION("""COMPUTED_VALUE"""),216595.0)</f>
        <v>216595</v>
      </c>
    </row>
    <row r="9781">
      <c r="A9781" t="str">
        <f t="shared" si="1"/>
        <v>mdv#1990</v>
      </c>
      <c r="B9781" t="str">
        <f>IFERROR(__xludf.DUMMYFUNCTION("""COMPUTED_VALUE"""),"mdv")</f>
        <v>mdv</v>
      </c>
      <c r="C9781" t="str">
        <f>IFERROR(__xludf.DUMMYFUNCTION("""COMPUTED_VALUE"""),"Maldives")</f>
        <v>Maldives</v>
      </c>
      <c r="D9781">
        <f>IFERROR(__xludf.DUMMYFUNCTION("""COMPUTED_VALUE"""),1990.0)</f>
        <v>1990</v>
      </c>
      <c r="E9781">
        <f>IFERROR(__xludf.DUMMYFUNCTION("""COMPUTED_VALUE"""),223215.0)</f>
        <v>223215</v>
      </c>
    </row>
    <row r="9782">
      <c r="A9782" t="str">
        <f t="shared" si="1"/>
        <v>mdv#1991</v>
      </c>
      <c r="B9782" t="str">
        <f>IFERROR(__xludf.DUMMYFUNCTION("""COMPUTED_VALUE"""),"mdv")</f>
        <v>mdv</v>
      </c>
      <c r="C9782" t="str">
        <f>IFERROR(__xludf.DUMMYFUNCTION("""COMPUTED_VALUE"""),"Maldives")</f>
        <v>Maldives</v>
      </c>
      <c r="D9782">
        <f>IFERROR(__xludf.DUMMYFUNCTION("""COMPUTED_VALUE"""),1991.0)</f>
        <v>1991</v>
      </c>
      <c r="E9782">
        <f>IFERROR(__xludf.DUMMYFUNCTION("""COMPUTED_VALUE"""),229754.0)</f>
        <v>229754</v>
      </c>
    </row>
    <row r="9783">
      <c r="A9783" t="str">
        <f t="shared" si="1"/>
        <v>mdv#1992</v>
      </c>
      <c r="B9783" t="str">
        <f>IFERROR(__xludf.DUMMYFUNCTION("""COMPUTED_VALUE"""),"mdv")</f>
        <v>mdv</v>
      </c>
      <c r="C9783" t="str">
        <f>IFERROR(__xludf.DUMMYFUNCTION("""COMPUTED_VALUE"""),"Maldives")</f>
        <v>Maldives</v>
      </c>
      <c r="D9783">
        <f>IFERROR(__xludf.DUMMYFUNCTION("""COMPUTED_VALUE"""),1992.0)</f>
        <v>1992</v>
      </c>
      <c r="E9783">
        <f>IFERROR(__xludf.DUMMYFUNCTION("""COMPUTED_VALUE"""),236190.0)</f>
        <v>236190</v>
      </c>
    </row>
    <row r="9784">
      <c r="A9784" t="str">
        <f t="shared" si="1"/>
        <v>mdv#1993</v>
      </c>
      <c r="B9784" t="str">
        <f>IFERROR(__xludf.DUMMYFUNCTION("""COMPUTED_VALUE"""),"mdv")</f>
        <v>mdv</v>
      </c>
      <c r="C9784" t="str">
        <f>IFERROR(__xludf.DUMMYFUNCTION("""COMPUTED_VALUE"""),"Maldives")</f>
        <v>Maldives</v>
      </c>
      <c r="D9784">
        <f>IFERROR(__xludf.DUMMYFUNCTION("""COMPUTED_VALUE"""),1993.0)</f>
        <v>1993</v>
      </c>
      <c r="E9784">
        <f>IFERROR(__xludf.DUMMYFUNCTION("""COMPUTED_VALUE"""),242459.0)</f>
        <v>242459</v>
      </c>
    </row>
    <row r="9785">
      <c r="A9785" t="str">
        <f t="shared" si="1"/>
        <v>mdv#1994</v>
      </c>
      <c r="B9785" t="str">
        <f>IFERROR(__xludf.DUMMYFUNCTION("""COMPUTED_VALUE"""),"mdv")</f>
        <v>mdv</v>
      </c>
      <c r="C9785" t="str">
        <f>IFERROR(__xludf.DUMMYFUNCTION("""COMPUTED_VALUE"""),"Maldives")</f>
        <v>Maldives</v>
      </c>
      <c r="D9785">
        <f>IFERROR(__xludf.DUMMYFUNCTION("""COMPUTED_VALUE"""),1994.0)</f>
        <v>1994</v>
      </c>
      <c r="E9785">
        <f>IFERROR(__xludf.DUMMYFUNCTION("""COMPUTED_VALUE"""),248433.0)</f>
        <v>248433</v>
      </c>
    </row>
    <row r="9786">
      <c r="A9786" t="str">
        <f t="shared" si="1"/>
        <v>mdv#1995</v>
      </c>
      <c r="B9786" t="str">
        <f>IFERROR(__xludf.DUMMYFUNCTION("""COMPUTED_VALUE"""),"mdv")</f>
        <v>mdv</v>
      </c>
      <c r="C9786" t="str">
        <f>IFERROR(__xludf.DUMMYFUNCTION("""COMPUTED_VALUE"""),"Maldives")</f>
        <v>Maldives</v>
      </c>
      <c r="D9786">
        <f>IFERROR(__xludf.DUMMYFUNCTION("""COMPUTED_VALUE"""),1995.0)</f>
        <v>1995</v>
      </c>
      <c r="E9786">
        <f>IFERROR(__xludf.DUMMYFUNCTION("""COMPUTED_VALUE"""),254082.0)</f>
        <v>254082</v>
      </c>
    </row>
    <row r="9787">
      <c r="A9787" t="str">
        <f t="shared" si="1"/>
        <v>mdv#1996</v>
      </c>
      <c r="B9787" t="str">
        <f>IFERROR(__xludf.DUMMYFUNCTION("""COMPUTED_VALUE"""),"mdv")</f>
        <v>mdv</v>
      </c>
      <c r="C9787" t="str">
        <f>IFERROR(__xludf.DUMMYFUNCTION("""COMPUTED_VALUE"""),"Maldives")</f>
        <v>Maldives</v>
      </c>
      <c r="D9787">
        <f>IFERROR(__xludf.DUMMYFUNCTION("""COMPUTED_VALUE"""),1996.0)</f>
        <v>1996</v>
      </c>
      <c r="E9787">
        <f>IFERROR(__xludf.DUMMYFUNCTION("""COMPUTED_VALUE"""),259327.0)</f>
        <v>259327</v>
      </c>
    </row>
    <row r="9788">
      <c r="A9788" t="str">
        <f t="shared" si="1"/>
        <v>mdv#1997</v>
      </c>
      <c r="B9788" t="str">
        <f>IFERROR(__xludf.DUMMYFUNCTION("""COMPUTED_VALUE"""),"mdv")</f>
        <v>mdv</v>
      </c>
      <c r="C9788" t="str">
        <f>IFERROR(__xludf.DUMMYFUNCTION("""COMPUTED_VALUE"""),"Maldives")</f>
        <v>Maldives</v>
      </c>
      <c r="D9788">
        <f>IFERROR(__xludf.DUMMYFUNCTION("""COMPUTED_VALUE"""),1997.0)</f>
        <v>1997</v>
      </c>
      <c r="E9788">
        <f>IFERROR(__xludf.DUMMYFUNCTION("""COMPUTED_VALUE"""),264275.0)</f>
        <v>264275</v>
      </c>
    </row>
    <row r="9789">
      <c r="A9789" t="str">
        <f t="shared" si="1"/>
        <v>mdv#1998</v>
      </c>
      <c r="B9789" t="str">
        <f>IFERROR(__xludf.DUMMYFUNCTION("""COMPUTED_VALUE"""),"mdv")</f>
        <v>mdv</v>
      </c>
      <c r="C9789" t="str">
        <f>IFERROR(__xludf.DUMMYFUNCTION("""COMPUTED_VALUE"""),"Maldives")</f>
        <v>Maldives</v>
      </c>
      <c r="D9789">
        <f>IFERROR(__xludf.DUMMYFUNCTION("""COMPUTED_VALUE"""),1998.0)</f>
        <v>1998</v>
      </c>
      <c r="E9789">
        <f>IFERROR(__xludf.DUMMYFUNCTION("""COMPUTED_VALUE"""),269206.0)</f>
        <v>269206</v>
      </c>
    </row>
    <row r="9790">
      <c r="A9790" t="str">
        <f t="shared" si="1"/>
        <v>mdv#1999</v>
      </c>
      <c r="B9790" t="str">
        <f>IFERROR(__xludf.DUMMYFUNCTION("""COMPUTED_VALUE"""),"mdv")</f>
        <v>mdv</v>
      </c>
      <c r="C9790" t="str">
        <f>IFERROR(__xludf.DUMMYFUNCTION("""COMPUTED_VALUE"""),"Maldives")</f>
        <v>Maldives</v>
      </c>
      <c r="D9790">
        <f>IFERROR(__xludf.DUMMYFUNCTION("""COMPUTED_VALUE"""),1999.0)</f>
        <v>1999</v>
      </c>
      <c r="E9790">
        <f>IFERROR(__xludf.DUMMYFUNCTION("""COMPUTED_VALUE"""),274484.0)</f>
        <v>274484</v>
      </c>
    </row>
    <row r="9791">
      <c r="A9791" t="str">
        <f t="shared" si="1"/>
        <v>mdv#2000</v>
      </c>
      <c r="B9791" t="str">
        <f>IFERROR(__xludf.DUMMYFUNCTION("""COMPUTED_VALUE"""),"mdv")</f>
        <v>mdv</v>
      </c>
      <c r="C9791" t="str">
        <f>IFERROR(__xludf.DUMMYFUNCTION("""COMPUTED_VALUE"""),"Maldives")</f>
        <v>Maldives</v>
      </c>
      <c r="D9791">
        <f>IFERROR(__xludf.DUMMYFUNCTION("""COMPUTED_VALUE"""),2000.0)</f>
        <v>2000</v>
      </c>
      <c r="E9791">
        <f>IFERROR(__xludf.DUMMYFUNCTION("""COMPUTED_VALUE"""),280384.0)</f>
        <v>280384</v>
      </c>
    </row>
    <row r="9792">
      <c r="A9792" t="str">
        <f t="shared" si="1"/>
        <v>mdv#2001</v>
      </c>
      <c r="B9792" t="str">
        <f>IFERROR(__xludf.DUMMYFUNCTION("""COMPUTED_VALUE"""),"mdv")</f>
        <v>mdv</v>
      </c>
      <c r="C9792" t="str">
        <f>IFERROR(__xludf.DUMMYFUNCTION("""COMPUTED_VALUE"""),"Maldives")</f>
        <v>Maldives</v>
      </c>
      <c r="D9792">
        <f>IFERROR(__xludf.DUMMYFUNCTION("""COMPUTED_VALUE"""),2001.0)</f>
        <v>2001</v>
      </c>
      <c r="E9792">
        <f>IFERROR(__xludf.DUMMYFUNCTION("""COMPUTED_VALUE"""),287027.0)</f>
        <v>287027</v>
      </c>
    </row>
    <row r="9793">
      <c r="A9793" t="str">
        <f t="shared" si="1"/>
        <v>mdv#2002</v>
      </c>
      <c r="B9793" t="str">
        <f>IFERROR(__xludf.DUMMYFUNCTION("""COMPUTED_VALUE"""),"mdv")</f>
        <v>mdv</v>
      </c>
      <c r="C9793" t="str">
        <f>IFERROR(__xludf.DUMMYFUNCTION("""COMPUTED_VALUE"""),"Maldives")</f>
        <v>Maldives</v>
      </c>
      <c r="D9793">
        <f>IFERROR(__xludf.DUMMYFUNCTION("""COMPUTED_VALUE"""),2002.0)</f>
        <v>2002</v>
      </c>
      <c r="E9793">
        <f>IFERROR(__xludf.DUMMYFUNCTION("""COMPUTED_VALUE"""),294341.0)</f>
        <v>294341</v>
      </c>
    </row>
    <row r="9794">
      <c r="A9794" t="str">
        <f t="shared" si="1"/>
        <v>mdv#2003</v>
      </c>
      <c r="B9794" t="str">
        <f>IFERROR(__xludf.DUMMYFUNCTION("""COMPUTED_VALUE"""),"mdv")</f>
        <v>mdv</v>
      </c>
      <c r="C9794" t="str">
        <f>IFERROR(__xludf.DUMMYFUNCTION("""COMPUTED_VALUE"""),"Maldives")</f>
        <v>Maldives</v>
      </c>
      <c r="D9794">
        <f>IFERROR(__xludf.DUMMYFUNCTION("""COMPUTED_VALUE"""),2003.0)</f>
        <v>2003</v>
      </c>
      <c r="E9794">
        <f>IFERROR(__xludf.DUMMYFUNCTION("""COMPUTED_VALUE"""),302209.0)</f>
        <v>302209</v>
      </c>
    </row>
    <row r="9795">
      <c r="A9795" t="str">
        <f t="shared" si="1"/>
        <v>mdv#2004</v>
      </c>
      <c r="B9795" t="str">
        <f>IFERROR(__xludf.DUMMYFUNCTION("""COMPUTED_VALUE"""),"mdv")</f>
        <v>mdv</v>
      </c>
      <c r="C9795" t="str">
        <f>IFERROR(__xludf.DUMMYFUNCTION("""COMPUTED_VALUE"""),"Maldives")</f>
        <v>Maldives</v>
      </c>
      <c r="D9795">
        <f>IFERROR(__xludf.DUMMYFUNCTION("""COMPUTED_VALUE"""),2004.0)</f>
        <v>2004</v>
      </c>
      <c r="E9795">
        <f>IFERROR(__xludf.DUMMYFUNCTION("""COMPUTED_VALUE"""),310423.0)</f>
        <v>310423</v>
      </c>
    </row>
    <row r="9796">
      <c r="A9796" t="str">
        <f t="shared" si="1"/>
        <v>mdv#2005</v>
      </c>
      <c r="B9796" t="str">
        <f>IFERROR(__xludf.DUMMYFUNCTION("""COMPUTED_VALUE"""),"mdv")</f>
        <v>mdv</v>
      </c>
      <c r="C9796" t="str">
        <f>IFERROR(__xludf.DUMMYFUNCTION("""COMPUTED_VALUE"""),"Maldives")</f>
        <v>Maldives</v>
      </c>
      <c r="D9796">
        <f>IFERROR(__xludf.DUMMYFUNCTION("""COMPUTED_VALUE"""),2005.0)</f>
        <v>2005</v>
      </c>
      <c r="E9796">
        <f>IFERROR(__xludf.DUMMYFUNCTION("""COMPUTED_VALUE"""),318836.0)</f>
        <v>318836</v>
      </c>
    </row>
    <row r="9797">
      <c r="A9797" t="str">
        <f t="shared" si="1"/>
        <v>mdv#2006</v>
      </c>
      <c r="B9797" t="str">
        <f>IFERROR(__xludf.DUMMYFUNCTION("""COMPUTED_VALUE"""),"mdv")</f>
        <v>mdv</v>
      </c>
      <c r="C9797" t="str">
        <f>IFERROR(__xludf.DUMMYFUNCTION("""COMPUTED_VALUE"""),"Maldives")</f>
        <v>Maldives</v>
      </c>
      <c r="D9797">
        <f>IFERROR(__xludf.DUMMYFUNCTION("""COMPUTED_VALUE"""),2006.0)</f>
        <v>2006</v>
      </c>
      <c r="E9797">
        <f>IFERROR(__xludf.DUMMYFUNCTION("""COMPUTED_VALUE"""),327371.0)</f>
        <v>327371</v>
      </c>
    </row>
    <row r="9798">
      <c r="A9798" t="str">
        <f t="shared" si="1"/>
        <v>mdv#2007</v>
      </c>
      <c r="B9798" t="str">
        <f>IFERROR(__xludf.DUMMYFUNCTION("""COMPUTED_VALUE"""),"mdv")</f>
        <v>mdv</v>
      </c>
      <c r="C9798" t="str">
        <f>IFERROR(__xludf.DUMMYFUNCTION("""COMPUTED_VALUE"""),"Maldives")</f>
        <v>Maldives</v>
      </c>
      <c r="D9798">
        <f>IFERROR(__xludf.DUMMYFUNCTION("""COMPUTED_VALUE"""),2007.0)</f>
        <v>2007</v>
      </c>
      <c r="E9798">
        <f>IFERROR(__xludf.DUMMYFUNCTION("""COMPUTED_VALUE"""),336070.0)</f>
        <v>336070</v>
      </c>
    </row>
    <row r="9799">
      <c r="A9799" t="str">
        <f t="shared" si="1"/>
        <v>mdv#2008</v>
      </c>
      <c r="B9799" t="str">
        <f>IFERROR(__xludf.DUMMYFUNCTION("""COMPUTED_VALUE"""),"mdv")</f>
        <v>mdv</v>
      </c>
      <c r="C9799" t="str">
        <f>IFERROR(__xludf.DUMMYFUNCTION("""COMPUTED_VALUE"""),"Maldives")</f>
        <v>Maldives</v>
      </c>
      <c r="D9799">
        <f>IFERROR(__xludf.DUMMYFUNCTION("""COMPUTED_VALUE"""),2008.0)</f>
        <v>2008</v>
      </c>
      <c r="E9799">
        <f>IFERROR(__xludf.DUMMYFUNCTION("""COMPUTED_VALUE"""),345054.0)</f>
        <v>345054</v>
      </c>
    </row>
    <row r="9800">
      <c r="A9800" t="str">
        <f t="shared" si="1"/>
        <v>mdv#2009</v>
      </c>
      <c r="B9800" t="str">
        <f>IFERROR(__xludf.DUMMYFUNCTION("""COMPUTED_VALUE"""),"mdv")</f>
        <v>mdv</v>
      </c>
      <c r="C9800" t="str">
        <f>IFERROR(__xludf.DUMMYFUNCTION("""COMPUTED_VALUE"""),"Maldives")</f>
        <v>Maldives</v>
      </c>
      <c r="D9800">
        <f>IFERROR(__xludf.DUMMYFUNCTION("""COMPUTED_VALUE"""),2009.0)</f>
        <v>2009</v>
      </c>
      <c r="E9800">
        <f>IFERROR(__xludf.DUMMYFUNCTION("""COMPUTED_VALUE"""),354501.0)</f>
        <v>354501</v>
      </c>
    </row>
    <row r="9801">
      <c r="A9801" t="str">
        <f t="shared" si="1"/>
        <v>mdv#2010</v>
      </c>
      <c r="B9801" t="str">
        <f>IFERROR(__xludf.DUMMYFUNCTION("""COMPUTED_VALUE"""),"mdv")</f>
        <v>mdv</v>
      </c>
      <c r="C9801" t="str">
        <f>IFERROR(__xludf.DUMMYFUNCTION("""COMPUTED_VALUE"""),"Maldives")</f>
        <v>Maldives</v>
      </c>
      <c r="D9801">
        <f>IFERROR(__xludf.DUMMYFUNCTION("""COMPUTED_VALUE"""),2010.0)</f>
        <v>2010</v>
      </c>
      <c r="E9801">
        <f>IFERROR(__xludf.DUMMYFUNCTION("""COMPUTED_VALUE"""),364511.0)</f>
        <v>364511</v>
      </c>
    </row>
    <row r="9802">
      <c r="A9802" t="str">
        <f t="shared" si="1"/>
        <v>mdv#2011</v>
      </c>
      <c r="B9802" t="str">
        <f>IFERROR(__xludf.DUMMYFUNCTION("""COMPUTED_VALUE"""),"mdv")</f>
        <v>mdv</v>
      </c>
      <c r="C9802" t="str">
        <f>IFERROR(__xludf.DUMMYFUNCTION("""COMPUTED_VALUE"""),"Maldives")</f>
        <v>Maldives</v>
      </c>
      <c r="D9802">
        <f>IFERROR(__xludf.DUMMYFUNCTION("""COMPUTED_VALUE"""),2011.0)</f>
        <v>2011</v>
      </c>
      <c r="E9802">
        <f>IFERROR(__xludf.DUMMYFUNCTION("""COMPUTED_VALUE"""),375131.0)</f>
        <v>375131</v>
      </c>
    </row>
    <row r="9803">
      <c r="A9803" t="str">
        <f t="shared" si="1"/>
        <v>mdv#2012</v>
      </c>
      <c r="B9803" t="str">
        <f>IFERROR(__xludf.DUMMYFUNCTION("""COMPUTED_VALUE"""),"mdv")</f>
        <v>mdv</v>
      </c>
      <c r="C9803" t="str">
        <f>IFERROR(__xludf.DUMMYFUNCTION("""COMPUTED_VALUE"""),"Maldives")</f>
        <v>Maldives</v>
      </c>
      <c r="D9803">
        <f>IFERROR(__xludf.DUMMYFUNCTION("""COMPUTED_VALUE"""),2012.0)</f>
        <v>2012</v>
      </c>
      <c r="E9803">
        <f>IFERROR(__xludf.DUMMYFUNCTION("""COMPUTED_VALUE"""),386203.0)</f>
        <v>386203</v>
      </c>
    </row>
    <row r="9804">
      <c r="A9804" t="str">
        <f t="shared" si="1"/>
        <v>mdv#2013</v>
      </c>
      <c r="B9804" t="str">
        <f>IFERROR(__xludf.DUMMYFUNCTION("""COMPUTED_VALUE"""),"mdv")</f>
        <v>mdv</v>
      </c>
      <c r="C9804" t="str">
        <f>IFERROR(__xludf.DUMMYFUNCTION("""COMPUTED_VALUE"""),"Maldives")</f>
        <v>Maldives</v>
      </c>
      <c r="D9804">
        <f>IFERROR(__xludf.DUMMYFUNCTION("""COMPUTED_VALUE"""),2013.0)</f>
        <v>2013</v>
      </c>
      <c r="E9804">
        <f>IFERROR(__xludf.DUMMYFUNCTION("""COMPUTED_VALUE"""),397397.0)</f>
        <v>397397</v>
      </c>
    </row>
    <row r="9805">
      <c r="A9805" t="str">
        <f t="shared" si="1"/>
        <v>mdv#2014</v>
      </c>
      <c r="B9805" t="str">
        <f>IFERROR(__xludf.DUMMYFUNCTION("""COMPUTED_VALUE"""),"mdv")</f>
        <v>mdv</v>
      </c>
      <c r="C9805" t="str">
        <f>IFERROR(__xludf.DUMMYFUNCTION("""COMPUTED_VALUE"""),"Maldives")</f>
        <v>Maldives</v>
      </c>
      <c r="D9805">
        <f>IFERROR(__xludf.DUMMYFUNCTION("""COMPUTED_VALUE"""),2014.0)</f>
        <v>2014</v>
      </c>
      <c r="E9805">
        <f>IFERROR(__xludf.DUMMYFUNCTION("""COMPUTED_VALUE"""),408247.0)</f>
        <v>408247</v>
      </c>
    </row>
    <row r="9806">
      <c r="A9806" t="str">
        <f t="shared" si="1"/>
        <v>mdv#2015</v>
      </c>
      <c r="B9806" t="str">
        <f>IFERROR(__xludf.DUMMYFUNCTION("""COMPUTED_VALUE"""),"mdv")</f>
        <v>mdv</v>
      </c>
      <c r="C9806" t="str">
        <f>IFERROR(__xludf.DUMMYFUNCTION("""COMPUTED_VALUE"""),"Maldives")</f>
        <v>Maldives</v>
      </c>
      <c r="D9806">
        <f>IFERROR(__xludf.DUMMYFUNCTION("""COMPUTED_VALUE"""),2015.0)</f>
        <v>2015</v>
      </c>
      <c r="E9806">
        <f>IFERROR(__xludf.DUMMYFUNCTION("""COMPUTED_VALUE"""),418403.0)</f>
        <v>418403</v>
      </c>
    </row>
    <row r="9807">
      <c r="A9807" t="str">
        <f t="shared" si="1"/>
        <v>mdv#2016</v>
      </c>
      <c r="B9807" t="str">
        <f>IFERROR(__xludf.DUMMYFUNCTION("""COMPUTED_VALUE"""),"mdv")</f>
        <v>mdv</v>
      </c>
      <c r="C9807" t="str">
        <f>IFERROR(__xludf.DUMMYFUNCTION("""COMPUTED_VALUE"""),"Maldives")</f>
        <v>Maldives</v>
      </c>
      <c r="D9807">
        <f>IFERROR(__xludf.DUMMYFUNCTION("""COMPUTED_VALUE"""),2016.0)</f>
        <v>2016</v>
      </c>
      <c r="E9807">
        <f>IFERROR(__xludf.DUMMYFUNCTION("""COMPUTED_VALUE"""),427756.0)</f>
        <v>427756</v>
      </c>
    </row>
    <row r="9808">
      <c r="A9808" t="str">
        <f t="shared" si="1"/>
        <v>mdv#2017</v>
      </c>
      <c r="B9808" t="str">
        <f>IFERROR(__xludf.DUMMYFUNCTION("""COMPUTED_VALUE"""),"mdv")</f>
        <v>mdv</v>
      </c>
      <c r="C9808" t="str">
        <f>IFERROR(__xludf.DUMMYFUNCTION("""COMPUTED_VALUE"""),"Maldives")</f>
        <v>Maldives</v>
      </c>
      <c r="D9808">
        <f>IFERROR(__xludf.DUMMYFUNCTION("""COMPUTED_VALUE"""),2017.0)</f>
        <v>2017</v>
      </c>
      <c r="E9808">
        <f>IFERROR(__xludf.DUMMYFUNCTION("""COMPUTED_VALUE"""),436330.0)</f>
        <v>436330</v>
      </c>
    </row>
    <row r="9809">
      <c r="A9809" t="str">
        <f t="shared" si="1"/>
        <v>mdv#2018</v>
      </c>
      <c r="B9809" t="str">
        <f>IFERROR(__xludf.DUMMYFUNCTION("""COMPUTED_VALUE"""),"mdv")</f>
        <v>mdv</v>
      </c>
      <c r="C9809" t="str">
        <f>IFERROR(__xludf.DUMMYFUNCTION("""COMPUTED_VALUE"""),"Maldives")</f>
        <v>Maldives</v>
      </c>
      <c r="D9809">
        <f>IFERROR(__xludf.DUMMYFUNCTION("""COMPUTED_VALUE"""),2018.0)</f>
        <v>2018</v>
      </c>
      <c r="E9809">
        <f>IFERROR(__xludf.DUMMYFUNCTION("""COMPUTED_VALUE"""),444259.0)</f>
        <v>444259</v>
      </c>
    </row>
    <row r="9810">
      <c r="A9810" t="str">
        <f t="shared" si="1"/>
        <v>mdv#2019</v>
      </c>
      <c r="B9810" t="str">
        <f>IFERROR(__xludf.DUMMYFUNCTION("""COMPUTED_VALUE"""),"mdv")</f>
        <v>mdv</v>
      </c>
      <c r="C9810" t="str">
        <f>IFERROR(__xludf.DUMMYFUNCTION("""COMPUTED_VALUE"""),"Maldives")</f>
        <v>Maldives</v>
      </c>
      <c r="D9810">
        <f>IFERROR(__xludf.DUMMYFUNCTION("""COMPUTED_VALUE"""),2019.0)</f>
        <v>2019</v>
      </c>
      <c r="E9810">
        <f>IFERROR(__xludf.DUMMYFUNCTION("""COMPUTED_VALUE"""),451738.0)</f>
        <v>451738</v>
      </c>
    </row>
    <row r="9811">
      <c r="A9811" t="str">
        <f t="shared" si="1"/>
        <v>mdv#2020</v>
      </c>
      <c r="B9811" t="str">
        <f>IFERROR(__xludf.DUMMYFUNCTION("""COMPUTED_VALUE"""),"mdv")</f>
        <v>mdv</v>
      </c>
      <c r="C9811" t="str">
        <f>IFERROR(__xludf.DUMMYFUNCTION("""COMPUTED_VALUE"""),"Maldives")</f>
        <v>Maldives</v>
      </c>
      <c r="D9811">
        <f>IFERROR(__xludf.DUMMYFUNCTION("""COMPUTED_VALUE"""),2020.0)</f>
        <v>2020</v>
      </c>
      <c r="E9811">
        <f>IFERROR(__xludf.DUMMYFUNCTION("""COMPUTED_VALUE"""),458909.0)</f>
        <v>458909</v>
      </c>
    </row>
    <row r="9812">
      <c r="A9812" t="str">
        <f t="shared" si="1"/>
        <v>mdv#2021</v>
      </c>
      <c r="B9812" t="str">
        <f>IFERROR(__xludf.DUMMYFUNCTION("""COMPUTED_VALUE"""),"mdv")</f>
        <v>mdv</v>
      </c>
      <c r="C9812" t="str">
        <f>IFERROR(__xludf.DUMMYFUNCTION("""COMPUTED_VALUE"""),"Maldives")</f>
        <v>Maldives</v>
      </c>
      <c r="D9812">
        <f>IFERROR(__xludf.DUMMYFUNCTION("""COMPUTED_VALUE"""),2021.0)</f>
        <v>2021</v>
      </c>
      <c r="E9812">
        <f>IFERROR(__xludf.DUMMYFUNCTION("""COMPUTED_VALUE"""),465782.0)</f>
        <v>465782</v>
      </c>
    </row>
    <row r="9813">
      <c r="A9813" t="str">
        <f t="shared" si="1"/>
        <v>mdv#2022</v>
      </c>
      <c r="B9813" t="str">
        <f>IFERROR(__xludf.DUMMYFUNCTION("""COMPUTED_VALUE"""),"mdv")</f>
        <v>mdv</v>
      </c>
      <c r="C9813" t="str">
        <f>IFERROR(__xludf.DUMMYFUNCTION("""COMPUTED_VALUE"""),"Maldives")</f>
        <v>Maldives</v>
      </c>
      <c r="D9813">
        <f>IFERROR(__xludf.DUMMYFUNCTION("""COMPUTED_VALUE"""),2022.0)</f>
        <v>2022</v>
      </c>
      <c r="E9813">
        <f>IFERROR(__xludf.DUMMYFUNCTION("""COMPUTED_VALUE"""),472334.0)</f>
        <v>472334</v>
      </c>
    </row>
    <row r="9814">
      <c r="A9814" t="str">
        <f t="shared" si="1"/>
        <v>mdv#2023</v>
      </c>
      <c r="B9814" t="str">
        <f>IFERROR(__xludf.DUMMYFUNCTION("""COMPUTED_VALUE"""),"mdv")</f>
        <v>mdv</v>
      </c>
      <c r="C9814" t="str">
        <f>IFERROR(__xludf.DUMMYFUNCTION("""COMPUTED_VALUE"""),"Maldives")</f>
        <v>Maldives</v>
      </c>
      <c r="D9814">
        <f>IFERROR(__xludf.DUMMYFUNCTION("""COMPUTED_VALUE"""),2023.0)</f>
        <v>2023</v>
      </c>
      <c r="E9814">
        <f>IFERROR(__xludf.DUMMYFUNCTION("""COMPUTED_VALUE"""),478508.0)</f>
        <v>478508</v>
      </c>
    </row>
    <row r="9815">
      <c r="A9815" t="str">
        <f t="shared" si="1"/>
        <v>mdv#2024</v>
      </c>
      <c r="B9815" t="str">
        <f>IFERROR(__xludf.DUMMYFUNCTION("""COMPUTED_VALUE"""),"mdv")</f>
        <v>mdv</v>
      </c>
      <c r="C9815" t="str">
        <f>IFERROR(__xludf.DUMMYFUNCTION("""COMPUTED_VALUE"""),"Maldives")</f>
        <v>Maldives</v>
      </c>
      <c r="D9815">
        <f>IFERROR(__xludf.DUMMYFUNCTION("""COMPUTED_VALUE"""),2024.0)</f>
        <v>2024</v>
      </c>
      <c r="E9815">
        <f>IFERROR(__xludf.DUMMYFUNCTION("""COMPUTED_VALUE"""),484309.0)</f>
        <v>484309</v>
      </c>
    </row>
    <row r="9816">
      <c r="A9816" t="str">
        <f t="shared" si="1"/>
        <v>mdv#2025</v>
      </c>
      <c r="B9816" t="str">
        <f>IFERROR(__xludf.DUMMYFUNCTION("""COMPUTED_VALUE"""),"mdv")</f>
        <v>mdv</v>
      </c>
      <c r="C9816" t="str">
        <f>IFERROR(__xludf.DUMMYFUNCTION("""COMPUTED_VALUE"""),"Maldives")</f>
        <v>Maldives</v>
      </c>
      <c r="D9816">
        <f>IFERROR(__xludf.DUMMYFUNCTION("""COMPUTED_VALUE"""),2025.0)</f>
        <v>2025</v>
      </c>
      <c r="E9816">
        <f>IFERROR(__xludf.DUMMYFUNCTION("""COMPUTED_VALUE"""),489695.0)</f>
        <v>489695</v>
      </c>
    </row>
    <row r="9817">
      <c r="A9817" t="str">
        <f t="shared" si="1"/>
        <v>mdv#2026</v>
      </c>
      <c r="B9817" t="str">
        <f>IFERROR(__xludf.DUMMYFUNCTION("""COMPUTED_VALUE"""),"mdv")</f>
        <v>mdv</v>
      </c>
      <c r="C9817" t="str">
        <f>IFERROR(__xludf.DUMMYFUNCTION("""COMPUTED_VALUE"""),"Maldives")</f>
        <v>Maldives</v>
      </c>
      <c r="D9817">
        <f>IFERROR(__xludf.DUMMYFUNCTION("""COMPUTED_VALUE"""),2026.0)</f>
        <v>2026</v>
      </c>
      <c r="E9817">
        <f>IFERROR(__xludf.DUMMYFUNCTION("""COMPUTED_VALUE"""),494699.0)</f>
        <v>494699</v>
      </c>
    </row>
    <row r="9818">
      <c r="A9818" t="str">
        <f t="shared" si="1"/>
        <v>mdv#2027</v>
      </c>
      <c r="B9818" t="str">
        <f>IFERROR(__xludf.DUMMYFUNCTION("""COMPUTED_VALUE"""),"mdv")</f>
        <v>mdv</v>
      </c>
      <c r="C9818" t="str">
        <f>IFERROR(__xludf.DUMMYFUNCTION("""COMPUTED_VALUE"""),"Maldives")</f>
        <v>Maldives</v>
      </c>
      <c r="D9818">
        <f>IFERROR(__xludf.DUMMYFUNCTION("""COMPUTED_VALUE"""),2027.0)</f>
        <v>2027</v>
      </c>
      <c r="E9818">
        <f>IFERROR(__xludf.DUMMYFUNCTION("""COMPUTED_VALUE"""),499335.0)</f>
        <v>499335</v>
      </c>
    </row>
    <row r="9819">
      <c r="A9819" t="str">
        <f t="shared" si="1"/>
        <v>mdv#2028</v>
      </c>
      <c r="B9819" t="str">
        <f>IFERROR(__xludf.DUMMYFUNCTION("""COMPUTED_VALUE"""),"mdv")</f>
        <v>mdv</v>
      </c>
      <c r="C9819" t="str">
        <f>IFERROR(__xludf.DUMMYFUNCTION("""COMPUTED_VALUE"""),"Maldives")</f>
        <v>Maldives</v>
      </c>
      <c r="D9819">
        <f>IFERROR(__xludf.DUMMYFUNCTION("""COMPUTED_VALUE"""),2028.0)</f>
        <v>2028</v>
      </c>
      <c r="E9819">
        <f>IFERROR(__xludf.DUMMYFUNCTION("""COMPUTED_VALUE"""),503688.0)</f>
        <v>503688</v>
      </c>
    </row>
    <row r="9820">
      <c r="A9820" t="str">
        <f t="shared" si="1"/>
        <v>mdv#2029</v>
      </c>
      <c r="B9820" t="str">
        <f>IFERROR(__xludf.DUMMYFUNCTION("""COMPUTED_VALUE"""),"mdv")</f>
        <v>mdv</v>
      </c>
      <c r="C9820" t="str">
        <f>IFERROR(__xludf.DUMMYFUNCTION("""COMPUTED_VALUE"""),"Maldives")</f>
        <v>Maldives</v>
      </c>
      <c r="D9820">
        <f>IFERROR(__xludf.DUMMYFUNCTION("""COMPUTED_VALUE"""),2029.0)</f>
        <v>2029</v>
      </c>
      <c r="E9820">
        <f>IFERROR(__xludf.DUMMYFUNCTION("""COMPUTED_VALUE"""),507806.0)</f>
        <v>507806</v>
      </c>
    </row>
    <row r="9821">
      <c r="A9821" t="str">
        <f t="shared" si="1"/>
        <v>mdv#2030</v>
      </c>
      <c r="B9821" t="str">
        <f>IFERROR(__xludf.DUMMYFUNCTION("""COMPUTED_VALUE"""),"mdv")</f>
        <v>mdv</v>
      </c>
      <c r="C9821" t="str">
        <f>IFERROR(__xludf.DUMMYFUNCTION("""COMPUTED_VALUE"""),"Maldives")</f>
        <v>Maldives</v>
      </c>
      <c r="D9821">
        <f>IFERROR(__xludf.DUMMYFUNCTION("""COMPUTED_VALUE"""),2030.0)</f>
        <v>2030</v>
      </c>
      <c r="E9821">
        <f>IFERROR(__xludf.DUMMYFUNCTION("""COMPUTED_VALUE"""),511766.0)</f>
        <v>511766</v>
      </c>
    </row>
    <row r="9822">
      <c r="A9822" t="str">
        <f t="shared" si="1"/>
        <v>mdv#2031</v>
      </c>
      <c r="B9822" t="str">
        <f>IFERROR(__xludf.DUMMYFUNCTION("""COMPUTED_VALUE"""),"mdv")</f>
        <v>mdv</v>
      </c>
      <c r="C9822" t="str">
        <f>IFERROR(__xludf.DUMMYFUNCTION("""COMPUTED_VALUE"""),"Maldives")</f>
        <v>Maldives</v>
      </c>
      <c r="D9822">
        <f>IFERROR(__xludf.DUMMYFUNCTION("""COMPUTED_VALUE"""),2031.0)</f>
        <v>2031</v>
      </c>
      <c r="E9822">
        <f>IFERROR(__xludf.DUMMYFUNCTION("""COMPUTED_VALUE"""),515596.0)</f>
        <v>515596</v>
      </c>
    </row>
    <row r="9823">
      <c r="A9823" t="str">
        <f t="shared" si="1"/>
        <v>mdv#2032</v>
      </c>
      <c r="B9823" t="str">
        <f>IFERROR(__xludf.DUMMYFUNCTION("""COMPUTED_VALUE"""),"mdv")</f>
        <v>mdv</v>
      </c>
      <c r="C9823" t="str">
        <f>IFERROR(__xludf.DUMMYFUNCTION("""COMPUTED_VALUE"""),"Maldives")</f>
        <v>Maldives</v>
      </c>
      <c r="D9823">
        <f>IFERROR(__xludf.DUMMYFUNCTION("""COMPUTED_VALUE"""),2032.0)</f>
        <v>2032</v>
      </c>
      <c r="E9823">
        <f>IFERROR(__xludf.DUMMYFUNCTION("""COMPUTED_VALUE"""),519304.0)</f>
        <v>519304</v>
      </c>
    </row>
    <row r="9824">
      <c r="A9824" t="str">
        <f t="shared" si="1"/>
        <v>mdv#2033</v>
      </c>
      <c r="B9824" t="str">
        <f>IFERROR(__xludf.DUMMYFUNCTION("""COMPUTED_VALUE"""),"mdv")</f>
        <v>mdv</v>
      </c>
      <c r="C9824" t="str">
        <f>IFERROR(__xludf.DUMMYFUNCTION("""COMPUTED_VALUE"""),"Maldives")</f>
        <v>Maldives</v>
      </c>
      <c r="D9824">
        <f>IFERROR(__xludf.DUMMYFUNCTION("""COMPUTED_VALUE"""),2033.0)</f>
        <v>2033</v>
      </c>
      <c r="E9824">
        <f>IFERROR(__xludf.DUMMYFUNCTION("""COMPUTED_VALUE"""),522911.0)</f>
        <v>522911</v>
      </c>
    </row>
    <row r="9825">
      <c r="A9825" t="str">
        <f t="shared" si="1"/>
        <v>mdv#2034</v>
      </c>
      <c r="B9825" t="str">
        <f>IFERROR(__xludf.DUMMYFUNCTION("""COMPUTED_VALUE"""),"mdv")</f>
        <v>mdv</v>
      </c>
      <c r="C9825" t="str">
        <f>IFERROR(__xludf.DUMMYFUNCTION("""COMPUTED_VALUE"""),"Maldives")</f>
        <v>Maldives</v>
      </c>
      <c r="D9825">
        <f>IFERROR(__xludf.DUMMYFUNCTION("""COMPUTED_VALUE"""),2034.0)</f>
        <v>2034</v>
      </c>
      <c r="E9825">
        <f>IFERROR(__xludf.DUMMYFUNCTION("""COMPUTED_VALUE"""),526456.0)</f>
        <v>526456</v>
      </c>
    </row>
    <row r="9826">
      <c r="A9826" t="str">
        <f t="shared" si="1"/>
        <v>mdv#2035</v>
      </c>
      <c r="B9826" t="str">
        <f>IFERROR(__xludf.DUMMYFUNCTION("""COMPUTED_VALUE"""),"mdv")</f>
        <v>mdv</v>
      </c>
      <c r="C9826" t="str">
        <f>IFERROR(__xludf.DUMMYFUNCTION("""COMPUTED_VALUE"""),"Maldives")</f>
        <v>Maldives</v>
      </c>
      <c r="D9826">
        <f>IFERROR(__xludf.DUMMYFUNCTION("""COMPUTED_VALUE"""),2035.0)</f>
        <v>2035</v>
      </c>
      <c r="E9826">
        <f>IFERROR(__xludf.DUMMYFUNCTION("""COMPUTED_VALUE"""),529943.0)</f>
        <v>529943</v>
      </c>
    </row>
    <row r="9827">
      <c r="A9827" t="str">
        <f t="shared" si="1"/>
        <v>mdv#2036</v>
      </c>
      <c r="B9827" t="str">
        <f>IFERROR(__xludf.DUMMYFUNCTION("""COMPUTED_VALUE"""),"mdv")</f>
        <v>mdv</v>
      </c>
      <c r="C9827" t="str">
        <f>IFERROR(__xludf.DUMMYFUNCTION("""COMPUTED_VALUE"""),"Maldives")</f>
        <v>Maldives</v>
      </c>
      <c r="D9827">
        <f>IFERROR(__xludf.DUMMYFUNCTION("""COMPUTED_VALUE"""),2036.0)</f>
        <v>2036</v>
      </c>
      <c r="E9827">
        <f>IFERROR(__xludf.DUMMYFUNCTION("""COMPUTED_VALUE"""),533391.0)</f>
        <v>533391</v>
      </c>
    </row>
    <row r="9828">
      <c r="A9828" t="str">
        <f t="shared" si="1"/>
        <v>mdv#2037</v>
      </c>
      <c r="B9828" t="str">
        <f>IFERROR(__xludf.DUMMYFUNCTION("""COMPUTED_VALUE"""),"mdv")</f>
        <v>mdv</v>
      </c>
      <c r="C9828" t="str">
        <f>IFERROR(__xludf.DUMMYFUNCTION("""COMPUTED_VALUE"""),"Maldives")</f>
        <v>Maldives</v>
      </c>
      <c r="D9828">
        <f>IFERROR(__xludf.DUMMYFUNCTION("""COMPUTED_VALUE"""),2037.0)</f>
        <v>2037</v>
      </c>
      <c r="E9828">
        <f>IFERROR(__xludf.DUMMYFUNCTION("""COMPUTED_VALUE"""),536815.0)</f>
        <v>536815</v>
      </c>
    </row>
    <row r="9829">
      <c r="A9829" t="str">
        <f t="shared" si="1"/>
        <v>mdv#2038</v>
      </c>
      <c r="B9829" t="str">
        <f>IFERROR(__xludf.DUMMYFUNCTION("""COMPUTED_VALUE"""),"mdv")</f>
        <v>mdv</v>
      </c>
      <c r="C9829" t="str">
        <f>IFERROR(__xludf.DUMMYFUNCTION("""COMPUTED_VALUE"""),"Maldives")</f>
        <v>Maldives</v>
      </c>
      <c r="D9829">
        <f>IFERROR(__xludf.DUMMYFUNCTION("""COMPUTED_VALUE"""),2038.0)</f>
        <v>2038</v>
      </c>
      <c r="E9829">
        <f>IFERROR(__xludf.DUMMYFUNCTION("""COMPUTED_VALUE"""),540219.0)</f>
        <v>540219</v>
      </c>
    </row>
    <row r="9830">
      <c r="A9830" t="str">
        <f t="shared" si="1"/>
        <v>mdv#2039</v>
      </c>
      <c r="B9830" t="str">
        <f>IFERROR(__xludf.DUMMYFUNCTION("""COMPUTED_VALUE"""),"mdv")</f>
        <v>mdv</v>
      </c>
      <c r="C9830" t="str">
        <f>IFERROR(__xludf.DUMMYFUNCTION("""COMPUTED_VALUE"""),"Maldives")</f>
        <v>Maldives</v>
      </c>
      <c r="D9830">
        <f>IFERROR(__xludf.DUMMYFUNCTION("""COMPUTED_VALUE"""),2039.0)</f>
        <v>2039</v>
      </c>
      <c r="E9830">
        <f>IFERROR(__xludf.DUMMYFUNCTION("""COMPUTED_VALUE"""),543603.0)</f>
        <v>543603</v>
      </c>
    </row>
    <row r="9831">
      <c r="A9831" t="str">
        <f t="shared" si="1"/>
        <v>mdv#2040</v>
      </c>
      <c r="B9831" t="str">
        <f>IFERROR(__xludf.DUMMYFUNCTION("""COMPUTED_VALUE"""),"mdv")</f>
        <v>mdv</v>
      </c>
      <c r="C9831" t="str">
        <f>IFERROR(__xludf.DUMMYFUNCTION("""COMPUTED_VALUE"""),"Maldives")</f>
        <v>Maldives</v>
      </c>
      <c r="D9831">
        <f>IFERROR(__xludf.DUMMYFUNCTION("""COMPUTED_VALUE"""),2040.0)</f>
        <v>2040</v>
      </c>
      <c r="E9831">
        <f>IFERROR(__xludf.DUMMYFUNCTION("""COMPUTED_VALUE"""),546961.0)</f>
        <v>546961</v>
      </c>
    </row>
    <row r="9832">
      <c r="A9832" t="str">
        <f t="shared" si="1"/>
        <v>mli#1950</v>
      </c>
      <c r="B9832" t="str">
        <f>IFERROR(__xludf.DUMMYFUNCTION("""COMPUTED_VALUE"""),"mli")</f>
        <v>mli</v>
      </c>
      <c r="C9832" t="str">
        <f>IFERROR(__xludf.DUMMYFUNCTION("""COMPUTED_VALUE"""),"Mali")</f>
        <v>Mali</v>
      </c>
      <c r="D9832">
        <f>IFERROR(__xludf.DUMMYFUNCTION("""COMPUTED_VALUE"""),1950.0)</f>
        <v>1950</v>
      </c>
      <c r="E9832">
        <f>IFERROR(__xludf.DUMMYFUNCTION("""COMPUTED_VALUE"""),4708429.0)</f>
        <v>4708429</v>
      </c>
    </row>
    <row r="9833">
      <c r="A9833" t="str">
        <f t="shared" si="1"/>
        <v>mli#1951</v>
      </c>
      <c r="B9833" t="str">
        <f>IFERROR(__xludf.DUMMYFUNCTION("""COMPUTED_VALUE"""),"mli")</f>
        <v>mli</v>
      </c>
      <c r="C9833" t="str">
        <f>IFERROR(__xludf.DUMMYFUNCTION("""COMPUTED_VALUE"""),"Mali")</f>
        <v>Mali</v>
      </c>
      <c r="D9833">
        <f>IFERROR(__xludf.DUMMYFUNCTION("""COMPUTED_VALUE"""),1951.0)</f>
        <v>1951</v>
      </c>
      <c r="E9833">
        <f>IFERROR(__xludf.DUMMYFUNCTION("""COMPUTED_VALUE"""),4759036.0)</f>
        <v>4759036</v>
      </c>
    </row>
    <row r="9834">
      <c r="A9834" t="str">
        <f t="shared" si="1"/>
        <v>mli#1952</v>
      </c>
      <c r="B9834" t="str">
        <f>IFERROR(__xludf.DUMMYFUNCTION("""COMPUTED_VALUE"""),"mli")</f>
        <v>mli</v>
      </c>
      <c r="C9834" t="str">
        <f>IFERROR(__xludf.DUMMYFUNCTION("""COMPUTED_VALUE"""),"Mali")</f>
        <v>Mali</v>
      </c>
      <c r="D9834">
        <f>IFERROR(__xludf.DUMMYFUNCTION("""COMPUTED_VALUE"""),1952.0)</f>
        <v>1952</v>
      </c>
      <c r="E9834">
        <f>IFERROR(__xludf.DUMMYFUNCTION("""COMPUTED_VALUE"""),4811199.0)</f>
        <v>4811199</v>
      </c>
    </row>
    <row r="9835">
      <c r="A9835" t="str">
        <f t="shared" si="1"/>
        <v>mli#1953</v>
      </c>
      <c r="B9835" t="str">
        <f>IFERROR(__xludf.DUMMYFUNCTION("""COMPUTED_VALUE"""),"mli")</f>
        <v>mli</v>
      </c>
      <c r="C9835" t="str">
        <f>IFERROR(__xludf.DUMMYFUNCTION("""COMPUTED_VALUE"""),"Mali")</f>
        <v>Mali</v>
      </c>
      <c r="D9835">
        <f>IFERROR(__xludf.DUMMYFUNCTION("""COMPUTED_VALUE"""),1953.0)</f>
        <v>1953</v>
      </c>
      <c r="E9835">
        <f>IFERROR(__xludf.DUMMYFUNCTION("""COMPUTED_VALUE"""),4864755.0)</f>
        <v>4864755</v>
      </c>
    </row>
    <row r="9836">
      <c r="A9836" t="str">
        <f t="shared" si="1"/>
        <v>mli#1954</v>
      </c>
      <c r="B9836" t="str">
        <f>IFERROR(__xludf.DUMMYFUNCTION("""COMPUTED_VALUE"""),"mli")</f>
        <v>mli</v>
      </c>
      <c r="C9836" t="str">
        <f>IFERROR(__xludf.DUMMYFUNCTION("""COMPUTED_VALUE"""),"Mali")</f>
        <v>Mali</v>
      </c>
      <c r="D9836">
        <f>IFERROR(__xludf.DUMMYFUNCTION("""COMPUTED_VALUE"""),1954.0)</f>
        <v>1954</v>
      </c>
      <c r="E9836">
        <f>IFERROR(__xludf.DUMMYFUNCTION("""COMPUTED_VALUE"""),4919547.0)</f>
        <v>4919547</v>
      </c>
    </row>
    <row r="9837">
      <c r="A9837" t="str">
        <f t="shared" si="1"/>
        <v>mli#1955</v>
      </c>
      <c r="B9837" t="str">
        <f>IFERROR(__xludf.DUMMYFUNCTION("""COMPUTED_VALUE"""),"mli")</f>
        <v>mli</v>
      </c>
      <c r="C9837" t="str">
        <f>IFERROR(__xludf.DUMMYFUNCTION("""COMPUTED_VALUE"""),"Mali")</f>
        <v>Mali</v>
      </c>
      <c r="D9837">
        <f>IFERROR(__xludf.DUMMYFUNCTION("""COMPUTED_VALUE"""),1955.0)</f>
        <v>1955</v>
      </c>
      <c r="E9837">
        <f>IFERROR(__xludf.DUMMYFUNCTION("""COMPUTED_VALUE"""),4975398.0)</f>
        <v>4975398</v>
      </c>
    </row>
    <row r="9838">
      <c r="A9838" t="str">
        <f t="shared" si="1"/>
        <v>mli#1956</v>
      </c>
      <c r="B9838" t="str">
        <f>IFERROR(__xludf.DUMMYFUNCTION("""COMPUTED_VALUE"""),"mli")</f>
        <v>mli</v>
      </c>
      <c r="C9838" t="str">
        <f>IFERROR(__xludf.DUMMYFUNCTION("""COMPUTED_VALUE"""),"Mali")</f>
        <v>Mali</v>
      </c>
      <c r="D9838">
        <f>IFERROR(__xludf.DUMMYFUNCTION("""COMPUTED_VALUE"""),1956.0)</f>
        <v>1956</v>
      </c>
      <c r="E9838">
        <f>IFERROR(__xludf.DUMMYFUNCTION("""COMPUTED_VALUE"""),5032123.0)</f>
        <v>5032123</v>
      </c>
    </row>
    <row r="9839">
      <c r="A9839" t="str">
        <f t="shared" si="1"/>
        <v>mli#1957</v>
      </c>
      <c r="B9839" t="str">
        <f>IFERROR(__xludf.DUMMYFUNCTION("""COMPUTED_VALUE"""),"mli")</f>
        <v>mli</v>
      </c>
      <c r="C9839" t="str">
        <f>IFERROR(__xludf.DUMMYFUNCTION("""COMPUTED_VALUE"""),"Mali")</f>
        <v>Mali</v>
      </c>
      <c r="D9839">
        <f>IFERROR(__xludf.DUMMYFUNCTION("""COMPUTED_VALUE"""),1957.0)</f>
        <v>1957</v>
      </c>
      <c r="E9839">
        <f>IFERROR(__xludf.DUMMYFUNCTION("""COMPUTED_VALUE"""),5089509.0)</f>
        <v>5089509</v>
      </c>
    </row>
    <row r="9840">
      <c r="A9840" t="str">
        <f t="shared" si="1"/>
        <v>mli#1958</v>
      </c>
      <c r="B9840" t="str">
        <f>IFERROR(__xludf.DUMMYFUNCTION("""COMPUTED_VALUE"""),"mli")</f>
        <v>mli</v>
      </c>
      <c r="C9840" t="str">
        <f>IFERROR(__xludf.DUMMYFUNCTION("""COMPUTED_VALUE"""),"Mali")</f>
        <v>Mali</v>
      </c>
      <c r="D9840">
        <f>IFERROR(__xludf.DUMMYFUNCTION("""COMPUTED_VALUE"""),1958.0)</f>
        <v>1958</v>
      </c>
      <c r="E9840">
        <f>IFERROR(__xludf.DUMMYFUNCTION("""COMPUTED_VALUE"""),5147348.0)</f>
        <v>5147348</v>
      </c>
    </row>
    <row r="9841">
      <c r="A9841" t="str">
        <f t="shared" si="1"/>
        <v>mli#1959</v>
      </c>
      <c r="B9841" t="str">
        <f>IFERROR(__xludf.DUMMYFUNCTION("""COMPUTED_VALUE"""),"mli")</f>
        <v>mli</v>
      </c>
      <c r="C9841" t="str">
        <f>IFERROR(__xludf.DUMMYFUNCTION("""COMPUTED_VALUE"""),"Mali")</f>
        <v>Mali</v>
      </c>
      <c r="D9841">
        <f>IFERROR(__xludf.DUMMYFUNCTION("""COMPUTED_VALUE"""),1959.0)</f>
        <v>1959</v>
      </c>
      <c r="E9841">
        <f>IFERROR(__xludf.DUMMYFUNCTION("""COMPUTED_VALUE"""),5205449.0)</f>
        <v>5205449</v>
      </c>
    </row>
    <row r="9842">
      <c r="A9842" t="str">
        <f t="shared" si="1"/>
        <v>mli#1960</v>
      </c>
      <c r="B9842" t="str">
        <f>IFERROR(__xludf.DUMMYFUNCTION("""COMPUTED_VALUE"""),"mli")</f>
        <v>mli</v>
      </c>
      <c r="C9842" t="str">
        <f>IFERROR(__xludf.DUMMYFUNCTION("""COMPUTED_VALUE"""),"Mali")</f>
        <v>Mali</v>
      </c>
      <c r="D9842">
        <f>IFERROR(__xludf.DUMMYFUNCTION("""COMPUTED_VALUE"""),1960.0)</f>
        <v>1960</v>
      </c>
      <c r="E9842">
        <f>IFERROR(__xludf.DUMMYFUNCTION("""COMPUTED_VALUE"""),5263733.0)</f>
        <v>5263733</v>
      </c>
    </row>
    <row r="9843">
      <c r="A9843" t="str">
        <f t="shared" si="1"/>
        <v>mli#1961</v>
      </c>
      <c r="B9843" t="str">
        <f>IFERROR(__xludf.DUMMYFUNCTION("""COMPUTED_VALUE"""),"mli")</f>
        <v>mli</v>
      </c>
      <c r="C9843" t="str">
        <f>IFERROR(__xludf.DUMMYFUNCTION("""COMPUTED_VALUE"""),"Mali")</f>
        <v>Mali</v>
      </c>
      <c r="D9843">
        <f>IFERROR(__xludf.DUMMYFUNCTION("""COMPUTED_VALUE"""),1961.0)</f>
        <v>1961</v>
      </c>
      <c r="E9843">
        <f>IFERROR(__xludf.DUMMYFUNCTION("""COMPUTED_VALUE"""),5322266.0)</f>
        <v>5322266</v>
      </c>
    </row>
    <row r="9844">
      <c r="A9844" t="str">
        <f t="shared" si="1"/>
        <v>mli#1962</v>
      </c>
      <c r="B9844" t="str">
        <f>IFERROR(__xludf.DUMMYFUNCTION("""COMPUTED_VALUE"""),"mli")</f>
        <v>mli</v>
      </c>
      <c r="C9844" t="str">
        <f>IFERROR(__xludf.DUMMYFUNCTION("""COMPUTED_VALUE"""),"Mali")</f>
        <v>Mali</v>
      </c>
      <c r="D9844">
        <f>IFERROR(__xludf.DUMMYFUNCTION("""COMPUTED_VALUE"""),1962.0)</f>
        <v>1962</v>
      </c>
      <c r="E9844">
        <f>IFERROR(__xludf.DUMMYFUNCTION("""COMPUTED_VALUE"""),5381368.0)</f>
        <v>5381368</v>
      </c>
    </row>
    <row r="9845">
      <c r="A9845" t="str">
        <f t="shared" si="1"/>
        <v>mli#1963</v>
      </c>
      <c r="B9845" t="str">
        <f>IFERROR(__xludf.DUMMYFUNCTION("""COMPUTED_VALUE"""),"mli")</f>
        <v>mli</v>
      </c>
      <c r="C9845" t="str">
        <f>IFERROR(__xludf.DUMMYFUNCTION("""COMPUTED_VALUE"""),"Mali")</f>
        <v>Mali</v>
      </c>
      <c r="D9845">
        <f>IFERROR(__xludf.DUMMYFUNCTION("""COMPUTED_VALUE"""),1963.0)</f>
        <v>1963</v>
      </c>
      <c r="E9845">
        <f>IFERROR(__xludf.DUMMYFUNCTION("""COMPUTED_VALUE"""),5441613.0)</f>
        <v>5441613</v>
      </c>
    </row>
    <row r="9846">
      <c r="A9846" t="str">
        <f t="shared" si="1"/>
        <v>mli#1964</v>
      </c>
      <c r="B9846" t="str">
        <f>IFERROR(__xludf.DUMMYFUNCTION("""COMPUTED_VALUE"""),"mli")</f>
        <v>mli</v>
      </c>
      <c r="C9846" t="str">
        <f>IFERROR(__xludf.DUMMYFUNCTION("""COMPUTED_VALUE"""),"Mali")</f>
        <v>Mali</v>
      </c>
      <c r="D9846">
        <f>IFERROR(__xludf.DUMMYFUNCTION("""COMPUTED_VALUE"""),1964.0)</f>
        <v>1964</v>
      </c>
      <c r="E9846">
        <f>IFERROR(__xludf.DUMMYFUNCTION("""COMPUTED_VALUE"""),5503752.0)</f>
        <v>5503752</v>
      </c>
    </row>
    <row r="9847">
      <c r="A9847" t="str">
        <f t="shared" si="1"/>
        <v>mli#1965</v>
      </c>
      <c r="B9847" t="str">
        <f>IFERROR(__xludf.DUMMYFUNCTION("""COMPUTED_VALUE"""),"mli")</f>
        <v>mli</v>
      </c>
      <c r="C9847" t="str">
        <f>IFERROR(__xludf.DUMMYFUNCTION("""COMPUTED_VALUE"""),"Mali")</f>
        <v>Mali</v>
      </c>
      <c r="D9847">
        <f>IFERROR(__xludf.DUMMYFUNCTION("""COMPUTED_VALUE"""),1965.0)</f>
        <v>1965</v>
      </c>
      <c r="E9847">
        <f>IFERROR(__xludf.DUMMYFUNCTION("""COMPUTED_VALUE"""),5568484.0)</f>
        <v>5568484</v>
      </c>
    </row>
    <row r="9848">
      <c r="A9848" t="str">
        <f t="shared" si="1"/>
        <v>mli#1966</v>
      </c>
      <c r="B9848" t="str">
        <f>IFERROR(__xludf.DUMMYFUNCTION("""COMPUTED_VALUE"""),"mli")</f>
        <v>mli</v>
      </c>
      <c r="C9848" t="str">
        <f>IFERROR(__xludf.DUMMYFUNCTION("""COMPUTED_VALUE"""),"Mali")</f>
        <v>Mali</v>
      </c>
      <c r="D9848">
        <f>IFERROR(__xludf.DUMMYFUNCTION("""COMPUTED_VALUE"""),1966.0)</f>
        <v>1966</v>
      </c>
      <c r="E9848">
        <f>IFERROR(__xludf.DUMMYFUNCTION("""COMPUTED_VALUE"""),5635859.0)</f>
        <v>5635859</v>
      </c>
    </row>
    <row r="9849">
      <c r="A9849" t="str">
        <f t="shared" si="1"/>
        <v>mli#1967</v>
      </c>
      <c r="B9849" t="str">
        <f>IFERROR(__xludf.DUMMYFUNCTION("""COMPUTED_VALUE"""),"mli")</f>
        <v>mli</v>
      </c>
      <c r="C9849" t="str">
        <f>IFERROR(__xludf.DUMMYFUNCTION("""COMPUTED_VALUE"""),"Mali")</f>
        <v>Mali</v>
      </c>
      <c r="D9849">
        <f>IFERROR(__xludf.DUMMYFUNCTION("""COMPUTED_VALUE"""),1967.0)</f>
        <v>1967</v>
      </c>
      <c r="E9849">
        <f>IFERROR(__xludf.DUMMYFUNCTION("""COMPUTED_VALUE"""),5706199.0)</f>
        <v>5706199</v>
      </c>
    </row>
    <row r="9850">
      <c r="A9850" t="str">
        <f t="shared" si="1"/>
        <v>mli#1968</v>
      </c>
      <c r="B9850" t="str">
        <f>IFERROR(__xludf.DUMMYFUNCTION("""COMPUTED_VALUE"""),"mli")</f>
        <v>mli</v>
      </c>
      <c r="C9850" t="str">
        <f>IFERROR(__xludf.DUMMYFUNCTION("""COMPUTED_VALUE"""),"Mali")</f>
        <v>Mali</v>
      </c>
      <c r="D9850">
        <f>IFERROR(__xludf.DUMMYFUNCTION("""COMPUTED_VALUE"""),1968.0)</f>
        <v>1968</v>
      </c>
      <c r="E9850">
        <f>IFERROR(__xludf.DUMMYFUNCTION("""COMPUTED_VALUE"""),5780835.0)</f>
        <v>5780835</v>
      </c>
    </row>
    <row r="9851">
      <c r="A9851" t="str">
        <f t="shared" si="1"/>
        <v>mli#1969</v>
      </c>
      <c r="B9851" t="str">
        <f>IFERROR(__xludf.DUMMYFUNCTION("""COMPUTED_VALUE"""),"mli")</f>
        <v>mli</v>
      </c>
      <c r="C9851" t="str">
        <f>IFERROR(__xludf.DUMMYFUNCTION("""COMPUTED_VALUE"""),"Mali")</f>
        <v>Mali</v>
      </c>
      <c r="D9851">
        <f>IFERROR(__xludf.DUMMYFUNCTION("""COMPUTED_VALUE"""),1969.0)</f>
        <v>1969</v>
      </c>
      <c r="E9851">
        <f>IFERROR(__xludf.DUMMYFUNCTION("""COMPUTED_VALUE"""),5861412.0)</f>
        <v>5861412</v>
      </c>
    </row>
    <row r="9852">
      <c r="A9852" t="str">
        <f t="shared" si="1"/>
        <v>mli#1970</v>
      </c>
      <c r="B9852" t="str">
        <f>IFERROR(__xludf.DUMMYFUNCTION("""COMPUTED_VALUE"""),"mli")</f>
        <v>mli</v>
      </c>
      <c r="C9852" t="str">
        <f>IFERROR(__xludf.DUMMYFUNCTION("""COMPUTED_VALUE"""),"Mali")</f>
        <v>Mali</v>
      </c>
      <c r="D9852">
        <f>IFERROR(__xludf.DUMMYFUNCTION("""COMPUTED_VALUE"""),1970.0)</f>
        <v>1970</v>
      </c>
      <c r="E9852">
        <f>IFERROR(__xludf.DUMMYFUNCTION("""COMPUTED_VALUE"""),5949045.0)</f>
        <v>5949045</v>
      </c>
    </row>
    <row r="9853">
      <c r="A9853" t="str">
        <f t="shared" si="1"/>
        <v>mli#1971</v>
      </c>
      <c r="B9853" t="str">
        <f>IFERROR(__xludf.DUMMYFUNCTION("""COMPUTED_VALUE"""),"mli")</f>
        <v>mli</v>
      </c>
      <c r="C9853" t="str">
        <f>IFERROR(__xludf.DUMMYFUNCTION("""COMPUTED_VALUE"""),"Mali")</f>
        <v>Mali</v>
      </c>
      <c r="D9853">
        <f>IFERROR(__xludf.DUMMYFUNCTION("""COMPUTED_VALUE"""),1971.0)</f>
        <v>1971</v>
      </c>
      <c r="E9853">
        <f>IFERROR(__xludf.DUMMYFUNCTION("""COMPUTED_VALUE"""),6044530.0)</f>
        <v>6044530</v>
      </c>
    </row>
    <row r="9854">
      <c r="A9854" t="str">
        <f t="shared" si="1"/>
        <v>mli#1972</v>
      </c>
      <c r="B9854" t="str">
        <f>IFERROR(__xludf.DUMMYFUNCTION("""COMPUTED_VALUE"""),"mli")</f>
        <v>mli</v>
      </c>
      <c r="C9854" t="str">
        <f>IFERROR(__xludf.DUMMYFUNCTION("""COMPUTED_VALUE"""),"Mali")</f>
        <v>Mali</v>
      </c>
      <c r="D9854">
        <f>IFERROR(__xludf.DUMMYFUNCTION("""COMPUTED_VALUE"""),1972.0)</f>
        <v>1972</v>
      </c>
      <c r="E9854">
        <f>IFERROR(__xludf.DUMMYFUNCTION("""COMPUTED_VALUE"""),6147458.0)</f>
        <v>6147458</v>
      </c>
    </row>
    <row r="9855">
      <c r="A9855" t="str">
        <f t="shared" si="1"/>
        <v>mli#1973</v>
      </c>
      <c r="B9855" t="str">
        <f>IFERROR(__xludf.DUMMYFUNCTION("""COMPUTED_VALUE"""),"mli")</f>
        <v>mli</v>
      </c>
      <c r="C9855" t="str">
        <f>IFERROR(__xludf.DUMMYFUNCTION("""COMPUTED_VALUE"""),"Mali")</f>
        <v>Mali</v>
      </c>
      <c r="D9855">
        <f>IFERROR(__xludf.DUMMYFUNCTION("""COMPUTED_VALUE"""),1973.0)</f>
        <v>1973</v>
      </c>
      <c r="E9855">
        <f>IFERROR(__xludf.DUMMYFUNCTION("""COMPUTED_VALUE"""),6256187.0)</f>
        <v>6256187</v>
      </c>
    </row>
    <row r="9856">
      <c r="A9856" t="str">
        <f t="shared" si="1"/>
        <v>mli#1974</v>
      </c>
      <c r="B9856" t="str">
        <f>IFERROR(__xludf.DUMMYFUNCTION("""COMPUTED_VALUE"""),"mli")</f>
        <v>mli</v>
      </c>
      <c r="C9856" t="str">
        <f>IFERROR(__xludf.DUMMYFUNCTION("""COMPUTED_VALUE"""),"Mali")</f>
        <v>Mali</v>
      </c>
      <c r="D9856">
        <f>IFERROR(__xludf.DUMMYFUNCTION("""COMPUTED_VALUE"""),1974.0)</f>
        <v>1974</v>
      </c>
      <c r="E9856">
        <f>IFERROR(__xludf.DUMMYFUNCTION("""COMPUTED_VALUE"""),6368348.0)</f>
        <v>6368348</v>
      </c>
    </row>
    <row r="9857">
      <c r="A9857" t="str">
        <f t="shared" si="1"/>
        <v>mli#1975</v>
      </c>
      <c r="B9857" t="str">
        <f>IFERROR(__xludf.DUMMYFUNCTION("""COMPUTED_VALUE"""),"mli")</f>
        <v>mli</v>
      </c>
      <c r="C9857" t="str">
        <f>IFERROR(__xludf.DUMMYFUNCTION("""COMPUTED_VALUE"""),"Mali")</f>
        <v>Mali</v>
      </c>
      <c r="D9857">
        <f>IFERROR(__xludf.DUMMYFUNCTION("""COMPUTED_VALUE"""),1975.0)</f>
        <v>1975</v>
      </c>
      <c r="E9857">
        <f>IFERROR(__xludf.DUMMYFUNCTION("""COMPUTED_VALUE"""),6482278.0)</f>
        <v>6482278</v>
      </c>
    </row>
    <row r="9858">
      <c r="A9858" t="str">
        <f t="shared" si="1"/>
        <v>mli#1976</v>
      </c>
      <c r="B9858" t="str">
        <f>IFERROR(__xludf.DUMMYFUNCTION("""COMPUTED_VALUE"""),"mli")</f>
        <v>mli</v>
      </c>
      <c r="C9858" t="str">
        <f>IFERROR(__xludf.DUMMYFUNCTION("""COMPUTED_VALUE"""),"Mali")</f>
        <v>Mali</v>
      </c>
      <c r="D9858">
        <f>IFERROR(__xludf.DUMMYFUNCTION("""COMPUTED_VALUE"""),1976.0)</f>
        <v>1976</v>
      </c>
      <c r="E9858">
        <f>IFERROR(__xludf.DUMMYFUNCTION("""COMPUTED_VALUE"""),6596773.0)</f>
        <v>6596773</v>
      </c>
    </row>
    <row r="9859">
      <c r="A9859" t="str">
        <f t="shared" si="1"/>
        <v>mli#1977</v>
      </c>
      <c r="B9859" t="str">
        <f>IFERROR(__xludf.DUMMYFUNCTION("""COMPUTED_VALUE"""),"mli")</f>
        <v>mli</v>
      </c>
      <c r="C9859" t="str">
        <f>IFERROR(__xludf.DUMMYFUNCTION("""COMPUTED_VALUE"""),"Mali")</f>
        <v>Mali</v>
      </c>
      <c r="D9859">
        <f>IFERROR(__xludf.DUMMYFUNCTION("""COMPUTED_VALUE"""),1977.0)</f>
        <v>1977</v>
      </c>
      <c r="E9859">
        <f>IFERROR(__xludf.DUMMYFUNCTION("""COMPUTED_VALUE"""),6712401.0)</f>
        <v>6712401</v>
      </c>
    </row>
    <row r="9860">
      <c r="A9860" t="str">
        <f t="shared" si="1"/>
        <v>mli#1978</v>
      </c>
      <c r="B9860" t="str">
        <f>IFERROR(__xludf.DUMMYFUNCTION("""COMPUTED_VALUE"""),"mli")</f>
        <v>mli</v>
      </c>
      <c r="C9860" t="str">
        <f>IFERROR(__xludf.DUMMYFUNCTION("""COMPUTED_VALUE"""),"Mali")</f>
        <v>Mali</v>
      </c>
      <c r="D9860">
        <f>IFERROR(__xludf.DUMMYFUNCTION("""COMPUTED_VALUE"""),1978.0)</f>
        <v>1978</v>
      </c>
      <c r="E9860">
        <f>IFERROR(__xludf.DUMMYFUNCTION("""COMPUTED_VALUE"""),6831295.0)</f>
        <v>6831295</v>
      </c>
    </row>
    <row r="9861">
      <c r="A9861" t="str">
        <f t="shared" si="1"/>
        <v>mli#1979</v>
      </c>
      <c r="B9861" t="str">
        <f>IFERROR(__xludf.DUMMYFUNCTION("""COMPUTED_VALUE"""),"mli")</f>
        <v>mli</v>
      </c>
      <c r="C9861" t="str">
        <f>IFERROR(__xludf.DUMMYFUNCTION("""COMPUTED_VALUE"""),"Mali")</f>
        <v>Mali</v>
      </c>
      <c r="D9861">
        <f>IFERROR(__xludf.DUMMYFUNCTION("""COMPUTED_VALUE"""),1979.0)</f>
        <v>1979</v>
      </c>
      <c r="E9861">
        <f>IFERROR(__xludf.DUMMYFUNCTION("""COMPUTED_VALUE"""),6956579.0)</f>
        <v>6956579</v>
      </c>
    </row>
    <row r="9862">
      <c r="A9862" t="str">
        <f t="shared" si="1"/>
        <v>mli#1980</v>
      </c>
      <c r="B9862" t="str">
        <f>IFERROR(__xludf.DUMMYFUNCTION("""COMPUTED_VALUE"""),"mli")</f>
        <v>mli</v>
      </c>
      <c r="C9862" t="str">
        <f>IFERROR(__xludf.DUMMYFUNCTION("""COMPUTED_VALUE"""),"Mali")</f>
        <v>Mali</v>
      </c>
      <c r="D9862">
        <f>IFERROR(__xludf.DUMMYFUNCTION("""COMPUTED_VALUE"""),1980.0)</f>
        <v>1980</v>
      </c>
      <c r="E9862">
        <f>IFERROR(__xludf.DUMMYFUNCTION("""COMPUTED_VALUE"""),7090126.0)</f>
        <v>7090126</v>
      </c>
    </row>
    <row r="9863">
      <c r="A9863" t="str">
        <f t="shared" si="1"/>
        <v>mli#1981</v>
      </c>
      <c r="B9863" t="str">
        <f>IFERROR(__xludf.DUMMYFUNCTION("""COMPUTED_VALUE"""),"mli")</f>
        <v>mli</v>
      </c>
      <c r="C9863" t="str">
        <f>IFERROR(__xludf.DUMMYFUNCTION("""COMPUTED_VALUE"""),"Mali")</f>
        <v>Mali</v>
      </c>
      <c r="D9863">
        <f>IFERROR(__xludf.DUMMYFUNCTION("""COMPUTED_VALUE"""),1981.0)</f>
        <v>1981</v>
      </c>
      <c r="E9863">
        <f>IFERROR(__xludf.DUMMYFUNCTION("""COMPUTED_VALUE"""),7234303.0)</f>
        <v>7234303</v>
      </c>
    </row>
    <row r="9864">
      <c r="A9864" t="str">
        <f t="shared" si="1"/>
        <v>mli#1982</v>
      </c>
      <c r="B9864" t="str">
        <f>IFERROR(__xludf.DUMMYFUNCTION("""COMPUTED_VALUE"""),"mli")</f>
        <v>mli</v>
      </c>
      <c r="C9864" t="str">
        <f>IFERROR(__xludf.DUMMYFUNCTION("""COMPUTED_VALUE"""),"Mali")</f>
        <v>Mali</v>
      </c>
      <c r="D9864">
        <f>IFERROR(__xludf.DUMMYFUNCTION("""COMPUTED_VALUE"""),1982.0)</f>
        <v>1982</v>
      </c>
      <c r="E9864">
        <f>IFERROR(__xludf.DUMMYFUNCTION("""COMPUTED_VALUE"""),7387656.0)</f>
        <v>7387656</v>
      </c>
    </row>
    <row r="9865">
      <c r="A9865" t="str">
        <f t="shared" si="1"/>
        <v>mli#1983</v>
      </c>
      <c r="B9865" t="str">
        <f>IFERROR(__xludf.DUMMYFUNCTION("""COMPUTED_VALUE"""),"mli")</f>
        <v>mli</v>
      </c>
      <c r="C9865" t="str">
        <f>IFERROR(__xludf.DUMMYFUNCTION("""COMPUTED_VALUE"""),"Mali")</f>
        <v>Mali</v>
      </c>
      <c r="D9865">
        <f>IFERROR(__xludf.DUMMYFUNCTION("""COMPUTED_VALUE"""),1983.0)</f>
        <v>1983</v>
      </c>
      <c r="E9865">
        <f>IFERROR(__xludf.DUMMYFUNCTION("""COMPUTED_VALUE"""),7543743.0)</f>
        <v>7543743</v>
      </c>
    </row>
    <row r="9866">
      <c r="A9866" t="str">
        <f t="shared" si="1"/>
        <v>mli#1984</v>
      </c>
      <c r="B9866" t="str">
        <f>IFERROR(__xludf.DUMMYFUNCTION("""COMPUTED_VALUE"""),"mli")</f>
        <v>mli</v>
      </c>
      <c r="C9866" t="str">
        <f>IFERROR(__xludf.DUMMYFUNCTION("""COMPUTED_VALUE"""),"Mali")</f>
        <v>Mali</v>
      </c>
      <c r="D9866">
        <f>IFERROR(__xludf.DUMMYFUNCTION("""COMPUTED_VALUE"""),1984.0)</f>
        <v>1984</v>
      </c>
      <c r="E9866">
        <f>IFERROR(__xludf.DUMMYFUNCTION("""COMPUTED_VALUE"""),7693667.0)</f>
        <v>7693667</v>
      </c>
    </row>
    <row r="9867">
      <c r="A9867" t="str">
        <f t="shared" si="1"/>
        <v>mli#1985</v>
      </c>
      <c r="B9867" t="str">
        <f>IFERROR(__xludf.DUMMYFUNCTION("""COMPUTED_VALUE"""),"mli")</f>
        <v>mli</v>
      </c>
      <c r="C9867" t="str">
        <f>IFERROR(__xludf.DUMMYFUNCTION("""COMPUTED_VALUE"""),"Mali")</f>
        <v>Mali</v>
      </c>
      <c r="D9867">
        <f>IFERROR(__xludf.DUMMYFUNCTION("""COMPUTED_VALUE"""),1985.0)</f>
        <v>1985</v>
      </c>
      <c r="E9867">
        <f>IFERROR(__xludf.DUMMYFUNCTION("""COMPUTED_VALUE"""),7831889.0)</f>
        <v>7831889</v>
      </c>
    </row>
    <row r="9868">
      <c r="A9868" t="str">
        <f t="shared" si="1"/>
        <v>mli#1986</v>
      </c>
      <c r="B9868" t="str">
        <f>IFERROR(__xludf.DUMMYFUNCTION("""COMPUTED_VALUE"""),"mli")</f>
        <v>mli</v>
      </c>
      <c r="C9868" t="str">
        <f>IFERROR(__xludf.DUMMYFUNCTION("""COMPUTED_VALUE"""),"Mali")</f>
        <v>Mali</v>
      </c>
      <c r="D9868">
        <f>IFERROR(__xludf.DUMMYFUNCTION("""COMPUTED_VALUE"""),1986.0)</f>
        <v>1986</v>
      </c>
      <c r="E9868">
        <f>IFERROR(__xludf.DUMMYFUNCTION("""COMPUTED_VALUE"""),7955164.0)</f>
        <v>7955164</v>
      </c>
    </row>
    <row r="9869">
      <c r="A9869" t="str">
        <f t="shared" si="1"/>
        <v>mli#1987</v>
      </c>
      <c r="B9869" t="str">
        <f>IFERROR(__xludf.DUMMYFUNCTION("""COMPUTED_VALUE"""),"mli")</f>
        <v>mli</v>
      </c>
      <c r="C9869" t="str">
        <f>IFERROR(__xludf.DUMMYFUNCTION("""COMPUTED_VALUE"""),"Mali")</f>
        <v>Mali</v>
      </c>
      <c r="D9869">
        <f>IFERROR(__xludf.DUMMYFUNCTION("""COMPUTED_VALUE"""),1987.0)</f>
        <v>1987</v>
      </c>
      <c r="E9869">
        <f>IFERROR(__xludf.DUMMYFUNCTION("""COMPUTED_VALUE"""),8067758.0)</f>
        <v>8067758</v>
      </c>
    </row>
    <row r="9870">
      <c r="A9870" t="str">
        <f t="shared" si="1"/>
        <v>mli#1988</v>
      </c>
      <c r="B9870" t="str">
        <f>IFERROR(__xludf.DUMMYFUNCTION("""COMPUTED_VALUE"""),"mli")</f>
        <v>mli</v>
      </c>
      <c r="C9870" t="str">
        <f>IFERROR(__xludf.DUMMYFUNCTION("""COMPUTED_VALUE"""),"Mali")</f>
        <v>Mali</v>
      </c>
      <c r="D9870">
        <f>IFERROR(__xludf.DUMMYFUNCTION("""COMPUTED_VALUE"""),1988.0)</f>
        <v>1988</v>
      </c>
      <c r="E9870">
        <f>IFERROR(__xludf.DUMMYFUNCTION("""COMPUTED_VALUE"""),8180728.0)</f>
        <v>8180728</v>
      </c>
    </row>
    <row r="9871">
      <c r="A9871" t="str">
        <f t="shared" si="1"/>
        <v>mli#1989</v>
      </c>
      <c r="B9871" t="str">
        <f>IFERROR(__xludf.DUMMYFUNCTION("""COMPUTED_VALUE"""),"mli")</f>
        <v>mli</v>
      </c>
      <c r="C9871" t="str">
        <f>IFERROR(__xludf.DUMMYFUNCTION("""COMPUTED_VALUE"""),"Mali")</f>
        <v>Mali</v>
      </c>
      <c r="D9871">
        <f>IFERROR(__xludf.DUMMYFUNCTION("""COMPUTED_VALUE"""),1989.0)</f>
        <v>1989</v>
      </c>
      <c r="E9871">
        <f>IFERROR(__xludf.DUMMYFUNCTION("""COMPUTED_VALUE"""),8309531.0)</f>
        <v>8309531</v>
      </c>
    </row>
    <row r="9872">
      <c r="A9872" t="str">
        <f t="shared" si="1"/>
        <v>mli#1990</v>
      </c>
      <c r="B9872" t="str">
        <f>IFERROR(__xludf.DUMMYFUNCTION("""COMPUTED_VALUE"""),"mli")</f>
        <v>mli</v>
      </c>
      <c r="C9872" t="str">
        <f>IFERROR(__xludf.DUMMYFUNCTION("""COMPUTED_VALUE"""),"Mali")</f>
        <v>Mali</v>
      </c>
      <c r="D9872">
        <f>IFERROR(__xludf.DUMMYFUNCTION("""COMPUTED_VALUE"""),1990.0)</f>
        <v>1990</v>
      </c>
      <c r="E9872">
        <f>IFERROR(__xludf.DUMMYFUNCTION("""COMPUTED_VALUE"""),8465188.0)</f>
        <v>8465188</v>
      </c>
    </row>
    <row r="9873">
      <c r="A9873" t="str">
        <f t="shared" si="1"/>
        <v>mli#1991</v>
      </c>
      <c r="B9873" t="str">
        <f>IFERROR(__xludf.DUMMYFUNCTION("""COMPUTED_VALUE"""),"mli")</f>
        <v>mli</v>
      </c>
      <c r="C9873" t="str">
        <f>IFERROR(__xludf.DUMMYFUNCTION("""COMPUTED_VALUE"""),"Mali")</f>
        <v>Mali</v>
      </c>
      <c r="D9873">
        <f>IFERROR(__xludf.DUMMYFUNCTION("""COMPUTED_VALUE"""),1991.0)</f>
        <v>1991</v>
      </c>
      <c r="E9873">
        <f>IFERROR(__xludf.DUMMYFUNCTION("""COMPUTED_VALUE"""),8652514.0)</f>
        <v>8652514</v>
      </c>
    </row>
    <row r="9874">
      <c r="A9874" t="str">
        <f t="shared" si="1"/>
        <v>mli#1992</v>
      </c>
      <c r="B9874" t="str">
        <f>IFERROR(__xludf.DUMMYFUNCTION("""COMPUTED_VALUE"""),"mli")</f>
        <v>mli</v>
      </c>
      <c r="C9874" t="str">
        <f>IFERROR(__xludf.DUMMYFUNCTION("""COMPUTED_VALUE"""),"Mali")</f>
        <v>Mali</v>
      </c>
      <c r="D9874">
        <f>IFERROR(__xludf.DUMMYFUNCTION("""COMPUTED_VALUE"""),1992.0)</f>
        <v>1992</v>
      </c>
      <c r="E9874">
        <f>IFERROR(__xludf.DUMMYFUNCTION("""COMPUTED_VALUE"""),8868263.0)</f>
        <v>8868263</v>
      </c>
    </row>
    <row r="9875">
      <c r="A9875" t="str">
        <f t="shared" si="1"/>
        <v>mli#1993</v>
      </c>
      <c r="B9875" t="str">
        <f>IFERROR(__xludf.DUMMYFUNCTION("""COMPUTED_VALUE"""),"mli")</f>
        <v>mli</v>
      </c>
      <c r="C9875" t="str">
        <f>IFERROR(__xludf.DUMMYFUNCTION("""COMPUTED_VALUE"""),"Mali")</f>
        <v>Mali</v>
      </c>
      <c r="D9875">
        <f>IFERROR(__xludf.DUMMYFUNCTION("""COMPUTED_VALUE"""),1993.0)</f>
        <v>1993</v>
      </c>
      <c r="E9875">
        <f>IFERROR(__xludf.DUMMYFUNCTION("""COMPUTED_VALUE"""),9105472.0)</f>
        <v>9105472</v>
      </c>
    </row>
    <row r="9876">
      <c r="A9876" t="str">
        <f t="shared" si="1"/>
        <v>mli#1994</v>
      </c>
      <c r="B9876" t="str">
        <f>IFERROR(__xludf.DUMMYFUNCTION("""COMPUTED_VALUE"""),"mli")</f>
        <v>mli</v>
      </c>
      <c r="C9876" t="str">
        <f>IFERROR(__xludf.DUMMYFUNCTION("""COMPUTED_VALUE"""),"Mali")</f>
        <v>Mali</v>
      </c>
      <c r="D9876">
        <f>IFERROR(__xludf.DUMMYFUNCTION("""COMPUTED_VALUE"""),1994.0)</f>
        <v>1994</v>
      </c>
      <c r="E9876">
        <f>IFERROR(__xludf.DUMMYFUNCTION("""COMPUTED_VALUE"""),9353385.0)</f>
        <v>9353385</v>
      </c>
    </row>
    <row r="9877">
      <c r="A9877" t="str">
        <f t="shared" si="1"/>
        <v>mli#1995</v>
      </c>
      <c r="B9877" t="str">
        <f>IFERROR(__xludf.DUMMYFUNCTION("""COMPUTED_VALUE"""),"mli")</f>
        <v>mli</v>
      </c>
      <c r="C9877" t="str">
        <f>IFERROR(__xludf.DUMMYFUNCTION("""COMPUTED_VALUE"""),"Mali")</f>
        <v>Mali</v>
      </c>
      <c r="D9877">
        <f>IFERROR(__xludf.DUMMYFUNCTION("""COMPUTED_VALUE"""),1995.0)</f>
        <v>1995</v>
      </c>
      <c r="E9877">
        <f>IFERROR(__xludf.DUMMYFUNCTION("""COMPUTED_VALUE"""),9604450.0)</f>
        <v>9604450</v>
      </c>
    </row>
    <row r="9878">
      <c r="A9878" t="str">
        <f t="shared" si="1"/>
        <v>mli#1996</v>
      </c>
      <c r="B9878" t="str">
        <f>IFERROR(__xludf.DUMMYFUNCTION("""COMPUTED_VALUE"""),"mli")</f>
        <v>mli</v>
      </c>
      <c r="C9878" t="str">
        <f>IFERROR(__xludf.DUMMYFUNCTION("""COMPUTED_VALUE"""),"Mali")</f>
        <v>Mali</v>
      </c>
      <c r="D9878">
        <f>IFERROR(__xludf.DUMMYFUNCTION("""COMPUTED_VALUE"""),1996.0)</f>
        <v>1996</v>
      </c>
      <c r="E9878">
        <f>IFERROR(__xludf.DUMMYFUNCTION("""COMPUTED_VALUE"""),9856810.0)</f>
        <v>9856810</v>
      </c>
    </row>
    <row r="9879">
      <c r="A9879" t="str">
        <f t="shared" si="1"/>
        <v>mli#1997</v>
      </c>
      <c r="B9879" t="str">
        <f>IFERROR(__xludf.DUMMYFUNCTION("""COMPUTED_VALUE"""),"mli")</f>
        <v>mli</v>
      </c>
      <c r="C9879" t="str">
        <f>IFERROR(__xludf.DUMMYFUNCTION("""COMPUTED_VALUE"""),"Mali")</f>
        <v>Mali</v>
      </c>
      <c r="D9879">
        <f>IFERROR(__xludf.DUMMYFUNCTION("""COMPUTED_VALUE"""),1997.0)</f>
        <v>1997</v>
      </c>
      <c r="E9879">
        <f>IFERROR(__xludf.DUMMYFUNCTION("""COMPUTED_VALUE"""),1.0114094E7)</f>
        <v>10114094</v>
      </c>
    </row>
    <row r="9880">
      <c r="A9880" t="str">
        <f t="shared" si="1"/>
        <v>mli#1998</v>
      </c>
      <c r="B9880" t="str">
        <f>IFERROR(__xludf.DUMMYFUNCTION("""COMPUTED_VALUE"""),"mli")</f>
        <v>mli</v>
      </c>
      <c r="C9880" t="str">
        <f>IFERROR(__xludf.DUMMYFUNCTION("""COMPUTED_VALUE"""),"Mali")</f>
        <v>Mali</v>
      </c>
      <c r="D9880">
        <f>IFERROR(__xludf.DUMMYFUNCTION("""COMPUTED_VALUE"""),1998.0)</f>
        <v>1998</v>
      </c>
      <c r="E9880">
        <f>IFERROR(__xludf.DUMMYFUNCTION("""COMPUTED_VALUE"""),1.0380835E7)</f>
        <v>10380835</v>
      </c>
    </row>
    <row r="9881">
      <c r="A9881" t="str">
        <f t="shared" si="1"/>
        <v>mli#1999</v>
      </c>
      <c r="B9881" t="str">
        <f>IFERROR(__xludf.DUMMYFUNCTION("""COMPUTED_VALUE"""),"mli")</f>
        <v>mli</v>
      </c>
      <c r="C9881" t="str">
        <f>IFERROR(__xludf.DUMMYFUNCTION("""COMPUTED_VALUE"""),"Mali")</f>
        <v>Mali</v>
      </c>
      <c r="D9881">
        <f>IFERROR(__xludf.DUMMYFUNCTION("""COMPUTED_VALUE"""),1999.0)</f>
        <v>1999</v>
      </c>
      <c r="E9881">
        <f>IFERROR(__xludf.DUMMYFUNCTION("""COMPUTED_VALUE"""),1.0663723E7)</f>
        <v>10663723</v>
      </c>
    </row>
    <row r="9882">
      <c r="A9882" t="str">
        <f t="shared" si="1"/>
        <v>mli#2000</v>
      </c>
      <c r="B9882" t="str">
        <f>IFERROR(__xludf.DUMMYFUNCTION("""COMPUTED_VALUE"""),"mli")</f>
        <v>mli</v>
      </c>
      <c r="C9882" t="str">
        <f>IFERROR(__xludf.DUMMYFUNCTION("""COMPUTED_VALUE"""),"Mali")</f>
        <v>Mali</v>
      </c>
      <c r="D9882">
        <f>IFERROR(__xludf.DUMMYFUNCTION("""COMPUTED_VALUE"""),2000.0)</f>
        <v>2000</v>
      </c>
      <c r="E9882">
        <f>IFERROR(__xludf.DUMMYFUNCTION("""COMPUTED_VALUE"""),1.096769E7)</f>
        <v>10967690</v>
      </c>
    </row>
    <row r="9883">
      <c r="A9883" t="str">
        <f t="shared" si="1"/>
        <v>mli#2001</v>
      </c>
      <c r="B9883" t="str">
        <f>IFERROR(__xludf.DUMMYFUNCTION("""COMPUTED_VALUE"""),"mli")</f>
        <v>mli</v>
      </c>
      <c r="C9883" t="str">
        <f>IFERROR(__xludf.DUMMYFUNCTION("""COMPUTED_VALUE"""),"Mali")</f>
        <v>Mali</v>
      </c>
      <c r="D9883">
        <f>IFERROR(__xludf.DUMMYFUNCTION("""COMPUTED_VALUE"""),2001.0)</f>
        <v>2001</v>
      </c>
      <c r="E9883">
        <f>IFERROR(__xludf.DUMMYFUNCTION("""COMPUTED_VALUE"""),1.1293258E7)</f>
        <v>11293258</v>
      </c>
    </row>
    <row r="9884">
      <c r="A9884" t="str">
        <f t="shared" si="1"/>
        <v>mli#2002</v>
      </c>
      <c r="B9884" t="str">
        <f>IFERROR(__xludf.DUMMYFUNCTION("""COMPUTED_VALUE"""),"mli")</f>
        <v>mli</v>
      </c>
      <c r="C9884" t="str">
        <f>IFERROR(__xludf.DUMMYFUNCTION("""COMPUTED_VALUE"""),"Mali")</f>
        <v>Mali</v>
      </c>
      <c r="D9884">
        <f>IFERROR(__xludf.DUMMYFUNCTION("""COMPUTED_VALUE"""),2002.0)</f>
        <v>2002</v>
      </c>
      <c r="E9884">
        <f>IFERROR(__xludf.DUMMYFUNCTION("""COMPUTED_VALUE"""),1.1638929E7)</f>
        <v>11638929</v>
      </c>
    </row>
    <row r="9885">
      <c r="A9885" t="str">
        <f t="shared" si="1"/>
        <v>mli#2003</v>
      </c>
      <c r="B9885" t="str">
        <f>IFERROR(__xludf.DUMMYFUNCTION("""COMPUTED_VALUE"""),"mli")</f>
        <v>mli</v>
      </c>
      <c r="C9885" t="str">
        <f>IFERROR(__xludf.DUMMYFUNCTION("""COMPUTED_VALUE"""),"Mali")</f>
        <v>Mali</v>
      </c>
      <c r="D9885">
        <f>IFERROR(__xludf.DUMMYFUNCTION("""COMPUTED_VALUE"""),2003.0)</f>
        <v>2003</v>
      </c>
      <c r="E9885">
        <f>IFERROR(__xludf.DUMMYFUNCTION("""COMPUTED_VALUE"""),1.2005128E7)</f>
        <v>12005128</v>
      </c>
    </row>
    <row r="9886">
      <c r="A9886" t="str">
        <f t="shared" si="1"/>
        <v>mli#2004</v>
      </c>
      <c r="B9886" t="str">
        <f>IFERROR(__xludf.DUMMYFUNCTION("""COMPUTED_VALUE"""),"mli")</f>
        <v>mli</v>
      </c>
      <c r="C9886" t="str">
        <f>IFERROR(__xludf.DUMMYFUNCTION("""COMPUTED_VALUE"""),"Mali")</f>
        <v>Mali</v>
      </c>
      <c r="D9886">
        <f>IFERROR(__xludf.DUMMYFUNCTION("""COMPUTED_VALUE"""),2004.0)</f>
        <v>2004</v>
      </c>
      <c r="E9886">
        <f>IFERROR(__xludf.DUMMYFUNCTION("""COMPUTED_VALUE"""),1.2391906E7)</f>
        <v>12391906</v>
      </c>
    </row>
    <row r="9887">
      <c r="A9887" t="str">
        <f t="shared" si="1"/>
        <v>mli#2005</v>
      </c>
      <c r="B9887" t="str">
        <f>IFERROR(__xludf.DUMMYFUNCTION("""COMPUTED_VALUE"""),"mli")</f>
        <v>mli</v>
      </c>
      <c r="C9887" t="str">
        <f>IFERROR(__xludf.DUMMYFUNCTION("""COMPUTED_VALUE"""),"Mali")</f>
        <v>Mali</v>
      </c>
      <c r="D9887">
        <f>IFERROR(__xludf.DUMMYFUNCTION("""COMPUTED_VALUE"""),2005.0)</f>
        <v>2005</v>
      </c>
      <c r="E9887">
        <f>IFERROR(__xludf.DUMMYFUNCTION("""COMPUTED_VALUE"""),1.2798763E7)</f>
        <v>12798763</v>
      </c>
    </row>
    <row r="9888">
      <c r="A9888" t="str">
        <f t="shared" si="1"/>
        <v>mli#2006</v>
      </c>
      <c r="B9888" t="str">
        <f>IFERROR(__xludf.DUMMYFUNCTION("""COMPUTED_VALUE"""),"mli")</f>
        <v>mli</v>
      </c>
      <c r="C9888" t="str">
        <f>IFERROR(__xludf.DUMMYFUNCTION("""COMPUTED_VALUE"""),"Mali")</f>
        <v>Mali</v>
      </c>
      <c r="D9888">
        <f>IFERROR(__xludf.DUMMYFUNCTION("""COMPUTED_VALUE"""),2006.0)</f>
        <v>2006</v>
      </c>
      <c r="E9888">
        <f>IFERROR(__xludf.DUMMYFUNCTION("""COMPUTED_VALUE"""),1.3227064E7)</f>
        <v>13227064</v>
      </c>
    </row>
    <row r="9889">
      <c r="A9889" t="str">
        <f t="shared" si="1"/>
        <v>mli#2007</v>
      </c>
      <c r="B9889" t="str">
        <f>IFERROR(__xludf.DUMMYFUNCTION("""COMPUTED_VALUE"""),"mli")</f>
        <v>mli</v>
      </c>
      <c r="C9889" t="str">
        <f>IFERROR(__xludf.DUMMYFUNCTION("""COMPUTED_VALUE"""),"Mali")</f>
        <v>Mali</v>
      </c>
      <c r="D9889">
        <f>IFERROR(__xludf.DUMMYFUNCTION("""COMPUTED_VALUE"""),2007.0)</f>
        <v>2007</v>
      </c>
      <c r="E9889">
        <f>IFERROR(__xludf.DUMMYFUNCTION("""COMPUTED_VALUE"""),1.3675606E7)</f>
        <v>13675606</v>
      </c>
    </row>
    <row r="9890">
      <c r="A9890" t="str">
        <f t="shared" si="1"/>
        <v>mli#2008</v>
      </c>
      <c r="B9890" t="str">
        <f>IFERROR(__xludf.DUMMYFUNCTION("""COMPUTED_VALUE"""),"mli")</f>
        <v>mli</v>
      </c>
      <c r="C9890" t="str">
        <f>IFERROR(__xludf.DUMMYFUNCTION("""COMPUTED_VALUE"""),"Mali")</f>
        <v>Mali</v>
      </c>
      <c r="D9890">
        <f>IFERROR(__xludf.DUMMYFUNCTION("""COMPUTED_VALUE"""),2008.0)</f>
        <v>2008</v>
      </c>
      <c r="E9890">
        <f>IFERROR(__xludf.DUMMYFUNCTION("""COMPUTED_VALUE"""),1.4138216E7)</f>
        <v>14138216</v>
      </c>
    </row>
    <row r="9891">
      <c r="A9891" t="str">
        <f t="shared" si="1"/>
        <v>mli#2009</v>
      </c>
      <c r="B9891" t="str">
        <f>IFERROR(__xludf.DUMMYFUNCTION("""COMPUTED_VALUE"""),"mli")</f>
        <v>mli</v>
      </c>
      <c r="C9891" t="str">
        <f>IFERROR(__xludf.DUMMYFUNCTION("""COMPUTED_VALUE"""),"Mali")</f>
        <v>Mali</v>
      </c>
      <c r="D9891">
        <f>IFERROR(__xludf.DUMMYFUNCTION("""COMPUTED_VALUE"""),2009.0)</f>
        <v>2009</v>
      </c>
      <c r="E9891">
        <f>IFERROR(__xludf.DUMMYFUNCTION("""COMPUTED_VALUE"""),1.4606597E7)</f>
        <v>14606597</v>
      </c>
    </row>
    <row r="9892">
      <c r="A9892" t="str">
        <f t="shared" si="1"/>
        <v>mli#2010</v>
      </c>
      <c r="B9892" t="str">
        <f>IFERROR(__xludf.DUMMYFUNCTION("""COMPUTED_VALUE"""),"mli")</f>
        <v>mli</v>
      </c>
      <c r="C9892" t="str">
        <f>IFERROR(__xludf.DUMMYFUNCTION("""COMPUTED_VALUE"""),"Mali")</f>
        <v>Mali</v>
      </c>
      <c r="D9892">
        <f>IFERROR(__xludf.DUMMYFUNCTION("""COMPUTED_VALUE"""),2010.0)</f>
        <v>2010</v>
      </c>
      <c r="E9892">
        <f>IFERROR(__xludf.DUMMYFUNCTION("""COMPUTED_VALUE"""),1.5075085E7)</f>
        <v>15075085</v>
      </c>
    </row>
    <row r="9893">
      <c r="A9893" t="str">
        <f t="shared" si="1"/>
        <v>mli#2011</v>
      </c>
      <c r="B9893" t="str">
        <f>IFERROR(__xludf.DUMMYFUNCTION("""COMPUTED_VALUE"""),"mli")</f>
        <v>mli</v>
      </c>
      <c r="C9893" t="str">
        <f>IFERROR(__xludf.DUMMYFUNCTION("""COMPUTED_VALUE"""),"Mali")</f>
        <v>Mali</v>
      </c>
      <c r="D9893">
        <f>IFERROR(__xludf.DUMMYFUNCTION("""COMPUTED_VALUE"""),2011.0)</f>
        <v>2011</v>
      </c>
      <c r="E9893">
        <f>IFERROR(__xludf.DUMMYFUNCTION("""COMPUTED_VALUE"""),1.5540989E7)</f>
        <v>15540989</v>
      </c>
    </row>
    <row r="9894">
      <c r="A9894" t="str">
        <f t="shared" si="1"/>
        <v>mli#2012</v>
      </c>
      <c r="B9894" t="str">
        <f>IFERROR(__xludf.DUMMYFUNCTION("""COMPUTED_VALUE"""),"mli")</f>
        <v>mli</v>
      </c>
      <c r="C9894" t="str">
        <f>IFERROR(__xludf.DUMMYFUNCTION("""COMPUTED_VALUE"""),"Mali")</f>
        <v>Mali</v>
      </c>
      <c r="D9894">
        <f>IFERROR(__xludf.DUMMYFUNCTION("""COMPUTED_VALUE"""),2012.0)</f>
        <v>2012</v>
      </c>
      <c r="E9894">
        <f>IFERROR(__xludf.DUMMYFUNCTION("""COMPUTED_VALUE"""),1.600667E7)</f>
        <v>16006670</v>
      </c>
    </row>
    <row r="9895">
      <c r="A9895" t="str">
        <f t="shared" si="1"/>
        <v>mli#2013</v>
      </c>
      <c r="B9895" t="str">
        <f>IFERROR(__xludf.DUMMYFUNCTION("""COMPUTED_VALUE"""),"mli")</f>
        <v>mli</v>
      </c>
      <c r="C9895" t="str">
        <f>IFERROR(__xludf.DUMMYFUNCTION("""COMPUTED_VALUE"""),"Mali")</f>
        <v>Mali</v>
      </c>
      <c r="D9895">
        <f>IFERROR(__xludf.DUMMYFUNCTION("""COMPUTED_VALUE"""),2013.0)</f>
        <v>2013</v>
      </c>
      <c r="E9895">
        <f>IFERROR(__xludf.DUMMYFUNCTION("""COMPUTED_VALUE"""),1.6477818E7)</f>
        <v>16477818</v>
      </c>
    </row>
    <row r="9896">
      <c r="A9896" t="str">
        <f t="shared" si="1"/>
        <v>mli#2014</v>
      </c>
      <c r="B9896" t="str">
        <f>IFERROR(__xludf.DUMMYFUNCTION("""COMPUTED_VALUE"""),"mli")</f>
        <v>mli</v>
      </c>
      <c r="C9896" t="str">
        <f>IFERROR(__xludf.DUMMYFUNCTION("""COMPUTED_VALUE"""),"Mali")</f>
        <v>Mali</v>
      </c>
      <c r="D9896">
        <f>IFERROR(__xludf.DUMMYFUNCTION("""COMPUTED_VALUE"""),2014.0)</f>
        <v>2014</v>
      </c>
      <c r="E9896">
        <f>IFERROR(__xludf.DUMMYFUNCTION("""COMPUTED_VALUE"""),1.6962846E7)</f>
        <v>16962846</v>
      </c>
    </row>
    <row r="9897">
      <c r="A9897" t="str">
        <f t="shared" si="1"/>
        <v>mli#2015</v>
      </c>
      <c r="B9897" t="str">
        <f>IFERROR(__xludf.DUMMYFUNCTION("""COMPUTED_VALUE"""),"mli")</f>
        <v>mli</v>
      </c>
      <c r="C9897" t="str">
        <f>IFERROR(__xludf.DUMMYFUNCTION("""COMPUTED_VALUE"""),"Mali")</f>
        <v>Mali</v>
      </c>
      <c r="D9897">
        <f>IFERROR(__xludf.DUMMYFUNCTION("""COMPUTED_VALUE"""),2015.0)</f>
        <v>2015</v>
      </c>
      <c r="E9897">
        <f>IFERROR(__xludf.DUMMYFUNCTION("""COMPUTED_VALUE"""),1.7467905E7)</f>
        <v>17467905</v>
      </c>
    </row>
    <row r="9898">
      <c r="A9898" t="str">
        <f t="shared" si="1"/>
        <v>mli#2016</v>
      </c>
      <c r="B9898" t="str">
        <f>IFERROR(__xludf.DUMMYFUNCTION("""COMPUTED_VALUE"""),"mli")</f>
        <v>mli</v>
      </c>
      <c r="C9898" t="str">
        <f>IFERROR(__xludf.DUMMYFUNCTION("""COMPUTED_VALUE"""),"Mali")</f>
        <v>Mali</v>
      </c>
      <c r="D9898">
        <f>IFERROR(__xludf.DUMMYFUNCTION("""COMPUTED_VALUE"""),2016.0)</f>
        <v>2016</v>
      </c>
      <c r="E9898">
        <f>IFERROR(__xludf.DUMMYFUNCTION("""COMPUTED_VALUE"""),1.7994837E7)</f>
        <v>17994837</v>
      </c>
    </row>
    <row r="9899">
      <c r="A9899" t="str">
        <f t="shared" si="1"/>
        <v>mli#2017</v>
      </c>
      <c r="B9899" t="str">
        <f>IFERROR(__xludf.DUMMYFUNCTION("""COMPUTED_VALUE"""),"mli")</f>
        <v>mli</v>
      </c>
      <c r="C9899" t="str">
        <f>IFERROR(__xludf.DUMMYFUNCTION("""COMPUTED_VALUE"""),"Mali")</f>
        <v>Mali</v>
      </c>
      <c r="D9899">
        <f>IFERROR(__xludf.DUMMYFUNCTION("""COMPUTED_VALUE"""),2017.0)</f>
        <v>2017</v>
      </c>
      <c r="E9899">
        <f>IFERROR(__xludf.DUMMYFUNCTION("""COMPUTED_VALUE"""),1.854198E7)</f>
        <v>18541980</v>
      </c>
    </row>
    <row r="9900">
      <c r="A9900" t="str">
        <f t="shared" si="1"/>
        <v>mli#2018</v>
      </c>
      <c r="B9900" t="str">
        <f>IFERROR(__xludf.DUMMYFUNCTION("""COMPUTED_VALUE"""),"mli")</f>
        <v>mli</v>
      </c>
      <c r="C9900" t="str">
        <f>IFERROR(__xludf.DUMMYFUNCTION("""COMPUTED_VALUE"""),"Mali")</f>
        <v>Mali</v>
      </c>
      <c r="D9900">
        <f>IFERROR(__xludf.DUMMYFUNCTION("""COMPUTED_VALUE"""),2018.0)</f>
        <v>2018</v>
      </c>
      <c r="E9900">
        <f>IFERROR(__xludf.DUMMYFUNCTION("""COMPUTED_VALUE"""),1.9107706E7)</f>
        <v>19107706</v>
      </c>
    </row>
    <row r="9901">
      <c r="A9901" t="str">
        <f t="shared" si="1"/>
        <v>mli#2019</v>
      </c>
      <c r="B9901" t="str">
        <f>IFERROR(__xludf.DUMMYFUNCTION("""COMPUTED_VALUE"""),"mli")</f>
        <v>mli</v>
      </c>
      <c r="C9901" t="str">
        <f>IFERROR(__xludf.DUMMYFUNCTION("""COMPUTED_VALUE"""),"Mali")</f>
        <v>Mali</v>
      </c>
      <c r="D9901">
        <f>IFERROR(__xludf.DUMMYFUNCTION("""COMPUTED_VALUE"""),2019.0)</f>
        <v>2019</v>
      </c>
      <c r="E9901">
        <f>IFERROR(__xludf.DUMMYFUNCTION("""COMPUTED_VALUE"""),1.968914E7)</f>
        <v>19689140</v>
      </c>
    </row>
    <row r="9902">
      <c r="A9902" t="str">
        <f t="shared" si="1"/>
        <v>mli#2020</v>
      </c>
      <c r="B9902" t="str">
        <f>IFERROR(__xludf.DUMMYFUNCTION("""COMPUTED_VALUE"""),"mli")</f>
        <v>mli</v>
      </c>
      <c r="C9902" t="str">
        <f>IFERROR(__xludf.DUMMYFUNCTION("""COMPUTED_VALUE"""),"Mali")</f>
        <v>Mali</v>
      </c>
      <c r="D9902">
        <f>IFERROR(__xludf.DUMMYFUNCTION("""COMPUTED_VALUE"""),2020.0)</f>
        <v>2020</v>
      </c>
      <c r="E9902">
        <f>IFERROR(__xludf.DUMMYFUNCTION("""COMPUTED_VALUE"""),2.028418E7)</f>
        <v>20284180</v>
      </c>
    </row>
    <row r="9903">
      <c r="A9903" t="str">
        <f t="shared" si="1"/>
        <v>mli#2021</v>
      </c>
      <c r="B9903" t="str">
        <f>IFERROR(__xludf.DUMMYFUNCTION("""COMPUTED_VALUE"""),"mli")</f>
        <v>mli</v>
      </c>
      <c r="C9903" t="str">
        <f>IFERROR(__xludf.DUMMYFUNCTION("""COMPUTED_VALUE"""),"Mali")</f>
        <v>Mali</v>
      </c>
      <c r="D9903">
        <f>IFERROR(__xludf.DUMMYFUNCTION("""COMPUTED_VALUE"""),2021.0)</f>
        <v>2021</v>
      </c>
      <c r="E9903">
        <f>IFERROR(__xludf.DUMMYFUNCTION("""COMPUTED_VALUE"""),2.0892584E7)</f>
        <v>20892584</v>
      </c>
    </row>
    <row r="9904">
      <c r="A9904" t="str">
        <f t="shared" si="1"/>
        <v>mli#2022</v>
      </c>
      <c r="B9904" t="str">
        <f>IFERROR(__xludf.DUMMYFUNCTION("""COMPUTED_VALUE"""),"mli")</f>
        <v>mli</v>
      </c>
      <c r="C9904" t="str">
        <f>IFERROR(__xludf.DUMMYFUNCTION("""COMPUTED_VALUE"""),"Mali")</f>
        <v>Mali</v>
      </c>
      <c r="D9904">
        <f>IFERROR(__xludf.DUMMYFUNCTION("""COMPUTED_VALUE"""),2022.0)</f>
        <v>2022</v>
      </c>
      <c r="E9904">
        <f>IFERROR(__xludf.DUMMYFUNCTION("""COMPUTED_VALUE"""),2.1515305E7)</f>
        <v>21515305</v>
      </c>
    </row>
    <row r="9905">
      <c r="A9905" t="str">
        <f t="shared" si="1"/>
        <v>mli#2023</v>
      </c>
      <c r="B9905" t="str">
        <f>IFERROR(__xludf.DUMMYFUNCTION("""COMPUTED_VALUE"""),"mli")</f>
        <v>mli</v>
      </c>
      <c r="C9905" t="str">
        <f>IFERROR(__xludf.DUMMYFUNCTION("""COMPUTED_VALUE"""),"Mali")</f>
        <v>Mali</v>
      </c>
      <c r="D9905">
        <f>IFERROR(__xludf.DUMMYFUNCTION("""COMPUTED_VALUE"""),2023.0)</f>
        <v>2023</v>
      </c>
      <c r="E9905">
        <f>IFERROR(__xludf.DUMMYFUNCTION("""COMPUTED_VALUE"""),2.2152885E7)</f>
        <v>22152885</v>
      </c>
    </row>
    <row r="9906">
      <c r="A9906" t="str">
        <f t="shared" si="1"/>
        <v>mli#2024</v>
      </c>
      <c r="B9906" t="str">
        <f>IFERROR(__xludf.DUMMYFUNCTION("""COMPUTED_VALUE"""),"mli")</f>
        <v>mli</v>
      </c>
      <c r="C9906" t="str">
        <f>IFERROR(__xludf.DUMMYFUNCTION("""COMPUTED_VALUE"""),"Mali")</f>
        <v>Mali</v>
      </c>
      <c r="D9906">
        <f>IFERROR(__xludf.DUMMYFUNCTION("""COMPUTED_VALUE"""),2024.0)</f>
        <v>2024</v>
      </c>
      <c r="E9906">
        <f>IFERROR(__xludf.DUMMYFUNCTION("""COMPUTED_VALUE"""),2.2806188E7)</f>
        <v>22806188</v>
      </c>
    </row>
    <row r="9907">
      <c r="A9907" t="str">
        <f t="shared" si="1"/>
        <v>mli#2025</v>
      </c>
      <c r="B9907" t="str">
        <f>IFERROR(__xludf.DUMMYFUNCTION("""COMPUTED_VALUE"""),"mli")</f>
        <v>mli</v>
      </c>
      <c r="C9907" t="str">
        <f>IFERROR(__xludf.DUMMYFUNCTION("""COMPUTED_VALUE"""),"Mali")</f>
        <v>Mali</v>
      </c>
      <c r="D9907">
        <f>IFERROR(__xludf.DUMMYFUNCTION("""COMPUTED_VALUE"""),2025.0)</f>
        <v>2025</v>
      </c>
      <c r="E9907">
        <f>IFERROR(__xludf.DUMMYFUNCTION("""COMPUTED_VALUE"""),2.3475747E7)</f>
        <v>23475747</v>
      </c>
    </row>
    <row r="9908">
      <c r="A9908" t="str">
        <f t="shared" si="1"/>
        <v>mli#2026</v>
      </c>
      <c r="B9908" t="str">
        <f>IFERROR(__xludf.DUMMYFUNCTION("""COMPUTED_VALUE"""),"mli")</f>
        <v>mli</v>
      </c>
      <c r="C9908" t="str">
        <f>IFERROR(__xludf.DUMMYFUNCTION("""COMPUTED_VALUE"""),"Mali")</f>
        <v>Mali</v>
      </c>
      <c r="D9908">
        <f>IFERROR(__xludf.DUMMYFUNCTION("""COMPUTED_VALUE"""),2026.0)</f>
        <v>2026</v>
      </c>
      <c r="E9908">
        <f>IFERROR(__xludf.DUMMYFUNCTION("""COMPUTED_VALUE"""),2.4161496E7)</f>
        <v>24161496</v>
      </c>
    </row>
    <row r="9909">
      <c r="A9909" t="str">
        <f t="shared" si="1"/>
        <v>mli#2027</v>
      </c>
      <c r="B9909" t="str">
        <f>IFERROR(__xludf.DUMMYFUNCTION("""COMPUTED_VALUE"""),"mli")</f>
        <v>mli</v>
      </c>
      <c r="C9909" t="str">
        <f>IFERROR(__xludf.DUMMYFUNCTION("""COMPUTED_VALUE"""),"Mali")</f>
        <v>Mali</v>
      </c>
      <c r="D9909">
        <f>IFERROR(__xludf.DUMMYFUNCTION("""COMPUTED_VALUE"""),2027.0)</f>
        <v>2027</v>
      </c>
      <c r="E9909">
        <f>IFERROR(__xludf.DUMMYFUNCTION("""COMPUTED_VALUE"""),2.4862935E7)</f>
        <v>24862935</v>
      </c>
    </row>
    <row r="9910">
      <c r="A9910" t="str">
        <f t="shared" si="1"/>
        <v>mli#2028</v>
      </c>
      <c r="B9910" t="str">
        <f>IFERROR(__xludf.DUMMYFUNCTION("""COMPUTED_VALUE"""),"mli")</f>
        <v>mli</v>
      </c>
      <c r="C9910" t="str">
        <f>IFERROR(__xludf.DUMMYFUNCTION("""COMPUTED_VALUE"""),"Mali")</f>
        <v>Mali</v>
      </c>
      <c r="D9910">
        <f>IFERROR(__xludf.DUMMYFUNCTION("""COMPUTED_VALUE"""),2028.0)</f>
        <v>2028</v>
      </c>
      <c r="E9910">
        <f>IFERROR(__xludf.DUMMYFUNCTION("""COMPUTED_VALUE"""),2.5579703E7)</f>
        <v>25579703</v>
      </c>
    </row>
    <row r="9911">
      <c r="A9911" t="str">
        <f t="shared" si="1"/>
        <v>mli#2029</v>
      </c>
      <c r="B9911" t="str">
        <f>IFERROR(__xludf.DUMMYFUNCTION("""COMPUTED_VALUE"""),"mli")</f>
        <v>mli</v>
      </c>
      <c r="C9911" t="str">
        <f>IFERROR(__xludf.DUMMYFUNCTION("""COMPUTED_VALUE"""),"Mali")</f>
        <v>Mali</v>
      </c>
      <c r="D9911">
        <f>IFERROR(__xludf.DUMMYFUNCTION("""COMPUTED_VALUE"""),2029.0)</f>
        <v>2029</v>
      </c>
      <c r="E9911">
        <f>IFERROR(__xludf.DUMMYFUNCTION("""COMPUTED_VALUE"""),2.631127E7)</f>
        <v>26311270</v>
      </c>
    </row>
    <row r="9912">
      <c r="A9912" t="str">
        <f t="shared" si="1"/>
        <v>mli#2030</v>
      </c>
      <c r="B9912" t="str">
        <f>IFERROR(__xludf.DUMMYFUNCTION("""COMPUTED_VALUE"""),"mli")</f>
        <v>mli</v>
      </c>
      <c r="C9912" t="str">
        <f>IFERROR(__xludf.DUMMYFUNCTION("""COMPUTED_VALUE"""),"Mali")</f>
        <v>Mali</v>
      </c>
      <c r="D9912">
        <f>IFERROR(__xludf.DUMMYFUNCTION("""COMPUTED_VALUE"""),2030.0)</f>
        <v>2030</v>
      </c>
      <c r="E9912">
        <f>IFERROR(__xludf.DUMMYFUNCTION("""COMPUTED_VALUE"""),2.7057112E7)</f>
        <v>27057112</v>
      </c>
    </row>
    <row r="9913">
      <c r="A9913" t="str">
        <f t="shared" si="1"/>
        <v>mli#2031</v>
      </c>
      <c r="B9913" t="str">
        <f>IFERROR(__xludf.DUMMYFUNCTION("""COMPUTED_VALUE"""),"mli")</f>
        <v>mli</v>
      </c>
      <c r="C9913" t="str">
        <f>IFERROR(__xludf.DUMMYFUNCTION("""COMPUTED_VALUE"""),"Mali")</f>
        <v>Mali</v>
      </c>
      <c r="D9913">
        <f>IFERROR(__xludf.DUMMYFUNCTION("""COMPUTED_VALUE"""),2031.0)</f>
        <v>2031</v>
      </c>
      <c r="E9913">
        <f>IFERROR(__xludf.DUMMYFUNCTION("""COMPUTED_VALUE"""),2.7816844E7)</f>
        <v>27816844</v>
      </c>
    </row>
    <row r="9914">
      <c r="A9914" t="str">
        <f t="shared" si="1"/>
        <v>mli#2032</v>
      </c>
      <c r="B9914" t="str">
        <f>IFERROR(__xludf.DUMMYFUNCTION("""COMPUTED_VALUE"""),"mli")</f>
        <v>mli</v>
      </c>
      <c r="C9914" t="str">
        <f>IFERROR(__xludf.DUMMYFUNCTION("""COMPUTED_VALUE"""),"Mali")</f>
        <v>Mali</v>
      </c>
      <c r="D9914">
        <f>IFERROR(__xludf.DUMMYFUNCTION("""COMPUTED_VALUE"""),2032.0)</f>
        <v>2032</v>
      </c>
      <c r="E9914">
        <f>IFERROR(__xludf.DUMMYFUNCTION("""COMPUTED_VALUE"""),2.8590026E7)</f>
        <v>28590026</v>
      </c>
    </row>
    <row r="9915">
      <c r="A9915" t="str">
        <f t="shared" si="1"/>
        <v>mli#2033</v>
      </c>
      <c r="B9915" t="str">
        <f>IFERROR(__xludf.DUMMYFUNCTION("""COMPUTED_VALUE"""),"mli")</f>
        <v>mli</v>
      </c>
      <c r="C9915" t="str">
        <f>IFERROR(__xludf.DUMMYFUNCTION("""COMPUTED_VALUE"""),"Mali")</f>
        <v>Mali</v>
      </c>
      <c r="D9915">
        <f>IFERROR(__xludf.DUMMYFUNCTION("""COMPUTED_VALUE"""),2033.0)</f>
        <v>2033</v>
      </c>
      <c r="E9915">
        <f>IFERROR(__xludf.DUMMYFUNCTION("""COMPUTED_VALUE"""),2.9375969E7)</f>
        <v>29375969</v>
      </c>
    </row>
    <row r="9916">
      <c r="A9916" t="str">
        <f t="shared" si="1"/>
        <v>mli#2034</v>
      </c>
      <c r="B9916" t="str">
        <f>IFERROR(__xludf.DUMMYFUNCTION("""COMPUTED_VALUE"""),"mli")</f>
        <v>mli</v>
      </c>
      <c r="C9916" t="str">
        <f>IFERROR(__xludf.DUMMYFUNCTION("""COMPUTED_VALUE"""),"Mali")</f>
        <v>Mali</v>
      </c>
      <c r="D9916">
        <f>IFERROR(__xludf.DUMMYFUNCTION("""COMPUTED_VALUE"""),2034.0)</f>
        <v>2034</v>
      </c>
      <c r="E9916">
        <f>IFERROR(__xludf.DUMMYFUNCTION("""COMPUTED_VALUE"""),3.0173868E7)</f>
        <v>30173868</v>
      </c>
    </row>
    <row r="9917">
      <c r="A9917" t="str">
        <f t="shared" si="1"/>
        <v>mli#2035</v>
      </c>
      <c r="B9917" t="str">
        <f>IFERROR(__xludf.DUMMYFUNCTION("""COMPUTED_VALUE"""),"mli")</f>
        <v>mli</v>
      </c>
      <c r="C9917" t="str">
        <f>IFERROR(__xludf.DUMMYFUNCTION("""COMPUTED_VALUE"""),"Mali")</f>
        <v>Mali</v>
      </c>
      <c r="D9917">
        <f>IFERROR(__xludf.DUMMYFUNCTION("""COMPUTED_VALUE"""),2035.0)</f>
        <v>2035</v>
      </c>
      <c r="E9917">
        <f>IFERROR(__xludf.DUMMYFUNCTION("""COMPUTED_VALUE"""),3.0982972E7)</f>
        <v>30982972</v>
      </c>
    </row>
    <row r="9918">
      <c r="A9918" t="str">
        <f t="shared" si="1"/>
        <v>mli#2036</v>
      </c>
      <c r="B9918" t="str">
        <f>IFERROR(__xludf.DUMMYFUNCTION("""COMPUTED_VALUE"""),"mli")</f>
        <v>mli</v>
      </c>
      <c r="C9918" t="str">
        <f>IFERROR(__xludf.DUMMYFUNCTION("""COMPUTED_VALUE"""),"Mali")</f>
        <v>Mali</v>
      </c>
      <c r="D9918">
        <f>IFERROR(__xludf.DUMMYFUNCTION("""COMPUTED_VALUE"""),2036.0)</f>
        <v>2036</v>
      </c>
      <c r="E9918">
        <f>IFERROR(__xludf.DUMMYFUNCTION("""COMPUTED_VALUE"""),3.1802693E7)</f>
        <v>31802693</v>
      </c>
    </row>
    <row r="9919">
      <c r="A9919" t="str">
        <f t="shared" si="1"/>
        <v>mli#2037</v>
      </c>
      <c r="B9919" t="str">
        <f>IFERROR(__xludf.DUMMYFUNCTION("""COMPUTED_VALUE"""),"mli")</f>
        <v>mli</v>
      </c>
      <c r="C9919" t="str">
        <f>IFERROR(__xludf.DUMMYFUNCTION("""COMPUTED_VALUE"""),"Mali")</f>
        <v>Mali</v>
      </c>
      <c r="D9919">
        <f>IFERROR(__xludf.DUMMYFUNCTION("""COMPUTED_VALUE"""),2037.0)</f>
        <v>2037</v>
      </c>
      <c r="E9919">
        <f>IFERROR(__xludf.DUMMYFUNCTION("""COMPUTED_VALUE"""),3.2632452E7)</f>
        <v>32632452</v>
      </c>
    </row>
    <row r="9920">
      <c r="A9920" t="str">
        <f t="shared" si="1"/>
        <v>mli#2038</v>
      </c>
      <c r="B9920" t="str">
        <f>IFERROR(__xludf.DUMMYFUNCTION("""COMPUTED_VALUE"""),"mli")</f>
        <v>mli</v>
      </c>
      <c r="C9920" t="str">
        <f>IFERROR(__xludf.DUMMYFUNCTION("""COMPUTED_VALUE"""),"Mali")</f>
        <v>Mali</v>
      </c>
      <c r="D9920">
        <f>IFERROR(__xludf.DUMMYFUNCTION("""COMPUTED_VALUE"""),2038.0)</f>
        <v>2038</v>
      </c>
      <c r="E9920">
        <f>IFERROR(__xludf.DUMMYFUNCTION("""COMPUTED_VALUE"""),3.3471454E7)</f>
        <v>33471454</v>
      </c>
    </row>
    <row r="9921">
      <c r="A9921" t="str">
        <f t="shared" si="1"/>
        <v>mli#2039</v>
      </c>
      <c r="B9921" t="str">
        <f>IFERROR(__xludf.DUMMYFUNCTION("""COMPUTED_VALUE"""),"mli")</f>
        <v>mli</v>
      </c>
      <c r="C9921" t="str">
        <f>IFERROR(__xludf.DUMMYFUNCTION("""COMPUTED_VALUE"""),"Mali")</f>
        <v>Mali</v>
      </c>
      <c r="D9921">
        <f>IFERROR(__xludf.DUMMYFUNCTION("""COMPUTED_VALUE"""),2039.0)</f>
        <v>2039</v>
      </c>
      <c r="E9921">
        <f>IFERROR(__xludf.DUMMYFUNCTION("""COMPUTED_VALUE"""),3.4318829E7)</f>
        <v>34318829</v>
      </c>
    </row>
    <row r="9922">
      <c r="A9922" t="str">
        <f t="shared" si="1"/>
        <v>mli#2040</v>
      </c>
      <c r="B9922" t="str">
        <f>IFERROR(__xludf.DUMMYFUNCTION("""COMPUTED_VALUE"""),"mli")</f>
        <v>mli</v>
      </c>
      <c r="C9922" t="str">
        <f>IFERROR(__xludf.DUMMYFUNCTION("""COMPUTED_VALUE"""),"Mali")</f>
        <v>Mali</v>
      </c>
      <c r="D9922">
        <f>IFERROR(__xludf.DUMMYFUNCTION("""COMPUTED_VALUE"""),2040.0)</f>
        <v>2040</v>
      </c>
      <c r="E9922">
        <f>IFERROR(__xludf.DUMMYFUNCTION("""COMPUTED_VALUE"""),3.5173773E7)</f>
        <v>35173773</v>
      </c>
    </row>
    <row r="9923">
      <c r="A9923" t="str">
        <f t="shared" si="1"/>
        <v>mlt#1950</v>
      </c>
      <c r="B9923" t="str">
        <f>IFERROR(__xludf.DUMMYFUNCTION("""COMPUTED_VALUE"""),"mlt")</f>
        <v>mlt</v>
      </c>
      <c r="C9923" t="str">
        <f>IFERROR(__xludf.DUMMYFUNCTION("""COMPUTED_VALUE"""),"Malta")</f>
        <v>Malta</v>
      </c>
      <c r="D9923">
        <f>IFERROR(__xludf.DUMMYFUNCTION("""COMPUTED_VALUE"""),1950.0)</f>
        <v>1950</v>
      </c>
      <c r="E9923">
        <f>IFERROR(__xludf.DUMMYFUNCTION("""COMPUTED_VALUE"""),312003.0)</f>
        <v>312003</v>
      </c>
    </row>
    <row r="9924">
      <c r="A9924" t="str">
        <f t="shared" si="1"/>
        <v>mlt#1951</v>
      </c>
      <c r="B9924" t="str">
        <f>IFERROR(__xludf.DUMMYFUNCTION("""COMPUTED_VALUE"""),"mlt")</f>
        <v>mlt</v>
      </c>
      <c r="C9924" t="str">
        <f>IFERROR(__xludf.DUMMYFUNCTION("""COMPUTED_VALUE"""),"Malta")</f>
        <v>Malta</v>
      </c>
      <c r="D9924">
        <f>IFERROR(__xludf.DUMMYFUNCTION("""COMPUTED_VALUE"""),1951.0)</f>
        <v>1951</v>
      </c>
      <c r="E9924">
        <f>IFERROR(__xludf.DUMMYFUNCTION("""COMPUTED_VALUE"""),312283.0)</f>
        <v>312283</v>
      </c>
    </row>
    <row r="9925">
      <c r="A9925" t="str">
        <f t="shared" si="1"/>
        <v>mlt#1952</v>
      </c>
      <c r="B9925" t="str">
        <f>IFERROR(__xludf.DUMMYFUNCTION("""COMPUTED_VALUE"""),"mlt")</f>
        <v>mlt</v>
      </c>
      <c r="C9925" t="str">
        <f>IFERROR(__xludf.DUMMYFUNCTION("""COMPUTED_VALUE"""),"Malta")</f>
        <v>Malta</v>
      </c>
      <c r="D9925">
        <f>IFERROR(__xludf.DUMMYFUNCTION("""COMPUTED_VALUE"""),1952.0)</f>
        <v>1952</v>
      </c>
      <c r="E9925">
        <f>IFERROR(__xludf.DUMMYFUNCTION("""COMPUTED_VALUE"""),312801.0)</f>
        <v>312801</v>
      </c>
    </row>
    <row r="9926">
      <c r="A9926" t="str">
        <f t="shared" si="1"/>
        <v>mlt#1953</v>
      </c>
      <c r="B9926" t="str">
        <f>IFERROR(__xludf.DUMMYFUNCTION("""COMPUTED_VALUE"""),"mlt")</f>
        <v>mlt</v>
      </c>
      <c r="C9926" t="str">
        <f>IFERROR(__xludf.DUMMYFUNCTION("""COMPUTED_VALUE"""),"Malta")</f>
        <v>Malta</v>
      </c>
      <c r="D9926">
        <f>IFERROR(__xludf.DUMMYFUNCTION("""COMPUTED_VALUE"""),1953.0)</f>
        <v>1953</v>
      </c>
      <c r="E9926">
        <f>IFERROR(__xludf.DUMMYFUNCTION("""COMPUTED_VALUE"""),313229.0)</f>
        <v>313229</v>
      </c>
    </row>
    <row r="9927">
      <c r="A9927" t="str">
        <f t="shared" si="1"/>
        <v>mlt#1954</v>
      </c>
      <c r="B9927" t="str">
        <f>IFERROR(__xludf.DUMMYFUNCTION("""COMPUTED_VALUE"""),"mlt")</f>
        <v>mlt</v>
      </c>
      <c r="C9927" t="str">
        <f>IFERROR(__xludf.DUMMYFUNCTION("""COMPUTED_VALUE"""),"Malta")</f>
        <v>Malta</v>
      </c>
      <c r="D9927">
        <f>IFERROR(__xludf.DUMMYFUNCTION("""COMPUTED_VALUE"""),1954.0)</f>
        <v>1954</v>
      </c>
      <c r="E9927">
        <f>IFERROR(__xludf.DUMMYFUNCTION("""COMPUTED_VALUE"""),313370.0)</f>
        <v>313370</v>
      </c>
    </row>
    <row r="9928">
      <c r="A9928" t="str">
        <f t="shared" si="1"/>
        <v>mlt#1955</v>
      </c>
      <c r="B9928" t="str">
        <f>IFERROR(__xludf.DUMMYFUNCTION("""COMPUTED_VALUE"""),"mlt")</f>
        <v>mlt</v>
      </c>
      <c r="C9928" t="str">
        <f>IFERROR(__xludf.DUMMYFUNCTION("""COMPUTED_VALUE"""),"Malta")</f>
        <v>Malta</v>
      </c>
      <c r="D9928">
        <f>IFERROR(__xludf.DUMMYFUNCTION("""COMPUTED_VALUE"""),1955.0)</f>
        <v>1955</v>
      </c>
      <c r="E9928">
        <f>IFERROR(__xludf.DUMMYFUNCTION("""COMPUTED_VALUE"""),313124.0)</f>
        <v>313124</v>
      </c>
    </row>
    <row r="9929">
      <c r="A9929" t="str">
        <f t="shared" si="1"/>
        <v>mlt#1956</v>
      </c>
      <c r="B9929" t="str">
        <f>IFERROR(__xludf.DUMMYFUNCTION("""COMPUTED_VALUE"""),"mlt")</f>
        <v>mlt</v>
      </c>
      <c r="C9929" t="str">
        <f>IFERROR(__xludf.DUMMYFUNCTION("""COMPUTED_VALUE"""),"Malta")</f>
        <v>Malta</v>
      </c>
      <c r="D9929">
        <f>IFERROR(__xludf.DUMMYFUNCTION("""COMPUTED_VALUE"""),1956.0)</f>
        <v>1956</v>
      </c>
      <c r="E9929">
        <f>IFERROR(__xludf.DUMMYFUNCTION("""COMPUTED_VALUE"""),312557.0)</f>
        <v>312557</v>
      </c>
    </row>
    <row r="9930">
      <c r="A9930" t="str">
        <f t="shared" si="1"/>
        <v>mlt#1957</v>
      </c>
      <c r="B9930" t="str">
        <f>IFERROR(__xludf.DUMMYFUNCTION("""COMPUTED_VALUE"""),"mlt")</f>
        <v>mlt</v>
      </c>
      <c r="C9930" t="str">
        <f>IFERROR(__xludf.DUMMYFUNCTION("""COMPUTED_VALUE"""),"Malta")</f>
        <v>Malta</v>
      </c>
      <c r="D9930">
        <f>IFERROR(__xludf.DUMMYFUNCTION("""COMPUTED_VALUE"""),1957.0)</f>
        <v>1957</v>
      </c>
      <c r="E9930">
        <f>IFERROR(__xludf.DUMMYFUNCTION("""COMPUTED_VALUE"""),311816.0)</f>
        <v>311816</v>
      </c>
    </row>
    <row r="9931">
      <c r="A9931" t="str">
        <f t="shared" si="1"/>
        <v>mlt#1958</v>
      </c>
      <c r="B9931" t="str">
        <f>IFERROR(__xludf.DUMMYFUNCTION("""COMPUTED_VALUE"""),"mlt")</f>
        <v>mlt</v>
      </c>
      <c r="C9931" t="str">
        <f>IFERROR(__xludf.DUMMYFUNCTION("""COMPUTED_VALUE"""),"Malta")</f>
        <v>Malta</v>
      </c>
      <c r="D9931">
        <f>IFERROR(__xludf.DUMMYFUNCTION("""COMPUTED_VALUE"""),1958.0)</f>
        <v>1958</v>
      </c>
      <c r="E9931">
        <f>IFERROR(__xludf.DUMMYFUNCTION("""COMPUTED_VALUE"""),311202.0)</f>
        <v>311202</v>
      </c>
    </row>
    <row r="9932">
      <c r="A9932" t="str">
        <f t="shared" si="1"/>
        <v>mlt#1959</v>
      </c>
      <c r="B9932" t="str">
        <f>IFERROR(__xludf.DUMMYFUNCTION("""COMPUTED_VALUE"""),"mlt")</f>
        <v>mlt</v>
      </c>
      <c r="C9932" t="str">
        <f>IFERROR(__xludf.DUMMYFUNCTION("""COMPUTED_VALUE"""),"Malta")</f>
        <v>Malta</v>
      </c>
      <c r="D9932">
        <f>IFERROR(__xludf.DUMMYFUNCTION("""COMPUTED_VALUE"""),1959.0)</f>
        <v>1959</v>
      </c>
      <c r="E9932">
        <f>IFERROR(__xludf.DUMMYFUNCTION("""COMPUTED_VALUE"""),311006.0)</f>
        <v>311006</v>
      </c>
    </row>
    <row r="9933">
      <c r="A9933" t="str">
        <f t="shared" si="1"/>
        <v>mlt#1960</v>
      </c>
      <c r="B9933" t="str">
        <f>IFERROR(__xludf.DUMMYFUNCTION("""COMPUTED_VALUE"""),"mlt")</f>
        <v>mlt</v>
      </c>
      <c r="C9933" t="str">
        <f>IFERROR(__xludf.DUMMYFUNCTION("""COMPUTED_VALUE"""),"Malta")</f>
        <v>Malta</v>
      </c>
      <c r="D9933">
        <f>IFERROR(__xludf.DUMMYFUNCTION("""COMPUTED_VALUE"""),1960.0)</f>
        <v>1960</v>
      </c>
      <c r="E9933">
        <f>IFERROR(__xludf.DUMMYFUNCTION("""COMPUTED_VALUE"""),311534.0)</f>
        <v>311534</v>
      </c>
    </row>
    <row r="9934">
      <c r="A9934" t="str">
        <f t="shared" si="1"/>
        <v>mlt#1961</v>
      </c>
      <c r="B9934" t="str">
        <f>IFERROR(__xludf.DUMMYFUNCTION("""COMPUTED_VALUE"""),"mlt")</f>
        <v>mlt</v>
      </c>
      <c r="C9934" t="str">
        <f>IFERROR(__xludf.DUMMYFUNCTION("""COMPUTED_VALUE"""),"Malta")</f>
        <v>Malta</v>
      </c>
      <c r="D9934">
        <f>IFERROR(__xludf.DUMMYFUNCTION("""COMPUTED_VALUE"""),1961.0)</f>
        <v>1961</v>
      </c>
      <c r="E9934">
        <f>IFERROR(__xludf.DUMMYFUNCTION("""COMPUTED_VALUE"""),312914.0)</f>
        <v>312914</v>
      </c>
    </row>
    <row r="9935">
      <c r="A9935" t="str">
        <f t="shared" si="1"/>
        <v>mlt#1962</v>
      </c>
      <c r="B9935" t="str">
        <f>IFERROR(__xludf.DUMMYFUNCTION("""COMPUTED_VALUE"""),"mlt")</f>
        <v>mlt</v>
      </c>
      <c r="C9935" t="str">
        <f>IFERROR(__xludf.DUMMYFUNCTION("""COMPUTED_VALUE"""),"Malta")</f>
        <v>Malta</v>
      </c>
      <c r="D9935">
        <f>IFERROR(__xludf.DUMMYFUNCTION("""COMPUTED_VALUE"""),1962.0)</f>
        <v>1962</v>
      </c>
      <c r="E9935">
        <f>IFERROR(__xludf.DUMMYFUNCTION("""COMPUTED_VALUE"""),315032.0)</f>
        <v>315032</v>
      </c>
    </row>
    <row r="9936">
      <c r="A9936" t="str">
        <f t="shared" si="1"/>
        <v>mlt#1963</v>
      </c>
      <c r="B9936" t="str">
        <f>IFERROR(__xludf.DUMMYFUNCTION("""COMPUTED_VALUE"""),"mlt")</f>
        <v>mlt</v>
      </c>
      <c r="C9936" t="str">
        <f>IFERROR(__xludf.DUMMYFUNCTION("""COMPUTED_VALUE"""),"Malta")</f>
        <v>Malta</v>
      </c>
      <c r="D9936">
        <f>IFERROR(__xludf.DUMMYFUNCTION("""COMPUTED_VALUE"""),1963.0)</f>
        <v>1963</v>
      </c>
      <c r="E9936">
        <f>IFERROR(__xludf.DUMMYFUNCTION("""COMPUTED_VALUE"""),317447.0)</f>
        <v>317447</v>
      </c>
    </row>
    <row r="9937">
      <c r="A9937" t="str">
        <f t="shared" si="1"/>
        <v>mlt#1964</v>
      </c>
      <c r="B9937" t="str">
        <f>IFERROR(__xludf.DUMMYFUNCTION("""COMPUTED_VALUE"""),"mlt")</f>
        <v>mlt</v>
      </c>
      <c r="C9937" t="str">
        <f>IFERROR(__xludf.DUMMYFUNCTION("""COMPUTED_VALUE"""),"Malta")</f>
        <v>Malta</v>
      </c>
      <c r="D9937">
        <f>IFERROR(__xludf.DUMMYFUNCTION("""COMPUTED_VALUE"""),1964.0)</f>
        <v>1964</v>
      </c>
      <c r="E9937">
        <f>IFERROR(__xludf.DUMMYFUNCTION("""COMPUTED_VALUE"""),319588.0)</f>
        <v>319588</v>
      </c>
    </row>
    <row r="9938">
      <c r="A9938" t="str">
        <f t="shared" si="1"/>
        <v>mlt#1965</v>
      </c>
      <c r="B9938" t="str">
        <f>IFERROR(__xludf.DUMMYFUNCTION("""COMPUTED_VALUE"""),"mlt")</f>
        <v>mlt</v>
      </c>
      <c r="C9938" t="str">
        <f>IFERROR(__xludf.DUMMYFUNCTION("""COMPUTED_VALUE"""),"Malta")</f>
        <v>Malta</v>
      </c>
      <c r="D9938">
        <f>IFERROR(__xludf.DUMMYFUNCTION("""COMPUTED_VALUE"""),1965.0)</f>
        <v>1965</v>
      </c>
      <c r="E9938">
        <f>IFERROR(__xludf.DUMMYFUNCTION("""COMPUTED_VALUE"""),321019.0)</f>
        <v>321019</v>
      </c>
    </row>
    <row r="9939">
      <c r="A9939" t="str">
        <f t="shared" si="1"/>
        <v>mlt#1966</v>
      </c>
      <c r="B9939" t="str">
        <f>IFERROR(__xludf.DUMMYFUNCTION("""COMPUTED_VALUE"""),"mlt")</f>
        <v>mlt</v>
      </c>
      <c r="C9939" t="str">
        <f>IFERROR(__xludf.DUMMYFUNCTION("""COMPUTED_VALUE"""),"Malta")</f>
        <v>Malta</v>
      </c>
      <c r="D9939">
        <f>IFERROR(__xludf.DUMMYFUNCTION("""COMPUTED_VALUE"""),1966.0)</f>
        <v>1966</v>
      </c>
      <c r="E9939">
        <f>IFERROR(__xludf.DUMMYFUNCTION("""COMPUTED_VALUE"""),321606.0)</f>
        <v>321606</v>
      </c>
    </row>
    <row r="9940">
      <c r="A9940" t="str">
        <f t="shared" si="1"/>
        <v>mlt#1967</v>
      </c>
      <c r="B9940" t="str">
        <f>IFERROR(__xludf.DUMMYFUNCTION("""COMPUTED_VALUE"""),"mlt")</f>
        <v>mlt</v>
      </c>
      <c r="C9940" t="str">
        <f>IFERROR(__xludf.DUMMYFUNCTION("""COMPUTED_VALUE"""),"Malta")</f>
        <v>Malta</v>
      </c>
      <c r="D9940">
        <f>IFERROR(__xludf.DUMMYFUNCTION("""COMPUTED_VALUE"""),1967.0)</f>
        <v>1967</v>
      </c>
      <c r="E9940">
        <f>IFERROR(__xludf.DUMMYFUNCTION("""COMPUTED_VALUE"""),321508.0)</f>
        <v>321508</v>
      </c>
    </row>
    <row r="9941">
      <c r="A9941" t="str">
        <f t="shared" si="1"/>
        <v>mlt#1968</v>
      </c>
      <c r="B9941" t="str">
        <f>IFERROR(__xludf.DUMMYFUNCTION("""COMPUTED_VALUE"""),"mlt")</f>
        <v>mlt</v>
      </c>
      <c r="C9941" t="str">
        <f>IFERROR(__xludf.DUMMYFUNCTION("""COMPUTED_VALUE"""),"Malta")</f>
        <v>Malta</v>
      </c>
      <c r="D9941">
        <f>IFERROR(__xludf.DUMMYFUNCTION("""COMPUTED_VALUE"""),1968.0)</f>
        <v>1968</v>
      </c>
      <c r="E9941">
        <f>IFERROR(__xludf.DUMMYFUNCTION("""COMPUTED_VALUE"""),320979.0)</f>
        <v>320979</v>
      </c>
    </row>
    <row r="9942">
      <c r="A9942" t="str">
        <f t="shared" si="1"/>
        <v>mlt#1969</v>
      </c>
      <c r="B9942" t="str">
        <f>IFERROR(__xludf.DUMMYFUNCTION("""COMPUTED_VALUE"""),"mlt")</f>
        <v>mlt</v>
      </c>
      <c r="C9942" t="str">
        <f>IFERROR(__xludf.DUMMYFUNCTION("""COMPUTED_VALUE"""),"Malta")</f>
        <v>Malta</v>
      </c>
      <c r="D9942">
        <f>IFERROR(__xludf.DUMMYFUNCTION("""COMPUTED_VALUE"""),1969.0)</f>
        <v>1969</v>
      </c>
      <c r="E9942">
        <f>IFERROR(__xludf.DUMMYFUNCTION("""COMPUTED_VALUE"""),320414.0)</f>
        <v>320414</v>
      </c>
    </row>
    <row r="9943">
      <c r="A9943" t="str">
        <f t="shared" si="1"/>
        <v>mlt#1970</v>
      </c>
      <c r="B9943" t="str">
        <f>IFERROR(__xludf.DUMMYFUNCTION("""COMPUTED_VALUE"""),"mlt")</f>
        <v>mlt</v>
      </c>
      <c r="C9943" t="str">
        <f>IFERROR(__xludf.DUMMYFUNCTION("""COMPUTED_VALUE"""),"Malta")</f>
        <v>Malta</v>
      </c>
      <c r="D9943">
        <f>IFERROR(__xludf.DUMMYFUNCTION("""COMPUTED_VALUE"""),1970.0)</f>
        <v>1970</v>
      </c>
      <c r="E9943">
        <f>IFERROR(__xludf.DUMMYFUNCTION("""COMPUTED_VALUE"""),320086.0)</f>
        <v>320086</v>
      </c>
    </row>
    <row r="9944">
      <c r="A9944" t="str">
        <f t="shared" si="1"/>
        <v>mlt#1971</v>
      </c>
      <c r="B9944" t="str">
        <f>IFERROR(__xludf.DUMMYFUNCTION("""COMPUTED_VALUE"""),"mlt")</f>
        <v>mlt</v>
      </c>
      <c r="C9944" t="str">
        <f>IFERROR(__xludf.DUMMYFUNCTION("""COMPUTED_VALUE"""),"Malta")</f>
        <v>Malta</v>
      </c>
      <c r="D9944">
        <f>IFERROR(__xludf.DUMMYFUNCTION("""COMPUTED_VALUE"""),1971.0)</f>
        <v>1971</v>
      </c>
      <c r="E9944">
        <f>IFERROR(__xludf.DUMMYFUNCTION("""COMPUTED_VALUE"""),320078.0)</f>
        <v>320078</v>
      </c>
    </row>
    <row r="9945">
      <c r="A9945" t="str">
        <f t="shared" si="1"/>
        <v>mlt#1972</v>
      </c>
      <c r="B9945" t="str">
        <f>IFERROR(__xludf.DUMMYFUNCTION("""COMPUTED_VALUE"""),"mlt")</f>
        <v>mlt</v>
      </c>
      <c r="C9945" t="str">
        <f>IFERROR(__xludf.DUMMYFUNCTION("""COMPUTED_VALUE"""),"Malta")</f>
        <v>Malta</v>
      </c>
      <c r="D9945">
        <f>IFERROR(__xludf.DUMMYFUNCTION("""COMPUTED_VALUE"""),1972.0)</f>
        <v>1972</v>
      </c>
      <c r="E9945">
        <f>IFERROR(__xludf.DUMMYFUNCTION("""COMPUTED_VALUE"""),320317.0)</f>
        <v>320317</v>
      </c>
    </row>
    <row r="9946">
      <c r="A9946" t="str">
        <f t="shared" si="1"/>
        <v>mlt#1973</v>
      </c>
      <c r="B9946" t="str">
        <f>IFERROR(__xludf.DUMMYFUNCTION("""COMPUTED_VALUE"""),"mlt")</f>
        <v>mlt</v>
      </c>
      <c r="C9946" t="str">
        <f>IFERROR(__xludf.DUMMYFUNCTION("""COMPUTED_VALUE"""),"Malta")</f>
        <v>Malta</v>
      </c>
      <c r="D9946">
        <f>IFERROR(__xludf.DUMMYFUNCTION("""COMPUTED_VALUE"""),1973.0)</f>
        <v>1973</v>
      </c>
      <c r="E9946">
        <f>IFERROR(__xludf.DUMMYFUNCTION("""COMPUTED_VALUE"""),320854.0)</f>
        <v>320854</v>
      </c>
    </row>
    <row r="9947">
      <c r="A9947" t="str">
        <f t="shared" si="1"/>
        <v>mlt#1974</v>
      </c>
      <c r="B9947" t="str">
        <f>IFERROR(__xludf.DUMMYFUNCTION("""COMPUTED_VALUE"""),"mlt")</f>
        <v>mlt</v>
      </c>
      <c r="C9947" t="str">
        <f>IFERROR(__xludf.DUMMYFUNCTION("""COMPUTED_VALUE"""),"Malta")</f>
        <v>Malta</v>
      </c>
      <c r="D9947">
        <f>IFERROR(__xludf.DUMMYFUNCTION("""COMPUTED_VALUE"""),1974.0)</f>
        <v>1974</v>
      </c>
      <c r="E9947">
        <f>IFERROR(__xludf.DUMMYFUNCTION("""COMPUTED_VALUE"""),321683.0)</f>
        <v>321683</v>
      </c>
    </row>
    <row r="9948">
      <c r="A9948" t="str">
        <f t="shared" si="1"/>
        <v>mlt#1975</v>
      </c>
      <c r="B9948" t="str">
        <f>IFERROR(__xludf.DUMMYFUNCTION("""COMPUTED_VALUE"""),"mlt")</f>
        <v>mlt</v>
      </c>
      <c r="C9948" t="str">
        <f>IFERROR(__xludf.DUMMYFUNCTION("""COMPUTED_VALUE"""),"Malta")</f>
        <v>Malta</v>
      </c>
      <c r="D9948">
        <f>IFERROR(__xludf.DUMMYFUNCTION("""COMPUTED_VALUE"""),1975.0)</f>
        <v>1975</v>
      </c>
      <c r="E9948">
        <f>IFERROR(__xludf.DUMMYFUNCTION("""COMPUTED_VALUE"""),322821.0)</f>
        <v>322821</v>
      </c>
    </row>
    <row r="9949">
      <c r="A9949" t="str">
        <f t="shared" si="1"/>
        <v>mlt#1976</v>
      </c>
      <c r="B9949" t="str">
        <f>IFERROR(__xludf.DUMMYFUNCTION("""COMPUTED_VALUE"""),"mlt")</f>
        <v>mlt</v>
      </c>
      <c r="C9949" t="str">
        <f>IFERROR(__xludf.DUMMYFUNCTION("""COMPUTED_VALUE"""),"Malta")</f>
        <v>Malta</v>
      </c>
      <c r="D9949">
        <f>IFERROR(__xludf.DUMMYFUNCTION("""COMPUTED_VALUE"""),1976.0)</f>
        <v>1976</v>
      </c>
      <c r="E9949">
        <f>IFERROR(__xludf.DUMMYFUNCTION("""COMPUTED_VALUE"""),324279.0)</f>
        <v>324279</v>
      </c>
    </row>
    <row r="9950">
      <c r="A9950" t="str">
        <f t="shared" si="1"/>
        <v>mlt#1977</v>
      </c>
      <c r="B9950" t="str">
        <f>IFERROR(__xludf.DUMMYFUNCTION("""COMPUTED_VALUE"""),"mlt")</f>
        <v>mlt</v>
      </c>
      <c r="C9950" t="str">
        <f>IFERROR(__xludf.DUMMYFUNCTION("""COMPUTED_VALUE"""),"Malta")</f>
        <v>Malta</v>
      </c>
      <c r="D9950">
        <f>IFERROR(__xludf.DUMMYFUNCTION("""COMPUTED_VALUE"""),1977.0)</f>
        <v>1977</v>
      </c>
      <c r="E9950">
        <f>IFERROR(__xludf.DUMMYFUNCTION("""COMPUTED_VALUE"""),326079.0)</f>
        <v>326079</v>
      </c>
    </row>
    <row r="9951">
      <c r="A9951" t="str">
        <f t="shared" si="1"/>
        <v>mlt#1978</v>
      </c>
      <c r="B9951" t="str">
        <f>IFERROR(__xludf.DUMMYFUNCTION("""COMPUTED_VALUE"""),"mlt")</f>
        <v>mlt</v>
      </c>
      <c r="C9951" t="str">
        <f>IFERROR(__xludf.DUMMYFUNCTION("""COMPUTED_VALUE"""),"Malta")</f>
        <v>Malta</v>
      </c>
      <c r="D9951">
        <f>IFERROR(__xludf.DUMMYFUNCTION("""COMPUTED_VALUE"""),1978.0)</f>
        <v>1978</v>
      </c>
      <c r="E9951">
        <f>IFERROR(__xludf.DUMMYFUNCTION("""COMPUTED_VALUE"""),328201.0)</f>
        <v>328201</v>
      </c>
    </row>
    <row r="9952">
      <c r="A9952" t="str">
        <f t="shared" si="1"/>
        <v>mlt#1979</v>
      </c>
      <c r="B9952" t="str">
        <f>IFERROR(__xludf.DUMMYFUNCTION("""COMPUTED_VALUE"""),"mlt")</f>
        <v>mlt</v>
      </c>
      <c r="C9952" t="str">
        <f>IFERROR(__xludf.DUMMYFUNCTION("""COMPUTED_VALUE"""),"Malta")</f>
        <v>Malta</v>
      </c>
      <c r="D9952">
        <f>IFERROR(__xludf.DUMMYFUNCTION("""COMPUTED_VALUE"""),1979.0)</f>
        <v>1979</v>
      </c>
      <c r="E9952">
        <f>IFERROR(__xludf.DUMMYFUNCTION("""COMPUTED_VALUE"""),330611.0)</f>
        <v>330611</v>
      </c>
    </row>
    <row r="9953">
      <c r="A9953" t="str">
        <f t="shared" si="1"/>
        <v>mlt#1980</v>
      </c>
      <c r="B9953" t="str">
        <f>IFERROR(__xludf.DUMMYFUNCTION("""COMPUTED_VALUE"""),"mlt")</f>
        <v>mlt</v>
      </c>
      <c r="C9953" t="str">
        <f>IFERROR(__xludf.DUMMYFUNCTION("""COMPUTED_VALUE"""),"Malta")</f>
        <v>Malta</v>
      </c>
      <c r="D9953">
        <f>IFERROR(__xludf.DUMMYFUNCTION("""COMPUTED_VALUE"""),1980.0)</f>
        <v>1980</v>
      </c>
      <c r="E9953">
        <f>IFERROR(__xludf.DUMMYFUNCTION("""COMPUTED_VALUE"""),333274.0)</f>
        <v>333274</v>
      </c>
    </row>
    <row r="9954">
      <c r="A9954" t="str">
        <f t="shared" si="1"/>
        <v>mlt#1981</v>
      </c>
      <c r="B9954" t="str">
        <f>IFERROR(__xludf.DUMMYFUNCTION("""COMPUTED_VALUE"""),"mlt")</f>
        <v>mlt</v>
      </c>
      <c r="C9954" t="str">
        <f>IFERROR(__xludf.DUMMYFUNCTION("""COMPUTED_VALUE"""),"Malta")</f>
        <v>Malta</v>
      </c>
      <c r="D9954">
        <f>IFERROR(__xludf.DUMMYFUNCTION("""COMPUTED_VALUE"""),1981.0)</f>
        <v>1981</v>
      </c>
      <c r="E9954">
        <f>IFERROR(__xludf.DUMMYFUNCTION("""COMPUTED_VALUE"""),336193.0)</f>
        <v>336193</v>
      </c>
    </row>
    <row r="9955">
      <c r="A9955" t="str">
        <f t="shared" si="1"/>
        <v>mlt#1982</v>
      </c>
      <c r="B9955" t="str">
        <f>IFERROR(__xludf.DUMMYFUNCTION("""COMPUTED_VALUE"""),"mlt")</f>
        <v>mlt</v>
      </c>
      <c r="C9955" t="str">
        <f>IFERROR(__xludf.DUMMYFUNCTION("""COMPUTED_VALUE"""),"Malta")</f>
        <v>Malta</v>
      </c>
      <c r="D9955">
        <f>IFERROR(__xludf.DUMMYFUNCTION("""COMPUTED_VALUE"""),1982.0)</f>
        <v>1982</v>
      </c>
      <c r="E9955">
        <f>IFERROR(__xludf.DUMMYFUNCTION("""COMPUTED_VALUE"""),339342.0)</f>
        <v>339342</v>
      </c>
    </row>
    <row r="9956">
      <c r="A9956" t="str">
        <f t="shared" si="1"/>
        <v>mlt#1983</v>
      </c>
      <c r="B9956" t="str">
        <f>IFERROR(__xludf.DUMMYFUNCTION("""COMPUTED_VALUE"""),"mlt")</f>
        <v>mlt</v>
      </c>
      <c r="C9956" t="str">
        <f>IFERROR(__xludf.DUMMYFUNCTION("""COMPUTED_VALUE"""),"Malta")</f>
        <v>Malta</v>
      </c>
      <c r="D9956">
        <f>IFERROR(__xludf.DUMMYFUNCTION("""COMPUTED_VALUE"""),1983.0)</f>
        <v>1983</v>
      </c>
      <c r="E9956">
        <f>IFERROR(__xludf.DUMMYFUNCTION("""COMPUTED_VALUE"""),342628.0)</f>
        <v>342628</v>
      </c>
    </row>
    <row r="9957">
      <c r="A9957" t="str">
        <f t="shared" si="1"/>
        <v>mlt#1984</v>
      </c>
      <c r="B9957" t="str">
        <f>IFERROR(__xludf.DUMMYFUNCTION("""COMPUTED_VALUE"""),"mlt")</f>
        <v>mlt</v>
      </c>
      <c r="C9957" t="str">
        <f>IFERROR(__xludf.DUMMYFUNCTION("""COMPUTED_VALUE"""),"Malta")</f>
        <v>Malta</v>
      </c>
      <c r="D9957">
        <f>IFERROR(__xludf.DUMMYFUNCTION("""COMPUTED_VALUE"""),1984.0)</f>
        <v>1984</v>
      </c>
      <c r="E9957">
        <f>IFERROR(__xludf.DUMMYFUNCTION("""COMPUTED_VALUE"""),345948.0)</f>
        <v>345948</v>
      </c>
    </row>
    <row r="9958">
      <c r="A9958" t="str">
        <f t="shared" si="1"/>
        <v>mlt#1985</v>
      </c>
      <c r="B9958" t="str">
        <f>IFERROR(__xludf.DUMMYFUNCTION("""COMPUTED_VALUE"""),"mlt")</f>
        <v>mlt</v>
      </c>
      <c r="C9958" t="str">
        <f>IFERROR(__xludf.DUMMYFUNCTION("""COMPUTED_VALUE"""),"Malta")</f>
        <v>Malta</v>
      </c>
      <c r="D9958">
        <f>IFERROR(__xludf.DUMMYFUNCTION("""COMPUTED_VALUE"""),1985.0)</f>
        <v>1985</v>
      </c>
      <c r="E9958">
        <f>IFERROR(__xludf.DUMMYFUNCTION("""COMPUTED_VALUE"""),349196.0)</f>
        <v>349196</v>
      </c>
    </row>
    <row r="9959">
      <c r="A9959" t="str">
        <f t="shared" si="1"/>
        <v>mlt#1986</v>
      </c>
      <c r="B9959" t="str">
        <f>IFERROR(__xludf.DUMMYFUNCTION("""COMPUTED_VALUE"""),"mlt")</f>
        <v>mlt</v>
      </c>
      <c r="C9959" t="str">
        <f>IFERROR(__xludf.DUMMYFUNCTION("""COMPUTED_VALUE"""),"Malta")</f>
        <v>Malta</v>
      </c>
      <c r="D9959">
        <f>IFERROR(__xludf.DUMMYFUNCTION("""COMPUTED_VALUE"""),1986.0)</f>
        <v>1986</v>
      </c>
      <c r="E9959">
        <f>IFERROR(__xludf.DUMMYFUNCTION("""COMPUTED_VALUE"""),352336.0)</f>
        <v>352336</v>
      </c>
    </row>
    <row r="9960">
      <c r="A9960" t="str">
        <f t="shared" si="1"/>
        <v>mlt#1987</v>
      </c>
      <c r="B9960" t="str">
        <f>IFERROR(__xludf.DUMMYFUNCTION("""COMPUTED_VALUE"""),"mlt")</f>
        <v>mlt</v>
      </c>
      <c r="C9960" t="str">
        <f>IFERROR(__xludf.DUMMYFUNCTION("""COMPUTED_VALUE"""),"Malta")</f>
        <v>Malta</v>
      </c>
      <c r="D9960">
        <f>IFERROR(__xludf.DUMMYFUNCTION("""COMPUTED_VALUE"""),1987.0)</f>
        <v>1987</v>
      </c>
      <c r="E9960">
        <f>IFERROR(__xludf.DUMMYFUNCTION("""COMPUTED_VALUE"""),355387.0)</f>
        <v>355387</v>
      </c>
    </row>
    <row r="9961">
      <c r="A9961" t="str">
        <f t="shared" si="1"/>
        <v>mlt#1988</v>
      </c>
      <c r="B9961" t="str">
        <f>IFERROR(__xludf.DUMMYFUNCTION("""COMPUTED_VALUE"""),"mlt")</f>
        <v>mlt</v>
      </c>
      <c r="C9961" t="str">
        <f>IFERROR(__xludf.DUMMYFUNCTION("""COMPUTED_VALUE"""),"Malta")</f>
        <v>Malta</v>
      </c>
      <c r="D9961">
        <f>IFERROR(__xludf.DUMMYFUNCTION("""COMPUTED_VALUE"""),1988.0)</f>
        <v>1988</v>
      </c>
      <c r="E9961">
        <f>IFERROR(__xludf.DUMMYFUNCTION("""COMPUTED_VALUE"""),358378.0)</f>
        <v>358378</v>
      </c>
    </row>
    <row r="9962">
      <c r="A9962" t="str">
        <f t="shared" si="1"/>
        <v>mlt#1989</v>
      </c>
      <c r="B9962" t="str">
        <f>IFERROR(__xludf.DUMMYFUNCTION("""COMPUTED_VALUE"""),"mlt")</f>
        <v>mlt</v>
      </c>
      <c r="C9962" t="str">
        <f>IFERROR(__xludf.DUMMYFUNCTION("""COMPUTED_VALUE"""),"Malta")</f>
        <v>Malta</v>
      </c>
      <c r="D9962">
        <f>IFERROR(__xludf.DUMMYFUNCTION("""COMPUTED_VALUE"""),1989.0)</f>
        <v>1989</v>
      </c>
      <c r="E9962">
        <f>IFERROR(__xludf.DUMMYFUNCTION("""COMPUTED_VALUE"""),361381.0)</f>
        <v>361381</v>
      </c>
    </row>
    <row r="9963">
      <c r="A9963" t="str">
        <f t="shared" si="1"/>
        <v>mlt#1990</v>
      </c>
      <c r="B9963" t="str">
        <f>IFERROR(__xludf.DUMMYFUNCTION("""COMPUTED_VALUE"""),"mlt")</f>
        <v>mlt</v>
      </c>
      <c r="C9963" t="str">
        <f>IFERROR(__xludf.DUMMYFUNCTION("""COMPUTED_VALUE"""),"Malta")</f>
        <v>Malta</v>
      </c>
      <c r="D9963">
        <f>IFERROR(__xludf.DUMMYFUNCTION("""COMPUTED_VALUE"""),1990.0)</f>
        <v>1990</v>
      </c>
      <c r="E9963">
        <f>IFERROR(__xludf.DUMMYFUNCTION("""COMPUTED_VALUE"""),364431.0)</f>
        <v>364431</v>
      </c>
    </row>
    <row r="9964">
      <c r="A9964" t="str">
        <f t="shared" si="1"/>
        <v>mlt#1991</v>
      </c>
      <c r="B9964" t="str">
        <f>IFERROR(__xludf.DUMMYFUNCTION("""COMPUTED_VALUE"""),"mlt")</f>
        <v>mlt</v>
      </c>
      <c r="C9964" t="str">
        <f>IFERROR(__xludf.DUMMYFUNCTION("""COMPUTED_VALUE"""),"Malta")</f>
        <v>Malta</v>
      </c>
      <c r="D9964">
        <f>IFERROR(__xludf.DUMMYFUNCTION("""COMPUTED_VALUE"""),1991.0)</f>
        <v>1991</v>
      </c>
      <c r="E9964">
        <f>IFERROR(__xludf.DUMMYFUNCTION("""COMPUTED_VALUE"""),367528.0)</f>
        <v>367528</v>
      </c>
    </row>
    <row r="9965">
      <c r="A9965" t="str">
        <f t="shared" si="1"/>
        <v>mlt#1992</v>
      </c>
      <c r="B9965" t="str">
        <f>IFERROR(__xludf.DUMMYFUNCTION("""COMPUTED_VALUE"""),"mlt")</f>
        <v>mlt</v>
      </c>
      <c r="C9965" t="str">
        <f>IFERROR(__xludf.DUMMYFUNCTION("""COMPUTED_VALUE"""),"Malta")</f>
        <v>Malta</v>
      </c>
      <c r="D9965">
        <f>IFERROR(__xludf.DUMMYFUNCTION("""COMPUTED_VALUE"""),1992.0)</f>
        <v>1992</v>
      </c>
      <c r="E9965">
        <f>IFERROR(__xludf.DUMMYFUNCTION("""COMPUTED_VALUE"""),370642.0)</f>
        <v>370642</v>
      </c>
    </row>
    <row r="9966">
      <c r="A9966" t="str">
        <f t="shared" si="1"/>
        <v>mlt#1993</v>
      </c>
      <c r="B9966" t="str">
        <f>IFERROR(__xludf.DUMMYFUNCTION("""COMPUTED_VALUE"""),"mlt")</f>
        <v>mlt</v>
      </c>
      <c r="C9966" t="str">
        <f>IFERROR(__xludf.DUMMYFUNCTION("""COMPUTED_VALUE"""),"Malta")</f>
        <v>Malta</v>
      </c>
      <c r="D9966">
        <f>IFERROR(__xludf.DUMMYFUNCTION("""COMPUTED_VALUE"""),1993.0)</f>
        <v>1993</v>
      </c>
      <c r="E9966">
        <f>IFERROR(__xludf.DUMMYFUNCTION("""COMPUTED_VALUE"""),373784.0)</f>
        <v>373784</v>
      </c>
    </row>
    <row r="9967">
      <c r="A9967" t="str">
        <f t="shared" si="1"/>
        <v>mlt#1994</v>
      </c>
      <c r="B9967" t="str">
        <f>IFERROR(__xludf.DUMMYFUNCTION("""COMPUTED_VALUE"""),"mlt")</f>
        <v>mlt</v>
      </c>
      <c r="C9967" t="str">
        <f>IFERROR(__xludf.DUMMYFUNCTION("""COMPUTED_VALUE"""),"Malta")</f>
        <v>Malta</v>
      </c>
      <c r="D9967">
        <f>IFERROR(__xludf.DUMMYFUNCTION("""COMPUTED_VALUE"""),1994.0)</f>
        <v>1994</v>
      </c>
      <c r="E9967">
        <f>IFERROR(__xludf.DUMMYFUNCTION("""COMPUTED_VALUE"""),377006.0)</f>
        <v>377006</v>
      </c>
    </row>
    <row r="9968">
      <c r="A9968" t="str">
        <f t="shared" si="1"/>
        <v>mlt#1995</v>
      </c>
      <c r="B9968" t="str">
        <f>IFERROR(__xludf.DUMMYFUNCTION("""COMPUTED_VALUE"""),"mlt")</f>
        <v>mlt</v>
      </c>
      <c r="C9968" t="str">
        <f>IFERROR(__xludf.DUMMYFUNCTION("""COMPUTED_VALUE"""),"Malta")</f>
        <v>Malta</v>
      </c>
      <c r="D9968">
        <f>IFERROR(__xludf.DUMMYFUNCTION("""COMPUTED_VALUE"""),1995.0)</f>
        <v>1995</v>
      </c>
      <c r="E9968">
        <f>IFERROR(__xludf.DUMMYFUNCTION("""COMPUTED_VALUE"""),380305.0)</f>
        <v>380305</v>
      </c>
    </row>
    <row r="9969">
      <c r="A9969" t="str">
        <f t="shared" si="1"/>
        <v>mlt#1996</v>
      </c>
      <c r="B9969" t="str">
        <f>IFERROR(__xludf.DUMMYFUNCTION("""COMPUTED_VALUE"""),"mlt")</f>
        <v>mlt</v>
      </c>
      <c r="C9969" t="str">
        <f>IFERROR(__xludf.DUMMYFUNCTION("""COMPUTED_VALUE"""),"Malta")</f>
        <v>Malta</v>
      </c>
      <c r="D9969">
        <f>IFERROR(__xludf.DUMMYFUNCTION("""COMPUTED_VALUE"""),1996.0)</f>
        <v>1996</v>
      </c>
      <c r="E9969">
        <f>IFERROR(__xludf.DUMMYFUNCTION("""COMPUTED_VALUE"""),383710.0)</f>
        <v>383710</v>
      </c>
    </row>
    <row r="9970">
      <c r="A9970" t="str">
        <f t="shared" si="1"/>
        <v>mlt#1997</v>
      </c>
      <c r="B9970" t="str">
        <f>IFERROR(__xludf.DUMMYFUNCTION("""COMPUTED_VALUE"""),"mlt")</f>
        <v>mlt</v>
      </c>
      <c r="C9970" t="str">
        <f>IFERROR(__xludf.DUMMYFUNCTION("""COMPUTED_VALUE"""),"Malta")</f>
        <v>Malta</v>
      </c>
      <c r="D9970">
        <f>IFERROR(__xludf.DUMMYFUNCTION("""COMPUTED_VALUE"""),1997.0)</f>
        <v>1997</v>
      </c>
      <c r="E9970">
        <f>IFERROR(__xludf.DUMMYFUNCTION("""COMPUTED_VALUE"""),387184.0)</f>
        <v>387184</v>
      </c>
    </row>
    <row r="9971">
      <c r="A9971" t="str">
        <f t="shared" si="1"/>
        <v>mlt#1998</v>
      </c>
      <c r="B9971" t="str">
        <f>IFERROR(__xludf.DUMMYFUNCTION("""COMPUTED_VALUE"""),"mlt")</f>
        <v>mlt</v>
      </c>
      <c r="C9971" t="str">
        <f>IFERROR(__xludf.DUMMYFUNCTION("""COMPUTED_VALUE"""),"Malta")</f>
        <v>Malta</v>
      </c>
      <c r="D9971">
        <f>IFERROR(__xludf.DUMMYFUNCTION("""COMPUTED_VALUE"""),1998.0)</f>
        <v>1998</v>
      </c>
      <c r="E9971">
        <f>IFERROR(__xludf.DUMMYFUNCTION("""COMPUTED_VALUE"""),390605.0)</f>
        <v>390605</v>
      </c>
    </row>
    <row r="9972">
      <c r="A9972" t="str">
        <f t="shared" si="1"/>
        <v>mlt#1999</v>
      </c>
      <c r="B9972" t="str">
        <f>IFERROR(__xludf.DUMMYFUNCTION("""COMPUTED_VALUE"""),"mlt")</f>
        <v>mlt</v>
      </c>
      <c r="C9972" t="str">
        <f>IFERROR(__xludf.DUMMYFUNCTION("""COMPUTED_VALUE"""),"Malta")</f>
        <v>Malta</v>
      </c>
      <c r="D9972">
        <f>IFERROR(__xludf.DUMMYFUNCTION("""COMPUTED_VALUE"""),1999.0)</f>
        <v>1999</v>
      </c>
      <c r="E9972">
        <f>IFERROR(__xludf.DUMMYFUNCTION("""COMPUTED_VALUE"""),393805.0)</f>
        <v>393805</v>
      </c>
    </row>
    <row r="9973">
      <c r="A9973" t="str">
        <f t="shared" si="1"/>
        <v>mlt#2000</v>
      </c>
      <c r="B9973" t="str">
        <f>IFERROR(__xludf.DUMMYFUNCTION("""COMPUTED_VALUE"""),"mlt")</f>
        <v>mlt</v>
      </c>
      <c r="C9973" t="str">
        <f>IFERROR(__xludf.DUMMYFUNCTION("""COMPUTED_VALUE"""),"Malta")</f>
        <v>Malta</v>
      </c>
      <c r="D9973">
        <f>IFERROR(__xludf.DUMMYFUNCTION("""COMPUTED_VALUE"""),2000.0)</f>
        <v>2000</v>
      </c>
      <c r="E9973">
        <f>IFERROR(__xludf.DUMMYFUNCTION("""COMPUTED_VALUE"""),396668.0)</f>
        <v>396668</v>
      </c>
    </row>
    <row r="9974">
      <c r="A9974" t="str">
        <f t="shared" si="1"/>
        <v>mlt#2001</v>
      </c>
      <c r="B9974" t="str">
        <f>IFERROR(__xludf.DUMMYFUNCTION("""COMPUTED_VALUE"""),"mlt")</f>
        <v>mlt</v>
      </c>
      <c r="C9974" t="str">
        <f>IFERROR(__xludf.DUMMYFUNCTION("""COMPUTED_VALUE"""),"Malta")</f>
        <v>Malta</v>
      </c>
      <c r="D9974">
        <f>IFERROR(__xludf.DUMMYFUNCTION("""COMPUTED_VALUE"""),2001.0)</f>
        <v>2001</v>
      </c>
      <c r="E9974">
        <f>IFERROR(__xludf.DUMMYFUNCTION("""COMPUTED_VALUE"""),399155.0)</f>
        <v>399155</v>
      </c>
    </row>
    <row r="9975">
      <c r="A9975" t="str">
        <f t="shared" si="1"/>
        <v>mlt#2002</v>
      </c>
      <c r="B9975" t="str">
        <f>IFERROR(__xludf.DUMMYFUNCTION("""COMPUTED_VALUE"""),"mlt")</f>
        <v>mlt</v>
      </c>
      <c r="C9975" t="str">
        <f>IFERROR(__xludf.DUMMYFUNCTION("""COMPUTED_VALUE"""),"Malta")</f>
        <v>Malta</v>
      </c>
      <c r="D9975">
        <f>IFERROR(__xludf.DUMMYFUNCTION("""COMPUTED_VALUE"""),2002.0)</f>
        <v>2002</v>
      </c>
      <c r="E9975">
        <f>IFERROR(__xludf.DUMMYFUNCTION("""COMPUTED_VALUE"""),401303.0)</f>
        <v>401303</v>
      </c>
    </row>
    <row r="9976">
      <c r="A9976" t="str">
        <f t="shared" si="1"/>
        <v>mlt#2003</v>
      </c>
      <c r="B9976" t="str">
        <f>IFERROR(__xludf.DUMMYFUNCTION("""COMPUTED_VALUE"""),"mlt")</f>
        <v>mlt</v>
      </c>
      <c r="C9976" t="str">
        <f>IFERROR(__xludf.DUMMYFUNCTION("""COMPUTED_VALUE"""),"Malta")</f>
        <v>Malta</v>
      </c>
      <c r="D9976">
        <f>IFERROR(__xludf.DUMMYFUNCTION("""COMPUTED_VALUE"""),2003.0)</f>
        <v>2003</v>
      </c>
      <c r="E9976">
        <f>IFERROR(__xludf.DUMMYFUNCTION("""COMPUTED_VALUE"""),403211.0)</f>
        <v>403211</v>
      </c>
    </row>
    <row r="9977">
      <c r="A9977" t="str">
        <f t="shared" si="1"/>
        <v>mlt#2004</v>
      </c>
      <c r="B9977" t="str">
        <f>IFERROR(__xludf.DUMMYFUNCTION("""COMPUTED_VALUE"""),"mlt")</f>
        <v>mlt</v>
      </c>
      <c r="C9977" t="str">
        <f>IFERROR(__xludf.DUMMYFUNCTION("""COMPUTED_VALUE"""),"Malta")</f>
        <v>Malta</v>
      </c>
      <c r="D9977">
        <f>IFERROR(__xludf.DUMMYFUNCTION("""COMPUTED_VALUE"""),2004.0)</f>
        <v>2004</v>
      </c>
      <c r="E9977">
        <f>IFERROR(__xludf.DUMMYFUNCTION("""COMPUTED_VALUE"""),405007.0)</f>
        <v>405007</v>
      </c>
    </row>
    <row r="9978">
      <c r="A9978" t="str">
        <f t="shared" si="1"/>
        <v>mlt#2005</v>
      </c>
      <c r="B9978" t="str">
        <f>IFERROR(__xludf.DUMMYFUNCTION("""COMPUTED_VALUE"""),"mlt")</f>
        <v>mlt</v>
      </c>
      <c r="C9978" t="str">
        <f>IFERROR(__xludf.DUMMYFUNCTION("""COMPUTED_VALUE"""),"Malta")</f>
        <v>Malta</v>
      </c>
      <c r="D9978">
        <f>IFERROR(__xludf.DUMMYFUNCTION("""COMPUTED_VALUE"""),2005.0)</f>
        <v>2005</v>
      </c>
      <c r="E9978">
        <f>IFERROR(__xludf.DUMMYFUNCTION("""COMPUTED_VALUE"""),406787.0)</f>
        <v>406787</v>
      </c>
    </row>
    <row r="9979">
      <c r="A9979" t="str">
        <f t="shared" si="1"/>
        <v>mlt#2006</v>
      </c>
      <c r="B9979" t="str">
        <f>IFERROR(__xludf.DUMMYFUNCTION("""COMPUTED_VALUE"""),"mlt")</f>
        <v>mlt</v>
      </c>
      <c r="C9979" t="str">
        <f>IFERROR(__xludf.DUMMYFUNCTION("""COMPUTED_VALUE"""),"Malta")</f>
        <v>Malta</v>
      </c>
      <c r="D9979">
        <f>IFERROR(__xludf.DUMMYFUNCTION("""COMPUTED_VALUE"""),2006.0)</f>
        <v>2006</v>
      </c>
      <c r="E9979">
        <f>IFERROR(__xludf.DUMMYFUNCTION("""COMPUTED_VALUE"""),408563.0)</f>
        <v>408563</v>
      </c>
    </row>
    <row r="9980">
      <c r="A9980" t="str">
        <f t="shared" si="1"/>
        <v>mlt#2007</v>
      </c>
      <c r="B9980" t="str">
        <f>IFERROR(__xludf.DUMMYFUNCTION("""COMPUTED_VALUE"""),"mlt")</f>
        <v>mlt</v>
      </c>
      <c r="C9980" t="str">
        <f>IFERROR(__xludf.DUMMYFUNCTION("""COMPUTED_VALUE"""),"Malta")</f>
        <v>Malta</v>
      </c>
      <c r="D9980">
        <f>IFERROR(__xludf.DUMMYFUNCTION("""COMPUTED_VALUE"""),2007.0)</f>
        <v>2007</v>
      </c>
      <c r="E9980">
        <f>IFERROR(__xludf.DUMMYFUNCTION("""COMPUTED_VALUE"""),410324.0)</f>
        <v>410324</v>
      </c>
    </row>
    <row r="9981">
      <c r="A9981" t="str">
        <f t="shared" si="1"/>
        <v>mlt#2008</v>
      </c>
      <c r="B9981" t="str">
        <f>IFERROR(__xludf.DUMMYFUNCTION("""COMPUTED_VALUE"""),"mlt")</f>
        <v>mlt</v>
      </c>
      <c r="C9981" t="str">
        <f>IFERROR(__xludf.DUMMYFUNCTION("""COMPUTED_VALUE"""),"Malta")</f>
        <v>Malta</v>
      </c>
      <c r="D9981">
        <f>IFERROR(__xludf.DUMMYFUNCTION("""COMPUTED_VALUE"""),2008.0)</f>
        <v>2008</v>
      </c>
      <c r="E9981">
        <f>IFERROR(__xludf.DUMMYFUNCTION("""COMPUTED_VALUE"""),412128.0)</f>
        <v>412128</v>
      </c>
    </row>
    <row r="9982">
      <c r="A9982" t="str">
        <f t="shared" si="1"/>
        <v>mlt#2009</v>
      </c>
      <c r="B9982" t="str">
        <f>IFERROR(__xludf.DUMMYFUNCTION("""COMPUTED_VALUE"""),"mlt")</f>
        <v>mlt</v>
      </c>
      <c r="C9982" t="str">
        <f>IFERROR(__xludf.DUMMYFUNCTION("""COMPUTED_VALUE"""),"Malta")</f>
        <v>Malta</v>
      </c>
      <c r="D9982">
        <f>IFERROR(__xludf.DUMMYFUNCTION("""COMPUTED_VALUE"""),2009.0)</f>
        <v>2009</v>
      </c>
      <c r="E9982">
        <f>IFERROR(__xludf.DUMMYFUNCTION("""COMPUTED_VALUE"""),414045.0)</f>
        <v>414045</v>
      </c>
    </row>
    <row r="9983">
      <c r="A9983" t="str">
        <f t="shared" si="1"/>
        <v>mlt#2010</v>
      </c>
      <c r="B9983" t="str">
        <f>IFERROR(__xludf.DUMMYFUNCTION("""COMPUTED_VALUE"""),"mlt")</f>
        <v>mlt</v>
      </c>
      <c r="C9983" t="str">
        <f>IFERROR(__xludf.DUMMYFUNCTION("""COMPUTED_VALUE"""),"Malta")</f>
        <v>Malta</v>
      </c>
      <c r="D9983">
        <f>IFERROR(__xludf.DUMMYFUNCTION("""COMPUTED_VALUE"""),2010.0)</f>
        <v>2010</v>
      </c>
      <c r="E9983">
        <f>IFERROR(__xludf.DUMMYFUNCTION("""COMPUTED_VALUE"""),416110.0)</f>
        <v>416110</v>
      </c>
    </row>
    <row r="9984">
      <c r="A9984" t="str">
        <f t="shared" si="1"/>
        <v>mlt#2011</v>
      </c>
      <c r="B9984" t="str">
        <f>IFERROR(__xludf.DUMMYFUNCTION("""COMPUTED_VALUE"""),"mlt")</f>
        <v>mlt</v>
      </c>
      <c r="C9984" t="str">
        <f>IFERROR(__xludf.DUMMYFUNCTION("""COMPUTED_VALUE"""),"Malta")</f>
        <v>Malta</v>
      </c>
      <c r="D9984">
        <f>IFERROR(__xludf.DUMMYFUNCTION("""COMPUTED_VALUE"""),2011.0)</f>
        <v>2011</v>
      </c>
      <c r="E9984">
        <f>IFERROR(__xludf.DUMMYFUNCTION("""COMPUTED_VALUE"""),418367.0)</f>
        <v>418367</v>
      </c>
    </row>
    <row r="9985">
      <c r="A9985" t="str">
        <f t="shared" si="1"/>
        <v>mlt#2012</v>
      </c>
      <c r="B9985" t="str">
        <f>IFERROR(__xludf.DUMMYFUNCTION("""COMPUTED_VALUE"""),"mlt")</f>
        <v>mlt</v>
      </c>
      <c r="C9985" t="str">
        <f>IFERROR(__xludf.DUMMYFUNCTION("""COMPUTED_VALUE"""),"Malta")</f>
        <v>Malta</v>
      </c>
      <c r="D9985">
        <f>IFERROR(__xludf.DUMMYFUNCTION("""COMPUTED_VALUE"""),2012.0)</f>
        <v>2012</v>
      </c>
      <c r="E9985">
        <f>IFERROR(__xludf.DUMMYFUNCTION("""COMPUTED_VALUE"""),420789.0)</f>
        <v>420789</v>
      </c>
    </row>
    <row r="9986">
      <c r="A9986" t="str">
        <f t="shared" si="1"/>
        <v>mlt#2013</v>
      </c>
      <c r="B9986" t="str">
        <f>IFERROR(__xludf.DUMMYFUNCTION("""COMPUTED_VALUE"""),"mlt")</f>
        <v>mlt</v>
      </c>
      <c r="C9986" t="str">
        <f>IFERROR(__xludf.DUMMYFUNCTION("""COMPUTED_VALUE"""),"Malta")</f>
        <v>Malta</v>
      </c>
      <c r="D9986">
        <f>IFERROR(__xludf.DUMMYFUNCTION("""COMPUTED_VALUE"""),2013.0)</f>
        <v>2013</v>
      </c>
      <c r="E9986">
        <f>IFERROR(__xludf.DUMMYFUNCTION("""COMPUTED_VALUE"""),423246.0)</f>
        <v>423246</v>
      </c>
    </row>
    <row r="9987">
      <c r="A9987" t="str">
        <f t="shared" si="1"/>
        <v>mlt#2014</v>
      </c>
      <c r="B9987" t="str">
        <f>IFERROR(__xludf.DUMMYFUNCTION("""COMPUTED_VALUE"""),"mlt")</f>
        <v>mlt</v>
      </c>
      <c r="C9987" t="str">
        <f>IFERROR(__xludf.DUMMYFUNCTION("""COMPUTED_VALUE"""),"Malta")</f>
        <v>Malta</v>
      </c>
      <c r="D9987">
        <f>IFERROR(__xludf.DUMMYFUNCTION("""COMPUTED_VALUE"""),2014.0)</f>
        <v>2014</v>
      </c>
      <c r="E9987">
        <f>IFERROR(__xludf.DUMMYFUNCTION("""COMPUTED_VALUE"""),425570.0)</f>
        <v>425570</v>
      </c>
    </row>
    <row r="9988">
      <c r="A9988" t="str">
        <f t="shared" si="1"/>
        <v>mlt#2015</v>
      </c>
      <c r="B9988" t="str">
        <f>IFERROR(__xludf.DUMMYFUNCTION("""COMPUTED_VALUE"""),"mlt")</f>
        <v>mlt</v>
      </c>
      <c r="C9988" t="str">
        <f>IFERROR(__xludf.DUMMYFUNCTION("""COMPUTED_VALUE"""),"Malta")</f>
        <v>Malta</v>
      </c>
      <c r="D9988">
        <f>IFERROR(__xludf.DUMMYFUNCTION("""COMPUTED_VALUE"""),2015.0)</f>
        <v>2015</v>
      </c>
      <c r="E9988">
        <f>IFERROR(__xludf.DUMMYFUNCTION("""COMPUTED_VALUE"""),427616.0)</f>
        <v>427616</v>
      </c>
    </row>
    <row r="9989">
      <c r="A9989" t="str">
        <f t="shared" si="1"/>
        <v>mlt#2016</v>
      </c>
      <c r="B9989" t="str">
        <f>IFERROR(__xludf.DUMMYFUNCTION("""COMPUTED_VALUE"""),"mlt")</f>
        <v>mlt</v>
      </c>
      <c r="C9989" t="str">
        <f>IFERROR(__xludf.DUMMYFUNCTION("""COMPUTED_VALUE"""),"Malta")</f>
        <v>Malta</v>
      </c>
      <c r="D9989">
        <f>IFERROR(__xludf.DUMMYFUNCTION("""COMPUTED_VALUE"""),2016.0)</f>
        <v>2016</v>
      </c>
      <c r="E9989">
        <f>IFERROR(__xludf.DUMMYFUNCTION("""COMPUTED_VALUE"""),429362.0)</f>
        <v>429362</v>
      </c>
    </row>
    <row r="9990">
      <c r="A9990" t="str">
        <f t="shared" si="1"/>
        <v>mlt#2017</v>
      </c>
      <c r="B9990" t="str">
        <f>IFERROR(__xludf.DUMMYFUNCTION("""COMPUTED_VALUE"""),"mlt")</f>
        <v>mlt</v>
      </c>
      <c r="C9990" t="str">
        <f>IFERROR(__xludf.DUMMYFUNCTION("""COMPUTED_VALUE"""),"Malta")</f>
        <v>Malta</v>
      </c>
      <c r="D9990">
        <f>IFERROR(__xludf.DUMMYFUNCTION("""COMPUTED_VALUE"""),2017.0)</f>
        <v>2017</v>
      </c>
      <c r="E9990">
        <f>IFERROR(__xludf.DUMMYFUNCTION("""COMPUTED_VALUE"""),430835.0)</f>
        <v>430835</v>
      </c>
    </row>
    <row r="9991">
      <c r="A9991" t="str">
        <f t="shared" si="1"/>
        <v>mlt#2018</v>
      </c>
      <c r="B9991" t="str">
        <f>IFERROR(__xludf.DUMMYFUNCTION("""COMPUTED_VALUE"""),"mlt")</f>
        <v>mlt</v>
      </c>
      <c r="C9991" t="str">
        <f>IFERROR(__xludf.DUMMYFUNCTION("""COMPUTED_VALUE"""),"Malta")</f>
        <v>Malta</v>
      </c>
      <c r="D9991">
        <f>IFERROR(__xludf.DUMMYFUNCTION("""COMPUTED_VALUE"""),2018.0)</f>
        <v>2018</v>
      </c>
      <c r="E9991">
        <f>IFERROR(__xludf.DUMMYFUNCTION("""COMPUTED_VALUE"""),432089.0)</f>
        <v>432089</v>
      </c>
    </row>
    <row r="9992">
      <c r="A9992" t="str">
        <f t="shared" si="1"/>
        <v>mlt#2019</v>
      </c>
      <c r="B9992" t="str">
        <f>IFERROR(__xludf.DUMMYFUNCTION("""COMPUTED_VALUE"""),"mlt")</f>
        <v>mlt</v>
      </c>
      <c r="C9992" t="str">
        <f>IFERROR(__xludf.DUMMYFUNCTION("""COMPUTED_VALUE"""),"Malta")</f>
        <v>Malta</v>
      </c>
      <c r="D9992">
        <f>IFERROR(__xludf.DUMMYFUNCTION("""COMPUTED_VALUE"""),2019.0)</f>
        <v>2019</v>
      </c>
      <c r="E9992">
        <f>IFERROR(__xludf.DUMMYFUNCTION("""COMPUTED_VALUE"""),433245.0)</f>
        <v>433245</v>
      </c>
    </row>
    <row r="9993">
      <c r="A9993" t="str">
        <f t="shared" si="1"/>
        <v>mlt#2020</v>
      </c>
      <c r="B9993" t="str">
        <f>IFERROR(__xludf.DUMMYFUNCTION("""COMPUTED_VALUE"""),"mlt")</f>
        <v>mlt</v>
      </c>
      <c r="C9993" t="str">
        <f>IFERROR(__xludf.DUMMYFUNCTION("""COMPUTED_VALUE"""),"Malta")</f>
        <v>Malta</v>
      </c>
      <c r="D9993">
        <f>IFERROR(__xludf.DUMMYFUNCTION("""COMPUTED_VALUE"""),2020.0)</f>
        <v>2020</v>
      </c>
      <c r="E9993">
        <f>IFERROR(__xludf.DUMMYFUNCTION("""COMPUTED_VALUE"""),434363.0)</f>
        <v>434363</v>
      </c>
    </row>
    <row r="9994">
      <c r="A9994" t="str">
        <f t="shared" si="1"/>
        <v>mlt#2021</v>
      </c>
      <c r="B9994" t="str">
        <f>IFERROR(__xludf.DUMMYFUNCTION("""COMPUTED_VALUE"""),"mlt")</f>
        <v>mlt</v>
      </c>
      <c r="C9994" t="str">
        <f>IFERROR(__xludf.DUMMYFUNCTION("""COMPUTED_VALUE"""),"Malta")</f>
        <v>Malta</v>
      </c>
      <c r="D9994">
        <f>IFERROR(__xludf.DUMMYFUNCTION("""COMPUTED_VALUE"""),2021.0)</f>
        <v>2021</v>
      </c>
      <c r="E9994">
        <f>IFERROR(__xludf.DUMMYFUNCTION("""COMPUTED_VALUE"""),435469.0)</f>
        <v>435469</v>
      </c>
    </row>
    <row r="9995">
      <c r="A9995" t="str">
        <f t="shared" si="1"/>
        <v>mlt#2022</v>
      </c>
      <c r="B9995" t="str">
        <f>IFERROR(__xludf.DUMMYFUNCTION("""COMPUTED_VALUE"""),"mlt")</f>
        <v>mlt</v>
      </c>
      <c r="C9995" t="str">
        <f>IFERROR(__xludf.DUMMYFUNCTION("""COMPUTED_VALUE"""),"Malta")</f>
        <v>Malta</v>
      </c>
      <c r="D9995">
        <f>IFERROR(__xludf.DUMMYFUNCTION("""COMPUTED_VALUE"""),2022.0)</f>
        <v>2022</v>
      </c>
      <c r="E9995">
        <f>IFERROR(__xludf.DUMMYFUNCTION("""COMPUTED_VALUE"""),436533.0)</f>
        <v>436533</v>
      </c>
    </row>
    <row r="9996">
      <c r="A9996" t="str">
        <f t="shared" si="1"/>
        <v>mlt#2023</v>
      </c>
      <c r="B9996" t="str">
        <f>IFERROR(__xludf.DUMMYFUNCTION("""COMPUTED_VALUE"""),"mlt")</f>
        <v>mlt</v>
      </c>
      <c r="C9996" t="str">
        <f>IFERROR(__xludf.DUMMYFUNCTION("""COMPUTED_VALUE"""),"Malta")</f>
        <v>Malta</v>
      </c>
      <c r="D9996">
        <f>IFERROR(__xludf.DUMMYFUNCTION("""COMPUTED_VALUE"""),2023.0)</f>
        <v>2023</v>
      </c>
      <c r="E9996">
        <f>IFERROR(__xludf.DUMMYFUNCTION("""COMPUTED_VALUE"""),437509.0)</f>
        <v>437509</v>
      </c>
    </row>
    <row r="9997">
      <c r="A9997" t="str">
        <f t="shared" si="1"/>
        <v>mlt#2024</v>
      </c>
      <c r="B9997" t="str">
        <f>IFERROR(__xludf.DUMMYFUNCTION("""COMPUTED_VALUE"""),"mlt")</f>
        <v>mlt</v>
      </c>
      <c r="C9997" t="str">
        <f>IFERROR(__xludf.DUMMYFUNCTION("""COMPUTED_VALUE"""),"Malta")</f>
        <v>Malta</v>
      </c>
      <c r="D9997">
        <f>IFERROR(__xludf.DUMMYFUNCTION("""COMPUTED_VALUE"""),2024.0)</f>
        <v>2024</v>
      </c>
      <c r="E9997">
        <f>IFERROR(__xludf.DUMMYFUNCTION("""COMPUTED_VALUE"""),438352.0)</f>
        <v>438352</v>
      </c>
    </row>
    <row r="9998">
      <c r="A9998" t="str">
        <f t="shared" si="1"/>
        <v>mlt#2025</v>
      </c>
      <c r="B9998" t="str">
        <f>IFERROR(__xludf.DUMMYFUNCTION("""COMPUTED_VALUE"""),"mlt")</f>
        <v>mlt</v>
      </c>
      <c r="C9998" t="str">
        <f>IFERROR(__xludf.DUMMYFUNCTION("""COMPUTED_VALUE"""),"Malta")</f>
        <v>Malta</v>
      </c>
      <c r="D9998">
        <f>IFERROR(__xludf.DUMMYFUNCTION("""COMPUTED_VALUE"""),2025.0)</f>
        <v>2025</v>
      </c>
      <c r="E9998">
        <f>IFERROR(__xludf.DUMMYFUNCTION("""COMPUTED_VALUE"""),439036.0)</f>
        <v>439036</v>
      </c>
    </row>
    <row r="9999">
      <c r="A9999" t="str">
        <f t="shared" si="1"/>
        <v>mlt#2026</v>
      </c>
      <c r="B9999" t="str">
        <f>IFERROR(__xludf.DUMMYFUNCTION("""COMPUTED_VALUE"""),"mlt")</f>
        <v>mlt</v>
      </c>
      <c r="C9999" t="str">
        <f>IFERROR(__xludf.DUMMYFUNCTION("""COMPUTED_VALUE"""),"Malta")</f>
        <v>Malta</v>
      </c>
      <c r="D9999">
        <f>IFERROR(__xludf.DUMMYFUNCTION("""COMPUTED_VALUE"""),2026.0)</f>
        <v>2026</v>
      </c>
      <c r="E9999">
        <f>IFERROR(__xludf.DUMMYFUNCTION("""COMPUTED_VALUE"""),439555.0)</f>
        <v>439555</v>
      </c>
    </row>
    <row r="10000">
      <c r="A10000" t="str">
        <f t="shared" si="1"/>
        <v>mlt#2027</v>
      </c>
      <c r="B10000" t="str">
        <f>IFERROR(__xludf.DUMMYFUNCTION("""COMPUTED_VALUE"""),"mlt")</f>
        <v>mlt</v>
      </c>
      <c r="C10000" t="str">
        <f>IFERROR(__xludf.DUMMYFUNCTION("""COMPUTED_VALUE"""),"Malta")</f>
        <v>Malta</v>
      </c>
      <c r="D10000">
        <f>IFERROR(__xludf.DUMMYFUNCTION("""COMPUTED_VALUE"""),2027.0)</f>
        <v>2027</v>
      </c>
      <c r="E10000">
        <f>IFERROR(__xludf.DUMMYFUNCTION("""COMPUTED_VALUE"""),439920.0)</f>
        <v>439920</v>
      </c>
    </row>
    <row r="10001">
      <c r="A10001" t="str">
        <f t="shared" si="1"/>
        <v>mlt#2028</v>
      </c>
      <c r="B10001" t="str">
        <f>IFERROR(__xludf.DUMMYFUNCTION("""COMPUTED_VALUE"""),"mlt")</f>
        <v>mlt</v>
      </c>
      <c r="C10001" t="str">
        <f>IFERROR(__xludf.DUMMYFUNCTION("""COMPUTED_VALUE"""),"Malta")</f>
        <v>Malta</v>
      </c>
      <c r="D10001">
        <f>IFERROR(__xludf.DUMMYFUNCTION("""COMPUTED_VALUE"""),2028.0)</f>
        <v>2028</v>
      </c>
      <c r="E10001">
        <f>IFERROR(__xludf.DUMMYFUNCTION("""COMPUTED_VALUE"""),440107.0)</f>
        <v>440107</v>
      </c>
    </row>
    <row r="10002">
      <c r="A10002" t="str">
        <f t="shared" si="1"/>
        <v>mlt#2029</v>
      </c>
      <c r="B10002" t="str">
        <f>IFERROR(__xludf.DUMMYFUNCTION("""COMPUTED_VALUE"""),"mlt")</f>
        <v>mlt</v>
      </c>
      <c r="C10002" t="str">
        <f>IFERROR(__xludf.DUMMYFUNCTION("""COMPUTED_VALUE"""),"Malta")</f>
        <v>Malta</v>
      </c>
      <c r="D10002">
        <f>IFERROR(__xludf.DUMMYFUNCTION("""COMPUTED_VALUE"""),2029.0)</f>
        <v>2029</v>
      </c>
      <c r="E10002">
        <f>IFERROR(__xludf.DUMMYFUNCTION("""COMPUTED_VALUE"""),440129.0)</f>
        <v>440129</v>
      </c>
    </row>
    <row r="10003">
      <c r="A10003" t="str">
        <f t="shared" si="1"/>
        <v>mlt#2030</v>
      </c>
      <c r="B10003" t="str">
        <f>IFERROR(__xludf.DUMMYFUNCTION("""COMPUTED_VALUE"""),"mlt")</f>
        <v>mlt</v>
      </c>
      <c r="C10003" t="str">
        <f>IFERROR(__xludf.DUMMYFUNCTION("""COMPUTED_VALUE"""),"Malta")</f>
        <v>Malta</v>
      </c>
      <c r="D10003">
        <f>IFERROR(__xludf.DUMMYFUNCTION("""COMPUTED_VALUE"""),2030.0)</f>
        <v>2030</v>
      </c>
      <c r="E10003">
        <f>IFERROR(__xludf.DUMMYFUNCTION("""COMPUTED_VALUE"""),439963.0)</f>
        <v>439963</v>
      </c>
    </row>
    <row r="10004">
      <c r="A10004" t="str">
        <f t="shared" si="1"/>
        <v>mlt#2031</v>
      </c>
      <c r="B10004" t="str">
        <f>IFERROR(__xludf.DUMMYFUNCTION("""COMPUTED_VALUE"""),"mlt")</f>
        <v>mlt</v>
      </c>
      <c r="C10004" t="str">
        <f>IFERROR(__xludf.DUMMYFUNCTION("""COMPUTED_VALUE"""),"Malta")</f>
        <v>Malta</v>
      </c>
      <c r="D10004">
        <f>IFERROR(__xludf.DUMMYFUNCTION("""COMPUTED_VALUE"""),2031.0)</f>
        <v>2031</v>
      </c>
      <c r="E10004">
        <f>IFERROR(__xludf.DUMMYFUNCTION("""COMPUTED_VALUE"""),439613.0)</f>
        <v>439613</v>
      </c>
    </row>
    <row r="10005">
      <c r="A10005" t="str">
        <f t="shared" si="1"/>
        <v>mlt#2032</v>
      </c>
      <c r="B10005" t="str">
        <f>IFERROR(__xludf.DUMMYFUNCTION("""COMPUTED_VALUE"""),"mlt")</f>
        <v>mlt</v>
      </c>
      <c r="C10005" t="str">
        <f>IFERROR(__xludf.DUMMYFUNCTION("""COMPUTED_VALUE"""),"Malta")</f>
        <v>Malta</v>
      </c>
      <c r="D10005">
        <f>IFERROR(__xludf.DUMMYFUNCTION("""COMPUTED_VALUE"""),2032.0)</f>
        <v>2032</v>
      </c>
      <c r="E10005">
        <f>IFERROR(__xludf.DUMMYFUNCTION("""COMPUTED_VALUE"""),439085.0)</f>
        <v>439085</v>
      </c>
    </row>
    <row r="10006">
      <c r="A10006" t="str">
        <f t="shared" si="1"/>
        <v>mlt#2033</v>
      </c>
      <c r="B10006" t="str">
        <f>IFERROR(__xludf.DUMMYFUNCTION("""COMPUTED_VALUE"""),"mlt")</f>
        <v>mlt</v>
      </c>
      <c r="C10006" t="str">
        <f>IFERROR(__xludf.DUMMYFUNCTION("""COMPUTED_VALUE"""),"Malta")</f>
        <v>Malta</v>
      </c>
      <c r="D10006">
        <f>IFERROR(__xludf.DUMMYFUNCTION("""COMPUTED_VALUE"""),2033.0)</f>
        <v>2033</v>
      </c>
      <c r="E10006">
        <f>IFERROR(__xludf.DUMMYFUNCTION("""COMPUTED_VALUE"""),438406.0)</f>
        <v>438406</v>
      </c>
    </row>
    <row r="10007">
      <c r="A10007" t="str">
        <f t="shared" si="1"/>
        <v>mlt#2034</v>
      </c>
      <c r="B10007" t="str">
        <f>IFERROR(__xludf.DUMMYFUNCTION("""COMPUTED_VALUE"""),"mlt")</f>
        <v>mlt</v>
      </c>
      <c r="C10007" t="str">
        <f>IFERROR(__xludf.DUMMYFUNCTION("""COMPUTED_VALUE"""),"Malta")</f>
        <v>Malta</v>
      </c>
      <c r="D10007">
        <f>IFERROR(__xludf.DUMMYFUNCTION("""COMPUTED_VALUE"""),2034.0)</f>
        <v>2034</v>
      </c>
      <c r="E10007">
        <f>IFERROR(__xludf.DUMMYFUNCTION("""COMPUTED_VALUE"""),437599.0)</f>
        <v>437599</v>
      </c>
    </row>
    <row r="10008">
      <c r="A10008" t="str">
        <f t="shared" si="1"/>
        <v>mlt#2035</v>
      </c>
      <c r="B10008" t="str">
        <f>IFERROR(__xludf.DUMMYFUNCTION("""COMPUTED_VALUE"""),"mlt")</f>
        <v>mlt</v>
      </c>
      <c r="C10008" t="str">
        <f>IFERROR(__xludf.DUMMYFUNCTION("""COMPUTED_VALUE"""),"Malta")</f>
        <v>Malta</v>
      </c>
      <c r="D10008">
        <f>IFERROR(__xludf.DUMMYFUNCTION("""COMPUTED_VALUE"""),2035.0)</f>
        <v>2035</v>
      </c>
      <c r="E10008">
        <f>IFERROR(__xludf.DUMMYFUNCTION("""COMPUTED_VALUE"""),436695.0)</f>
        <v>436695</v>
      </c>
    </row>
    <row r="10009">
      <c r="A10009" t="str">
        <f t="shared" si="1"/>
        <v>mlt#2036</v>
      </c>
      <c r="B10009" t="str">
        <f>IFERROR(__xludf.DUMMYFUNCTION("""COMPUTED_VALUE"""),"mlt")</f>
        <v>mlt</v>
      </c>
      <c r="C10009" t="str">
        <f>IFERROR(__xludf.DUMMYFUNCTION("""COMPUTED_VALUE"""),"Malta")</f>
        <v>Malta</v>
      </c>
      <c r="D10009">
        <f>IFERROR(__xludf.DUMMYFUNCTION("""COMPUTED_VALUE"""),2036.0)</f>
        <v>2036</v>
      </c>
      <c r="E10009">
        <f>IFERROR(__xludf.DUMMYFUNCTION("""COMPUTED_VALUE"""),435714.0)</f>
        <v>435714</v>
      </c>
    </row>
    <row r="10010">
      <c r="A10010" t="str">
        <f t="shared" si="1"/>
        <v>mlt#2037</v>
      </c>
      <c r="B10010" t="str">
        <f>IFERROR(__xludf.DUMMYFUNCTION("""COMPUTED_VALUE"""),"mlt")</f>
        <v>mlt</v>
      </c>
      <c r="C10010" t="str">
        <f>IFERROR(__xludf.DUMMYFUNCTION("""COMPUTED_VALUE"""),"Malta")</f>
        <v>Malta</v>
      </c>
      <c r="D10010">
        <f>IFERROR(__xludf.DUMMYFUNCTION("""COMPUTED_VALUE"""),2037.0)</f>
        <v>2037</v>
      </c>
      <c r="E10010">
        <f>IFERROR(__xludf.DUMMYFUNCTION("""COMPUTED_VALUE"""),434651.0)</f>
        <v>434651</v>
      </c>
    </row>
    <row r="10011">
      <c r="A10011" t="str">
        <f t="shared" si="1"/>
        <v>mlt#2038</v>
      </c>
      <c r="B10011" t="str">
        <f>IFERROR(__xludf.DUMMYFUNCTION("""COMPUTED_VALUE"""),"mlt")</f>
        <v>mlt</v>
      </c>
      <c r="C10011" t="str">
        <f>IFERROR(__xludf.DUMMYFUNCTION("""COMPUTED_VALUE"""),"Malta")</f>
        <v>Malta</v>
      </c>
      <c r="D10011">
        <f>IFERROR(__xludf.DUMMYFUNCTION("""COMPUTED_VALUE"""),2038.0)</f>
        <v>2038</v>
      </c>
      <c r="E10011">
        <f>IFERROR(__xludf.DUMMYFUNCTION("""COMPUTED_VALUE"""),433519.0)</f>
        <v>433519</v>
      </c>
    </row>
    <row r="10012">
      <c r="A10012" t="str">
        <f t="shared" si="1"/>
        <v>mlt#2039</v>
      </c>
      <c r="B10012" t="str">
        <f>IFERROR(__xludf.DUMMYFUNCTION("""COMPUTED_VALUE"""),"mlt")</f>
        <v>mlt</v>
      </c>
      <c r="C10012" t="str">
        <f>IFERROR(__xludf.DUMMYFUNCTION("""COMPUTED_VALUE"""),"Malta")</f>
        <v>Malta</v>
      </c>
      <c r="D10012">
        <f>IFERROR(__xludf.DUMMYFUNCTION("""COMPUTED_VALUE"""),2039.0)</f>
        <v>2039</v>
      </c>
      <c r="E10012">
        <f>IFERROR(__xludf.DUMMYFUNCTION("""COMPUTED_VALUE"""),432345.0)</f>
        <v>432345</v>
      </c>
    </row>
    <row r="10013">
      <c r="A10013" t="str">
        <f t="shared" si="1"/>
        <v>mlt#2040</v>
      </c>
      <c r="B10013" t="str">
        <f>IFERROR(__xludf.DUMMYFUNCTION("""COMPUTED_VALUE"""),"mlt")</f>
        <v>mlt</v>
      </c>
      <c r="C10013" t="str">
        <f>IFERROR(__xludf.DUMMYFUNCTION("""COMPUTED_VALUE"""),"Malta")</f>
        <v>Malta</v>
      </c>
      <c r="D10013">
        <f>IFERROR(__xludf.DUMMYFUNCTION("""COMPUTED_VALUE"""),2040.0)</f>
        <v>2040</v>
      </c>
      <c r="E10013">
        <f>IFERROR(__xludf.DUMMYFUNCTION("""COMPUTED_VALUE"""),431149.0)</f>
        <v>431149</v>
      </c>
    </row>
    <row r="10014">
      <c r="A10014" t="str">
        <f t="shared" si="1"/>
        <v>mhl#1950</v>
      </c>
      <c r="B10014" t="str">
        <f>IFERROR(__xludf.DUMMYFUNCTION("""COMPUTED_VALUE"""),"mhl")</f>
        <v>mhl</v>
      </c>
      <c r="C10014" t="str">
        <f>IFERROR(__xludf.DUMMYFUNCTION("""COMPUTED_VALUE"""),"Marshall Islands")</f>
        <v>Marshall Islands</v>
      </c>
      <c r="D10014">
        <f>IFERROR(__xludf.DUMMYFUNCTION("""COMPUTED_VALUE"""),1950.0)</f>
        <v>1950</v>
      </c>
      <c r="E10014">
        <f>IFERROR(__xludf.DUMMYFUNCTION("""COMPUTED_VALUE"""),13001.0)</f>
        <v>13001</v>
      </c>
    </row>
    <row r="10015">
      <c r="A10015" t="str">
        <f t="shared" si="1"/>
        <v>mhl#1951</v>
      </c>
      <c r="B10015" t="str">
        <f>IFERROR(__xludf.DUMMYFUNCTION("""COMPUTED_VALUE"""),"mhl")</f>
        <v>mhl</v>
      </c>
      <c r="C10015" t="str">
        <f>IFERROR(__xludf.DUMMYFUNCTION("""COMPUTED_VALUE"""),"Marshall Islands")</f>
        <v>Marshall Islands</v>
      </c>
      <c r="D10015">
        <f>IFERROR(__xludf.DUMMYFUNCTION("""COMPUTED_VALUE"""),1951.0)</f>
        <v>1951</v>
      </c>
      <c r="E10015">
        <f>IFERROR(__xludf.DUMMYFUNCTION("""COMPUTED_VALUE"""),13222.0)</f>
        <v>13222</v>
      </c>
    </row>
    <row r="10016">
      <c r="A10016" t="str">
        <f t="shared" si="1"/>
        <v>mhl#1952</v>
      </c>
      <c r="B10016" t="str">
        <f>IFERROR(__xludf.DUMMYFUNCTION("""COMPUTED_VALUE"""),"mhl")</f>
        <v>mhl</v>
      </c>
      <c r="C10016" t="str">
        <f>IFERROR(__xludf.DUMMYFUNCTION("""COMPUTED_VALUE"""),"Marshall Islands")</f>
        <v>Marshall Islands</v>
      </c>
      <c r="D10016">
        <f>IFERROR(__xludf.DUMMYFUNCTION("""COMPUTED_VALUE"""),1952.0)</f>
        <v>1952</v>
      </c>
      <c r="E10016">
        <f>IFERROR(__xludf.DUMMYFUNCTION("""COMPUTED_VALUE"""),13438.0)</f>
        <v>13438</v>
      </c>
    </row>
    <row r="10017">
      <c r="A10017" t="str">
        <f t="shared" si="1"/>
        <v>mhl#1953</v>
      </c>
      <c r="B10017" t="str">
        <f>IFERROR(__xludf.DUMMYFUNCTION("""COMPUTED_VALUE"""),"mhl")</f>
        <v>mhl</v>
      </c>
      <c r="C10017" t="str">
        <f>IFERROR(__xludf.DUMMYFUNCTION("""COMPUTED_VALUE"""),"Marshall Islands")</f>
        <v>Marshall Islands</v>
      </c>
      <c r="D10017">
        <f>IFERROR(__xludf.DUMMYFUNCTION("""COMPUTED_VALUE"""),1953.0)</f>
        <v>1953</v>
      </c>
      <c r="E10017">
        <f>IFERROR(__xludf.DUMMYFUNCTION("""COMPUTED_VALUE"""),13624.0)</f>
        <v>13624</v>
      </c>
    </row>
    <row r="10018">
      <c r="A10018" t="str">
        <f t="shared" si="1"/>
        <v>mhl#1954</v>
      </c>
      <c r="B10018" t="str">
        <f>IFERROR(__xludf.DUMMYFUNCTION("""COMPUTED_VALUE"""),"mhl")</f>
        <v>mhl</v>
      </c>
      <c r="C10018" t="str">
        <f>IFERROR(__xludf.DUMMYFUNCTION("""COMPUTED_VALUE"""),"Marshall Islands")</f>
        <v>Marshall Islands</v>
      </c>
      <c r="D10018">
        <f>IFERROR(__xludf.DUMMYFUNCTION("""COMPUTED_VALUE"""),1954.0)</f>
        <v>1954</v>
      </c>
      <c r="E10018">
        <f>IFERROR(__xludf.DUMMYFUNCTION("""COMPUTED_VALUE"""),13784.0)</f>
        <v>13784</v>
      </c>
    </row>
    <row r="10019">
      <c r="A10019" t="str">
        <f t="shared" si="1"/>
        <v>mhl#1955</v>
      </c>
      <c r="B10019" t="str">
        <f>IFERROR(__xludf.DUMMYFUNCTION("""COMPUTED_VALUE"""),"mhl")</f>
        <v>mhl</v>
      </c>
      <c r="C10019" t="str">
        <f>IFERROR(__xludf.DUMMYFUNCTION("""COMPUTED_VALUE"""),"Marshall Islands")</f>
        <v>Marshall Islands</v>
      </c>
      <c r="D10019">
        <f>IFERROR(__xludf.DUMMYFUNCTION("""COMPUTED_VALUE"""),1955.0)</f>
        <v>1955</v>
      </c>
      <c r="E10019">
        <f>IFERROR(__xludf.DUMMYFUNCTION("""COMPUTED_VALUE"""),13894.0)</f>
        <v>13894</v>
      </c>
    </row>
    <row r="10020">
      <c r="A10020" t="str">
        <f t="shared" si="1"/>
        <v>mhl#1956</v>
      </c>
      <c r="B10020" t="str">
        <f>IFERROR(__xludf.DUMMYFUNCTION("""COMPUTED_VALUE"""),"mhl")</f>
        <v>mhl</v>
      </c>
      <c r="C10020" t="str">
        <f>IFERROR(__xludf.DUMMYFUNCTION("""COMPUTED_VALUE"""),"Marshall Islands")</f>
        <v>Marshall Islands</v>
      </c>
      <c r="D10020">
        <f>IFERROR(__xludf.DUMMYFUNCTION("""COMPUTED_VALUE"""),1956.0)</f>
        <v>1956</v>
      </c>
      <c r="E10020">
        <f>IFERROR(__xludf.DUMMYFUNCTION("""COMPUTED_VALUE"""),13993.0)</f>
        <v>13993</v>
      </c>
    </row>
    <row r="10021">
      <c r="A10021" t="str">
        <f t="shared" si="1"/>
        <v>mhl#1957</v>
      </c>
      <c r="B10021" t="str">
        <f>IFERROR(__xludf.DUMMYFUNCTION("""COMPUTED_VALUE"""),"mhl")</f>
        <v>mhl</v>
      </c>
      <c r="C10021" t="str">
        <f>IFERROR(__xludf.DUMMYFUNCTION("""COMPUTED_VALUE"""),"Marshall Islands")</f>
        <v>Marshall Islands</v>
      </c>
      <c r="D10021">
        <f>IFERROR(__xludf.DUMMYFUNCTION("""COMPUTED_VALUE"""),1957.0)</f>
        <v>1957</v>
      </c>
      <c r="E10021">
        <f>IFERROR(__xludf.DUMMYFUNCTION("""COMPUTED_VALUE"""),14083.0)</f>
        <v>14083</v>
      </c>
    </row>
    <row r="10022">
      <c r="A10022" t="str">
        <f t="shared" si="1"/>
        <v>mhl#1958</v>
      </c>
      <c r="B10022" t="str">
        <f>IFERROR(__xludf.DUMMYFUNCTION("""COMPUTED_VALUE"""),"mhl")</f>
        <v>mhl</v>
      </c>
      <c r="C10022" t="str">
        <f>IFERROR(__xludf.DUMMYFUNCTION("""COMPUTED_VALUE"""),"Marshall Islands")</f>
        <v>Marshall Islands</v>
      </c>
      <c r="D10022">
        <f>IFERROR(__xludf.DUMMYFUNCTION("""COMPUTED_VALUE"""),1958.0)</f>
        <v>1958</v>
      </c>
      <c r="E10022">
        <f>IFERROR(__xludf.DUMMYFUNCTION("""COMPUTED_VALUE"""),14208.0)</f>
        <v>14208</v>
      </c>
    </row>
    <row r="10023">
      <c r="A10023" t="str">
        <f t="shared" si="1"/>
        <v>mhl#1959</v>
      </c>
      <c r="B10023" t="str">
        <f>IFERROR(__xludf.DUMMYFUNCTION("""COMPUTED_VALUE"""),"mhl")</f>
        <v>mhl</v>
      </c>
      <c r="C10023" t="str">
        <f>IFERROR(__xludf.DUMMYFUNCTION("""COMPUTED_VALUE"""),"Marshall Islands")</f>
        <v>Marshall Islands</v>
      </c>
      <c r="D10023">
        <f>IFERROR(__xludf.DUMMYFUNCTION("""COMPUTED_VALUE"""),1959.0)</f>
        <v>1959</v>
      </c>
      <c r="E10023">
        <f>IFERROR(__xludf.DUMMYFUNCTION("""COMPUTED_VALUE"""),14390.0)</f>
        <v>14390</v>
      </c>
    </row>
    <row r="10024">
      <c r="A10024" t="str">
        <f t="shared" si="1"/>
        <v>mhl#1960</v>
      </c>
      <c r="B10024" t="str">
        <f>IFERROR(__xludf.DUMMYFUNCTION("""COMPUTED_VALUE"""),"mhl")</f>
        <v>mhl</v>
      </c>
      <c r="C10024" t="str">
        <f>IFERROR(__xludf.DUMMYFUNCTION("""COMPUTED_VALUE"""),"Marshall Islands")</f>
        <v>Marshall Islands</v>
      </c>
      <c r="D10024">
        <f>IFERROR(__xludf.DUMMYFUNCTION("""COMPUTED_VALUE"""),1960.0)</f>
        <v>1960</v>
      </c>
      <c r="E10024">
        <f>IFERROR(__xludf.DUMMYFUNCTION("""COMPUTED_VALUE"""),14662.0)</f>
        <v>14662</v>
      </c>
    </row>
    <row r="10025">
      <c r="A10025" t="str">
        <f t="shared" si="1"/>
        <v>mhl#1961</v>
      </c>
      <c r="B10025" t="str">
        <f>IFERROR(__xludf.DUMMYFUNCTION("""COMPUTED_VALUE"""),"mhl")</f>
        <v>mhl</v>
      </c>
      <c r="C10025" t="str">
        <f>IFERROR(__xludf.DUMMYFUNCTION("""COMPUTED_VALUE"""),"Marshall Islands")</f>
        <v>Marshall Islands</v>
      </c>
      <c r="D10025">
        <f>IFERROR(__xludf.DUMMYFUNCTION("""COMPUTED_VALUE"""),1961.0)</f>
        <v>1961</v>
      </c>
      <c r="E10025">
        <f>IFERROR(__xludf.DUMMYFUNCTION("""COMPUTED_VALUE"""),15051.0)</f>
        <v>15051</v>
      </c>
    </row>
    <row r="10026">
      <c r="A10026" t="str">
        <f t="shared" si="1"/>
        <v>mhl#1962</v>
      </c>
      <c r="B10026" t="str">
        <f>IFERROR(__xludf.DUMMYFUNCTION("""COMPUTED_VALUE"""),"mhl")</f>
        <v>mhl</v>
      </c>
      <c r="C10026" t="str">
        <f>IFERROR(__xludf.DUMMYFUNCTION("""COMPUTED_VALUE"""),"Marshall Islands")</f>
        <v>Marshall Islands</v>
      </c>
      <c r="D10026">
        <f>IFERROR(__xludf.DUMMYFUNCTION("""COMPUTED_VALUE"""),1962.0)</f>
        <v>1962</v>
      </c>
      <c r="E10026">
        <f>IFERROR(__xludf.DUMMYFUNCTION("""COMPUTED_VALUE"""),15547.0)</f>
        <v>15547</v>
      </c>
    </row>
    <row r="10027">
      <c r="A10027" t="str">
        <f t="shared" si="1"/>
        <v>mhl#1963</v>
      </c>
      <c r="B10027" t="str">
        <f>IFERROR(__xludf.DUMMYFUNCTION("""COMPUTED_VALUE"""),"mhl")</f>
        <v>mhl</v>
      </c>
      <c r="C10027" t="str">
        <f>IFERROR(__xludf.DUMMYFUNCTION("""COMPUTED_VALUE"""),"Marshall Islands")</f>
        <v>Marshall Islands</v>
      </c>
      <c r="D10027">
        <f>IFERROR(__xludf.DUMMYFUNCTION("""COMPUTED_VALUE"""),1963.0)</f>
        <v>1963</v>
      </c>
      <c r="E10027">
        <f>IFERROR(__xludf.DUMMYFUNCTION("""COMPUTED_VALUE"""),16114.0)</f>
        <v>16114</v>
      </c>
    </row>
    <row r="10028">
      <c r="A10028" t="str">
        <f t="shared" si="1"/>
        <v>mhl#1964</v>
      </c>
      <c r="B10028" t="str">
        <f>IFERROR(__xludf.DUMMYFUNCTION("""COMPUTED_VALUE"""),"mhl")</f>
        <v>mhl</v>
      </c>
      <c r="C10028" t="str">
        <f>IFERROR(__xludf.DUMMYFUNCTION("""COMPUTED_VALUE"""),"Marshall Islands")</f>
        <v>Marshall Islands</v>
      </c>
      <c r="D10028">
        <f>IFERROR(__xludf.DUMMYFUNCTION("""COMPUTED_VALUE"""),1964.0)</f>
        <v>1964</v>
      </c>
      <c r="E10028">
        <f>IFERROR(__xludf.DUMMYFUNCTION("""COMPUTED_VALUE"""),16710.0)</f>
        <v>16710</v>
      </c>
    </row>
    <row r="10029">
      <c r="A10029" t="str">
        <f t="shared" si="1"/>
        <v>mhl#1965</v>
      </c>
      <c r="B10029" t="str">
        <f>IFERROR(__xludf.DUMMYFUNCTION("""COMPUTED_VALUE"""),"mhl")</f>
        <v>mhl</v>
      </c>
      <c r="C10029" t="str">
        <f>IFERROR(__xludf.DUMMYFUNCTION("""COMPUTED_VALUE"""),"Marshall Islands")</f>
        <v>Marshall Islands</v>
      </c>
      <c r="D10029">
        <f>IFERROR(__xludf.DUMMYFUNCTION("""COMPUTED_VALUE"""),1965.0)</f>
        <v>1965</v>
      </c>
      <c r="E10029">
        <f>IFERROR(__xludf.DUMMYFUNCTION("""COMPUTED_VALUE"""),17284.0)</f>
        <v>17284</v>
      </c>
    </row>
    <row r="10030">
      <c r="A10030" t="str">
        <f t="shared" si="1"/>
        <v>mhl#1966</v>
      </c>
      <c r="B10030" t="str">
        <f>IFERROR(__xludf.DUMMYFUNCTION("""COMPUTED_VALUE"""),"mhl")</f>
        <v>mhl</v>
      </c>
      <c r="C10030" t="str">
        <f>IFERROR(__xludf.DUMMYFUNCTION("""COMPUTED_VALUE"""),"Marshall Islands")</f>
        <v>Marshall Islands</v>
      </c>
      <c r="D10030">
        <f>IFERROR(__xludf.DUMMYFUNCTION("""COMPUTED_VALUE"""),1966.0)</f>
        <v>1966</v>
      </c>
      <c r="E10030">
        <f>IFERROR(__xludf.DUMMYFUNCTION("""COMPUTED_VALUE"""),17842.0)</f>
        <v>17842</v>
      </c>
    </row>
    <row r="10031">
      <c r="A10031" t="str">
        <f t="shared" si="1"/>
        <v>mhl#1967</v>
      </c>
      <c r="B10031" t="str">
        <f>IFERROR(__xludf.DUMMYFUNCTION("""COMPUTED_VALUE"""),"mhl")</f>
        <v>mhl</v>
      </c>
      <c r="C10031" t="str">
        <f>IFERROR(__xludf.DUMMYFUNCTION("""COMPUTED_VALUE"""),"Marshall Islands")</f>
        <v>Marshall Islands</v>
      </c>
      <c r="D10031">
        <f>IFERROR(__xludf.DUMMYFUNCTION("""COMPUTED_VALUE"""),1967.0)</f>
        <v>1967</v>
      </c>
      <c r="E10031">
        <f>IFERROR(__xludf.DUMMYFUNCTION("""COMPUTED_VALUE"""),18388.0)</f>
        <v>18388</v>
      </c>
    </row>
    <row r="10032">
      <c r="A10032" t="str">
        <f t="shared" si="1"/>
        <v>mhl#1968</v>
      </c>
      <c r="B10032" t="str">
        <f>IFERROR(__xludf.DUMMYFUNCTION("""COMPUTED_VALUE"""),"mhl")</f>
        <v>mhl</v>
      </c>
      <c r="C10032" t="str">
        <f>IFERROR(__xludf.DUMMYFUNCTION("""COMPUTED_VALUE"""),"Marshall Islands")</f>
        <v>Marshall Islands</v>
      </c>
      <c r="D10032">
        <f>IFERROR(__xludf.DUMMYFUNCTION("""COMPUTED_VALUE"""),1968.0)</f>
        <v>1968</v>
      </c>
      <c r="E10032">
        <f>IFERROR(__xludf.DUMMYFUNCTION("""COMPUTED_VALUE"""),18961.0)</f>
        <v>18961</v>
      </c>
    </row>
    <row r="10033">
      <c r="A10033" t="str">
        <f t="shared" si="1"/>
        <v>mhl#1969</v>
      </c>
      <c r="B10033" t="str">
        <f>IFERROR(__xludf.DUMMYFUNCTION("""COMPUTED_VALUE"""),"mhl")</f>
        <v>mhl</v>
      </c>
      <c r="C10033" t="str">
        <f>IFERROR(__xludf.DUMMYFUNCTION("""COMPUTED_VALUE"""),"Marshall Islands")</f>
        <v>Marshall Islands</v>
      </c>
      <c r="D10033">
        <f>IFERROR(__xludf.DUMMYFUNCTION("""COMPUTED_VALUE"""),1969.0)</f>
        <v>1969</v>
      </c>
      <c r="E10033">
        <f>IFERROR(__xludf.DUMMYFUNCTION("""COMPUTED_VALUE"""),19622.0)</f>
        <v>19622</v>
      </c>
    </row>
    <row r="10034">
      <c r="A10034" t="str">
        <f t="shared" si="1"/>
        <v>mhl#1970</v>
      </c>
      <c r="B10034" t="str">
        <f>IFERROR(__xludf.DUMMYFUNCTION("""COMPUTED_VALUE"""),"mhl")</f>
        <v>mhl</v>
      </c>
      <c r="C10034" t="str">
        <f>IFERROR(__xludf.DUMMYFUNCTION("""COMPUTED_VALUE"""),"Marshall Islands")</f>
        <v>Marshall Islands</v>
      </c>
      <c r="D10034">
        <f>IFERROR(__xludf.DUMMYFUNCTION("""COMPUTED_VALUE"""),1970.0)</f>
        <v>1970</v>
      </c>
      <c r="E10034">
        <f>IFERROR(__xludf.DUMMYFUNCTION("""COMPUTED_VALUE"""),20395.0)</f>
        <v>20395</v>
      </c>
    </row>
    <row r="10035">
      <c r="A10035" t="str">
        <f t="shared" si="1"/>
        <v>mhl#1971</v>
      </c>
      <c r="B10035" t="str">
        <f>IFERROR(__xludf.DUMMYFUNCTION("""COMPUTED_VALUE"""),"mhl")</f>
        <v>mhl</v>
      </c>
      <c r="C10035" t="str">
        <f>IFERROR(__xludf.DUMMYFUNCTION("""COMPUTED_VALUE"""),"Marshall Islands")</f>
        <v>Marshall Islands</v>
      </c>
      <c r="D10035">
        <f>IFERROR(__xludf.DUMMYFUNCTION("""COMPUTED_VALUE"""),1971.0)</f>
        <v>1971</v>
      </c>
      <c r="E10035">
        <f>IFERROR(__xludf.DUMMYFUNCTION("""COMPUTED_VALUE"""),21313.0)</f>
        <v>21313</v>
      </c>
    </row>
    <row r="10036">
      <c r="A10036" t="str">
        <f t="shared" si="1"/>
        <v>mhl#1972</v>
      </c>
      <c r="B10036" t="str">
        <f>IFERROR(__xludf.DUMMYFUNCTION("""COMPUTED_VALUE"""),"mhl")</f>
        <v>mhl</v>
      </c>
      <c r="C10036" t="str">
        <f>IFERROR(__xludf.DUMMYFUNCTION("""COMPUTED_VALUE"""),"Marshall Islands")</f>
        <v>Marshall Islands</v>
      </c>
      <c r="D10036">
        <f>IFERROR(__xludf.DUMMYFUNCTION("""COMPUTED_VALUE"""),1972.0)</f>
        <v>1972</v>
      </c>
      <c r="E10036">
        <f>IFERROR(__xludf.DUMMYFUNCTION("""COMPUTED_VALUE"""),22341.0)</f>
        <v>22341</v>
      </c>
    </row>
    <row r="10037">
      <c r="A10037" t="str">
        <f t="shared" si="1"/>
        <v>mhl#1973</v>
      </c>
      <c r="B10037" t="str">
        <f>IFERROR(__xludf.DUMMYFUNCTION("""COMPUTED_VALUE"""),"mhl")</f>
        <v>mhl</v>
      </c>
      <c r="C10037" t="str">
        <f>IFERROR(__xludf.DUMMYFUNCTION("""COMPUTED_VALUE"""),"Marshall Islands")</f>
        <v>Marshall Islands</v>
      </c>
      <c r="D10037">
        <f>IFERROR(__xludf.DUMMYFUNCTION("""COMPUTED_VALUE"""),1973.0)</f>
        <v>1973</v>
      </c>
      <c r="E10037">
        <f>IFERROR(__xludf.DUMMYFUNCTION("""COMPUTED_VALUE"""),23439.0)</f>
        <v>23439</v>
      </c>
    </row>
    <row r="10038">
      <c r="A10038" t="str">
        <f t="shared" si="1"/>
        <v>mhl#1974</v>
      </c>
      <c r="B10038" t="str">
        <f>IFERROR(__xludf.DUMMYFUNCTION("""COMPUTED_VALUE"""),"mhl")</f>
        <v>mhl</v>
      </c>
      <c r="C10038" t="str">
        <f>IFERROR(__xludf.DUMMYFUNCTION("""COMPUTED_VALUE"""),"Marshall Islands")</f>
        <v>Marshall Islands</v>
      </c>
      <c r="D10038">
        <f>IFERROR(__xludf.DUMMYFUNCTION("""COMPUTED_VALUE"""),1974.0)</f>
        <v>1974</v>
      </c>
      <c r="E10038">
        <f>IFERROR(__xludf.DUMMYFUNCTION("""COMPUTED_VALUE"""),24531.0)</f>
        <v>24531</v>
      </c>
    </row>
    <row r="10039">
      <c r="A10039" t="str">
        <f t="shared" si="1"/>
        <v>mhl#1975</v>
      </c>
      <c r="B10039" t="str">
        <f>IFERROR(__xludf.DUMMYFUNCTION("""COMPUTED_VALUE"""),"mhl")</f>
        <v>mhl</v>
      </c>
      <c r="C10039" t="str">
        <f>IFERROR(__xludf.DUMMYFUNCTION("""COMPUTED_VALUE"""),"Marshall Islands")</f>
        <v>Marshall Islands</v>
      </c>
      <c r="D10039">
        <f>IFERROR(__xludf.DUMMYFUNCTION("""COMPUTED_VALUE"""),1975.0)</f>
        <v>1975</v>
      </c>
      <c r="E10039">
        <f>IFERROR(__xludf.DUMMYFUNCTION("""COMPUTED_VALUE"""),25576.0)</f>
        <v>25576</v>
      </c>
    </row>
    <row r="10040">
      <c r="A10040" t="str">
        <f t="shared" si="1"/>
        <v>mhl#1976</v>
      </c>
      <c r="B10040" t="str">
        <f>IFERROR(__xludf.DUMMYFUNCTION("""COMPUTED_VALUE"""),"mhl")</f>
        <v>mhl</v>
      </c>
      <c r="C10040" t="str">
        <f>IFERROR(__xludf.DUMMYFUNCTION("""COMPUTED_VALUE"""),"Marshall Islands")</f>
        <v>Marshall Islands</v>
      </c>
      <c r="D10040">
        <f>IFERROR(__xludf.DUMMYFUNCTION("""COMPUTED_VALUE"""),1976.0)</f>
        <v>1976</v>
      </c>
      <c r="E10040">
        <f>IFERROR(__xludf.DUMMYFUNCTION("""COMPUTED_VALUE"""),26552.0)</f>
        <v>26552</v>
      </c>
    </row>
    <row r="10041">
      <c r="A10041" t="str">
        <f t="shared" si="1"/>
        <v>mhl#1977</v>
      </c>
      <c r="B10041" t="str">
        <f>IFERROR(__xludf.DUMMYFUNCTION("""COMPUTED_VALUE"""),"mhl")</f>
        <v>mhl</v>
      </c>
      <c r="C10041" t="str">
        <f>IFERROR(__xludf.DUMMYFUNCTION("""COMPUTED_VALUE"""),"Marshall Islands")</f>
        <v>Marshall Islands</v>
      </c>
      <c r="D10041">
        <f>IFERROR(__xludf.DUMMYFUNCTION("""COMPUTED_VALUE"""),1977.0)</f>
        <v>1977</v>
      </c>
      <c r="E10041">
        <f>IFERROR(__xludf.DUMMYFUNCTION("""COMPUTED_VALUE"""),27470.0)</f>
        <v>27470</v>
      </c>
    </row>
    <row r="10042">
      <c r="A10042" t="str">
        <f t="shared" si="1"/>
        <v>mhl#1978</v>
      </c>
      <c r="B10042" t="str">
        <f>IFERROR(__xludf.DUMMYFUNCTION("""COMPUTED_VALUE"""),"mhl")</f>
        <v>mhl</v>
      </c>
      <c r="C10042" t="str">
        <f>IFERROR(__xludf.DUMMYFUNCTION("""COMPUTED_VALUE"""),"Marshall Islands")</f>
        <v>Marshall Islands</v>
      </c>
      <c r="D10042">
        <f>IFERROR(__xludf.DUMMYFUNCTION("""COMPUTED_VALUE"""),1978.0)</f>
        <v>1978</v>
      </c>
      <c r="E10042">
        <f>IFERROR(__xludf.DUMMYFUNCTION("""COMPUTED_VALUE"""),28405.0)</f>
        <v>28405</v>
      </c>
    </row>
    <row r="10043">
      <c r="A10043" t="str">
        <f t="shared" si="1"/>
        <v>mhl#1979</v>
      </c>
      <c r="B10043" t="str">
        <f>IFERROR(__xludf.DUMMYFUNCTION("""COMPUTED_VALUE"""),"mhl")</f>
        <v>mhl</v>
      </c>
      <c r="C10043" t="str">
        <f>IFERROR(__xludf.DUMMYFUNCTION("""COMPUTED_VALUE"""),"Marshall Islands")</f>
        <v>Marshall Islands</v>
      </c>
      <c r="D10043">
        <f>IFERROR(__xludf.DUMMYFUNCTION("""COMPUTED_VALUE"""),1979.0)</f>
        <v>1979</v>
      </c>
      <c r="E10043">
        <f>IFERROR(__xludf.DUMMYFUNCTION("""COMPUTED_VALUE"""),29418.0)</f>
        <v>29418</v>
      </c>
    </row>
    <row r="10044">
      <c r="A10044" t="str">
        <f t="shared" si="1"/>
        <v>mhl#1980</v>
      </c>
      <c r="B10044" t="str">
        <f>IFERROR(__xludf.DUMMYFUNCTION("""COMPUTED_VALUE"""),"mhl")</f>
        <v>mhl</v>
      </c>
      <c r="C10044" t="str">
        <f>IFERROR(__xludf.DUMMYFUNCTION("""COMPUTED_VALUE"""),"Marshall Islands")</f>
        <v>Marshall Islands</v>
      </c>
      <c r="D10044">
        <f>IFERROR(__xludf.DUMMYFUNCTION("""COMPUTED_VALUE"""),1980.0)</f>
        <v>1980</v>
      </c>
      <c r="E10044">
        <f>IFERROR(__xludf.DUMMYFUNCTION("""COMPUTED_VALUE"""),30576.0)</f>
        <v>30576</v>
      </c>
    </row>
    <row r="10045">
      <c r="A10045" t="str">
        <f t="shared" si="1"/>
        <v>mhl#1981</v>
      </c>
      <c r="B10045" t="str">
        <f>IFERROR(__xludf.DUMMYFUNCTION("""COMPUTED_VALUE"""),"mhl")</f>
        <v>mhl</v>
      </c>
      <c r="C10045" t="str">
        <f>IFERROR(__xludf.DUMMYFUNCTION("""COMPUTED_VALUE"""),"Marshall Islands")</f>
        <v>Marshall Islands</v>
      </c>
      <c r="D10045">
        <f>IFERROR(__xludf.DUMMYFUNCTION("""COMPUTED_VALUE"""),1981.0)</f>
        <v>1981</v>
      </c>
      <c r="E10045">
        <f>IFERROR(__xludf.DUMMYFUNCTION("""COMPUTED_VALUE"""),31893.0)</f>
        <v>31893</v>
      </c>
    </row>
    <row r="10046">
      <c r="A10046" t="str">
        <f t="shared" si="1"/>
        <v>mhl#1982</v>
      </c>
      <c r="B10046" t="str">
        <f>IFERROR(__xludf.DUMMYFUNCTION("""COMPUTED_VALUE"""),"mhl")</f>
        <v>mhl</v>
      </c>
      <c r="C10046" t="str">
        <f>IFERROR(__xludf.DUMMYFUNCTION("""COMPUTED_VALUE"""),"Marshall Islands")</f>
        <v>Marshall Islands</v>
      </c>
      <c r="D10046">
        <f>IFERROR(__xludf.DUMMYFUNCTION("""COMPUTED_VALUE"""),1982.0)</f>
        <v>1982</v>
      </c>
      <c r="E10046">
        <f>IFERROR(__xludf.DUMMYFUNCTION("""COMPUTED_VALUE"""),33330.0)</f>
        <v>33330</v>
      </c>
    </row>
    <row r="10047">
      <c r="A10047" t="str">
        <f t="shared" si="1"/>
        <v>mhl#1983</v>
      </c>
      <c r="B10047" t="str">
        <f>IFERROR(__xludf.DUMMYFUNCTION("""COMPUTED_VALUE"""),"mhl")</f>
        <v>mhl</v>
      </c>
      <c r="C10047" t="str">
        <f>IFERROR(__xludf.DUMMYFUNCTION("""COMPUTED_VALUE"""),"Marshall Islands")</f>
        <v>Marshall Islands</v>
      </c>
      <c r="D10047">
        <f>IFERROR(__xludf.DUMMYFUNCTION("""COMPUTED_VALUE"""),1983.0)</f>
        <v>1983</v>
      </c>
      <c r="E10047">
        <f>IFERROR(__xludf.DUMMYFUNCTION("""COMPUTED_VALUE"""),34892.0)</f>
        <v>34892</v>
      </c>
    </row>
    <row r="10048">
      <c r="A10048" t="str">
        <f t="shared" si="1"/>
        <v>mhl#1984</v>
      </c>
      <c r="B10048" t="str">
        <f>IFERROR(__xludf.DUMMYFUNCTION("""COMPUTED_VALUE"""),"mhl")</f>
        <v>mhl</v>
      </c>
      <c r="C10048" t="str">
        <f>IFERROR(__xludf.DUMMYFUNCTION("""COMPUTED_VALUE"""),"Marshall Islands")</f>
        <v>Marshall Islands</v>
      </c>
      <c r="D10048">
        <f>IFERROR(__xludf.DUMMYFUNCTION("""COMPUTED_VALUE"""),1984.0)</f>
        <v>1984</v>
      </c>
      <c r="E10048">
        <f>IFERROR(__xludf.DUMMYFUNCTION("""COMPUTED_VALUE"""),36561.0)</f>
        <v>36561</v>
      </c>
    </row>
    <row r="10049">
      <c r="A10049" t="str">
        <f t="shared" si="1"/>
        <v>mhl#1985</v>
      </c>
      <c r="B10049" t="str">
        <f>IFERROR(__xludf.DUMMYFUNCTION("""COMPUTED_VALUE"""),"mhl")</f>
        <v>mhl</v>
      </c>
      <c r="C10049" t="str">
        <f>IFERROR(__xludf.DUMMYFUNCTION("""COMPUTED_VALUE"""),"Marshall Islands")</f>
        <v>Marshall Islands</v>
      </c>
      <c r="D10049">
        <f>IFERROR(__xludf.DUMMYFUNCTION("""COMPUTED_VALUE"""),1985.0)</f>
        <v>1985</v>
      </c>
      <c r="E10049">
        <f>IFERROR(__xludf.DUMMYFUNCTION("""COMPUTED_VALUE"""),38333.0)</f>
        <v>38333</v>
      </c>
    </row>
    <row r="10050">
      <c r="A10050" t="str">
        <f t="shared" si="1"/>
        <v>mhl#1986</v>
      </c>
      <c r="B10050" t="str">
        <f>IFERROR(__xludf.DUMMYFUNCTION("""COMPUTED_VALUE"""),"mhl")</f>
        <v>mhl</v>
      </c>
      <c r="C10050" t="str">
        <f>IFERROR(__xludf.DUMMYFUNCTION("""COMPUTED_VALUE"""),"Marshall Islands")</f>
        <v>Marshall Islands</v>
      </c>
      <c r="D10050">
        <f>IFERROR(__xludf.DUMMYFUNCTION("""COMPUTED_VALUE"""),1986.0)</f>
        <v>1986</v>
      </c>
      <c r="E10050">
        <f>IFERROR(__xludf.DUMMYFUNCTION("""COMPUTED_VALUE"""),40204.0)</f>
        <v>40204</v>
      </c>
    </row>
    <row r="10051">
      <c r="A10051" t="str">
        <f t="shared" si="1"/>
        <v>mhl#1987</v>
      </c>
      <c r="B10051" t="str">
        <f>IFERROR(__xludf.DUMMYFUNCTION("""COMPUTED_VALUE"""),"mhl")</f>
        <v>mhl</v>
      </c>
      <c r="C10051" t="str">
        <f>IFERROR(__xludf.DUMMYFUNCTION("""COMPUTED_VALUE"""),"Marshall Islands")</f>
        <v>Marshall Islands</v>
      </c>
      <c r="D10051">
        <f>IFERROR(__xludf.DUMMYFUNCTION("""COMPUTED_VALUE"""),1987.0)</f>
        <v>1987</v>
      </c>
      <c r="E10051">
        <f>IFERROR(__xludf.DUMMYFUNCTION("""COMPUTED_VALUE"""),42153.0)</f>
        <v>42153</v>
      </c>
    </row>
    <row r="10052">
      <c r="A10052" t="str">
        <f t="shared" si="1"/>
        <v>mhl#1988</v>
      </c>
      <c r="B10052" t="str">
        <f>IFERROR(__xludf.DUMMYFUNCTION("""COMPUTED_VALUE"""),"mhl")</f>
        <v>mhl</v>
      </c>
      <c r="C10052" t="str">
        <f>IFERROR(__xludf.DUMMYFUNCTION("""COMPUTED_VALUE"""),"Marshall Islands")</f>
        <v>Marshall Islands</v>
      </c>
      <c r="D10052">
        <f>IFERROR(__xludf.DUMMYFUNCTION("""COMPUTED_VALUE"""),1988.0)</f>
        <v>1988</v>
      </c>
      <c r="E10052">
        <f>IFERROR(__xludf.DUMMYFUNCTION("""COMPUTED_VALUE"""),44063.0)</f>
        <v>44063</v>
      </c>
    </row>
    <row r="10053">
      <c r="A10053" t="str">
        <f t="shared" si="1"/>
        <v>mhl#1989</v>
      </c>
      <c r="B10053" t="str">
        <f>IFERROR(__xludf.DUMMYFUNCTION("""COMPUTED_VALUE"""),"mhl")</f>
        <v>mhl</v>
      </c>
      <c r="C10053" t="str">
        <f>IFERROR(__xludf.DUMMYFUNCTION("""COMPUTED_VALUE"""),"Marshall Islands")</f>
        <v>Marshall Islands</v>
      </c>
      <c r="D10053">
        <f>IFERROR(__xludf.DUMMYFUNCTION("""COMPUTED_VALUE"""),1989.0)</f>
        <v>1989</v>
      </c>
      <c r="E10053">
        <f>IFERROR(__xludf.DUMMYFUNCTION("""COMPUTED_VALUE"""),45814.0)</f>
        <v>45814</v>
      </c>
    </row>
    <row r="10054">
      <c r="A10054" t="str">
        <f t="shared" si="1"/>
        <v>mhl#1990</v>
      </c>
      <c r="B10054" t="str">
        <f>IFERROR(__xludf.DUMMYFUNCTION("""COMPUTED_VALUE"""),"mhl")</f>
        <v>mhl</v>
      </c>
      <c r="C10054" t="str">
        <f>IFERROR(__xludf.DUMMYFUNCTION("""COMPUTED_VALUE"""),"Marshall Islands")</f>
        <v>Marshall Islands</v>
      </c>
      <c r="D10054">
        <f>IFERROR(__xludf.DUMMYFUNCTION("""COMPUTED_VALUE"""),1990.0)</f>
        <v>1990</v>
      </c>
      <c r="E10054">
        <f>IFERROR(__xludf.DUMMYFUNCTION("""COMPUTED_VALUE"""),47298.0)</f>
        <v>47298</v>
      </c>
    </row>
    <row r="10055">
      <c r="A10055" t="str">
        <f t="shared" si="1"/>
        <v>mhl#1991</v>
      </c>
      <c r="B10055" t="str">
        <f>IFERROR(__xludf.DUMMYFUNCTION("""COMPUTED_VALUE"""),"mhl")</f>
        <v>mhl</v>
      </c>
      <c r="C10055" t="str">
        <f>IFERROR(__xludf.DUMMYFUNCTION("""COMPUTED_VALUE"""),"Marshall Islands")</f>
        <v>Marshall Islands</v>
      </c>
      <c r="D10055">
        <f>IFERROR(__xludf.DUMMYFUNCTION("""COMPUTED_VALUE"""),1991.0)</f>
        <v>1991</v>
      </c>
      <c r="E10055">
        <f>IFERROR(__xludf.DUMMYFUNCTION("""COMPUTED_VALUE"""),48475.0)</f>
        <v>48475</v>
      </c>
    </row>
    <row r="10056">
      <c r="A10056" t="str">
        <f t="shared" si="1"/>
        <v>mhl#1992</v>
      </c>
      <c r="B10056" t="str">
        <f>IFERROR(__xludf.DUMMYFUNCTION("""COMPUTED_VALUE"""),"mhl")</f>
        <v>mhl</v>
      </c>
      <c r="C10056" t="str">
        <f>IFERROR(__xludf.DUMMYFUNCTION("""COMPUTED_VALUE"""),"Marshall Islands")</f>
        <v>Marshall Islands</v>
      </c>
      <c r="D10056">
        <f>IFERROR(__xludf.DUMMYFUNCTION("""COMPUTED_VALUE"""),1992.0)</f>
        <v>1992</v>
      </c>
      <c r="E10056">
        <f>IFERROR(__xludf.DUMMYFUNCTION("""COMPUTED_VALUE"""),49378.0)</f>
        <v>49378</v>
      </c>
    </row>
    <row r="10057">
      <c r="A10057" t="str">
        <f t="shared" si="1"/>
        <v>mhl#1993</v>
      </c>
      <c r="B10057" t="str">
        <f>IFERROR(__xludf.DUMMYFUNCTION("""COMPUTED_VALUE"""),"mhl")</f>
        <v>mhl</v>
      </c>
      <c r="C10057" t="str">
        <f>IFERROR(__xludf.DUMMYFUNCTION("""COMPUTED_VALUE"""),"Marshall Islands")</f>
        <v>Marshall Islands</v>
      </c>
      <c r="D10057">
        <f>IFERROR(__xludf.DUMMYFUNCTION("""COMPUTED_VALUE"""),1993.0)</f>
        <v>1993</v>
      </c>
      <c r="E10057">
        <f>IFERROR(__xludf.DUMMYFUNCTION("""COMPUTED_VALUE"""),50048.0)</f>
        <v>50048</v>
      </c>
    </row>
    <row r="10058">
      <c r="A10058" t="str">
        <f t="shared" si="1"/>
        <v>mhl#1994</v>
      </c>
      <c r="B10058" t="str">
        <f>IFERROR(__xludf.DUMMYFUNCTION("""COMPUTED_VALUE"""),"mhl")</f>
        <v>mhl</v>
      </c>
      <c r="C10058" t="str">
        <f>IFERROR(__xludf.DUMMYFUNCTION("""COMPUTED_VALUE"""),"Marshall Islands")</f>
        <v>Marshall Islands</v>
      </c>
      <c r="D10058">
        <f>IFERROR(__xludf.DUMMYFUNCTION("""COMPUTED_VALUE"""),1994.0)</f>
        <v>1994</v>
      </c>
      <c r="E10058">
        <f>IFERROR(__xludf.DUMMYFUNCTION("""COMPUTED_VALUE"""),50575.0)</f>
        <v>50575</v>
      </c>
    </row>
    <row r="10059">
      <c r="A10059" t="str">
        <f t="shared" si="1"/>
        <v>mhl#1995</v>
      </c>
      <c r="B10059" t="str">
        <f>IFERROR(__xludf.DUMMYFUNCTION("""COMPUTED_VALUE"""),"mhl")</f>
        <v>mhl</v>
      </c>
      <c r="C10059" t="str">
        <f>IFERROR(__xludf.DUMMYFUNCTION("""COMPUTED_VALUE"""),"Marshall Islands")</f>
        <v>Marshall Islands</v>
      </c>
      <c r="D10059">
        <f>IFERROR(__xludf.DUMMYFUNCTION("""COMPUTED_VALUE"""),1995.0)</f>
        <v>1995</v>
      </c>
      <c r="E10059">
        <f>IFERROR(__xludf.DUMMYFUNCTION("""COMPUTED_VALUE"""),51015.0)</f>
        <v>51015</v>
      </c>
    </row>
    <row r="10060">
      <c r="A10060" t="str">
        <f t="shared" si="1"/>
        <v>mhl#1996</v>
      </c>
      <c r="B10060" t="str">
        <f>IFERROR(__xludf.DUMMYFUNCTION("""COMPUTED_VALUE"""),"mhl")</f>
        <v>mhl</v>
      </c>
      <c r="C10060" t="str">
        <f>IFERROR(__xludf.DUMMYFUNCTION("""COMPUTED_VALUE"""),"Marshall Islands")</f>
        <v>Marshall Islands</v>
      </c>
      <c r="D10060">
        <f>IFERROR(__xludf.DUMMYFUNCTION("""COMPUTED_VALUE"""),1996.0)</f>
        <v>1996</v>
      </c>
      <c r="E10060">
        <f>IFERROR(__xludf.DUMMYFUNCTION("""COMPUTED_VALUE"""),51401.0)</f>
        <v>51401</v>
      </c>
    </row>
    <row r="10061">
      <c r="A10061" t="str">
        <f t="shared" si="1"/>
        <v>mhl#1997</v>
      </c>
      <c r="B10061" t="str">
        <f>IFERROR(__xludf.DUMMYFUNCTION("""COMPUTED_VALUE"""),"mhl")</f>
        <v>mhl</v>
      </c>
      <c r="C10061" t="str">
        <f>IFERROR(__xludf.DUMMYFUNCTION("""COMPUTED_VALUE"""),"Marshall Islands")</f>
        <v>Marshall Islands</v>
      </c>
      <c r="D10061">
        <f>IFERROR(__xludf.DUMMYFUNCTION("""COMPUTED_VALUE"""),1997.0)</f>
        <v>1997</v>
      </c>
      <c r="E10061">
        <f>IFERROR(__xludf.DUMMYFUNCTION("""COMPUTED_VALUE"""),51692.0)</f>
        <v>51692</v>
      </c>
    </row>
    <row r="10062">
      <c r="A10062" t="str">
        <f t="shared" si="1"/>
        <v>mhl#1998</v>
      </c>
      <c r="B10062" t="str">
        <f>IFERROR(__xludf.DUMMYFUNCTION("""COMPUTED_VALUE"""),"mhl")</f>
        <v>mhl</v>
      </c>
      <c r="C10062" t="str">
        <f>IFERROR(__xludf.DUMMYFUNCTION("""COMPUTED_VALUE"""),"Marshall Islands")</f>
        <v>Marshall Islands</v>
      </c>
      <c r="D10062">
        <f>IFERROR(__xludf.DUMMYFUNCTION("""COMPUTED_VALUE"""),1998.0)</f>
        <v>1998</v>
      </c>
      <c r="E10062">
        <f>IFERROR(__xludf.DUMMYFUNCTION("""COMPUTED_VALUE"""),51925.0)</f>
        <v>51925</v>
      </c>
    </row>
    <row r="10063">
      <c r="A10063" t="str">
        <f t="shared" si="1"/>
        <v>mhl#1999</v>
      </c>
      <c r="B10063" t="str">
        <f>IFERROR(__xludf.DUMMYFUNCTION("""COMPUTED_VALUE"""),"mhl")</f>
        <v>mhl</v>
      </c>
      <c r="C10063" t="str">
        <f>IFERROR(__xludf.DUMMYFUNCTION("""COMPUTED_VALUE"""),"Marshall Islands")</f>
        <v>Marshall Islands</v>
      </c>
      <c r="D10063">
        <f>IFERROR(__xludf.DUMMYFUNCTION("""COMPUTED_VALUE"""),1999.0)</f>
        <v>1999</v>
      </c>
      <c r="E10063">
        <f>IFERROR(__xludf.DUMMYFUNCTION("""COMPUTED_VALUE"""),52079.0)</f>
        <v>52079</v>
      </c>
    </row>
    <row r="10064">
      <c r="A10064" t="str">
        <f t="shared" si="1"/>
        <v>mhl#2000</v>
      </c>
      <c r="B10064" t="str">
        <f>IFERROR(__xludf.DUMMYFUNCTION("""COMPUTED_VALUE"""),"mhl")</f>
        <v>mhl</v>
      </c>
      <c r="C10064" t="str">
        <f>IFERROR(__xludf.DUMMYFUNCTION("""COMPUTED_VALUE"""),"Marshall Islands")</f>
        <v>Marshall Islands</v>
      </c>
      <c r="D10064">
        <f>IFERROR(__xludf.DUMMYFUNCTION("""COMPUTED_VALUE"""),2000.0)</f>
        <v>2000</v>
      </c>
      <c r="E10064">
        <f>IFERROR(__xludf.DUMMYFUNCTION("""COMPUTED_VALUE"""),52159.0)</f>
        <v>52159</v>
      </c>
    </row>
    <row r="10065">
      <c r="A10065" t="str">
        <f t="shared" si="1"/>
        <v>mhl#2001</v>
      </c>
      <c r="B10065" t="str">
        <f>IFERROR(__xludf.DUMMYFUNCTION("""COMPUTED_VALUE"""),"mhl")</f>
        <v>mhl</v>
      </c>
      <c r="C10065" t="str">
        <f>IFERROR(__xludf.DUMMYFUNCTION("""COMPUTED_VALUE"""),"Marshall Islands")</f>
        <v>Marshall Islands</v>
      </c>
      <c r="D10065">
        <f>IFERROR(__xludf.DUMMYFUNCTION("""COMPUTED_VALUE"""),2001.0)</f>
        <v>2001</v>
      </c>
      <c r="E10065">
        <f>IFERROR(__xludf.DUMMYFUNCTION("""COMPUTED_VALUE"""),52183.0)</f>
        <v>52183</v>
      </c>
    </row>
    <row r="10066">
      <c r="A10066" t="str">
        <f t="shared" si="1"/>
        <v>mhl#2002</v>
      </c>
      <c r="B10066" t="str">
        <f>IFERROR(__xludf.DUMMYFUNCTION("""COMPUTED_VALUE"""),"mhl")</f>
        <v>mhl</v>
      </c>
      <c r="C10066" t="str">
        <f>IFERROR(__xludf.DUMMYFUNCTION("""COMPUTED_VALUE"""),"Marshall Islands")</f>
        <v>Marshall Islands</v>
      </c>
      <c r="D10066">
        <f>IFERROR(__xludf.DUMMYFUNCTION("""COMPUTED_VALUE"""),2002.0)</f>
        <v>2002</v>
      </c>
      <c r="E10066">
        <f>IFERROR(__xludf.DUMMYFUNCTION("""COMPUTED_VALUE"""),52158.0)</f>
        <v>52158</v>
      </c>
    </row>
    <row r="10067">
      <c r="A10067" t="str">
        <f t="shared" si="1"/>
        <v>mhl#2003</v>
      </c>
      <c r="B10067" t="str">
        <f>IFERROR(__xludf.DUMMYFUNCTION("""COMPUTED_VALUE"""),"mhl")</f>
        <v>mhl</v>
      </c>
      <c r="C10067" t="str">
        <f>IFERROR(__xludf.DUMMYFUNCTION("""COMPUTED_VALUE"""),"Marshall Islands")</f>
        <v>Marshall Islands</v>
      </c>
      <c r="D10067">
        <f>IFERROR(__xludf.DUMMYFUNCTION("""COMPUTED_VALUE"""),2003.0)</f>
        <v>2003</v>
      </c>
      <c r="E10067">
        <f>IFERROR(__xludf.DUMMYFUNCTION("""COMPUTED_VALUE"""),52116.0)</f>
        <v>52116</v>
      </c>
    </row>
    <row r="10068">
      <c r="A10068" t="str">
        <f t="shared" si="1"/>
        <v>mhl#2004</v>
      </c>
      <c r="B10068" t="str">
        <f>IFERROR(__xludf.DUMMYFUNCTION("""COMPUTED_VALUE"""),"mhl")</f>
        <v>mhl</v>
      </c>
      <c r="C10068" t="str">
        <f>IFERROR(__xludf.DUMMYFUNCTION("""COMPUTED_VALUE"""),"Marshall Islands")</f>
        <v>Marshall Islands</v>
      </c>
      <c r="D10068">
        <f>IFERROR(__xludf.DUMMYFUNCTION("""COMPUTED_VALUE"""),2004.0)</f>
        <v>2004</v>
      </c>
      <c r="E10068">
        <f>IFERROR(__xludf.DUMMYFUNCTION("""COMPUTED_VALUE"""),52074.0)</f>
        <v>52074</v>
      </c>
    </row>
    <row r="10069">
      <c r="A10069" t="str">
        <f t="shared" si="1"/>
        <v>mhl#2005</v>
      </c>
      <c r="B10069" t="str">
        <f>IFERROR(__xludf.DUMMYFUNCTION("""COMPUTED_VALUE"""),"mhl")</f>
        <v>mhl</v>
      </c>
      <c r="C10069" t="str">
        <f>IFERROR(__xludf.DUMMYFUNCTION("""COMPUTED_VALUE"""),"Marshall Islands")</f>
        <v>Marshall Islands</v>
      </c>
      <c r="D10069">
        <f>IFERROR(__xludf.DUMMYFUNCTION("""COMPUTED_VALUE"""),2005.0)</f>
        <v>2005</v>
      </c>
      <c r="E10069">
        <f>IFERROR(__xludf.DUMMYFUNCTION("""COMPUTED_VALUE"""),52055.0)</f>
        <v>52055</v>
      </c>
    </row>
    <row r="10070">
      <c r="A10070" t="str">
        <f t="shared" si="1"/>
        <v>mhl#2006</v>
      </c>
      <c r="B10070" t="str">
        <f>IFERROR(__xludf.DUMMYFUNCTION("""COMPUTED_VALUE"""),"mhl")</f>
        <v>mhl</v>
      </c>
      <c r="C10070" t="str">
        <f>IFERROR(__xludf.DUMMYFUNCTION("""COMPUTED_VALUE"""),"Marshall Islands")</f>
        <v>Marshall Islands</v>
      </c>
      <c r="D10070">
        <f>IFERROR(__xludf.DUMMYFUNCTION("""COMPUTED_VALUE"""),2006.0)</f>
        <v>2006</v>
      </c>
      <c r="E10070">
        <f>IFERROR(__xludf.DUMMYFUNCTION("""COMPUTED_VALUE"""),52078.0)</f>
        <v>52078</v>
      </c>
    </row>
    <row r="10071">
      <c r="A10071" t="str">
        <f t="shared" si="1"/>
        <v>mhl#2007</v>
      </c>
      <c r="B10071" t="str">
        <f>IFERROR(__xludf.DUMMYFUNCTION("""COMPUTED_VALUE"""),"mhl")</f>
        <v>mhl</v>
      </c>
      <c r="C10071" t="str">
        <f>IFERROR(__xludf.DUMMYFUNCTION("""COMPUTED_VALUE"""),"Marshall Islands")</f>
        <v>Marshall Islands</v>
      </c>
      <c r="D10071">
        <f>IFERROR(__xludf.DUMMYFUNCTION("""COMPUTED_VALUE"""),2007.0)</f>
        <v>2007</v>
      </c>
      <c r="E10071">
        <f>IFERROR(__xludf.DUMMYFUNCTION("""COMPUTED_VALUE"""),52137.0)</f>
        <v>52137</v>
      </c>
    </row>
    <row r="10072">
      <c r="A10072" t="str">
        <f t="shared" si="1"/>
        <v>mhl#2008</v>
      </c>
      <c r="B10072" t="str">
        <f>IFERROR(__xludf.DUMMYFUNCTION("""COMPUTED_VALUE"""),"mhl")</f>
        <v>mhl</v>
      </c>
      <c r="C10072" t="str">
        <f>IFERROR(__xludf.DUMMYFUNCTION("""COMPUTED_VALUE"""),"Marshall Islands")</f>
        <v>Marshall Islands</v>
      </c>
      <c r="D10072">
        <f>IFERROR(__xludf.DUMMYFUNCTION("""COMPUTED_VALUE"""),2008.0)</f>
        <v>2008</v>
      </c>
      <c r="E10072">
        <f>IFERROR(__xludf.DUMMYFUNCTION("""COMPUTED_VALUE"""),52218.0)</f>
        <v>52218</v>
      </c>
    </row>
    <row r="10073">
      <c r="A10073" t="str">
        <f t="shared" si="1"/>
        <v>mhl#2009</v>
      </c>
      <c r="B10073" t="str">
        <f>IFERROR(__xludf.DUMMYFUNCTION("""COMPUTED_VALUE"""),"mhl")</f>
        <v>mhl</v>
      </c>
      <c r="C10073" t="str">
        <f>IFERROR(__xludf.DUMMYFUNCTION("""COMPUTED_VALUE"""),"Marshall Islands")</f>
        <v>Marshall Islands</v>
      </c>
      <c r="D10073">
        <f>IFERROR(__xludf.DUMMYFUNCTION("""COMPUTED_VALUE"""),2009.0)</f>
        <v>2009</v>
      </c>
      <c r="E10073">
        <f>IFERROR(__xludf.DUMMYFUNCTION("""COMPUTED_VALUE"""),52320.0)</f>
        <v>52320</v>
      </c>
    </row>
    <row r="10074">
      <c r="A10074" t="str">
        <f t="shared" si="1"/>
        <v>mhl#2010</v>
      </c>
      <c r="B10074" t="str">
        <f>IFERROR(__xludf.DUMMYFUNCTION("""COMPUTED_VALUE"""),"mhl")</f>
        <v>mhl</v>
      </c>
      <c r="C10074" t="str">
        <f>IFERROR(__xludf.DUMMYFUNCTION("""COMPUTED_VALUE"""),"Marshall Islands")</f>
        <v>Marshall Islands</v>
      </c>
      <c r="D10074">
        <f>IFERROR(__xludf.DUMMYFUNCTION("""COMPUTED_VALUE"""),2010.0)</f>
        <v>2010</v>
      </c>
      <c r="E10074">
        <f>IFERROR(__xludf.DUMMYFUNCTION("""COMPUTED_VALUE"""),52425.0)</f>
        <v>52425</v>
      </c>
    </row>
    <row r="10075">
      <c r="A10075" t="str">
        <f t="shared" si="1"/>
        <v>mhl#2011</v>
      </c>
      <c r="B10075" t="str">
        <f>IFERROR(__xludf.DUMMYFUNCTION("""COMPUTED_VALUE"""),"mhl")</f>
        <v>mhl</v>
      </c>
      <c r="C10075" t="str">
        <f>IFERROR(__xludf.DUMMYFUNCTION("""COMPUTED_VALUE"""),"Marshall Islands")</f>
        <v>Marshall Islands</v>
      </c>
      <c r="D10075">
        <f>IFERROR(__xludf.DUMMYFUNCTION("""COMPUTED_VALUE"""),2011.0)</f>
        <v>2011</v>
      </c>
      <c r="E10075">
        <f>IFERROR(__xludf.DUMMYFUNCTION("""COMPUTED_VALUE"""),52542.0)</f>
        <v>52542</v>
      </c>
    </row>
    <row r="10076">
      <c r="A10076" t="str">
        <f t="shared" si="1"/>
        <v>mhl#2012</v>
      </c>
      <c r="B10076" t="str">
        <f>IFERROR(__xludf.DUMMYFUNCTION("""COMPUTED_VALUE"""),"mhl")</f>
        <v>mhl</v>
      </c>
      <c r="C10076" t="str">
        <f>IFERROR(__xludf.DUMMYFUNCTION("""COMPUTED_VALUE"""),"Marshall Islands")</f>
        <v>Marshall Islands</v>
      </c>
      <c r="D10076">
        <f>IFERROR(__xludf.DUMMYFUNCTION("""COMPUTED_VALUE"""),2012.0)</f>
        <v>2012</v>
      </c>
      <c r="E10076">
        <f>IFERROR(__xludf.DUMMYFUNCTION("""COMPUTED_VALUE"""),52663.0)</f>
        <v>52663</v>
      </c>
    </row>
    <row r="10077">
      <c r="A10077" t="str">
        <f t="shared" si="1"/>
        <v>mhl#2013</v>
      </c>
      <c r="B10077" t="str">
        <f>IFERROR(__xludf.DUMMYFUNCTION("""COMPUTED_VALUE"""),"mhl")</f>
        <v>mhl</v>
      </c>
      <c r="C10077" t="str">
        <f>IFERROR(__xludf.DUMMYFUNCTION("""COMPUTED_VALUE"""),"Marshall Islands")</f>
        <v>Marshall Islands</v>
      </c>
      <c r="D10077">
        <f>IFERROR(__xludf.DUMMYFUNCTION("""COMPUTED_VALUE"""),2013.0)</f>
        <v>2013</v>
      </c>
      <c r="E10077">
        <f>IFERROR(__xludf.DUMMYFUNCTION("""COMPUTED_VALUE"""),52793.0)</f>
        <v>52793</v>
      </c>
    </row>
    <row r="10078">
      <c r="A10078" t="str">
        <f t="shared" si="1"/>
        <v>mhl#2014</v>
      </c>
      <c r="B10078" t="str">
        <f>IFERROR(__xludf.DUMMYFUNCTION("""COMPUTED_VALUE"""),"mhl")</f>
        <v>mhl</v>
      </c>
      <c r="C10078" t="str">
        <f>IFERROR(__xludf.DUMMYFUNCTION("""COMPUTED_VALUE"""),"Marshall Islands")</f>
        <v>Marshall Islands</v>
      </c>
      <c r="D10078">
        <f>IFERROR(__xludf.DUMMYFUNCTION("""COMPUTED_VALUE"""),2014.0)</f>
        <v>2014</v>
      </c>
      <c r="E10078">
        <f>IFERROR(__xludf.DUMMYFUNCTION("""COMPUTED_VALUE"""),52898.0)</f>
        <v>52898</v>
      </c>
    </row>
    <row r="10079">
      <c r="A10079" t="str">
        <f t="shared" si="1"/>
        <v>mhl#2015</v>
      </c>
      <c r="B10079" t="str">
        <f>IFERROR(__xludf.DUMMYFUNCTION("""COMPUTED_VALUE"""),"mhl")</f>
        <v>mhl</v>
      </c>
      <c r="C10079" t="str">
        <f>IFERROR(__xludf.DUMMYFUNCTION("""COMPUTED_VALUE"""),"Marshall Islands")</f>
        <v>Marshall Islands</v>
      </c>
      <c r="D10079">
        <f>IFERROR(__xludf.DUMMYFUNCTION("""COMPUTED_VALUE"""),2015.0)</f>
        <v>2015</v>
      </c>
      <c r="E10079">
        <f>IFERROR(__xludf.DUMMYFUNCTION("""COMPUTED_VALUE"""),52994.0)</f>
        <v>52994</v>
      </c>
    </row>
    <row r="10080">
      <c r="A10080" t="str">
        <f t="shared" si="1"/>
        <v>mhl#2016</v>
      </c>
      <c r="B10080" t="str">
        <f>IFERROR(__xludf.DUMMYFUNCTION("""COMPUTED_VALUE"""),"mhl")</f>
        <v>mhl</v>
      </c>
      <c r="C10080" t="str">
        <f>IFERROR(__xludf.DUMMYFUNCTION("""COMPUTED_VALUE"""),"Marshall Islands")</f>
        <v>Marshall Islands</v>
      </c>
      <c r="D10080">
        <f>IFERROR(__xludf.DUMMYFUNCTION("""COMPUTED_VALUE"""),2016.0)</f>
        <v>2016</v>
      </c>
      <c r="E10080">
        <f>IFERROR(__xludf.DUMMYFUNCTION("""COMPUTED_VALUE"""),53066.0)</f>
        <v>53066</v>
      </c>
    </row>
    <row r="10081">
      <c r="A10081" t="str">
        <f t="shared" si="1"/>
        <v>mhl#2017</v>
      </c>
      <c r="B10081" t="str">
        <f>IFERROR(__xludf.DUMMYFUNCTION("""COMPUTED_VALUE"""),"mhl")</f>
        <v>mhl</v>
      </c>
      <c r="C10081" t="str">
        <f>IFERROR(__xludf.DUMMYFUNCTION("""COMPUTED_VALUE"""),"Marshall Islands")</f>
        <v>Marshall Islands</v>
      </c>
      <c r="D10081">
        <f>IFERROR(__xludf.DUMMYFUNCTION("""COMPUTED_VALUE"""),2017.0)</f>
        <v>2017</v>
      </c>
      <c r="E10081">
        <f>IFERROR(__xludf.DUMMYFUNCTION("""COMPUTED_VALUE"""),53127.0)</f>
        <v>53127</v>
      </c>
    </row>
    <row r="10082">
      <c r="A10082" t="str">
        <f t="shared" si="1"/>
        <v>mhl#2018</v>
      </c>
      <c r="B10082" t="str">
        <f>IFERROR(__xludf.DUMMYFUNCTION("""COMPUTED_VALUE"""),"mhl")</f>
        <v>mhl</v>
      </c>
      <c r="C10082" t="str">
        <f>IFERROR(__xludf.DUMMYFUNCTION("""COMPUTED_VALUE"""),"Marshall Islands")</f>
        <v>Marshall Islands</v>
      </c>
      <c r="D10082">
        <f>IFERROR(__xludf.DUMMYFUNCTION("""COMPUTED_VALUE"""),2018.0)</f>
        <v>2018</v>
      </c>
      <c r="E10082">
        <f>IFERROR(__xludf.DUMMYFUNCTION("""COMPUTED_VALUE"""),53167.0)</f>
        <v>53167</v>
      </c>
    </row>
    <row r="10083">
      <c r="A10083" t="str">
        <f t="shared" si="1"/>
        <v>mhl#2019</v>
      </c>
      <c r="B10083" t="str">
        <f>IFERROR(__xludf.DUMMYFUNCTION("""COMPUTED_VALUE"""),"mhl")</f>
        <v>mhl</v>
      </c>
      <c r="C10083" t="str">
        <f>IFERROR(__xludf.DUMMYFUNCTION("""COMPUTED_VALUE"""),"Marshall Islands")</f>
        <v>Marshall Islands</v>
      </c>
      <c r="D10083">
        <f>IFERROR(__xludf.DUMMYFUNCTION("""COMPUTED_VALUE"""),2019.0)</f>
        <v>2019</v>
      </c>
      <c r="E10083">
        <f>IFERROR(__xludf.DUMMYFUNCTION("""COMPUTED_VALUE"""),53211.0)</f>
        <v>53211</v>
      </c>
    </row>
    <row r="10084">
      <c r="A10084" t="str">
        <f t="shared" si="1"/>
        <v>mhl#2020</v>
      </c>
      <c r="B10084" t="str">
        <f>IFERROR(__xludf.DUMMYFUNCTION("""COMPUTED_VALUE"""),"mhl")</f>
        <v>mhl</v>
      </c>
      <c r="C10084" t="str">
        <f>IFERROR(__xludf.DUMMYFUNCTION("""COMPUTED_VALUE"""),"Marshall Islands")</f>
        <v>Marshall Islands</v>
      </c>
      <c r="D10084">
        <f>IFERROR(__xludf.DUMMYFUNCTION("""COMPUTED_VALUE"""),2020.0)</f>
        <v>2020</v>
      </c>
      <c r="E10084">
        <f>IFERROR(__xludf.DUMMYFUNCTION("""COMPUTED_VALUE"""),53251.0)</f>
        <v>53251</v>
      </c>
    </row>
    <row r="10085">
      <c r="A10085" t="str">
        <f t="shared" si="1"/>
        <v>mhl#2021</v>
      </c>
      <c r="B10085" t="str">
        <f>IFERROR(__xludf.DUMMYFUNCTION("""COMPUTED_VALUE"""),"mhl")</f>
        <v>mhl</v>
      </c>
      <c r="C10085" t="str">
        <f>IFERROR(__xludf.DUMMYFUNCTION("""COMPUTED_VALUE"""),"Marshall Islands")</f>
        <v>Marshall Islands</v>
      </c>
      <c r="D10085">
        <f>IFERROR(__xludf.DUMMYFUNCTION("""COMPUTED_VALUE"""),2021.0)</f>
        <v>2021</v>
      </c>
      <c r="E10085">
        <f>IFERROR(__xludf.DUMMYFUNCTION("""COMPUTED_VALUE"""),53289.0)</f>
        <v>53289</v>
      </c>
    </row>
    <row r="10086">
      <c r="A10086" t="str">
        <f t="shared" si="1"/>
        <v>mhl#2022</v>
      </c>
      <c r="B10086" t="str">
        <f>IFERROR(__xludf.DUMMYFUNCTION("""COMPUTED_VALUE"""),"mhl")</f>
        <v>mhl</v>
      </c>
      <c r="C10086" t="str">
        <f>IFERROR(__xludf.DUMMYFUNCTION("""COMPUTED_VALUE"""),"Marshall Islands")</f>
        <v>Marshall Islands</v>
      </c>
      <c r="D10086">
        <f>IFERROR(__xludf.DUMMYFUNCTION("""COMPUTED_VALUE"""),2022.0)</f>
        <v>2022</v>
      </c>
      <c r="E10086">
        <f>IFERROR(__xludf.DUMMYFUNCTION("""COMPUTED_VALUE"""),53327.0)</f>
        <v>53327</v>
      </c>
    </row>
    <row r="10087">
      <c r="A10087" t="str">
        <f t="shared" si="1"/>
        <v>mhl#2023</v>
      </c>
      <c r="B10087" t="str">
        <f>IFERROR(__xludf.DUMMYFUNCTION("""COMPUTED_VALUE"""),"mhl")</f>
        <v>mhl</v>
      </c>
      <c r="C10087" t="str">
        <f>IFERROR(__xludf.DUMMYFUNCTION("""COMPUTED_VALUE"""),"Marshall Islands")</f>
        <v>Marshall Islands</v>
      </c>
      <c r="D10087">
        <f>IFERROR(__xludf.DUMMYFUNCTION("""COMPUTED_VALUE"""),2023.0)</f>
        <v>2023</v>
      </c>
      <c r="E10087">
        <f>IFERROR(__xludf.DUMMYFUNCTION("""COMPUTED_VALUE"""),53400.0)</f>
        <v>53400</v>
      </c>
    </row>
    <row r="10088">
      <c r="A10088" t="str">
        <f t="shared" si="1"/>
        <v>mhl#2024</v>
      </c>
      <c r="B10088" t="str">
        <f>IFERROR(__xludf.DUMMYFUNCTION("""COMPUTED_VALUE"""),"mhl")</f>
        <v>mhl</v>
      </c>
      <c r="C10088" t="str">
        <f>IFERROR(__xludf.DUMMYFUNCTION("""COMPUTED_VALUE"""),"Marshall Islands")</f>
        <v>Marshall Islands</v>
      </c>
      <c r="D10088">
        <f>IFERROR(__xludf.DUMMYFUNCTION("""COMPUTED_VALUE"""),2024.0)</f>
        <v>2024</v>
      </c>
      <c r="E10088">
        <f>IFERROR(__xludf.DUMMYFUNCTION("""COMPUTED_VALUE"""),53514.0)</f>
        <v>53514</v>
      </c>
    </row>
    <row r="10089">
      <c r="A10089" t="str">
        <f t="shared" si="1"/>
        <v>mhl#2025</v>
      </c>
      <c r="B10089" t="str">
        <f>IFERROR(__xludf.DUMMYFUNCTION("""COMPUTED_VALUE"""),"mhl")</f>
        <v>mhl</v>
      </c>
      <c r="C10089" t="str">
        <f>IFERROR(__xludf.DUMMYFUNCTION("""COMPUTED_VALUE"""),"Marshall Islands")</f>
        <v>Marshall Islands</v>
      </c>
      <c r="D10089">
        <f>IFERROR(__xludf.DUMMYFUNCTION("""COMPUTED_VALUE"""),2025.0)</f>
        <v>2025</v>
      </c>
      <c r="E10089">
        <f>IFERROR(__xludf.DUMMYFUNCTION("""COMPUTED_VALUE"""),53702.0)</f>
        <v>53702</v>
      </c>
    </row>
    <row r="10090">
      <c r="A10090" t="str">
        <f t="shared" si="1"/>
        <v>mhl#2026</v>
      </c>
      <c r="B10090" t="str">
        <f>IFERROR(__xludf.DUMMYFUNCTION("""COMPUTED_VALUE"""),"mhl")</f>
        <v>mhl</v>
      </c>
      <c r="C10090" t="str">
        <f>IFERROR(__xludf.DUMMYFUNCTION("""COMPUTED_VALUE"""),"Marshall Islands")</f>
        <v>Marshall Islands</v>
      </c>
      <c r="D10090">
        <f>IFERROR(__xludf.DUMMYFUNCTION("""COMPUTED_VALUE"""),2026.0)</f>
        <v>2026</v>
      </c>
      <c r="E10090">
        <f>IFERROR(__xludf.DUMMYFUNCTION("""COMPUTED_VALUE"""),53956.0)</f>
        <v>53956</v>
      </c>
    </row>
    <row r="10091">
      <c r="A10091" t="str">
        <f t="shared" si="1"/>
        <v>mhl#2027</v>
      </c>
      <c r="B10091" t="str">
        <f>IFERROR(__xludf.DUMMYFUNCTION("""COMPUTED_VALUE"""),"mhl")</f>
        <v>mhl</v>
      </c>
      <c r="C10091" t="str">
        <f>IFERROR(__xludf.DUMMYFUNCTION("""COMPUTED_VALUE"""),"Marshall Islands")</f>
        <v>Marshall Islands</v>
      </c>
      <c r="D10091">
        <f>IFERROR(__xludf.DUMMYFUNCTION("""COMPUTED_VALUE"""),2027.0)</f>
        <v>2027</v>
      </c>
      <c r="E10091">
        <f>IFERROR(__xludf.DUMMYFUNCTION("""COMPUTED_VALUE"""),54299.0)</f>
        <v>54299</v>
      </c>
    </row>
    <row r="10092">
      <c r="A10092" t="str">
        <f t="shared" si="1"/>
        <v>mhl#2028</v>
      </c>
      <c r="B10092" t="str">
        <f>IFERROR(__xludf.DUMMYFUNCTION("""COMPUTED_VALUE"""),"mhl")</f>
        <v>mhl</v>
      </c>
      <c r="C10092" t="str">
        <f>IFERROR(__xludf.DUMMYFUNCTION("""COMPUTED_VALUE"""),"Marshall Islands")</f>
        <v>Marshall Islands</v>
      </c>
      <c r="D10092">
        <f>IFERROR(__xludf.DUMMYFUNCTION("""COMPUTED_VALUE"""),2028.0)</f>
        <v>2028</v>
      </c>
      <c r="E10092">
        <f>IFERROR(__xludf.DUMMYFUNCTION("""COMPUTED_VALUE"""),54695.0)</f>
        <v>54695</v>
      </c>
    </row>
    <row r="10093">
      <c r="A10093" t="str">
        <f t="shared" si="1"/>
        <v>mhl#2029</v>
      </c>
      <c r="B10093" t="str">
        <f>IFERROR(__xludf.DUMMYFUNCTION("""COMPUTED_VALUE"""),"mhl")</f>
        <v>mhl</v>
      </c>
      <c r="C10093" t="str">
        <f>IFERROR(__xludf.DUMMYFUNCTION("""COMPUTED_VALUE"""),"Marshall Islands")</f>
        <v>Marshall Islands</v>
      </c>
      <c r="D10093">
        <f>IFERROR(__xludf.DUMMYFUNCTION("""COMPUTED_VALUE"""),2029.0)</f>
        <v>2029</v>
      </c>
      <c r="E10093">
        <f>IFERROR(__xludf.DUMMYFUNCTION("""COMPUTED_VALUE"""),55143.0)</f>
        <v>55143</v>
      </c>
    </row>
    <row r="10094">
      <c r="A10094" t="str">
        <f t="shared" si="1"/>
        <v>mhl#2030</v>
      </c>
      <c r="B10094" t="str">
        <f>IFERROR(__xludf.DUMMYFUNCTION("""COMPUTED_VALUE"""),"mhl")</f>
        <v>mhl</v>
      </c>
      <c r="C10094" t="str">
        <f>IFERROR(__xludf.DUMMYFUNCTION("""COMPUTED_VALUE"""),"Marshall Islands")</f>
        <v>Marshall Islands</v>
      </c>
      <c r="D10094">
        <f>IFERROR(__xludf.DUMMYFUNCTION("""COMPUTED_VALUE"""),2030.0)</f>
        <v>2030</v>
      </c>
      <c r="E10094">
        <f>IFERROR(__xludf.DUMMYFUNCTION("""COMPUTED_VALUE"""),55634.0)</f>
        <v>55634</v>
      </c>
    </row>
    <row r="10095">
      <c r="A10095" t="str">
        <f t="shared" si="1"/>
        <v>mhl#2031</v>
      </c>
      <c r="B10095" t="str">
        <f>IFERROR(__xludf.DUMMYFUNCTION("""COMPUTED_VALUE"""),"mhl")</f>
        <v>mhl</v>
      </c>
      <c r="C10095" t="str">
        <f>IFERROR(__xludf.DUMMYFUNCTION("""COMPUTED_VALUE"""),"Marshall Islands")</f>
        <v>Marshall Islands</v>
      </c>
      <c r="D10095">
        <f>IFERROR(__xludf.DUMMYFUNCTION("""COMPUTED_VALUE"""),2031.0)</f>
        <v>2031</v>
      </c>
      <c r="E10095">
        <f>IFERROR(__xludf.DUMMYFUNCTION("""COMPUTED_VALUE"""),56159.0)</f>
        <v>56159</v>
      </c>
    </row>
    <row r="10096">
      <c r="A10096" t="str">
        <f t="shared" si="1"/>
        <v>mhl#2032</v>
      </c>
      <c r="B10096" t="str">
        <f>IFERROR(__xludf.DUMMYFUNCTION("""COMPUTED_VALUE"""),"mhl")</f>
        <v>mhl</v>
      </c>
      <c r="C10096" t="str">
        <f>IFERROR(__xludf.DUMMYFUNCTION("""COMPUTED_VALUE"""),"Marshall Islands")</f>
        <v>Marshall Islands</v>
      </c>
      <c r="D10096">
        <f>IFERROR(__xludf.DUMMYFUNCTION("""COMPUTED_VALUE"""),2032.0)</f>
        <v>2032</v>
      </c>
      <c r="E10096">
        <f>IFERROR(__xludf.DUMMYFUNCTION("""COMPUTED_VALUE"""),56726.0)</f>
        <v>56726</v>
      </c>
    </row>
    <row r="10097">
      <c r="A10097" t="str">
        <f t="shared" si="1"/>
        <v>mhl#2033</v>
      </c>
      <c r="B10097" t="str">
        <f>IFERROR(__xludf.DUMMYFUNCTION("""COMPUTED_VALUE"""),"mhl")</f>
        <v>mhl</v>
      </c>
      <c r="C10097" t="str">
        <f>IFERROR(__xludf.DUMMYFUNCTION("""COMPUTED_VALUE"""),"Marshall Islands")</f>
        <v>Marshall Islands</v>
      </c>
      <c r="D10097">
        <f>IFERROR(__xludf.DUMMYFUNCTION("""COMPUTED_VALUE"""),2033.0)</f>
        <v>2033</v>
      </c>
      <c r="E10097">
        <f>IFERROR(__xludf.DUMMYFUNCTION("""COMPUTED_VALUE"""),57321.0)</f>
        <v>57321</v>
      </c>
    </row>
    <row r="10098">
      <c r="A10098" t="str">
        <f t="shared" si="1"/>
        <v>mhl#2034</v>
      </c>
      <c r="B10098" t="str">
        <f>IFERROR(__xludf.DUMMYFUNCTION("""COMPUTED_VALUE"""),"mhl")</f>
        <v>mhl</v>
      </c>
      <c r="C10098" t="str">
        <f>IFERROR(__xludf.DUMMYFUNCTION("""COMPUTED_VALUE"""),"Marshall Islands")</f>
        <v>Marshall Islands</v>
      </c>
      <c r="D10098">
        <f>IFERROR(__xludf.DUMMYFUNCTION("""COMPUTED_VALUE"""),2034.0)</f>
        <v>2034</v>
      </c>
      <c r="E10098">
        <f>IFERROR(__xludf.DUMMYFUNCTION("""COMPUTED_VALUE"""),57943.0)</f>
        <v>57943</v>
      </c>
    </row>
    <row r="10099">
      <c r="A10099" t="str">
        <f t="shared" si="1"/>
        <v>mhl#2035</v>
      </c>
      <c r="B10099" t="str">
        <f>IFERROR(__xludf.DUMMYFUNCTION("""COMPUTED_VALUE"""),"mhl")</f>
        <v>mhl</v>
      </c>
      <c r="C10099" t="str">
        <f>IFERROR(__xludf.DUMMYFUNCTION("""COMPUTED_VALUE"""),"Marshall Islands")</f>
        <v>Marshall Islands</v>
      </c>
      <c r="D10099">
        <f>IFERROR(__xludf.DUMMYFUNCTION("""COMPUTED_VALUE"""),2035.0)</f>
        <v>2035</v>
      </c>
      <c r="E10099">
        <f>IFERROR(__xludf.DUMMYFUNCTION("""COMPUTED_VALUE"""),58586.0)</f>
        <v>58586</v>
      </c>
    </row>
    <row r="10100">
      <c r="A10100" t="str">
        <f t="shared" si="1"/>
        <v>mhl#2036</v>
      </c>
      <c r="B10100" t="str">
        <f>IFERROR(__xludf.DUMMYFUNCTION("""COMPUTED_VALUE"""),"mhl")</f>
        <v>mhl</v>
      </c>
      <c r="C10100" t="str">
        <f>IFERROR(__xludf.DUMMYFUNCTION("""COMPUTED_VALUE"""),"Marshall Islands")</f>
        <v>Marshall Islands</v>
      </c>
      <c r="D10100">
        <f>IFERROR(__xludf.DUMMYFUNCTION("""COMPUTED_VALUE"""),2036.0)</f>
        <v>2036</v>
      </c>
      <c r="E10100">
        <f>IFERROR(__xludf.DUMMYFUNCTION("""COMPUTED_VALUE"""),59239.0)</f>
        <v>59239</v>
      </c>
    </row>
    <row r="10101">
      <c r="A10101" t="str">
        <f t="shared" si="1"/>
        <v>mhl#2037</v>
      </c>
      <c r="B10101" t="str">
        <f>IFERROR(__xludf.DUMMYFUNCTION("""COMPUTED_VALUE"""),"mhl")</f>
        <v>mhl</v>
      </c>
      <c r="C10101" t="str">
        <f>IFERROR(__xludf.DUMMYFUNCTION("""COMPUTED_VALUE"""),"Marshall Islands")</f>
        <v>Marshall Islands</v>
      </c>
      <c r="D10101">
        <f>IFERROR(__xludf.DUMMYFUNCTION("""COMPUTED_VALUE"""),2037.0)</f>
        <v>2037</v>
      </c>
      <c r="E10101">
        <f>IFERROR(__xludf.DUMMYFUNCTION("""COMPUTED_VALUE"""),59915.0)</f>
        <v>59915</v>
      </c>
    </row>
    <row r="10102">
      <c r="A10102" t="str">
        <f t="shared" si="1"/>
        <v>mhl#2038</v>
      </c>
      <c r="B10102" t="str">
        <f>IFERROR(__xludf.DUMMYFUNCTION("""COMPUTED_VALUE"""),"mhl")</f>
        <v>mhl</v>
      </c>
      <c r="C10102" t="str">
        <f>IFERROR(__xludf.DUMMYFUNCTION("""COMPUTED_VALUE"""),"Marshall Islands")</f>
        <v>Marshall Islands</v>
      </c>
      <c r="D10102">
        <f>IFERROR(__xludf.DUMMYFUNCTION("""COMPUTED_VALUE"""),2038.0)</f>
        <v>2038</v>
      </c>
      <c r="E10102">
        <f>IFERROR(__xludf.DUMMYFUNCTION("""COMPUTED_VALUE"""),60576.0)</f>
        <v>60576</v>
      </c>
    </row>
    <row r="10103">
      <c r="A10103" t="str">
        <f t="shared" si="1"/>
        <v>mhl#2039</v>
      </c>
      <c r="B10103" t="str">
        <f>IFERROR(__xludf.DUMMYFUNCTION("""COMPUTED_VALUE"""),"mhl")</f>
        <v>mhl</v>
      </c>
      <c r="C10103" t="str">
        <f>IFERROR(__xludf.DUMMYFUNCTION("""COMPUTED_VALUE"""),"Marshall Islands")</f>
        <v>Marshall Islands</v>
      </c>
      <c r="D10103">
        <f>IFERROR(__xludf.DUMMYFUNCTION("""COMPUTED_VALUE"""),2039.0)</f>
        <v>2039</v>
      </c>
      <c r="E10103">
        <f>IFERROR(__xludf.DUMMYFUNCTION("""COMPUTED_VALUE"""),61232.0)</f>
        <v>61232</v>
      </c>
    </row>
    <row r="10104">
      <c r="A10104" t="str">
        <f t="shared" si="1"/>
        <v>mhl#2040</v>
      </c>
      <c r="B10104" t="str">
        <f>IFERROR(__xludf.DUMMYFUNCTION("""COMPUTED_VALUE"""),"mhl")</f>
        <v>mhl</v>
      </c>
      <c r="C10104" t="str">
        <f>IFERROR(__xludf.DUMMYFUNCTION("""COMPUTED_VALUE"""),"Marshall Islands")</f>
        <v>Marshall Islands</v>
      </c>
      <c r="D10104">
        <f>IFERROR(__xludf.DUMMYFUNCTION("""COMPUTED_VALUE"""),2040.0)</f>
        <v>2040</v>
      </c>
      <c r="E10104">
        <f>IFERROR(__xludf.DUMMYFUNCTION("""COMPUTED_VALUE"""),61858.0)</f>
        <v>61858</v>
      </c>
    </row>
    <row r="10105">
      <c r="A10105" t="str">
        <f t="shared" si="1"/>
        <v>mrt#1950</v>
      </c>
      <c r="B10105" t="str">
        <f>IFERROR(__xludf.DUMMYFUNCTION("""COMPUTED_VALUE"""),"mrt")</f>
        <v>mrt</v>
      </c>
      <c r="C10105" t="str">
        <f>IFERROR(__xludf.DUMMYFUNCTION("""COMPUTED_VALUE"""),"Mauritania")</f>
        <v>Mauritania</v>
      </c>
      <c r="D10105">
        <f>IFERROR(__xludf.DUMMYFUNCTION("""COMPUTED_VALUE"""),1950.0)</f>
        <v>1950</v>
      </c>
      <c r="E10105">
        <f>IFERROR(__xludf.DUMMYFUNCTION("""COMPUTED_VALUE"""),660491.0)</f>
        <v>660491</v>
      </c>
    </row>
    <row r="10106">
      <c r="A10106" t="str">
        <f t="shared" si="1"/>
        <v>mrt#1951</v>
      </c>
      <c r="B10106" t="str">
        <f>IFERROR(__xludf.DUMMYFUNCTION("""COMPUTED_VALUE"""),"mrt")</f>
        <v>mrt</v>
      </c>
      <c r="C10106" t="str">
        <f>IFERROR(__xludf.DUMMYFUNCTION("""COMPUTED_VALUE"""),"Mauritania")</f>
        <v>Mauritania</v>
      </c>
      <c r="D10106">
        <f>IFERROR(__xludf.DUMMYFUNCTION("""COMPUTED_VALUE"""),1951.0)</f>
        <v>1951</v>
      </c>
      <c r="E10106">
        <f>IFERROR(__xludf.DUMMYFUNCTION("""COMPUTED_VALUE"""),675596.0)</f>
        <v>675596</v>
      </c>
    </row>
    <row r="10107">
      <c r="A10107" t="str">
        <f t="shared" si="1"/>
        <v>mrt#1952</v>
      </c>
      <c r="B10107" t="str">
        <f>IFERROR(__xludf.DUMMYFUNCTION("""COMPUTED_VALUE"""),"mrt")</f>
        <v>mrt</v>
      </c>
      <c r="C10107" t="str">
        <f>IFERROR(__xludf.DUMMYFUNCTION("""COMPUTED_VALUE"""),"Mauritania")</f>
        <v>Mauritania</v>
      </c>
      <c r="D10107">
        <f>IFERROR(__xludf.DUMMYFUNCTION("""COMPUTED_VALUE"""),1952.0)</f>
        <v>1952</v>
      </c>
      <c r="E10107">
        <f>IFERROR(__xludf.DUMMYFUNCTION("""COMPUTED_VALUE"""),691811.0)</f>
        <v>691811</v>
      </c>
    </row>
    <row r="10108">
      <c r="A10108" t="str">
        <f t="shared" si="1"/>
        <v>mrt#1953</v>
      </c>
      <c r="B10108" t="str">
        <f>IFERROR(__xludf.DUMMYFUNCTION("""COMPUTED_VALUE"""),"mrt")</f>
        <v>mrt</v>
      </c>
      <c r="C10108" t="str">
        <f>IFERROR(__xludf.DUMMYFUNCTION("""COMPUTED_VALUE"""),"Mauritania")</f>
        <v>Mauritania</v>
      </c>
      <c r="D10108">
        <f>IFERROR(__xludf.DUMMYFUNCTION("""COMPUTED_VALUE"""),1953.0)</f>
        <v>1953</v>
      </c>
      <c r="E10108">
        <f>IFERROR(__xludf.DUMMYFUNCTION("""COMPUTED_VALUE"""),709097.0)</f>
        <v>709097</v>
      </c>
    </row>
    <row r="10109">
      <c r="A10109" t="str">
        <f t="shared" si="1"/>
        <v>mrt#1954</v>
      </c>
      <c r="B10109" t="str">
        <f>IFERROR(__xludf.DUMMYFUNCTION("""COMPUTED_VALUE"""),"mrt")</f>
        <v>mrt</v>
      </c>
      <c r="C10109" t="str">
        <f>IFERROR(__xludf.DUMMYFUNCTION("""COMPUTED_VALUE"""),"Mauritania")</f>
        <v>Mauritania</v>
      </c>
      <c r="D10109">
        <f>IFERROR(__xludf.DUMMYFUNCTION("""COMPUTED_VALUE"""),1954.0)</f>
        <v>1954</v>
      </c>
      <c r="E10109">
        <f>IFERROR(__xludf.DUMMYFUNCTION("""COMPUTED_VALUE"""),727437.0)</f>
        <v>727437</v>
      </c>
    </row>
    <row r="10110">
      <c r="A10110" t="str">
        <f t="shared" si="1"/>
        <v>mrt#1955</v>
      </c>
      <c r="B10110" t="str">
        <f>IFERROR(__xludf.DUMMYFUNCTION("""COMPUTED_VALUE"""),"mrt")</f>
        <v>mrt</v>
      </c>
      <c r="C10110" t="str">
        <f>IFERROR(__xludf.DUMMYFUNCTION("""COMPUTED_VALUE"""),"Mauritania")</f>
        <v>Mauritania</v>
      </c>
      <c r="D10110">
        <f>IFERROR(__xludf.DUMMYFUNCTION("""COMPUTED_VALUE"""),1955.0)</f>
        <v>1955</v>
      </c>
      <c r="E10110">
        <f>IFERROR(__xludf.DUMMYFUNCTION("""COMPUTED_VALUE"""),746804.0)</f>
        <v>746804</v>
      </c>
    </row>
    <row r="10111">
      <c r="A10111" t="str">
        <f t="shared" si="1"/>
        <v>mrt#1956</v>
      </c>
      <c r="B10111" t="str">
        <f>IFERROR(__xludf.DUMMYFUNCTION("""COMPUTED_VALUE"""),"mrt")</f>
        <v>mrt</v>
      </c>
      <c r="C10111" t="str">
        <f>IFERROR(__xludf.DUMMYFUNCTION("""COMPUTED_VALUE"""),"Mauritania")</f>
        <v>Mauritania</v>
      </c>
      <c r="D10111">
        <f>IFERROR(__xludf.DUMMYFUNCTION("""COMPUTED_VALUE"""),1956.0)</f>
        <v>1956</v>
      </c>
      <c r="E10111">
        <f>IFERROR(__xludf.DUMMYFUNCTION("""COMPUTED_VALUE"""),767162.0)</f>
        <v>767162</v>
      </c>
    </row>
    <row r="10112">
      <c r="A10112" t="str">
        <f t="shared" si="1"/>
        <v>mrt#1957</v>
      </c>
      <c r="B10112" t="str">
        <f>IFERROR(__xludf.DUMMYFUNCTION("""COMPUTED_VALUE"""),"mrt")</f>
        <v>mrt</v>
      </c>
      <c r="C10112" t="str">
        <f>IFERROR(__xludf.DUMMYFUNCTION("""COMPUTED_VALUE"""),"Mauritania")</f>
        <v>Mauritania</v>
      </c>
      <c r="D10112">
        <f>IFERROR(__xludf.DUMMYFUNCTION("""COMPUTED_VALUE"""),1957.0)</f>
        <v>1957</v>
      </c>
      <c r="E10112">
        <f>IFERROR(__xludf.DUMMYFUNCTION("""COMPUTED_VALUE"""),788506.0)</f>
        <v>788506</v>
      </c>
    </row>
    <row r="10113">
      <c r="A10113" t="str">
        <f t="shared" si="1"/>
        <v>mrt#1958</v>
      </c>
      <c r="B10113" t="str">
        <f>IFERROR(__xludf.DUMMYFUNCTION("""COMPUTED_VALUE"""),"mrt")</f>
        <v>mrt</v>
      </c>
      <c r="C10113" t="str">
        <f>IFERROR(__xludf.DUMMYFUNCTION("""COMPUTED_VALUE"""),"Mauritania")</f>
        <v>Mauritania</v>
      </c>
      <c r="D10113">
        <f>IFERROR(__xludf.DUMMYFUNCTION("""COMPUTED_VALUE"""),1958.0)</f>
        <v>1958</v>
      </c>
      <c r="E10113">
        <f>IFERROR(__xludf.DUMMYFUNCTION("""COMPUTED_VALUE"""),810801.0)</f>
        <v>810801</v>
      </c>
    </row>
    <row r="10114">
      <c r="A10114" t="str">
        <f t="shared" si="1"/>
        <v>mrt#1959</v>
      </c>
      <c r="B10114" t="str">
        <f>IFERROR(__xludf.DUMMYFUNCTION("""COMPUTED_VALUE"""),"mrt")</f>
        <v>mrt</v>
      </c>
      <c r="C10114" t="str">
        <f>IFERROR(__xludf.DUMMYFUNCTION("""COMPUTED_VALUE"""),"Mauritania")</f>
        <v>Mauritania</v>
      </c>
      <c r="D10114">
        <f>IFERROR(__xludf.DUMMYFUNCTION("""COMPUTED_VALUE"""),1959.0)</f>
        <v>1959</v>
      </c>
      <c r="E10114">
        <f>IFERROR(__xludf.DUMMYFUNCTION("""COMPUTED_VALUE"""),834023.0)</f>
        <v>834023</v>
      </c>
    </row>
    <row r="10115">
      <c r="A10115" t="str">
        <f t="shared" si="1"/>
        <v>mrt#1960</v>
      </c>
      <c r="B10115" t="str">
        <f>IFERROR(__xludf.DUMMYFUNCTION("""COMPUTED_VALUE"""),"mrt")</f>
        <v>mrt</v>
      </c>
      <c r="C10115" t="str">
        <f>IFERROR(__xludf.DUMMYFUNCTION("""COMPUTED_VALUE"""),"Mauritania")</f>
        <v>Mauritania</v>
      </c>
      <c r="D10115">
        <f>IFERROR(__xludf.DUMMYFUNCTION("""COMPUTED_VALUE"""),1960.0)</f>
        <v>1960</v>
      </c>
      <c r="E10115">
        <f>IFERROR(__xludf.DUMMYFUNCTION("""COMPUTED_VALUE"""),858168.0)</f>
        <v>858168</v>
      </c>
    </row>
    <row r="10116">
      <c r="A10116" t="str">
        <f t="shared" si="1"/>
        <v>mrt#1961</v>
      </c>
      <c r="B10116" t="str">
        <f>IFERROR(__xludf.DUMMYFUNCTION("""COMPUTED_VALUE"""),"mrt")</f>
        <v>mrt</v>
      </c>
      <c r="C10116" t="str">
        <f>IFERROR(__xludf.DUMMYFUNCTION("""COMPUTED_VALUE"""),"Mauritania")</f>
        <v>Mauritania</v>
      </c>
      <c r="D10116">
        <f>IFERROR(__xludf.DUMMYFUNCTION("""COMPUTED_VALUE"""),1961.0)</f>
        <v>1961</v>
      </c>
      <c r="E10116">
        <f>IFERROR(__xludf.DUMMYFUNCTION("""COMPUTED_VALUE"""),883221.0)</f>
        <v>883221</v>
      </c>
    </row>
    <row r="10117">
      <c r="A10117" t="str">
        <f t="shared" si="1"/>
        <v>mrt#1962</v>
      </c>
      <c r="B10117" t="str">
        <f>IFERROR(__xludf.DUMMYFUNCTION("""COMPUTED_VALUE"""),"mrt")</f>
        <v>mrt</v>
      </c>
      <c r="C10117" t="str">
        <f>IFERROR(__xludf.DUMMYFUNCTION("""COMPUTED_VALUE"""),"Mauritania")</f>
        <v>Mauritania</v>
      </c>
      <c r="D10117">
        <f>IFERROR(__xludf.DUMMYFUNCTION("""COMPUTED_VALUE"""),1962.0)</f>
        <v>1962</v>
      </c>
      <c r="E10117">
        <f>IFERROR(__xludf.DUMMYFUNCTION("""COMPUTED_VALUE"""),909174.0)</f>
        <v>909174</v>
      </c>
    </row>
    <row r="10118">
      <c r="A10118" t="str">
        <f t="shared" si="1"/>
        <v>mrt#1963</v>
      </c>
      <c r="B10118" t="str">
        <f>IFERROR(__xludf.DUMMYFUNCTION("""COMPUTED_VALUE"""),"mrt")</f>
        <v>mrt</v>
      </c>
      <c r="C10118" t="str">
        <f>IFERROR(__xludf.DUMMYFUNCTION("""COMPUTED_VALUE"""),"Mauritania")</f>
        <v>Mauritania</v>
      </c>
      <c r="D10118">
        <f>IFERROR(__xludf.DUMMYFUNCTION("""COMPUTED_VALUE"""),1963.0)</f>
        <v>1963</v>
      </c>
      <c r="E10118">
        <f>IFERROR(__xludf.DUMMYFUNCTION("""COMPUTED_VALUE"""),936016.0)</f>
        <v>936016</v>
      </c>
    </row>
    <row r="10119">
      <c r="A10119" t="str">
        <f t="shared" si="1"/>
        <v>mrt#1964</v>
      </c>
      <c r="B10119" t="str">
        <f>IFERROR(__xludf.DUMMYFUNCTION("""COMPUTED_VALUE"""),"mrt")</f>
        <v>mrt</v>
      </c>
      <c r="C10119" t="str">
        <f>IFERROR(__xludf.DUMMYFUNCTION("""COMPUTED_VALUE"""),"Mauritania")</f>
        <v>Mauritania</v>
      </c>
      <c r="D10119">
        <f>IFERROR(__xludf.DUMMYFUNCTION("""COMPUTED_VALUE"""),1964.0)</f>
        <v>1964</v>
      </c>
      <c r="E10119">
        <f>IFERROR(__xludf.DUMMYFUNCTION("""COMPUTED_VALUE"""),963747.0)</f>
        <v>963747</v>
      </c>
    </row>
    <row r="10120">
      <c r="A10120" t="str">
        <f t="shared" si="1"/>
        <v>mrt#1965</v>
      </c>
      <c r="B10120" t="str">
        <f>IFERROR(__xludf.DUMMYFUNCTION("""COMPUTED_VALUE"""),"mrt")</f>
        <v>mrt</v>
      </c>
      <c r="C10120" t="str">
        <f>IFERROR(__xludf.DUMMYFUNCTION("""COMPUTED_VALUE"""),"Mauritania")</f>
        <v>Mauritania</v>
      </c>
      <c r="D10120">
        <f>IFERROR(__xludf.DUMMYFUNCTION("""COMPUTED_VALUE"""),1965.0)</f>
        <v>1965</v>
      </c>
      <c r="E10120">
        <f>IFERROR(__xludf.DUMMYFUNCTION("""COMPUTED_VALUE"""),992367.0)</f>
        <v>992367</v>
      </c>
    </row>
    <row r="10121">
      <c r="A10121" t="str">
        <f t="shared" si="1"/>
        <v>mrt#1966</v>
      </c>
      <c r="B10121" t="str">
        <f>IFERROR(__xludf.DUMMYFUNCTION("""COMPUTED_VALUE"""),"mrt")</f>
        <v>mrt</v>
      </c>
      <c r="C10121" t="str">
        <f>IFERROR(__xludf.DUMMYFUNCTION("""COMPUTED_VALUE"""),"Mauritania")</f>
        <v>Mauritania</v>
      </c>
      <c r="D10121">
        <f>IFERROR(__xludf.DUMMYFUNCTION("""COMPUTED_VALUE"""),1966.0)</f>
        <v>1966</v>
      </c>
      <c r="E10121">
        <f>IFERROR(__xludf.DUMMYFUNCTION("""COMPUTED_VALUE"""),1021882.0)</f>
        <v>1021882</v>
      </c>
    </row>
    <row r="10122">
      <c r="A10122" t="str">
        <f t="shared" si="1"/>
        <v>mrt#1967</v>
      </c>
      <c r="B10122" t="str">
        <f>IFERROR(__xludf.DUMMYFUNCTION("""COMPUTED_VALUE"""),"mrt")</f>
        <v>mrt</v>
      </c>
      <c r="C10122" t="str">
        <f>IFERROR(__xludf.DUMMYFUNCTION("""COMPUTED_VALUE"""),"Mauritania")</f>
        <v>Mauritania</v>
      </c>
      <c r="D10122">
        <f>IFERROR(__xludf.DUMMYFUNCTION("""COMPUTED_VALUE"""),1967.0)</f>
        <v>1967</v>
      </c>
      <c r="E10122">
        <f>IFERROR(__xludf.DUMMYFUNCTION("""COMPUTED_VALUE"""),1052286.0)</f>
        <v>1052286</v>
      </c>
    </row>
    <row r="10123">
      <c r="A10123" t="str">
        <f t="shared" si="1"/>
        <v>mrt#1968</v>
      </c>
      <c r="B10123" t="str">
        <f>IFERROR(__xludf.DUMMYFUNCTION("""COMPUTED_VALUE"""),"mrt")</f>
        <v>mrt</v>
      </c>
      <c r="C10123" t="str">
        <f>IFERROR(__xludf.DUMMYFUNCTION("""COMPUTED_VALUE"""),"Mauritania")</f>
        <v>Mauritania</v>
      </c>
      <c r="D10123">
        <f>IFERROR(__xludf.DUMMYFUNCTION("""COMPUTED_VALUE"""),1968.0)</f>
        <v>1968</v>
      </c>
      <c r="E10123">
        <f>IFERROR(__xludf.DUMMYFUNCTION("""COMPUTED_VALUE"""),1083583.0)</f>
        <v>1083583</v>
      </c>
    </row>
    <row r="10124">
      <c r="A10124" t="str">
        <f t="shared" si="1"/>
        <v>mrt#1969</v>
      </c>
      <c r="B10124" t="str">
        <f>IFERROR(__xludf.DUMMYFUNCTION("""COMPUTED_VALUE"""),"mrt")</f>
        <v>mrt</v>
      </c>
      <c r="C10124" t="str">
        <f>IFERROR(__xludf.DUMMYFUNCTION("""COMPUTED_VALUE"""),"Mauritania")</f>
        <v>Mauritania</v>
      </c>
      <c r="D10124">
        <f>IFERROR(__xludf.DUMMYFUNCTION("""COMPUTED_VALUE"""),1969.0)</f>
        <v>1969</v>
      </c>
      <c r="E10124">
        <f>IFERROR(__xludf.DUMMYFUNCTION("""COMPUTED_VALUE"""),1115788.0)</f>
        <v>1115788</v>
      </c>
    </row>
    <row r="10125">
      <c r="A10125" t="str">
        <f t="shared" si="1"/>
        <v>mrt#1970</v>
      </c>
      <c r="B10125" t="str">
        <f>IFERROR(__xludf.DUMMYFUNCTION("""COMPUTED_VALUE"""),"mrt")</f>
        <v>mrt</v>
      </c>
      <c r="C10125" t="str">
        <f>IFERROR(__xludf.DUMMYFUNCTION("""COMPUTED_VALUE"""),"Mauritania")</f>
        <v>Mauritania</v>
      </c>
      <c r="D10125">
        <f>IFERROR(__xludf.DUMMYFUNCTION("""COMPUTED_VALUE"""),1970.0)</f>
        <v>1970</v>
      </c>
      <c r="E10125">
        <f>IFERROR(__xludf.DUMMYFUNCTION("""COMPUTED_VALUE"""),1148908.0)</f>
        <v>1148908</v>
      </c>
    </row>
    <row r="10126">
      <c r="A10126" t="str">
        <f t="shared" si="1"/>
        <v>mrt#1971</v>
      </c>
      <c r="B10126" t="str">
        <f>IFERROR(__xludf.DUMMYFUNCTION("""COMPUTED_VALUE"""),"mrt")</f>
        <v>mrt</v>
      </c>
      <c r="C10126" t="str">
        <f>IFERROR(__xludf.DUMMYFUNCTION("""COMPUTED_VALUE"""),"Mauritania")</f>
        <v>Mauritania</v>
      </c>
      <c r="D10126">
        <f>IFERROR(__xludf.DUMMYFUNCTION("""COMPUTED_VALUE"""),1971.0)</f>
        <v>1971</v>
      </c>
      <c r="E10126">
        <f>IFERROR(__xludf.DUMMYFUNCTION("""COMPUTED_VALUE"""),1182954.0)</f>
        <v>1182954</v>
      </c>
    </row>
    <row r="10127">
      <c r="A10127" t="str">
        <f t="shared" si="1"/>
        <v>mrt#1972</v>
      </c>
      <c r="B10127" t="str">
        <f>IFERROR(__xludf.DUMMYFUNCTION("""COMPUTED_VALUE"""),"mrt")</f>
        <v>mrt</v>
      </c>
      <c r="C10127" t="str">
        <f>IFERROR(__xludf.DUMMYFUNCTION("""COMPUTED_VALUE"""),"Mauritania")</f>
        <v>Mauritania</v>
      </c>
      <c r="D10127">
        <f>IFERROR(__xludf.DUMMYFUNCTION("""COMPUTED_VALUE"""),1972.0)</f>
        <v>1972</v>
      </c>
      <c r="E10127">
        <f>IFERROR(__xludf.DUMMYFUNCTION("""COMPUTED_VALUE"""),1217941.0)</f>
        <v>1217941</v>
      </c>
    </row>
    <row r="10128">
      <c r="A10128" t="str">
        <f t="shared" si="1"/>
        <v>mrt#1973</v>
      </c>
      <c r="B10128" t="str">
        <f>IFERROR(__xludf.DUMMYFUNCTION("""COMPUTED_VALUE"""),"mrt")</f>
        <v>mrt</v>
      </c>
      <c r="C10128" t="str">
        <f>IFERROR(__xludf.DUMMYFUNCTION("""COMPUTED_VALUE"""),"Mauritania")</f>
        <v>Mauritania</v>
      </c>
      <c r="D10128">
        <f>IFERROR(__xludf.DUMMYFUNCTION("""COMPUTED_VALUE"""),1973.0)</f>
        <v>1973</v>
      </c>
      <c r="E10128">
        <f>IFERROR(__xludf.DUMMYFUNCTION("""COMPUTED_VALUE"""),1253874.0)</f>
        <v>1253874</v>
      </c>
    </row>
    <row r="10129">
      <c r="A10129" t="str">
        <f t="shared" si="1"/>
        <v>mrt#1974</v>
      </c>
      <c r="B10129" t="str">
        <f>IFERROR(__xludf.DUMMYFUNCTION("""COMPUTED_VALUE"""),"mrt")</f>
        <v>mrt</v>
      </c>
      <c r="C10129" t="str">
        <f>IFERROR(__xludf.DUMMYFUNCTION("""COMPUTED_VALUE"""),"Mauritania")</f>
        <v>Mauritania</v>
      </c>
      <c r="D10129">
        <f>IFERROR(__xludf.DUMMYFUNCTION("""COMPUTED_VALUE"""),1974.0)</f>
        <v>1974</v>
      </c>
      <c r="E10129">
        <f>IFERROR(__xludf.DUMMYFUNCTION("""COMPUTED_VALUE"""),1290790.0)</f>
        <v>1290790</v>
      </c>
    </row>
    <row r="10130">
      <c r="A10130" t="str">
        <f t="shared" si="1"/>
        <v>mrt#1975</v>
      </c>
      <c r="B10130" t="str">
        <f>IFERROR(__xludf.DUMMYFUNCTION("""COMPUTED_VALUE"""),"mrt")</f>
        <v>mrt</v>
      </c>
      <c r="C10130" t="str">
        <f>IFERROR(__xludf.DUMMYFUNCTION("""COMPUTED_VALUE"""),"Mauritania")</f>
        <v>Mauritania</v>
      </c>
      <c r="D10130">
        <f>IFERROR(__xludf.DUMMYFUNCTION("""COMPUTED_VALUE"""),1975.0)</f>
        <v>1975</v>
      </c>
      <c r="E10130">
        <f>IFERROR(__xludf.DUMMYFUNCTION("""COMPUTED_VALUE"""),1328686.0)</f>
        <v>1328686</v>
      </c>
    </row>
    <row r="10131">
      <c r="A10131" t="str">
        <f t="shared" si="1"/>
        <v>mrt#1976</v>
      </c>
      <c r="B10131" t="str">
        <f>IFERROR(__xludf.DUMMYFUNCTION("""COMPUTED_VALUE"""),"mrt")</f>
        <v>mrt</v>
      </c>
      <c r="C10131" t="str">
        <f>IFERROR(__xludf.DUMMYFUNCTION("""COMPUTED_VALUE"""),"Mauritania")</f>
        <v>Mauritania</v>
      </c>
      <c r="D10131">
        <f>IFERROR(__xludf.DUMMYFUNCTION("""COMPUTED_VALUE"""),1976.0)</f>
        <v>1976</v>
      </c>
      <c r="E10131">
        <f>IFERROR(__xludf.DUMMYFUNCTION("""COMPUTED_VALUE"""),1367563.0)</f>
        <v>1367563</v>
      </c>
    </row>
    <row r="10132">
      <c r="A10132" t="str">
        <f t="shared" si="1"/>
        <v>mrt#1977</v>
      </c>
      <c r="B10132" t="str">
        <f>IFERROR(__xludf.DUMMYFUNCTION("""COMPUTED_VALUE"""),"mrt")</f>
        <v>mrt</v>
      </c>
      <c r="C10132" t="str">
        <f>IFERROR(__xludf.DUMMYFUNCTION("""COMPUTED_VALUE"""),"Mauritania")</f>
        <v>Mauritania</v>
      </c>
      <c r="D10132">
        <f>IFERROR(__xludf.DUMMYFUNCTION("""COMPUTED_VALUE"""),1977.0)</f>
        <v>1977</v>
      </c>
      <c r="E10132">
        <f>IFERROR(__xludf.DUMMYFUNCTION("""COMPUTED_VALUE"""),1407436.0)</f>
        <v>1407436</v>
      </c>
    </row>
    <row r="10133">
      <c r="A10133" t="str">
        <f t="shared" si="1"/>
        <v>mrt#1978</v>
      </c>
      <c r="B10133" t="str">
        <f>IFERROR(__xludf.DUMMYFUNCTION("""COMPUTED_VALUE"""),"mrt")</f>
        <v>mrt</v>
      </c>
      <c r="C10133" t="str">
        <f>IFERROR(__xludf.DUMMYFUNCTION("""COMPUTED_VALUE"""),"Mauritania")</f>
        <v>Mauritania</v>
      </c>
      <c r="D10133">
        <f>IFERROR(__xludf.DUMMYFUNCTION("""COMPUTED_VALUE"""),1978.0)</f>
        <v>1978</v>
      </c>
      <c r="E10133">
        <f>IFERROR(__xludf.DUMMYFUNCTION("""COMPUTED_VALUE"""),1448414.0)</f>
        <v>1448414</v>
      </c>
    </row>
    <row r="10134">
      <c r="A10134" t="str">
        <f t="shared" si="1"/>
        <v>mrt#1979</v>
      </c>
      <c r="B10134" t="str">
        <f>IFERROR(__xludf.DUMMYFUNCTION("""COMPUTED_VALUE"""),"mrt")</f>
        <v>mrt</v>
      </c>
      <c r="C10134" t="str">
        <f>IFERROR(__xludf.DUMMYFUNCTION("""COMPUTED_VALUE"""),"Mauritania")</f>
        <v>Mauritania</v>
      </c>
      <c r="D10134">
        <f>IFERROR(__xludf.DUMMYFUNCTION("""COMPUTED_VALUE"""),1979.0)</f>
        <v>1979</v>
      </c>
      <c r="E10134">
        <f>IFERROR(__xludf.DUMMYFUNCTION("""COMPUTED_VALUE"""),1490603.0)</f>
        <v>1490603</v>
      </c>
    </row>
    <row r="10135">
      <c r="A10135" t="str">
        <f t="shared" si="1"/>
        <v>mrt#1980</v>
      </c>
      <c r="B10135" t="str">
        <f>IFERROR(__xludf.DUMMYFUNCTION("""COMPUTED_VALUE"""),"mrt")</f>
        <v>mrt</v>
      </c>
      <c r="C10135" t="str">
        <f>IFERROR(__xludf.DUMMYFUNCTION("""COMPUTED_VALUE"""),"Mauritania")</f>
        <v>Mauritania</v>
      </c>
      <c r="D10135">
        <f>IFERROR(__xludf.DUMMYFUNCTION("""COMPUTED_VALUE"""),1980.0)</f>
        <v>1980</v>
      </c>
      <c r="E10135">
        <f>IFERROR(__xludf.DUMMYFUNCTION("""COMPUTED_VALUE"""),1534085.0)</f>
        <v>1534085</v>
      </c>
    </row>
    <row r="10136">
      <c r="A10136" t="str">
        <f t="shared" si="1"/>
        <v>mrt#1981</v>
      </c>
      <c r="B10136" t="str">
        <f>IFERROR(__xludf.DUMMYFUNCTION("""COMPUTED_VALUE"""),"mrt")</f>
        <v>mrt</v>
      </c>
      <c r="C10136" t="str">
        <f>IFERROR(__xludf.DUMMYFUNCTION("""COMPUTED_VALUE"""),"Mauritania")</f>
        <v>Mauritania</v>
      </c>
      <c r="D10136">
        <f>IFERROR(__xludf.DUMMYFUNCTION("""COMPUTED_VALUE"""),1981.0)</f>
        <v>1981</v>
      </c>
      <c r="E10136">
        <f>IFERROR(__xludf.DUMMYFUNCTION("""COMPUTED_VALUE"""),1578938.0)</f>
        <v>1578938</v>
      </c>
    </row>
    <row r="10137">
      <c r="A10137" t="str">
        <f t="shared" si="1"/>
        <v>mrt#1982</v>
      </c>
      <c r="B10137" t="str">
        <f>IFERROR(__xludf.DUMMYFUNCTION("""COMPUTED_VALUE"""),"mrt")</f>
        <v>mrt</v>
      </c>
      <c r="C10137" t="str">
        <f>IFERROR(__xludf.DUMMYFUNCTION("""COMPUTED_VALUE"""),"Mauritania")</f>
        <v>Mauritania</v>
      </c>
      <c r="D10137">
        <f>IFERROR(__xludf.DUMMYFUNCTION("""COMPUTED_VALUE"""),1982.0)</f>
        <v>1982</v>
      </c>
      <c r="E10137">
        <f>IFERROR(__xludf.DUMMYFUNCTION("""COMPUTED_VALUE"""),1625124.0)</f>
        <v>1625124</v>
      </c>
    </row>
    <row r="10138">
      <c r="A10138" t="str">
        <f t="shared" si="1"/>
        <v>mrt#1983</v>
      </c>
      <c r="B10138" t="str">
        <f>IFERROR(__xludf.DUMMYFUNCTION("""COMPUTED_VALUE"""),"mrt")</f>
        <v>mrt</v>
      </c>
      <c r="C10138" t="str">
        <f>IFERROR(__xludf.DUMMYFUNCTION("""COMPUTED_VALUE"""),"Mauritania")</f>
        <v>Mauritania</v>
      </c>
      <c r="D10138">
        <f>IFERROR(__xludf.DUMMYFUNCTION("""COMPUTED_VALUE"""),1983.0)</f>
        <v>1983</v>
      </c>
      <c r="E10138">
        <f>IFERROR(__xludf.DUMMYFUNCTION("""COMPUTED_VALUE"""),1672496.0)</f>
        <v>1672496</v>
      </c>
    </row>
    <row r="10139">
      <c r="A10139" t="str">
        <f t="shared" si="1"/>
        <v>mrt#1984</v>
      </c>
      <c r="B10139" t="str">
        <f>IFERROR(__xludf.DUMMYFUNCTION("""COMPUTED_VALUE"""),"mrt")</f>
        <v>mrt</v>
      </c>
      <c r="C10139" t="str">
        <f>IFERROR(__xludf.DUMMYFUNCTION("""COMPUTED_VALUE"""),"Mauritania")</f>
        <v>Mauritania</v>
      </c>
      <c r="D10139">
        <f>IFERROR(__xludf.DUMMYFUNCTION("""COMPUTED_VALUE"""),1984.0)</f>
        <v>1984</v>
      </c>
      <c r="E10139">
        <f>IFERROR(__xludf.DUMMYFUNCTION("""COMPUTED_VALUE"""),1720812.0)</f>
        <v>1720812</v>
      </c>
    </row>
    <row r="10140">
      <c r="A10140" t="str">
        <f t="shared" si="1"/>
        <v>mrt#1985</v>
      </c>
      <c r="B10140" t="str">
        <f>IFERROR(__xludf.DUMMYFUNCTION("""COMPUTED_VALUE"""),"mrt")</f>
        <v>mrt</v>
      </c>
      <c r="C10140" t="str">
        <f>IFERROR(__xludf.DUMMYFUNCTION("""COMPUTED_VALUE"""),"Mauritania")</f>
        <v>Mauritania</v>
      </c>
      <c r="D10140">
        <f>IFERROR(__xludf.DUMMYFUNCTION("""COMPUTED_VALUE"""),1985.0)</f>
        <v>1985</v>
      </c>
      <c r="E10140">
        <f>IFERROR(__xludf.DUMMYFUNCTION("""COMPUTED_VALUE"""),1769942.0)</f>
        <v>1769942</v>
      </c>
    </row>
    <row r="10141">
      <c r="A10141" t="str">
        <f t="shared" si="1"/>
        <v>mrt#1986</v>
      </c>
      <c r="B10141" t="str">
        <f>IFERROR(__xludf.DUMMYFUNCTION("""COMPUTED_VALUE"""),"mrt")</f>
        <v>mrt</v>
      </c>
      <c r="C10141" t="str">
        <f>IFERROR(__xludf.DUMMYFUNCTION("""COMPUTED_VALUE"""),"Mauritania")</f>
        <v>Mauritania</v>
      </c>
      <c r="D10141">
        <f>IFERROR(__xludf.DUMMYFUNCTION("""COMPUTED_VALUE"""),1986.0)</f>
        <v>1986</v>
      </c>
      <c r="E10141">
        <f>IFERROR(__xludf.DUMMYFUNCTION("""COMPUTED_VALUE"""),1819954.0)</f>
        <v>1819954</v>
      </c>
    </row>
    <row r="10142">
      <c r="A10142" t="str">
        <f t="shared" si="1"/>
        <v>mrt#1987</v>
      </c>
      <c r="B10142" t="str">
        <f>IFERROR(__xludf.DUMMYFUNCTION("""COMPUTED_VALUE"""),"mrt")</f>
        <v>mrt</v>
      </c>
      <c r="C10142" t="str">
        <f>IFERROR(__xludf.DUMMYFUNCTION("""COMPUTED_VALUE"""),"Mauritania")</f>
        <v>Mauritania</v>
      </c>
      <c r="D10142">
        <f>IFERROR(__xludf.DUMMYFUNCTION("""COMPUTED_VALUE"""),1987.0)</f>
        <v>1987</v>
      </c>
      <c r="E10142">
        <f>IFERROR(__xludf.DUMMYFUNCTION("""COMPUTED_VALUE"""),1870978.0)</f>
        <v>1870978</v>
      </c>
    </row>
    <row r="10143">
      <c r="A10143" t="str">
        <f t="shared" si="1"/>
        <v>mrt#1988</v>
      </c>
      <c r="B10143" t="str">
        <f>IFERROR(__xludf.DUMMYFUNCTION("""COMPUTED_VALUE"""),"mrt")</f>
        <v>mrt</v>
      </c>
      <c r="C10143" t="str">
        <f>IFERROR(__xludf.DUMMYFUNCTION("""COMPUTED_VALUE"""),"Mauritania")</f>
        <v>Mauritania</v>
      </c>
      <c r="D10143">
        <f>IFERROR(__xludf.DUMMYFUNCTION("""COMPUTED_VALUE"""),1988.0)</f>
        <v>1988</v>
      </c>
      <c r="E10143">
        <f>IFERROR(__xludf.DUMMYFUNCTION("""COMPUTED_VALUE"""),1923002.0)</f>
        <v>1923002</v>
      </c>
    </row>
    <row r="10144">
      <c r="A10144" t="str">
        <f t="shared" si="1"/>
        <v>mrt#1989</v>
      </c>
      <c r="B10144" t="str">
        <f>IFERROR(__xludf.DUMMYFUNCTION("""COMPUTED_VALUE"""),"mrt")</f>
        <v>mrt</v>
      </c>
      <c r="C10144" t="str">
        <f>IFERROR(__xludf.DUMMYFUNCTION("""COMPUTED_VALUE"""),"Mauritania")</f>
        <v>Mauritania</v>
      </c>
      <c r="D10144">
        <f>IFERROR(__xludf.DUMMYFUNCTION("""COMPUTED_VALUE"""),1989.0)</f>
        <v>1989</v>
      </c>
      <c r="E10144">
        <f>IFERROR(__xludf.DUMMYFUNCTION("""COMPUTED_VALUE"""),1976030.0)</f>
        <v>1976030</v>
      </c>
    </row>
    <row r="10145">
      <c r="A10145" t="str">
        <f t="shared" si="1"/>
        <v>mrt#1990</v>
      </c>
      <c r="B10145" t="str">
        <f>IFERROR(__xludf.DUMMYFUNCTION("""COMPUTED_VALUE"""),"mrt")</f>
        <v>mrt</v>
      </c>
      <c r="C10145" t="str">
        <f>IFERROR(__xludf.DUMMYFUNCTION("""COMPUTED_VALUE"""),"Mauritania")</f>
        <v>Mauritania</v>
      </c>
      <c r="D10145">
        <f>IFERROR(__xludf.DUMMYFUNCTION("""COMPUTED_VALUE"""),1990.0)</f>
        <v>1990</v>
      </c>
      <c r="E10145">
        <f>IFERROR(__xludf.DUMMYFUNCTION("""COMPUTED_VALUE"""),2030140.0)</f>
        <v>2030140</v>
      </c>
    </row>
    <row r="10146">
      <c r="A10146" t="str">
        <f t="shared" si="1"/>
        <v>mrt#1991</v>
      </c>
      <c r="B10146" t="str">
        <f>IFERROR(__xludf.DUMMYFUNCTION("""COMPUTED_VALUE"""),"mrt")</f>
        <v>mrt</v>
      </c>
      <c r="C10146" t="str">
        <f>IFERROR(__xludf.DUMMYFUNCTION("""COMPUTED_VALUE"""),"Mauritania")</f>
        <v>Mauritania</v>
      </c>
      <c r="D10146">
        <f>IFERROR(__xludf.DUMMYFUNCTION("""COMPUTED_VALUE"""),1991.0)</f>
        <v>1991</v>
      </c>
      <c r="E10146">
        <f>IFERROR(__xludf.DUMMYFUNCTION("""COMPUTED_VALUE"""),2085202.0)</f>
        <v>2085202</v>
      </c>
    </row>
    <row r="10147">
      <c r="A10147" t="str">
        <f t="shared" si="1"/>
        <v>mrt#1992</v>
      </c>
      <c r="B10147" t="str">
        <f>IFERROR(__xludf.DUMMYFUNCTION("""COMPUTED_VALUE"""),"mrt")</f>
        <v>mrt</v>
      </c>
      <c r="C10147" t="str">
        <f>IFERROR(__xludf.DUMMYFUNCTION("""COMPUTED_VALUE"""),"Mauritania")</f>
        <v>Mauritania</v>
      </c>
      <c r="D10147">
        <f>IFERROR(__xludf.DUMMYFUNCTION("""COMPUTED_VALUE"""),1992.0)</f>
        <v>1992</v>
      </c>
      <c r="E10147">
        <f>IFERROR(__xludf.DUMMYFUNCTION("""COMPUTED_VALUE"""),2141445.0)</f>
        <v>2141445</v>
      </c>
    </row>
    <row r="10148">
      <c r="A10148" t="str">
        <f t="shared" si="1"/>
        <v>mrt#1993</v>
      </c>
      <c r="B10148" t="str">
        <f>IFERROR(__xludf.DUMMYFUNCTION("""COMPUTED_VALUE"""),"mrt")</f>
        <v>mrt</v>
      </c>
      <c r="C10148" t="str">
        <f>IFERROR(__xludf.DUMMYFUNCTION("""COMPUTED_VALUE"""),"Mauritania")</f>
        <v>Mauritania</v>
      </c>
      <c r="D10148">
        <f>IFERROR(__xludf.DUMMYFUNCTION("""COMPUTED_VALUE"""),1993.0)</f>
        <v>1993</v>
      </c>
      <c r="E10148">
        <f>IFERROR(__xludf.DUMMYFUNCTION("""COMPUTED_VALUE"""),2199791.0)</f>
        <v>2199791</v>
      </c>
    </row>
    <row r="10149">
      <c r="A10149" t="str">
        <f t="shared" si="1"/>
        <v>mrt#1994</v>
      </c>
      <c r="B10149" t="str">
        <f>IFERROR(__xludf.DUMMYFUNCTION("""COMPUTED_VALUE"""),"mrt")</f>
        <v>mrt</v>
      </c>
      <c r="C10149" t="str">
        <f>IFERROR(__xludf.DUMMYFUNCTION("""COMPUTED_VALUE"""),"Mauritania")</f>
        <v>Mauritania</v>
      </c>
      <c r="D10149">
        <f>IFERROR(__xludf.DUMMYFUNCTION("""COMPUTED_VALUE"""),1994.0)</f>
        <v>1994</v>
      </c>
      <c r="E10149">
        <f>IFERROR(__xludf.DUMMYFUNCTION("""COMPUTED_VALUE"""),2261403.0)</f>
        <v>2261403</v>
      </c>
    </row>
    <row r="10150">
      <c r="A10150" t="str">
        <f t="shared" si="1"/>
        <v>mrt#1995</v>
      </c>
      <c r="B10150" t="str">
        <f>IFERROR(__xludf.DUMMYFUNCTION("""COMPUTED_VALUE"""),"mrt")</f>
        <v>mrt</v>
      </c>
      <c r="C10150" t="str">
        <f>IFERROR(__xludf.DUMMYFUNCTION("""COMPUTED_VALUE"""),"Mauritania")</f>
        <v>Mauritania</v>
      </c>
      <c r="D10150">
        <f>IFERROR(__xludf.DUMMYFUNCTION("""COMPUTED_VALUE"""),1995.0)</f>
        <v>1995</v>
      </c>
      <c r="E10150">
        <f>IFERROR(__xludf.DUMMYFUNCTION("""COMPUTED_VALUE"""),2327075.0)</f>
        <v>2327075</v>
      </c>
    </row>
    <row r="10151">
      <c r="A10151" t="str">
        <f t="shared" si="1"/>
        <v>mrt#1996</v>
      </c>
      <c r="B10151" t="str">
        <f>IFERROR(__xludf.DUMMYFUNCTION("""COMPUTED_VALUE"""),"mrt")</f>
        <v>mrt</v>
      </c>
      <c r="C10151" t="str">
        <f>IFERROR(__xludf.DUMMYFUNCTION("""COMPUTED_VALUE"""),"Mauritania")</f>
        <v>Mauritania</v>
      </c>
      <c r="D10151">
        <f>IFERROR(__xludf.DUMMYFUNCTION("""COMPUTED_VALUE"""),1996.0)</f>
        <v>1996</v>
      </c>
      <c r="E10151">
        <f>IFERROR(__xludf.DUMMYFUNCTION("""COMPUTED_VALUE"""),2397245.0)</f>
        <v>2397245</v>
      </c>
    </row>
    <row r="10152">
      <c r="A10152" t="str">
        <f t="shared" si="1"/>
        <v>mrt#1997</v>
      </c>
      <c r="B10152" t="str">
        <f>IFERROR(__xludf.DUMMYFUNCTION("""COMPUTED_VALUE"""),"mrt")</f>
        <v>mrt</v>
      </c>
      <c r="C10152" t="str">
        <f>IFERROR(__xludf.DUMMYFUNCTION("""COMPUTED_VALUE"""),"Mauritania")</f>
        <v>Mauritania</v>
      </c>
      <c r="D10152">
        <f>IFERROR(__xludf.DUMMYFUNCTION("""COMPUTED_VALUE"""),1997.0)</f>
        <v>1997</v>
      </c>
      <c r="E10152">
        <f>IFERROR(__xludf.DUMMYFUNCTION("""COMPUTED_VALUE"""),2471598.0)</f>
        <v>2471598</v>
      </c>
    </row>
    <row r="10153">
      <c r="A10153" t="str">
        <f t="shared" si="1"/>
        <v>mrt#1998</v>
      </c>
      <c r="B10153" t="str">
        <f>IFERROR(__xludf.DUMMYFUNCTION("""COMPUTED_VALUE"""),"mrt")</f>
        <v>mrt</v>
      </c>
      <c r="C10153" t="str">
        <f>IFERROR(__xludf.DUMMYFUNCTION("""COMPUTED_VALUE"""),"Mauritania")</f>
        <v>Mauritania</v>
      </c>
      <c r="D10153">
        <f>IFERROR(__xludf.DUMMYFUNCTION("""COMPUTED_VALUE"""),1998.0)</f>
        <v>1998</v>
      </c>
      <c r="E10153">
        <f>IFERROR(__xludf.DUMMYFUNCTION("""COMPUTED_VALUE"""),2549223.0)</f>
        <v>2549223</v>
      </c>
    </row>
    <row r="10154">
      <c r="A10154" t="str">
        <f t="shared" si="1"/>
        <v>mrt#1999</v>
      </c>
      <c r="B10154" t="str">
        <f>IFERROR(__xludf.DUMMYFUNCTION("""COMPUTED_VALUE"""),"mrt")</f>
        <v>mrt</v>
      </c>
      <c r="C10154" t="str">
        <f>IFERROR(__xludf.DUMMYFUNCTION("""COMPUTED_VALUE"""),"Mauritania")</f>
        <v>Mauritania</v>
      </c>
      <c r="D10154">
        <f>IFERROR(__xludf.DUMMYFUNCTION("""COMPUTED_VALUE"""),1999.0)</f>
        <v>1999</v>
      </c>
      <c r="E10154">
        <f>IFERROR(__xludf.DUMMYFUNCTION("""COMPUTED_VALUE"""),2628803.0)</f>
        <v>2628803</v>
      </c>
    </row>
    <row r="10155">
      <c r="A10155" t="str">
        <f t="shared" si="1"/>
        <v>mrt#2000</v>
      </c>
      <c r="B10155" t="str">
        <f>IFERROR(__xludf.DUMMYFUNCTION("""COMPUTED_VALUE"""),"mrt")</f>
        <v>mrt</v>
      </c>
      <c r="C10155" t="str">
        <f>IFERROR(__xludf.DUMMYFUNCTION("""COMPUTED_VALUE"""),"Mauritania")</f>
        <v>Mauritania</v>
      </c>
      <c r="D10155">
        <f>IFERROR(__xludf.DUMMYFUNCTION("""COMPUTED_VALUE"""),2000.0)</f>
        <v>2000</v>
      </c>
      <c r="E10155">
        <f>IFERROR(__xludf.DUMMYFUNCTION("""COMPUTED_VALUE"""),2709359.0)</f>
        <v>2709359</v>
      </c>
    </row>
    <row r="10156">
      <c r="A10156" t="str">
        <f t="shared" si="1"/>
        <v>mrt#2001</v>
      </c>
      <c r="B10156" t="str">
        <f>IFERROR(__xludf.DUMMYFUNCTION("""COMPUTED_VALUE"""),"mrt")</f>
        <v>mrt</v>
      </c>
      <c r="C10156" t="str">
        <f>IFERROR(__xludf.DUMMYFUNCTION("""COMPUTED_VALUE"""),"Mauritania")</f>
        <v>Mauritania</v>
      </c>
      <c r="D10156">
        <f>IFERROR(__xludf.DUMMYFUNCTION("""COMPUTED_VALUE"""),2001.0)</f>
        <v>2001</v>
      </c>
      <c r="E10156">
        <f>IFERROR(__xludf.DUMMYFUNCTION("""COMPUTED_VALUE"""),2790729.0)</f>
        <v>2790729</v>
      </c>
    </row>
    <row r="10157">
      <c r="A10157" t="str">
        <f t="shared" si="1"/>
        <v>mrt#2002</v>
      </c>
      <c r="B10157" t="str">
        <f>IFERROR(__xludf.DUMMYFUNCTION("""COMPUTED_VALUE"""),"mrt")</f>
        <v>mrt</v>
      </c>
      <c r="C10157" t="str">
        <f>IFERROR(__xludf.DUMMYFUNCTION("""COMPUTED_VALUE"""),"Mauritania")</f>
        <v>Mauritania</v>
      </c>
      <c r="D10157">
        <f>IFERROR(__xludf.DUMMYFUNCTION("""COMPUTED_VALUE"""),2002.0)</f>
        <v>2002</v>
      </c>
      <c r="E10157">
        <f>IFERROR(__xludf.DUMMYFUNCTION("""COMPUTED_VALUE"""),2873228.0)</f>
        <v>2873228</v>
      </c>
    </row>
    <row r="10158">
      <c r="A10158" t="str">
        <f t="shared" si="1"/>
        <v>mrt#2003</v>
      </c>
      <c r="B10158" t="str">
        <f>IFERROR(__xludf.DUMMYFUNCTION("""COMPUTED_VALUE"""),"mrt")</f>
        <v>mrt</v>
      </c>
      <c r="C10158" t="str">
        <f>IFERROR(__xludf.DUMMYFUNCTION("""COMPUTED_VALUE"""),"Mauritania")</f>
        <v>Mauritania</v>
      </c>
      <c r="D10158">
        <f>IFERROR(__xludf.DUMMYFUNCTION("""COMPUTED_VALUE"""),2003.0)</f>
        <v>2003</v>
      </c>
      <c r="E10158">
        <f>IFERROR(__xludf.DUMMYFUNCTION("""COMPUTED_VALUE"""),2957117.0)</f>
        <v>2957117</v>
      </c>
    </row>
    <row r="10159">
      <c r="A10159" t="str">
        <f t="shared" si="1"/>
        <v>mrt#2004</v>
      </c>
      <c r="B10159" t="str">
        <f>IFERROR(__xludf.DUMMYFUNCTION("""COMPUTED_VALUE"""),"mrt")</f>
        <v>mrt</v>
      </c>
      <c r="C10159" t="str">
        <f>IFERROR(__xludf.DUMMYFUNCTION("""COMPUTED_VALUE"""),"Mauritania")</f>
        <v>Mauritania</v>
      </c>
      <c r="D10159">
        <f>IFERROR(__xludf.DUMMYFUNCTION("""COMPUTED_VALUE"""),2004.0)</f>
        <v>2004</v>
      </c>
      <c r="E10159">
        <f>IFERROR(__xludf.DUMMYFUNCTION("""COMPUTED_VALUE"""),3042823.0)</f>
        <v>3042823</v>
      </c>
    </row>
    <row r="10160">
      <c r="A10160" t="str">
        <f t="shared" si="1"/>
        <v>mrt#2005</v>
      </c>
      <c r="B10160" t="str">
        <f>IFERROR(__xludf.DUMMYFUNCTION("""COMPUTED_VALUE"""),"mrt")</f>
        <v>mrt</v>
      </c>
      <c r="C10160" t="str">
        <f>IFERROR(__xludf.DUMMYFUNCTION("""COMPUTED_VALUE"""),"Mauritania")</f>
        <v>Mauritania</v>
      </c>
      <c r="D10160">
        <f>IFERROR(__xludf.DUMMYFUNCTION("""COMPUTED_VALUE"""),2005.0)</f>
        <v>2005</v>
      </c>
      <c r="E10160">
        <f>IFERROR(__xludf.DUMMYFUNCTION("""COMPUTED_VALUE"""),3130720.0)</f>
        <v>3130720</v>
      </c>
    </row>
    <row r="10161">
      <c r="A10161" t="str">
        <f t="shared" si="1"/>
        <v>mrt#2006</v>
      </c>
      <c r="B10161" t="str">
        <f>IFERROR(__xludf.DUMMYFUNCTION("""COMPUTED_VALUE"""),"mrt")</f>
        <v>mrt</v>
      </c>
      <c r="C10161" t="str">
        <f>IFERROR(__xludf.DUMMYFUNCTION("""COMPUTED_VALUE"""),"Mauritania")</f>
        <v>Mauritania</v>
      </c>
      <c r="D10161">
        <f>IFERROR(__xludf.DUMMYFUNCTION("""COMPUTED_VALUE"""),2006.0)</f>
        <v>2006</v>
      </c>
      <c r="E10161">
        <f>IFERROR(__xludf.DUMMYFUNCTION("""COMPUTED_VALUE"""),3220653.0)</f>
        <v>3220653</v>
      </c>
    </row>
    <row r="10162">
      <c r="A10162" t="str">
        <f t="shared" si="1"/>
        <v>mrt#2007</v>
      </c>
      <c r="B10162" t="str">
        <f>IFERROR(__xludf.DUMMYFUNCTION("""COMPUTED_VALUE"""),"mrt")</f>
        <v>mrt</v>
      </c>
      <c r="C10162" t="str">
        <f>IFERROR(__xludf.DUMMYFUNCTION("""COMPUTED_VALUE"""),"Mauritania")</f>
        <v>Mauritania</v>
      </c>
      <c r="D10162">
        <f>IFERROR(__xludf.DUMMYFUNCTION("""COMPUTED_VALUE"""),2007.0)</f>
        <v>2007</v>
      </c>
      <c r="E10162">
        <f>IFERROR(__xludf.DUMMYFUNCTION("""COMPUTED_VALUE"""),3312665.0)</f>
        <v>3312665</v>
      </c>
    </row>
    <row r="10163">
      <c r="A10163" t="str">
        <f t="shared" si="1"/>
        <v>mrt#2008</v>
      </c>
      <c r="B10163" t="str">
        <f>IFERROR(__xludf.DUMMYFUNCTION("""COMPUTED_VALUE"""),"mrt")</f>
        <v>mrt</v>
      </c>
      <c r="C10163" t="str">
        <f>IFERROR(__xludf.DUMMYFUNCTION("""COMPUTED_VALUE"""),"Mauritania")</f>
        <v>Mauritania</v>
      </c>
      <c r="D10163">
        <f>IFERROR(__xludf.DUMMYFUNCTION("""COMPUTED_VALUE"""),2008.0)</f>
        <v>2008</v>
      </c>
      <c r="E10163">
        <f>IFERROR(__xludf.DUMMYFUNCTION("""COMPUTED_VALUE"""),3407541.0)</f>
        <v>3407541</v>
      </c>
    </row>
    <row r="10164">
      <c r="A10164" t="str">
        <f t="shared" si="1"/>
        <v>mrt#2009</v>
      </c>
      <c r="B10164" t="str">
        <f>IFERROR(__xludf.DUMMYFUNCTION("""COMPUTED_VALUE"""),"mrt")</f>
        <v>mrt</v>
      </c>
      <c r="C10164" t="str">
        <f>IFERROR(__xludf.DUMMYFUNCTION("""COMPUTED_VALUE"""),"Mauritania")</f>
        <v>Mauritania</v>
      </c>
      <c r="D10164">
        <f>IFERROR(__xludf.DUMMYFUNCTION("""COMPUTED_VALUE"""),2009.0)</f>
        <v>2009</v>
      </c>
      <c r="E10164">
        <f>IFERROR(__xludf.DUMMYFUNCTION("""COMPUTED_VALUE"""),3506288.0)</f>
        <v>3506288</v>
      </c>
    </row>
    <row r="10165">
      <c r="A10165" t="str">
        <f t="shared" si="1"/>
        <v>mrt#2010</v>
      </c>
      <c r="B10165" t="str">
        <f>IFERROR(__xludf.DUMMYFUNCTION("""COMPUTED_VALUE"""),"mrt")</f>
        <v>mrt</v>
      </c>
      <c r="C10165" t="str">
        <f>IFERROR(__xludf.DUMMYFUNCTION("""COMPUTED_VALUE"""),"Mauritania")</f>
        <v>Mauritania</v>
      </c>
      <c r="D10165">
        <f>IFERROR(__xludf.DUMMYFUNCTION("""COMPUTED_VALUE"""),2010.0)</f>
        <v>2010</v>
      </c>
      <c r="E10165">
        <f>IFERROR(__xludf.DUMMYFUNCTION("""COMPUTED_VALUE"""),3609543.0)</f>
        <v>3609543</v>
      </c>
    </row>
    <row r="10166">
      <c r="A10166" t="str">
        <f t="shared" si="1"/>
        <v>mrt#2011</v>
      </c>
      <c r="B10166" t="str">
        <f>IFERROR(__xludf.DUMMYFUNCTION("""COMPUTED_VALUE"""),"mrt")</f>
        <v>mrt</v>
      </c>
      <c r="C10166" t="str">
        <f>IFERROR(__xludf.DUMMYFUNCTION("""COMPUTED_VALUE"""),"Mauritania")</f>
        <v>Mauritania</v>
      </c>
      <c r="D10166">
        <f>IFERROR(__xludf.DUMMYFUNCTION("""COMPUTED_VALUE"""),2011.0)</f>
        <v>2011</v>
      </c>
      <c r="E10166">
        <f>IFERROR(__xludf.DUMMYFUNCTION("""COMPUTED_VALUE"""),3717672.0)</f>
        <v>3717672</v>
      </c>
    </row>
    <row r="10167">
      <c r="A10167" t="str">
        <f t="shared" si="1"/>
        <v>mrt#2012</v>
      </c>
      <c r="B10167" t="str">
        <f>IFERROR(__xludf.DUMMYFUNCTION("""COMPUTED_VALUE"""),"mrt")</f>
        <v>mrt</v>
      </c>
      <c r="C10167" t="str">
        <f>IFERROR(__xludf.DUMMYFUNCTION("""COMPUTED_VALUE"""),"Mauritania")</f>
        <v>Mauritania</v>
      </c>
      <c r="D10167">
        <f>IFERROR(__xludf.DUMMYFUNCTION("""COMPUTED_VALUE"""),2012.0)</f>
        <v>2012</v>
      </c>
      <c r="E10167">
        <f>IFERROR(__xludf.DUMMYFUNCTION("""COMPUTED_VALUE"""),3830239.0)</f>
        <v>3830239</v>
      </c>
    </row>
    <row r="10168">
      <c r="A10168" t="str">
        <f t="shared" si="1"/>
        <v>mrt#2013</v>
      </c>
      <c r="B10168" t="str">
        <f>IFERROR(__xludf.DUMMYFUNCTION("""COMPUTED_VALUE"""),"mrt")</f>
        <v>mrt</v>
      </c>
      <c r="C10168" t="str">
        <f>IFERROR(__xludf.DUMMYFUNCTION("""COMPUTED_VALUE"""),"Mauritania")</f>
        <v>Mauritania</v>
      </c>
      <c r="D10168">
        <f>IFERROR(__xludf.DUMMYFUNCTION("""COMPUTED_VALUE"""),2013.0)</f>
        <v>2013</v>
      </c>
      <c r="E10168">
        <f>IFERROR(__xludf.DUMMYFUNCTION("""COMPUTED_VALUE"""),3946170.0)</f>
        <v>3946170</v>
      </c>
    </row>
    <row r="10169">
      <c r="A10169" t="str">
        <f t="shared" si="1"/>
        <v>mrt#2014</v>
      </c>
      <c r="B10169" t="str">
        <f>IFERROR(__xludf.DUMMYFUNCTION("""COMPUTED_VALUE"""),"mrt")</f>
        <v>mrt</v>
      </c>
      <c r="C10169" t="str">
        <f>IFERROR(__xludf.DUMMYFUNCTION("""COMPUTED_VALUE"""),"Mauritania")</f>
        <v>Mauritania</v>
      </c>
      <c r="D10169">
        <f>IFERROR(__xludf.DUMMYFUNCTION("""COMPUTED_VALUE"""),2014.0)</f>
        <v>2014</v>
      </c>
      <c r="E10169">
        <f>IFERROR(__xludf.DUMMYFUNCTION("""COMPUTED_VALUE"""),4063920.0)</f>
        <v>4063920</v>
      </c>
    </row>
    <row r="10170">
      <c r="A10170" t="str">
        <f t="shared" si="1"/>
        <v>mrt#2015</v>
      </c>
      <c r="B10170" t="str">
        <f>IFERROR(__xludf.DUMMYFUNCTION("""COMPUTED_VALUE"""),"mrt")</f>
        <v>mrt</v>
      </c>
      <c r="C10170" t="str">
        <f>IFERROR(__xludf.DUMMYFUNCTION("""COMPUTED_VALUE"""),"Mauritania")</f>
        <v>Mauritania</v>
      </c>
      <c r="D10170">
        <f>IFERROR(__xludf.DUMMYFUNCTION("""COMPUTED_VALUE"""),2015.0)</f>
        <v>2015</v>
      </c>
      <c r="E10170">
        <f>IFERROR(__xludf.DUMMYFUNCTION("""COMPUTED_VALUE"""),4182341.0)</f>
        <v>4182341</v>
      </c>
    </row>
    <row r="10171">
      <c r="A10171" t="str">
        <f t="shared" si="1"/>
        <v>mrt#2016</v>
      </c>
      <c r="B10171" t="str">
        <f>IFERROR(__xludf.DUMMYFUNCTION("""COMPUTED_VALUE"""),"mrt")</f>
        <v>mrt</v>
      </c>
      <c r="C10171" t="str">
        <f>IFERROR(__xludf.DUMMYFUNCTION("""COMPUTED_VALUE"""),"Mauritania")</f>
        <v>Mauritania</v>
      </c>
      <c r="D10171">
        <f>IFERROR(__xludf.DUMMYFUNCTION("""COMPUTED_VALUE"""),2016.0)</f>
        <v>2016</v>
      </c>
      <c r="E10171">
        <f>IFERROR(__xludf.DUMMYFUNCTION("""COMPUTED_VALUE"""),4301018.0)</f>
        <v>4301018</v>
      </c>
    </row>
    <row r="10172">
      <c r="A10172" t="str">
        <f t="shared" si="1"/>
        <v>mrt#2017</v>
      </c>
      <c r="B10172" t="str">
        <f>IFERROR(__xludf.DUMMYFUNCTION("""COMPUTED_VALUE"""),"mrt")</f>
        <v>mrt</v>
      </c>
      <c r="C10172" t="str">
        <f>IFERROR(__xludf.DUMMYFUNCTION("""COMPUTED_VALUE"""),"Mauritania")</f>
        <v>Mauritania</v>
      </c>
      <c r="D10172">
        <f>IFERROR(__xludf.DUMMYFUNCTION("""COMPUTED_VALUE"""),2017.0)</f>
        <v>2017</v>
      </c>
      <c r="E10172">
        <f>IFERROR(__xludf.DUMMYFUNCTION("""COMPUTED_VALUE"""),4420184.0)</f>
        <v>4420184</v>
      </c>
    </row>
    <row r="10173">
      <c r="A10173" t="str">
        <f t="shared" si="1"/>
        <v>mrt#2018</v>
      </c>
      <c r="B10173" t="str">
        <f>IFERROR(__xludf.DUMMYFUNCTION("""COMPUTED_VALUE"""),"mrt")</f>
        <v>mrt</v>
      </c>
      <c r="C10173" t="str">
        <f>IFERROR(__xludf.DUMMYFUNCTION("""COMPUTED_VALUE"""),"Mauritania")</f>
        <v>Mauritania</v>
      </c>
      <c r="D10173">
        <f>IFERROR(__xludf.DUMMYFUNCTION("""COMPUTED_VALUE"""),2018.0)</f>
        <v>2018</v>
      </c>
      <c r="E10173">
        <f>IFERROR(__xludf.DUMMYFUNCTION("""COMPUTED_VALUE"""),4540068.0)</f>
        <v>4540068</v>
      </c>
    </row>
    <row r="10174">
      <c r="A10174" t="str">
        <f t="shared" si="1"/>
        <v>mrt#2019</v>
      </c>
      <c r="B10174" t="str">
        <f>IFERROR(__xludf.DUMMYFUNCTION("""COMPUTED_VALUE"""),"mrt")</f>
        <v>mrt</v>
      </c>
      <c r="C10174" t="str">
        <f>IFERROR(__xludf.DUMMYFUNCTION("""COMPUTED_VALUE"""),"Mauritania")</f>
        <v>Mauritania</v>
      </c>
      <c r="D10174">
        <f>IFERROR(__xludf.DUMMYFUNCTION("""COMPUTED_VALUE"""),2019.0)</f>
        <v>2019</v>
      </c>
      <c r="E10174">
        <f>IFERROR(__xludf.DUMMYFUNCTION("""COMPUTED_VALUE"""),4661149.0)</f>
        <v>4661149</v>
      </c>
    </row>
    <row r="10175">
      <c r="A10175" t="str">
        <f t="shared" si="1"/>
        <v>mrt#2020</v>
      </c>
      <c r="B10175" t="str">
        <f>IFERROR(__xludf.DUMMYFUNCTION("""COMPUTED_VALUE"""),"mrt")</f>
        <v>mrt</v>
      </c>
      <c r="C10175" t="str">
        <f>IFERROR(__xludf.DUMMYFUNCTION("""COMPUTED_VALUE"""),"Mauritania")</f>
        <v>Mauritania</v>
      </c>
      <c r="D10175">
        <f>IFERROR(__xludf.DUMMYFUNCTION("""COMPUTED_VALUE"""),2020.0)</f>
        <v>2020</v>
      </c>
      <c r="E10175">
        <f>IFERROR(__xludf.DUMMYFUNCTION("""COMPUTED_VALUE"""),4783767.0)</f>
        <v>4783767</v>
      </c>
    </row>
    <row r="10176">
      <c r="A10176" t="str">
        <f t="shared" si="1"/>
        <v>mrt#2021</v>
      </c>
      <c r="B10176" t="str">
        <f>IFERROR(__xludf.DUMMYFUNCTION("""COMPUTED_VALUE"""),"mrt")</f>
        <v>mrt</v>
      </c>
      <c r="C10176" t="str">
        <f>IFERROR(__xludf.DUMMYFUNCTION("""COMPUTED_VALUE"""),"Mauritania")</f>
        <v>Mauritania</v>
      </c>
      <c r="D10176">
        <f>IFERROR(__xludf.DUMMYFUNCTION("""COMPUTED_VALUE"""),2021.0)</f>
        <v>2021</v>
      </c>
      <c r="E10176">
        <f>IFERROR(__xludf.DUMMYFUNCTION("""COMPUTED_VALUE"""),4907911.0)</f>
        <v>4907911</v>
      </c>
    </row>
    <row r="10177">
      <c r="A10177" t="str">
        <f t="shared" si="1"/>
        <v>mrt#2022</v>
      </c>
      <c r="B10177" t="str">
        <f>IFERROR(__xludf.DUMMYFUNCTION("""COMPUTED_VALUE"""),"mrt")</f>
        <v>mrt</v>
      </c>
      <c r="C10177" t="str">
        <f>IFERROR(__xludf.DUMMYFUNCTION("""COMPUTED_VALUE"""),"Mauritania")</f>
        <v>Mauritania</v>
      </c>
      <c r="D10177">
        <f>IFERROR(__xludf.DUMMYFUNCTION("""COMPUTED_VALUE"""),2022.0)</f>
        <v>2022</v>
      </c>
      <c r="E10177">
        <f>IFERROR(__xludf.DUMMYFUNCTION("""COMPUTED_VALUE"""),5033378.0)</f>
        <v>5033378</v>
      </c>
    </row>
    <row r="10178">
      <c r="A10178" t="str">
        <f t="shared" si="1"/>
        <v>mrt#2023</v>
      </c>
      <c r="B10178" t="str">
        <f>IFERROR(__xludf.DUMMYFUNCTION("""COMPUTED_VALUE"""),"mrt")</f>
        <v>mrt</v>
      </c>
      <c r="C10178" t="str">
        <f>IFERROR(__xludf.DUMMYFUNCTION("""COMPUTED_VALUE"""),"Mauritania")</f>
        <v>Mauritania</v>
      </c>
      <c r="D10178">
        <f>IFERROR(__xludf.DUMMYFUNCTION("""COMPUTED_VALUE"""),2023.0)</f>
        <v>2023</v>
      </c>
      <c r="E10178">
        <f>IFERROR(__xludf.DUMMYFUNCTION("""COMPUTED_VALUE"""),5160072.0)</f>
        <v>5160072</v>
      </c>
    </row>
    <row r="10179">
      <c r="A10179" t="str">
        <f t="shared" si="1"/>
        <v>mrt#2024</v>
      </c>
      <c r="B10179" t="str">
        <f>IFERROR(__xludf.DUMMYFUNCTION("""COMPUTED_VALUE"""),"mrt")</f>
        <v>mrt</v>
      </c>
      <c r="C10179" t="str">
        <f>IFERROR(__xludf.DUMMYFUNCTION("""COMPUTED_VALUE"""),"Mauritania")</f>
        <v>Mauritania</v>
      </c>
      <c r="D10179">
        <f>IFERROR(__xludf.DUMMYFUNCTION("""COMPUTED_VALUE"""),2024.0)</f>
        <v>2024</v>
      </c>
      <c r="E10179">
        <f>IFERROR(__xludf.DUMMYFUNCTION("""COMPUTED_VALUE"""),5287877.0)</f>
        <v>5287877</v>
      </c>
    </row>
    <row r="10180">
      <c r="A10180" t="str">
        <f t="shared" si="1"/>
        <v>mrt#2025</v>
      </c>
      <c r="B10180" t="str">
        <f>IFERROR(__xludf.DUMMYFUNCTION("""COMPUTED_VALUE"""),"mrt")</f>
        <v>mrt</v>
      </c>
      <c r="C10180" t="str">
        <f>IFERROR(__xludf.DUMMYFUNCTION("""COMPUTED_VALUE"""),"Mauritania")</f>
        <v>Mauritania</v>
      </c>
      <c r="D10180">
        <f>IFERROR(__xludf.DUMMYFUNCTION("""COMPUTED_VALUE"""),2025.0)</f>
        <v>2025</v>
      </c>
      <c r="E10180">
        <f>IFERROR(__xludf.DUMMYFUNCTION("""COMPUTED_VALUE"""),5416711.0)</f>
        <v>5416711</v>
      </c>
    </row>
    <row r="10181">
      <c r="A10181" t="str">
        <f t="shared" si="1"/>
        <v>mrt#2026</v>
      </c>
      <c r="B10181" t="str">
        <f>IFERROR(__xludf.DUMMYFUNCTION("""COMPUTED_VALUE"""),"mrt")</f>
        <v>mrt</v>
      </c>
      <c r="C10181" t="str">
        <f>IFERROR(__xludf.DUMMYFUNCTION("""COMPUTED_VALUE"""),"Mauritania")</f>
        <v>Mauritania</v>
      </c>
      <c r="D10181">
        <f>IFERROR(__xludf.DUMMYFUNCTION("""COMPUTED_VALUE"""),2026.0)</f>
        <v>2026</v>
      </c>
      <c r="E10181">
        <f>IFERROR(__xludf.DUMMYFUNCTION("""COMPUTED_VALUE"""),5546519.0)</f>
        <v>5546519</v>
      </c>
    </row>
    <row r="10182">
      <c r="A10182" t="str">
        <f t="shared" si="1"/>
        <v>mrt#2027</v>
      </c>
      <c r="B10182" t="str">
        <f>IFERROR(__xludf.DUMMYFUNCTION("""COMPUTED_VALUE"""),"mrt")</f>
        <v>mrt</v>
      </c>
      <c r="C10182" t="str">
        <f>IFERROR(__xludf.DUMMYFUNCTION("""COMPUTED_VALUE"""),"Mauritania")</f>
        <v>Mauritania</v>
      </c>
      <c r="D10182">
        <f>IFERROR(__xludf.DUMMYFUNCTION("""COMPUTED_VALUE"""),2027.0)</f>
        <v>2027</v>
      </c>
      <c r="E10182">
        <f>IFERROR(__xludf.DUMMYFUNCTION("""COMPUTED_VALUE"""),5677339.0)</f>
        <v>5677339</v>
      </c>
    </row>
    <row r="10183">
      <c r="A10183" t="str">
        <f t="shared" si="1"/>
        <v>mrt#2028</v>
      </c>
      <c r="B10183" t="str">
        <f>IFERROR(__xludf.DUMMYFUNCTION("""COMPUTED_VALUE"""),"mrt")</f>
        <v>mrt</v>
      </c>
      <c r="C10183" t="str">
        <f>IFERROR(__xludf.DUMMYFUNCTION("""COMPUTED_VALUE"""),"Mauritania")</f>
        <v>Mauritania</v>
      </c>
      <c r="D10183">
        <f>IFERROR(__xludf.DUMMYFUNCTION("""COMPUTED_VALUE"""),2028.0)</f>
        <v>2028</v>
      </c>
      <c r="E10183">
        <f>IFERROR(__xludf.DUMMYFUNCTION("""COMPUTED_VALUE"""),5809251.0)</f>
        <v>5809251</v>
      </c>
    </row>
    <row r="10184">
      <c r="A10184" t="str">
        <f t="shared" si="1"/>
        <v>mrt#2029</v>
      </c>
      <c r="B10184" t="str">
        <f>IFERROR(__xludf.DUMMYFUNCTION("""COMPUTED_VALUE"""),"mrt")</f>
        <v>mrt</v>
      </c>
      <c r="C10184" t="str">
        <f>IFERROR(__xludf.DUMMYFUNCTION("""COMPUTED_VALUE"""),"Mauritania")</f>
        <v>Mauritania</v>
      </c>
      <c r="D10184">
        <f>IFERROR(__xludf.DUMMYFUNCTION("""COMPUTED_VALUE"""),2029.0)</f>
        <v>2029</v>
      </c>
      <c r="E10184">
        <f>IFERROR(__xludf.DUMMYFUNCTION("""COMPUTED_VALUE"""),5942334.0)</f>
        <v>5942334</v>
      </c>
    </row>
    <row r="10185">
      <c r="A10185" t="str">
        <f t="shared" si="1"/>
        <v>mrt#2030</v>
      </c>
      <c r="B10185" t="str">
        <f>IFERROR(__xludf.DUMMYFUNCTION("""COMPUTED_VALUE"""),"mrt")</f>
        <v>mrt</v>
      </c>
      <c r="C10185" t="str">
        <f>IFERROR(__xludf.DUMMYFUNCTION("""COMPUTED_VALUE"""),"Mauritania")</f>
        <v>Mauritania</v>
      </c>
      <c r="D10185">
        <f>IFERROR(__xludf.DUMMYFUNCTION("""COMPUTED_VALUE"""),2030.0)</f>
        <v>2030</v>
      </c>
      <c r="E10185">
        <f>IFERROR(__xludf.DUMMYFUNCTION("""COMPUTED_VALUE"""),6076668.0)</f>
        <v>6076668</v>
      </c>
    </row>
    <row r="10186">
      <c r="A10186" t="str">
        <f t="shared" si="1"/>
        <v>mrt#2031</v>
      </c>
      <c r="B10186" t="str">
        <f>IFERROR(__xludf.DUMMYFUNCTION("""COMPUTED_VALUE"""),"mrt")</f>
        <v>mrt</v>
      </c>
      <c r="C10186" t="str">
        <f>IFERROR(__xludf.DUMMYFUNCTION("""COMPUTED_VALUE"""),"Mauritania")</f>
        <v>Mauritania</v>
      </c>
      <c r="D10186">
        <f>IFERROR(__xludf.DUMMYFUNCTION("""COMPUTED_VALUE"""),2031.0)</f>
        <v>2031</v>
      </c>
      <c r="E10186">
        <f>IFERROR(__xludf.DUMMYFUNCTION("""COMPUTED_VALUE"""),6212246.0)</f>
        <v>6212246</v>
      </c>
    </row>
    <row r="10187">
      <c r="A10187" t="str">
        <f t="shared" si="1"/>
        <v>mrt#2032</v>
      </c>
      <c r="B10187" t="str">
        <f>IFERROR(__xludf.DUMMYFUNCTION("""COMPUTED_VALUE"""),"mrt")</f>
        <v>mrt</v>
      </c>
      <c r="C10187" t="str">
        <f>IFERROR(__xludf.DUMMYFUNCTION("""COMPUTED_VALUE"""),"Mauritania")</f>
        <v>Mauritania</v>
      </c>
      <c r="D10187">
        <f>IFERROR(__xludf.DUMMYFUNCTION("""COMPUTED_VALUE"""),2032.0)</f>
        <v>2032</v>
      </c>
      <c r="E10187">
        <f>IFERROR(__xludf.DUMMYFUNCTION("""COMPUTED_VALUE"""),6349041.0)</f>
        <v>6349041</v>
      </c>
    </row>
    <row r="10188">
      <c r="A10188" t="str">
        <f t="shared" si="1"/>
        <v>mrt#2033</v>
      </c>
      <c r="B10188" t="str">
        <f>IFERROR(__xludf.DUMMYFUNCTION("""COMPUTED_VALUE"""),"mrt")</f>
        <v>mrt</v>
      </c>
      <c r="C10188" t="str">
        <f>IFERROR(__xludf.DUMMYFUNCTION("""COMPUTED_VALUE"""),"Mauritania")</f>
        <v>Mauritania</v>
      </c>
      <c r="D10188">
        <f>IFERROR(__xludf.DUMMYFUNCTION("""COMPUTED_VALUE"""),2033.0)</f>
        <v>2033</v>
      </c>
      <c r="E10188">
        <f>IFERROR(__xludf.DUMMYFUNCTION("""COMPUTED_VALUE"""),6487015.0)</f>
        <v>6487015</v>
      </c>
    </row>
    <row r="10189">
      <c r="A10189" t="str">
        <f t="shared" si="1"/>
        <v>mrt#2034</v>
      </c>
      <c r="B10189" t="str">
        <f>IFERROR(__xludf.DUMMYFUNCTION("""COMPUTED_VALUE"""),"mrt")</f>
        <v>mrt</v>
      </c>
      <c r="C10189" t="str">
        <f>IFERROR(__xludf.DUMMYFUNCTION("""COMPUTED_VALUE"""),"Mauritania")</f>
        <v>Mauritania</v>
      </c>
      <c r="D10189">
        <f>IFERROR(__xludf.DUMMYFUNCTION("""COMPUTED_VALUE"""),2034.0)</f>
        <v>2034</v>
      </c>
      <c r="E10189">
        <f>IFERROR(__xludf.DUMMYFUNCTION("""COMPUTED_VALUE"""),6626118.0)</f>
        <v>6626118</v>
      </c>
    </row>
    <row r="10190">
      <c r="A10190" t="str">
        <f t="shared" si="1"/>
        <v>mrt#2035</v>
      </c>
      <c r="B10190" t="str">
        <f>IFERROR(__xludf.DUMMYFUNCTION("""COMPUTED_VALUE"""),"mrt")</f>
        <v>mrt</v>
      </c>
      <c r="C10190" t="str">
        <f>IFERROR(__xludf.DUMMYFUNCTION("""COMPUTED_VALUE"""),"Mauritania")</f>
        <v>Mauritania</v>
      </c>
      <c r="D10190">
        <f>IFERROR(__xludf.DUMMYFUNCTION("""COMPUTED_VALUE"""),2035.0)</f>
        <v>2035</v>
      </c>
      <c r="E10190">
        <f>IFERROR(__xludf.DUMMYFUNCTION("""COMPUTED_VALUE"""),6766329.0)</f>
        <v>6766329</v>
      </c>
    </row>
    <row r="10191">
      <c r="A10191" t="str">
        <f t="shared" si="1"/>
        <v>mrt#2036</v>
      </c>
      <c r="B10191" t="str">
        <f>IFERROR(__xludf.DUMMYFUNCTION("""COMPUTED_VALUE"""),"mrt")</f>
        <v>mrt</v>
      </c>
      <c r="C10191" t="str">
        <f>IFERROR(__xludf.DUMMYFUNCTION("""COMPUTED_VALUE"""),"Mauritania")</f>
        <v>Mauritania</v>
      </c>
      <c r="D10191">
        <f>IFERROR(__xludf.DUMMYFUNCTION("""COMPUTED_VALUE"""),2036.0)</f>
        <v>2036</v>
      </c>
      <c r="E10191">
        <f>IFERROR(__xludf.DUMMYFUNCTION("""COMPUTED_VALUE"""),6907598.0)</f>
        <v>6907598</v>
      </c>
    </row>
    <row r="10192">
      <c r="A10192" t="str">
        <f t="shared" si="1"/>
        <v>mrt#2037</v>
      </c>
      <c r="B10192" t="str">
        <f>IFERROR(__xludf.DUMMYFUNCTION("""COMPUTED_VALUE"""),"mrt")</f>
        <v>mrt</v>
      </c>
      <c r="C10192" t="str">
        <f>IFERROR(__xludf.DUMMYFUNCTION("""COMPUTED_VALUE"""),"Mauritania")</f>
        <v>Mauritania</v>
      </c>
      <c r="D10192">
        <f>IFERROR(__xludf.DUMMYFUNCTION("""COMPUTED_VALUE"""),2037.0)</f>
        <v>2037</v>
      </c>
      <c r="E10192">
        <f>IFERROR(__xludf.DUMMYFUNCTION("""COMPUTED_VALUE"""),7049901.0)</f>
        <v>7049901</v>
      </c>
    </row>
    <row r="10193">
      <c r="A10193" t="str">
        <f t="shared" si="1"/>
        <v>mrt#2038</v>
      </c>
      <c r="B10193" t="str">
        <f>IFERROR(__xludf.DUMMYFUNCTION("""COMPUTED_VALUE"""),"mrt")</f>
        <v>mrt</v>
      </c>
      <c r="C10193" t="str">
        <f>IFERROR(__xludf.DUMMYFUNCTION("""COMPUTED_VALUE"""),"Mauritania")</f>
        <v>Mauritania</v>
      </c>
      <c r="D10193">
        <f>IFERROR(__xludf.DUMMYFUNCTION("""COMPUTED_VALUE"""),2038.0)</f>
        <v>2038</v>
      </c>
      <c r="E10193">
        <f>IFERROR(__xludf.DUMMYFUNCTION("""COMPUTED_VALUE"""),7193176.0)</f>
        <v>7193176</v>
      </c>
    </row>
    <row r="10194">
      <c r="A10194" t="str">
        <f t="shared" si="1"/>
        <v>mrt#2039</v>
      </c>
      <c r="B10194" t="str">
        <f>IFERROR(__xludf.DUMMYFUNCTION("""COMPUTED_VALUE"""),"mrt")</f>
        <v>mrt</v>
      </c>
      <c r="C10194" t="str">
        <f>IFERROR(__xludf.DUMMYFUNCTION("""COMPUTED_VALUE"""),"Mauritania")</f>
        <v>Mauritania</v>
      </c>
      <c r="D10194">
        <f>IFERROR(__xludf.DUMMYFUNCTION("""COMPUTED_VALUE"""),2039.0)</f>
        <v>2039</v>
      </c>
      <c r="E10194">
        <f>IFERROR(__xludf.DUMMYFUNCTION("""COMPUTED_VALUE"""),7337362.0)</f>
        <v>7337362</v>
      </c>
    </row>
    <row r="10195">
      <c r="A10195" t="str">
        <f t="shared" si="1"/>
        <v>mrt#2040</v>
      </c>
      <c r="B10195" t="str">
        <f>IFERROR(__xludf.DUMMYFUNCTION("""COMPUTED_VALUE"""),"mrt")</f>
        <v>mrt</v>
      </c>
      <c r="C10195" t="str">
        <f>IFERROR(__xludf.DUMMYFUNCTION("""COMPUTED_VALUE"""),"Mauritania")</f>
        <v>Mauritania</v>
      </c>
      <c r="D10195">
        <f>IFERROR(__xludf.DUMMYFUNCTION("""COMPUTED_VALUE"""),2040.0)</f>
        <v>2040</v>
      </c>
      <c r="E10195">
        <f>IFERROR(__xludf.DUMMYFUNCTION("""COMPUTED_VALUE"""),7482408.0)</f>
        <v>7482408</v>
      </c>
    </row>
    <row r="10196">
      <c r="A10196" t="str">
        <f t="shared" si="1"/>
        <v>mus#1950</v>
      </c>
      <c r="B10196" t="str">
        <f>IFERROR(__xludf.DUMMYFUNCTION("""COMPUTED_VALUE"""),"mus")</f>
        <v>mus</v>
      </c>
      <c r="C10196" t="str">
        <f>IFERROR(__xludf.DUMMYFUNCTION("""COMPUTED_VALUE"""),"Mauritius")</f>
        <v>Mauritius</v>
      </c>
      <c r="D10196">
        <f>IFERROR(__xludf.DUMMYFUNCTION("""COMPUTED_VALUE"""),1950.0)</f>
        <v>1950</v>
      </c>
      <c r="E10196">
        <f>IFERROR(__xludf.DUMMYFUNCTION("""COMPUTED_VALUE"""),493255.0)</f>
        <v>493255</v>
      </c>
    </row>
    <row r="10197">
      <c r="A10197" t="str">
        <f t="shared" si="1"/>
        <v>mus#1951</v>
      </c>
      <c r="B10197" t="str">
        <f>IFERROR(__xludf.DUMMYFUNCTION("""COMPUTED_VALUE"""),"mus")</f>
        <v>mus</v>
      </c>
      <c r="C10197" t="str">
        <f>IFERROR(__xludf.DUMMYFUNCTION("""COMPUTED_VALUE"""),"Mauritius")</f>
        <v>Mauritius</v>
      </c>
      <c r="D10197">
        <f>IFERROR(__xludf.DUMMYFUNCTION("""COMPUTED_VALUE"""),1951.0)</f>
        <v>1951</v>
      </c>
      <c r="E10197">
        <f>IFERROR(__xludf.DUMMYFUNCTION("""COMPUTED_VALUE"""),506433.0)</f>
        <v>506433</v>
      </c>
    </row>
    <row r="10198">
      <c r="A10198" t="str">
        <f t="shared" si="1"/>
        <v>mus#1952</v>
      </c>
      <c r="B10198" t="str">
        <f>IFERROR(__xludf.DUMMYFUNCTION("""COMPUTED_VALUE"""),"mus")</f>
        <v>mus</v>
      </c>
      <c r="C10198" t="str">
        <f>IFERROR(__xludf.DUMMYFUNCTION("""COMPUTED_VALUE"""),"Mauritius")</f>
        <v>Mauritius</v>
      </c>
      <c r="D10198">
        <f>IFERROR(__xludf.DUMMYFUNCTION("""COMPUTED_VALUE"""),1952.0)</f>
        <v>1952</v>
      </c>
      <c r="E10198">
        <f>IFERROR(__xludf.DUMMYFUNCTION("""COMPUTED_VALUE"""),521188.0)</f>
        <v>521188</v>
      </c>
    </row>
    <row r="10199">
      <c r="A10199" t="str">
        <f t="shared" si="1"/>
        <v>mus#1953</v>
      </c>
      <c r="B10199" t="str">
        <f>IFERROR(__xludf.DUMMYFUNCTION("""COMPUTED_VALUE"""),"mus")</f>
        <v>mus</v>
      </c>
      <c r="C10199" t="str">
        <f>IFERROR(__xludf.DUMMYFUNCTION("""COMPUTED_VALUE"""),"Mauritius")</f>
        <v>Mauritius</v>
      </c>
      <c r="D10199">
        <f>IFERROR(__xludf.DUMMYFUNCTION("""COMPUTED_VALUE"""),1953.0)</f>
        <v>1953</v>
      </c>
      <c r="E10199">
        <f>IFERROR(__xludf.DUMMYFUNCTION("""COMPUTED_VALUE"""),537047.0)</f>
        <v>537047</v>
      </c>
    </row>
    <row r="10200">
      <c r="A10200" t="str">
        <f t="shared" si="1"/>
        <v>mus#1954</v>
      </c>
      <c r="B10200" t="str">
        <f>IFERROR(__xludf.DUMMYFUNCTION("""COMPUTED_VALUE"""),"mus")</f>
        <v>mus</v>
      </c>
      <c r="C10200" t="str">
        <f>IFERROR(__xludf.DUMMYFUNCTION("""COMPUTED_VALUE"""),"Mauritius")</f>
        <v>Mauritius</v>
      </c>
      <c r="D10200">
        <f>IFERROR(__xludf.DUMMYFUNCTION("""COMPUTED_VALUE"""),1954.0)</f>
        <v>1954</v>
      </c>
      <c r="E10200">
        <f>IFERROR(__xludf.DUMMYFUNCTION("""COMPUTED_VALUE"""),553626.0)</f>
        <v>553626</v>
      </c>
    </row>
    <row r="10201">
      <c r="A10201" t="str">
        <f t="shared" si="1"/>
        <v>mus#1955</v>
      </c>
      <c r="B10201" t="str">
        <f>IFERROR(__xludf.DUMMYFUNCTION("""COMPUTED_VALUE"""),"mus")</f>
        <v>mus</v>
      </c>
      <c r="C10201" t="str">
        <f>IFERROR(__xludf.DUMMYFUNCTION("""COMPUTED_VALUE"""),"Mauritius")</f>
        <v>Mauritius</v>
      </c>
      <c r="D10201">
        <f>IFERROR(__xludf.DUMMYFUNCTION("""COMPUTED_VALUE"""),1955.0)</f>
        <v>1955</v>
      </c>
      <c r="E10201">
        <f>IFERROR(__xludf.DUMMYFUNCTION("""COMPUTED_VALUE"""),570648.0)</f>
        <v>570648</v>
      </c>
    </row>
    <row r="10202">
      <c r="A10202" t="str">
        <f t="shared" si="1"/>
        <v>mus#1956</v>
      </c>
      <c r="B10202" t="str">
        <f>IFERROR(__xludf.DUMMYFUNCTION("""COMPUTED_VALUE"""),"mus")</f>
        <v>mus</v>
      </c>
      <c r="C10202" t="str">
        <f>IFERROR(__xludf.DUMMYFUNCTION("""COMPUTED_VALUE"""),"Mauritius")</f>
        <v>Mauritius</v>
      </c>
      <c r="D10202">
        <f>IFERROR(__xludf.DUMMYFUNCTION("""COMPUTED_VALUE"""),1956.0)</f>
        <v>1956</v>
      </c>
      <c r="E10202">
        <f>IFERROR(__xludf.DUMMYFUNCTION("""COMPUTED_VALUE"""),587952.0)</f>
        <v>587952</v>
      </c>
    </row>
    <row r="10203">
      <c r="A10203" t="str">
        <f t="shared" si="1"/>
        <v>mus#1957</v>
      </c>
      <c r="B10203" t="str">
        <f>IFERROR(__xludf.DUMMYFUNCTION("""COMPUTED_VALUE"""),"mus")</f>
        <v>mus</v>
      </c>
      <c r="C10203" t="str">
        <f>IFERROR(__xludf.DUMMYFUNCTION("""COMPUTED_VALUE"""),"Mauritius")</f>
        <v>Mauritius</v>
      </c>
      <c r="D10203">
        <f>IFERROR(__xludf.DUMMYFUNCTION("""COMPUTED_VALUE"""),1957.0)</f>
        <v>1957</v>
      </c>
      <c r="E10203">
        <f>IFERROR(__xludf.DUMMYFUNCTION("""COMPUTED_VALUE"""),605487.0)</f>
        <v>605487</v>
      </c>
    </row>
    <row r="10204">
      <c r="A10204" t="str">
        <f t="shared" si="1"/>
        <v>mus#1958</v>
      </c>
      <c r="B10204" t="str">
        <f>IFERROR(__xludf.DUMMYFUNCTION("""COMPUTED_VALUE"""),"mus")</f>
        <v>mus</v>
      </c>
      <c r="C10204" t="str">
        <f>IFERROR(__xludf.DUMMYFUNCTION("""COMPUTED_VALUE"""),"Mauritius")</f>
        <v>Mauritius</v>
      </c>
      <c r="D10204">
        <f>IFERROR(__xludf.DUMMYFUNCTION("""COMPUTED_VALUE"""),1958.0)</f>
        <v>1958</v>
      </c>
      <c r="E10204">
        <f>IFERROR(__xludf.DUMMYFUNCTION("""COMPUTED_VALUE"""),623276.0)</f>
        <v>623276</v>
      </c>
    </row>
    <row r="10205">
      <c r="A10205" t="str">
        <f t="shared" si="1"/>
        <v>mus#1959</v>
      </c>
      <c r="B10205" t="str">
        <f>IFERROR(__xludf.DUMMYFUNCTION("""COMPUTED_VALUE"""),"mus")</f>
        <v>mus</v>
      </c>
      <c r="C10205" t="str">
        <f>IFERROR(__xludf.DUMMYFUNCTION("""COMPUTED_VALUE"""),"Mauritius")</f>
        <v>Mauritius</v>
      </c>
      <c r="D10205">
        <f>IFERROR(__xludf.DUMMYFUNCTION("""COMPUTED_VALUE"""),1959.0)</f>
        <v>1959</v>
      </c>
      <c r="E10205">
        <f>IFERROR(__xludf.DUMMYFUNCTION("""COMPUTED_VALUE"""),641428.0)</f>
        <v>641428</v>
      </c>
    </row>
    <row r="10206">
      <c r="A10206" t="str">
        <f t="shared" si="1"/>
        <v>mus#1960</v>
      </c>
      <c r="B10206" t="str">
        <f>IFERROR(__xludf.DUMMYFUNCTION("""COMPUTED_VALUE"""),"mus")</f>
        <v>mus</v>
      </c>
      <c r="C10206" t="str">
        <f>IFERROR(__xludf.DUMMYFUNCTION("""COMPUTED_VALUE"""),"Mauritius")</f>
        <v>Mauritius</v>
      </c>
      <c r="D10206">
        <f>IFERROR(__xludf.DUMMYFUNCTION("""COMPUTED_VALUE"""),1960.0)</f>
        <v>1960</v>
      </c>
      <c r="E10206">
        <f>IFERROR(__xludf.DUMMYFUNCTION("""COMPUTED_VALUE"""),660023.0)</f>
        <v>660023</v>
      </c>
    </row>
    <row r="10207">
      <c r="A10207" t="str">
        <f t="shared" si="1"/>
        <v>mus#1961</v>
      </c>
      <c r="B10207" t="str">
        <f>IFERROR(__xludf.DUMMYFUNCTION("""COMPUTED_VALUE"""),"mus")</f>
        <v>mus</v>
      </c>
      <c r="C10207" t="str">
        <f>IFERROR(__xludf.DUMMYFUNCTION("""COMPUTED_VALUE"""),"Mauritius")</f>
        <v>Mauritius</v>
      </c>
      <c r="D10207">
        <f>IFERROR(__xludf.DUMMYFUNCTION("""COMPUTED_VALUE"""),1961.0)</f>
        <v>1961</v>
      </c>
      <c r="E10207">
        <f>IFERROR(__xludf.DUMMYFUNCTION("""COMPUTED_VALUE"""),679045.0)</f>
        <v>679045</v>
      </c>
    </row>
    <row r="10208">
      <c r="A10208" t="str">
        <f t="shared" si="1"/>
        <v>mus#1962</v>
      </c>
      <c r="B10208" t="str">
        <f>IFERROR(__xludf.DUMMYFUNCTION("""COMPUTED_VALUE"""),"mus")</f>
        <v>mus</v>
      </c>
      <c r="C10208" t="str">
        <f>IFERROR(__xludf.DUMMYFUNCTION("""COMPUTED_VALUE"""),"Mauritius")</f>
        <v>Mauritius</v>
      </c>
      <c r="D10208">
        <f>IFERROR(__xludf.DUMMYFUNCTION("""COMPUTED_VALUE"""),1962.0)</f>
        <v>1962</v>
      </c>
      <c r="E10208">
        <f>IFERROR(__xludf.DUMMYFUNCTION("""COMPUTED_VALUE"""),698303.0)</f>
        <v>698303</v>
      </c>
    </row>
    <row r="10209">
      <c r="A10209" t="str">
        <f t="shared" si="1"/>
        <v>mus#1963</v>
      </c>
      <c r="B10209" t="str">
        <f>IFERROR(__xludf.DUMMYFUNCTION("""COMPUTED_VALUE"""),"mus")</f>
        <v>mus</v>
      </c>
      <c r="C10209" t="str">
        <f>IFERROR(__xludf.DUMMYFUNCTION("""COMPUTED_VALUE"""),"Mauritius")</f>
        <v>Mauritius</v>
      </c>
      <c r="D10209">
        <f>IFERROR(__xludf.DUMMYFUNCTION("""COMPUTED_VALUE"""),1963.0)</f>
        <v>1963</v>
      </c>
      <c r="E10209">
        <f>IFERROR(__xludf.DUMMYFUNCTION("""COMPUTED_VALUE"""),717415.0)</f>
        <v>717415</v>
      </c>
    </row>
    <row r="10210">
      <c r="A10210" t="str">
        <f t="shared" si="1"/>
        <v>mus#1964</v>
      </c>
      <c r="B10210" t="str">
        <f>IFERROR(__xludf.DUMMYFUNCTION("""COMPUTED_VALUE"""),"mus")</f>
        <v>mus</v>
      </c>
      <c r="C10210" t="str">
        <f>IFERROR(__xludf.DUMMYFUNCTION("""COMPUTED_VALUE"""),"Mauritius")</f>
        <v>Mauritius</v>
      </c>
      <c r="D10210">
        <f>IFERROR(__xludf.DUMMYFUNCTION("""COMPUTED_VALUE"""),1964.0)</f>
        <v>1964</v>
      </c>
      <c r="E10210">
        <f>IFERROR(__xludf.DUMMYFUNCTION("""COMPUTED_VALUE"""),735860.0)</f>
        <v>735860</v>
      </c>
    </row>
    <row r="10211">
      <c r="A10211" t="str">
        <f t="shared" si="1"/>
        <v>mus#1965</v>
      </c>
      <c r="B10211" t="str">
        <f>IFERROR(__xludf.DUMMYFUNCTION("""COMPUTED_VALUE"""),"mus")</f>
        <v>mus</v>
      </c>
      <c r="C10211" t="str">
        <f>IFERROR(__xludf.DUMMYFUNCTION("""COMPUTED_VALUE"""),"Mauritius")</f>
        <v>Mauritius</v>
      </c>
      <c r="D10211">
        <f>IFERROR(__xludf.DUMMYFUNCTION("""COMPUTED_VALUE"""),1965.0)</f>
        <v>1965</v>
      </c>
      <c r="E10211">
        <f>IFERROR(__xludf.DUMMYFUNCTION("""COMPUTED_VALUE"""),753285.0)</f>
        <v>753285</v>
      </c>
    </row>
    <row r="10212">
      <c r="A10212" t="str">
        <f t="shared" si="1"/>
        <v>mus#1966</v>
      </c>
      <c r="B10212" t="str">
        <f>IFERROR(__xludf.DUMMYFUNCTION("""COMPUTED_VALUE"""),"mus")</f>
        <v>mus</v>
      </c>
      <c r="C10212" t="str">
        <f>IFERROR(__xludf.DUMMYFUNCTION("""COMPUTED_VALUE"""),"Mauritius")</f>
        <v>Mauritius</v>
      </c>
      <c r="D10212">
        <f>IFERROR(__xludf.DUMMYFUNCTION("""COMPUTED_VALUE"""),1966.0)</f>
        <v>1966</v>
      </c>
      <c r="E10212">
        <f>IFERROR(__xludf.DUMMYFUNCTION("""COMPUTED_VALUE"""),769553.0)</f>
        <v>769553</v>
      </c>
    </row>
    <row r="10213">
      <c r="A10213" t="str">
        <f t="shared" si="1"/>
        <v>mus#1967</v>
      </c>
      <c r="B10213" t="str">
        <f>IFERROR(__xludf.DUMMYFUNCTION("""COMPUTED_VALUE"""),"mus")</f>
        <v>mus</v>
      </c>
      <c r="C10213" t="str">
        <f>IFERROR(__xludf.DUMMYFUNCTION("""COMPUTED_VALUE"""),"Mauritius")</f>
        <v>Mauritius</v>
      </c>
      <c r="D10213">
        <f>IFERROR(__xludf.DUMMYFUNCTION("""COMPUTED_VALUE"""),1967.0)</f>
        <v>1967</v>
      </c>
      <c r="E10213">
        <f>IFERROR(__xludf.DUMMYFUNCTION("""COMPUTED_VALUE"""),784780.0)</f>
        <v>784780</v>
      </c>
    </row>
    <row r="10214">
      <c r="A10214" t="str">
        <f t="shared" si="1"/>
        <v>mus#1968</v>
      </c>
      <c r="B10214" t="str">
        <f>IFERROR(__xludf.DUMMYFUNCTION("""COMPUTED_VALUE"""),"mus")</f>
        <v>mus</v>
      </c>
      <c r="C10214" t="str">
        <f>IFERROR(__xludf.DUMMYFUNCTION("""COMPUTED_VALUE"""),"Mauritius")</f>
        <v>Mauritius</v>
      </c>
      <c r="D10214">
        <f>IFERROR(__xludf.DUMMYFUNCTION("""COMPUTED_VALUE"""),1968.0)</f>
        <v>1968</v>
      </c>
      <c r="E10214">
        <f>IFERROR(__xludf.DUMMYFUNCTION("""COMPUTED_VALUE"""),799136.0)</f>
        <v>799136</v>
      </c>
    </row>
    <row r="10215">
      <c r="A10215" t="str">
        <f t="shared" si="1"/>
        <v>mus#1969</v>
      </c>
      <c r="B10215" t="str">
        <f>IFERROR(__xludf.DUMMYFUNCTION("""COMPUTED_VALUE"""),"mus")</f>
        <v>mus</v>
      </c>
      <c r="C10215" t="str">
        <f>IFERROR(__xludf.DUMMYFUNCTION("""COMPUTED_VALUE"""),"Mauritius")</f>
        <v>Mauritius</v>
      </c>
      <c r="D10215">
        <f>IFERROR(__xludf.DUMMYFUNCTION("""COMPUTED_VALUE"""),1969.0)</f>
        <v>1969</v>
      </c>
      <c r="E10215">
        <f>IFERROR(__xludf.DUMMYFUNCTION("""COMPUTED_VALUE"""),812946.0)</f>
        <v>812946</v>
      </c>
    </row>
    <row r="10216">
      <c r="A10216" t="str">
        <f t="shared" si="1"/>
        <v>mus#1970</v>
      </c>
      <c r="B10216" t="str">
        <f>IFERROR(__xludf.DUMMYFUNCTION("""COMPUTED_VALUE"""),"mus")</f>
        <v>mus</v>
      </c>
      <c r="C10216" t="str">
        <f>IFERROR(__xludf.DUMMYFUNCTION("""COMPUTED_VALUE"""),"Mauritius")</f>
        <v>Mauritius</v>
      </c>
      <c r="D10216">
        <f>IFERROR(__xludf.DUMMYFUNCTION("""COMPUTED_VALUE"""),1970.0)</f>
        <v>1970</v>
      </c>
      <c r="E10216">
        <f>IFERROR(__xludf.DUMMYFUNCTION("""COMPUTED_VALUE"""),826441.0)</f>
        <v>826441</v>
      </c>
    </row>
    <row r="10217">
      <c r="A10217" t="str">
        <f t="shared" si="1"/>
        <v>mus#1971</v>
      </c>
      <c r="B10217" t="str">
        <f>IFERROR(__xludf.DUMMYFUNCTION("""COMPUTED_VALUE"""),"mus")</f>
        <v>mus</v>
      </c>
      <c r="C10217" t="str">
        <f>IFERROR(__xludf.DUMMYFUNCTION("""COMPUTED_VALUE"""),"Mauritius")</f>
        <v>Mauritius</v>
      </c>
      <c r="D10217">
        <f>IFERROR(__xludf.DUMMYFUNCTION("""COMPUTED_VALUE"""),1971.0)</f>
        <v>1971</v>
      </c>
      <c r="E10217">
        <f>IFERROR(__xludf.DUMMYFUNCTION("""COMPUTED_VALUE"""),839598.0)</f>
        <v>839598</v>
      </c>
    </row>
    <row r="10218">
      <c r="A10218" t="str">
        <f t="shared" si="1"/>
        <v>mus#1972</v>
      </c>
      <c r="B10218" t="str">
        <f>IFERROR(__xludf.DUMMYFUNCTION("""COMPUTED_VALUE"""),"mus")</f>
        <v>mus</v>
      </c>
      <c r="C10218" t="str">
        <f>IFERROR(__xludf.DUMMYFUNCTION("""COMPUTED_VALUE"""),"Mauritius")</f>
        <v>Mauritius</v>
      </c>
      <c r="D10218">
        <f>IFERROR(__xludf.DUMMYFUNCTION("""COMPUTED_VALUE"""),1972.0)</f>
        <v>1972</v>
      </c>
      <c r="E10218">
        <f>IFERROR(__xludf.DUMMYFUNCTION("""COMPUTED_VALUE"""),852400.0)</f>
        <v>852400</v>
      </c>
    </row>
    <row r="10219">
      <c r="A10219" t="str">
        <f t="shared" si="1"/>
        <v>mus#1973</v>
      </c>
      <c r="B10219" t="str">
        <f>IFERROR(__xludf.DUMMYFUNCTION("""COMPUTED_VALUE"""),"mus")</f>
        <v>mus</v>
      </c>
      <c r="C10219" t="str">
        <f>IFERROR(__xludf.DUMMYFUNCTION("""COMPUTED_VALUE"""),"Mauritius")</f>
        <v>Mauritius</v>
      </c>
      <c r="D10219">
        <f>IFERROR(__xludf.DUMMYFUNCTION("""COMPUTED_VALUE"""),1973.0)</f>
        <v>1973</v>
      </c>
      <c r="E10219">
        <f>IFERROR(__xludf.DUMMYFUNCTION("""COMPUTED_VALUE"""),865169.0)</f>
        <v>865169</v>
      </c>
    </row>
    <row r="10220">
      <c r="A10220" t="str">
        <f t="shared" si="1"/>
        <v>mus#1974</v>
      </c>
      <c r="B10220" t="str">
        <f>IFERROR(__xludf.DUMMYFUNCTION("""COMPUTED_VALUE"""),"mus")</f>
        <v>mus</v>
      </c>
      <c r="C10220" t="str">
        <f>IFERROR(__xludf.DUMMYFUNCTION("""COMPUTED_VALUE"""),"Mauritius")</f>
        <v>Mauritius</v>
      </c>
      <c r="D10220">
        <f>IFERROR(__xludf.DUMMYFUNCTION("""COMPUTED_VALUE"""),1974.0)</f>
        <v>1974</v>
      </c>
      <c r="E10220">
        <f>IFERROR(__xludf.DUMMYFUNCTION("""COMPUTED_VALUE"""),878355.0)</f>
        <v>878355</v>
      </c>
    </row>
    <row r="10221">
      <c r="A10221" t="str">
        <f t="shared" si="1"/>
        <v>mus#1975</v>
      </c>
      <c r="B10221" t="str">
        <f>IFERROR(__xludf.DUMMYFUNCTION("""COMPUTED_VALUE"""),"mus")</f>
        <v>mus</v>
      </c>
      <c r="C10221" t="str">
        <f>IFERROR(__xludf.DUMMYFUNCTION("""COMPUTED_VALUE"""),"Mauritius")</f>
        <v>Mauritius</v>
      </c>
      <c r="D10221">
        <f>IFERROR(__xludf.DUMMYFUNCTION("""COMPUTED_VALUE"""),1975.0)</f>
        <v>1975</v>
      </c>
      <c r="E10221">
        <f>IFERROR(__xludf.DUMMYFUNCTION("""COMPUTED_VALUE"""),892211.0)</f>
        <v>892211</v>
      </c>
    </row>
    <row r="10222">
      <c r="A10222" t="str">
        <f t="shared" si="1"/>
        <v>mus#1976</v>
      </c>
      <c r="B10222" t="str">
        <f>IFERROR(__xludf.DUMMYFUNCTION("""COMPUTED_VALUE"""),"mus")</f>
        <v>mus</v>
      </c>
      <c r="C10222" t="str">
        <f>IFERROR(__xludf.DUMMYFUNCTION("""COMPUTED_VALUE"""),"Mauritius")</f>
        <v>Mauritius</v>
      </c>
      <c r="D10222">
        <f>IFERROR(__xludf.DUMMYFUNCTION("""COMPUTED_VALUE"""),1976.0)</f>
        <v>1976</v>
      </c>
      <c r="E10222">
        <f>IFERROR(__xludf.DUMMYFUNCTION("""COMPUTED_VALUE"""),906929.0)</f>
        <v>906929</v>
      </c>
    </row>
    <row r="10223">
      <c r="A10223" t="str">
        <f t="shared" si="1"/>
        <v>mus#1977</v>
      </c>
      <c r="B10223" t="str">
        <f>IFERROR(__xludf.DUMMYFUNCTION("""COMPUTED_VALUE"""),"mus")</f>
        <v>mus</v>
      </c>
      <c r="C10223" t="str">
        <f>IFERROR(__xludf.DUMMYFUNCTION("""COMPUTED_VALUE"""),"Mauritius")</f>
        <v>Mauritius</v>
      </c>
      <c r="D10223">
        <f>IFERROR(__xludf.DUMMYFUNCTION("""COMPUTED_VALUE"""),1977.0)</f>
        <v>1977</v>
      </c>
      <c r="E10223">
        <f>IFERROR(__xludf.DUMMYFUNCTION("""COMPUTED_VALUE"""),922320.0)</f>
        <v>922320</v>
      </c>
    </row>
    <row r="10224">
      <c r="A10224" t="str">
        <f t="shared" si="1"/>
        <v>mus#1978</v>
      </c>
      <c r="B10224" t="str">
        <f>IFERROR(__xludf.DUMMYFUNCTION("""COMPUTED_VALUE"""),"mus")</f>
        <v>mus</v>
      </c>
      <c r="C10224" t="str">
        <f>IFERROR(__xludf.DUMMYFUNCTION("""COMPUTED_VALUE"""),"Mauritius")</f>
        <v>Mauritius</v>
      </c>
      <c r="D10224">
        <f>IFERROR(__xludf.DUMMYFUNCTION("""COMPUTED_VALUE"""),1978.0)</f>
        <v>1978</v>
      </c>
      <c r="E10224">
        <f>IFERROR(__xludf.DUMMYFUNCTION("""COMPUTED_VALUE"""),937821.0)</f>
        <v>937821</v>
      </c>
    </row>
    <row r="10225">
      <c r="A10225" t="str">
        <f t="shared" si="1"/>
        <v>mus#1979</v>
      </c>
      <c r="B10225" t="str">
        <f>IFERROR(__xludf.DUMMYFUNCTION("""COMPUTED_VALUE"""),"mus")</f>
        <v>mus</v>
      </c>
      <c r="C10225" t="str">
        <f>IFERROR(__xludf.DUMMYFUNCTION("""COMPUTED_VALUE"""),"Mauritius")</f>
        <v>Mauritius</v>
      </c>
      <c r="D10225">
        <f>IFERROR(__xludf.DUMMYFUNCTION("""COMPUTED_VALUE"""),1979.0)</f>
        <v>1979</v>
      </c>
      <c r="E10225">
        <f>IFERROR(__xludf.DUMMYFUNCTION("""COMPUTED_VALUE"""),952588.0)</f>
        <v>952588</v>
      </c>
    </row>
    <row r="10226">
      <c r="A10226" t="str">
        <f t="shared" si="1"/>
        <v>mus#1980</v>
      </c>
      <c r="B10226" t="str">
        <f>IFERROR(__xludf.DUMMYFUNCTION("""COMPUTED_VALUE"""),"mus")</f>
        <v>mus</v>
      </c>
      <c r="C10226" t="str">
        <f>IFERROR(__xludf.DUMMYFUNCTION("""COMPUTED_VALUE"""),"Mauritius")</f>
        <v>Mauritius</v>
      </c>
      <c r="D10226">
        <f>IFERROR(__xludf.DUMMYFUNCTION("""COMPUTED_VALUE"""),1980.0)</f>
        <v>1980</v>
      </c>
      <c r="E10226">
        <f>IFERROR(__xludf.DUMMYFUNCTION("""COMPUTED_VALUE"""),966031.0)</f>
        <v>966031</v>
      </c>
    </row>
    <row r="10227">
      <c r="A10227" t="str">
        <f t="shared" si="1"/>
        <v>mus#1981</v>
      </c>
      <c r="B10227" t="str">
        <f>IFERROR(__xludf.DUMMYFUNCTION("""COMPUTED_VALUE"""),"mus")</f>
        <v>mus</v>
      </c>
      <c r="C10227" t="str">
        <f>IFERROR(__xludf.DUMMYFUNCTION("""COMPUTED_VALUE"""),"Mauritius")</f>
        <v>Mauritius</v>
      </c>
      <c r="D10227">
        <f>IFERROR(__xludf.DUMMYFUNCTION("""COMPUTED_VALUE"""),1981.0)</f>
        <v>1981</v>
      </c>
      <c r="E10227">
        <f>IFERROR(__xludf.DUMMYFUNCTION("""COMPUTED_VALUE"""),978069.0)</f>
        <v>978069</v>
      </c>
    </row>
    <row r="10228">
      <c r="A10228" t="str">
        <f t="shared" si="1"/>
        <v>mus#1982</v>
      </c>
      <c r="B10228" t="str">
        <f>IFERROR(__xludf.DUMMYFUNCTION("""COMPUTED_VALUE"""),"mus")</f>
        <v>mus</v>
      </c>
      <c r="C10228" t="str">
        <f>IFERROR(__xludf.DUMMYFUNCTION("""COMPUTED_VALUE"""),"Mauritius")</f>
        <v>Mauritius</v>
      </c>
      <c r="D10228">
        <f>IFERROR(__xludf.DUMMYFUNCTION("""COMPUTED_VALUE"""),1982.0)</f>
        <v>1982</v>
      </c>
      <c r="E10228">
        <f>IFERROR(__xludf.DUMMYFUNCTION("""COMPUTED_VALUE"""),988892.0)</f>
        <v>988892</v>
      </c>
    </row>
    <row r="10229">
      <c r="A10229" t="str">
        <f t="shared" si="1"/>
        <v>mus#1983</v>
      </c>
      <c r="B10229" t="str">
        <f>IFERROR(__xludf.DUMMYFUNCTION("""COMPUTED_VALUE"""),"mus")</f>
        <v>mus</v>
      </c>
      <c r="C10229" t="str">
        <f>IFERROR(__xludf.DUMMYFUNCTION("""COMPUTED_VALUE"""),"Mauritius")</f>
        <v>Mauritius</v>
      </c>
      <c r="D10229">
        <f>IFERROR(__xludf.DUMMYFUNCTION("""COMPUTED_VALUE"""),1983.0)</f>
        <v>1983</v>
      </c>
      <c r="E10229">
        <f>IFERROR(__xludf.DUMMYFUNCTION("""COMPUTED_VALUE"""),998631.0)</f>
        <v>998631</v>
      </c>
    </row>
    <row r="10230">
      <c r="A10230" t="str">
        <f t="shared" si="1"/>
        <v>mus#1984</v>
      </c>
      <c r="B10230" t="str">
        <f>IFERROR(__xludf.DUMMYFUNCTION("""COMPUTED_VALUE"""),"mus")</f>
        <v>mus</v>
      </c>
      <c r="C10230" t="str">
        <f>IFERROR(__xludf.DUMMYFUNCTION("""COMPUTED_VALUE"""),"Mauritius")</f>
        <v>Mauritius</v>
      </c>
      <c r="D10230">
        <f>IFERROR(__xludf.DUMMYFUNCTION("""COMPUTED_VALUE"""),1984.0)</f>
        <v>1984</v>
      </c>
      <c r="E10230">
        <f>IFERROR(__xludf.DUMMYFUNCTION("""COMPUTED_VALUE"""),1007501.0)</f>
        <v>1007501</v>
      </c>
    </row>
    <row r="10231">
      <c r="A10231" t="str">
        <f t="shared" si="1"/>
        <v>mus#1985</v>
      </c>
      <c r="B10231" t="str">
        <f>IFERROR(__xludf.DUMMYFUNCTION("""COMPUTED_VALUE"""),"mus")</f>
        <v>mus</v>
      </c>
      <c r="C10231" t="str">
        <f>IFERROR(__xludf.DUMMYFUNCTION("""COMPUTED_VALUE"""),"Mauritius")</f>
        <v>Mauritius</v>
      </c>
      <c r="D10231">
        <f>IFERROR(__xludf.DUMMYFUNCTION("""COMPUTED_VALUE"""),1985.0)</f>
        <v>1985</v>
      </c>
      <c r="E10231">
        <f>IFERROR(__xludf.DUMMYFUNCTION("""COMPUTED_VALUE"""),1015762.0)</f>
        <v>1015762</v>
      </c>
    </row>
    <row r="10232">
      <c r="A10232" t="str">
        <f t="shared" si="1"/>
        <v>mus#1986</v>
      </c>
      <c r="B10232" t="str">
        <f>IFERROR(__xludf.DUMMYFUNCTION("""COMPUTED_VALUE"""),"mus")</f>
        <v>mus</v>
      </c>
      <c r="C10232" t="str">
        <f>IFERROR(__xludf.DUMMYFUNCTION("""COMPUTED_VALUE"""),"Mauritius")</f>
        <v>Mauritius</v>
      </c>
      <c r="D10232">
        <f>IFERROR(__xludf.DUMMYFUNCTION("""COMPUTED_VALUE"""),1986.0)</f>
        <v>1986</v>
      </c>
      <c r="E10232">
        <f>IFERROR(__xludf.DUMMYFUNCTION("""COMPUTED_VALUE"""),1023279.0)</f>
        <v>1023279</v>
      </c>
    </row>
    <row r="10233">
      <c r="A10233" t="str">
        <f t="shared" si="1"/>
        <v>mus#1987</v>
      </c>
      <c r="B10233" t="str">
        <f>IFERROR(__xludf.DUMMYFUNCTION("""COMPUTED_VALUE"""),"mus")</f>
        <v>mus</v>
      </c>
      <c r="C10233" t="str">
        <f>IFERROR(__xludf.DUMMYFUNCTION("""COMPUTED_VALUE"""),"Mauritius")</f>
        <v>Mauritius</v>
      </c>
      <c r="D10233">
        <f>IFERROR(__xludf.DUMMYFUNCTION("""COMPUTED_VALUE"""),1987.0)</f>
        <v>1987</v>
      </c>
      <c r="E10233">
        <f>IFERROR(__xludf.DUMMYFUNCTION("""COMPUTED_VALUE"""),1030178.0)</f>
        <v>1030178</v>
      </c>
    </row>
    <row r="10234">
      <c r="A10234" t="str">
        <f t="shared" si="1"/>
        <v>mus#1988</v>
      </c>
      <c r="B10234" t="str">
        <f>IFERROR(__xludf.DUMMYFUNCTION("""COMPUTED_VALUE"""),"mus")</f>
        <v>mus</v>
      </c>
      <c r="C10234" t="str">
        <f>IFERROR(__xludf.DUMMYFUNCTION("""COMPUTED_VALUE"""),"Mauritius")</f>
        <v>Mauritius</v>
      </c>
      <c r="D10234">
        <f>IFERROR(__xludf.DUMMYFUNCTION("""COMPUTED_VALUE"""),1988.0)</f>
        <v>1988</v>
      </c>
      <c r="E10234">
        <f>IFERROR(__xludf.DUMMYFUNCTION("""COMPUTED_VALUE"""),1037260.0)</f>
        <v>1037260</v>
      </c>
    </row>
    <row r="10235">
      <c r="A10235" t="str">
        <f t="shared" si="1"/>
        <v>mus#1989</v>
      </c>
      <c r="B10235" t="str">
        <f>IFERROR(__xludf.DUMMYFUNCTION("""COMPUTED_VALUE"""),"mus")</f>
        <v>mus</v>
      </c>
      <c r="C10235" t="str">
        <f>IFERROR(__xludf.DUMMYFUNCTION("""COMPUTED_VALUE"""),"Mauritius")</f>
        <v>Mauritius</v>
      </c>
      <c r="D10235">
        <f>IFERROR(__xludf.DUMMYFUNCTION("""COMPUTED_VALUE"""),1989.0)</f>
        <v>1989</v>
      </c>
      <c r="E10235">
        <f>IFERROR(__xludf.DUMMYFUNCTION("""COMPUTED_VALUE"""),1045592.0)</f>
        <v>1045592</v>
      </c>
    </row>
    <row r="10236">
      <c r="A10236" t="str">
        <f t="shared" si="1"/>
        <v>mus#1990</v>
      </c>
      <c r="B10236" t="str">
        <f>IFERROR(__xludf.DUMMYFUNCTION("""COMPUTED_VALUE"""),"mus")</f>
        <v>mus</v>
      </c>
      <c r="C10236" t="str">
        <f>IFERROR(__xludf.DUMMYFUNCTION("""COMPUTED_VALUE"""),"Mauritius")</f>
        <v>Mauritius</v>
      </c>
      <c r="D10236">
        <f>IFERROR(__xludf.DUMMYFUNCTION("""COMPUTED_VALUE"""),1990.0)</f>
        <v>1990</v>
      </c>
      <c r="E10236">
        <f>IFERROR(__xludf.DUMMYFUNCTION("""COMPUTED_VALUE"""),1055868.0)</f>
        <v>1055868</v>
      </c>
    </row>
    <row r="10237">
      <c r="A10237" t="str">
        <f t="shared" si="1"/>
        <v>mus#1991</v>
      </c>
      <c r="B10237" t="str">
        <f>IFERROR(__xludf.DUMMYFUNCTION("""COMPUTED_VALUE"""),"mus")</f>
        <v>mus</v>
      </c>
      <c r="C10237" t="str">
        <f>IFERROR(__xludf.DUMMYFUNCTION("""COMPUTED_VALUE"""),"Mauritius")</f>
        <v>Mauritius</v>
      </c>
      <c r="D10237">
        <f>IFERROR(__xludf.DUMMYFUNCTION("""COMPUTED_VALUE"""),1991.0)</f>
        <v>1991</v>
      </c>
      <c r="E10237">
        <f>IFERROR(__xludf.DUMMYFUNCTION("""COMPUTED_VALUE"""),1068439.0)</f>
        <v>1068439</v>
      </c>
    </row>
    <row r="10238">
      <c r="A10238" t="str">
        <f t="shared" si="1"/>
        <v>mus#1992</v>
      </c>
      <c r="B10238" t="str">
        <f>IFERROR(__xludf.DUMMYFUNCTION("""COMPUTED_VALUE"""),"mus")</f>
        <v>mus</v>
      </c>
      <c r="C10238" t="str">
        <f>IFERROR(__xludf.DUMMYFUNCTION("""COMPUTED_VALUE"""),"Mauritius")</f>
        <v>Mauritius</v>
      </c>
      <c r="D10238">
        <f>IFERROR(__xludf.DUMMYFUNCTION("""COMPUTED_VALUE"""),1992.0)</f>
        <v>1992</v>
      </c>
      <c r="E10238">
        <f>IFERROR(__xludf.DUMMYFUNCTION("""COMPUTED_VALUE"""),1082956.0)</f>
        <v>1082956</v>
      </c>
    </row>
    <row r="10239">
      <c r="A10239" t="str">
        <f t="shared" si="1"/>
        <v>mus#1993</v>
      </c>
      <c r="B10239" t="str">
        <f>IFERROR(__xludf.DUMMYFUNCTION("""COMPUTED_VALUE"""),"mus")</f>
        <v>mus</v>
      </c>
      <c r="C10239" t="str">
        <f>IFERROR(__xludf.DUMMYFUNCTION("""COMPUTED_VALUE"""),"Mauritius")</f>
        <v>Mauritius</v>
      </c>
      <c r="D10239">
        <f>IFERROR(__xludf.DUMMYFUNCTION("""COMPUTED_VALUE"""),1993.0)</f>
        <v>1993</v>
      </c>
      <c r="E10239">
        <f>IFERROR(__xludf.DUMMYFUNCTION("""COMPUTED_VALUE"""),1098592.0)</f>
        <v>1098592</v>
      </c>
    </row>
    <row r="10240">
      <c r="A10240" t="str">
        <f t="shared" si="1"/>
        <v>mus#1994</v>
      </c>
      <c r="B10240" t="str">
        <f>IFERROR(__xludf.DUMMYFUNCTION("""COMPUTED_VALUE"""),"mus")</f>
        <v>mus</v>
      </c>
      <c r="C10240" t="str">
        <f>IFERROR(__xludf.DUMMYFUNCTION("""COMPUTED_VALUE"""),"Mauritius")</f>
        <v>Mauritius</v>
      </c>
      <c r="D10240">
        <f>IFERROR(__xludf.DUMMYFUNCTION("""COMPUTED_VALUE"""),1994.0)</f>
        <v>1994</v>
      </c>
      <c r="E10240">
        <f>IFERROR(__xludf.DUMMYFUNCTION("""COMPUTED_VALUE"""),1114137.0)</f>
        <v>1114137</v>
      </c>
    </row>
    <row r="10241">
      <c r="A10241" t="str">
        <f t="shared" si="1"/>
        <v>mus#1995</v>
      </c>
      <c r="B10241" t="str">
        <f>IFERROR(__xludf.DUMMYFUNCTION("""COMPUTED_VALUE"""),"mus")</f>
        <v>mus</v>
      </c>
      <c r="C10241" t="str">
        <f>IFERROR(__xludf.DUMMYFUNCTION("""COMPUTED_VALUE"""),"Mauritius")</f>
        <v>Mauritius</v>
      </c>
      <c r="D10241">
        <f>IFERROR(__xludf.DUMMYFUNCTION("""COMPUTED_VALUE"""),1995.0)</f>
        <v>1995</v>
      </c>
      <c r="E10241">
        <f>IFERROR(__xludf.DUMMYFUNCTION("""COMPUTED_VALUE"""),1128673.0)</f>
        <v>1128673</v>
      </c>
    </row>
    <row r="10242">
      <c r="A10242" t="str">
        <f t="shared" si="1"/>
        <v>mus#1996</v>
      </c>
      <c r="B10242" t="str">
        <f>IFERROR(__xludf.DUMMYFUNCTION("""COMPUTED_VALUE"""),"mus")</f>
        <v>mus</v>
      </c>
      <c r="C10242" t="str">
        <f>IFERROR(__xludf.DUMMYFUNCTION("""COMPUTED_VALUE"""),"Mauritius")</f>
        <v>Mauritius</v>
      </c>
      <c r="D10242">
        <f>IFERROR(__xludf.DUMMYFUNCTION("""COMPUTED_VALUE"""),1996.0)</f>
        <v>1996</v>
      </c>
      <c r="E10242">
        <f>IFERROR(__xludf.DUMMYFUNCTION("""COMPUTED_VALUE"""),1141948.0)</f>
        <v>1141948</v>
      </c>
    </row>
    <row r="10243">
      <c r="A10243" t="str">
        <f t="shared" si="1"/>
        <v>mus#1997</v>
      </c>
      <c r="B10243" t="str">
        <f>IFERROR(__xludf.DUMMYFUNCTION("""COMPUTED_VALUE"""),"mus")</f>
        <v>mus</v>
      </c>
      <c r="C10243" t="str">
        <f>IFERROR(__xludf.DUMMYFUNCTION("""COMPUTED_VALUE"""),"Mauritius")</f>
        <v>Mauritius</v>
      </c>
      <c r="D10243">
        <f>IFERROR(__xludf.DUMMYFUNCTION("""COMPUTED_VALUE"""),1997.0)</f>
        <v>1997</v>
      </c>
      <c r="E10243">
        <f>IFERROR(__xludf.DUMMYFUNCTION("""COMPUTED_VALUE"""),1154140.0)</f>
        <v>1154140</v>
      </c>
    </row>
    <row r="10244">
      <c r="A10244" t="str">
        <f t="shared" si="1"/>
        <v>mus#1998</v>
      </c>
      <c r="B10244" t="str">
        <f>IFERROR(__xludf.DUMMYFUNCTION("""COMPUTED_VALUE"""),"mus")</f>
        <v>mus</v>
      </c>
      <c r="C10244" t="str">
        <f>IFERROR(__xludf.DUMMYFUNCTION("""COMPUTED_VALUE"""),"Mauritius")</f>
        <v>Mauritius</v>
      </c>
      <c r="D10244">
        <f>IFERROR(__xludf.DUMMYFUNCTION("""COMPUTED_VALUE"""),1998.0)</f>
        <v>1998</v>
      </c>
      <c r="E10244">
        <f>IFERROR(__xludf.DUMMYFUNCTION("""COMPUTED_VALUE"""),1165283.0)</f>
        <v>1165283</v>
      </c>
    </row>
    <row r="10245">
      <c r="A10245" t="str">
        <f t="shared" si="1"/>
        <v>mus#1999</v>
      </c>
      <c r="B10245" t="str">
        <f>IFERROR(__xludf.DUMMYFUNCTION("""COMPUTED_VALUE"""),"mus")</f>
        <v>mus</v>
      </c>
      <c r="C10245" t="str">
        <f>IFERROR(__xludf.DUMMYFUNCTION("""COMPUTED_VALUE"""),"Mauritius")</f>
        <v>Mauritius</v>
      </c>
      <c r="D10245">
        <f>IFERROR(__xludf.DUMMYFUNCTION("""COMPUTED_VALUE"""),1999.0)</f>
        <v>1999</v>
      </c>
      <c r="E10245">
        <f>IFERROR(__xludf.DUMMYFUNCTION("""COMPUTED_VALUE"""),1175574.0)</f>
        <v>1175574</v>
      </c>
    </row>
    <row r="10246">
      <c r="A10246" t="str">
        <f t="shared" si="1"/>
        <v>mus#2000</v>
      </c>
      <c r="B10246" t="str">
        <f>IFERROR(__xludf.DUMMYFUNCTION("""COMPUTED_VALUE"""),"mus")</f>
        <v>mus</v>
      </c>
      <c r="C10246" t="str">
        <f>IFERROR(__xludf.DUMMYFUNCTION("""COMPUTED_VALUE"""),"Mauritius")</f>
        <v>Mauritius</v>
      </c>
      <c r="D10246">
        <f>IFERROR(__xludf.DUMMYFUNCTION("""COMPUTED_VALUE"""),2000.0)</f>
        <v>2000</v>
      </c>
      <c r="E10246">
        <f>IFERROR(__xludf.DUMMYFUNCTION("""COMPUTED_VALUE"""),1185145.0)</f>
        <v>1185145</v>
      </c>
    </row>
    <row r="10247">
      <c r="A10247" t="str">
        <f t="shared" si="1"/>
        <v>mus#2001</v>
      </c>
      <c r="B10247" t="str">
        <f>IFERROR(__xludf.DUMMYFUNCTION("""COMPUTED_VALUE"""),"mus")</f>
        <v>mus</v>
      </c>
      <c r="C10247" t="str">
        <f>IFERROR(__xludf.DUMMYFUNCTION("""COMPUTED_VALUE"""),"Mauritius")</f>
        <v>Mauritius</v>
      </c>
      <c r="D10247">
        <f>IFERROR(__xludf.DUMMYFUNCTION("""COMPUTED_VALUE"""),2001.0)</f>
        <v>2001</v>
      </c>
      <c r="E10247">
        <f>IFERROR(__xludf.DUMMYFUNCTION("""COMPUTED_VALUE"""),1193917.0)</f>
        <v>1193917</v>
      </c>
    </row>
    <row r="10248">
      <c r="A10248" t="str">
        <f t="shared" si="1"/>
        <v>mus#2002</v>
      </c>
      <c r="B10248" t="str">
        <f>IFERROR(__xludf.DUMMYFUNCTION("""COMPUTED_VALUE"""),"mus")</f>
        <v>mus</v>
      </c>
      <c r="C10248" t="str">
        <f>IFERROR(__xludf.DUMMYFUNCTION("""COMPUTED_VALUE"""),"Mauritius")</f>
        <v>Mauritius</v>
      </c>
      <c r="D10248">
        <f>IFERROR(__xludf.DUMMYFUNCTION("""COMPUTED_VALUE"""),2002.0)</f>
        <v>2002</v>
      </c>
      <c r="E10248">
        <f>IFERROR(__xludf.DUMMYFUNCTION("""COMPUTED_VALUE"""),1201812.0)</f>
        <v>1201812</v>
      </c>
    </row>
    <row r="10249">
      <c r="A10249" t="str">
        <f t="shared" si="1"/>
        <v>mus#2003</v>
      </c>
      <c r="B10249" t="str">
        <f>IFERROR(__xludf.DUMMYFUNCTION("""COMPUTED_VALUE"""),"mus")</f>
        <v>mus</v>
      </c>
      <c r="C10249" t="str">
        <f>IFERROR(__xludf.DUMMYFUNCTION("""COMPUTED_VALUE"""),"Mauritius")</f>
        <v>Mauritius</v>
      </c>
      <c r="D10249">
        <f>IFERROR(__xludf.DUMMYFUNCTION("""COMPUTED_VALUE"""),2003.0)</f>
        <v>2003</v>
      </c>
      <c r="E10249">
        <f>IFERROR(__xludf.DUMMYFUNCTION("""COMPUTED_VALUE"""),1208994.0)</f>
        <v>1208994</v>
      </c>
    </row>
    <row r="10250">
      <c r="A10250" t="str">
        <f t="shared" si="1"/>
        <v>mus#2004</v>
      </c>
      <c r="B10250" t="str">
        <f>IFERROR(__xludf.DUMMYFUNCTION("""COMPUTED_VALUE"""),"mus")</f>
        <v>mus</v>
      </c>
      <c r="C10250" t="str">
        <f>IFERROR(__xludf.DUMMYFUNCTION("""COMPUTED_VALUE"""),"Mauritius")</f>
        <v>Mauritius</v>
      </c>
      <c r="D10250">
        <f>IFERROR(__xludf.DUMMYFUNCTION("""COMPUTED_VALUE"""),2004.0)</f>
        <v>2004</v>
      </c>
      <c r="E10250">
        <f>IFERROR(__xludf.DUMMYFUNCTION("""COMPUTED_VALUE"""),1215677.0)</f>
        <v>1215677</v>
      </c>
    </row>
    <row r="10251">
      <c r="A10251" t="str">
        <f t="shared" si="1"/>
        <v>mus#2005</v>
      </c>
      <c r="B10251" t="str">
        <f>IFERROR(__xludf.DUMMYFUNCTION("""COMPUTED_VALUE"""),"mus")</f>
        <v>mus</v>
      </c>
      <c r="C10251" t="str">
        <f>IFERROR(__xludf.DUMMYFUNCTION("""COMPUTED_VALUE"""),"Mauritius")</f>
        <v>Mauritius</v>
      </c>
      <c r="D10251">
        <f>IFERROR(__xludf.DUMMYFUNCTION("""COMPUTED_VALUE"""),2005.0)</f>
        <v>2005</v>
      </c>
      <c r="E10251">
        <f>IFERROR(__xludf.DUMMYFUNCTION("""COMPUTED_VALUE"""),1222003.0)</f>
        <v>1222003</v>
      </c>
    </row>
    <row r="10252">
      <c r="A10252" t="str">
        <f t="shared" si="1"/>
        <v>mus#2006</v>
      </c>
      <c r="B10252" t="str">
        <f>IFERROR(__xludf.DUMMYFUNCTION("""COMPUTED_VALUE"""),"mus")</f>
        <v>mus</v>
      </c>
      <c r="C10252" t="str">
        <f>IFERROR(__xludf.DUMMYFUNCTION("""COMPUTED_VALUE"""),"Mauritius")</f>
        <v>Mauritius</v>
      </c>
      <c r="D10252">
        <f>IFERROR(__xludf.DUMMYFUNCTION("""COMPUTED_VALUE"""),2006.0)</f>
        <v>2006</v>
      </c>
      <c r="E10252">
        <f>IFERROR(__xludf.DUMMYFUNCTION("""COMPUTED_VALUE"""),1228098.0)</f>
        <v>1228098</v>
      </c>
    </row>
    <row r="10253">
      <c r="A10253" t="str">
        <f t="shared" si="1"/>
        <v>mus#2007</v>
      </c>
      <c r="B10253" t="str">
        <f>IFERROR(__xludf.DUMMYFUNCTION("""COMPUTED_VALUE"""),"mus")</f>
        <v>mus</v>
      </c>
      <c r="C10253" t="str">
        <f>IFERROR(__xludf.DUMMYFUNCTION("""COMPUTED_VALUE"""),"Mauritius")</f>
        <v>Mauritius</v>
      </c>
      <c r="D10253">
        <f>IFERROR(__xludf.DUMMYFUNCTION("""COMPUTED_VALUE"""),2007.0)</f>
        <v>2007</v>
      </c>
      <c r="E10253">
        <f>IFERROR(__xludf.DUMMYFUNCTION("""COMPUTED_VALUE"""),1233911.0)</f>
        <v>1233911</v>
      </c>
    </row>
    <row r="10254">
      <c r="A10254" t="str">
        <f t="shared" si="1"/>
        <v>mus#2008</v>
      </c>
      <c r="B10254" t="str">
        <f>IFERROR(__xludf.DUMMYFUNCTION("""COMPUTED_VALUE"""),"mus")</f>
        <v>mus</v>
      </c>
      <c r="C10254" t="str">
        <f>IFERROR(__xludf.DUMMYFUNCTION("""COMPUTED_VALUE"""),"Mauritius")</f>
        <v>Mauritius</v>
      </c>
      <c r="D10254">
        <f>IFERROR(__xludf.DUMMYFUNCTION("""COMPUTED_VALUE"""),2008.0)</f>
        <v>2008</v>
      </c>
      <c r="E10254">
        <f>IFERROR(__xludf.DUMMYFUNCTION("""COMPUTED_VALUE"""),1239293.0)</f>
        <v>1239293</v>
      </c>
    </row>
    <row r="10255">
      <c r="A10255" t="str">
        <f t="shared" si="1"/>
        <v>mus#2009</v>
      </c>
      <c r="B10255" t="str">
        <f>IFERROR(__xludf.DUMMYFUNCTION("""COMPUTED_VALUE"""),"mus")</f>
        <v>mus</v>
      </c>
      <c r="C10255" t="str">
        <f>IFERROR(__xludf.DUMMYFUNCTION("""COMPUTED_VALUE"""),"Mauritius")</f>
        <v>Mauritius</v>
      </c>
      <c r="D10255">
        <f>IFERROR(__xludf.DUMMYFUNCTION("""COMPUTED_VALUE"""),2009.0)</f>
        <v>2009</v>
      </c>
      <c r="E10255">
        <f>IFERROR(__xludf.DUMMYFUNCTION("""COMPUTED_VALUE"""),1244024.0)</f>
        <v>1244024</v>
      </c>
    </row>
    <row r="10256">
      <c r="A10256" t="str">
        <f t="shared" si="1"/>
        <v>mus#2010</v>
      </c>
      <c r="B10256" t="str">
        <f>IFERROR(__xludf.DUMMYFUNCTION("""COMPUTED_VALUE"""),"mus")</f>
        <v>mus</v>
      </c>
      <c r="C10256" t="str">
        <f>IFERROR(__xludf.DUMMYFUNCTION("""COMPUTED_VALUE"""),"Mauritius")</f>
        <v>Mauritius</v>
      </c>
      <c r="D10256">
        <f>IFERROR(__xludf.DUMMYFUNCTION("""COMPUTED_VALUE"""),2010.0)</f>
        <v>2010</v>
      </c>
      <c r="E10256">
        <f>IFERROR(__xludf.DUMMYFUNCTION("""COMPUTED_VALUE"""),1247955.0)</f>
        <v>1247955</v>
      </c>
    </row>
    <row r="10257">
      <c r="A10257" t="str">
        <f t="shared" si="1"/>
        <v>mus#2011</v>
      </c>
      <c r="B10257" t="str">
        <f>IFERROR(__xludf.DUMMYFUNCTION("""COMPUTED_VALUE"""),"mus")</f>
        <v>mus</v>
      </c>
      <c r="C10257" t="str">
        <f>IFERROR(__xludf.DUMMYFUNCTION("""COMPUTED_VALUE"""),"Mauritius")</f>
        <v>Mauritius</v>
      </c>
      <c r="D10257">
        <f>IFERROR(__xludf.DUMMYFUNCTION("""COMPUTED_VALUE"""),2011.0)</f>
        <v>2011</v>
      </c>
      <c r="E10257">
        <f>IFERROR(__xludf.DUMMYFUNCTION("""COMPUTED_VALUE"""),1251023.0)</f>
        <v>1251023</v>
      </c>
    </row>
    <row r="10258">
      <c r="A10258" t="str">
        <f t="shared" si="1"/>
        <v>mus#2012</v>
      </c>
      <c r="B10258" t="str">
        <f>IFERROR(__xludf.DUMMYFUNCTION("""COMPUTED_VALUE"""),"mus")</f>
        <v>mus</v>
      </c>
      <c r="C10258" t="str">
        <f>IFERROR(__xludf.DUMMYFUNCTION("""COMPUTED_VALUE"""),"Mauritius")</f>
        <v>Mauritius</v>
      </c>
      <c r="D10258">
        <f>IFERROR(__xludf.DUMMYFUNCTION("""COMPUTED_VALUE"""),2012.0)</f>
        <v>2012</v>
      </c>
      <c r="E10258">
        <f>IFERROR(__xludf.DUMMYFUNCTION("""COMPUTED_VALUE"""),1253371.0)</f>
        <v>1253371</v>
      </c>
    </row>
    <row r="10259">
      <c r="A10259" t="str">
        <f t="shared" si="1"/>
        <v>mus#2013</v>
      </c>
      <c r="B10259" t="str">
        <f>IFERROR(__xludf.DUMMYFUNCTION("""COMPUTED_VALUE"""),"mus")</f>
        <v>mus</v>
      </c>
      <c r="C10259" t="str">
        <f>IFERROR(__xludf.DUMMYFUNCTION("""COMPUTED_VALUE"""),"Mauritius")</f>
        <v>Mauritius</v>
      </c>
      <c r="D10259">
        <f>IFERROR(__xludf.DUMMYFUNCTION("""COMPUTED_VALUE"""),2013.0)</f>
        <v>2013</v>
      </c>
      <c r="E10259">
        <f>IFERROR(__xludf.DUMMYFUNCTION("""COMPUTED_VALUE"""),1255290.0)</f>
        <v>1255290</v>
      </c>
    </row>
    <row r="10260">
      <c r="A10260" t="str">
        <f t="shared" si="1"/>
        <v>mus#2014</v>
      </c>
      <c r="B10260" t="str">
        <f>IFERROR(__xludf.DUMMYFUNCTION("""COMPUTED_VALUE"""),"mus")</f>
        <v>mus</v>
      </c>
      <c r="C10260" t="str">
        <f>IFERROR(__xludf.DUMMYFUNCTION("""COMPUTED_VALUE"""),"Mauritius")</f>
        <v>Mauritius</v>
      </c>
      <c r="D10260">
        <f>IFERROR(__xludf.DUMMYFUNCTION("""COMPUTED_VALUE"""),2014.0)</f>
        <v>2014</v>
      </c>
      <c r="E10260">
        <f>IFERROR(__xludf.DUMMYFUNCTION("""COMPUTED_VALUE"""),1257219.0)</f>
        <v>1257219</v>
      </c>
    </row>
    <row r="10261">
      <c r="A10261" t="str">
        <f t="shared" si="1"/>
        <v>mus#2015</v>
      </c>
      <c r="B10261" t="str">
        <f>IFERROR(__xludf.DUMMYFUNCTION("""COMPUTED_VALUE"""),"mus")</f>
        <v>mus</v>
      </c>
      <c r="C10261" t="str">
        <f>IFERROR(__xludf.DUMMYFUNCTION("""COMPUTED_VALUE"""),"Mauritius")</f>
        <v>Mauritius</v>
      </c>
      <c r="D10261">
        <f>IFERROR(__xludf.DUMMYFUNCTION("""COMPUTED_VALUE"""),2015.0)</f>
        <v>2015</v>
      </c>
      <c r="E10261">
        <f>IFERROR(__xludf.DUMMYFUNCTION("""COMPUTED_VALUE"""),1259456.0)</f>
        <v>1259456</v>
      </c>
    </row>
    <row r="10262">
      <c r="A10262" t="str">
        <f t="shared" si="1"/>
        <v>mus#2016</v>
      </c>
      <c r="B10262" t="str">
        <f>IFERROR(__xludf.DUMMYFUNCTION("""COMPUTED_VALUE"""),"mus")</f>
        <v>mus</v>
      </c>
      <c r="C10262" t="str">
        <f>IFERROR(__xludf.DUMMYFUNCTION("""COMPUTED_VALUE"""),"Mauritius")</f>
        <v>Mauritius</v>
      </c>
      <c r="D10262">
        <f>IFERROR(__xludf.DUMMYFUNCTION("""COMPUTED_VALUE"""),2016.0)</f>
        <v>2016</v>
      </c>
      <c r="E10262">
        <f>IFERROR(__xludf.DUMMYFUNCTION("""COMPUTED_VALUE"""),1262132.0)</f>
        <v>1262132</v>
      </c>
    </row>
    <row r="10263">
      <c r="A10263" t="str">
        <f t="shared" si="1"/>
        <v>mus#2017</v>
      </c>
      <c r="B10263" t="str">
        <f>IFERROR(__xludf.DUMMYFUNCTION("""COMPUTED_VALUE"""),"mus")</f>
        <v>mus</v>
      </c>
      <c r="C10263" t="str">
        <f>IFERROR(__xludf.DUMMYFUNCTION("""COMPUTED_VALUE"""),"Mauritius")</f>
        <v>Mauritius</v>
      </c>
      <c r="D10263">
        <f>IFERROR(__xludf.DUMMYFUNCTION("""COMPUTED_VALUE"""),2017.0)</f>
        <v>2017</v>
      </c>
      <c r="E10263">
        <f>IFERROR(__xludf.DUMMYFUNCTION("""COMPUTED_VALUE"""),1265138.0)</f>
        <v>1265138</v>
      </c>
    </row>
    <row r="10264">
      <c r="A10264" t="str">
        <f t="shared" si="1"/>
        <v>mus#2018</v>
      </c>
      <c r="B10264" t="str">
        <f>IFERROR(__xludf.DUMMYFUNCTION("""COMPUTED_VALUE"""),"mus")</f>
        <v>mus</v>
      </c>
      <c r="C10264" t="str">
        <f>IFERROR(__xludf.DUMMYFUNCTION("""COMPUTED_VALUE"""),"Mauritius")</f>
        <v>Mauritius</v>
      </c>
      <c r="D10264">
        <f>IFERROR(__xludf.DUMMYFUNCTION("""COMPUTED_VALUE"""),2018.0)</f>
        <v>2018</v>
      </c>
      <c r="E10264">
        <f>IFERROR(__xludf.DUMMYFUNCTION("""COMPUTED_VALUE"""),1268315.0)</f>
        <v>1268315</v>
      </c>
    </row>
    <row r="10265">
      <c r="A10265" t="str">
        <f t="shared" si="1"/>
        <v>mus#2019</v>
      </c>
      <c r="B10265" t="str">
        <f>IFERROR(__xludf.DUMMYFUNCTION("""COMPUTED_VALUE"""),"mus")</f>
        <v>mus</v>
      </c>
      <c r="C10265" t="str">
        <f>IFERROR(__xludf.DUMMYFUNCTION("""COMPUTED_VALUE"""),"Mauritius")</f>
        <v>Mauritius</v>
      </c>
      <c r="D10265">
        <f>IFERROR(__xludf.DUMMYFUNCTION("""COMPUTED_VALUE"""),2019.0)</f>
        <v>2019</v>
      </c>
      <c r="E10265">
        <f>IFERROR(__xludf.DUMMYFUNCTION("""COMPUTED_VALUE"""),1271368.0)</f>
        <v>1271368</v>
      </c>
    </row>
    <row r="10266">
      <c r="A10266" t="str">
        <f t="shared" si="1"/>
        <v>mus#2020</v>
      </c>
      <c r="B10266" t="str">
        <f>IFERROR(__xludf.DUMMYFUNCTION("""COMPUTED_VALUE"""),"mus")</f>
        <v>mus</v>
      </c>
      <c r="C10266" t="str">
        <f>IFERROR(__xludf.DUMMYFUNCTION("""COMPUTED_VALUE"""),"Mauritius")</f>
        <v>Mauritius</v>
      </c>
      <c r="D10266">
        <f>IFERROR(__xludf.DUMMYFUNCTION("""COMPUTED_VALUE"""),2020.0)</f>
        <v>2020</v>
      </c>
      <c r="E10266">
        <f>IFERROR(__xludf.DUMMYFUNCTION("""COMPUTED_VALUE"""),1274114.0)</f>
        <v>1274114</v>
      </c>
    </row>
    <row r="10267">
      <c r="A10267" t="str">
        <f t="shared" si="1"/>
        <v>mus#2021</v>
      </c>
      <c r="B10267" t="str">
        <f>IFERROR(__xludf.DUMMYFUNCTION("""COMPUTED_VALUE"""),"mus")</f>
        <v>mus</v>
      </c>
      <c r="C10267" t="str">
        <f>IFERROR(__xludf.DUMMYFUNCTION("""COMPUTED_VALUE"""),"Mauritius")</f>
        <v>Mauritius</v>
      </c>
      <c r="D10267">
        <f>IFERROR(__xludf.DUMMYFUNCTION("""COMPUTED_VALUE"""),2021.0)</f>
        <v>2021</v>
      </c>
      <c r="E10267">
        <f>IFERROR(__xludf.DUMMYFUNCTION("""COMPUTED_VALUE"""),1276475.0)</f>
        <v>1276475</v>
      </c>
    </row>
    <row r="10268">
      <c r="A10268" t="str">
        <f t="shared" si="1"/>
        <v>mus#2022</v>
      </c>
      <c r="B10268" t="str">
        <f>IFERROR(__xludf.DUMMYFUNCTION("""COMPUTED_VALUE"""),"mus")</f>
        <v>mus</v>
      </c>
      <c r="C10268" t="str">
        <f>IFERROR(__xludf.DUMMYFUNCTION("""COMPUTED_VALUE"""),"Mauritius")</f>
        <v>Mauritius</v>
      </c>
      <c r="D10268">
        <f>IFERROR(__xludf.DUMMYFUNCTION("""COMPUTED_VALUE"""),2022.0)</f>
        <v>2022</v>
      </c>
      <c r="E10268">
        <f>IFERROR(__xludf.DUMMYFUNCTION("""COMPUTED_VALUE"""),1278528.0)</f>
        <v>1278528</v>
      </c>
    </row>
    <row r="10269">
      <c r="A10269" t="str">
        <f t="shared" si="1"/>
        <v>mus#2023</v>
      </c>
      <c r="B10269" t="str">
        <f>IFERROR(__xludf.DUMMYFUNCTION("""COMPUTED_VALUE"""),"mus")</f>
        <v>mus</v>
      </c>
      <c r="C10269" t="str">
        <f>IFERROR(__xludf.DUMMYFUNCTION("""COMPUTED_VALUE"""),"Mauritius")</f>
        <v>Mauritius</v>
      </c>
      <c r="D10269">
        <f>IFERROR(__xludf.DUMMYFUNCTION("""COMPUTED_VALUE"""),2023.0)</f>
        <v>2023</v>
      </c>
      <c r="E10269">
        <f>IFERROR(__xludf.DUMMYFUNCTION("""COMPUTED_VALUE"""),1280313.0)</f>
        <v>1280313</v>
      </c>
    </row>
    <row r="10270">
      <c r="A10270" t="str">
        <f t="shared" si="1"/>
        <v>mus#2024</v>
      </c>
      <c r="B10270" t="str">
        <f>IFERROR(__xludf.DUMMYFUNCTION("""COMPUTED_VALUE"""),"mus")</f>
        <v>mus</v>
      </c>
      <c r="C10270" t="str">
        <f>IFERROR(__xludf.DUMMYFUNCTION("""COMPUTED_VALUE"""),"Mauritius")</f>
        <v>Mauritius</v>
      </c>
      <c r="D10270">
        <f>IFERROR(__xludf.DUMMYFUNCTION("""COMPUTED_VALUE"""),2024.0)</f>
        <v>2024</v>
      </c>
      <c r="E10270">
        <f>IFERROR(__xludf.DUMMYFUNCTION("""COMPUTED_VALUE"""),1281882.0)</f>
        <v>1281882</v>
      </c>
    </row>
    <row r="10271">
      <c r="A10271" t="str">
        <f t="shared" si="1"/>
        <v>mus#2025</v>
      </c>
      <c r="B10271" t="str">
        <f>IFERROR(__xludf.DUMMYFUNCTION("""COMPUTED_VALUE"""),"mus")</f>
        <v>mus</v>
      </c>
      <c r="C10271" t="str">
        <f>IFERROR(__xludf.DUMMYFUNCTION("""COMPUTED_VALUE"""),"Mauritius")</f>
        <v>Mauritius</v>
      </c>
      <c r="D10271">
        <f>IFERROR(__xludf.DUMMYFUNCTION("""COMPUTED_VALUE"""),2025.0)</f>
        <v>2025</v>
      </c>
      <c r="E10271">
        <f>IFERROR(__xludf.DUMMYFUNCTION("""COMPUTED_VALUE"""),1283273.0)</f>
        <v>1283273</v>
      </c>
    </row>
    <row r="10272">
      <c r="A10272" t="str">
        <f t="shared" si="1"/>
        <v>mus#2026</v>
      </c>
      <c r="B10272" t="str">
        <f>IFERROR(__xludf.DUMMYFUNCTION("""COMPUTED_VALUE"""),"mus")</f>
        <v>mus</v>
      </c>
      <c r="C10272" t="str">
        <f>IFERROR(__xludf.DUMMYFUNCTION("""COMPUTED_VALUE"""),"Mauritius")</f>
        <v>Mauritius</v>
      </c>
      <c r="D10272">
        <f>IFERROR(__xludf.DUMMYFUNCTION("""COMPUTED_VALUE"""),2026.0)</f>
        <v>2026</v>
      </c>
      <c r="E10272">
        <f>IFERROR(__xludf.DUMMYFUNCTION("""COMPUTED_VALUE"""),1284502.0)</f>
        <v>1284502</v>
      </c>
    </row>
    <row r="10273">
      <c r="A10273" t="str">
        <f t="shared" si="1"/>
        <v>mus#2027</v>
      </c>
      <c r="B10273" t="str">
        <f>IFERROR(__xludf.DUMMYFUNCTION("""COMPUTED_VALUE"""),"mus")</f>
        <v>mus</v>
      </c>
      <c r="C10273" t="str">
        <f>IFERROR(__xludf.DUMMYFUNCTION("""COMPUTED_VALUE"""),"Mauritius")</f>
        <v>Mauritius</v>
      </c>
      <c r="D10273">
        <f>IFERROR(__xludf.DUMMYFUNCTION("""COMPUTED_VALUE"""),2027.0)</f>
        <v>2027</v>
      </c>
      <c r="E10273">
        <f>IFERROR(__xludf.DUMMYFUNCTION("""COMPUTED_VALUE"""),1285507.0)</f>
        <v>1285507</v>
      </c>
    </row>
    <row r="10274">
      <c r="A10274" t="str">
        <f t="shared" si="1"/>
        <v>mus#2028</v>
      </c>
      <c r="B10274" t="str">
        <f>IFERROR(__xludf.DUMMYFUNCTION("""COMPUTED_VALUE"""),"mus")</f>
        <v>mus</v>
      </c>
      <c r="C10274" t="str">
        <f>IFERROR(__xludf.DUMMYFUNCTION("""COMPUTED_VALUE"""),"Mauritius")</f>
        <v>Mauritius</v>
      </c>
      <c r="D10274">
        <f>IFERROR(__xludf.DUMMYFUNCTION("""COMPUTED_VALUE"""),2028.0)</f>
        <v>2028</v>
      </c>
      <c r="E10274">
        <f>IFERROR(__xludf.DUMMYFUNCTION("""COMPUTED_VALUE"""),1286275.0)</f>
        <v>1286275</v>
      </c>
    </row>
    <row r="10275">
      <c r="A10275" t="str">
        <f t="shared" si="1"/>
        <v>mus#2029</v>
      </c>
      <c r="B10275" t="str">
        <f>IFERROR(__xludf.DUMMYFUNCTION("""COMPUTED_VALUE"""),"mus")</f>
        <v>mus</v>
      </c>
      <c r="C10275" t="str">
        <f>IFERROR(__xludf.DUMMYFUNCTION("""COMPUTED_VALUE"""),"Mauritius")</f>
        <v>Mauritius</v>
      </c>
      <c r="D10275">
        <f>IFERROR(__xludf.DUMMYFUNCTION("""COMPUTED_VALUE"""),2029.0)</f>
        <v>2029</v>
      </c>
      <c r="E10275">
        <f>IFERROR(__xludf.DUMMYFUNCTION("""COMPUTED_VALUE"""),1286760.0)</f>
        <v>1286760</v>
      </c>
    </row>
    <row r="10276">
      <c r="A10276" t="str">
        <f t="shared" si="1"/>
        <v>mus#2030</v>
      </c>
      <c r="B10276" t="str">
        <f>IFERROR(__xludf.DUMMYFUNCTION("""COMPUTED_VALUE"""),"mus")</f>
        <v>mus</v>
      </c>
      <c r="C10276" t="str">
        <f>IFERROR(__xludf.DUMMYFUNCTION("""COMPUTED_VALUE"""),"Mauritius")</f>
        <v>Mauritius</v>
      </c>
      <c r="D10276">
        <f>IFERROR(__xludf.DUMMYFUNCTION("""COMPUTED_VALUE"""),2030.0)</f>
        <v>2030</v>
      </c>
      <c r="E10276">
        <f>IFERROR(__xludf.DUMMYFUNCTION("""COMPUTED_VALUE"""),1286934.0)</f>
        <v>1286934</v>
      </c>
    </row>
    <row r="10277">
      <c r="A10277" t="str">
        <f t="shared" si="1"/>
        <v>mus#2031</v>
      </c>
      <c r="B10277" t="str">
        <f>IFERROR(__xludf.DUMMYFUNCTION("""COMPUTED_VALUE"""),"mus")</f>
        <v>mus</v>
      </c>
      <c r="C10277" t="str">
        <f>IFERROR(__xludf.DUMMYFUNCTION("""COMPUTED_VALUE"""),"Mauritius")</f>
        <v>Mauritius</v>
      </c>
      <c r="D10277">
        <f>IFERROR(__xludf.DUMMYFUNCTION("""COMPUTED_VALUE"""),2031.0)</f>
        <v>2031</v>
      </c>
      <c r="E10277">
        <f>IFERROR(__xludf.DUMMYFUNCTION("""COMPUTED_VALUE"""),1286778.0)</f>
        <v>1286778</v>
      </c>
    </row>
    <row r="10278">
      <c r="A10278" t="str">
        <f t="shared" si="1"/>
        <v>mus#2032</v>
      </c>
      <c r="B10278" t="str">
        <f>IFERROR(__xludf.DUMMYFUNCTION("""COMPUTED_VALUE"""),"mus")</f>
        <v>mus</v>
      </c>
      <c r="C10278" t="str">
        <f>IFERROR(__xludf.DUMMYFUNCTION("""COMPUTED_VALUE"""),"Mauritius")</f>
        <v>Mauritius</v>
      </c>
      <c r="D10278">
        <f>IFERROR(__xludf.DUMMYFUNCTION("""COMPUTED_VALUE"""),2032.0)</f>
        <v>2032</v>
      </c>
      <c r="E10278">
        <f>IFERROR(__xludf.DUMMYFUNCTION("""COMPUTED_VALUE"""),1286302.0)</f>
        <v>1286302</v>
      </c>
    </row>
    <row r="10279">
      <c r="A10279" t="str">
        <f t="shared" si="1"/>
        <v>mus#2033</v>
      </c>
      <c r="B10279" t="str">
        <f>IFERROR(__xludf.DUMMYFUNCTION("""COMPUTED_VALUE"""),"mus")</f>
        <v>mus</v>
      </c>
      <c r="C10279" t="str">
        <f>IFERROR(__xludf.DUMMYFUNCTION("""COMPUTED_VALUE"""),"Mauritius")</f>
        <v>Mauritius</v>
      </c>
      <c r="D10279">
        <f>IFERROR(__xludf.DUMMYFUNCTION("""COMPUTED_VALUE"""),2033.0)</f>
        <v>2033</v>
      </c>
      <c r="E10279">
        <f>IFERROR(__xludf.DUMMYFUNCTION("""COMPUTED_VALUE"""),1285475.0)</f>
        <v>1285475</v>
      </c>
    </row>
    <row r="10280">
      <c r="A10280" t="str">
        <f t="shared" si="1"/>
        <v>mus#2034</v>
      </c>
      <c r="B10280" t="str">
        <f>IFERROR(__xludf.DUMMYFUNCTION("""COMPUTED_VALUE"""),"mus")</f>
        <v>mus</v>
      </c>
      <c r="C10280" t="str">
        <f>IFERROR(__xludf.DUMMYFUNCTION("""COMPUTED_VALUE"""),"Mauritius")</f>
        <v>Mauritius</v>
      </c>
      <c r="D10280">
        <f>IFERROR(__xludf.DUMMYFUNCTION("""COMPUTED_VALUE"""),2034.0)</f>
        <v>2034</v>
      </c>
      <c r="E10280">
        <f>IFERROR(__xludf.DUMMYFUNCTION("""COMPUTED_VALUE"""),1284273.0)</f>
        <v>1284273</v>
      </c>
    </row>
    <row r="10281">
      <c r="A10281" t="str">
        <f t="shared" si="1"/>
        <v>mus#2035</v>
      </c>
      <c r="B10281" t="str">
        <f>IFERROR(__xludf.DUMMYFUNCTION("""COMPUTED_VALUE"""),"mus")</f>
        <v>mus</v>
      </c>
      <c r="C10281" t="str">
        <f>IFERROR(__xludf.DUMMYFUNCTION("""COMPUTED_VALUE"""),"Mauritius")</f>
        <v>Mauritius</v>
      </c>
      <c r="D10281">
        <f>IFERROR(__xludf.DUMMYFUNCTION("""COMPUTED_VALUE"""),2035.0)</f>
        <v>2035</v>
      </c>
      <c r="E10281">
        <f>IFERROR(__xludf.DUMMYFUNCTION("""COMPUTED_VALUE"""),1282701.0)</f>
        <v>1282701</v>
      </c>
    </row>
    <row r="10282">
      <c r="A10282" t="str">
        <f t="shared" si="1"/>
        <v>mus#2036</v>
      </c>
      <c r="B10282" t="str">
        <f>IFERROR(__xludf.DUMMYFUNCTION("""COMPUTED_VALUE"""),"mus")</f>
        <v>mus</v>
      </c>
      <c r="C10282" t="str">
        <f>IFERROR(__xludf.DUMMYFUNCTION("""COMPUTED_VALUE"""),"Mauritius")</f>
        <v>Mauritius</v>
      </c>
      <c r="D10282">
        <f>IFERROR(__xludf.DUMMYFUNCTION("""COMPUTED_VALUE"""),2036.0)</f>
        <v>2036</v>
      </c>
      <c r="E10282">
        <f>IFERROR(__xludf.DUMMYFUNCTION("""COMPUTED_VALUE"""),1280740.0)</f>
        <v>1280740</v>
      </c>
    </row>
    <row r="10283">
      <c r="A10283" t="str">
        <f t="shared" si="1"/>
        <v>mus#2037</v>
      </c>
      <c r="B10283" t="str">
        <f>IFERROR(__xludf.DUMMYFUNCTION("""COMPUTED_VALUE"""),"mus")</f>
        <v>mus</v>
      </c>
      <c r="C10283" t="str">
        <f>IFERROR(__xludf.DUMMYFUNCTION("""COMPUTED_VALUE"""),"Mauritius")</f>
        <v>Mauritius</v>
      </c>
      <c r="D10283">
        <f>IFERROR(__xludf.DUMMYFUNCTION("""COMPUTED_VALUE"""),2037.0)</f>
        <v>2037</v>
      </c>
      <c r="E10283">
        <f>IFERROR(__xludf.DUMMYFUNCTION("""COMPUTED_VALUE"""),1278396.0)</f>
        <v>1278396</v>
      </c>
    </row>
    <row r="10284">
      <c r="A10284" t="str">
        <f t="shared" si="1"/>
        <v>mus#2038</v>
      </c>
      <c r="B10284" t="str">
        <f>IFERROR(__xludf.DUMMYFUNCTION("""COMPUTED_VALUE"""),"mus")</f>
        <v>mus</v>
      </c>
      <c r="C10284" t="str">
        <f>IFERROR(__xludf.DUMMYFUNCTION("""COMPUTED_VALUE"""),"Mauritius")</f>
        <v>Mauritius</v>
      </c>
      <c r="D10284">
        <f>IFERROR(__xludf.DUMMYFUNCTION("""COMPUTED_VALUE"""),2038.0)</f>
        <v>2038</v>
      </c>
      <c r="E10284">
        <f>IFERROR(__xludf.DUMMYFUNCTION("""COMPUTED_VALUE"""),1275684.0)</f>
        <v>1275684</v>
      </c>
    </row>
    <row r="10285">
      <c r="A10285" t="str">
        <f t="shared" si="1"/>
        <v>mus#2039</v>
      </c>
      <c r="B10285" t="str">
        <f>IFERROR(__xludf.DUMMYFUNCTION("""COMPUTED_VALUE"""),"mus")</f>
        <v>mus</v>
      </c>
      <c r="C10285" t="str">
        <f>IFERROR(__xludf.DUMMYFUNCTION("""COMPUTED_VALUE"""),"Mauritius")</f>
        <v>Mauritius</v>
      </c>
      <c r="D10285">
        <f>IFERROR(__xludf.DUMMYFUNCTION("""COMPUTED_VALUE"""),2039.0)</f>
        <v>2039</v>
      </c>
      <c r="E10285">
        <f>IFERROR(__xludf.DUMMYFUNCTION("""COMPUTED_VALUE"""),1272612.0)</f>
        <v>1272612</v>
      </c>
    </row>
    <row r="10286">
      <c r="A10286" t="str">
        <f t="shared" si="1"/>
        <v>mus#2040</v>
      </c>
      <c r="B10286" t="str">
        <f>IFERROR(__xludf.DUMMYFUNCTION("""COMPUTED_VALUE"""),"mus")</f>
        <v>mus</v>
      </c>
      <c r="C10286" t="str">
        <f>IFERROR(__xludf.DUMMYFUNCTION("""COMPUTED_VALUE"""),"Mauritius")</f>
        <v>Mauritius</v>
      </c>
      <c r="D10286">
        <f>IFERROR(__xludf.DUMMYFUNCTION("""COMPUTED_VALUE"""),2040.0)</f>
        <v>2040</v>
      </c>
      <c r="E10286">
        <f>IFERROR(__xludf.DUMMYFUNCTION("""COMPUTED_VALUE"""),1269200.0)</f>
        <v>1269200</v>
      </c>
    </row>
    <row r="10287">
      <c r="A10287" t="str">
        <f t="shared" si="1"/>
        <v>mex#1950</v>
      </c>
      <c r="B10287" t="str">
        <f>IFERROR(__xludf.DUMMYFUNCTION("""COMPUTED_VALUE"""),"mex")</f>
        <v>mex</v>
      </c>
      <c r="C10287" t="str">
        <f>IFERROR(__xludf.DUMMYFUNCTION("""COMPUTED_VALUE"""),"Mexico")</f>
        <v>Mexico</v>
      </c>
      <c r="D10287">
        <f>IFERROR(__xludf.DUMMYFUNCTION("""COMPUTED_VALUE"""),1950.0)</f>
        <v>1950</v>
      </c>
      <c r="E10287">
        <f>IFERROR(__xludf.DUMMYFUNCTION("""COMPUTED_VALUE"""),2.8012561E7)</f>
        <v>28012561</v>
      </c>
    </row>
    <row r="10288">
      <c r="A10288" t="str">
        <f t="shared" si="1"/>
        <v>mex#1951</v>
      </c>
      <c r="B10288" t="str">
        <f>IFERROR(__xludf.DUMMYFUNCTION("""COMPUTED_VALUE"""),"mex")</f>
        <v>mex</v>
      </c>
      <c r="C10288" t="str">
        <f>IFERROR(__xludf.DUMMYFUNCTION("""COMPUTED_VALUE"""),"Mexico")</f>
        <v>Mexico</v>
      </c>
      <c r="D10288">
        <f>IFERROR(__xludf.DUMMYFUNCTION("""COMPUTED_VALUE"""),1951.0)</f>
        <v>1951</v>
      </c>
      <c r="E10288">
        <f>IFERROR(__xludf.DUMMYFUNCTION("""COMPUTED_VALUE"""),2.8836114E7)</f>
        <v>28836114</v>
      </c>
    </row>
    <row r="10289">
      <c r="A10289" t="str">
        <f t="shared" si="1"/>
        <v>mex#1952</v>
      </c>
      <c r="B10289" t="str">
        <f>IFERROR(__xludf.DUMMYFUNCTION("""COMPUTED_VALUE"""),"mex")</f>
        <v>mex</v>
      </c>
      <c r="C10289" t="str">
        <f>IFERROR(__xludf.DUMMYFUNCTION("""COMPUTED_VALUE"""),"Mexico")</f>
        <v>Mexico</v>
      </c>
      <c r="D10289">
        <f>IFERROR(__xludf.DUMMYFUNCTION("""COMPUTED_VALUE"""),1952.0)</f>
        <v>1952</v>
      </c>
      <c r="E10289">
        <f>IFERROR(__xludf.DUMMYFUNCTION("""COMPUTED_VALUE"""),2.9711632E7)</f>
        <v>29711632</v>
      </c>
    </row>
    <row r="10290">
      <c r="A10290" t="str">
        <f t="shared" si="1"/>
        <v>mex#1953</v>
      </c>
      <c r="B10290" t="str">
        <f>IFERROR(__xludf.DUMMYFUNCTION("""COMPUTED_VALUE"""),"mex")</f>
        <v>mex</v>
      </c>
      <c r="C10290" t="str">
        <f>IFERROR(__xludf.DUMMYFUNCTION("""COMPUTED_VALUE"""),"Mexico")</f>
        <v>Mexico</v>
      </c>
      <c r="D10290">
        <f>IFERROR(__xludf.DUMMYFUNCTION("""COMPUTED_VALUE"""),1953.0)</f>
        <v>1953</v>
      </c>
      <c r="E10290">
        <f>IFERROR(__xludf.DUMMYFUNCTION("""COMPUTED_VALUE"""),3.0634215E7)</f>
        <v>30634215</v>
      </c>
    </row>
    <row r="10291">
      <c r="A10291" t="str">
        <f t="shared" si="1"/>
        <v>mex#1954</v>
      </c>
      <c r="B10291" t="str">
        <f>IFERROR(__xludf.DUMMYFUNCTION("""COMPUTED_VALUE"""),"mex")</f>
        <v>mex</v>
      </c>
      <c r="C10291" t="str">
        <f>IFERROR(__xludf.DUMMYFUNCTION("""COMPUTED_VALUE"""),"Mexico")</f>
        <v>Mexico</v>
      </c>
      <c r="D10291">
        <f>IFERROR(__xludf.DUMMYFUNCTION("""COMPUTED_VALUE"""),1954.0)</f>
        <v>1954</v>
      </c>
      <c r="E10291">
        <f>IFERROR(__xludf.DUMMYFUNCTION("""COMPUTED_VALUE"""),3.1599801E7)</f>
        <v>31599801</v>
      </c>
    </row>
    <row r="10292">
      <c r="A10292" t="str">
        <f t="shared" si="1"/>
        <v>mex#1955</v>
      </c>
      <c r="B10292" t="str">
        <f>IFERROR(__xludf.DUMMYFUNCTION("""COMPUTED_VALUE"""),"mex")</f>
        <v>mex</v>
      </c>
      <c r="C10292" t="str">
        <f>IFERROR(__xludf.DUMMYFUNCTION("""COMPUTED_VALUE"""),"Mexico")</f>
        <v>Mexico</v>
      </c>
      <c r="D10292">
        <f>IFERROR(__xludf.DUMMYFUNCTION("""COMPUTED_VALUE"""),1955.0)</f>
        <v>1955</v>
      </c>
      <c r="E10292">
        <f>IFERROR(__xludf.DUMMYFUNCTION("""COMPUTED_VALUE"""),3.2605178E7)</f>
        <v>32605178</v>
      </c>
    </row>
    <row r="10293">
      <c r="A10293" t="str">
        <f t="shared" si="1"/>
        <v>mex#1956</v>
      </c>
      <c r="B10293" t="str">
        <f>IFERROR(__xludf.DUMMYFUNCTION("""COMPUTED_VALUE"""),"mex")</f>
        <v>mex</v>
      </c>
      <c r="C10293" t="str">
        <f>IFERROR(__xludf.DUMMYFUNCTION("""COMPUTED_VALUE"""),"Mexico")</f>
        <v>Mexico</v>
      </c>
      <c r="D10293">
        <f>IFERROR(__xludf.DUMMYFUNCTION("""COMPUTED_VALUE"""),1956.0)</f>
        <v>1956</v>
      </c>
      <c r="E10293">
        <f>IFERROR(__xludf.DUMMYFUNCTION("""COMPUTED_VALUE"""),3.3647982E7)</f>
        <v>33647982</v>
      </c>
    </row>
    <row r="10294">
      <c r="A10294" t="str">
        <f t="shared" si="1"/>
        <v>mex#1957</v>
      </c>
      <c r="B10294" t="str">
        <f>IFERROR(__xludf.DUMMYFUNCTION("""COMPUTED_VALUE"""),"mex")</f>
        <v>mex</v>
      </c>
      <c r="C10294" t="str">
        <f>IFERROR(__xludf.DUMMYFUNCTION("""COMPUTED_VALUE"""),"Mexico")</f>
        <v>Mexico</v>
      </c>
      <c r="D10294">
        <f>IFERROR(__xludf.DUMMYFUNCTION("""COMPUTED_VALUE"""),1957.0)</f>
        <v>1957</v>
      </c>
      <c r="E10294">
        <f>IFERROR(__xludf.DUMMYFUNCTION("""COMPUTED_VALUE"""),3.4726719E7)</f>
        <v>34726719</v>
      </c>
    </row>
    <row r="10295">
      <c r="A10295" t="str">
        <f t="shared" si="1"/>
        <v>mex#1958</v>
      </c>
      <c r="B10295" t="str">
        <f>IFERROR(__xludf.DUMMYFUNCTION("""COMPUTED_VALUE"""),"mex")</f>
        <v>mex</v>
      </c>
      <c r="C10295" t="str">
        <f>IFERROR(__xludf.DUMMYFUNCTION("""COMPUTED_VALUE"""),"Mexico")</f>
        <v>Mexico</v>
      </c>
      <c r="D10295">
        <f>IFERROR(__xludf.DUMMYFUNCTION("""COMPUTED_VALUE"""),1958.0)</f>
        <v>1958</v>
      </c>
      <c r="E10295">
        <f>IFERROR(__xludf.DUMMYFUNCTION("""COMPUTED_VALUE"""),3.5840646E7)</f>
        <v>35840646</v>
      </c>
    </row>
    <row r="10296">
      <c r="A10296" t="str">
        <f t="shared" si="1"/>
        <v>mex#1959</v>
      </c>
      <c r="B10296" t="str">
        <f>IFERROR(__xludf.DUMMYFUNCTION("""COMPUTED_VALUE"""),"mex")</f>
        <v>mex</v>
      </c>
      <c r="C10296" t="str">
        <f>IFERROR(__xludf.DUMMYFUNCTION("""COMPUTED_VALUE"""),"Mexico")</f>
        <v>Mexico</v>
      </c>
      <c r="D10296">
        <f>IFERROR(__xludf.DUMMYFUNCTION("""COMPUTED_VALUE"""),1959.0)</f>
        <v>1959</v>
      </c>
      <c r="E10296">
        <f>IFERROR(__xludf.DUMMYFUNCTION("""COMPUTED_VALUE"""),3.6989694E7)</f>
        <v>36989694</v>
      </c>
    </row>
    <row r="10297">
      <c r="A10297" t="str">
        <f t="shared" si="1"/>
        <v>mex#1960</v>
      </c>
      <c r="B10297" t="str">
        <f>IFERROR(__xludf.DUMMYFUNCTION("""COMPUTED_VALUE"""),"mex")</f>
        <v>mex</v>
      </c>
      <c r="C10297" t="str">
        <f>IFERROR(__xludf.DUMMYFUNCTION("""COMPUTED_VALUE"""),"Mexico")</f>
        <v>Mexico</v>
      </c>
      <c r="D10297">
        <f>IFERROR(__xludf.DUMMYFUNCTION("""COMPUTED_VALUE"""),1960.0)</f>
        <v>1960</v>
      </c>
      <c r="E10297">
        <f>IFERROR(__xludf.DUMMYFUNCTION("""COMPUTED_VALUE"""),3.8174112E7)</f>
        <v>38174112</v>
      </c>
    </row>
    <row r="10298">
      <c r="A10298" t="str">
        <f t="shared" si="1"/>
        <v>mex#1961</v>
      </c>
      <c r="B10298" t="str">
        <f>IFERROR(__xludf.DUMMYFUNCTION("""COMPUTED_VALUE"""),"mex")</f>
        <v>mex</v>
      </c>
      <c r="C10298" t="str">
        <f>IFERROR(__xludf.DUMMYFUNCTION("""COMPUTED_VALUE"""),"Mexico")</f>
        <v>Mexico</v>
      </c>
      <c r="D10298">
        <f>IFERROR(__xludf.DUMMYFUNCTION("""COMPUTED_VALUE"""),1961.0)</f>
        <v>1961</v>
      </c>
      <c r="E10298">
        <f>IFERROR(__xludf.DUMMYFUNCTION("""COMPUTED_VALUE"""),3.9394126E7)</f>
        <v>39394126</v>
      </c>
    </row>
    <row r="10299">
      <c r="A10299" t="str">
        <f t="shared" si="1"/>
        <v>mex#1962</v>
      </c>
      <c r="B10299" t="str">
        <f>IFERROR(__xludf.DUMMYFUNCTION("""COMPUTED_VALUE"""),"mex")</f>
        <v>mex</v>
      </c>
      <c r="C10299" t="str">
        <f>IFERROR(__xludf.DUMMYFUNCTION("""COMPUTED_VALUE"""),"Mexico")</f>
        <v>Mexico</v>
      </c>
      <c r="D10299">
        <f>IFERROR(__xludf.DUMMYFUNCTION("""COMPUTED_VALUE"""),1962.0)</f>
        <v>1962</v>
      </c>
      <c r="E10299">
        <f>IFERROR(__xludf.DUMMYFUNCTION("""COMPUTED_VALUE"""),4.0649588E7)</f>
        <v>40649588</v>
      </c>
    </row>
    <row r="10300">
      <c r="A10300" t="str">
        <f t="shared" si="1"/>
        <v>mex#1963</v>
      </c>
      <c r="B10300" t="str">
        <f>IFERROR(__xludf.DUMMYFUNCTION("""COMPUTED_VALUE"""),"mex")</f>
        <v>mex</v>
      </c>
      <c r="C10300" t="str">
        <f>IFERROR(__xludf.DUMMYFUNCTION("""COMPUTED_VALUE"""),"Mexico")</f>
        <v>Mexico</v>
      </c>
      <c r="D10300">
        <f>IFERROR(__xludf.DUMMYFUNCTION("""COMPUTED_VALUE"""),1963.0)</f>
        <v>1963</v>
      </c>
      <c r="E10300">
        <f>IFERROR(__xludf.DUMMYFUNCTION("""COMPUTED_VALUE"""),4.193988E7)</f>
        <v>41939880</v>
      </c>
    </row>
    <row r="10301">
      <c r="A10301" t="str">
        <f t="shared" si="1"/>
        <v>mex#1964</v>
      </c>
      <c r="B10301" t="str">
        <f>IFERROR(__xludf.DUMMYFUNCTION("""COMPUTED_VALUE"""),"mex")</f>
        <v>mex</v>
      </c>
      <c r="C10301" t="str">
        <f>IFERROR(__xludf.DUMMYFUNCTION("""COMPUTED_VALUE"""),"Mexico")</f>
        <v>Mexico</v>
      </c>
      <c r="D10301">
        <f>IFERROR(__xludf.DUMMYFUNCTION("""COMPUTED_VALUE"""),1964.0)</f>
        <v>1964</v>
      </c>
      <c r="E10301">
        <f>IFERROR(__xludf.DUMMYFUNCTION("""COMPUTED_VALUE"""),4.3264272E7)</f>
        <v>43264272</v>
      </c>
    </row>
    <row r="10302">
      <c r="A10302" t="str">
        <f t="shared" si="1"/>
        <v>mex#1965</v>
      </c>
      <c r="B10302" t="str">
        <f>IFERROR(__xludf.DUMMYFUNCTION("""COMPUTED_VALUE"""),"mex")</f>
        <v>mex</v>
      </c>
      <c r="C10302" t="str">
        <f>IFERROR(__xludf.DUMMYFUNCTION("""COMPUTED_VALUE"""),"Mexico")</f>
        <v>Mexico</v>
      </c>
      <c r="D10302">
        <f>IFERROR(__xludf.DUMMYFUNCTION("""COMPUTED_VALUE"""),1965.0)</f>
        <v>1965</v>
      </c>
      <c r="E10302">
        <f>IFERROR(__xludf.DUMMYFUNCTION("""COMPUTED_VALUE"""),4.4623043E7)</f>
        <v>44623043</v>
      </c>
    </row>
    <row r="10303">
      <c r="A10303" t="str">
        <f t="shared" si="1"/>
        <v>mex#1966</v>
      </c>
      <c r="B10303" t="str">
        <f>IFERROR(__xludf.DUMMYFUNCTION("""COMPUTED_VALUE"""),"mex")</f>
        <v>mex</v>
      </c>
      <c r="C10303" t="str">
        <f>IFERROR(__xludf.DUMMYFUNCTION("""COMPUTED_VALUE"""),"Mexico")</f>
        <v>Mexico</v>
      </c>
      <c r="D10303">
        <f>IFERROR(__xludf.DUMMYFUNCTION("""COMPUTED_VALUE"""),1966.0)</f>
        <v>1966</v>
      </c>
      <c r="E10303">
        <f>IFERROR(__xludf.DUMMYFUNCTION("""COMPUTED_VALUE"""),4.6011038E7)</f>
        <v>46011038</v>
      </c>
    </row>
    <row r="10304">
      <c r="A10304" t="str">
        <f t="shared" si="1"/>
        <v>mex#1967</v>
      </c>
      <c r="B10304" t="str">
        <f>IFERROR(__xludf.DUMMYFUNCTION("""COMPUTED_VALUE"""),"mex")</f>
        <v>mex</v>
      </c>
      <c r="C10304" t="str">
        <f>IFERROR(__xludf.DUMMYFUNCTION("""COMPUTED_VALUE"""),"Mexico")</f>
        <v>Mexico</v>
      </c>
      <c r="D10304">
        <f>IFERROR(__xludf.DUMMYFUNCTION("""COMPUTED_VALUE"""),1967.0)</f>
        <v>1967</v>
      </c>
      <c r="E10304">
        <f>IFERROR(__xludf.DUMMYFUNCTION("""COMPUTED_VALUE"""),4.7429812E7)</f>
        <v>47429812</v>
      </c>
    </row>
    <row r="10305">
      <c r="A10305" t="str">
        <f t="shared" si="1"/>
        <v>mex#1968</v>
      </c>
      <c r="B10305" t="str">
        <f>IFERROR(__xludf.DUMMYFUNCTION("""COMPUTED_VALUE"""),"mex")</f>
        <v>mex</v>
      </c>
      <c r="C10305" t="str">
        <f>IFERROR(__xludf.DUMMYFUNCTION("""COMPUTED_VALUE"""),"Mexico")</f>
        <v>Mexico</v>
      </c>
      <c r="D10305">
        <f>IFERROR(__xludf.DUMMYFUNCTION("""COMPUTED_VALUE"""),1968.0)</f>
        <v>1968</v>
      </c>
      <c r="E10305">
        <f>IFERROR(__xludf.DUMMYFUNCTION("""COMPUTED_VALUE"""),4.8894019E7)</f>
        <v>48894019</v>
      </c>
    </row>
    <row r="10306">
      <c r="A10306" t="str">
        <f t="shared" si="1"/>
        <v>mex#1969</v>
      </c>
      <c r="B10306" t="str">
        <f>IFERROR(__xludf.DUMMYFUNCTION("""COMPUTED_VALUE"""),"mex")</f>
        <v>mex</v>
      </c>
      <c r="C10306" t="str">
        <f>IFERROR(__xludf.DUMMYFUNCTION("""COMPUTED_VALUE"""),"Mexico")</f>
        <v>Mexico</v>
      </c>
      <c r="D10306">
        <f>IFERROR(__xludf.DUMMYFUNCTION("""COMPUTED_VALUE"""),1969.0)</f>
        <v>1969</v>
      </c>
      <c r="E10306">
        <f>IFERROR(__xludf.DUMMYFUNCTION("""COMPUTED_VALUE"""),5.0423481E7)</f>
        <v>50423481</v>
      </c>
    </row>
    <row r="10307">
      <c r="A10307" t="str">
        <f t="shared" si="1"/>
        <v>mex#1970</v>
      </c>
      <c r="B10307" t="str">
        <f>IFERROR(__xludf.DUMMYFUNCTION("""COMPUTED_VALUE"""),"mex")</f>
        <v>mex</v>
      </c>
      <c r="C10307" t="str">
        <f>IFERROR(__xludf.DUMMYFUNCTION("""COMPUTED_VALUE"""),"Mexico")</f>
        <v>Mexico</v>
      </c>
      <c r="D10307">
        <f>IFERROR(__xludf.DUMMYFUNCTION("""COMPUTED_VALUE"""),1970.0)</f>
        <v>1970</v>
      </c>
      <c r="E10307">
        <f>IFERROR(__xludf.DUMMYFUNCTION("""COMPUTED_VALUE"""),5.2029861E7)</f>
        <v>52029861</v>
      </c>
    </row>
    <row r="10308">
      <c r="A10308" t="str">
        <f t="shared" si="1"/>
        <v>mex#1971</v>
      </c>
      <c r="B10308" t="str">
        <f>IFERROR(__xludf.DUMMYFUNCTION("""COMPUTED_VALUE"""),"mex")</f>
        <v>mex</v>
      </c>
      <c r="C10308" t="str">
        <f>IFERROR(__xludf.DUMMYFUNCTION("""COMPUTED_VALUE"""),"Mexico")</f>
        <v>Mexico</v>
      </c>
      <c r="D10308">
        <f>IFERROR(__xludf.DUMMYFUNCTION("""COMPUTED_VALUE"""),1971.0)</f>
        <v>1971</v>
      </c>
      <c r="E10308">
        <f>IFERROR(__xludf.DUMMYFUNCTION("""COMPUTED_VALUE"""),5.3718724E7)</f>
        <v>53718724</v>
      </c>
    </row>
    <row r="10309">
      <c r="A10309" t="str">
        <f t="shared" si="1"/>
        <v>mex#1972</v>
      </c>
      <c r="B10309" t="str">
        <f>IFERROR(__xludf.DUMMYFUNCTION("""COMPUTED_VALUE"""),"mex")</f>
        <v>mex</v>
      </c>
      <c r="C10309" t="str">
        <f>IFERROR(__xludf.DUMMYFUNCTION("""COMPUTED_VALUE"""),"Mexico")</f>
        <v>Mexico</v>
      </c>
      <c r="D10309">
        <f>IFERROR(__xludf.DUMMYFUNCTION("""COMPUTED_VALUE"""),1972.0)</f>
        <v>1972</v>
      </c>
      <c r="E10309">
        <f>IFERROR(__xludf.DUMMYFUNCTION("""COMPUTED_VALUE"""),5.5478151E7)</f>
        <v>55478151</v>
      </c>
    </row>
    <row r="10310">
      <c r="A10310" t="str">
        <f t="shared" si="1"/>
        <v>mex#1973</v>
      </c>
      <c r="B10310" t="str">
        <f>IFERROR(__xludf.DUMMYFUNCTION("""COMPUTED_VALUE"""),"mex")</f>
        <v>mex</v>
      </c>
      <c r="C10310" t="str">
        <f>IFERROR(__xludf.DUMMYFUNCTION("""COMPUTED_VALUE"""),"Mexico")</f>
        <v>Mexico</v>
      </c>
      <c r="D10310">
        <f>IFERROR(__xludf.DUMMYFUNCTION("""COMPUTED_VALUE"""),1973.0)</f>
        <v>1973</v>
      </c>
      <c r="E10310">
        <f>IFERROR(__xludf.DUMMYFUNCTION("""COMPUTED_VALUE"""),5.7280587E7)</f>
        <v>57280587</v>
      </c>
    </row>
    <row r="10311">
      <c r="A10311" t="str">
        <f t="shared" si="1"/>
        <v>mex#1974</v>
      </c>
      <c r="B10311" t="str">
        <f>IFERROR(__xludf.DUMMYFUNCTION("""COMPUTED_VALUE"""),"mex")</f>
        <v>mex</v>
      </c>
      <c r="C10311" t="str">
        <f>IFERROR(__xludf.DUMMYFUNCTION("""COMPUTED_VALUE"""),"Mexico")</f>
        <v>Mexico</v>
      </c>
      <c r="D10311">
        <f>IFERROR(__xludf.DUMMYFUNCTION("""COMPUTED_VALUE"""),1974.0)</f>
        <v>1974</v>
      </c>
      <c r="E10311">
        <f>IFERROR(__xludf.DUMMYFUNCTION("""COMPUTED_VALUE"""),5.9088193E7)</f>
        <v>59088193</v>
      </c>
    </row>
    <row r="10312">
      <c r="A10312" t="str">
        <f t="shared" si="1"/>
        <v>mex#1975</v>
      </c>
      <c r="B10312" t="str">
        <f>IFERROR(__xludf.DUMMYFUNCTION("""COMPUTED_VALUE"""),"mex")</f>
        <v>mex</v>
      </c>
      <c r="C10312" t="str">
        <f>IFERROR(__xludf.DUMMYFUNCTION("""COMPUTED_VALUE"""),"Mexico")</f>
        <v>Mexico</v>
      </c>
      <c r="D10312">
        <f>IFERROR(__xludf.DUMMYFUNCTION("""COMPUTED_VALUE"""),1975.0)</f>
        <v>1975</v>
      </c>
      <c r="E10312">
        <f>IFERROR(__xludf.DUMMYFUNCTION("""COMPUTED_VALUE"""),6.0872399E7)</f>
        <v>60872399</v>
      </c>
    </row>
    <row r="10313">
      <c r="A10313" t="str">
        <f t="shared" si="1"/>
        <v>mex#1976</v>
      </c>
      <c r="B10313" t="str">
        <f>IFERROR(__xludf.DUMMYFUNCTION("""COMPUTED_VALUE"""),"mex")</f>
        <v>mex</v>
      </c>
      <c r="C10313" t="str">
        <f>IFERROR(__xludf.DUMMYFUNCTION("""COMPUTED_VALUE"""),"Mexico")</f>
        <v>Mexico</v>
      </c>
      <c r="D10313">
        <f>IFERROR(__xludf.DUMMYFUNCTION("""COMPUTED_VALUE"""),1976.0)</f>
        <v>1976</v>
      </c>
      <c r="E10313">
        <f>IFERROR(__xludf.DUMMYFUNCTION("""COMPUTED_VALUE"""),6.2623763E7)</f>
        <v>62623763</v>
      </c>
    </row>
    <row r="10314">
      <c r="A10314" t="str">
        <f t="shared" si="1"/>
        <v>mex#1977</v>
      </c>
      <c r="B10314" t="str">
        <f>IFERROR(__xludf.DUMMYFUNCTION("""COMPUTED_VALUE"""),"mex")</f>
        <v>mex</v>
      </c>
      <c r="C10314" t="str">
        <f>IFERROR(__xludf.DUMMYFUNCTION("""COMPUTED_VALUE"""),"Mexico")</f>
        <v>Mexico</v>
      </c>
      <c r="D10314">
        <f>IFERROR(__xludf.DUMMYFUNCTION("""COMPUTED_VALUE"""),1977.0)</f>
        <v>1977</v>
      </c>
      <c r="E10314">
        <f>IFERROR(__xludf.DUMMYFUNCTION("""COMPUTED_VALUE"""),6.4345884E7)</f>
        <v>64345884</v>
      </c>
    </row>
    <row r="10315">
      <c r="A10315" t="str">
        <f t="shared" si="1"/>
        <v>mex#1978</v>
      </c>
      <c r="B10315" t="str">
        <f>IFERROR(__xludf.DUMMYFUNCTION("""COMPUTED_VALUE"""),"mex")</f>
        <v>mex</v>
      </c>
      <c r="C10315" t="str">
        <f>IFERROR(__xludf.DUMMYFUNCTION("""COMPUTED_VALUE"""),"Mexico")</f>
        <v>Mexico</v>
      </c>
      <c r="D10315">
        <f>IFERROR(__xludf.DUMMYFUNCTION("""COMPUTED_VALUE"""),1978.0)</f>
        <v>1978</v>
      </c>
      <c r="E10315">
        <f>IFERROR(__xludf.DUMMYFUNCTION("""COMPUTED_VALUE"""),6.6039488E7)</f>
        <v>66039488</v>
      </c>
    </row>
    <row r="10316">
      <c r="A10316" t="str">
        <f t="shared" si="1"/>
        <v>mex#1979</v>
      </c>
      <c r="B10316" t="str">
        <f>IFERROR(__xludf.DUMMYFUNCTION("""COMPUTED_VALUE"""),"mex")</f>
        <v>mex</v>
      </c>
      <c r="C10316" t="str">
        <f>IFERROR(__xludf.DUMMYFUNCTION("""COMPUTED_VALUE"""),"Mexico")</f>
        <v>Mexico</v>
      </c>
      <c r="D10316">
        <f>IFERROR(__xludf.DUMMYFUNCTION("""COMPUTED_VALUE"""),1979.0)</f>
        <v>1979</v>
      </c>
      <c r="E10316">
        <f>IFERROR(__xludf.DUMMYFUNCTION("""COMPUTED_VALUE"""),6.7709689E7)</f>
        <v>67709689</v>
      </c>
    </row>
    <row r="10317">
      <c r="A10317" t="str">
        <f t="shared" si="1"/>
        <v>mex#1980</v>
      </c>
      <c r="B10317" t="str">
        <f>IFERROR(__xludf.DUMMYFUNCTION("""COMPUTED_VALUE"""),"mex")</f>
        <v>mex</v>
      </c>
      <c r="C10317" t="str">
        <f>IFERROR(__xludf.DUMMYFUNCTION("""COMPUTED_VALUE"""),"Mexico")</f>
        <v>Mexico</v>
      </c>
      <c r="D10317">
        <f>IFERROR(__xludf.DUMMYFUNCTION("""COMPUTED_VALUE"""),1980.0)</f>
        <v>1980</v>
      </c>
      <c r="E10317">
        <f>IFERROR(__xludf.DUMMYFUNCTION("""COMPUTED_VALUE"""),6.9360871E7)</f>
        <v>69360871</v>
      </c>
    </row>
    <row r="10318">
      <c r="A10318" t="str">
        <f t="shared" si="1"/>
        <v>mex#1981</v>
      </c>
      <c r="B10318" t="str">
        <f>IFERROR(__xludf.DUMMYFUNCTION("""COMPUTED_VALUE"""),"mex")</f>
        <v>mex</v>
      </c>
      <c r="C10318" t="str">
        <f>IFERROR(__xludf.DUMMYFUNCTION("""COMPUTED_VALUE"""),"Mexico")</f>
        <v>Mexico</v>
      </c>
      <c r="D10318">
        <f>IFERROR(__xludf.DUMMYFUNCTION("""COMPUTED_VALUE"""),1981.0)</f>
        <v>1981</v>
      </c>
      <c r="E10318">
        <f>IFERROR(__xludf.DUMMYFUNCTION("""COMPUTED_VALUE"""),7.0992195E7)</f>
        <v>70992195</v>
      </c>
    </row>
    <row r="10319">
      <c r="A10319" t="str">
        <f t="shared" si="1"/>
        <v>mex#1982</v>
      </c>
      <c r="B10319" t="str">
        <f>IFERROR(__xludf.DUMMYFUNCTION("""COMPUTED_VALUE"""),"mex")</f>
        <v>mex</v>
      </c>
      <c r="C10319" t="str">
        <f>IFERROR(__xludf.DUMMYFUNCTION("""COMPUTED_VALUE"""),"Mexico")</f>
        <v>Mexico</v>
      </c>
      <c r="D10319">
        <f>IFERROR(__xludf.DUMMYFUNCTION("""COMPUTED_VALUE"""),1982.0)</f>
        <v>1982</v>
      </c>
      <c r="E10319">
        <f>IFERROR(__xludf.DUMMYFUNCTION("""COMPUTED_VALUE"""),7.2602533E7)</f>
        <v>72602533</v>
      </c>
    </row>
    <row r="10320">
      <c r="A10320" t="str">
        <f t="shared" si="1"/>
        <v>mex#1983</v>
      </c>
      <c r="B10320" t="str">
        <f>IFERROR(__xludf.DUMMYFUNCTION("""COMPUTED_VALUE"""),"mex")</f>
        <v>mex</v>
      </c>
      <c r="C10320" t="str">
        <f>IFERROR(__xludf.DUMMYFUNCTION("""COMPUTED_VALUE"""),"Mexico")</f>
        <v>Mexico</v>
      </c>
      <c r="D10320">
        <f>IFERROR(__xludf.DUMMYFUNCTION("""COMPUTED_VALUE"""),1983.0)</f>
        <v>1983</v>
      </c>
      <c r="E10320">
        <f>IFERROR(__xludf.DUMMYFUNCTION("""COMPUTED_VALUE"""),7.4196548E7)</f>
        <v>74196548</v>
      </c>
    </row>
    <row r="10321">
      <c r="A10321" t="str">
        <f t="shared" si="1"/>
        <v>mex#1984</v>
      </c>
      <c r="B10321" t="str">
        <f>IFERROR(__xludf.DUMMYFUNCTION("""COMPUTED_VALUE"""),"mex")</f>
        <v>mex</v>
      </c>
      <c r="C10321" t="str">
        <f>IFERROR(__xludf.DUMMYFUNCTION("""COMPUTED_VALUE"""),"Mexico")</f>
        <v>Mexico</v>
      </c>
      <c r="D10321">
        <f>IFERROR(__xludf.DUMMYFUNCTION("""COMPUTED_VALUE"""),1984.0)</f>
        <v>1984</v>
      </c>
      <c r="E10321">
        <f>IFERROR(__xludf.DUMMYFUNCTION("""COMPUTED_VALUE"""),7.5780605E7)</f>
        <v>75780605</v>
      </c>
    </row>
    <row r="10322">
      <c r="A10322" t="str">
        <f t="shared" si="1"/>
        <v>mex#1985</v>
      </c>
      <c r="B10322" t="str">
        <f>IFERROR(__xludf.DUMMYFUNCTION("""COMPUTED_VALUE"""),"mex")</f>
        <v>mex</v>
      </c>
      <c r="C10322" t="str">
        <f>IFERROR(__xludf.DUMMYFUNCTION("""COMPUTED_VALUE"""),"Mexico")</f>
        <v>Mexico</v>
      </c>
      <c r="D10322">
        <f>IFERROR(__xludf.DUMMYFUNCTION("""COMPUTED_VALUE"""),1985.0)</f>
        <v>1985</v>
      </c>
      <c r="E10322">
        <f>IFERROR(__xludf.DUMMYFUNCTION("""COMPUTED_VALUE"""),7.7360707E7)</f>
        <v>77360707</v>
      </c>
    </row>
    <row r="10323">
      <c r="A10323" t="str">
        <f t="shared" si="1"/>
        <v>mex#1986</v>
      </c>
      <c r="B10323" t="str">
        <f>IFERROR(__xludf.DUMMYFUNCTION("""COMPUTED_VALUE"""),"mex")</f>
        <v>mex</v>
      </c>
      <c r="C10323" t="str">
        <f>IFERROR(__xludf.DUMMYFUNCTION("""COMPUTED_VALUE"""),"Mexico")</f>
        <v>Mexico</v>
      </c>
      <c r="D10323">
        <f>IFERROR(__xludf.DUMMYFUNCTION("""COMPUTED_VALUE"""),1986.0)</f>
        <v>1986</v>
      </c>
      <c r="E10323">
        <f>IFERROR(__xludf.DUMMYFUNCTION("""COMPUTED_VALUE"""),7.8934125E7)</f>
        <v>78934125</v>
      </c>
    </row>
    <row r="10324">
      <c r="A10324" t="str">
        <f t="shared" si="1"/>
        <v>mex#1987</v>
      </c>
      <c r="B10324" t="str">
        <f>IFERROR(__xludf.DUMMYFUNCTION("""COMPUTED_VALUE"""),"mex")</f>
        <v>mex</v>
      </c>
      <c r="C10324" t="str">
        <f>IFERROR(__xludf.DUMMYFUNCTION("""COMPUTED_VALUE"""),"Mexico")</f>
        <v>Mexico</v>
      </c>
      <c r="D10324">
        <f>IFERROR(__xludf.DUMMYFUNCTION("""COMPUTED_VALUE"""),1987.0)</f>
        <v>1987</v>
      </c>
      <c r="E10324">
        <f>IFERROR(__xludf.DUMMYFUNCTION("""COMPUTED_VALUE"""),8.0503052E7)</f>
        <v>80503052</v>
      </c>
    </row>
    <row r="10325">
      <c r="A10325" t="str">
        <f t="shared" si="1"/>
        <v>mex#1988</v>
      </c>
      <c r="B10325" t="str">
        <f>IFERROR(__xludf.DUMMYFUNCTION("""COMPUTED_VALUE"""),"mex")</f>
        <v>mex</v>
      </c>
      <c r="C10325" t="str">
        <f>IFERROR(__xludf.DUMMYFUNCTION("""COMPUTED_VALUE"""),"Mexico")</f>
        <v>Mexico</v>
      </c>
      <c r="D10325">
        <f>IFERROR(__xludf.DUMMYFUNCTION("""COMPUTED_VALUE"""),1988.0)</f>
        <v>1988</v>
      </c>
      <c r="E10325">
        <f>IFERROR(__xludf.DUMMYFUNCTION("""COMPUTED_VALUE"""),8.2083919E7)</f>
        <v>82083919</v>
      </c>
    </row>
    <row r="10326">
      <c r="A10326" t="str">
        <f t="shared" si="1"/>
        <v>mex#1989</v>
      </c>
      <c r="B10326" t="str">
        <f>IFERROR(__xludf.DUMMYFUNCTION("""COMPUTED_VALUE"""),"mex")</f>
        <v>mex</v>
      </c>
      <c r="C10326" t="str">
        <f>IFERROR(__xludf.DUMMYFUNCTION("""COMPUTED_VALUE"""),"Mexico")</f>
        <v>Mexico</v>
      </c>
      <c r="D10326">
        <f>IFERROR(__xludf.DUMMYFUNCTION("""COMPUTED_VALUE"""),1989.0)</f>
        <v>1989</v>
      </c>
      <c r="E10326">
        <f>IFERROR(__xludf.DUMMYFUNCTION("""COMPUTED_VALUE"""),8.3697891E7)</f>
        <v>83697891</v>
      </c>
    </row>
    <row r="10327">
      <c r="A10327" t="str">
        <f t="shared" si="1"/>
        <v>mex#1990</v>
      </c>
      <c r="B10327" t="str">
        <f>IFERROR(__xludf.DUMMYFUNCTION("""COMPUTED_VALUE"""),"mex")</f>
        <v>mex</v>
      </c>
      <c r="C10327" t="str">
        <f>IFERROR(__xludf.DUMMYFUNCTION("""COMPUTED_VALUE"""),"Mexico")</f>
        <v>Mexico</v>
      </c>
      <c r="D10327">
        <f>IFERROR(__xludf.DUMMYFUNCTION("""COMPUTED_VALUE"""),1990.0)</f>
        <v>1990</v>
      </c>
      <c r="E10327">
        <f>IFERROR(__xludf.DUMMYFUNCTION("""COMPUTED_VALUE"""),8.5357874E7)</f>
        <v>85357874</v>
      </c>
    </row>
    <row r="10328">
      <c r="A10328" t="str">
        <f t="shared" si="1"/>
        <v>mex#1991</v>
      </c>
      <c r="B10328" t="str">
        <f>IFERROR(__xludf.DUMMYFUNCTION("""COMPUTED_VALUE"""),"mex")</f>
        <v>mex</v>
      </c>
      <c r="C10328" t="str">
        <f>IFERROR(__xludf.DUMMYFUNCTION("""COMPUTED_VALUE"""),"Mexico")</f>
        <v>Mexico</v>
      </c>
      <c r="D10328">
        <f>IFERROR(__xludf.DUMMYFUNCTION("""COMPUTED_VALUE"""),1991.0)</f>
        <v>1991</v>
      </c>
      <c r="E10328">
        <f>IFERROR(__xludf.DUMMYFUNCTION("""COMPUTED_VALUE"""),8.7071512E7)</f>
        <v>87071512</v>
      </c>
    </row>
    <row r="10329">
      <c r="A10329" t="str">
        <f t="shared" si="1"/>
        <v>mex#1992</v>
      </c>
      <c r="B10329" t="str">
        <f>IFERROR(__xludf.DUMMYFUNCTION("""COMPUTED_VALUE"""),"mex")</f>
        <v>mex</v>
      </c>
      <c r="C10329" t="str">
        <f>IFERROR(__xludf.DUMMYFUNCTION("""COMPUTED_VALUE"""),"Mexico")</f>
        <v>Mexico</v>
      </c>
      <c r="D10329">
        <f>IFERROR(__xludf.DUMMYFUNCTION("""COMPUTED_VALUE"""),1992.0)</f>
        <v>1992</v>
      </c>
      <c r="E10329">
        <f>IFERROR(__xludf.DUMMYFUNCTION("""COMPUTED_VALUE"""),8.882831E7)</f>
        <v>88828310</v>
      </c>
    </row>
    <row r="10330">
      <c r="A10330" t="str">
        <f t="shared" si="1"/>
        <v>mex#1993</v>
      </c>
      <c r="B10330" t="str">
        <f>IFERROR(__xludf.DUMMYFUNCTION("""COMPUTED_VALUE"""),"mex")</f>
        <v>mex</v>
      </c>
      <c r="C10330" t="str">
        <f>IFERROR(__xludf.DUMMYFUNCTION("""COMPUTED_VALUE"""),"Mexico")</f>
        <v>Mexico</v>
      </c>
      <c r="D10330">
        <f>IFERROR(__xludf.DUMMYFUNCTION("""COMPUTED_VALUE"""),1993.0)</f>
        <v>1993</v>
      </c>
      <c r="E10330">
        <f>IFERROR(__xludf.DUMMYFUNCTION("""COMPUTED_VALUE"""),9.0600453E7)</f>
        <v>90600453</v>
      </c>
    </row>
    <row r="10331">
      <c r="A10331" t="str">
        <f t="shared" si="1"/>
        <v>mex#1994</v>
      </c>
      <c r="B10331" t="str">
        <f>IFERROR(__xludf.DUMMYFUNCTION("""COMPUTED_VALUE"""),"mex")</f>
        <v>mex</v>
      </c>
      <c r="C10331" t="str">
        <f>IFERROR(__xludf.DUMMYFUNCTION("""COMPUTED_VALUE"""),"Mexico")</f>
        <v>Mexico</v>
      </c>
      <c r="D10331">
        <f>IFERROR(__xludf.DUMMYFUNCTION("""COMPUTED_VALUE"""),1994.0)</f>
        <v>1994</v>
      </c>
      <c r="E10331">
        <f>IFERROR(__xludf.DUMMYFUNCTION("""COMPUTED_VALUE"""),9.2349147E7)</f>
        <v>92349147</v>
      </c>
    </row>
    <row r="10332">
      <c r="A10332" t="str">
        <f t="shared" si="1"/>
        <v>mex#1995</v>
      </c>
      <c r="B10332" t="str">
        <f>IFERROR(__xludf.DUMMYFUNCTION("""COMPUTED_VALUE"""),"mex")</f>
        <v>mex</v>
      </c>
      <c r="C10332" t="str">
        <f>IFERROR(__xludf.DUMMYFUNCTION("""COMPUTED_VALUE"""),"Mexico")</f>
        <v>Mexico</v>
      </c>
      <c r="D10332">
        <f>IFERROR(__xludf.DUMMYFUNCTION("""COMPUTED_VALUE"""),1995.0)</f>
        <v>1995</v>
      </c>
      <c r="E10332">
        <f>IFERROR(__xludf.DUMMYFUNCTION("""COMPUTED_VALUE"""),9.4045579E7)</f>
        <v>94045579</v>
      </c>
    </row>
    <row r="10333">
      <c r="A10333" t="str">
        <f t="shared" si="1"/>
        <v>mex#1996</v>
      </c>
      <c r="B10333" t="str">
        <f>IFERROR(__xludf.DUMMYFUNCTION("""COMPUTED_VALUE"""),"mex")</f>
        <v>mex</v>
      </c>
      <c r="C10333" t="str">
        <f>IFERROR(__xludf.DUMMYFUNCTION("""COMPUTED_VALUE"""),"Mexico")</f>
        <v>Mexico</v>
      </c>
      <c r="D10333">
        <f>IFERROR(__xludf.DUMMYFUNCTION("""COMPUTED_VALUE"""),1996.0)</f>
        <v>1996</v>
      </c>
      <c r="E10333">
        <f>IFERROR(__xludf.DUMMYFUNCTION("""COMPUTED_VALUE"""),9.5687452E7)</f>
        <v>95687452</v>
      </c>
    </row>
    <row r="10334">
      <c r="A10334" t="str">
        <f t="shared" si="1"/>
        <v>mex#1997</v>
      </c>
      <c r="B10334" t="str">
        <f>IFERROR(__xludf.DUMMYFUNCTION("""COMPUTED_VALUE"""),"mex")</f>
        <v>mex</v>
      </c>
      <c r="C10334" t="str">
        <f>IFERROR(__xludf.DUMMYFUNCTION("""COMPUTED_VALUE"""),"Mexico")</f>
        <v>Mexico</v>
      </c>
      <c r="D10334">
        <f>IFERROR(__xludf.DUMMYFUNCTION("""COMPUTED_VALUE"""),1997.0)</f>
        <v>1997</v>
      </c>
      <c r="E10334">
        <f>IFERROR(__xludf.DUMMYFUNCTION("""COMPUTED_VALUE"""),9.7281739E7)</f>
        <v>97281739</v>
      </c>
    </row>
    <row r="10335">
      <c r="A10335" t="str">
        <f t="shared" si="1"/>
        <v>mex#1998</v>
      </c>
      <c r="B10335" t="str">
        <f>IFERROR(__xludf.DUMMYFUNCTION("""COMPUTED_VALUE"""),"mex")</f>
        <v>mex</v>
      </c>
      <c r="C10335" t="str">
        <f>IFERROR(__xludf.DUMMYFUNCTION("""COMPUTED_VALUE"""),"Mexico")</f>
        <v>Mexico</v>
      </c>
      <c r="D10335">
        <f>IFERROR(__xludf.DUMMYFUNCTION("""COMPUTED_VALUE"""),1998.0)</f>
        <v>1998</v>
      </c>
      <c r="E10335">
        <f>IFERROR(__xludf.DUMMYFUNCTION("""COMPUTED_VALUE"""),9.8821456E7)</f>
        <v>98821456</v>
      </c>
    </row>
    <row r="10336">
      <c r="A10336" t="str">
        <f t="shared" si="1"/>
        <v>mex#1999</v>
      </c>
      <c r="B10336" t="str">
        <f>IFERROR(__xludf.DUMMYFUNCTION("""COMPUTED_VALUE"""),"mex")</f>
        <v>mex</v>
      </c>
      <c r="C10336" t="str">
        <f>IFERROR(__xludf.DUMMYFUNCTION("""COMPUTED_VALUE"""),"Mexico")</f>
        <v>Mexico</v>
      </c>
      <c r="D10336">
        <f>IFERROR(__xludf.DUMMYFUNCTION("""COMPUTED_VALUE"""),1999.0)</f>
        <v>1999</v>
      </c>
      <c r="E10336">
        <f>IFERROR(__xludf.DUMMYFUNCTION("""COMPUTED_VALUE"""),1.00300579E8)</f>
        <v>100300579</v>
      </c>
    </row>
    <row r="10337">
      <c r="A10337" t="str">
        <f t="shared" si="1"/>
        <v>mex#2000</v>
      </c>
      <c r="B10337" t="str">
        <f>IFERROR(__xludf.DUMMYFUNCTION("""COMPUTED_VALUE"""),"mex")</f>
        <v>mex</v>
      </c>
      <c r="C10337" t="str">
        <f>IFERROR(__xludf.DUMMYFUNCTION("""COMPUTED_VALUE"""),"Mexico")</f>
        <v>Mexico</v>
      </c>
      <c r="D10337">
        <f>IFERROR(__xludf.DUMMYFUNCTION("""COMPUTED_VALUE"""),2000.0)</f>
        <v>2000</v>
      </c>
      <c r="E10337">
        <f>IFERROR(__xludf.DUMMYFUNCTION("""COMPUTED_VALUE"""),1.01719673E8)</f>
        <v>101719673</v>
      </c>
    </row>
    <row r="10338">
      <c r="A10338" t="str">
        <f t="shared" si="1"/>
        <v>mex#2001</v>
      </c>
      <c r="B10338" t="str">
        <f>IFERROR(__xludf.DUMMYFUNCTION("""COMPUTED_VALUE"""),"mex")</f>
        <v>mex</v>
      </c>
      <c r="C10338" t="str">
        <f>IFERROR(__xludf.DUMMYFUNCTION("""COMPUTED_VALUE"""),"Mexico")</f>
        <v>Mexico</v>
      </c>
      <c r="D10338">
        <f>IFERROR(__xludf.DUMMYFUNCTION("""COMPUTED_VALUE"""),2001.0)</f>
        <v>2001</v>
      </c>
      <c r="E10338">
        <f>IFERROR(__xludf.DUMMYFUNCTION("""COMPUTED_VALUE"""),1.03067068E8)</f>
        <v>103067068</v>
      </c>
    </row>
    <row r="10339">
      <c r="A10339" t="str">
        <f t="shared" si="1"/>
        <v>mex#2002</v>
      </c>
      <c r="B10339" t="str">
        <f>IFERROR(__xludf.DUMMYFUNCTION("""COMPUTED_VALUE"""),"mex")</f>
        <v>mex</v>
      </c>
      <c r="C10339" t="str">
        <f>IFERROR(__xludf.DUMMYFUNCTION("""COMPUTED_VALUE"""),"Mexico")</f>
        <v>Mexico</v>
      </c>
      <c r="D10339">
        <f>IFERROR(__xludf.DUMMYFUNCTION("""COMPUTED_VALUE"""),2002.0)</f>
        <v>2002</v>
      </c>
      <c r="E10339">
        <f>IFERROR(__xludf.DUMMYFUNCTION("""COMPUTED_VALUE"""),1.04355608E8)</f>
        <v>104355608</v>
      </c>
    </row>
    <row r="10340">
      <c r="A10340" t="str">
        <f t="shared" si="1"/>
        <v>mex#2003</v>
      </c>
      <c r="B10340" t="str">
        <f>IFERROR(__xludf.DUMMYFUNCTION("""COMPUTED_VALUE"""),"mex")</f>
        <v>mex</v>
      </c>
      <c r="C10340" t="str">
        <f>IFERROR(__xludf.DUMMYFUNCTION("""COMPUTED_VALUE"""),"Mexico")</f>
        <v>Mexico</v>
      </c>
      <c r="D10340">
        <f>IFERROR(__xludf.DUMMYFUNCTION("""COMPUTED_VALUE"""),2003.0)</f>
        <v>2003</v>
      </c>
      <c r="E10340">
        <f>IFERROR(__xludf.DUMMYFUNCTION("""COMPUTED_VALUE"""),1.05640453E8)</f>
        <v>105640453</v>
      </c>
    </row>
    <row r="10341">
      <c r="A10341" t="str">
        <f t="shared" si="1"/>
        <v>mex#2004</v>
      </c>
      <c r="B10341" t="str">
        <f>IFERROR(__xludf.DUMMYFUNCTION("""COMPUTED_VALUE"""),"mex")</f>
        <v>mex</v>
      </c>
      <c r="C10341" t="str">
        <f>IFERROR(__xludf.DUMMYFUNCTION("""COMPUTED_VALUE"""),"Mexico")</f>
        <v>Mexico</v>
      </c>
      <c r="D10341">
        <f>IFERROR(__xludf.DUMMYFUNCTION("""COMPUTED_VALUE"""),2004.0)</f>
        <v>2004</v>
      </c>
      <c r="E10341">
        <f>IFERROR(__xludf.DUMMYFUNCTION("""COMPUTED_VALUE"""),1.06995583E8)</f>
        <v>106995583</v>
      </c>
    </row>
    <row r="10342">
      <c r="A10342" t="str">
        <f t="shared" si="1"/>
        <v>mex#2005</v>
      </c>
      <c r="B10342" t="str">
        <f>IFERROR(__xludf.DUMMYFUNCTION("""COMPUTED_VALUE"""),"mex")</f>
        <v>mex</v>
      </c>
      <c r="C10342" t="str">
        <f>IFERROR(__xludf.DUMMYFUNCTION("""COMPUTED_VALUE"""),"Mexico")</f>
        <v>Mexico</v>
      </c>
      <c r="D10342">
        <f>IFERROR(__xludf.DUMMYFUNCTION("""COMPUTED_VALUE"""),2005.0)</f>
        <v>2005</v>
      </c>
      <c r="E10342">
        <f>IFERROR(__xludf.DUMMYFUNCTION("""COMPUTED_VALUE"""),1.08472228E8)</f>
        <v>108472228</v>
      </c>
    </row>
    <row r="10343">
      <c r="A10343" t="str">
        <f t="shared" si="1"/>
        <v>mex#2006</v>
      </c>
      <c r="B10343" t="str">
        <f>IFERROR(__xludf.DUMMYFUNCTION("""COMPUTED_VALUE"""),"mex")</f>
        <v>mex</v>
      </c>
      <c r="C10343" t="str">
        <f>IFERROR(__xludf.DUMMYFUNCTION("""COMPUTED_VALUE"""),"Mexico")</f>
        <v>Mexico</v>
      </c>
      <c r="D10343">
        <f>IFERROR(__xludf.DUMMYFUNCTION("""COMPUTED_VALUE"""),2006.0)</f>
        <v>2006</v>
      </c>
      <c r="E10343">
        <f>IFERROR(__xludf.DUMMYFUNCTION("""COMPUTED_VALUE"""),1.10092378E8)</f>
        <v>110092378</v>
      </c>
    </row>
    <row r="10344">
      <c r="A10344" t="str">
        <f t="shared" si="1"/>
        <v>mex#2007</v>
      </c>
      <c r="B10344" t="str">
        <f>IFERROR(__xludf.DUMMYFUNCTION("""COMPUTED_VALUE"""),"mex")</f>
        <v>mex</v>
      </c>
      <c r="C10344" t="str">
        <f>IFERROR(__xludf.DUMMYFUNCTION("""COMPUTED_VALUE"""),"Mexico")</f>
        <v>Mexico</v>
      </c>
      <c r="D10344">
        <f>IFERROR(__xludf.DUMMYFUNCTION("""COMPUTED_VALUE"""),2007.0)</f>
        <v>2007</v>
      </c>
      <c r="E10344">
        <f>IFERROR(__xludf.DUMMYFUNCTION("""COMPUTED_VALUE"""),1.11836346E8)</f>
        <v>111836346</v>
      </c>
    </row>
    <row r="10345">
      <c r="A10345" t="str">
        <f t="shared" si="1"/>
        <v>mex#2008</v>
      </c>
      <c r="B10345" t="str">
        <f>IFERROR(__xludf.DUMMYFUNCTION("""COMPUTED_VALUE"""),"mex")</f>
        <v>mex</v>
      </c>
      <c r="C10345" t="str">
        <f>IFERROR(__xludf.DUMMYFUNCTION("""COMPUTED_VALUE"""),"Mexico")</f>
        <v>Mexico</v>
      </c>
      <c r="D10345">
        <f>IFERROR(__xludf.DUMMYFUNCTION("""COMPUTED_VALUE"""),2008.0)</f>
        <v>2008</v>
      </c>
      <c r="E10345">
        <f>IFERROR(__xludf.DUMMYFUNCTION("""COMPUTED_VALUE"""),1.13661809E8)</f>
        <v>113661809</v>
      </c>
    </row>
    <row r="10346">
      <c r="A10346" t="str">
        <f t="shared" si="1"/>
        <v>mex#2009</v>
      </c>
      <c r="B10346" t="str">
        <f>IFERROR(__xludf.DUMMYFUNCTION("""COMPUTED_VALUE"""),"mex")</f>
        <v>mex</v>
      </c>
      <c r="C10346" t="str">
        <f>IFERROR(__xludf.DUMMYFUNCTION("""COMPUTED_VALUE"""),"Mexico")</f>
        <v>Mexico</v>
      </c>
      <c r="D10346">
        <f>IFERROR(__xludf.DUMMYFUNCTION("""COMPUTED_VALUE"""),2009.0)</f>
        <v>2009</v>
      </c>
      <c r="E10346">
        <f>IFERROR(__xludf.DUMMYFUNCTION("""COMPUTED_VALUE"""),1.15505228E8)</f>
        <v>115505228</v>
      </c>
    </row>
    <row r="10347">
      <c r="A10347" t="str">
        <f t="shared" si="1"/>
        <v>mex#2010</v>
      </c>
      <c r="B10347" t="str">
        <f>IFERROR(__xludf.DUMMYFUNCTION("""COMPUTED_VALUE"""),"mex")</f>
        <v>mex</v>
      </c>
      <c r="C10347" t="str">
        <f>IFERROR(__xludf.DUMMYFUNCTION("""COMPUTED_VALUE"""),"Mexico")</f>
        <v>Mexico</v>
      </c>
      <c r="D10347">
        <f>IFERROR(__xludf.DUMMYFUNCTION("""COMPUTED_VALUE"""),2010.0)</f>
        <v>2010</v>
      </c>
      <c r="E10347">
        <f>IFERROR(__xludf.DUMMYFUNCTION("""COMPUTED_VALUE"""),1.17318941E8)</f>
        <v>117318941</v>
      </c>
    </row>
    <row r="10348">
      <c r="A10348" t="str">
        <f t="shared" si="1"/>
        <v>mex#2011</v>
      </c>
      <c r="B10348" t="str">
        <f>IFERROR(__xludf.DUMMYFUNCTION("""COMPUTED_VALUE"""),"mex")</f>
        <v>mex</v>
      </c>
      <c r="C10348" t="str">
        <f>IFERROR(__xludf.DUMMYFUNCTION("""COMPUTED_VALUE"""),"Mexico")</f>
        <v>Mexico</v>
      </c>
      <c r="D10348">
        <f>IFERROR(__xludf.DUMMYFUNCTION("""COMPUTED_VALUE"""),2011.0)</f>
        <v>2011</v>
      </c>
      <c r="E10348">
        <f>IFERROR(__xludf.DUMMYFUNCTION("""COMPUTED_VALUE"""),1.19090017E8)</f>
        <v>119090017</v>
      </c>
    </row>
    <row r="10349">
      <c r="A10349" t="str">
        <f t="shared" si="1"/>
        <v>mex#2012</v>
      </c>
      <c r="B10349" t="str">
        <f>IFERROR(__xludf.DUMMYFUNCTION("""COMPUTED_VALUE"""),"mex")</f>
        <v>mex</v>
      </c>
      <c r="C10349" t="str">
        <f>IFERROR(__xludf.DUMMYFUNCTION("""COMPUTED_VALUE"""),"Mexico")</f>
        <v>Mexico</v>
      </c>
      <c r="D10349">
        <f>IFERROR(__xludf.DUMMYFUNCTION("""COMPUTED_VALUE"""),2012.0)</f>
        <v>2012</v>
      </c>
      <c r="E10349">
        <f>IFERROR(__xludf.DUMMYFUNCTION("""COMPUTED_VALUE"""),1.20828307E8)</f>
        <v>120828307</v>
      </c>
    </row>
    <row r="10350">
      <c r="A10350" t="str">
        <f t="shared" si="1"/>
        <v>mex#2013</v>
      </c>
      <c r="B10350" t="str">
        <f>IFERROR(__xludf.DUMMYFUNCTION("""COMPUTED_VALUE"""),"mex")</f>
        <v>mex</v>
      </c>
      <c r="C10350" t="str">
        <f>IFERROR(__xludf.DUMMYFUNCTION("""COMPUTED_VALUE"""),"Mexico")</f>
        <v>Mexico</v>
      </c>
      <c r="D10350">
        <f>IFERROR(__xludf.DUMMYFUNCTION("""COMPUTED_VALUE"""),2013.0)</f>
        <v>2013</v>
      </c>
      <c r="E10350">
        <f>IFERROR(__xludf.DUMMYFUNCTION("""COMPUTED_VALUE"""),1.22535969E8)</f>
        <v>122535969</v>
      </c>
    </row>
    <row r="10351">
      <c r="A10351" t="str">
        <f t="shared" si="1"/>
        <v>mex#2014</v>
      </c>
      <c r="B10351" t="str">
        <f>IFERROR(__xludf.DUMMYFUNCTION("""COMPUTED_VALUE"""),"mex")</f>
        <v>mex</v>
      </c>
      <c r="C10351" t="str">
        <f>IFERROR(__xludf.DUMMYFUNCTION("""COMPUTED_VALUE"""),"Mexico")</f>
        <v>Mexico</v>
      </c>
      <c r="D10351">
        <f>IFERROR(__xludf.DUMMYFUNCTION("""COMPUTED_VALUE"""),2014.0)</f>
        <v>2014</v>
      </c>
      <c r="E10351">
        <f>IFERROR(__xludf.DUMMYFUNCTION("""COMPUTED_VALUE"""),1.242216E8)</f>
        <v>124221600</v>
      </c>
    </row>
    <row r="10352">
      <c r="A10352" t="str">
        <f t="shared" si="1"/>
        <v>mex#2015</v>
      </c>
      <c r="B10352" t="str">
        <f>IFERROR(__xludf.DUMMYFUNCTION("""COMPUTED_VALUE"""),"mex")</f>
        <v>mex</v>
      </c>
      <c r="C10352" t="str">
        <f>IFERROR(__xludf.DUMMYFUNCTION("""COMPUTED_VALUE"""),"Mexico")</f>
        <v>Mexico</v>
      </c>
      <c r="D10352">
        <f>IFERROR(__xludf.DUMMYFUNCTION("""COMPUTED_VALUE"""),2015.0)</f>
        <v>2015</v>
      </c>
      <c r="E10352">
        <f>IFERROR(__xludf.DUMMYFUNCTION("""COMPUTED_VALUE"""),1.25890949E8)</f>
        <v>125890949</v>
      </c>
    </row>
    <row r="10353">
      <c r="A10353" t="str">
        <f t="shared" si="1"/>
        <v>mex#2016</v>
      </c>
      <c r="B10353" t="str">
        <f>IFERROR(__xludf.DUMMYFUNCTION("""COMPUTED_VALUE"""),"mex")</f>
        <v>mex</v>
      </c>
      <c r="C10353" t="str">
        <f>IFERROR(__xludf.DUMMYFUNCTION("""COMPUTED_VALUE"""),"Mexico")</f>
        <v>Mexico</v>
      </c>
      <c r="D10353">
        <f>IFERROR(__xludf.DUMMYFUNCTION("""COMPUTED_VALUE"""),2016.0)</f>
        <v>2016</v>
      </c>
      <c r="E10353">
        <f>IFERROR(__xludf.DUMMYFUNCTION("""COMPUTED_VALUE"""),1.27540423E8)</f>
        <v>127540423</v>
      </c>
    </row>
    <row r="10354">
      <c r="A10354" t="str">
        <f t="shared" si="1"/>
        <v>mex#2017</v>
      </c>
      <c r="B10354" t="str">
        <f>IFERROR(__xludf.DUMMYFUNCTION("""COMPUTED_VALUE"""),"mex")</f>
        <v>mex</v>
      </c>
      <c r="C10354" t="str">
        <f>IFERROR(__xludf.DUMMYFUNCTION("""COMPUTED_VALUE"""),"Mexico")</f>
        <v>Mexico</v>
      </c>
      <c r="D10354">
        <f>IFERROR(__xludf.DUMMYFUNCTION("""COMPUTED_VALUE"""),2017.0)</f>
        <v>2017</v>
      </c>
      <c r="E10354">
        <f>IFERROR(__xludf.DUMMYFUNCTION("""COMPUTED_VALUE"""),1.29163276E8)</f>
        <v>129163276</v>
      </c>
    </row>
    <row r="10355">
      <c r="A10355" t="str">
        <f t="shared" si="1"/>
        <v>mex#2018</v>
      </c>
      <c r="B10355" t="str">
        <f>IFERROR(__xludf.DUMMYFUNCTION("""COMPUTED_VALUE"""),"mex")</f>
        <v>mex</v>
      </c>
      <c r="C10355" t="str">
        <f>IFERROR(__xludf.DUMMYFUNCTION("""COMPUTED_VALUE"""),"Mexico")</f>
        <v>Mexico</v>
      </c>
      <c r="D10355">
        <f>IFERROR(__xludf.DUMMYFUNCTION("""COMPUTED_VALUE"""),2018.0)</f>
        <v>2018</v>
      </c>
      <c r="E10355">
        <f>IFERROR(__xludf.DUMMYFUNCTION("""COMPUTED_VALUE"""),1.30759074E8)</f>
        <v>130759074</v>
      </c>
    </row>
    <row r="10356">
      <c r="A10356" t="str">
        <f t="shared" si="1"/>
        <v>mex#2019</v>
      </c>
      <c r="B10356" t="str">
        <f>IFERROR(__xludf.DUMMYFUNCTION("""COMPUTED_VALUE"""),"mex")</f>
        <v>mex</v>
      </c>
      <c r="C10356" t="str">
        <f>IFERROR(__xludf.DUMMYFUNCTION("""COMPUTED_VALUE"""),"Mexico")</f>
        <v>Mexico</v>
      </c>
      <c r="D10356">
        <f>IFERROR(__xludf.DUMMYFUNCTION("""COMPUTED_VALUE"""),2019.0)</f>
        <v>2019</v>
      </c>
      <c r="E10356">
        <f>IFERROR(__xludf.DUMMYFUNCTION("""COMPUTED_VALUE"""),1.32328035E8)</f>
        <v>132328035</v>
      </c>
    </row>
    <row r="10357">
      <c r="A10357" t="str">
        <f t="shared" si="1"/>
        <v>mex#2020</v>
      </c>
      <c r="B10357" t="str">
        <f>IFERROR(__xludf.DUMMYFUNCTION("""COMPUTED_VALUE"""),"mex")</f>
        <v>mex</v>
      </c>
      <c r="C10357" t="str">
        <f>IFERROR(__xludf.DUMMYFUNCTION("""COMPUTED_VALUE"""),"Mexico")</f>
        <v>Mexico</v>
      </c>
      <c r="D10357">
        <f>IFERROR(__xludf.DUMMYFUNCTION("""COMPUTED_VALUE"""),2020.0)</f>
        <v>2020</v>
      </c>
      <c r="E10357">
        <f>IFERROR(__xludf.DUMMYFUNCTION("""COMPUTED_VALUE"""),1.33870027E8)</f>
        <v>133870027</v>
      </c>
    </row>
    <row r="10358">
      <c r="A10358" t="str">
        <f t="shared" si="1"/>
        <v>mex#2021</v>
      </c>
      <c r="B10358" t="str">
        <f>IFERROR(__xludf.DUMMYFUNCTION("""COMPUTED_VALUE"""),"mex")</f>
        <v>mex</v>
      </c>
      <c r="C10358" t="str">
        <f>IFERROR(__xludf.DUMMYFUNCTION("""COMPUTED_VALUE"""),"Mexico")</f>
        <v>Mexico</v>
      </c>
      <c r="D10358">
        <f>IFERROR(__xludf.DUMMYFUNCTION("""COMPUTED_VALUE"""),2021.0)</f>
        <v>2021</v>
      </c>
      <c r="E10358">
        <f>IFERROR(__xludf.DUMMYFUNCTION("""COMPUTED_VALUE"""),1.3538421E8)</f>
        <v>135384210</v>
      </c>
    </row>
    <row r="10359">
      <c r="A10359" t="str">
        <f t="shared" si="1"/>
        <v>mex#2022</v>
      </c>
      <c r="B10359" t="str">
        <f>IFERROR(__xludf.DUMMYFUNCTION("""COMPUTED_VALUE"""),"mex")</f>
        <v>mex</v>
      </c>
      <c r="C10359" t="str">
        <f>IFERROR(__xludf.DUMMYFUNCTION("""COMPUTED_VALUE"""),"Mexico")</f>
        <v>Mexico</v>
      </c>
      <c r="D10359">
        <f>IFERROR(__xludf.DUMMYFUNCTION("""COMPUTED_VALUE"""),2022.0)</f>
        <v>2022</v>
      </c>
      <c r="E10359">
        <f>IFERROR(__xludf.DUMMYFUNCTION("""COMPUTED_VALUE"""),1.36869035E8)</f>
        <v>136869035</v>
      </c>
    </row>
    <row r="10360">
      <c r="A10360" t="str">
        <f t="shared" si="1"/>
        <v>mex#2023</v>
      </c>
      <c r="B10360" t="str">
        <f>IFERROR(__xludf.DUMMYFUNCTION("""COMPUTED_VALUE"""),"mex")</f>
        <v>mex</v>
      </c>
      <c r="C10360" t="str">
        <f>IFERROR(__xludf.DUMMYFUNCTION("""COMPUTED_VALUE"""),"Mexico")</f>
        <v>Mexico</v>
      </c>
      <c r="D10360">
        <f>IFERROR(__xludf.DUMMYFUNCTION("""COMPUTED_VALUE"""),2023.0)</f>
        <v>2023</v>
      </c>
      <c r="E10360">
        <f>IFERROR(__xludf.DUMMYFUNCTION("""COMPUTED_VALUE"""),1.38322966E8)</f>
        <v>138322966</v>
      </c>
    </row>
    <row r="10361">
      <c r="A10361" t="str">
        <f t="shared" si="1"/>
        <v>mex#2024</v>
      </c>
      <c r="B10361" t="str">
        <f>IFERROR(__xludf.DUMMYFUNCTION("""COMPUTED_VALUE"""),"mex")</f>
        <v>mex</v>
      </c>
      <c r="C10361" t="str">
        <f>IFERROR(__xludf.DUMMYFUNCTION("""COMPUTED_VALUE"""),"Mexico")</f>
        <v>Mexico</v>
      </c>
      <c r="D10361">
        <f>IFERROR(__xludf.DUMMYFUNCTION("""COMPUTED_VALUE"""),2024.0)</f>
        <v>2024</v>
      </c>
      <c r="E10361">
        <f>IFERROR(__xludf.DUMMYFUNCTION("""COMPUTED_VALUE"""),1.39744251E8)</f>
        <v>139744251</v>
      </c>
    </row>
    <row r="10362">
      <c r="A10362" t="str">
        <f t="shared" si="1"/>
        <v>mex#2025</v>
      </c>
      <c r="B10362" t="str">
        <f>IFERROR(__xludf.DUMMYFUNCTION("""COMPUTED_VALUE"""),"mex")</f>
        <v>mex</v>
      </c>
      <c r="C10362" t="str">
        <f>IFERROR(__xludf.DUMMYFUNCTION("""COMPUTED_VALUE"""),"Mexico")</f>
        <v>Mexico</v>
      </c>
      <c r="D10362">
        <f>IFERROR(__xludf.DUMMYFUNCTION("""COMPUTED_VALUE"""),2025.0)</f>
        <v>2025</v>
      </c>
      <c r="E10362">
        <f>IFERROR(__xludf.DUMMYFUNCTION("""COMPUTED_VALUE"""),1.41131503E8)</f>
        <v>141131503</v>
      </c>
    </row>
    <row r="10363">
      <c r="A10363" t="str">
        <f t="shared" si="1"/>
        <v>mex#2026</v>
      </c>
      <c r="B10363" t="str">
        <f>IFERROR(__xludf.DUMMYFUNCTION("""COMPUTED_VALUE"""),"mex")</f>
        <v>mex</v>
      </c>
      <c r="C10363" t="str">
        <f>IFERROR(__xludf.DUMMYFUNCTION("""COMPUTED_VALUE"""),"Mexico")</f>
        <v>Mexico</v>
      </c>
      <c r="D10363">
        <f>IFERROR(__xludf.DUMMYFUNCTION("""COMPUTED_VALUE"""),2026.0)</f>
        <v>2026</v>
      </c>
      <c r="E10363">
        <f>IFERROR(__xludf.DUMMYFUNCTION("""COMPUTED_VALUE"""),1.42483838E8)</f>
        <v>142483838</v>
      </c>
    </row>
    <row r="10364">
      <c r="A10364" t="str">
        <f t="shared" si="1"/>
        <v>mex#2027</v>
      </c>
      <c r="B10364" t="str">
        <f>IFERROR(__xludf.DUMMYFUNCTION("""COMPUTED_VALUE"""),"mex")</f>
        <v>mex</v>
      </c>
      <c r="C10364" t="str">
        <f>IFERROR(__xludf.DUMMYFUNCTION("""COMPUTED_VALUE"""),"Mexico")</f>
        <v>Mexico</v>
      </c>
      <c r="D10364">
        <f>IFERROR(__xludf.DUMMYFUNCTION("""COMPUTED_VALUE"""),2027.0)</f>
        <v>2027</v>
      </c>
      <c r="E10364">
        <f>IFERROR(__xludf.DUMMYFUNCTION("""COMPUTED_VALUE"""),1.43800923E8)</f>
        <v>143800923</v>
      </c>
    </row>
    <row r="10365">
      <c r="A10365" t="str">
        <f t="shared" si="1"/>
        <v>mex#2028</v>
      </c>
      <c r="B10365" t="str">
        <f>IFERROR(__xludf.DUMMYFUNCTION("""COMPUTED_VALUE"""),"mex")</f>
        <v>mex</v>
      </c>
      <c r="C10365" t="str">
        <f>IFERROR(__xludf.DUMMYFUNCTION("""COMPUTED_VALUE"""),"Mexico")</f>
        <v>Mexico</v>
      </c>
      <c r="D10365">
        <f>IFERROR(__xludf.DUMMYFUNCTION("""COMPUTED_VALUE"""),2028.0)</f>
        <v>2028</v>
      </c>
      <c r="E10365">
        <f>IFERROR(__xludf.DUMMYFUNCTION("""COMPUTED_VALUE"""),1.4508259E8)</f>
        <v>145082590</v>
      </c>
    </row>
    <row r="10366">
      <c r="A10366" t="str">
        <f t="shared" si="1"/>
        <v>mex#2029</v>
      </c>
      <c r="B10366" t="str">
        <f>IFERROR(__xludf.DUMMYFUNCTION("""COMPUTED_VALUE"""),"mex")</f>
        <v>mex</v>
      </c>
      <c r="C10366" t="str">
        <f>IFERROR(__xludf.DUMMYFUNCTION("""COMPUTED_VALUE"""),"Mexico")</f>
        <v>Mexico</v>
      </c>
      <c r="D10366">
        <f>IFERROR(__xludf.DUMMYFUNCTION("""COMPUTED_VALUE"""),2029.0)</f>
        <v>2029</v>
      </c>
      <c r="E10366">
        <f>IFERROR(__xludf.DUMMYFUNCTION("""COMPUTED_VALUE"""),1.46328968E8)</f>
        <v>146328968</v>
      </c>
    </row>
    <row r="10367">
      <c r="A10367" t="str">
        <f t="shared" si="1"/>
        <v>mex#2030</v>
      </c>
      <c r="B10367" t="str">
        <f>IFERROR(__xludf.DUMMYFUNCTION("""COMPUTED_VALUE"""),"mex")</f>
        <v>mex</v>
      </c>
      <c r="C10367" t="str">
        <f>IFERROR(__xludf.DUMMYFUNCTION("""COMPUTED_VALUE"""),"Mexico")</f>
        <v>Mexico</v>
      </c>
      <c r="D10367">
        <f>IFERROR(__xludf.DUMMYFUNCTION("""COMPUTED_VALUE"""),2030.0)</f>
        <v>2030</v>
      </c>
      <c r="E10367">
        <f>IFERROR(__xludf.DUMMYFUNCTION("""COMPUTED_VALUE"""),1.47540127E8)</f>
        <v>147540127</v>
      </c>
    </row>
    <row r="10368">
      <c r="A10368" t="str">
        <f t="shared" si="1"/>
        <v>mex#2031</v>
      </c>
      <c r="B10368" t="str">
        <f>IFERROR(__xludf.DUMMYFUNCTION("""COMPUTED_VALUE"""),"mex")</f>
        <v>mex</v>
      </c>
      <c r="C10368" t="str">
        <f>IFERROR(__xludf.DUMMYFUNCTION("""COMPUTED_VALUE"""),"Mexico")</f>
        <v>Mexico</v>
      </c>
      <c r="D10368">
        <f>IFERROR(__xludf.DUMMYFUNCTION("""COMPUTED_VALUE"""),2031.0)</f>
        <v>2031</v>
      </c>
      <c r="E10368">
        <f>IFERROR(__xludf.DUMMYFUNCTION("""COMPUTED_VALUE"""),1.48715786E8)</f>
        <v>148715786</v>
      </c>
    </row>
    <row r="10369">
      <c r="A10369" t="str">
        <f t="shared" si="1"/>
        <v>mex#2032</v>
      </c>
      <c r="B10369" t="str">
        <f>IFERROR(__xludf.DUMMYFUNCTION("""COMPUTED_VALUE"""),"mex")</f>
        <v>mex</v>
      </c>
      <c r="C10369" t="str">
        <f>IFERROR(__xludf.DUMMYFUNCTION("""COMPUTED_VALUE"""),"Mexico")</f>
        <v>Mexico</v>
      </c>
      <c r="D10369">
        <f>IFERROR(__xludf.DUMMYFUNCTION("""COMPUTED_VALUE"""),2032.0)</f>
        <v>2032</v>
      </c>
      <c r="E10369">
        <f>IFERROR(__xludf.DUMMYFUNCTION("""COMPUTED_VALUE"""),1.49855622E8)</f>
        <v>149855622</v>
      </c>
    </row>
    <row r="10370">
      <c r="A10370" t="str">
        <f t="shared" si="1"/>
        <v>mex#2033</v>
      </c>
      <c r="B10370" t="str">
        <f>IFERROR(__xludf.DUMMYFUNCTION("""COMPUTED_VALUE"""),"mex")</f>
        <v>mex</v>
      </c>
      <c r="C10370" t="str">
        <f>IFERROR(__xludf.DUMMYFUNCTION("""COMPUTED_VALUE"""),"Mexico")</f>
        <v>Mexico</v>
      </c>
      <c r="D10370">
        <f>IFERROR(__xludf.DUMMYFUNCTION("""COMPUTED_VALUE"""),2033.0)</f>
        <v>2033</v>
      </c>
      <c r="E10370">
        <f>IFERROR(__xludf.DUMMYFUNCTION("""COMPUTED_VALUE"""),1.5095964E8)</f>
        <v>150959640</v>
      </c>
    </row>
    <row r="10371">
      <c r="A10371" t="str">
        <f t="shared" si="1"/>
        <v>mex#2034</v>
      </c>
      <c r="B10371" t="str">
        <f>IFERROR(__xludf.DUMMYFUNCTION("""COMPUTED_VALUE"""),"mex")</f>
        <v>mex</v>
      </c>
      <c r="C10371" t="str">
        <f>IFERROR(__xludf.DUMMYFUNCTION("""COMPUTED_VALUE"""),"Mexico")</f>
        <v>Mexico</v>
      </c>
      <c r="D10371">
        <f>IFERROR(__xludf.DUMMYFUNCTION("""COMPUTED_VALUE"""),2034.0)</f>
        <v>2034</v>
      </c>
      <c r="E10371">
        <f>IFERROR(__xludf.DUMMYFUNCTION("""COMPUTED_VALUE"""),1.52027945E8)</f>
        <v>152027945</v>
      </c>
    </row>
    <row r="10372">
      <c r="A10372" t="str">
        <f t="shared" si="1"/>
        <v>mex#2035</v>
      </c>
      <c r="B10372" t="str">
        <f>IFERROR(__xludf.DUMMYFUNCTION("""COMPUTED_VALUE"""),"mex")</f>
        <v>mex</v>
      </c>
      <c r="C10372" t="str">
        <f>IFERROR(__xludf.DUMMYFUNCTION("""COMPUTED_VALUE"""),"Mexico")</f>
        <v>Mexico</v>
      </c>
      <c r="D10372">
        <f>IFERROR(__xludf.DUMMYFUNCTION("""COMPUTED_VALUE"""),2035.0)</f>
        <v>2035</v>
      </c>
      <c r="E10372">
        <f>IFERROR(__xludf.DUMMYFUNCTION("""COMPUTED_VALUE"""),1.53060606E8)</f>
        <v>153060606</v>
      </c>
    </row>
    <row r="10373">
      <c r="A10373" t="str">
        <f t="shared" si="1"/>
        <v>mex#2036</v>
      </c>
      <c r="B10373" t="str">
        <f>IFERROR(__xludf.DUMMYFUNCTION("""COMPUTED_VALUE"""),"mex")</f>
        <v>mex</v>
      </c>
      <c r="C10373" t="str">
        <f>IFERROR(__xludf.DUMMYFUNCTION("""COMPUTED_VALUE"""),"Mexico")</f>
        <v>Mexico</v>
      </c>
      <c r="D10373">
        <f>IFERROR(__xludf.DUMMYFUNCTION("""COMPUTED_VALUE"""),2036.0)</f>
        <v>2036</v>
      </c>
      <c r="E10373">
        <f>IFERROR(__xludf.DUMMYFUNCTION("""COMPUTED_VALUE"""),1.54057506E8)</f>
        <v>154057506</v>
      </c>
    </row>
    <row r="10374">
      <c r="A10374" t="str">
        <f t="shared" si="1"/>
        <v>mex#2037</v>
      </c>
      <c r="B10374" t="str">
        <f>IFERROR(__xludf.DUMMYFUNCTION("""COMPUTED_VALUE"""),"mex")</f>
        <v>mex</v>
      </c>
      <c r="C10374" t="str">
        <f>IFERROR(__xludf.DUMMYFUNCTION("""COMPUTED_VALUE"""),"Mexico")</f>
        <v>Mexico</v>
      </c>
      <c r="D10374">
        <f>IFERROR(__xludf.DUMMYFUNCTION("""COMPUTED_VALUE"""),2037.0)</f>
        <v>2037</v>
      </c>
      <c r="E10374">
        <f>IFERROR(__xludf.DUMMYFUNCTION("""COMPUTED_VALUE"""),1.5501861E8)</f>
        <v>155018610</v>
      </c>
    </row>
    <row r="10375">
      <c r="A10375" t="str">
        <f t="shared" si="1"/>
        <v>mex#2038</v>
      </c>
      <c r="B10375" t="str">
        <f>IFERROR(__xludf.DUMMYFUNCTION("""COMPUTED_VALUE"""),"mex")</f>
        <v>mex</v>
      </c>
      <c r="C10375" t="str">
        <f>IFERROR(__xludf.DUMMYFUNCTION("""COMPUTED_VALUE"""),"Mexico")</f>
        <v>Mexico</v>
      </c>
      <c r="D10375">
        <f>IFERROR(__xludf.DUMMYFUNCTION("""COMPUTED_VALUE"""),2038.0)</f>
        <v>2038</v>
      </c>
      <c r="E10375">
        <f>IFERROR(__xludf.DUMMYFUNCTION("""COMPUTED_VALUE"""),1.55944137E8)</f>
        <v>155944137</v>
      </c>
    </row>
    <row r="10376">
      <c r="A10376" t="str">
        <f t="shared" si="1"/>
        <v>mex#2039</v>
      </c>
      <c r="B10376" t="str">
        <f>IFERROR(__xludf.DUMMYFUNCTION("""COMPUTED_VALUE"""),"mex")</f>
        <v>mex</v>
      </c>
      <c r="C10376" t="str">
        <f>IFERROR(__xludf.DUMMYFUNCTION("""COMPUTED_VALUE"""),"Mexico")</f>
        <v>Mexico</v>
      </c>
      <c r="D10376">
        <f>IFERROR(__xludf.DUMMYFUNCTION("""COMPUTED_VALUE"""),2039.0)</f>
        <v>2039</v>
      </c>
      <c r="E10376">
        <f>IFERROR(__xludf.DUMMYFUNCTION("""COMPUTED_VALUE"""),1.56834427E8)</f>
        <v>156834427</v>
      </c>
    </row>
    <row r="10377">
      <c r="A10377" t="str">
        <f t="shared" si="1"/>
        <v>mex#2040</v>
      </c>
      <c r="B10377" t="str">
        <f>IFERROR(__xludf.DUMMYFUNCTION("""COMPUTED_VALUE"""),"mex")</f>
        <v>mex</v>
      </c>
      <c r="C10377" t="str">
        <f>IFERROR(__xludf.DUMMYFUNCTION("""COMPUTED_VALUE"""),"Mexico")</f>
        <v>Mexico</v>
      </c>
      <c r="D10377">
        <f>IFERROR(__xludf.DUMMYFUNCTION("""COMPUTED_VALUE"""),2040.0)</f>
        <v>2040</v>
      </c>
      <c r="E10377">
        <f>IFERROR(__xludf.DUMMYFUNCTION("""COMPUTED_VALUE"""),1.57689665E8)</f>
        <v>157689665</v>
      </c>
    </row>
    <row r="10378">
      <c r="A10378" t="str">
        <f t="shared" si="1"/>
        <v>fsm#1950</v>
      </c>
      <c r="B10378" t="str">
        <f>IFERROR(__xludf.DUMMYFUNCTION("""COMPUTED_VALUE"""),"fsm")</f>
        <v>fsm</v>
      </c>
      <c r="C10378" t="str">
        <f>IFERROR(__xludf.DUMMYFUNCTION("""COMPUTED_VALUE"""),"Micronesia, Fed. Sts.")</f>
        <v>Micronesia, Fed. Sts.</v>
      </c>
      <c r="D10378">
        <f>IFERROR(__xludf.DUMMYFUNCTION("""COMPUTED_VALUE"""),1950.0)</f>
        <v>1950</v>
      </c>
      <c r="E10378">
        <f>IFERROR(__xludf.DUMMYFUNCTION("""COMPUTED_VALUE"""),32001.0)</f>
        <v>32001</v>
      </c>
    </row>
    <row r="10379">
      <c r="A10379" t="str">
        <f t="shared" si="1"/>
        <v>fsm#1951</v>
      </c>
      <c r="B10379" t="str">
        <f>IFERROR(__xludf.DUMMYFUNCTION("""COMPUTED_VALUE"""),"fsm")</f>
        <v>fsm</v>
      </c>
      <c r="C10379" t="str">
        <f>IFERROR(__xludf.DUMMYFUNCTION("""COMPUTED_VALUE"""),"Micronesia, Fed. Sts.")</f>
        <v>Micronesia, Fed. Sts.</v>
      </c>
      <c r="D10379">
        <f>IFERROR(__xludf.DUMMYFUNCTION("""COMPUTED_VALUE"""),1951.0)</f>
        <v>1951</v>
      </c>
      <c r="E10379">
        <f>IFERROR(__xludf.DUMMYFUNCTION("""COMPUTED_VALUE"""),33408.0)</f>
        <v>33408</v>
      </c>
    </row>
    <row r="10380">
      <c r="A10380" t="str">
        <f t="shared" si="1"/>
        <v>fsm#1952</v>
      </c>
      <c r="B10380" t="str">
        <f>IFERROR(__xludf.DUMMYFUNCTION("""COMPUTED_VALUE"""),"fsm")</f>
        <v>fsm</v>
      </c>
      <c r="C10380" t="str">
        <f>IFERROR(__xludf.DUMMYFUNCTION("""COMPUTED_VALUE"""),"Micronesia, Fed. Sts.")</f>
        <v>Micronesia, Fed. Sts.</v>
      </c>
      <c r="D10380">
        <f>IFERROR(__xludf.DUMMYFUNCTION("""COMPUTED_VALUE"""),1952.0)</f>
        <v>1952</v>
      </c>
      <c r="E10380">
        <f>IFERROR(__xludf.DUMMYFUNCTION("""COMPUTED_VALUE"""),34600.0)</f>
        <v>34600</v>
      </c>
    </row>
    <row r="10381">
      <c r="A10381" t="str">
        <f t="shared" si="1"/>
        <v>fsm#1953</v>
      </c>
      <c r="B10381" t="str">
        <f>IFERROR(__xludf.DUMMYFUNCTION("""COMPUTED_VALUE"""),"fsm")</f>
        <v>fsm</v>
      </c>
      <c r="C10381" t="str">
        <f>IFERROR(__xludf.DUMMYFUNCTION("""COMPUTED_VALUE"""),"Micronesia, Fed. Sts.")</f>
        <v>Micronesia, Fed. Sts.</v>
      </c>
      <c r="D10381">
        <f>IFERROR(__xludf.DUMMYFUNCTION("""COMPUTED_VALUE"""),1953.0)</f>
        <v>1953</v>
      </c>
      <c r="E10381">
        <f>IFERROR(__xludf.DUMMYFUNCTION("""COMPUTED_VALUE"""),35693.0)</f>
        <v>35693</v>
      </c>
    </row>
    <row r="10382">
      <c r="A10382" t="str">
        <f t="shared" si="1"/>
        <v>fsm#1954</v>
      </c>
      <c r="B10382" t="str">
        <f>IFERROR(__xludf.DUMMYFUNCTION("""COMPUTED_VALUE"""),"fsm")</f>
        <v>fsm</v>
      </c>
      <c r="C10382" t="str">
        <f>IFERROR(__xludf.DUMMYFUNCTION("""COMPUTED_VALUE"""),"Micronesia, Fed. Sts.")</f>
        <v>Micronesia, Fed. Sts.</v>
      </c>
      <c r="D10382">
        <f>IFERROR(__xludf.DUMMYFUNCTION("""COMPUTED_VALUE"""),1954.0)</f>
        <v>1954</v>
      </c>
      <c r="E10382">
        <f>IFERROR(__xludf.DUMMYFUNCTION("""COMPUTED_VALUE"""),36777.0)</f>
        <v>36777</v>
      </c>
    </row>
    <row r="10383">
      <c r="A10383" t="str">
        <f t="shared" si="1"/>
        <v>fsm#1955</v>
      </c>
      <c r="B10383" t="str">
        <f>IFERROR(__xludf.DUMMYFUNCTION("""COMPUTED_VALUE"""),"fsm")</f>
        <v>fsm</v>
      </c>
      <c r="C10383" t="str">
        <f>IFERROR(__xludf.DUMMYFUNCTION("""COMPUTED_VALUE"""),"Micronesia, Fed. Sts.")</f>
        <v>Micronesia, Fed. Sts.</v>
      </c>
      <c r="D10383">
        <f>IFERROR(__xludf.DUMMYFUNCTION("""COMPUTED_VALUE"""),1955.0)</f>
        <v>1955</v>
      </c>
      <c r="E10383">
        <f>IFERROR(__xludf.DUMMYFUNCTION("""COMPUTED_VALUE"""),37893.0)</f>
        <v>37893</v>
      </c>
    </row>
    <row r="10384">
      <c r="A10384" t="str">
        <f t="shared" si="1"/>
        <v>fsm#1956</v>
      </c>
      <c r="B10384" t="str">
        <f>IFERROR(__xludf.DUMMYFUNCTION("""COMPUTED_VALUE"""),"fsm")</f>
        <v>fsm</v>
      </c>
      <c r="C10384" t="str">
        <f>IFERROR(__xludf.DUMMYFUNCTION("""COMPUTED_VALUE"""),"Micronesia, Fed. Sts.")</f>
        <v>Micronesia, Fed. Sts.</v>
      </c>
      <c r="D10384">
        <f>IFERROR(__xludf.DUMMYFUNCTION("""COMPUTED_VALUE"""),1956.0)</f>
        <v>1956</v>
      </c>
      <c r="E10384">
        <f>IFERROR(__xludf.DUMMYFUNCTION("""COMPUTED_VALUE"""),39093.0)</f>
        <v>39093</v>
      </c>
    </row>
    <row r="10385">
      <c r="A10385" t="str">
        <f t="shared" si="1"/>
        <v>fsm#1957</v>
      </c>
      <c r="B10385" t="str">
        <f>IFERROR(__xludf.DUMMYFUNCTION("""COMPUTED_VALUE"""),"fsm")</f>
        <v>fsm</v>
      </c>
      <c r="C10385" t="str">
        <f>IFERROR(__xludf.DUMMYFUNCTION("""COMPUTED_VALUE"""),"Micronesia, Fed. Sts.")</f>
        <v>Micronesia, Fed. Sts.</v>
      </c>
      <c r="D10385">
        <f>IFERROR(__xludf.DUMMYFUNCTION("""COMPUTED_VALUE"""),1957.0)</f>
        <v>1957</v>
      </c>
      <c r="E10385">
        <f>IFERROR(__xludf.DUMMYFUNCTION("""COMPUTED_VALUE"""),40373.0)</f>
        <v>40373</v>
      </c>
    </row>
    <row r="10386">
      <c r="A10386" t="str">
        <f t="shared" si="1"/>
        <v>fsm#1958</v>
      </c>
      <c r="B10386" t="str">
        <f>IFERROR(__xludf.DUMMYFUNCTION("""COMPUTED_VALUE"""),"fsm")</f>
        <v>fsm</v>
      </c>
      <c r="C10386" t="str">
        <f>IFERROR(__xludf.DUMMYFUNCTION("""COMPUTED_VALUE"""),"Micronesia, Fed. Sts.")</f>
        <v>Micronesia, Fed. Sts.</v>
      </c>
      <c r="D10386">
        <f>IFERROR(__xludf.DUMMYFUNCTION("""COMPUTED_VALUE"""),1958.0)</f>
        <v>1958</v>
      </c>
      <c r="E10386">
        <f>IFERROR(__xludf.DUMMYFUNCTION("""COMPUTED_VALUE"""),41727.0)</f>
        <v>41727</v>
      </c>
    </row>
    <row r="10387">
      <c r="A10387" t="str">
        <f t="shared" si="1"/>
        <v>fsm#1959</v>
      </c>
      <c r="B10387" t="str">
        <f>IFERROR(__xludf.DUMMYFUNCTION("""COMPUTED_VALUE"""),"fsm")</f>
        <v>fsm</v>
      </c>
      <c r="C10387" t="str">
        <f>IFERROR(__xludf.DUMMYFUNCTION("""COMPUTED_VALUE"""),"Micronesia, Fed. Sts.")</f>
        <v>Micronesia, Fed. Sts.</v>
      </c>
      <c r="D10387">
        <f>IFERROR(__xludf.DUMMYFUNCTION("""COMPUTED_VALUE"""),1959.0)</f>
        <v>1959</v>
      </c>
      <c r="E10387">
        <f>IFERROR(__xludf.DUMMYFUNCTION("""COMPUTED_VALUE"""),43126.0)</f>
        <v>43126</v>
      </c>
    </row>
    <row r="10388">
      <c r="A10388" t="str">
        <f t="shared" si="1"/>
        <v>fsm#1960</v>
      </c>
      <c r="B10388" t="str">
        <f>IFERROR(__xludf.DUMMYFUNCTION("""COMPUTED_VALUE"""),"fsm")</f>
        <v>fsm</v>
      </c>
      <c r="C10388" t="str">
        <f>IFERROR(__xludf.DUMMYFUNCTION("""COMPUTED_VALUE"""),"Micronesia, Fed. Sts.")</f>
        <v>Micronesia, Fed. Sts.</v>
      </c>
      <c r="D10388">
        <f>IFERROR(__xludf.DUMMYFUNCTION("""COMPUTED_VALUE"""),1960.0)</f>
        <v>1960</v>
      </c>
      <c r="E10388">
        <f>IFERROR(__xludf.DUMMYFUNCTION("""COMPUTED_VALUE"""),44537.0)</f>
        <v>44537</v>
      </c>
    </row>
    <row r="10389">
      <c r="A10389" t="str">
        <f t="shared" si="1"/>
        <v>fsm#1961</v>
      </c>
      <c r="B10389" t="str">
        <f>IFERROR(__xludf.DUMMYFUNCTION("""COMPUTED_VALUE"""),"fsm")</f>
        <v>fsm</v>
      </c>
      <c r="C10389" t="str">
        <f>IFERROR(__xludf.DUMMYFUNCTION("""COMPUTED_VALUE"""),"Micronesia, Fed. Sts.")</f>
        <v>Micronesia, Fed. Sts.</v>
      </c>
      <c r="D10389">
        <f>IFERROR(__xludf.DUMMYFUNCTION("""COMPUTED_VALUE"""),1961.0)</f>
        <v>1961</v>
      </c>
      <c r="E10389">
        <f>IFERROR(__xludf.DUMMYFUNCTION("""COMPUTED_VALUE"""),45955.0)</f>
        <v>45955</v>
      </c>
    </row>
    <row r="10390">
      <c r="A10390" t="str">
        <f t="shared" si="1"/>
        <v>fsm#1962</v>
      </c>
      <c r="B10390" t="str">
        <f>IFERROR(__xludf.DUMMYFUNCTION("""COMPUTED_VALUE"""),"fsm")</f>
        <v>fsm</v>
      </c>
      <c r="C10390" t="str">
        <f>IFERROR(__xludf.DUMMYFUNCTION("""COMPUTED_VALUE"""),"Micronesia, Fed. Sts.")</f>
        <v>Micronesia, Fed. Sts.</v>
      </c>
      <c r="D10390">
        <f>IFERROR(__xludf.DUMMYFUNCTION("""COMPUTED_VALUE"""),1962.0)</f>
        <v>1962</v>
      </c>
      <c r="E10390">
        <f>IFERROR(__xludf.DUMMYFUNCTION("""COMPUTED_VALUE"""),47388.0)</f>
        <v>47388</v>
      </c>
    </row>
    <row r="10391">
      <c r="A10391" t="str">
        <f t="shared" si="1"/>
        <v>fsm#1963</v>
      </c>
      <c r="B10391" t="str">
        <f>IFERROR(__xludf.DUMMYFUNCTION("""COMPUTED_VALUE"""),"fsm")</f>
        <v>fsm</v>
      </c>
      <c r="C10391" t="str">
        <f>IFERROR(__xludf.DUMMYFUNCTION("""COMPUTED_VALUE"""),"Micronesia, Fed. Sts.")</f>
        <v>Micronesia, Fed. Sts.</v>
      </c>
      <c r="D10391">
        <f>IFERROR(__xludf.DUMMYFUNCTION("""COMPUTED_VALUE"""),1963.0)</f>
        <v>1963</v>
      </c>
      <c r="E10391">
        <f>IFERROR(__xludf.DUMMYFUNCTION("""COMPUTED_VALUE"""),48876.0)</f>
        <v>48876</v>
      </c>
    </row>
    <row r="10392">
      <c r="A10392" t="str">
        <f t="shared" si="1"/>
        <v>fsm#1964</v>
      </c>
      <c r="B10392" t="str">
        <f>IFERROR(__xludf.DUMMYFUNCTION("""COMPUTED_VALUE"""),"fsm")</f>
        <v>fsm</v>
      </c>
      <c r="C10392" t="str">
        <f>IFERROR(__xludf.DUMMYFUNCTION("""COMPUTED_VALUE"""),"Micronesia, Fed. Sts.")</f>
        <v>Micronesia, Fed. Sts.</v>
      </c>
      <c r="D10392">
        <f>IFERROR(__xludf.DUMMYFUNCTION("""COMPUTED_VALUE"""),1964.0)</f>
        <v>1964</v>
      </c>
      <c r="E10392">
        <f>IFERROR(__xludf.DUMMYFUNCTION("""COMPUTED_VALUE"""),50487.0)</f>
        <v>50487</v>
      </c>
    </row>
    <row r="10393">
      <c r="A10393" t="str">
        <f t="shared" si="1"/>
        <v>fsm#1965</v>
      </c>
      <c r="B10393" t="str">
        <f>IFERROR(__xludf.DUMMYFUNCTION("""COMPUTED_VALUE"""),"fsm")</f>
        <v>fsm</v>
      </c>
      <c r="C10393" t="str">
        <f>IFERROR(__xludf.DUMMYFUNCTION("""COMPUTED_VALUE"""),"Micronesia, Fed. Sts.")</f>
        <v>Micronesia, Fed. Sts.</v>
      </c>
      <c r="D10393">
        <f>IFERROR(__xludf.DUMMYFUNCTION("""COMPUTED_VALUE"""),1965.0)</f>
        <v>1965</v>
      </c>
      <c r="E10393">
        <f>IFERROR(__xludf.DUMMYFUNCTION("""COMPUTED_VALUE"""),52242.0)</f>
        <v>52242</v>
      </c>
    </row>
    <row r="10394">
      <c r="A10394" t="str">
        <f t="shared" si="1"/>
        <v>fsm#1966</v>
      </c>
      <c r="B10394" t="str">
        <f>IFERROR(__xludf.DUMMYFUNCTION("""COMPUTED_VALUE"""),"fsm")</f>
        <v>fsm</v>
      </c>
      <c r="C10394" t="str">
        <f>IFERROR(__xludf.DUMMYFUNCTION("""COMPUTED_VALUE"""),"Micronesia, Fed. Sts.")</f>
        <v>Micronesia, Fed. Sts.</v>
      </c>
      <c r="D10394">
        <f>IFERROR(__xludf.DUMMYFUNCTION("""COMPUTED_VALUE"""),1966.0)</f>
        <v>1966</v>
      </c>
      <c r="E10394">
        <f>IFERROR(__xludf.DUMMYFUNCTION("""COMPUTED_VALUE"""),54199.0)</f>
        <v>54199</v>
      </c>
    </row>
    <row r="10395">
      <c r="A10395" t="str">
        <f t="shared" si="1"/>
        <v>fsm#1967</v>
      </c>
      <c r="B10395" t="str">
        <f>IFERROR(__xludf.DUMMYFUNCTION("""COMPUTED_VALUE"""),"fsm")</f>
        <v>fsm</v>
      </c>
      <c r="C10395" t="str">
        <f>IFERROR(__xludf.DUMMYFUNCTION("""COMPUTED_VALUE"""),"Micronesia, Fed. Sts.")</f>
        <v>Micronesia, Fed. Sts.</v>
      </c>
      <c r="D10395">
        <f>IFERROR(__xludf.DUMMYFUNCTION("""COMPUTED_VALUE"""),1967.0)</f>
        <v>1967</v>
      </c>
      <c r="E10395">
        <f>IFERROR(__xludf.DUMMYFUNCTION("""COMPUTED_VALUE"""),56319.0)</f>
        <v>56319</v>
      </c>
    </row>
    <row r="10396">
      <c r="A10396" t="str">
        <f t="shared" si="1"/>
        <v>fsm#1968</v>
      </c>
      <c r="B10396" t="str">
        <f>IFERROR(__xludf.DUMMYFUNCTION("""COMPUTED_VALUE"""),"fsm")</f>
        <v>fsm</v>
      </c>
      <c r="C10396" t="str">
        <f>IFERROR(__xludf.DUMMYFUNCTION("""COMPUTED_VALUE"""),"Micronesia, Fed. Sts.")</f>
        <v>Micronesia, Fed. Sts.</v>
      </c>
      <c r="D10396">
        <f>IFERROR(__xludf.DUMMYFUNCTION("""COMPUTED_VALUE"""),1968.0)</f>
        <v>1968</v>
      </c>
      <c r="E10396">
        <f>IFERROR(__xludf.DUMMYFUNCTION("""COMPUTED_VALUE"""),58403.0)</f>
        <v>58403</v>
      </c>
    </row>
    <row r="10397">
      <c r="A10397" t="str">
        <f t="shared" si="1"/>
        <v>fsm#1969</v>
      </c>
      <c r="B10397" t="str">
        <f>IFERROR(__xludf.DUMMYFUNCTION("""COMPUTED_VALUE"""),"fsm")</f>
        <v>fsm</v>
      </c>
      <c r="C10397" t="str">
        <f>IFERROR(__xludf.DUMMYFUNCTION("""COMPUTED_VALUE"""),"Micronesia, Fed. Sts.")</f>
        <v>Micronesia, Fed. Sts.</v>
      </c>
      <c r="D10397">
        <f>IFERROR(__xludf.DUMMYFUNCTION("""COMPUTED_VALUE"""),1969.0)</f>
        <v>1969</v>
      </c>
      <c r="E10397">
        <f>IFERROR(__xludf.DUMMYFUNCTION("""COMPUTED_VALUE"""),60170.0)</f>
        <v>60170</v>
      </c>
    </row>
    <row r="10398">
      <c r="A10398" t="str">
        <f t="shared" si="1"/>
        <v>fsm#1970</v>
      </c>
      <c r="B10398" t="str">
        <f>IFERROR(__xludf.DUMMYFUNCTION("""COMPUTED_VALUE"""),"fsm")</f>
        <v>fsm</v>
      </c>
      <c r="C10398" t="str">
        <f>IFERROR(__xludf.DUMMYFUNCTION("""COMPUTED_VALUE"""),"Micronesia, Fed. Sts.")</f>
        <v>Micronesia, Fed. Sts.</v>
      </c>
      <c r="D10398">
        <f>IFERROR(__xludf.DUMMYFUNCTION("""COMPUTED_VALUE"""),1970.0)</f>
        <v>1970</v>
      </c>
      <c r="E10398">
        <f>IFERROR(__xludf.DUMMYFUNCTION("""COMPUTED_VALUE"""),61431.0)</f>
        <v>61431</v>
      </c>
    </row>
    <row r="10399">
      <c r="A10399" t="str">
        <f t="shared" si="1"/>
        <v>fsm#1971</v>
      </c>
      <c r="B10399" t="str">
        <f>IFERROR(__xludf.DUMMYFUNCTION("""COMPUTED_VALUE"""),"fsm")</f>
        <v>fsm</v>
      </c>
      <c r="C10399" t="str">
        <f>IFERROR(__xludf.DUMMYFUNCTION("""COMPUTED_VALUE"""),"Micronesia, Fed. Sts.")</f>
        <v>Micronesia, Fed. Sts.</v>
      </c>
      <c r="D10399">
        <f>IFERROR(__xludf.DUMMYFUNCTION("""COMPUTED_VALUE"""),1971.0)</f>
        <v>1971</v>
      </c>
      <c r="E10399">
        <f>IFERROR(__xludf.DUMMYFUNCTION("""COMPUTED_VALUE"""),62108.0)</f>
        <v>62108</v>
      </c>
    </row>
    <row r="10400">
      <c r="A10400" t="str">
        <f t="shared" si="1"/>
        <v>fsm#1972</v>
      </c>
      <c r="B10400" t="str">
        <f>IFERROR(__xludf.DUMMYFUNCTION("""COMPUTED_VALUE"""),"fsm")</f>
        <v>fsm</v>
      </c>
      <c r="C10400" t="str">
        <f>IFERROR(__xludf.DUMMYFUNCTION("""COMPUTED_VALUE"""),"Micronesia, Fed. Sts.")</f>
        <v>Micronesia, Fed. Sts.</v>
      </c>
      <c r="D10400">
        <f>IFERROR(__xludf.DUMMYFUNCTION("""COMPUTED_VALUE"""),1972.0)</f>
        <v>1972</v>
      </c>
      <c r="E10400">
        <f>IFERROR(__xludf.DUMMYFUNCTION("""COMPUTED_VALUE"""),62298.0)</f>
        <v>62298</v>
      </c>
    </row>
    <row r="10401">
      <c r="A10401" t="str">
        <f t="shared" si="1"/>
        <v>fsm#1973</v>
      </c>
      <c r="B10401" t="str">
        <f>IFERROR(__xludf.DUMMYFUNCTION("""COMPUTED_VALUE"""),"fsm")</f>
        <v>fsm</v>
      </c>
      <c r="C10401" t="str">
        <f>IFERROR(__xludf.DUMMYFUNCTION("""COMPUTED_VALUE"""),"Micronesia, Fed. Sts.")</f>
        <v>Micronesia, Fed. Sts.</v>
      </c>
      <c r="D10401">
        <f>IFERROR(__xludf.DUMMYFUNCTION("""COMPUTED_VALUE"""),1973.0)</f>
        <v>1973</v>
      </c>
      <c r="E10401">
        <f>IFERROR(__xludf.DUMMYFUNCTION("""COMPUTED_VALUE"""),62290.0)</f>
        <v>62290</v>
      </c>
    </row>
    <row r="10402">
      <c r="A10402" t="str">
        <f t="shared" si="1"/>
        <v>fsm#1974</v>
      </c>
      <c r="B10402" t="str">
        <f>IFERROR(__xludf.DUMMYFUNCTION("""COMPUTED_VALUE"""),"fsm")</f>
        <v>fsm</v>
      </c>
      <c r="C10402" t="str">
        <f>IFERROR(__xludf.DUMMYFUNCTION("""COMPUTED_VALUE"""),"Micronesia, Fed. Sts.")</f>
        <v>Micronesia, Fed. Sts.</v>
      </c>
      <c r="D10402">
        <f>IFERROR(__xludf.DUMMYFUNCTION("""COMPUTED_VALUE"""),1974.0)</f>
        <v>1974</v>
      </c>
      <c r="E10402">
        <f>IFERROR(__xludf.DUMMYFUNCTION("""COMPUTED_VALUE"""),62476.0)</f>
        <v>62476</v>
      </c>
    </row>
    <row r="10403">
      <c r="A10403" t="str">
        <f t="shared" si="1"/>
        <v>fsm#1975</v>
      </c>
      <c r="B10403" t="str">
        <f>IFERROR(__xludf.DUMMYFUNCTION("""COMPUTED_VALUE"""),"fsm")</f>
        <v>fsm</v>
      </c>
      <c r="C10403" t="str">
        <f>IFERROR(__xludf.DUMMYFUNCTION("""COMPUTED_VALUE"""),"Micronesia, Fed. Sts.")</f>
        <v>Micronesia, Fed. Sts.</v>
      </c>
      <c r="D10403">
        <f>IFERROR(__xludf.DUMMYFUNCTION("""COMPUTED_VALUE"""),1975.0)</f>
        <v>1975</v>
      </c>
      <c r="E10403">
        <f>IFERROR(__xludf.DUMMYFUNCTION("""COMPUTED_VALUE"""),63144.0)</f>
        <v>63144</v>
      </c>
    </row>
    <row r="10404">
      <c r="A10404" t="str">
        <f t="shared" si="1"/>
        <v>fsm#1976</v>
      </c>
      <c r="B10404" t="str">
        <f>IFERROR(__xludf.DUMMYFUNCTION("""COMPUTED_VALUE"""),"fsm")</f>
        <v>fsm</v>
      </c>
      <c r="C10404" t="str">
        <f>IFERROR(__xludf.DUMMYFUNCTION("""COMPUTED_VALUE"""),"Micronesia, Fed. Sts.")</f>
        <v>Micronesia, Fed. Sts.</v>
      </c>
      <c r="D10404">
        <f>IFERROR(__xludf.DUMMYFUNCTION("""COMPUTED_VALUE"""),1976.0)</f>
        <v>1976</v>
      </c>
      <c r="E10404">
        <f>IFERROR(__xludf.DUMMYFUNCTION("""COMPUTED_VALUE"""),64386.0)</f>
        <v>64386</v>
      </c>
    </row>
    <row r="10405">
      <c r="A10405" t="str">
        <f t="shared" si="1"/>
        <v>fsm#1977</v>
      </c>
      <c r="B10405" t="str">
        <f>IFERROR(__xludf.DUMMYFUNCTION("""COMPUTED_VALUE"""),"fsm")</f>
        <v>fsm</v>
      </c>
      <c r="C10405" t="str">
        <f>IFERROR(__xludf.DUMMYFUNCTION("""COMPUTED_VALUE"""),"Micronesia, Fed. Sts.")</f>
        <v>Micronesia, Fed. Sts.</v>
      </c>
      <c r="D10405">
        <f>IFERROR(__xludf.DUMMYFUNCTION("""COMPUTED_VALUE"""),1977.0)</f>
        <v>1977</v>
      </c>
      <c r="E10405">
        <f>IFERROR(__xludf.DUMMYFUNCTION("""COMPUTED_VALUE"""),66105.0)</f>
        <v>66105</v>
      </c>
    </row>
    <row r="10406">
      <c r="A10406" t="str">
        <f t="shared" si="1"/>
        <v>fsm#1978</v>
      </c>
      <c r="B10406" t="str">
        <f>IFERROR(__xludf.DUMMYFUNCTION("""COMPUTED_VALUE"""),"fsm")</f>
        <v>fsm</v>
      </c>
      <c r="C10406" t="str">
        <f>IFERROR(__xludf.DUMMYFUNCTION("""COMPUTED_VALUE"""),"Micronesia, Fed. Sts.")</f>
        <v>Micronesia, Fed. Sts.</v>
      </c>
      <c r="D10406">
        <f>IFERROR(__xludf.DUMMYFUNCTION("""COMPUTED_VALUE"""),1978.0)</f>
        <v>1978</v>
      </c>
      <c r="E10406">
        <f>IFERROR(__xludf.DUMMYFUNCTION("""COMPUTED_VALUE"""),68222.0)</f>
        <v>68222</v>
      </c>
    </row>
    <row r="10407">
      <c r="A10407" t="str">
        <f t="shared" si="1"/>
        <v>fsm#1979</v>
      </c>
      <c r="B10407" t="str">
        <f>IFERROR(__xludf.DUMMYFUNCTION("""COMPUTED_VALUE"""),"fsm")</f>
        <v>fsm</v>
      </c>
      <c r="C10407" t="str">
        <f>IFERROR(__xludf.DUMMYFUNCTION("""COMPUTED_VALUE"""),"Micronesia, Fed. Sts.")</f>
        <v>Micronesia, Fed. Sts.</v>
      </c>
      <c r="D10407">
        <f>IFERROR(__xludf.DUMMYFUNCTION("""COMPUTED_VALUE"""),1979.0)</f>
        <v>1979</v>
      </c>
      <c r="E10407">
        <f>IFERROR(__xludf.DUMMYFUNCTION("""COMPUTED_VALUE"""),70550.0)</f>
        <v>70550</v>
      </c>
    </row>
    <row r="10408">
      <c r="A10408" t="str">
        <f t="shared" si="1"/>
        <v>fsm#1980</v>
      </c>
      <c r="B10408" t="str">
        <f>IFERROR(__xludf.DUMMYFUNCTION("""COMPUTED_VALUE"""),"fsm")</f>
        <v>fsm</v>
      </c>
      <c r="C10408" t="str">
        <f>IFERROR(__xludf.DUMMYFUNCTION("""COMPUTED_VALUE"""),"Micronesia, Fed. Sts.")</f>
        <v>Micronesia, Fed. Sts.</v>
      </c>
      <c r="D10408">
        <f>IFERROR(__xludf.DUMMYFUNCTION("""COMPUTED_VALUE"""),1980.0)</f>
        <v>1980</v>
      </c>
      <c r="E10408">
        <f>IFERROR(__xludf.DUMMYFUNCTION("""COMPUTED_VALUE"""),72964.0)</f>
        <v>72964</v>
      </c>
    </row>
    <row r="10409">
      <c r="A10409" t="str">
        <f t="shared" si="1"/>
        <v>fsm#1981</v>
      </c>
      <c r="B10409" t="str">
        <f>IFERROR(__xludf.DUMMYFUNCTION("""COMPUTED_VALUE"""),"fsm")</f>
        <v>fsm</v>
      </c>
      <c r="C10409" t="str">
        <f>IFERROR(__xludf.DUMMYFUNCTION("""COMPUTED_VALUE"""),"Micronesia, Fed. Sts.")</f>
        <v>Micronesia, Fed. Sts.</v>
      </c>
      <c r="D10409">
        <f>IFERROR(__xludf.DUMMYFUNCTION("""COMPUTED_VALUE"""),1981.0)</f>
        <v>1981</v>
      </c>
      <c r="E10409">
        <f>IFERROR(__xludf.DUMMYFUNCTION("""COMPUTED_VALUE"""),75462.0)</f>
        <v>75462</v>
      </c>
    </row>
    <row r="10410">
      <c r="A10410" t="str">
        <f t="shared" si="1"/>
        <v>fsm#1982</v>
      </c>
      <c r="B10410" t="str">
        <f>IFERROR(__xludf.DUMMYFUNCTION("""COMPUTED_VALUE"""),"fsm")</f>
        <v>fsm</v>
      </c>
      <c r="C10410" t="str">
        <f>IFERROR(__xludf.DUMMYFUNCTION("""COMPUTED_VALUE"""),"Micronesia, Fed. Sts.")</f>
        <v>Micronesia, Fed. Sts.</v>
      </c>
      <c r="D10410">
        <f>IFERROR(__xludf.DUMMYFUNCTION("""COMPUTED_VALUE"""),1982.0)</f>
        <v>1982</v>
      </c>
      <c r="E10410">
        <f>IFERROR(__xludf.DUMMYFUNCTION("""COMPUTED_VALUE"""),78059.0)</f>
        <v>78059</v>
      </c>
    </row>
    <row r="10411">
      <c r="A10411" t="str">
        <f t="shared" si="1"/>
        <v>fsm#1983</v>
      </c>
      <c r="B10411" t="str">
        <f>IFERROR(__xludf.DUMMYFUNCTION("""COMPUTED_VALUE"""),"fsm")</f>
        <v>fsm</v>
      </c>
      <c r="C10411" t="str">
        <f>IFERROR(__xludf.DUMMYFUNCTION("""COMPUTED_VALUE"""),"Micronesia, Fed. Sts.")</f>
        <v>Micronesia, Fed. Sts.</v>
      </c>
      <c r="D10411">
        <f>IFERROR(__xludf.DUMMYFUNCTION("""COMPUTED_VALUE"""),1983.0)</f>
        <v>1983</v>
      </c>
      <c r="E10411">
        <f>IFERROR(__xludf.DUMMYFUNCTION("""COMPUTED_VALUE"""),80678.0)</f>
        <v>80678</v>
      </c>
    </row>
    <row r="10412">
      <c r="A10412" t="str">
        <f t="shared" si="1"/>
        <v>fsm#1984</v>
      </c>
      <c r="B10412" t="str">
        <f>IFERROR(__xludf.DUMMYFUNCTION("""COMPUTED_VALUE"""),"fsm")</f>
        <v>fsm</v>
      </c>
      <c r="C10412" t="str">
        <f>IFERROR(__xludf.DUMMYFUNCTION("""COMPUTED_VALUE"""),"Micronesia, Fed. Sts.")</f>
        <v>Micronesia, Fed. Sts.</v>
      </c>
      <c r="D10412">
        <f>IFERROR(__xludf.DUMMYFUNCTION("""COMPUTED_VALUE"""),1984.0)</f>
        <v>1984</v>
      </c>
      <c r="E10412">
        <f>IFERROR(__xludf.DUMMYFUNCTION("""COMPUTED_VALUE"""),83240.0)</f>
        <v>83240</v>
      </c>
    </row>
    <row r="10413">
      <c r="A10413" t="str">
        <f t="shared" si="1"/>
        <v>fsm#1985</v>
      </c>
      <c r="B10413" t="str">
        <f>IFERROR(__xludf.DUMMYFUNCTION("""COMPUTED_VALUE"""),"fsm")</f>
        <v>fsm</v>
      </c>
      <c r="C10413" t="str">
        <f>IFERROR(__xludf.DUMMYFUNCTION("""COMPUTED_VALUE"""),"Micronesia, Fed. Sts.")</f>
        <v>Micronesia, Fed. Sts.</v>
      </c>
      <c r="D10413">
        <f>IFERROR(__xludf.DUMMYFUNCTION("""COMPUTED_VALUE"""),1985.0)</f>
        <v>1985</v>
      </c>
      <c r="E10413">
        <f>IFERROR(__xludf.DUMMYFUNCTION("""COMPUTED_VALUE"""),85686.0)</f>
        <v>85686</v>
      </c>
    </row>
    <row r="10414">
      <c r="A10414" t="str">
        <f t="shared" si="1"/>
        <v>fsm#1986</v>
      </c>
      <c r="B10414" t="str">
        <f>IFERROR(__xludf.DUMMYFUNCTION("""COMPUTED_VALUE"""),"fsm")</f>
        <v>fsm</v>
      </c>
      <c r="C10414" t="str">
        <f>IFERROR(__xludf.DUMMYFUNCTION("""COMPUTED_VALUE"""),"Micronesia, Fed. Sts.")</f>
        <v>Micronesia, Fed. Sts.</v>
      </c>
      <c r="D10414">
        <f>IFERROR(__xludf.DUMMYFUNCTION("""COMPUTED_VALUE"""),1986.0)</f>
        <v>1986</v>
      </c>
      <c r="E10414">
        <f>IFERROR(__xludf.DUMMYFUNCTION("""COMPUTED_VALUE"""),87948.0)</f>
        <v>87948</v>
      </c>
    </row>
    <row r="10415">
      <c r="A10415" t="str">
        <f t="shared" si="1"/>
        <v>fsm#1987</v>
      </c>
      <c r="B10415" t="str">
        <f>IFERROR(__xludf.DUMMYFUNCTION("""COMPUTED_VALUE"""),"fsm")</f>
        <v>fsm</v>
      </c>
      <c r="C10415" t="str">
        <f>IFERROR(__xludf.DUMMYFUNCTION("""COMPUTED_VALUE"""),"Micronesia, Fed. Sts.")</f>
        <v>Micronesia, Fed. Sts.</v>
      </c>
      <c r="D10415">
        <f>IFERROR(__xludf.DUMMYFUNCTION("""COMPUTED_VALUE"""),1987.0)</f>
        <v>1987</v>
      </c>
      <c r="E10415">
        <f>IFERROR(__xludf.DUMMYFUNCTION("""COMPUTED_VALUE"""),90020.0)</f>
        <v>90020</v>
      </c>
    </row>
    <row r="10416">
      <c r="A10416" t="str">
        <f t="shared" si="1"/>
        <v>fsm#1988</v>
      </c>
      <c r="B10416" t="str">
        <f>IFERROR(__xludf.DUMMYFUNCTION("""COMPUTED_VALUE"""),"fsm")</f>
        <v>fsm</v>
      </c>
      <c r="C10416" t="str">
        <f>IFERROR(__xludf.DUMMYFUNCTION("""COMPUTED_VALUE"""),"Micronesia, Fed. Sts.")</f>
        <v>Micronesia, Fed. Sts.</v>
      </c>
      <c r="D10416">
        <f>IFERROR(__xludf.DUMMYFUNCTION("""COMPUTED_VALUE"""),1988.0)</f>
        <v>1988</v>
      </c>
      <c r="E10416">
        <f>IFERROR(__xludf.DUMMYFUNCTION("""COMPUTED_VALUE"""),92021.0)</f>
        <v>92021</v>
      </c>
    </row>
    <row r="10417">
      <c r="A10417" t="str">
        <f t="shared" si="1"/>
        <v>fsm#1989</v>
      </c>
      <c r="B10417" t="str">
        <f>IFERROR(__xludf.DUMMYFUNCTION("""COMPUTED_VALUE"""),"fsm")</f>
        <v>fsm</v>
      </c>
      <c r="C10417" t="str">
        <f>IFERROR(__xludf.DUMMYFUNCTION("""COMPUTED_VALUE"""),"Micronesia, Fed. Sts.")</f>
        <v>Micronesia, Fed. Sts.</v>
      </c>
      <c r="D10417">
        <f>IFERROR(__xludf.DUMMYFUNCTION("""COMPUTED_VALUE"""),1989.0)</f>
        <v>1989</v>
      </c>
      <c r="E10417">
        <f>IFERROR(__xludf.DUMMYFUNCTION("""COMPUTED_VALUE"""),94091.0)</f>
        <v>94091</v>
      </c>
    </row>
    <row r="10418">
      <c r="A10418" t="str">
        <f t="shared" si="1"/>
        <v>fsm#1990</v>
      </c>
      <c r="B10418" t="str">
        <f>IFERROR(__xludf.DUMMYFUNCTION("""COMPUTED_VALUE"""),"fsm")</f>
        <v>fsm</v>
      </c>
      <c r="C10418" t="str">
        <f>IFERROR(__xludf.DUMMYFUNCTION("""COMPUTED_VALUE"""),"Micronesia, Fed. Sts.")</f>
        <v>Micronesia, Fed. Sts.</v>
      </c>
      <c r="D10418">
        <f>IFERROR(__xludf.DUMMYFUNCTION("""COMPUTED_VALUE"""),1990.0)</f>
        <v>1990</v>
      </c>
      <c r="E10418">
        <f>IFERROR(__xludf.DUMMYFUNCTION("""COMPUTED_VALUE"""),96331.0)</f>
        <v>96331</v>
      </c>
    </row>
    <row r="10419">
      <c r="A10419" t="str">
        <f t="shared" si="1"/>
        <v>fsm#1991</v>
      </c>
      <c r="B10419" t="str">
        <f>IFERROR(__xludf.DUMMYFUNCTION("""COMPUTED_VALUE"""),"fsm")</f>
        <v>fsm</v>
      </c>
      <c r="C10419" t="str">
        <f>IFERROR(__xludf.DUMMYFUNCTION("""COMPUTED_VALUE"""),"Micronesia, Fed. Sts.")</f>
        <v>Micronesia, Fed. Sts.</v>
      </c>
      <c r="D10419">
        <f>IFERROR(__xludf.DUMMYFUNCTION("""COMPUTED_VALUE"""),1991.0)</f>
        <v>1991</v>
      </c>
      <c r="E10419">
        <f>IFERROR(__xludf.DUMMYFUNCTION("""COMPUTED_VALUE"""),98799.0)</f>
        <v>98799</v>
      </c>
    </row>
    <row r="10420">
      <c r="A10420" t="str">
        <f t="shared" si="1"/>
        <v>fsm#1992</v>
      </c>
      <c r="B10420" t="str">
        <f>IFERROR(__xludf.DUMMYFUNCTION("""COMPUTED_VALUE"""),"fsm")</f>
        <v>fsm</v>
      </c>
      <c r="C10420" t="str">
        <f>IFERROR(__xludf.DUMMYFUNCTION("""COMPUTED_VALUE"""),"Micronesia, Fed. Sts.")</f>
        <v>Micronesia, Fed. Sts.</v>
      </c>
      <c r="D10420">
        <f>IFERROR(__xludf.DUMMYFUNCTION("""COMPUTED_VALUE"""),1992.0)</f>
        <v>1992</v>
      </c>
      <c r="E10420">
        <f>IFERROR(__xludf.DUMMYFUNCTION("""COMPUTED_VALUE"""),101413.0)</f>
        <v>101413</v>
      </c>
    </row>
    <row r="10421">
      <c r="A10421" t="str">
        <f t="shared" si="1"/>
        <v>fsm#1993</v>
      </c>
      <c r="B10421" t="str">
        <f>IFERROR(__xludf.DUMMYFUNCTION("""COMPUTED_VALUE"""),"fsm")</f>
        <v>fsm</v>
      </c>
      <c r="C10421" t="str">
        <f>IFERROR(__xludf.DUMMYFUNCTION("""COMPUTED_VALUE"""),"Micronesia, Fed. Sts.")</f>
        <v>Micronesia, Fed. Sts.</v>
      </c>
      <c r="D10421">
        <f>IFERROR(__xludf.DUMMYFUNCTION("""COMPUTED_VALUE"""),1993.0)</f>
        <v>1993</v>
      </c>
      <c r="E10421">
        <f>IFERROR(__xludf.DUMMYFUNCTION("""COMPUTED_VALUE"""),103934.0)</f>
        <v>103934</v>
      </c>
    </row>
    <row r="10422">
      <c r="A10422" t="str">
        <f t="shared" si="1"/>
        <v>fsm#1994</v>
      </c>
      <c r="B10422" t="str">
        <f>IFERROR(__xludf.DUMMYFUNCTION("""COMPUTED_VALUE"""),"fsm")</f>
        <v>fsm</v>
      </c>
      <c r="C10422" t="str">
        <f>IFERROR(__xludf.DUMMYFUNCTION("""COMPUTED_VALUE"""),"Micronesia, Fed. Sts.")</f>
        <v>Micronesia, Fed. Sts.</v>
      </c>
      <c r="D10422">
        <f>IFERROR(__xludf.DUMMYFUNCTION("""COMPUTED_VALUE"""),1994.0)</f>
        <v>1994</v>
      </c>
      <c r="E10422">
        <f>IFERROR(__xludf.DUMMYFUNCTION("""COMPUTED_VALUE"""),106057.0)</f>
        <v>106057</v>
      </c>
    </row>
    <row r="10423">
      <c r="A10423" t="str">
        <f t="shared" si="1"/>
        <v>fsm#1995</v>
      </c>
      <c r="B10423" t="str">
        <f>IFERROR(__xludf.DUMMYFUNCTION("""COMPUTED_VALUE"""),"fsm")</f>
        <v>fsm</v>
      </c>
      <c r="C10423" t="str">
        <f>IFERROR(__xludf.DUMMYFUNCTION("""COMPUTED_VALUE"""),"Micronesia, Fed. Sts.")</f>
        <v>Micronesia, Fed. Sts.</v>
      </c>
      <c r="D10423">
        <f>IFERROR(__xludf.DUMMYFUNCTION("""COMPUTED_VALUE"""),1995.0)</f>
        <v>1995</v>
      </c>
      <c r="E10423">
        <f>IFERROR(__xludf.DUMMYFUNCTION("""COMPUTED_VALUE"""),107556.0)</f>
        <v>107556</v>
      </c>
    </row>
    <row r="10424">
      <c r="A10424" t="str">
        <f t="shared" si="1"/>
        <v>fsm#1996</v>
      </c>
      <c r="B10424" t="str">
        <f>IFERROR(__xludf.DUMMYFUNCTION("""COMPUTED_VALUE"""),"fsm")</f>
        <v>fsm</v>
      </c>
      <c r="C10424" t="str">
        <f>IFERROR(__xludf.DUMMYFUNCTION("""COMPUTED_VALUE"""),"Micronesia, Fed. Sts.")</f>
        <v>Micronesia, Fed. Sts.</v>
      </c>
      <c r="D10424">
        <f>IFERROR(__xludf.DUMMYFUNCTION("""COMPUTED_VALUE"""),1996.0)</f>
        <v>1996</v>
      </c>
      <c r="E10424">
        <f>IFERROR(__xludf.DUMMYFUNCTION("""COMPUTED_VALUE"""),108344.0)</f>
        <v>108344</v>
      </c>
    </row>
    <row r="10425">
      <c r="A10425" t="str">
        <f t="shared" si="1"/>
        <v>fsm#1997</v>
      </c>
      <c r="B10425" t="str">
        <f>IFERROR(__xludf.DUMMYFUNCTION("""COMPUTED_VALUE"""),"fsm")</f>
        <v>fsm</v>
      </c>
      <c r="C10425" t="str">
        <f>IFERROR(__xludf.DUMMYFUNCTION("""COMPUTED_VALUE"""),"Micronesia, Fed. Sts.")</f>
        <v>Micronesia, Fed. Sts.</v>
      </c>
      <c r="D10425">
        <f>IFERROR(__xludf.DUMMYFUNCTION("""COMPUTED_VALUE"""),1997.0)</f>
        <v>1997</v>
      </c>
      <c r="E10425">
        <f>IFERROR(__xludf.DUMMYFUNCTION("""COMPUTED_VALUE"""),108502.0)</f>
        <v>108502</v>
      </c>
    </row>
    <row r="10426">
      <c r="A10426" t="str">
        <f t="shared" si="1"/>
        <v>fsm#1998</v>
      </c>
      <c r="B10426" t="str">
        <f>IFERROR(__xludf.DUMMYFUNCTION("""COMPUTED_VALUE"""),"fsm")</f>
        <v>fsm</v>
      </c>
      <c r="C10426" t="str">
        <f>IFERROR(__xludf.DUMMYFUNCTION("""COMPUTED_VALUE"""),"Micronesia, Fed. Sts.")</f>
        <v>Micronesia, Fed. Sts.</v>
      </c>
      <c r="D10426">
        <f>IFERROR(__xludf.DUMMYFUNCTION("""COMPUTED_VALUE"""),1998.0)</f>
        <v>1998</v>
      </c>
      <c r="E10426">
        <f>IFERROR(__xludf.DUMMYFUNCTION("""COMPUTED_VALUE"""),108238.0)</f>
        <v>108238</v>
      </c>
    </row>
    <row r="10427">
      <c r="A10427" t="str">
        <f t="shared" si="1"/>
        <v>fsm#1999</v>
      </c>
      <c r="B10427" t="str">
        <f>IFERROR(__xludf.DUMMYFUNCTION("""COMPUTED_VALUE"""),"fsm")</f>
        <v>fsm</v>
      </c>
      <c r="C10427" t="str">
        <f>IFERROR(__xludf.DUMMYFUNCTION("""COMPUTED_VALUE"""),"Micronesia, Fed. Sts.")</f>
        <v>Micronesia, Fed. Sts.</v>
      </c>
      <c r="D10427">
        <f>IFERROR(__xludf.DUMMYFUNCTION("""COMPUTED_VALUE"""),1999.0)</f>
        <v>1999</v>
      </c>
      <c r="E10427">
        <f>IFERROR(__xludf.DUMMYFUNCTION("""COMPUTED_VALUE"""),107816.0)</f>
        <v>107816</v>
      </c>
    </row>
    <row r="10428">
      <c r="A10428" t="str">
        <f t="shared" si="1"/>
        <v>fsm#2000</v>
      </c>
      <c r="B10428" t="str">
        <f>IFERROR(__xludf.DUMMYFUNCTION("""COMPUTED_VALUE"""),"fsm")</f>
        <v>fsm</v>
      </c>
      <c r="C10428" t="str">
        <f>IFERROR(__xludf.DUMMYFUNCTION("""COMPUTED_VALUE"""),"Micronesia, Fed. Sts.")</f>
        <v>Micronesia, Fed. Sts.</v>
      </c>
      <c r="D10428">
        <f>IFERROR(__xludf.DUMMYFUNCTION("""COMPUTED_VALUE"""),2000.0)</f>
        <v>2000</v>
      </c>
      <c r="E10428">
        <f>IFERROR(__xludf.DUMMYFUNCTION("""COMPUTED_VALUE"""),107432.0)</f>
        <v>107432</v>
      </c>
    </row>
    <row r="10429">
      <c r="A10429" t="str">
        <f t="shared" si="1"/>
        <v>fsm#2001</v>
      </c>
      <c r="B10429" t="str">
        <f>IFERROR(__xludf.DUMMYFUNCTION("""COMPUTED_VALUE"""),"fsm")</f>
        <v>fsm</v>
      </c>
      <c r="C10429" t="str">
        <f>IFERROR(__xludf.DUMMYFUNCTION("""COMPUTED_VALUE"""),"Micronesia, Fed. Sts.")</f>
        <v>Micronesia, Fed. Sts.</v>
      </c>
      <c r="D10429">
        <f>IFERROR(__xludf.DUMMYFUNCTION("""COMPUTED_VALUE"""),2001.0)</f>
        <v>2001</v>
      </c>
      <c r="E10429">
        <f>IFERROR(__xludf.DUMMYFUNCTION("""COMPUTED_VALUE"""),107165.0)</f>
        <v>107165</v>
      </c>
    </row>
    <row r="10430">
      <c r="A10430" t="str">
        <f t="shared" si="1"/>
        <v>fsm#2002</v>
      </c>
      <c r="B10430" t="str">
        <f>IFERROR(__xludf.DUMMYFUNCTION("""COMPUTED_VALUE"""),"fsm")</f>
        <v>fsm</v>
      </c>
      <c r="C10430" t="str">
        <f>IFERROR(__xludf.DUMMYFUNCTION("""COMPUTED_VALUE"""),"Micronesia, Fed. Sts.")</f>
        <v>Micronesia, Fed. Sts.</v>
      </c>
      <c r="D10430">
        <f>IFERROR(__xludf.DUMMYFUNCTION("""COMPUTED_VALUE"""),2002.0)</f>
        <v>2002</v>
      </c>
      <c r="E10430">
        <f>IFERROR(__xludf.DUMMYFUNCTION("""COMPUTED_VALUE"""),106983.0)</f>
        <v>106983</v>
      </c>
    </row>
    <row r="10431">
      <c r="A10431" t="str">
        <f t="shared" si="1"/>
        <v>fsm#2003</v>
      </c>
      <c r="B10431" t="str">
        <f>IFERROR(__xludf.DUMMYFUNCTION("""COMPUTED_VALUE"""),"fsm")</f>
        <v>fsm</v>
      </c>
      <c r="C10431" t="str">
        <f>IFERROR(__xludf.DUMMYFUNCTION("""COMPUTED_VALUE"""),"Micronesia, Fed. Sts.")</f>
        <v>Micronesia, Fed. Sts.</v>
      </c>
      <c r="D10431">
        <f>IFERROR(__xludf.DUMMYFUNCTION("""COMPUTED_VALUE"""),2003.0)</f>
        <v>2003</v>
      </c>
      <c r="E10431">
        <f>IFERROR(__xludf.DUMMYFUNCTION("""COMPUTED_VALUE"""),106816.0)</f>
        <v>106816</v>
      </c>
    </row>
    <row r="10432">
      <c r="A10432" t="str">
        <f t="shared" si="1"/>
        <v>fsm#2004</v>
      </c>
      <c r="B10432" t="str">
        <f>IFERROR(__xludf.DUMMYFUNCTION("""COMPUTED_VALUE"""),"fsm")</f>
        <v>fsm</v>
      </c>
      <c r="C10432" t="str">
        <f>IFERROR(__xludf.DUMMYFUNCTION("""COMPUTED_VALUE"""),"Micronesia, Fed. Sts.")</f>
        <v>Micronesia, Fed. Sts.</v>
      </c>
      <c r="D10432">
        <f>IFERROR(__xludf.DUMMYFUNCTION("""COMPUTED_VALUE"""),2004.0)</f>
        <v>2004</v>
      </c>
      <c r="E10432">
        <f>IFERROR(__xludf.DUMMYFUNCTION("""COMPUTED_VALUE"""),106577.0)</f>
        <v>106577</v>
      </c>
    </row>
    <row r="10433">
      <c r="A10433" t="str">
        <f t="shared" si="1"/>
        <v>fsm#2005</v>
      </c>
      <c r="B10433" t="str">
        <f>IFERROR(__xludf.DUMMYFUNCTION("""COMPUTED_VALUE"""),"fsm")</f>
        <v>fsm</v>
      </c>
      <c r="C10433" t="str">
        <f>IFERROR(__xludf.DUMMYFUNCTION("""COMPUTED_VALUE"""),"Micronesia, Fed. Sts.")</f>
        <v>Micronesia, Fed. Sts.</v>
      </c>
      <c r="D10433">
        <f>IFERROR(__xludf.DUMMYFUNCTION("""COMPUTED_VALUE"""),2005.0)</f>
        <v>2005</v>
      </c>
      <c r="E10433">
        <f>IFERROR(__xludf.DUMMYFUNCTION("""COMPUTED_VALUE"""),106196.0)</f>
        <v>106196</v>
      </c>
    </row>
    <row r="10434">
      <c r="A10434" t="str">
        <f t="shared" si="1"/>
        <v>fsm#2006</v>
      </c>
      <c r="B10434" t="str">
        <f>IFERROR(__xludf.DUMMYFUNCTION("""COMPUTED_VALUE"""),"fsm")</f>
        <v>fsm</v>
      </c>
      <c r="C10434" t="str">
        <f>IFERROR(__xludf.DUMMYFUNCTION("""COMPUTED_VALUE"""),"Micronesia, Fed. Sts.")</f>
        <v>Micronesia, Fed. Sts.</v>
      </c>
      <c r="D10434">
        <f>IFERROR(__xludf.DUMMYFUNCTION("""COMPUTED_VALUE"""),2006.0)</f>
        <v>2006</v>
      </c>
      <c r="E10434">
        <f>IFERROR(__xludf.DUMMYFUNCTION("""COMPUTED_VALUE"""),105684.0)</f>
        <v>105684</v>
      </c>
    </row>
    <row r="10435">
      <c r="A10435" t="str">
        <f t="shared" si="1"/>
        <v>fsm#2007</v>
      </c>
      <c r="B10435" t="str">
        <f>IFERROR(__xludf.DUMMYFUNCTION("""COMPUTED_VALUE"""),"fsm")</f>
        <v>fsm</v>
      </c>
      <c r="C10435" t="str">
        <f>IFERROR(__xludf.DUMMYFUNCTION("""COMPUTED_VALUE"""),"Micronesia, Fed. Sts.")</f>
        <v>Micronesia, Fed. Sts.</v>
      </c>
      <c r="D10435">
        <f>IFERROR(__xludf.DUMMYFUNCTION("""COMPUTED_VALUE"""),2007.0)</f>
        <v>2007</v>
      </c>
      <c r="E10435">
        <f>IFERROR(__xludf.DUMMYFUNCTION("""COMPUTED_VALUE"""),105078.0)</f>
        <v>105078</v>
      </c>
    </row>
    <row r="10436">
      <c r="A10436" t="str">
        <f t="shared" si="1"/>
        <v>fsm#2008</v>
      </c>
      <c r="B10436" t="str">
        <f>IFERROR(__xludf.DUMMYFUNCTION("""COMPUTED_VALUE"""),"fsm")</f>
        <v>fsm</v>
      </c>
      <c r="C10436" t="str">
        <f>IFERROR(__xludf.DUMMYFUNCTION("""COMPUTED_VALUE"""),"Micronesia, Fed. Sts.")</f>
        <v>Micronesia, Fed. Sts.</v>
      </c>
      <c r="D10436">
        <f>IFERROR(__xludf.DUMMYFUNCTION("""COMPUTED_VALUE"""),2008.0)</f>
        <v>2008</v>
      </c>
      <c r="E10436">
        <f>IFERROR(__xludf.DUMMYFUNCTION("""COMPUTED_VALUE"""),104478.0)</f>
        <v>104478</v>
      </c>
    </row>
    <row r="10437">
      <c r="A10437" t="str">
        <f t="shared" si="1"/>
        <v>fsm#2009</v>
      </c>
      <c r="B10437" t="str">
        <f>IFERROR(__xludf.DUMMYFUNCTION("""COMPUTED_VALUE"""),"fsm")</f>
        <v>fsm</v>
      </c>
      <c r="C10437" t="str">
        <f>IFERROR(__xludf.DUMMYFUNCTION("""COMPUTED_VALUE"""),"Micronesia, Fed. Sts.")</f>
        <v>Micronesia, Fed. Sts.</v>
      </c>
      <c r="D10437">
        <f>IFERROR(__xludf.DUMMYFUNCTION("""COMPUTED_VALUE"""),2009.0)</f>
        <v>2009</v>
      </c>
      <c r="E10437">
        <f>IFERROR(__xludf.DUMMYFUNCTION("""COMPUTED_VALUE"""),103960.0)</f>
        <v>103960</v>
      </c>
    </row>
    <row r="10438">
      <c r="A10438" t="str">
        <f t="shared" si="1"/>
        <v>fsm#2010</v>
      </c>
      <c r="B10438" t="str">
        <f>IFERROR(__xludf.DUMMYFUNCTION("""COMPUTED_VALUE"""),"fsm")</f>
        <v>fsm</v>
      </c>
      <c r="C10438" t="str">
        <f>IFERROR(__xludf.DUMMYFUNCTION("""COMPUTED_VALUE"""),"Micronesia, Fed. Sts.")</f>
        <v>Micronesia, Fed. Sts.</v>
      </c>
      <c r="D10438">
        <f>IFERROR(__xludf.DUMMYFUNCTION("""COMPUTED_VALUE"""),2010.0)</f>
        <v>2010</v>
      </c>
      <c r="E10438">
        <f>IFERROR(__xludf.DUMMYFUNCTION("""COMPUTED_VALUE"""),103616.0)</f>
        <v>103616</v>
      </c>
    </row>
    <row r="10439">
      <c r="A10439" t="str">
        <f t="shared" si="1"/>
        <v>fsm#2011</v>
      </c>
      <c r="B10439" t="str">
        <f>IFERROR(__xludf.DUMMYFUNCTION("""COMPUTED_VALUE"""),"fsm")</f>
        <v>fsm</v>
      </c>
      <c r="C10439" t="str">
        <f>IFERROR(__xludf.DUMMYFUNCTION("""COMPUTED_VALUE"""),"Micronesia, Fed. Sts.")</f>
        <v>Micronesia, Fed. Sts.</v>
      </c>
      <c r="D10439">
        <f>IFERROR(__xludf.DUMMYFUNCTION("""COMPUTED_VALUE"""),2011.0)</f>
        <v>2011</v>
      </c>
      <c r="E10439">
        <f>IFERROR(__xludf.DUMMYFUNCTION("""COMPUTED_VALUE"""),103468.0)</f>
        <v>103468</v>
      </c>
    </row>
    <row r="10440">
      <c r="A10440" t="str">
        <f t="shared" si="1"/>
        <v>fsm#2012</v>
      </c>
      <c r="B10440" t="str">
        <f>IFERROR(__xludf.DUMMYFUNCTION("""COMPUTED_VALUE"""),"fsm")</f>
        <v>fsm</v>
      </c>
      <c r="C10440" t="str">
        <f>IFERROR(__xludf.DUMMYFUNCTION("""COMPUTED_VALUE"""),"Micronesia, Fed. Sts.")</f>
        <v>Micronesia, Fed. Sts.</v>
      </c>
      <c r="D10440">
        <f>IFERROR(__xludf.DUMMYFUNCTION("""COMPUTED_VALUE"""),2012.0)</f>
        <v>2012</v>
      </c>
      <c r="E10440">
        <f>IFERROR(__xludf.DUMMYFUNCTION("""COMPUTED_VALUE"""),103503.0)</f>
        <v>103503</v>
      </c>
    </row>
    <row r="10441">
      <c r="A10441" t="str">
        <f t="shared" si="1"/>
        <v>fsm#2013</v>
      </c>
      <c r="B10441" t="str">
        <f>IFERROR(__xludf.DUMMYFUNCTION("""COMPUTED_VALUE"""),"fsm")</f>
        <v>fsm</v>
      </c>
      <c r="C10441" t="str">
        <f>IFERROR(__xludf.DUMMYFUNCTION("""COMPUTED_VALUE"""),"Micronesia, Fed. Sts.")</f>
        <v>Micronesia, Fed. Sts.</v>
      </c>
      <c r="D10441">
        <f>IFERROR(__xludf.DUMMYFUNCTION("""COMPUTED_VALUE"""),2013.0)</f>
        <v>2013</v>
      </c>
      <c r="E10441">
        <f>IFERROR(__xludf.DUMMYFUNCTION("""COMPUTED_VALUE"""),103702.0)</f>
        <v>103702</v>
      </c>
    </row>
    <row r="10442">
      <c r="A10442" t="str">
        <f t="shared" si="1"/>
        <v>fsm#2014</v>
      </c>
      <c r="B10442" t="str">
        <f>IFERROR(__xludf.DUMMYFUNCTION("""COMPUTED_VALUE"""),"fsm")</f>
        <v>fsm</v>
      </c>
      <c r="C10442" t="str">
        <f>IFERROR(__xludf.DUMMYFUNCTION("""COMPUTED_VALUE"""),"Micronesia, Fed. Sts.")</f>
        <v>Micronesia, Fed. Sts.</v>
      </c>
      <c r="D10442">
        <f>IFERROR(__xludf.DUMMYFUNCTION("""COMPUTED_VALUE"""),2014.0)</f>
        <v>2014</v>
      </c>
      <c r="E10442">
        <f>IFERROR(__xludf.DUMMYFUNCTION("""COMPUTED_VALUE"""),104015.0)</f>
        <v>104015</v>
      </c>
    </row>
    <row r="10443">
      <c r="A10443" t="str">
        <f t="shared" si="1"/>
        <v>fsm#2015</v>
      </c>
      <c r="B10443" t="str">
        <f>IFERROR(__xludf.DUMMYFUNCTION("""COMPUTED_VALUE"""),"fsm")</f>
        <v>fsm</v>
      </c>
      <c r="C10443" t="str">
        <f>IFERROR(__xludf.DUMMYFUNCTION("""COMPUTED_VALUE"""),"Micronesia, Fed. Sts.")</f>
        <v>Micronesia, Fed. Sts.</v>
      </c>
      <c r="D10443">
        <f>IFERROR(__xludf.DUMMYFUNCTION("""COMPUTED_VALUE"""),2015.0)</f>
        <v>2015</v>
      </c>
      <c r="E10443">
        <f>IFERROR(__xludf.DUMMYFUNCTION("""COMPUTED_VALUE"""),104433.0)</f>
        <v>104433</v>
      </c>
    </row>
    <row r="10444">
      <c r="A10444" t="str">
        <f t="shared" si="1"/>
        <v>fsm#2016</v>
      </c>
      <c r="B10444" t="str">
        <f>IFERROR(__xludf.DUMMYFUNCTION("""COMPUTED_VALUE"""),"fsm")</f>
        <v>fsm</v>
      </c>
      <c r="C10444" t="str">
        <f>IFERROR(__xludf.DUMMYFUNCTION("""COMPUTED_VALUE"""),"Micronesia, Fed. Sts.")</f>
        <v>Micronesia, Fed. Sts.</v>
      </c>
      <c r="D10444">
        <f>IFERROR(__xludf.DUMMYFUNCTION("""COMPUTED_VALUE"""),2016.0)</f>
        <v>2016</v>
      </c>
      <c r="E10444">
        <f>IFERROR(__xludf.DUMMYFUNCTION("""COMPUTED_VALUE"""),104937.0)</f>
        <v>104937</v>
      </c>
    </row>
    <row r="10445">
      <c r="A10445" t="str">
        <f t="shared" si="1"/>
        <v>fsm#2017</v>
      </c>
      <c r="B10445" t="str">
        <f>IFERROR(__xludf.DUMMYFUNCTION("""COMPUTED_VALUE"""),"fsm")</f>
        <v>fsm</v>
      </c>
      <c r="C10445" t="str">
        <f>IFERROR(__xludf.DUMMYFUNCTION("""COMPUTED_VALUE"""),"Micronesia, Fed. Sts.")</f>
        <v>Micronesia, Fed. Sts.</v>
      </c>
      <c r="D10445">
        <f>IFERROR(__xludf.DUMMYFUNCTION("""COMPUTED_VALUE"""),2017.0)</f>
        <v>2017</v>
      </c>
      <c r="E10445">
        <f>IFERROR(__xludf.DUMMYFUNCTION("""COMPUTED_VALUE"""),105544.0)</f>
        <v>105544</v>
      </c>
    </row>
    <row r="10446">
      <c r="A10446" t="str">
        <f t="shared" si="1"/>
        <v>fsm#2018</v>
      </c>
      <c r="B10446" t="str">
        <f>IFERROR(__xludf.DUMMYFUNCTION("""COMPUTED_VALUE"""),"fsm")</f>
        <v>fsm</v>
      </c>
      <c r="C10446" t="str">
        <f>IFERROR(__xludf.DUMMYFUNCTION("""COMPUTED_VALUE"""),"Micronesia, Fed. Sts.")</f>
        <v>Micronesia, Fed. Sts.</v>
      </c>
      <c r="D10446">
        <f>IFERROR(__xludf.DUMMYFUNCTION("""COMPUTED_VALUE"""),2018.0)</f>
        <v>2018</v>
      </c>
      <c r="E10446">
        <f>IFERROR(__xludf.DUMMYFUNCTION("""COMPUTED_VALUE"""),106227.0)</f>
        <v>106227</v>
      </c>
    </row>
    <row r="10447">
      <c r="A10447" t="str">
        <f t="shared" si="1"/>
        <v>fsm#2019</v>
      </c>
      <c r="B10447" t="str">
        <f>IFERROR(__xludf.DUMMYFUNCTION("""COMPUTED_VALUE"""),"fsm")</f>
        <v>fsm</v>
      </c>
      <c r="C10447" t="str">
        <f>IFERROR(__xludf.DUMMYFUNCTION("""COMPUTED_VALUE"""),"Micronesia, Fed. Sts.")</f>
        <v>Micronesia, Fed. Sts.</v>
      </c>
      <c r="D10447">
        <f>IFERROR(__xludf.DUMMYFUNCTION("""COMPUTED_VALUE"""),2019.0)</f>
        <v>2019</v>
      </c>
      <c r="E10447">
        <f>IFERROR(__xludf.DUMMYFUNCTION("""COMPUTED_VALUE"""),106983.0)</f>
        <v>106983</v>
      </c>
    </row>
    <row r="10448">
      <c r="A10448" t="str">
        <f t="shared" si="1"/>
        <v>fsm#2020</v>
      </c>
      <c r="B10448" t="str">
        <f>IFERROR(__xludf.DUMMYFUNCTION("""COMPUTED_VALUE"""),"fsm")</f>
        <v>fsm</v>
      </c>
      <c r="C10448" t="str">
        <f>IFERROR(__xludf.DUMMYFUNCTION("""COMPUTED_VALUE"""),"Micronesia, Fed. Sts.")</f>
        <v>Micronesia, Fed. Sts.</v>
      </c>
      <c r="D10448">
        <f>IFERROR(__xludf.DUMMYFUNCTION("""COMPUTED_VALUE"""),2020.0)</f>
        <v>2020</v>
      </c>
      <c r="E10448">
        <f>IFERROR(__xludf.DUMMYFUNCTION("""COMPUTED_VALUE"""),107774.0)</f>
        <v>107774</v>
      </c>
    </row>
    <row r="10449">
      <c r="A10449" t="str">
        <f t="shared" si="1"/>
        <v>fsm#2021</v>
      </c>
      <c r="B10449" t="str">
        <f>IFERROR(__xludf.DUMMYFUNCTION("""COMPUTED_VALUE"""),"fsm")</f>
        <v>fsm</v>
      </c>
      <c r="C10449" t="str">
        <f>IFERROR(__xludf.DUMMYFUNCTION("""COMPUTED_VALUE"""),"Micronesia, Fed. Sts.")</f>
        <v>Micronesia, Fed. Sts.</v>
      </c>
      <c r="D10449">
        <f>IFERROR(__xludf.DUMMYFUNCTION("""COMPUTED_VALUE"""),2021.0)</f>
        <v>2021</v>
      </c>
      <c r="E10449">
        <f>IFERROR(__xludf.DUMMYFUNCTION("""COMPUTED_VALUE"""),108609.0)</f>
        <v>108609</v>
      </c>
    </row>
    <row r="10450">
      <c r="A10450" t="str">
        <f t="shared" si="1"/>
        <v>fsm#2022</v>
      </c>
      <c r="B10450" t="str">
        <f>IFERROR(__xludf.DUMMYFUNCTION("""COMPUTED_VALUE"""),"fsm")</f>
        <v>fsm</v>
      </c>
      <c r="C10450" t="str">
        <f>IFERROR(__xludf.DUMMYFUNCTION("""COMPUTED_VALUE"""),"Micronesia, Fed. Sts.")</f>
        <v>Micronesia, Fed. Sts.</v>
      </c>
      <c r="D10450">
        <f>IFERROR(__xludf.DUMMYFUNCTION("""COMPUTED_VALUE"""),2022.0)</f>
        <v>2022</v>
      </c>
      <c r="E10450">
        <f>IFERROR(__xludf.DUMMYFUNCTION("""COMPUTED_VALUE"""),109471.0)</f>
        <v>109471</v>
      </c>
    </row>
    <row r="10451">
      <c r="A10451" t="str">
        <f t="shared" si="1"/>
        <v>fsm#2023</v>
      </c>
      <c r="B10451" t="str">
        <f>IFERROR(__xludf.DUMMYFUNCTION("""COMPUTED_VALUE"""),"fsm")</f>
        <v>fsm</v>
      </c>
      <c r="C10451" t="str">
        <f>IFERROR(__xludf.DUMMYFUNCTION("""COMPUTED_VALUE"""),"Micronesia, Fed. Sts.")</f>
        <v>Micronesia, Fed. Sts.</v>
      </c>
      <c r="D10451">
        <f>IFERROR(__xludf.DUMMYFUNCTION("""COMPUTED_VALUE"""),2023.0)</f>
        <v>2023</v>
      </c>
      <c r="E10451">
        <f>IFERROR(__xludf.DUMMYFUNCTION("""COMPUTED_VALUE"""),110367.0)</f>
        <v>110367</v>
      </c>
    </row>
    <row r="10452">
      <c r="A10452" t="str">
        <f t="shared" si="1"/>
        <v>fsm#2024</v>
      </c>
      <c r="B10452" t="str">
        <f>IFERROR(__xludf.DUMMYFUNCTION("""COMPUTED_VALUE"""),"fsm")</f>
        <v>fsm</v>
      </c>
      <c r="C10452" t="str">
        <f>IFERROR(__xludf.DUMMYFUNCTION("""COMPUTED_VALUE"""),"Micronesia, Fed. Sts.")</f>
        <v>Micronesia, Fed. Sts.</v>
      </c>
      <c r="D10452">
        <f>IFERROR(__xludf.DUMMYFUNCTION("""COMPUTED_VALUE"""),2024.0)</f>
        <v>2024</v>
      </c>
      <c r="E10452">
        <f>IFERROR(__xludf.DUMMYFUNCTION("""COMPUTED_VALUE"""),111301.0)</f>
        <v>111301</v>
      </c>
    </row>
    <row r="10453">
      <c r="A10453" t="str">
        <f t="shared" si="1"/>
        <v>fsm#2025</v>
      </c>
      <c r="B10453" t="str">
        <f>IFERROR(__xludf.DUMMYFUNCTION("""COMPUTED_VALUE"""),"fsm")</f>
        <v>fsm</v>
      </c>
      <c r="C10453" t="str">
        <f>IFERROR(__xludf.DUMMYFUNCTION("""COMPUTED_VALUE"""),"Micronesia, Fed. Sts.")</f>
        <v>Micronesia, Fed. Sts.</v>
      </c>
      <c r="D10453">
        <f>IFERROR(__xludf.DUMMYFUNCTION("""COMPUTED_VALUE"""),2025.0)</f>
        <v>2025</v>
      </c>
      <c r="E10453">
        <f>IFERROR(__xludf.DUMMYFUNCTION("""COMPUTED_VALUE"""),112283.0)</f>
        <v>112283</v>
      </c>
    </row>
    <row r="10454">
      <c r="A10454" t="str">
        <f t="shared" si="1"/>
        <v>fsm#2026</v>
      </c>
      <c r="B10454" t="str">
        <f>IFERROR(__xludf.DUMMYFUNCTION("""COMPUTED_VALUE"""),"fsm")</f>
        <v>fsm</v>
      </c>
      <c r="C10454" t="str">
        <f>IFERROR(__xludf.DUMMYFUNCTION("""COMPUTED_VALUE"""),"Micronesia, Fed. Sts.")</f>
        <v>Micronesia, Fed. Sts.</v>
      </c>
      <c r="D10454">
        <f>IFERROR(__xludf.DUMMYFUNCTION("""COMPUTED_VALUE"""),2026.0)</f>
        <v>2026</v>
      </c>
      <c r="E10454">
        <f>IFERROR(__xludf.DUMMYFUNCTION("""COMPUTED_VALUE"""),113299.0)</f>
        <v>113299</v>
      </c>
    </row>
    <row r="10455">
      <c r="A10455" t="str">
        <f t="shared" si="1"/>
        <v>fsm#2027</v>
      </c>
      <c r="B10455" t="str">
        <f>IFERROR(__xludf.DUMMYFUNCTION("""COMPUTED_VALUE"""),"fsm")</f>
        <v>fsm</v>
      </c>
      <c r="C10455" t="str">
        <f>IFERROR(__xludf.DUMMYFUNCTION("""COMPUTED_VALUE"""),"Micronesia, Fed. Sts.")</f>
        <v>Micronesia, Fed. Sts.</v>
      </c>
      <c r="D10455">
        <f>IFERROR(__xludf.DUMMYFUNCTION("""COMPUTED_VALUE"""),2027.0)</f>
        <v>2027</v>
      </c>
      <c r="E10455">
        <f>IFERROR(__xludf.DUMMYFUNCTION("""COMPUTED_VALUE"""),114349.0)</f>
        <v>114349</v>
      </c>
    </row>
    <row r="10456">
      <c r="A10456" t="str">
        <f t="shared" si="1"/>
        <v>fsm#2028</v>
      </c>
      <c r="B10456" t="str">
        <f>IFERROR(__xludf.DUMMYFUNCTION("""COMPUTED_VALUE"""),"fsm")</f>
        <v>fsm</v>
      </c>
      <c r="C10456" t="str">
        <f>IFERROR(__xludf.DUMMYFUNCTION("""COMPUTED_VALUE"""),"Micronesia, Fed. Sts.")</f>
        <v>Micronesia, Fed. Sts.</v>
      </c>
      <c r="D10456">
        <f>IFERROR(__xludf.DUMMYFUNCTION("""COMPUTED_VALUE"""),2028.0)</f>
        <v>2028</v>
      </c>
      <c r="E10456">
        <f>IFERROR(__xludf.DUMMYFUNCTION("""COMPUTED_VALUE"""),115404.0)</f>
        <v>115404</v>
      </c>
    </row>
    <row r="10457">
      <c r="A10457" t="str">
        <f t="shared" si="1"/>
        <v>fsm#2029</v>
      </c>
      <c r="B10457" t="str">
        <f>IFERROR(__xludf.DUMMYFUNCTION("""COMPUTED_VALUE"""),"fsm")</f>
        <v>fsm</v>
      </c>
      <c r="C10457" t="str">
        <f>IFERROR(__xludf.DUMMYFUNCTION("""COMPUTED_VALUE"""),"Micronesia, Fed. Sts.")</f>
        <v>Micronesia, Fed. Sts.</v>
      </c>
      <c r="D10457">
        <f>IFERROR(__xludf.DUMMYFUNCTION("""COMPUTED_VALUE"""),2029.0)</f>
        <v>2029</v>
      </c>
      <c r="E10457">
        <f>IFERROR(__xludf.DUMMYFUNCTION("""COMPUTED_VALUE"""),116441.0)</f>
        <v>116441</v>
      </c>
    </row>
    <row r="10458">
      <c r="A10458" t="str">
        <f t="shared" si="1"/>
        <v>fsm#2030</v>
      </c>
      <c r="B10458" t="str">
        <f>IFERROR(__xludf.DUMMYFUNCTION("""COMPUTED_VALUE"""),"fsm")</f>
        <v>fsm</v>
      </c>
      <c r="C10458" t="str">
        <f>IFERROR(__xludf.DUMMYFUNCTION("""COMPUTED_VALUE"""),"Micronesia, Fed. Sts.")</f>
        <v>Micronesia, Fed. Sts.</v>
      </c>
      <c r="D10458">
        <f>IFERROR(__xludf.DUMMYFUNCTION("""COMPUTED_VALUE"""),2030.0)</f>
        <v>2030</v>
      </c>
      <c r="E10458">
        <f>IFERROR(__xludf.DUMMYFUNCTION("""COMPUTED_VALUE"""),117430.0)</f>
        <v>117430</v>
      </c>
    </row>
    <row r="10459">
      <c r="A10459" t="str">
        <f t="shared" si="1"/>
        <v>fsm#2031</v>
      </c>
      <c r="B10459" t="str">
        <f>IFERROR(__xludf.DUMMYFUNCTION("""COMPUTED_VALUE"""),"fsm")</f>
        <v>fsm</v>
      </c>
      <c r="C10459" t="str">
        <f>IFERROR(__xludf.DUMMYFUNCTION("""COMPUTED_VALUE"""),"Micronesia, Fed. Sts.")</f>
        <v>Micronesia, Fed. Sts.</v>
      </c>
      <c r="D10459">
        <f>IFERROR(__xludf.DUMMYFUNCTION("""COMPUTED_VALUE"""),2031.0)</f>
        <v>2031</v>
      </c>
      <c r="E10459">
        <f>IFERROR(__xludf.DUMMYFUNCTION("""COMPUTED_VALUE"""),118363.0)</f>
        <v>118363</v>
      </c>
    </row>
    <row r="10460">
      <c r="A10460" t="str">
        <f t="shared" si="1"/>
        <v>fsm#2032</v>
      </c>
      <c r="B10460" t="str">
        <f>IFERROR(__xludf.DUMMYFUNCTION("""COMPUTED_VALUE"""),"fsm")</f>
        <v>fsm</v>
      </c>
      <c r="C10460" t="str">
        <f>IFERROR(__xludf.DUMMYFUNCTION("""COMPUTED_VALUE"""),"Micronesia, Fed. Sts.")</f>
        <v>Micronesia, Fed. Sts.</v>
      </c>
      <c r="D10460">
        <f>IFERROR(__xludf.DUMMYFUNCTION("""COMPUTED_VALUE"""),2032.0)</f>
        <v>2032</v>
      </c>
      <c r="E10460">
        <f>IFERROR(__xludf.DUMMYFUNCTION("""COMPUTED_VALUE"""),119242.0)</f>
        <v>119242</v>
      </c>
    </row>
    <row r="10461">
      <c r="A10461" t="str">
        <f t="shared" si="1"/>
        <v>fsm#2033</v>
      </c>
      <c r="B10461" t="str">
        <f>IFERROR(__xludf.DUMMYFUNCTION("""COMPUTED_VALUE"""),"fsm")</f>
        <v>fsm</v>
      </c>
      <c r="C10461" t="str">
        <f>IFERROR(__xludf.DUMMYFUNCTION("""COMPUTED_VALUE"""),"Micronesia, Fed. Sts.")</f>
        <v>Micronesia, Fed. Sts.</v>
      </c>
      <c r="D10461">
        <f>IFERROR(__xludf.DUMMYFUNCTION("""COMPUTED_VALUE"""),2033.0)</f>
        <v>2033</v>
      </c>
      <c r="E10461">
        <f>IFERROR(__xludf.DUMMYFUNCTION("""COMPUTED_VALUE"""),120075.0)</f>
        <v>120075</v>
      </c>
    </row>
    <row r="10462">
      <c r="A10462" t="str">
        <f t="shared" si="1"/>
        <v>fsm#2034</v>
      </c>
      <c r="B10462" t="str">
        <f>IFERROR(__xludf.DUMMYFUNCTION("""COMPUTED_VALUE"""),"fsm")</f>
        <v>fsm</v>
      </c>
      <c r="C10462" t="str">
        <f>IFERROR(__xludf.DUMMYFUNCTION("""COMPUTED_VALUE"""),"Micronesia, Fed. Sts.")</f>
        <v>Micronesia, Fed. Sts.</v>
      </c>
      <c r="D10462">
        <f>IFERROR(__xludf.DUMMYFUNCTION("""COMPUTED_VALUE"""),2034.0)</f>
        <v>2034</v>
      </c>
      <c r="E10462">
        <f>IFERROR(__xludf.DUMMYFUNCTION("""COMPUTED_VALUE"""),120849.0)</f>
        <v>120849</v>
      </c>
    </row>
    <row r="10463">
      <c r="A10463" t="str">
        <f t="shared" si="1"/>
        <v>fsm#2035</v>
      </c>
      <c r="B10463" t="str">
        <f>IFERROR(__xludf.DUMMYFUNCTION("""COMPUTED_VALUE"""),"fsm")</f>
        <v>fsm</v>
      </c>
      <c r="C10463" t="str">
        <f>IFERROR(__xludf.DUMMYFUNCTION("""COMPUTED_VALUE"""),"Micronesia, Fed. Sts.")</f>
        <v>Micronesia, Fed. Sts.</v>
      </c>
      <c r="D10463">
        <f>IFERROR(__xludf.DUMMYFUNCTION("""COMPUTED_VALUE"""),2035.0)</f>
        <v>2035</v>
      </c>
      <c r="E10463">
        <f>IFERROR(__xludf.DUMMYFUNCTION("""COMPUTED_VALUE"""),121579.0)</f>
        <v>121579</v>
      </c>
    </row>
    <row r="10464">
      <c r="A10464" t="str">
        <f t="shared" si="1"/>
        <v>fsm#2036</v>
      </c>
      <c r="B10464" t="str">
        <f>IFERROR(__xludf.DUMMYFUNCTION("""COMPUTED_VALUE"""),"fsm")</f>
        <v>fsm</v>
      </c>
      <c r="C10464" t="str">
        <f>IFERROR(__xludf.DUMMYFUNCTION("""COMPUTED_VALUE"""),"Micronesia, Fed. Sts.")</f>
        <v>Micronesia, Fed. Sts.</v>
      </c>
      <c r="D10464">
        <f>IFERROR(__xludf.DUMMYFUNCTION("""COMPUTED_VALUE"""),2036.0)</f>
        <v>2036</v>
      </c>
      <c r="E10464">
        <f>IFERROR(__xludf.DUMMYFUNCTION("""COMPUTED_VALUE"""),122253.0)</f>
        <v>122253</v>
      </c>
    </row>
    <row r="10465">
      <c r="A10465" t="str">
        <f t="shared" si="1"/>
        <v>fsm#2037</v>
      </c>
      <c r="B10465" t="str">
        <f>IFERROR(__xludf.DUMMYFUNCTION("""COMPUTED_VALUE"""),"fsm")</f>
        <v>fsm</v>
      </c>
      <c r="C10465" t="str">
        <f>IFERROR(__xludf.DUMMYFUNCTION("""COMPUTED_VALUE"""),"Micronesia, Fed. Sts.")</f>
        <v>Micronesia, Fed. Sts.</v>
      </c>
      <c r="D10465">
        <f>IFERROR(__xludf.DUMMYFUNCTION("""COMPUTED_VALUE"""),2037.0)</f>
        <v>2037</v>
      </c>
      <c r="E10465">
        <f>IFERROR(__xludf.DUMMYFUNCTION("""COMPUTED_VALUE"""),122874.0)</f>
        <v>122874</v>
      </c>
    </row>
    <row r="10466">
      <c r="A10466" t="str">
        <f t="shared" si="1"/>
        <v>fsm#2038</v>
      </c>
      <c r="B10466" t="str">
        <f>IFERROR(__xludf.DUMMYFUNCTION("""COMPUTED_VALUE"""),"fsm")</f>
        <v>fsm</v>
      </c>
      <c r="C10466" t="str">
        <f>IFERROR(__xludf.DUMMYFUNCTION("""COMPUTED_VALUE"""),"Micronesia, Fed. Sts.")</f>
        <v>Micronesia, Fed. Sts.</v>
      </c>
      <c r="D10466">
        <f>IFERROR(__xludf.DUMMYFUNCTION("""COMPUTED_VALUE"""),2038.0)</f>
        <v>2038</v>
      </c>
      <c r="E10466">
        <f>IFERROR(__xludf.DUMMYFUNCTION("""COMPUTED_VALUE"""),123455.0)</f>
        <v>123455</v>
      </c>
    </row>
    <row r="10467">
      <c r="A10467" t="str">
        <f t="shared" si="1"/>
        <v>fsm#2039</v>
      </c>
      <c r="B10467" t="str">
        <f>IFERROR(__xludf.DUMMYFUNCTION("""COMPUTED_VALUE"""),"fsm")</f>
        <v>fsm</v>
      </c>
      <c r="C10467" t="str">
        <f>IFERROR(__xludf.DUMMYFUNCTION("""COMPUTED_VALUE"""),"Micronesia, Fed. Sts.")</f>
        <v>Micronesia, Fed. Sts.</v>
      </c>
      <c r="D10467">
        <f>IFERROR(__xludf.DUMMYFUNCTION("""COMPUTED_VALUE"""),2039.0)</f>
        <v>2039</v>
      </c>
      <c r="E10467">
        <f>IFERROR(__xludf.DUMMYFUNCTION("""COMPUTED_VALUE"""),123993.0)</f>
        <v>123993</v>
      </c>
    </row>
    <row r="10468">
      <c r="A10468" t="str">
        <f t="shared" si="1"/>
        <v>fsm#2040</v>
      </c>
      <c r="B10468" t="str">
        <f>IFERROR(__xludf.DUMMYFUNCTION("""COMPUTED_VALUE"""),"fsm")</f>
        <v>fsm</v>
      </c>
      <c r="C10468" t="str">
        <f>IFERROR(__xludf.DUMMYFUNCTION("""COMPUTED_VALUE"""),"Micronesia, Fed. Sts.")</f>
        <v>Micronesia, Fed. Sts.</v>
      </c>
      <c r="D10468">
        <f>IFERROR(__xludf.DUMMYFUNCTION("""COMPUTED_VALUE"""),2040.0)</f>
        <v>2040</v>
      </c>
      <c r="E10468">
        <f>IFERROR(__xludf.DUMMYFUNCTION("""COMPUTED_VALUE"""),124494.0)</f>
        <v>124494</v>
      </c>
    </row>
    <row r="10469">
      <c r="A10469" t="str">
        <f t="shared" si="1"/>
        <v>mda#1950</v>
      </c>
      <c r="B10469" t="str">
        <f>IFERROR(__xludf.DUMMYFUNCTION("""COMPUTED_VALUE"""),"mda")</f>
        <v>mda</v>
      </c>
      <c r="C10469" t="str">
        <f>IFERROR(__xludf.DUMMYFUNCTION("""COMPUTED_VALUE"""),"Moldova")</f>
        <v>Moldova</v>
      </c>
      <c r="D10469">
        <f>IFERROR(__xludf.DUMMYFUNCTION("""COMPUTED_VALUE"""),1950.0)</f>
        <v>1950</v>
      </c>
      <c r="E10469">
        <f>IFERROR(__xludf.DUMMYFUNCTION("""COMPUTED_VALUE"""),2340997.0)</f>
        <v>2340997</v>
      </c>
    </row>
    <row r="10470">
      <c r="A10470" t="str">
        <f t="shared" si="1"/>
        <v>mda#1951</v>
      </c>
      <c r="B10470" t="str">
        <f>IFERROR(__xludf.DUMMYFUNCTION("""COMPUTED_VALUE"""),"mda")</f>
        <v>mda</v>
      </c>
      <c r="C10470" t="str">
        <f>IFERROR(__xludf.DUMMYFUNCTION("""COMPUTED_VALUE"""),"Moldova")</f>
        <v>Moldova</v>
      </c>
      <c r="D10470">
        <f>IFERROR(__xludf.DUMMYFUNCTION("""COMPUTED_VALUE"""),1951.0)</f>
        <v>1951</v>
      </c>
      <c r="E10470">
        <f>IFERROR(__xludf.DUMMYFUNCTION("""COMPUTED_VALUE"""),2381440.0)</f>
        <v>2381440</v>
      </c>
    </row>
    <row r="10471">
      <c r="A10471" t="str">
        <f t="shared" si="1"/>
        <v>mda#1952</v>
      </c>
      <c r="B10471" t="str">
        <f>IFERROR(__xludf.DUMMYFUNCTION("""COMPUTED_VALUE"""),"mda")</f>
        <v>mda</v>
      </c>
      <c r="C10471" t="str">
        <f>IFERROR(__xludf.DUMMYFUNCTION("""COMPUTED_VALUE"""),"Moldova")</f>
        <v>Moldova</v>
      </c>
      <c r="D10471">
        <f>IFERROR(__xludf.DUMMYFUNCTION("""COMPUTED_VALUE"""),1952.0)</f>
        <v>1952</v>
      </c>
      <c r="E10471">
        <f>IFERROR(__xludf.DUMMYFUNCTION("""COMPUTED_VALUE"""),2432095.0)</f>
        <v>2432095</v>
      </c>
    </row>
    <row r="10472">
      <c r="A10472" t="str">
        <f t="shared" si="1"/>
        <v>mda#1953</v>
      </c>
      <c r="B10472" t="str">
        <f>IFERROR(__xludf.DUMMYFUNCTION("""COMPUTED_VALUE"""),"mda")</f>
        <v>mda</v>
      </c>
      <c r="C10472" t="str">
        <f>IFERROR(__xludf.DUMMYFUNCTION("""COMPUTED_VALUE"""),"Moldova")</f>
        <v>Moldova</v>
      </c>
      <c r="D10472">
        <f>IFERROR(__xludf.DUMMYFUNCTION("""COMPUTED_VALUE"""),1953.0)</f>
        <v>1953</v>
      </c>
      <c r="E10472">
        <f>IFERROR(__xludf.DUMMYFUNCTION("""COMPUTED_VALUE"""),2491064.0)</f>
        <v>2491064</v>
      </c>
    </row>
    <row r="10473">
      <c r="A10473" t="str">
        <f t="shared" si="1"/>
        <v>mda#1954</v>
      </c>
      <c r="B10473" t="str">
        <f>IFERROR(__xludf.DUMMYFUNCTION("""COMPUTED_VALUE"""),"mda")</f>
        <v>mda</v>
      </c>
      <c r="C10473" t="str">
        <f>IFERROR(__xludf.DUMMYFUNCTION("""COMPUTED_VALUE"""),"Moldova")</f>
        <v>Moldova</v>
      </c>
      <c r="D10473">
        <f>IFERROR(__xludf.DUMMYFUNCTION("""COMPUTED_VALUE"""),1954.0)</f>
        <v>1954</v>
      </c>
      <c r="E10473">
        <f>IFERROR(__xludf.DUMMYFUNCTION("""COMPUTED_VALUE"""),2556590.0)</f>
        <v>2556590</v>
      </c>
    </row>
    <row r="10474">
      <c r="A10474" t="str">
        <f t="shared" si="1"/>
        <v>mda#1955</v>
      </c>
      <c r="B10474" t="str">
        <f>IFERROR(__xludf.DUMMYFUNCTION("""COMPUTED_VALUE"""),"mda")</f>
        <v>mda</v>
      </c>
      <c r="C10474" t="str">
        <f>IFERROR(__xludf.DUMMYFUNCTION("""COMPUTED_VALUE"""),"Moldova")</f>
        <v>Moldova</v>
      </c>
      <c r="D10474">
        <f>IFERROR(__xludf.DUMMYFUNCTION("""COMPUTED_VALUE"""),1955.0)</f>
        <v>1955</v>
      </c>
      <c r="E10474">
        <f>IFERROR(__xludf.DUMMYFUNCTION("""COMPUTED_VALUE"""),2627009.0)</f>
        <v>2627009</v>
      </c>
    </row>
    <row r="10475">
      <c r="A10475" t="str">
        <f t="shared" si="1"/>
        <v>mda#1956</v>
      </c>
      <c r="B10475" t="str">
        <f>IFERROR(__xludf.DUMMYFUNCTION("""COMPUTED_VALUE"""),"mda")</f>
        <v>mda</v>
      </c>
      <c r="C10475" t="str">
        <f>IFERROR(__xludf.DUMMYFUNCTION("""COMPUTED_VALUE"""),"Moldova")</f>
        <v>Moldova</v>
      </c>
      <c r="D10475">
        <f>IFERROR(__xludf.DUMMYFUNCTION("""COMPUTED_VALUE"""),1956.0)</f>
        <v>1956</v>
      </c>
      <c r="E10475">
        <f>IFERROR(__xludf.DUMMYFUNCTION("""COMPUTED_VALUE"""),2700791.0)</f>
        <v>2700791</v>
      </c>
    </row>
    <row r="10476">
      <c r="A10476" t="str">
        <f t="shared" si="1"/>
        <v>mda#1957</v>
      </c>
      <c r="B10476" t="str">
        <f>IFERROR(__xludf.DUMMYFUNCTION("""COMPUTED_VALUE"""),"mda")</f>
        <v>mda</v>
      </c>
      <c r="C10476" t="str">
        <f>IFERROR(__xludf.DUMMYFUNCTION("""COMPUTED_VALUE"""),"Moldova")</f>
        <v>Moldova</v>
      </c>
      <c r="D10476">
        <f>IFERROR(__xludf.DUMMYFUNCTION("""COMPUTED_VALUE"""),1957.0)</f>
        <v>1957</v>
      </c>
      <c r="E10476">
        <f>IFERROR(__xludf.DUMMYFUNCTION("""COMPUTED_VALUE"""),2776549.0)</f>
        <v>2776549</v>
      </c>
    </row>
    <row r="10477">
      <c r="A10477" t="str">
        <f t="shared" si="1"/>
        <v>mda#1958</v>
      </c>
      <c r="B10477" t="str">
        <f>IFERROR(__xludf.DUMMYFUNCTION("""COMPUTED_VALUE"""),"mda")</f>
        <v>mda</v>
      </c>
      <c r="C10477" t="str">
        <f>IFERROR(__xludf.DUMMYFUNCTION("""COMPUTED_VALUE"""),"Moldova")</f>
        <v>Moldova</v>
      </c>
      <c r="D10477">
        <f>IFERROR(__xludf.DUMMYFUNCTION("""COMPUTED_VALUE"""),1958.0)</f>
        <v>1958</v>
      </c>
      <c r="E10477">
        <f>IFERROR(__xludf.DUMMYFUNCTION("""COMPUTED_VALUE"""),2852992.0)</f>
        <v>2852992</v>
      </c>
    </row>
    <row r="10478">
      <c r="A10478" t="str">
        <f t="shared" si="1"/>
        <v>mda#1959</v>
      </c>
      <c r="B10478" t="str">
        <f>IFERROR(__xludf.DUMMYFUNCTION("""COMPUTED_VALUE"""),"mda")</f>
        <v>mda</v>
      </c>
      <c r="C10478" t="str">
        <f>IFERROR(__xludf.DUMMYFUNCTION("""COMPUTED_VALUE"""),"Moldova")</f>
        <v>Moldova</v>
      </c>
      <c r="D10478">
        <f>IFERROR(__xludf.DUMMYFUNCTION("""COMPUTED_VALUE"""),1959.0)</f>
        <v>1959</v>
      </c>
      <c r="E10478">
        <f>IFERROR(__xludf.DUMMYFUNCTION("""COMPUTED_VALUE"""),2928985.0)</f>
        <v>2928985</v>
      </c>
    </row>
    <row r="10479">
      <c r="A10479" t="str">
        <f t="shared" si="1"/>
        <v>mda#1960</v>
      </c>
      <c r="B10479" t="str">
        <f>IFERROR(__xludf.DUMMYFUNCTION("""COMPUTED_VALUE"""),"mda")</f>
        <v>mda</v>
      </c>
      <c r="C10479" t="str">
        <f>IFERROR(__xludf.DUMMYFUNCTION("""COMPUTED_VALUE"""),"Moldova")</f>
        <v>Moldova</v>
      </c>
      <c r="D10479">
        <f>IFERROR(__xludf.DUMMYFUNCTION("""COMPUTED_VALUE"""),1960.0)</f>
        <v>1960</v>
      </c>
      <c r="E10479">
        <f>IFERROR(__xludf.DUMMYFUNCTION("""COMPUTED_VALUE"""),3003559.0)</f>
        <v>3003559</v>
      </c>
    </row>
    <row r="10480">
      <c r="A10480" t="str">
        <f t="shared" si="1"/>
        <v>mda#1961</v>
      </c>
      <c r="B10480" t="str">
        <f>IFERROR(__xludf.DUMMYFUNCTION("""COMPUTED_VALUE"""),"mda")</f>
        <v>mda</v>
      </c>
      <c r="C10480" t="str">
        <f>IFERROR(__xludf.DUMMYFUNCTION("""COMPUTED_VALUE"""),"Moldova")</f>
        <v>Moldova</v>
      </c>
      <c r="D10480">
        <f>IFERROR(__xludf.DUMMYFUNCTION("""COMPUTED_VALUE"""),1961.0)</f>
        <v>1961</v>
      </c>
      <c r="E10480">
        <f>IFERROR(__xludf.DUMMYFUNCTION("""COMPUTED_VALUE"""),3075922.0)</f>
        <v>3075922</v>
      </c>
    </row>
    <row r="10481">
      <c r="A10481" t="str">
        <f t="shared" si="1"/>
        <v>mda#1962</v>
      </c>
      <c r="B10481" t="str">
        <f>IFERROR(__xludf.DUMMYFUNCTION("""COMPUTED_VALUE"""),"mda")</f>
        <v>mda</v>
      </c>
      <c r="C10481" t="str">
        <f>IFERROR(__xludf.DUMMYFUNCTION("""COMPUTED_VALUE"""),"Moldova")</f>
        <v>Moldova</v>
      </c>
      <c r="D10481">
        <f>IFERROR(__xludf.DUMMYFUNCTION("""COMPUTED_VALUE"""),1962.0)</f>
        <v>1962</v>
      </c>
      <c r="E10481">
        <f>IFERROR(__xludf.DUMMYFUNCTION("""COMPUTED_VALUE"""),3145550.0)</f>
        <v>3145550</v>
      </c>
    </row>
    <row r="10482">
      <c r="A10482" t="str">
        <f t="shared" si="1"/>
        <v>mda#1963</v>
      </c>
      <c r="B10482" t="str">
        <f>IFERROR(__xludf.DUMMYFUNCTION("""COMPUTED_VALUE"""),"mda")</f>
        <v>mda</v>
      </c>
      <c r="C10482" t="str">
        <f>IFERROR(__xludf.DUMMYFUNCTION("""COMPUTED_VALUE"""),"Moldova")</f>
        <v>Moldova</v>
      </c>
      <c r="D10482">
        <f>IFERROR(__xludf.DUMMYFUNCTION("""COMPUTED_VALUE"""),1963.0)</f>
        <v>1963</v>
      </c>
      <c r="E10482">
        <f>IFERROR(__xludf.DUMMYFUNCTION("""COMPUTED_VALUE"""),3212094.0)</f>
        <v>3212094</v>
      </c>
    </row>
    <row r="10483">
      <c r="A10483" t="str">
        <f t="shared" si="1"/>
        <v>mda#1964</v>
      </c>
      <c r="B10483" t="str">
        <f>IFERROR(__xludf.DUMMYFUNCTION("""COMPUTED_VALUE"""),"mda")</f>
        <v>mda</v>
      </c>
      <c r="C10483" t="str">
        <f>IFERROR(__xludf.DUMMYFUNCTION("""COMPUTED_VALUE"""),"Moldova")</f>
        <v>Moldova</v>
      </c>
      <c r="D10483">
        <f>IFERROR(__xludf.DUMMYFUNCTION("""COMPUTED_VALUE"""),1964.0)</f>
        <v>1964</v>
      </c>
      <c r="E10483">
        <f>IFERROR(__xludf.DUMMYFUNCTION("""COMPUTED_VALUE"""),3275457.0)</f>
        <v>3275457</v>
      </c>
    </row>
    <row r="10484">
      <c r="A10484" t="str">
        <f t="shared" si="1"/>
        <v>mda#1965</v>
      </c>
      <c r="B10484" t="str">
        <f>IFERROR(__xludf.DUMMYFUNCTION("""COMPUTED_VALUE"""),"mda")</f>
        <v>mda</v>
      </c>
      <c r="C10484" t="str">
        <f>IFERROR(__xludf.DUMMYFUNCTION("""COMPUTED_VALUE"""),"Moldova")</f>
        <v>Moldova</v>
      </c>
      <c r="D10484">
        <f>IFERROR(__xludf.DUMMYFUNCTION("""COMPUTED_VALUE"""),1965.0)</f>
        <v>1965</v>
      </c>
      <c r="E10484">
        <f>IFERROR(__xludf.DUMMYFUNCTION("""COMPUTED_VALUE"""),3335631.0)</f>
        <v>3335631</v>
      </c>
    </row>
    <row r="10485">
      <c r="A10485" t="str">
        <f t="shared" si="1"/>
        <v>mda#1966</v>
      </c>
      <c r="B10485" t="str">
        <f>IFERROR(__xludf.DUMMYFUNCTION("""COMPUTED_VALUE"""),"mda")</f>
        <v>mda</v>
      </c>
      <c r="C10485" t="str">
        <f>IFERROR(__xludf.DUMMYFUNCTION("""COMPUTED_VALUE"""),"Moldova")</f>
        <v>Moldova</v>
      </c>
      <c r="D10485">
        <f>IFERROR(__xludf.DUMMYFUNCTION("""COMPUTED_VALUE"""),1966.0)</f>
        <v>1966</v>
      </c>
      <c r="E10485">
        <f>IFERROR(__xludf.DUMMYFUNCTION("""COMPUTED_VALUE"""),3392085.0)</f>
        <v>3392085</v>
      </c>
    </row>
    <row r="10486">
      <c r="A10486" t="str">
        <f t="shared" si="1"/>
        <v>mda#1967</v>
      </c>
      <c r="B10486" t="str">
        <f>IFERROR(__xludf.DUMMYFUNCTION("""COMPUTED_VALUE"""),"mda")</f>
        <v>mda</v>
      </c>
      <c r="C10486" t="str">
        <f>IFERROR(__xludf.DUMMYFUNCTION("""COMPUTED_VALUE"""),"Moldova")</f>
        <v>Moldova</v>
      </c>
      <c r="D10486">
        <f>IFERROR(__xludf.DUMMYFUNCTION("""COMPUTED_VALUE"""),1967.0)</f>
        <v>1967</v>
      </c>
      <c r="E10486">
        <f>IFERROR(__xludf.DUMMYFUNCTION("""COMPUTED_VALUE"""),3444850.0)</f>
        <v>3444850</v>
      </c>
    </row>
    <row r="10487">
      <c r="A10487" t="str">
        <f t="shared" si="1"/>
        <v>mda#1968</v>
      </c>
      <c r="B10487" t="str">
        <f>IFERROR(__xludf.DUMMYFUNCTION("""COMPUTED_VALUE"""),"mda")</f>
        <v>mda</v>
      </c>
      <c r="C10487" t="str">
        <f>IFERROR(__xludf.DUMMYFUNCTION("""COMPUTED_VALUE"""),"Moldova")</f>
        <v>Moldova</v>
      </c>
      <c r="D10487">
        <f>IFERROR(__xludf.DUMMYFUNCTION("""COMPUTED_VALUE"""),1968.0)</f>
        <v>1968</v>
      </c>
      <c r="E10487">
        <f>IFERROR(__xludf.DUMMYFUNCTION("""COMPUTED_VALUE"""),3495137.0)</f>
        <v>3495137</v>
      </c>
    </row>
    <row r="10488">
      <c r="A10488" t="str">
        <f t="shared" si="1"/>
        <v>mda#1969</v>
      </c>
      <c r="B10488" t="str">
        <f>IFERROR(__xludf.DUMMYFUNCTION("""COMPUTED_VALUE"""),"mda")</f>
        <v>mda</v>
      </c>
      <c r="C10488" t="str">
        <f>IFERROR(__xludf.DUMMYFUNCTION("""COMPUTED_VALUE"""),"Moldova")</f>
        <v>Moldova</v>
      </c>
      <c r="D10488">
        <f>IFERROR(__xludf.DUMMYFUNCTION("""COMPUTED_VALUE"""),1969.0)</f>
        <v>1969</v>
      </c>
      <c r="E10488">
        <f>IFERROR(__xludf.DUMMYFUNCTION("""COMPUTED_VALUE"""),3544638.0)</f>
        <v>3544638</v>
      </c>
    </row>
    <row r="10489">
      <c r="A10489" t="str">
        <f t="shared" si="1"/>
        <v>mda#1970</v>
      </c>
      <c r="B10489" t="str">
        <f>IFERROR(__xludf.DUMMYFUNCTION("""COMPUTED_VALUE"""),"mda")</f>
        <v>mda</v>
      </c>
      <c r="C10489" t="str">
        <f>IFERROR(__xludf.DUMMYFUNCTION("""COMPUTED_VALUE"""),"Moldova")</f>
        <v>Moldova</v>
      </c>
      <c r="D10489">
        <f>IFERROR(__xludf.DUMMYFUNCTION("""COMPUTED_VALUE"""),1970.0)</f>
        <v>1970</v>
      </c>
      <c r="E10489">
        <f>IFERROR(__xludf.DUMMYFUNCTION("""COMPUTED_VALUE"""),3594518.0)</f>
        <v>3594518</v>
      </c>
    </row>
    <row r="10490">
      <c r="A10490" t="str">
        <f t="shared" si="1"/>
        <v>mda#1971</v>
      </c>
      <c r="B10490" t="str">
        <f>IFERROR(__xludf.DUMMYFUNCTION("""COMPUTED_VALUE"""),"mda")</f>
        <v>mda</v>
      </c>
      <c r="C10490" t="str">
        <f>IFERROR(__xludf.DUMMYFUNCTION("""COMPUTED_VALUE"""),"Moldova")</f>
        <v>Moldova</v>
      </c>
      <c r="D10490">
        <f>IFERROR(__xludf.DUMMYFUNCTION("""COMPUTED_VALUE"""),1971.0)</f>
        <v>1971</v>
      </c>
      <c r="E10490">
        <f>IFERROR(__xludf.DUMMYFUNCTION("""COMPUTED_VALUE"""),3645518.0)</f>
        <v>3645518</v>
      </c>
    </row>
    <row r="10491">
      <c r="A10491" t="str">
        <f t="shared" si="1"/>
        <v>mda#1972</v>
      </c>
      <c r="B10491" t="str">
        <f>IFERROR(__xludf.DUMMYFUNCTION("""COMPUTED_VALUE"""),"mda")</f>
        <v>mda</v>
      </c>
      <c r="C10491" t="str">
        <f>IFERROR(__xludf.DUMMYFUNCTION("""COMPUTED_VALUE"""),"Moldova")</f>
        <v>Moldova</v>
      </c>
      <c r="D10491">
        <f>IFERROR(__xludf.DUMMYFUNCTION("""COMPUTED_VALUE"""),1972.0)</f>
        <v>1972</v>
      </c>
      <c r="E10491">
        <f>IFERROR(__xludf.DUMMYFUNCTION("""COMPUTED_VALUE"""),3697152.0)</f>
        <v>3697152</v>
      </c>
    </row>
    <row r="10492">
      <c r="A10492" t="str">
        <f t="shared" si="1"/>
        <v>mda#1973</v>
      </c>
      <c r="B10492" t="str">
        <f>IFERROR(__xludf.DUMMYFUNCTION("""COMPUTED_VALUE"""),"mda")</f>
        <v>mda</v>
      </c>
      <c r="C10492" t="str">
        <f>IFERROR(__xludf.DUMMYFUNCTION("""COMPUTED_VALUE"""),"Moldova")</f>
        <v>Moldova</v>
      </c>
      <c r="D10492">
        <f>IFERROR(__xludf.DUMMYFUNCTION("""COMPUTED_VALUE"""),1973.0)</f>
        <v>1973</v>
      </c>
      <c r="E10492">
        <f>IFERROR(__xludf.DUMMYFUNCTION("""COMPUTED_VALUE"""),3747927.0)</f>
        <v>3747927</v>
      </c>
    </row>
    <row r="10493">
      <c r="A10493" t="str">
        <f t="shared" si="1"/>
        <v>mda#1974</v>
      </c>
      <c r="B10493" t="str">
        <f>IFERROR(__xludf.DUMMYFUNCTION("""COMPUTED_VALUE"""),"mda")</f>
        <v>mda</v>
      </c>
      <c r="C10493" t="str">
        <f>IFERROR(__xludf.DUMMYFUNCTION("""COMPUTED_VALUE"""),"Moldova")</f>
        <v>Moldova</v>
      </c>
      <c r="D10493">
        <f>IFERROR(__xludf.DUMMYFUNCTION("""COMPUTED_VALUE"""),1974.0)</f>
        <v>1974</v>
      </c>
      <c r="E10493">
        <f>IFERROR(__xludf.DUMMYFUNCTION("""COMPUTED_VALUE"""),3795653.0)</f>
        <v>3795653</v>
      </c>
    </row>
    <row r="10494">
      <c r="A10494" t="str">
        <f t="shared" si="1"/>
        <v>mda#1975</v>
      </c>
      <c r="B10494" t="str">
        <f>IFERROR(__xludf.DUMMYFUNCTION("""COMPUTED_VALUE"""),"mda")</f>
        <v>mda</v>
      </c>
      <c r="C10494" t="str">
        <f>IFERROR(__xludf.DUMMYFUNCTION("""COMPUTED_VALUE"""),"Moldova")</f>
        <v>Moldova</v>
      </c>
      <c r="D10494">
        <f>IFERROR(__xludf.DUMMYFUNCTION("""COMPUTED_VALUE"""),1975.0)</f>
        <v>1975</v>
      </c>
      <c r="E10494">
        <f>IFERROR(__xludf.DUMMYFUNCTION("""COMPUTED_VALUE"""),3838910.0)</f>
        <v>3838910</v>
      </c>
    </row>
    <row r="10495">
      <c r="A10495" t="str">
        <f t="shared" si="1"/>
        <v>mda#1976</v>
      </c>
      <c r="B10495" t="str">
        <f>IFERROR(__xludf.DUMMYFUNCTION("""COMPUTED_VALUE"""),"mda")</f>
        <v>mda</v>
      </c>
      <c r="C10495" t="str">
        <f>IFERROR(__xludf.DUMMYFUNCTION("""COMPUTED_VALUE"""),"Moldova")</f>
        <v>Moldova</v>
      </c>
      <c r="D10495">
        <f>IFERROR(__xludf.DUMMYFUNCTION("""COMPUTED_VALUE"""),1976.0)</f>
        <v>1976</v>
      </c>
      <c r="E10495">
        <f>IFERROR(__xludf.DUMMYFUNCTION("""COMPUTED_VALUE"""),3876947.0)</f>
        <v>3876947</v>
      </c>
    </row>
    <row r="10496">
      <c r="A10496" t="str">
        <f t="shared" si="1"/>
        <v>mda#1977</v>
      </c>
      <c r="B10496" t="str">
        <f>IFERROR(__xludf.DUMMYFUNCTION("""COMPUTED_VALUE"""),"mda")</f>
        <v>mda</v>
      </c>
      <c r="C10496" t="str">
        <f>IFERROR(__xludf.DUMMYFUNCTION("""COMPUTED_VALUE"""),"Moldova")</f>
        <v>Moldova</v>
      </c>
      <c r="D10496">
        <f>IFERROR(__xludf.DUMMYFUNCTION("""COMPUTED_VALUE"""),1977.0)</f>
        <v>1977</v>
      </c>
      <c r="E10496">
        <f>IFERROR(__xludf.DUMMYFUNCTION("""COMPUTED_VALUE"""),3910644.0)</f>
        <v>3910644</v>
      </c>
    </row>
    <row r="10497">
      <c r="A10497" t="str">
        <f t="shared" si="1"/>
        <v>mda#1978</v>
      </c>
      <c r="B10497" t="str">
        <f>IFERROR(__xludf.DUMMYFUNCTION("""COMPUTED_VALUE"""),"mda")</f>
        <v>mda</v>
      </c>
      <c r="C10497" t="str">
        <f>IFERROR(__xludf.DUMMYFUNCTION("""COMPUTED_VALUE"""),"Moldova")</f>
        <v>Moldova</v>
      </c>
      <c r="D10497">
        <f>IFERROR(__xludf.DUMMYFUNCTION("""COMPUTED_VALUE"""),1978.0)</f>
        <v>1978</v>
      </c>
      <c r="E10497">
        <f>IFERROR(__xludf.DUMMYFUNCTION("""COMPUTED_VALUE"""),3942140.0)</f>
        <v>3942140</v>
      </c>
    </row>
    <row r="10498">
      <c r="A10498" t="str">
        <f t="shared" si="1"/>
        <v>mda#1979</v>
      </c>
      <c r="B10498" t="str">
        <f>IFERROR(__xludf.DUMMYFUNCTION("""COMPUTED_VALUE"""),"mda")</f>
        <v>mda</v>
      </c>
      <c r="C10498" t="str">
        <f>IFERROR(__xludf.DUMMYFUNCTION("""COMPUTED_VALUE"""),"Moldova")</f>
        <v>Moldova</v>
      </c>
      <c r="D10498">
        <f>IFERROR(__xludf.DUMMYFUNCTION("""COMPUTED_VALUE"""),1979.0)</f>
        <v>1979</v>
      </c>
      <c r="E10498">
        <f>IFERROR(__xludf.DUMMYFUNCTION("""COMPUTED_VALUE"""),3974506.0)</f>
        <v>3974506</v>
      </c>
    </row>
    <row r="10499">
      <c r="A10499" t="str">
        <f t="shared" si="1"/>
        <v>mda#1980</v>
      </c>
      <c r="B10499" t="str">
        <f>IFERROR(__xludf.DUMMYFUNCTION("""COMPUTED_VALUE"""),"mda")</f>
        <v>mda</v>
      </c>
      <c r="C10499" t="str">
        <f>IFERROR(__xludf.DUMMYFUNCTION("""COMPUTED_VALUE"""),"Moldova")</f>
        <v>Moldova</v>
      </c>
      <c r="D10499">
        <f>IFERROR(__xludf.DUMMYFUNCTION("""COMPUTED_VALUE"""),1980.0)</f>
        <v>1980</v>
      </c>
      <c r="E10499">
        <f>IFERROR(__xludf.DUMMYFUNCTION("""COMPUTED_VALUE"""),4009838.0)</f>
        <v>4009838</v>
      </c>
    </row>
    <row r="10500">
      <c r="A10500" t="str">
        <f t="shared" si="1"/>
        <v>mda#1981</v>
      </c>
      <c r="B10500" t="str">
        <f>IFERROR(__xludf.DUMMYFUNCTION("""COMPUTED_VALUE"""),"mda")</f>
        <v>mda</v>
      </c>
      <c r="C10500" t="str">
        <f>IFERROR(__xludf.DUMMYFUNCTION("""COMPUTED_VALUE"""),"Moldova")</f>
        <v>Moldova</v>
      </c>
      <c r="D10500">
        <f>IFERROR(__xludf.DUMMYFUNCTION("""COMPUTED_VALUE"""),1981.0)</f>
        <v>1981</v>
      </c>
      <c r="E10500">
        <f>IFERROR(__xludf.DUMMYFUNCTION("""COMPUTED_VALUE"""),4048617.0)</f>
        <v>4048617</v>
      </c>
    </row>
    <row r="10501">
      <c r="A10501" t="str">
        <f t="shared" si="1"/>
        <v>mda#1982</v>
      </c>
      <c r="B10501" t="str">
        <f>IFERROR(__xludf.DUMMYFUNCTION("""COMPUTED_VALUE"""),"mda")</f>
        <v>mda</v>
      </c>
      <c r="C10501" t="str">
        <f>IFERROR(__xludf.DUMMYFUNCTION("""COMPUTED_VALUE"""),"Moldova")</f>
        <v>Moldova</v>
      </c>
      <c r="D10501">
        <f>IFERROR(__xludf.DUMMYFUNCTION("""COMPUTED_VALUE"""),1982.0)</f>
        <v>1982</v>
      </c>
      <c r="E10501">
        <f>IFERROR(__xludf.DUMMYFUNCTION("""COMPUTED_VALUE"""),4089856.0)</f>
        <v>4089856</v>
      </c>
    </row>
    <row r="10502">
      <c r="A10502" t="str">
        <f t="shared" si="1"/>
        <v>mda#1983</v>
      </c>
      <c r="B10502" t="str">
        <f>IFERROR(__xludf.DUMMYFUNCTION("""COMPUTED_VALUE"""),"mda")</f>
        <v>mda</v>
      </c>
      <c r="C10502" t="str">
        <f>IFERROR(__xludf.DUMMYFUNCTION("""COMPUTED_VALUE"""),"Moldova")</f>
        <v>Moldova</v>
      </c>
      <c r="D10502">
        <f>IFERROR(__xludf.DUMMYFUNCTION("""COMPUTED_VALUE"""),1983.0)</f>
        <v>1983</v>
      </c>
      <c r="E10502">
        <f>IFERROR(__xludf.DUMMYFUNCTION("""COMPUTED_VALUE"""),4132446.0)</f>
        <v>4132446</v>
      </c>
    </row>
    <row r="10503">
      <c r="A10503" t="str">
        <f t="shared" si="1"/>
        <v>mda#1984</v>
      </c>
      <c r="B10503" t="str">
        <f>IFERROR(__xludf.DUMMYFUNCTION("""COMPUTED_VALUE"""),"mda")</f>
        <v>mda</v>
      </c>
      <c r="C10503" t="str">
        <f>IFERROR(__xludf.DUMMYFUNCTION("""COMPUTED_VALUE"""),"Moldova")</f>
        <v>Moldova</v>
      </c>
      <c r="D10503">
        <f>IFERROR(__xludf.DUMMYFUNCTION("""COMPUTED_VALUE"""),1984.0)</f>
        <v>1984</v>
      </c>
      <c r="E10503">
        <f>IFERROR(__xludf.DUMMYFUNCTION("""COMPUTED_VALUE"""),4174624.0)</f>
        <v>4174624</v>
      </c>
    </row>
    <row r="10504">
      <c r="A10504" t="str">
        <f t="shared" si="1"/>
        <v>mda#1985</v>
      </c>
      <c r="B10504" t="str">
        <f>IFERROR(__xludf.DUMMYFUNCTION("""COMPUTED_VALUE"""),"mda")</f>
        <v>mda</v>
      </c>
      <c r="C10504" t="str">
        <f>IFERROR(__xludf.DUMMYFUNCTION("""COMPUTED_VALUE"""),"Moldova")</f>
        <v>Moldova</v>
      </c>
      <c r="D10504">
        <f>IFERROR(__xludf.DUMMYFUNCTION("""COMPUTED_VALUE"""),1985.0)</f>
        <v>1985</v>
      </c>
      <c r="E10504">
        <f>IFERROR(__xludf.DUMMYFUNCTION("""COMPUTED_VALUE"""),4214916.0)</f>
        <v>4214916</v>
      </c>
    </row>
    <row r="10505">
      <c r="A10505" t="str">
        <f t="shared" si="1"/>
        <v>mda#1986</v>
      </c>
      <c r="B10505" t="str">
        <f>IFERROR(__xludf.DUMMYFUNCTION("""COMPUTED_VALUE"""),"mda")</f>
        <v>mda</v>
      </c>
      <c r="C10505" t="str">
        <f>IFERROR(__xludf.DUMMYFUNCTION("""COMPUTED_VALUE"""),"Moldova")</f>
        <v>Moldova</v>
      </c>
      <c r="D10505">
        <f>IFERROR(__xludf.DUMMYFUNCTION("""COMPUTED_VALUE"""),1986.0)</f>
        <v>1986</v>
      </c>
      <c r="E10505">
        <f>IFERROR(__xludf.DUMMYFUNCTION("""COMPUTED_VALUE"""),4253165.0)</f>
        <v>4253165</v>
      </c>
    </row>
    <row r="10506">
      <c r="A10506" t="str">
        <f t="shared" si="1"/>
        <v>mda#1987</v>
      </c>
      <c r="B10506" t="str">
        <f>IFERROR(__xludf.DUMMYFUNCTION("""COMPUTED_VALUE"""),"mda")</f>
        <v>mda</v>
      </c>
      <c r="C10506" t="str">
        <f>IFERROR(__xludf.DUMMYFUNCTION("""COMPUTED_VALUE"""),"Moldova")</f>
        <v>Moldova</v>
      </c>
      <c r="D10506">
        <f>IFERROR(__xludf.DUMMYFUNCTION("""COMPUTED_VALUE"""),1987.0)</f>
        <v>1987</v>
      </c>
      <c r="E10506">
        <f>IFERROR(__xludf.DUMMYFUNCTION("""COMPUTED_VALUE"""),4289100.0)</f>
        <v>4289100</v>
      </c>
    </row>
    <row r="10507">
      <c r="A10507" t="str">
        <f t="shared" si="1"/>
        <v>mda#1988</v>
      </c>
      <c r="B10507" t="str">
        <f>IFERROR(__xludf.DUMMYFUNCTION("""COMPUTED_VALUE"""),"mda")</f>
        <v>mda</v>
      </c>
      <c r="C10507" t="str">
        <f>IFERROR(__xludf.DUMMYFUNCTION("""COMPUTED_VALUE"""),"Moldova")</f>
        <v>Moldova</v>
      </c>
      <c r="D10507">
        <f>IFERROR(__xludf.DUMMYFUNCTION("""COMPUTED_VALUE"""),1988.0)</f>
        <v>1988</v>
      </c>
      <c r="E10507">
        <f>IFERROR(__xludf.DUMMYFUNCTION("""COMPUTED_VALUE"""),4320929.0)</f>
        <v>4320929</v>
      </c>
    </row>
    <row r="10508">
      <c r="A10508" t="str">
        <f t="shared" si="1"/>
        <v>mda#1989</v>
      </c>
      <c r="B10508" t="str">
        <f>IFERROR(__xludf.DUMMYFUNCTION("""COMPUTED_VALUE"""),"mda")</f>
        <v>mda</v>
      </c>
      <c r="C10508" t="str">
        <f>IFERROR(__xludf.DUMMYFUNCTION("""COMPUTED_VALUE"""),"Moldova")</f>
        <v>Moldova</v>
      </c>
      <c r="D10508">
        <f>IFERROR(__xludf.DUMMYFUNCTION("""COMPUTED_VALUE"""),1989.0)</f>
        <v>1989</v>
      </c>
      <c r="E10508">
        <f>IFERROR(__xludf.DUMMYFUNCTION("""COMPUTED_VALUE"""),4346453.0)</f>
        <v>4346453</v>
      </c>
    </row>
    <row r="10509">
      <c r="A10509" t="str">
        <f t="shared" si="1"/>
        <v>mda#1990</v>
      </c>
      <c r="B10509" t="str">
        <f>IFERROR(__xludf.DUMMYFUNCTION("""COMPUTED_VALUE"""),"mda")</f>
        <v>mda</v>
      </c>
      <c r="C10509" t="str">
        <f>IFERROR(__xludf.DUMMYFUNCTION("""COMPUTED_VALUE"""),"Moldova")</f>
        <v>Moldova</v>
      </c>
      <c r="D10509">
        <f>IFERROR(__xludf.DUMMYFUNCTION("""COMPUTED_VALUE"""),1990.0)</f>
        <v>1990</v>
      </c>
      <c r="E10509">
        <f>IFERROR(__xludf.DUMMYFUNCTION("""COMPUTED_VALUE"""),4364116.0)</f>
        <v>4364116</v>
      </c>
    </row>
    <row r="10510">
      <c r="A10510" t="str">
        <f t="shared" si="1"/>
        <v>mda#1991</v>
      </c>
      <c r="B10510" t="str">
        <f>IFERROR(__xludf.DUMMYFUNCTION("""COMPUTED_VALUE"""),"mda")</f>
        <v>mda</v>
      </c>
      <c r="C10510" t="str">
        <f>IFERROR(__xludf.DUMMYFUNCTION("""COMPUTED_VALUE"""),"Moldova")</f>
        <v>Moldova</v>
      </c>
      <c r="D10510">
        <f>IFERROR(__xludf.DUMMYFUNCTION("""COMPUTED_VALUE"""),1991.0)</f>
        <v>1991</v>
      </c>
      <c r="E10510">
        <f>IFERROR(__xludf.DUMMYFUNCTION("""COMPUTED_VALUE"""),4373578.0)</f>
        <v>4373578</v>
      </c>
    </row>
    <row r="10511">
      <c r="A10511" t="str">
        <f t="shared" si="1"/>
        <v>mda#1992</v>
      </c>
      <c r="B10511" t="str">
        <f>IFERROR(__xludf.DUMMYFUNCTION("""COMPUTED_VALUE"""),"mda")</f>
        <v>mda</v>
      </c>
      <c r="C10511" t="str">
        <f>IFERROR(__xludf.DUMMYFUNCTION("""COMPUTED_VALUE"""),"Moldova")</f>
        <v>Moldova</v>
      </c>
      <c r="D10511">
        <f>IFERROR(__xludf.DUMMYFUNCTION("""COMPUTED_VALUE"""),1992.0)</f>
        <v>1992</v>
      </c>
      <c r="E10511">
        <f>IFERROR(__xludf.DUMMYFUNCTION("""COMPUTED_VALUE"""),4375313.0)</f>
        <v>4375313</v>
      </c>
    </row>
    <row r="10512">
      <c r="A10512" t="str">
        <f t="shared" si="1"/>
        <v>mda#1993</v>
      </c>
      <c r="B10512" t="str">
        <f>IFERROR(__xludf.DUMMYFUNCTION("""COMPUTED_VALUE"""),"mda")</f>
        <v>mda</v>
      </c>
      <c r="C10512" t="str">
        <f>IFERROR(__xludf.DUMMYFUNCTION("""COMPUTED_VALUE"""),"Moldova")</f>
        <v>Moldova</v>
      </c>
      <c r="D10512">
        <f>IFERROR(__xludf.DUMMYFUNCTION("""COMPUTED_VALUE"""),1993.0)</f>
        <v>1993</v>
      </c>
      <c r="E10512">
        <f>IFERROR(__xludf.DUMMYFUNCTION("""COMPUTED_VALUE"""),4369649.0)</f>
        <v>4369649</v>
      </c>
    </row>
    <row r="10513">
      <c r="A10513" t="str">
        <f t="shared" si="1"/>
        <v>mda#1994</v>
      </c>
      <c r="B10513" t="str">
        <f>IFERROR(__xludf.DUMMYFUNCTION("""COMPUTED_VALUE"""),"mda")</f>
        <v>mda</v>
      </c>
      <c r="C10513" t="str">
        <f>IFERROR(__xludf.DUMMYFUNCTION("""COMPUTED_VALUE"""),"Moldova")</f>
        <v>Moldova</v>
      </c>
      <c r="D10513">
        <f>IFERROR(__xludf.DUMMYFUNCTION("""COMPUTED_VALUE"""),1994.0)</f>
        <v>1994</v>
      </c>
      <c r="E10513">
        <f>IFERROR(__xludf.DUMMYFUNCTION("""COMPUTED_VALUE"""),4357283.0)</f>
        <v>4357283</v>
      </c>
    </row>
    <row r="10514">
      <c r="A10514" t="str">
        <f t="shared" si="1"/>
        <v>mda#1995</v>
      </c>
      <c r="B10514" t="str">
        <f>IFERROR(__xludf.DUMMYFUNCTION("""COMPUTED_VALUE"""),"mda")</f>
        <v>mda</v>
      </c>
      <c r="C10514" t="str">
        <f>IFERROR(__xludf.DUMMYFUNCTION("""COMPUTED_VALUE"""),"Moldova")</f>
        <v>Moldova</v>
      </c>
      <c r="D10514">
        <f>IFERROR(__xludf.DUMMYFUNCTION("""COMPUTED_VALUE"""),1995.0)</f>
        <v>1995</v>
      </c>
      <c r="E10514">
        <f>IFERROR(__xludf.DUMMYFUNCTION("""COMPUTED_VALUE"""),4339082.0)</f>
        <v>4339082</v>
      </c>
    </row>
    <row r="10515">
      <c r="A10515" t="str">
        <f t="shared" si="1"/>
        <v>mda#1996</v>
      </c>
      <c r="B10515" t="str">
        <f>IFERROR(__xludf.DUMMYFUNCTION("""COMPUTED_VALUE"""),"mda")</f>
        <v>mda</v>
      </c>
      <c r="C10515" t="str">
        <f>IFERROR(__xludf.DUMMYFUNCTION("""COMPUTED_VALUE"""),"Moldova")</f>
        <v>Moldova</v>
      </c>
      <c r="D10515">
        <f>IFERROR(__xludf.DUMMYFUNCTION("""COMPUTED_VALUE"""),1996.0)</f>
        <v>1996</v>
      </c>
      <c r="E10515">
        <f>IFERROR(__xludf.DUMMYFUNCTION("""COMPUTED_VALUE"""),4314700.0)</f>
        <v>4314700</v>
      </c>
    </row>
    <row r="10516">
      <c r="A10516" t="str">
        <f t="shared" si="1"/>
        <v>mda#1997</v>
      </c>
      <c r="B10516" t="str">
        <f>IFERROR(__xludf.DUMMYFUNCTION("""COMPUTED_VALUE"""),"mda")</f>
        <v>mda</v>
      </c>
      <c r="C10516" t="str">
        <f>IFERROR(__xludf.DUMMYFUNCTION("""COMPUTED_VALUE"""),"Moldova")</f>
        <v>Moldova</v>
      </c>
      <c r="D10516">
        <f>IFERROR(__xludf.DUMMYFUNCTION("""COMPUTED_VALUE"""),1997.0)</f>
        <v>1997</v>
      </c>
      <c r="E10516">
        <f>IFERROR(__xludf.DUMMYFUNCTION("""COMPUTED_VALUE"""),4284931.0)</f>
        <v>4284931</v>
      </c>
    </row>
    <row r="10517">
      <c r="A10517" t="str">
        <f t="shared" si="1"/>
        <v>mda#1998</v>
      </c>
      <c r="B10517" t="str">
        <f>IFERROR(__xludf.DUMMYFUNCTION("""COMPUTED_VALUE"""),"mda")</f>
        <v>mda</v>
      </c>
      <c r="C10517" t="str">
        <f>IFERROR(__xludf.DUMMYFUNCTION("""COMPUTED_VALUE"""),"Moldova")</f>
        <v>Moldova</v>
      </c>
      <c r="D10517">
        <f>IFERROR(__xludf.DUMMYFUNCTION("""COMPUTED_VALUE"""),1998.0)</f>
        <v>1998</v>
      </c>
      <c r="E10517">
        <f>IFERROR(__xludf.DUMMYFUNCTION("""COMPUTED_VALUE"""),4253284.0)</f>
        <v>4253284</v>
      </c>
    </row>
    <row r="10518">
      <c r="A10518" t="str">
        <f t="shared" si="1"/>
        <v>mda#1999</v>
      </c>
      <c r="B10518" t="str">
        <f>IFERROR(__xludf.DUMMYFUNCTION("""COMPUTED_VALUE"""),"mda")</f>
        <v>mda</v>
      </c>
      <c r="C10518" t="str">
        <f>IFERROR(__xludf.DUMMYFUNCTION("""COMPUTED_VALUE"""),"Moldova")</f>
        <v>Moldova</v>
      </c>
      <c r="D10518">
        <f>IFERROR(__xludf.DUMMYFUNCTION("""COMPUTED_VALUE"""),1999.0)</f>
        <v>1999</v>
      </c>
      <c r="E10518">
        <f>IFERROR(__xludf.DUMMYFUNCTION("""COMPUTED_VALUE"""),4224273.0)</f>
        <v>4224273</v>
      </c>
    </row>
    <row r="10519">
      <c r="A10519" t="str">
        <f t="shared" si="1"/>
        <v>mda#2000</v>
      </c>
      <c r="B10519" t="str">
        <f>IFERROR(__xludf.DUMMYFUNCTION("""COMPUTED_VALUE"""),"mda")</f>
        <v>mda</v>
      </c>
      <c r="C10519" t="str">
        <f>IFERROR(__xludf.DUMMYFUNCTION("""COMPUTED_VALUE"""),"Moldova")</f>
        <v>Moldova</v>
      </c>
      <c r="D10519">
        <f>IFERROR(__xludf.DUMMYFUNCTION("""COMPUTED_VALUE"""),2000.0)</f>
        <v>2000</v>
      </c>
      <c r="E10519">
        <f>IFERROR(__xludf.DUMMYFUNCTION("""COMPUTED_VALUE"""),4201089.0)</f>
        <v>4201089</v>
      </c>
    </row>
    <row r="10520">
      <c r="A10520" t="str">
        <f t="shared" si="1"/>
        <v>mda#2001</v>
      </c>
      <c r="B10520" t="str">
        <f>IFERROR(__xludf.DUMMYFUNCTION("""COMPUTED_VALUE"""),"mda")</f>
        <v>mda</v>
      </c>
      <c r="C10520" t="str">
        <f>IFERROR(__xludf.DUMMYFUNCTION("""COMPUTED_VALUE"""),"Moldova")</f>
        <v>Moldova</v>
      </c>
      <c r="D10520">
        <f>IFERROR(__xludf.DUMMYFUNCTION("""COMPUTED_VALUE"""),2001.0)</f>
        <v>2001</v>
      </c>
      <c r="E10520">
        <f>IFERROR(__xludf.DUMMYFUNCTION("""COMPUTED_VALUE"""),4185505.0)</f>
        <v>4185505</v>
      </c>
    </row>
    <row r="10521">
      <c r="A10521" t="str">
        <f t="shared" si="1"/>
        <v>mda#2002</v>
      </c>
      <c r="B10521" t="str">
        <f>IFERROR(__xludf.DUMMYFUNCTION("""COMPUTED_VALUE"""),"mda")</f>
        <v>mda</v>
      </c>
      <c r="C10521" t="str">
        <f>IFERROR(__xludf.DUMMYFUNCTION("""COMPUTED_VALUE"""),"Moldova")</f>
        <v>Moldova</v>
      </c>
      <c r="D10521">
        <f>IFERROR(__xludf.DUMMYFUNCTION("""COMPUTED_VALUE"""),2002.0)</f>
        <v>2002</v>
      </c>
      <c r="E10521">
        <f>IFERROR(__xludf.DUMMYFUNCTION("""COMPUTED_VALUE"""),4176616.0)</f>
        <v>4176616</v>
      </c>
    </row>
    <row r="10522">
      <c r="A10522" t="str">
        <f t="shared" si="1"/>
        <v>mda#2003</v>
      </c>
      <c r="B10522" t="str">
        <f>IFERROR(__xludf.DUMMYFUNCTION("""COMPUTED_VALUE"""),"mda")</f>
        <v>mda</v>
      </c>
      <c r="C10522" t="str">
        <f>IFERROR(__xludf.DUMMYFUNCTION("""COMPUTED_VALUE"""),"Moldova")</f>
        <v>Moldova</v>
      </c>
      <c r="D10522">
        <f>IFERROR(__xludf.DUMMYFUNCTION("""COMPUTED_VALUE"""),2003.0)</f>
        <v>2003</v>
      </c>
      <c r="E10522">
        <f>IFERROR(__xludf.DUMMYFUNCTION("""COMPUTED_VALUE"""),4171646.0)</f>
        <v>4171646</v>
      </c>
    </row>
    <row r="10523">
      <c r="A10523" t="str">
        <f t="shared" si="1"/>
        <v>mda#2004</v>
      </c>
      <c r="B10523" t="str">
        <f>IFERROR(__xludf.DUMMYFUNCTION("""COMPUTED_VALUE"""),"mda")</f>
        <v>mda</v>
      </c>
      <c r="C10523" t="str">
        <f>IFERROR(__xludf.DUMMYFUNCTION("""COMPUTED_VALUE"""),"Moldova")</f>
        <v>Moldova</v>
      </c>
      <c r="D10523">
        <f>IFERROR(__xludf.DUMMYFUNCTION("""COMPUTED_VALUE"""),2004.0)</f>
        <v>2004</v>
      </c>
      <c r="E10523">
        <f>IFERROR(__xludf.DUMMYFUNCTION("""COMPUTED_VALUE"""),4166337.0)</f>
        <v>4166337</v>
      </c>
    </row>
    <row r="10524">
      <c r="A10524" t="str">
        <f t="shared" si="1"/>
        <v>mda#2005</v>
      </c>
      <c r="B10524" t="str">
        <f>IFERROR(__xludf.DUMMYFUNCTION("""COMPUTED_VALUE"""),"mda")</f>
        <v>mda</v>
      </c>
      <c r="C10524" t="str">
        <f>IFERROR(__xludf.DUMMYFUNCTION("""COMPUTED_VALUE"""),"Moldova")</f>
        <v>Moldova</v>
      </c>
      <c r="D10524">
        <f>IFERROR(__xludf.DUMMYFUNCTION("""COMPUTED_VALUE"""),2005.0)</f>
        <v>2005</v>
      </c>
      <c r="E10524">
        <f>IFERROR(__xludf.DUMMYFUNCTION("""COMPUTED_VALUE"""),4157699.0)</f>
        <v>4157699</v>
      </c>
    </row>
    <row r="10525">
      <c r="A10525" t="str">
        <f t="shared" si="1"/>
        <v>mda#2006</v>
      </c>
      <c r="B10525" t="str">
        <f>IFERROR(__xludf.DUMMYFUNCTION("""COMPUTED_VALUE"""),"mda")</f>
        <v>mda</v>
      </c>
      <c r="C10525" t="str">
        <f>IFERROR(__xludf.DUMMYFUNCTION("""COMPUTED_VALUE"""),"Moldova")</f>
        <v>Moldova</v>
      </c>
      <c r="D10525">
        <f>IFERROR(__xludf.DUMMYFUNCTION("""COMPUTED_VALUE"""),2006.0)</f>
        <v>2006</v>
      </c>
      <c r="E10525">
        <f>IFERROR(__xludf.DUMMYFUNCTION("""COMPUTED_VALUE"""),4144730.0)</f>
        <v>4144730</v>
      </c>
    </row>
    <row r="10526">
      <c r="A10526" t="str">
        <f t="shared" si="1"/>
        <v>mda#2007</v>
      </c>
      <c r="B10526" t="str">
        <f>IFERROR(__xludf.DUMMYFUNCTION("""COMPUTED_VALUE"""),"mda")</f>
        <v>mda</v>
      </c>
      <c r="C10526" t="str">
        <f>IFERROR(__xludf.DUMMYFUNCTION("""COMPUTED_VALUE"""),"Moldova")</f>
        <v>Moldova</v>
      </c>
      <c r="D10526">
        <f>IFERROR(__xludf.DUMMYFUNCTION("""COMPUTED_VALUE"""),2007.0)</f>
        <v>2007</v>
      </c>
      <c r="E10526">
        <f>IFERROR(__xludf.DUMMYFUNCTION("""COMPUTED_VALUE"""),4128649.0)</f>
        <v>4128649</v>
      </c>
    </row>
    <row r="10527">
      <c r="A10527" t="str">
        <f t="shared" si="1"/>
        <v>mda#2008</v>
      </c>
      <c r="B10527" t="str">
        <f>IFERROR(__xludf.DUMMYFUNCTION("""COMPUTED_VALUE"""),"mda")</f>
        <v>mda</v>
      </c>
      <c r="C10527" t="str">
        <f>IFERROR(__xludf.DUMMYFUNCTION("""COMPUTED_VALUE"""),"Moldova")</f>
        <v>Moldova</v>
      </c>
      <c r="D10527">
        <f>IFERROR(__xludf.DUMMYFUNCTION("""COMPUTED_VALUE"""),2008.0)</f>
        <v>2008</v>
      </c>
      <c r="E10527">
        <f>IFERROR(__xludf.DUMMYFUNCTION("""COMPUTED_VALUE"""),4111440.0)</f>
        <v>4111440</v>
      </c>
    </row>
    <row r="10528">
      <c r="A10528" t="str">
        <f t="shared" si="1"/>
        <v>mda#2009</v>
      </c>
      <c r="B10528" t="str">
        <f>IFERROR(__xludf.DUMMYFUNCTION("""COMPUTED_VALUE"""),"mda")</f>
        <v>mda</v>
      </c>
      <c r="C10528" t="str">
        <f>IFERROR(__xludf.DUMMYFUNCTION("""COMPUTED_VALUE"""),"Moldova")</f>
        <v>Moldova</v>
      </c>
      <c r="D10528">
        <f>IFERROR(__xludf.DUMMYFUNCTION("""COMPUTED_VALUE"""),2009.0)</f>
        <v>2009</v>
      </c>
      <c r="E10528">
        <f>IFERROR(__xludf.DUMMYFUNCTION("""COMPUTED_VALUE"""),4096040.0)</f>
        <v>4096040</v>
      </c>
    </row>
    <row r="10529">
      <c r="A10529" t="str">
        <f t="shared" si="1"/>
        <v>mda#2010</v>
      </c>
      <c r="B10529" t="str">
        <f>IFERROR(__xludf.DUMMYFUNCTION("""COMPUTED_VALUE"""),"mda")</f>
        <v>mda</v>
      </c>
      <c r="C10529" t="str">
        <f>IFERROR(__xludf.DUMMYFUNCTION("""COMPUTED_VALUE"""),"Moldova")</f>
        <v>Moldova</v>
      </c>
      <c r="D10529">
        <f>IFERROR(__xludf.DUMMYFUNCTION("""COMPUTED_VALUE"""),2010.0)</f>
        <v>2010</v>
      </c>
      <c r="E10529">
        <f>IFERROR(__xludf.DUMMYFUNCTION("""COMPUTED_VALUE"""),4084481.0)</f>
        <v>4084481</v>
      </c>
    </row>
    <row r="10530">
      <c r="A10530" t="str">
        <f t="shared" si="1"/>
        <v>mda#2011</v>
      </c>
      <c r="B10530" t="str">
        <f>IFERROR(__xludf.DUMMYFUNCTION("""COMPUTED_VALUE"""),"mda")</f>
        <v>mda</v>
      </c>
      <c r="C10530" t="str">
        <f>IFERROR(__xludf.DUMMYFUNCTION("""COMPUTED_VALUE"""),"Moldova")</f>
        <v>Moldova</v>
      </c>
      <c r="D10530">
        <f>IFERROR(__xludf.DUMMYFUNCTION("""COMPUTED_VALUE"""),2011.0)</f>
        <v>2011</v>
      </c>
      <c r="E10530">
        <f>IFERROR(__xludf.DUMMYFUNCTION("""COMPUTED_VALUE"""),4077368.0)</f>
        <v>4077368</v>
      </c>
    </row>
    <row r="10531">
      <c r="A10531" t="str">
        <f t="shared" si="1"/>
        <v>mda#2012</v>
      </c>
      <c r="B10531" t="str">
        <f>IFERROR(__xludf.DUMMYFUNCTION("""COMPUTED_VALUE"""),"mda")</f>
        <v>mda</v>
      </c>
      <c r="C10531" t="str">
        <f>IFERROR(__xludf.DUMMYFUNCTION("""COMPUTED_VALUE"""),"Moldova")</f>
        <v>Moldova</v>
      </c>
      <c r="D10531">
        <f>IFERROR(__xludf.DUMMYFUNCTION("""COMPUTED_VALUE"""),2012.0)</f>
        <v>2012</v>
      </c>
      <c r="E10531">
        <f>IFERROR(__xludf.DUMMYFUNCTION("""COMPUTED_VALUE"""),4073703.0)</f>
        <v>4073703</v>
      </c>
    </row>
    <row r="10532">
      <c r="A10532" t="str">
        <f t="shared" si="1"/>
        <v>mda#2013</v>
      </c>
      <c r="B10532" t="str">
        <f>IFERROR(__xludf.DUMMYFUNCTION("""COMPUTED_VALUE"""),"mda")</f>
        <v>mda</v>
      </c>
      <c r="C10532" t="str">
        <f>IFERROR(__xludf.DUMMYFUNCTION("""COMPUTED_VALUE"""),"Moldova")</f>
        <v>Moldova</v>
      </c>
      <c r="D10532">
        <f>IFERROR(__xludf.DUMMYFUNCTION("""COMPUTED_VALUE"""),2013.0)</f>
        <v>2013</v>
      </c>
      <c r="E10532">
        <f>IFERROR(__xludf.DUMMYFUNCTION("""COMPUTED_VALUE"""),4071964.0)</f>
        <v>4071964</v>
      </c>
    </row>
    <row r="10533">
      <c r="A10533" t="str">
        <f t="shared" si="1"/>
        <v>mda#2014</v>
      </c>
      <c r="B10533" t="str">
        <f>IFERROR(__xludf.DUMMYFUNCTION("""COMPUTED_VALUE"""),"mda")</f>
        <v>mda</v>
      </c>
      <c r="C10533" t="str">
        <f>IFERROR(__xludf.DUMMYFUNCTION("""COMPUTED_VALUE"""),"Moldova")</f>
        <v>Moldova</v>
      </c>
      <c r="D10533">
        <f>IFERROR(__xludf.DUMMYFUNCTION("""COMPUTED_VALUE"""),2014.0)</f>
        <v>2014</v>
      </c>
      <c r="E10533">
        <f>IFERROR(__xludf.DUMMYFUNCTION("""COMPUTED_VALUE"""),4069939.0)</f>
        <v>4069939</v>
      </c>
    </row>
    <row r="10534">
      <c r="A10534" t="str">
        <f t="shared" si="1"/>
        <v>mda#2015</v>
      </c>
      <c r="B10534" t="str">
        <f>IFERROR(__xludf.DUMMYFUNCTION("""COMPUTED_VALUE"""),"mda")</f>
        <v>mda</v>
      </c>
      <c r="C10534" t="str">
        <f>IFERROR(__xludf.DUMMYFUNCTION("""COMPUTED_VALUE"""),"Moldova")</f>
        <v>Moldova</v>
      </c>
      <c r="D10534">
        <f>IFERROR(__xludf.DUMMYFUNCTION("""COMPUTED_VALUE"""),2015.0)</f>
        <v>2015</v>
      </c>
      <c r="E10534">
        <f>IFERROR(__xludf.DUMMYFUNCTION("""COMPUTED_VALUE"""),4065980.0)</f>
        <v>4065980</v>
      </c>
    </row>
    <row r="10535">
      <c r="A10535" t="str">
        <f t="shared" si="1"/>
        <v>mda#2016</v>
      </c>
      <c r="B10535" t="str">
        <f>IFERROR(__xludf.DUMMYFUNCTION("""COMPUTED_VALUE"""),"mda")</f>
        <v>mda</v>
      </c>
      <c r="C10535" t="str">
        <f>IFERROR(__xludf.DUMMYFUNCTION("""COMPUTED_VALUE"""),"Moldova")</f>
        <v>Moldova</v>
      </c>
      <c r="D10535">
        <f>IFERROR(__xludf.DUMMYFUNCTION("""COMPUTED_VALUE"""),2016.0)</f>
        <v>2016</v>
      </c>
      <c r="E10535">
        <f>IFERROR(__xludf.DUMMYFUNCTION("""COMPUTED_VALUE"""),4059608.0)</f>
        <v>4059608</v>
      </c>
    </row>
    <row r="10536">
      <c r="A10536" t="str">
        <f t="shared" si="1"/>
        <v>mda#2017</v>
      </c>
      <c r="B10536" t="str">
        <f>IFERROR(__xludf.DUMMYFUNCTION("""COMPUTED_VALUE"""),"mda")</f>
        <v>mda</v>
      </c>
      <c r="C10536" t="str">
        <f>IFERROR(__xludf.DUMMYFUNCTION("""COMPUTED_VALUE"""),"Moldova")</f>
        <v>Moldova</v>
      </c>
      <c r="D10536">
        <f>IFERROR(__xludf.DUMMYFUNCTION("""COMPUTED_VALUE"""),2017.0)</f>
        <v>2017</v>
      </c>
      <c r="E10536">
        <f>IFERROR(__xludf.DUMMYFUNCTION("""COMPUTED_VALUE"""),4051212.0)</f>
        <v>4051212</v>
      </c>
    </row>
    <row r="10537">
      <c r="A10537" t="str">
        <f t="shared" si="1"/>
        <v>mda#2018</v>
      </c>
      <c r="B10537" t="str">
        <f>IFERROR(__xludf.DUMMYFUNCTION("""COMPUTED_VALUE"""),"mda")</f>
        <v>mda</v>
      </c>
      <c r="C10537" t="str">
        <f>IFERROR(__xludf.DUMMYFUNCTION("""COMPUTED_VALUE"""),"Moldova")</f>
        <v>Moldova</v>
      </c>
      <c r="D10537">
        <f>IFERROR(__xludf.DUMMYFUNCTION("""COMPUTED_VALUE"""),2018.0)</f>
        <v>2018</v>
      </c>
      <c r="E10537">
        <f>IFERROR(__xludf.DUMMYFUNCTION("""COMPUTED_VALUE"""),4041065.0)</f>
        <v>4041065</v>
      </c>
    </row>
    <row r="10538">
      <c r="A10538" t="str">
        <f t="shared" si="1"/>
        <v>mda#2019</v>
      </c>
      <c r="B10538" t="str">
        <f>IFERROR(__xludf.DUMMYFUNCTION("""COMPUTED_VALUE"""),"mda")</f>
        <v>mda</v>
      </c>
      <c r="C10538" t="str">
        <f>IFERROR(__xludf.DUMMYFUNCTION("""COMPUTED_VALUE"""),"Moldova")</f>
        <v>Moldova</v>
      </c>
      <c r="D10538">
        <f>IFERROR(__xludf.DUMMYFUNCTION("""COMPUTED_VALUE"""),2019.0)</f>
        <v>2019</v>
      </c>
      <c r="E10538">
        <f>IFERROR(__xludf.DUMMYFUNCTION("""COMPUTED_VALUE"""),4029750.0)</f>
        <v>4029750</v>
      </c>
    </row>
    <row r="10539">
      <c r="A10539" t="str">
        <f t="shared" si="1"/>
        <v>mda#2020</v>
      </c>
      <c r="B10539" t="str">
        <f>IFERROR(__xludf.DUMMYFUNCTION("""COMPUTED_VALUE"""),"mda")</f>
        <v>mda</v>
      </c>
      <c r="C10539" t="str">
        <f>IFERROR(__xludf.DUMMYFUNCTION("""COMPUTED_VALUE"""),"Moldova")</f>
        <v>Moldova</v>
      </c>
      <c r="D10539">
        <f>IFERROR(__xludf.DUMMYFUNCTION("""COMPUTED_VALUE"""),2020.0)</f>
        <v>2020</v>
      </c>
      <c r="E10539">
        <f>IFERROR(__xludf.DUMMYFUNCTION("""COMPUTED_VALUE"""),4017687.0)</f>
        <v>4017687</v>
      </c>
    </row>
    <row r="10540">
      <c r="A10540" t="str">
        <f t="shared" si="1"/>
        <v>mda#2021</v>
      </c>
      <c r="B10540" t="str">
        <f>IFERROR(__xludf.DUMMYFUNCTION("""COMPUTED_VALUE"""),"mda")</f>
        <v>mda</v>
      </c>
      <c r="C10540" t="str">
        <f>IFERROR(__xludf.DUMMYFUNCTION("""COMPUTED_VALUE"""),"Moldova")</f>
        <v>Moldova</v>
      </c>
      <c r="D10540">
        <f>IFERROR(__xludf.DUMMYFUNCTION("""COMPUTED_VALUE"""),2021.0)</f>
        <v>2021</v>
      </c>
      <c r="E10540">
        <f>IFERROR(__xludf.DUMMYFUNCTION("""COMPUTED_VALUE"""),4004831.0)</f>
        <v>4004831</v>
      </c>
    </row>
    <row r="10541">
      <c r="A10541" t="str">
        <f t="shared" si="1"/>
        <v>mda#2022</v>
      </c>
      <c r="B10541" t="str">
        <f>IFERROR(__xludf.DUMMYFUNCTION("""COMPUTED_VALUE"""),"mda")</f>
        <v>mda</v>
      </c>
      <c r="C10541" t="str">
        <f>IFERROR(__xludf.DUMMYFUNCTION("""COMPUTED_VALUE"""),"Moldova")</f>
        <v>Moldova</v>
      </c>
      <c r="D10541">
        <f>IFERROR(__xludf.DUMMYFUNCTION("""COMPUTED_VALUE"""),2022.0)</f>
        <v>2022</v>
      </c>
      <c r="E10541">
        <f>IFERROR(__xludf.DUMMYFUNCTION("""COMPUTED_VALUE"""),3990975.0)</f>
        <v>3990975</v>
      </c>
    </row>
    <row r="10542">
      <c r="A10542" t="str">
        <f t="shared" si="1"/>
        <v>mda#2023</v>
      </c>
      <c r="B10542" t="str">
        <f>IFERROR(__xludf.DUMMYFUNCTION("""COMPUTED_VALUE"""),"mda")</f>
        <v>mda</v>
      </c>
      <c r="C10542" t="str">
        <f>IFERROR(__xludf.DUMMYFUNCTION("""COMPUTED_VALUE"""),"Moldova")</f>
        <v>Moldova</v>
      </c>
      <c r="D10542">
        <f>IFERROR(__xludf.DUMMYFUNCTION("""COMPUTED_VALUE"""),2023.0)</f>
        <v>2023</v>
      </c>
      <c r="E10542">
        <f>IFERROR(__xludf.DUMMYFUNCTION("""COMPUTED_VALUE"""),3976113.0)</f>
        <v>3976113</v>
      </c>
    </row>
    <row r="10543">
      <c r="A10543" t="str">
        <f t="shared" si="1"/>
        <v>mda#2024</v>
      </c>
      <c r="B10543" t="str">
        <f>IFERROR(__xludf.DUMMYFUNCTION("""COMPUTED_VALUE"""),"mda")</f>
        <v>mda</v>
      </c>
      <c r="C10543" t="str">
        <f>IFERROR(__xludf.DUMMYFUNCTION("""COMPUTED_VALUE"""),"Moldova")</f>
        <v>Moldova</v>
      </c>
      <c r="D10543">
        <f>IFERROR(__xludf.DUMMYFUNCTION("""COMPUTED_VALUE"""),2024.0)</f>
        <v>2024</v>
      </c>
      <c r="E10543">
        <f>IFERROR(__xludf.DUMMYFUNCTION("""COMPUTED_VALUE"""),3960231.0)</f>
        <v>3960231</v>
      </c>
    </row>
    <row r="10544">
      <c r="A10544" t="str">
        <f t="shared" si="1"/>
        <v>mda#2025</v>
      </c>
      <c r="B10544" t="str">
        <f>IFERROR(__xludf.DUMMYFUNCTION("""COMPUTED_VALUE"""),"mda")</f>
        <v>mda</v>
      </c>
      <c r="C10544" t="str">
        <f>IFERROR(__xludf.DUMMYFUNCTION("""COMPUTED_VALUE"""),"Moldova")</f>
        <v>Moldova</v>
      </c>
      <c r="D10544">
        <f>IFERROR(__xludf.DUMMYFUNCTION("""COMPUTED_VALUE"""),2025.0)</f>
        <v>2025</v>
      </c>
      <c r="E10544">
        <f>IFERROR(__xludf.DUMMYFUNCTION("""COMPUTED_VALUE"""),3943322.0)</f>
        <v>3943322</v>
      </c>
    </row>
    <row r="10545">
      <c r="A10545" t="str">
        <f t="shared" si="1"/>
        <v>mda#2026</v>
      </c>
      <c r="B10545" t="str">
        <f>IFERROR(__xludf.DUMMYFUNCTION("""COMPUTED_VALUE"""),"mda")</f>
        <v>mda</v>
      </c>
      <c r="C10545" t="str">
        <f>IFERROR(__xludf.DUMMYFUNCTION("""COMPUTED_VALUE"""),"Moldova")</f>
        <v>Moldova</v>
      </c>
      <c r="D10545">
        <f>IFERROR(__xludf.DUMMYFUNCTION("""COMPUTED_VALUE"""),2026.0)</f>
        <v>2026</v>
      </c>
      <c r="E10545">
        <f>IFERROR(__xludf.DUMMYFUNCTION("""COMPUTED_VALUE"""),3925425.0)</f>
        <v>3925425</v>
      </c>
    </row>
    <row r="10546">
      <c r="A10546" t="str">
        <f t="shared" si="1"/>
        <v>mda#2027</v>
      </c>
      <c r="B10546" t="str">
        <f>IFERROR(__xludf.DUMMYFUNCTION("""COMPUTED_VALUE"""),"mda")</f>
        <v>mda</v>
      </c>
      <c r="C10546" t="str">
        <f>IFERROR(__xludf.DUMMYFUNCTION("""COMPUTED_VALUE"""),"Moldova")</f>
        <v>Moldova</v>
      </c>
      <c r="D10546">
        <f>IFERROR(__xludf.DUMMYFUNCTION("""COMPUTED_VALUE"""),2027.0)</f>
        <v>2027</v>
      </c>
      <c r="E10546">
        <f>IFERROR(__xludf.DUMMYFUNCTION("""COMPUTED_VALUE"""),3906558.0)</f>
        <v>3906558</v>
      </c>
    </row>
    <row r="10547">
      <c r="A10547" t="str">
        <f t="shared" si="1"/>
        <v>mda#2028</v>
      </c>
      <c r="B10547" t="str">
        <f>IFERROR(__xludf.DUMMYFUNCTION("""COMPUTED_VALUE"""),"mda")</f>
        <v>mda</v>
      </c>
      <c r="C10547" t="str">
        <f>IFERROR(__xludf.DUMMYFUNCTION("""COMPUTED_VALUE"""),"Moldova")</f>
        <v>Moldova</v>
      </c>
      <c r="D10547">
        <f>IFERROR(__xludf.DUMMYFUNCTION("""COMPUTED_VALUE"""),2028.0)</f>
        <v>2028</v>
      </c>
      <c r="E10547">
        <f>IFERROR(__xludf.DUMMYFUNCTION("""COMPUTED_VALUE"""),3886699.0)</f>
        <v>3886699</v>
      </c>
    </row>
    <row r="10548">
      <c r="A10548" t="str">
        <f t="shared" si="1"/>
        <v>mda#2029</v>
      </c>
      <c r="B10548" t="str">
        <f>IFERROR(__xludf.DUMMYFUNCTION("""COMPUTED_VALUE"""),"mda")</f>
        <v>mda</v>
      </c>
      <c r="C10548" t="str">
        <f>IFERROR(__xludf.DUMMYFUNCTION("""COMPUTED_VALUE"""),"Moldova")</f>
        <v>Moldova</v>
      </c>
      <c r="D10548">
        <f>IFERROR(__xludf.DUMMYFUNCTION("""COMPUTED_VALUE"""),2029.0)</f>
        <v>2029</v>
      </c>
      <c r="E10548">
        <f>IFERROR(__xludf.DUMMYFUNCTION("""COMPUTED_VALUE"""),3865826.0)</f>
        <v>3865826</v>
      </c>
    </row>
    <row r="10549">
      <c r="A10549" t="str">
        <f t="shared" si="1"/>
        <v>mda#2030</v>
      </c>
      <c r="B10549" t="str">
        <f>IFERROR(__xludf.DUMMYFUNCTION("""COMPUTED_VALUE"""),"mda")</f>
        <v>mda</v>
      </c>
      <c r="C10549" t="str">
        <f>IFERROR(__xludf.DUMMYFUNCTION("""COMPUTED_VALUE"""),"Moldova")</f>
        <v>Moldova</v>
      </c>
      <c r="D10549">
        <f>IFERROR(__xludf.DUMMYFUNCTION("""COMPUTED_VALUE"""),2030.0)</f>
        <v>2030</v>
      </c>
      <c r="E10549">
        <f>IFERROR(__xludf.DUMMYFUNCTION("""COMPUTED_VALUE"""),3843941.0)</f>
        <v>3843941</v>
      </c>
    </row>
    <row r="10550">
      <c r="A10550" t="str">
        <f t="shared" si="1"/>
        <v>mda#2031</v>
      </c>
      <c r="B10550" t="str">
        <f>IFERROR(__xludf.DUMMYFUNCTION("""COMPUTED_VALUE"""),"mda")</f>
        <v>mda</v>
      </c>
      <c r="C10550" t="str">
        <f>IFERROR(__xludf.DUMMYFUNCTION("""COMPUTED_VALUE"""),"Moldova")</f>
        <v>Moldova</v>
      </c>
      <c r="D10550">
        <f>IFERROR(__xludf.DUMMYFUNCTION("""COMPUTED_VALUE"""),2031.0)</f>
        <v>2031</v>
      </c>
      <c r="E10550">
        <f>IFERROR(__xludf.DUMMYFUNCTION("""COMPUTED_VALUE"""),3821048.0)</f>
        <v>3821048</v>
      </c>
    </row>
    <row r="10551">
      <c r="A10551" t="str">
        <f t="shared" si="1"/>
        <v>mda#2032</v>
      </c>
      <c r="B10551" t="str">
        <f>IFERROR(__xludf.DUMMYFUNCTION("""COMPUTED_VALUE"""),"mda")</f>
        <v>mda</v>
      </c>
      <c r="C10551" t="str">
        <f>IFERROR(__xludf.DUMMYFUNCTION("""COMPUTED_VALUE"""),"Moldova")</f>
        <v>Moldova</v>
      </c>
      <c r="D10551">
        <f>IFERROR(__xludf.DUMMYFUNCTION("""COMPUTED_VALUE"""),2032.0)</f>
        <v>2032</v>
      </c>
      <c r="E10551">
        <f>IFERROR(__xludf.DUMMYFUNCTION("""COMPUTED_VALUE"""),3797215.0)</f>
        <v>3797215</v>
      </c>
    </row>
    <row r="10552">
      <c r="A10552" t="str">
        <f t="shared" si="1"/>
        <v>mda#2033</v>
      </c>
      <c r="B10552" t="str">
        <f>IFERROR(__xludf.DUMMYFUNCTION("""COMPUTED_VALUE"""),"mda")</f>
        <v>mda</v>
      </c>
      <c r="C10552" t="str">
        <f>IFERROR(__xludf.DUMMYFUNCTION("""COMPUTED_VALUE"""),"Moldova")</f>
        <v>Moldova</v>
      </c>
      <c r="D10552">
        <f>IFERROR(__xludf.DUMMYFUNCTION("""COMPUTED_VALUE"""),2033.0)</f>
        <v>2033</v>
      </c>
      <c r="E10552">
        <f>IFERROR(__xludf.DUMMYFUNCTION("""COMPUTED_VALUE"""),3772545.0)</f>
        <v>3772545</v>
      </c>
    </row>
    <row r="10553">
      <c r="A10553" t="str">
        <f t="shared" si="1"/>
        <v>mda#2034</v>
      </c>
      <c r="B10553" t="str">
        <f>IFERROR(__xludf.DUMMYFUNCTION("""COMPUTED_VALUE"""),"mda")</f>
        <v>mda</v>
      </c>
      <c r="C10553" t="str">
        <f>IFERROR(__xludf.DUMMYFUNCTION("""COMPUTED_VALUE"""),"Moldova")</f>
        <v>Moldova</v>
      </c>
      <c r="D10553">
        <f>IFERROR(__xludf.DUMMYFUNCTION("""COMPUTED_VALUE"""),2034.0)</f>
        <v>2034</v>
      </c>
      <c r="E10553">
        <f>IFERROR(__xludf.DUMMYFUNCTION("""COMPUTED_VALUE"""),3747153.0)</f>
        <v>3747153</v>
      </c>
    </row>
    <row r="10554">
      <c r="A10554" t="str">
        <f t="shared" si="1"/>
        <v>mda#2035</v>
      </c>
      <c r="B10554" t="str">
        <f>IFERROR(__xludf.DUMMYFUNCTION("""COMPUTED_VALUE"""),"mda")</f>
        <v>mda</v>
      </c>
      <c r="C10554" t="str">
        <f>IFERROR(__xludf.DUMMYFUNCTION("""COMPUTED_VALUE"""),"Moldova")</f>
        <v>Moldova</v>
      </c>
      <c r="D10554">
        <f>IFERROR(__xludf.DUMMYFUNCTION("""COMPUTED_VALUE"""),2035.0)</f>
        <v>2035</v>
      </c>
      <c r="E10554">
        <f>IFERROR(__xludf.DUMMYFUNCTION("""COMPUTED_VALUE"""),3721155.0)</f>
        <v>3721155</v>
      </c>
    </row>
    <row r="10555">
      <c r="A10555" t="str">
        <f t="shared" si="1"/>
        <v>mda#2036</v>
      </c>
      <c r="B10555" t="str">
        <f>IFERROR(__xludf.DUMMYFUNCTION("""COMPUTED_VALUE"""),"mda")</f>
        <v>mda</v>
      </c>
      <c r="C10555" t="str">
        <f>IFERROR(__xludf.DUMMYFUNCTION("""COMPUTED_VALUE"""),"Moldova")</f>
        <v>Moldova</v>
      </c>
      <c r="D10555">
        <f>IFERROR(__xludf.DUMMYFUNCTION("""COMPUTED_VALUE"""),2036.0)</f>
        <v>2036</v>
      </c>
      <c r="E10555">
        <f>IFERROR(__xludf.DUMMYFUNCTION("""COMPUTED_VALUE"""),3694587.0)</f>
        <v>3694587</v>
      </c>
    </row>
    <row r="10556">
      <c r="A10556" t="str">
        <f t="shared" si="1"/>
        <v>mda#2037</v>
      </c>
      <c r="B10556" t="str">
        <f>IFERROR(__xludf.DUMMYFUNCTION("""COMPUTED_VALUE"""),"mda")</f>
        <v>mda</v>
      </c>
      <c r="C10556" t="str">
        <f>IFERROR(__xludf.DUMMYFUNCTION("""COMPUTED_VALUE"""),"Moldova")</f>
        <v>Moldova</v>
      </c>
      <c r="D10556">
        <f>IFERROR(__xludf.DUMMYFUNCTION("""COMPUTED_VALUE"""),2037.0)</f>
        <v>2037</v>
      </c>
      <c r="E10556">
        <f>IFERROR(__xludf.DUMMYFUNCTION("""COMPUTED_VALUE"""),3667485.0)</f>
        <v>3667485</v>
      </c>
    </row>
    <row r="10557">
      <c r="A10557" t="str">
        <f t="shared" si="1"/>
        <v>mda#2038</v>
      </c>
      <c r="B10557" t="str">
        <f>IFERROR(__xludf.DUMMYFUNCTION("""COMPUTED_VALUE"""),"mda")</f>
        <v>mda</v>
      </c>
      <c r="C10557" t="str">
        <f>IFERROR(__xludf.DUMMYFUNCTION("""COMPUTED_VALUE"""),"Moldova")</f>
        <v>Moldova</v>
      </c>
      <c r="D10557">
        <f>IFERROR(__xludf.DUMMYFUNCTION("""COMPUTED_VALUE"""),2038.0)</f>
        <v>2038</v>
      </c>
      <c r="E10557">
        <f>IFERROR(__xludf.DUMMYFUNCTION("""COMPUTED_VALUE"""),3639965.0)</f>
        <v>3639965</v>
      </c>
    </row>
    <row r="10558">
      <c r="A10558" t="str">
        <f t="shared" si="1"/>
        <v>mda#2039</v>
      </c>
      <c r="B10558" t="str">
        <f>IFERROR(__xludf.DUMMYFUNCTION("""COMPUTED_VALUE"""),"mda")</f>
        <v>mda</v>
      </c>
      <c r="C10558" t="str">
        <f>IFERROR(__xludf.DUMMYFUNCTION("""COMPUTED_VALUE"""),"Moldova")</f>
        <v>Moldova</v>
      </c>
      <c r="D10558">
        <f>IFERROR(__xludf.DUMMYFUNCTION("""COMPUTED_VALUE"""),2039.0)</f>
        <v>2039</v>
      </c>
      <c r="E10558">
        <f>IFERROR(__xludf.DUMMYFUNCTION("""COMPUTED_VALUE"""),3612109.0)</f>
        <v>3612109</v>
      </c>
    </row>
    <row r="10559">
      <c r="A10559" t="str">
        <f t="shared" si="1"/>
        <v>mda#2040</v>
      </c>
      <c r="B10559" t="str">
        <f>IFERROR(__xludf.DUMMYFUNCTION("""COMPUTED_VALUE"""),"mda")</f>
        <v>mda</v>
      </c>
      <c r="C10559" t="str">
        <f>IFERROR(__xludf.DUMMYFUNCTION("""COMPUTED_VALUE"""),"Moldova")</f>
        <v>Moldova</v>
      </c>
      <c r="D10559">
        <f>IFERROR(__xludf.DUMMYFUNCTION("""COMPUTED_VALUE"""),2040.0)</f>
        <v>2040</v>
      </c>
      <c r="E10559">
        <f>IFERROR(__xludf.DUMMYFUNCTION("""COMPUTED_VALUE"""),3583993.0)</f>
        <v>3583993</v>
      </c>
    </row>
    <row r="10560">
      <c r="A10560" t="str">
        <f t="shared" si="1"/>
        <v>mco#1950</v>
      </c>
      <c r="B10560" t="str">
        <f>IFERROR(__xludf.DUMMYFUNCTION("""COMPUTED_VALUE"""),"mco")</f>
        <v>mco</v>
      </c>
      <c r="C10560" t="str">
        <f>IFERROR(__xludf.DUMMYFUNCTION("""COMPUTED_VALUE"""),"Monaco")</f>
        <v>Monaco</v>
      </c>
      <c r="D10560">
        <f>IFERROR(__xludf.DUMMYFUNCTION("""COMPUTED_VALUE"""),1950.0)</f>
        <v>1950</v>
      </c>
      <c r="E10560">
        <f>IFERROR(__xludf.DUMMYFUNCTION("""COMPUTED_VALUE"""),19996.0)</f>
        <v>19996</v>
      </c>
    </row>
    <row r="10561">
      <c r="A10561" t="str">
        <f t="shared" si="1"/>
        <v>mco#1951</v>
      </c>
      <c r="B10561" t="str">
        <f>IFERROR(__xludf.DUMMYFUNCTION("""COMPUTED_VALUE"""),"mco")</f>
        <v>mco</v>
      </c>
      <c r="C10561" t="str">
        <f>IFERROR(__xludf.DUMMYFUNCTION("""COMPUTED_VALUE"""),"Monaco")</f>
        <v>Monaco</v>
      </c>
      <c r="D10561">
        <f>IFERROR(__xludf.DUMMYFUNCTION("""COMPUTED_VALUE"""),1951.0)</f>
        <v>1951</v>
      </c>
      <c r="E10561">
        <f>IFERROR(__xludf.DUMMYFUNCTION("""COMPUTED_VALUE"""),19377.0)</f>
        <v>19377</v>
      </c>
    </row>
    <row r="10562">
      <c r="A10562" t="str">
        <f t="shared" si="1"/>
        <v>mco#1952</v>
      </c>
      <c r="B10562" t="str">
        <f>IFERROR(__xludf.DUMMYFUNCTION("""COMPUTED_VALUE"""),"mco")</f>
        <v>mco</v>
      </c>
      <c r="C10562" t="str">
        <f>IFERROR(__xludf.DUMMYFUNCTION("""COMPUTED_VALUE"""),"Monaco")</f>
        <v>Monaco</v>
      </c>
      <c r="D10562">
        <f>IFERROR(__xludf.DUMMYFUNCTION("""COMPUTED_VALUE"""),1952.0)</f>
        <v>1952</v>
      </c>
      <c r="E10562">
        <f>IFERROR(__xludf.DUMMYFUNCTION("""COMPUTED_VALUE"""),19073.0)</f>
        <v>19073</v>
      </c>
    </row>
    <row r="10563">
      <c r="A10563" t="str">
        <f t="shared" si="1"/>
        <v>mco#1953</v>
      </c>
      <c r="B10563" t="str">
        <f>IFERROR(__xludf.DUMMYFUNCTION("""COMPUTED_VALUE"""),"mco")</f>
        <v>mco</v>
      </c>
      <c r="C10563" t="str">
        <f>IFERROR(__xludf.DUMMYFUNCTION("""COMPUTED_VALUE"""),"Monaco")</f>
        <v>Monaco</v>
      </c>
      <c r="D10563">
        <f>IFERROR(__xludf.DUMMYFUNCTION("""COMPUTED_VALUE"""),1953.0)</f>
        <v>1953</v>
      </c>
      <c r="E10563">
        <f>IFERROR(__xludf.DUMMYFUNCTION("""COMPUTED_VALUE"""),19053.0)</f>
        <v>19053</v>
      </c>
    </row>
    <row r="10564">
      <c r="A10564" t="str">
        <f t="shared" si="1"/>
        <v>mco#1954</v>
      </c>
      <c r="B10564" t="str">
        <f>IFERROR(__xludf.DUMMYFUNCTION("""COMPUTED_VALUE"""),"mco")</f>
        <v>mco</v>
      </c>
      <c r="C10564" t="str">
        <f>IFERROR(__xludf.DUMMYFUNCTION("""COMPUTED_VALUE"""),"Monaco")</f>
        <v>Monaco</v>
      </c>
      <c r="D10564">
        <f>IFERROR(__xludf.DUMMYFUNCTION("""COMPUTED_VALUE"""),1954.0)</f>
        <v>1954</v>
      </c>
      <c r="E10564">
        <f>IFERROR(__xludf.DUMMYFUNCTION("""COMPUTED_VALUE"""),19264.0)</f>
        <v>19264</v>
      </c>
    </row>
    <row r="10565">
      <c r="A10565" t="str">
        <f t="shared" si="1"/>
        <v>mco#1955</v>
      </c>
      <c r="B10565" t="str">
        <f>IFERROR(__xludf.DUMMYFUNCTION("""COMPUTED_VALUE"""),"mco")</f>
        <v>mco</v>
      </c>
      <c r="C10565" t="str">
        <f>IFERROR(__xludf.DUMMYFUNCTION("""COMPUTED_VALUE"""),"Monaco")</f>
        <v>Monaco</v>
      </c>
      <c r="D10565">
        <f>IFERROR(__xludf.DUMMYFUNCTION("""COMPUTED_VALUE"""),1955.0)</f>
        <v>1955</v>
      </c>
      <c r="E10565">
        <f>IFERROR(__xludf.DUMMYFUNCTION("""COMPUTED_VALUE"""),19655.0)</f>
        <v>19655</v>
      </c>
    </row>
    <row r="10566">
      <c r="A10566" t="str">
        <f t="shared" si="1"/>
        <v>mco#1956</v>
      </c>
      <c r="B10566" t="str">
        <f>IFERROR(__xludf.DUMMYFUNCTION("""COMPUTED_VALUE"""),"mco")</f>
        <v>mco</v>
      </c>
      <c r="C10566" t="str">
        <f>IFERROR(__xludf.DUMMYFUNCTION("""COMPUTED_VALUE"""),"Monaco")</f>
        <v>Monaco</v>
      </c>
      <c r="D10566">
        <f>IFERROR(__xludf.DUMMYFUNCTION("""COMPUTED_VALUE"""),1956.0)</f>
        <v>1956</v>
      </c>
      <c r="E10566">
        <f>IFERROR(__xludf.DUMMYFUNCTION("""COMPUTED_VALUE"""),20182.0)</f>
        <v>20182</v>
      </c>
    </row>
    <row r="10567">
      <c r="A10567" t="str">
        <f t="shared" si="1"/>
        <v>mco#1957</v>
      </c>
      <c r="B10567" t="str">
        <f>IFERROR(__xludf.DUMMYFUNCTION("""COMPUTED_VALUE"""),"mco")</f>
        <v>mco</v>
      </c>
      <c r="C10567" t="str">
        <f>IFERROR(__xludf.DUMMYFUNCTION("""COMPUTED_VALUE"""),"Monaco")</f>
        <v>Monaco</v>
      </c>
      <c r="D10567">
        <f>IFERROR(__xludf.DUMMYFUNCTION("""COMPUTED_VALUE"""),1957.0)</f>
        <v>1957</v>
      </c>
      <c r="E10567">
        <f>IFERROR(__xludf.DUMMYFUNCTION("""COMPUTED_VALUE"""),20791.0)</f>
        <v>20791</v>
      </c>
    </row>
    <row r="10568">
      <c r="A10568" t="str">
        <f t="shared" si="1"/>
        <v>mco#1958</v>
      </c>
      <c r="B10568" t="str">
        <f>IFERROR(__xludf.DUMMYFUNCTION("""COMPUTED_VALUE"""),"mco")</f>
        <v>mco</v>
      </c>
      <c r="C10568" t="str">
        <f>IFERROR(__xludf.DUMMYFUNCTION("""COMPUTED_VALUE"""),"Monaco")</f>
        <v>Monaco</v>
      </c>
      <c r="D10568">
        <f>IFERROR(__xludf.DUMMYFUNCTION("""COMPUTED_VALUE"""),1958.0)</f>
        <v>1958</v>
      </c>
      <c r="E10568">
        <f>IFERROR(__xludf.DUMMYFUNCTION("""COMPUTED_VALUE"""),21399.0)</f>
        <v>21399</v>
      </c>
    </row>
    <row r="10569">
      <c r="A10569" t="str">
        <f t="shared" si="1"/>
        <v>mco#1959</v>
      </c>
      <c r="B10569" t="str">
        <f>IFERROR(__xludf.DUMMYFUNCTION("""COMPUTED_VALUE"""),"mco")</f>
        <v>mco</v>
      </c>
      <c r="C10569" t="str">
        <f>IFERROR(__xludf.DUMMYFUNCTION("""COMPUTED_VALUE"""),"Monaco")</f>
        <v>Monaco</v>
      </c>
      <c r="D10569">
        <f>IFERROR(__xludf.DUMMYFUNCTION("""COMPUTED_VALUE"""),1959.0)</f>
        <v>1959</v>
      </c>
      <c r="E10569">
        <f>IFERROR(__xludf.DUMMYFUNCTION("""COMPUTED_VALUE"""),21974.0)</f>
        <v>21974</v>
      </c>
    </row>
    <row r="10570">
      <c r="A10570" t="str">
        <f t="shared" si="1"/>
        <v>mco#1960</v>
      </c>
      <c r="B10570" t="str">
        <f>IFERROR(__xludf.DUMMYFUNCTION("""COMPUTED_VALUE"""),"mco")</f>
        <v>mco</v>
      </c>
      <c r="C10570" t="str">
        <f>IFERROR(__xludf.DUMMYFUNCTION("""COMPUTED_VALUE"""),"Monaco")</f>
        <v>Monaco</v>
      </c>
      <c r="D10570">
        <f>IFERROR(__xludf.DUMMYFUNCTION("""COMPUTED_VALUE"""),1960.0)</f>
        <v>1960</v>
      </c>
      <c r="E10570">
        <f>IFERROR(__xludf.DUMMYFUNCTION("""COMPUTED_VALUE"""),22452.0)</f>
        <v>22452</v>
      </c>
    </row>
    <row r="10571">
      <c r="A10571" t="str">
        <f t="shared" si="1"/>
        <v>mco#1961</v>
      </c>
      <c r="B10571" t="str">
        <f>IFERROR(__xludf.DUMMYFUNCTION("""COMPUTED_VALUE"""),"mco")</f>
        <v>mco</v>
      </c>
      <c r="C10571" t="str">
        <f>IFERROR(__xludf.DUMMYFUNCTION("""COMPUTED_VALUE"""),"Monaco")</f>
        <v>Monaco</v>
      </c>
      <c r="D10571">
        <f>IFERROR(__xludf.DUMMYFUNCTION("""COMPUTED_VALUE"""),1961.0)</f>
        <v>1961</v>
      </c>
      <c r="E10571">
        <f>IFERROR(__xludf.DUMMYFUNCTION("""COMPUTED_VALUE"""),22808.0)</f>
        <v>22808</v>
      </c>
    </row>
    <row r="10572">
      <c r="A10572" t="str">
        <f t="shared" si="1"/>
        <v>mco#1962</v>
      </c>
      <c r="B10572" t="str">
        <f>IFERROR(__xludf.DUMMYFUNCTION("""COMPUTED_VALUE"""),"mco")</f>
        <v>mco</v>
      </c>
      <c r="C10572" t="str">
        <f>IFERROR(__xludf.DUMMYFUNCTION("""COMPUTED_VALUE"""),"Monaco")</f>
        <v>Monaco</v>
      </c>
      <c r="D10572">
        <f>IFERROR(__xludf.DUMMYFUNCTION("""COMPUTED_VALUE"""),1962.0)</f>
        <v>1962</v>
      </c>
      <c r="E10572">
        <f>IFERROR(__xludf.DUMMYFUNCTION("""COMPUTED_VALUE"""),23039.0)</f>
        <v>23039</v>
      </c>
    </row>
    <row r="10573">
      <c r="A10573" t="str">
        <f t="shared" si="1"/>
        <v>mco#1963</v>
      </c>
      <c r="B10573" t="str">
        <f>IFERROR(__xludf.DUMMYFUNCTION("""COMPUTED_VALUE"""),"mco")</f>
        <v>mco</v>
      </c>
      <c r="C10573" t="str">
        <f>IFERROR(__xludf.DUMMYFUNCTION("""COMPUTED_VALUE"""),"Monaco")</f>
        <v>Monaco</v>
      </c>
      <c r="D10573">
        <f>IFERROR(__xludf.DUMMYFUNCTION("""COMPUTED_VALUE"""),1963.0)</f>
        <v>1963</v>
      </c>
      <c r="E10573">
        <f>IFERROR(__xludf.DUMMYFUNCTION("""COMPUTED_VALUE"""),23168.0)</f>
        <v>23168</v>
      </c>
    </row>
    <row r="10574">
      <c r="A10574" t="str">
        <f t="shared" si="1"/>
        <v>mco#1964</v>
      </c>
      <c r="B10574" t="str">
        <f>IFERROR(__xludf.DUMMYFUNCTION("""COMPUTED_VALUE"""),"mco")</f>
        <v>mco</v>
      </c>
      <c r="C10574" t="str">
        <f>IFERROR(__xludf.DUMMYFUNCTION("""COMPUTED_VALUE"""),"Monaco")</f>
        <v>Monaco</v>
      </c>
      <c r="D10574">
        <f>IFERROR(__xludf.DUMMYFUNCTION("""COMPUTED_VALUE"""),1964.0)</f>
        <v>1964</v>
      </c>
      <c r="E10574">
        <f>IFERROR(__xludf.DUMMYFUNCTION("""COMPUTED_VALUE"""),23236.0)</f>
        <v>23236</v>
      </c>
    </row>
    <row r="10575">
      <c r="A10575" t="str">
        <f t="shared" si="1"/>
        <v>mco#1965</v>
      </c>
      <c r="B10575" t="str">
        <f>IFERROR(__xludf.DUMMYFUNCTION("""COMPUTED_VALUE"""),"mco")</f>
        <v>mco</v>
      </c>
      <c r="C10575" t="str">
        <f>IFERROR(__xludf.DUMMYFUNCTION("""COMPUTED_VALUE"""),"Monaco")</f>
        <v>Monaco</v>
      </c>
      <c r="D10575">
        <f>IFERROR(__xludf.DUMMYFUNCTION("""COMPUTED_VALUE"""),1965.0)</f>
        <v>1965</v>
      </c>
      <c r="E10575">
        <f>IFERROR(__xludf.DUMMYFUNCTION("""COMPUTED_VALUE"""),23282.0)</f>
        <v>23282</v>
      </c>
    </row>
    <row r="10576">
      <c r="A10576" t="str">
        <f t="shared" si="1"/>
        <v>mco#1966</v>
      </c>
      <c r="B10576" t="str">
        <f>IFERROR(__xludf.DUMMYFUNCTION("""COMPUTED_VALUE"""),"mco")</f>
        <v>mco</v>
      </c>
      <c r="C10576" t="str">
        <f>IFERROR(__xludf.DUMMYFUNCTION("""COMPUTED_VALUE"""),"Monaco")</f>
        <v>Monaco</v>
      </c>
      <c r="D10576">
        <f>IFERROR(__xludf.DUMMYFUNCTION("""COMPUTED_VALUE"""),1966.0)</f>
        <v>1966</v>
      </c>
      <c r="E10576">
        <f>IFERROR(__xludf.DUMMYFUNCTION("""COMPUTED_VALUE"""),23305.0)</f>
        <v>23305</v>
      </c>
    </row>
    <row r="10577">
      <c r="A10577" t="str">
        <f t="shared" si="1"/>
        <v>mco#1967</v>
      </c>
      <c r="B10577" t="str">
        <f>IFERROR(__xludf.DUMMYFUNCTION("""COMPUTED_VALUE"""),"mco")</f>
        <v>mco</v>
      </c>
      <c r="C10577" t="str">
        <f>IFERROR(__xludf.DUMMYFUNCTION("""COMPUTED_VALUE"""),"Monaco")</f>
        <v>Monaco</v>
      </c>
      <c r="D10577">
        <f>IFERROR(__xludf.DUMMYFUNCTION("""COMPUTED_VALUE"""),1967.0)</f>
        <v>1967</v>
      </c>
      <c r="E10577">
        <f>IFERROR(__xludf.DUMMYFUNCTION("""COMPUTED_VALUE"""),23292.0)</f>
        <v>23292</v>
      </c>
    </row>
    <row r="10578">
      <c r="A10578" t="str">
        <f t="shared" si="1"/>
        <v>mco#1968</v>
      </c>
      <c r="B10578" t="str">
        <f>IFERROR(__xludf.DUMMYFUNCTION("""COMPUTED_VALUE"""),"mco")</f>
        <v>mco</v>
      </c>
      <c r="C10578" t="str">
        <f>IFERROR(__xludf.DUMMYFUNCTION("""COMPUTED_VALUE"""),"Monaco")</f>
        <v>Monaco</v>
      </c>
      <c r="D10578">
        <f>IFERROR(__xludf.DUMMYFUNCTION("""COMPUTED_VALUE"""),1968.0)</f>
        <v>1968</v>
      </c>
      <c r="E10578">
        <f>IFERROR(__xludf.DUMMYFUNCTION("""COMPUTED_VALUE"""),23304.0)</f>
        <v>23304</v>
      </c>
    </row>
    <row r="10579">
      <c r="A10579" t="str">
        <f t="shared" si="1"/>
        <v>mco#1969</v>
      </c>
      <c r="B10579" t="str">
        <f>IFERROR(__xludf.DUMMYFUNCTION("""COMPUTED_VALUE"""),"mco")</f>
        <v>mco</v>
      </c>
      <c r="C10579" t="str">
        <f>IFERROR(__xludf.DUMMYFUNCTION("""COMPUTED_VALUE"""),"Monaco")</f>
        <v>Monaco</v>
      </c>
      <c r="D10579">
        <f>IFERROR(__xludf.DUMMYFUNCTION("""COMPUTED_VALUE"""),1969.0)</f>
        <v>1969</v>
      </c>
      <c r="E10579">
        <f>IFERROR(__xludf.DUMMYFUNCTION("""COMPUTED_VALUE"""),23346.0)</f>
        <v>23346</v>
      </c>
    </row>
    <row r="10580">
      <c r="A10580" t="str">
        <f t="shared" si="1"/>
        <v>mco#1970</v>
      </c>
      <c r="B10580" t="str">
        <f>IFERROR(__xludf.DUMMYFUNCTION("""COMPUTED_VALUE"""),"mco")</f>
        <v>mco</v>
      </c>
      <c r="C10580" t="str">
        <f>IFERROR(__xludf.DUMMYFUNCTION("""COMPUTED_VALUE"""),"Monaco")</f>
        <v>Monaco</v>
      </c>
      <c r="D10580">
        <f>IFERROR(__xludf.DUMMYFUNCTION("""COMPUTED_VALUE"""),1970.0)</f>
        <v>1970</v>
      </c>
      <c r="E10580">
        <f>IFERROR(__xludf.DUMMYFUNCTION("""COMPUTED_VALUE"""),23484.0)</f>
        <v>23484</v>
      </c>
    </row>
    <row r="10581">
      <c r="A10581" t="str">
        <f t="shared" si="1"/>
        <v>mco#1971</v>
      </c>
      <c r="B10581" t="str">
        <f>IFERROR(__xludf.DUMMYFUNCTION("""COMPUTED_VALUE"""),"mco")</f>
        <v>mco</v>
      </c>
      <c r="C10581" t="str">
        <f>IFERROR(__xludf.DUMMYFUNCTION("""COMPUTED_VALUE"""),"Monaco")</f>
        <v>Monaco</v>
      </c>
      <c r="D10581">
        <f>IFERROR(__xludf.DUMMYFUNCTION("""COMPUTED_VALUE"""),1971.0)</f>
        <v>1971</v>
      </c>
      <c r="E10581">
        <f>IFERROR(__xludf.DUMMYFUNCTION("""COMPUTED_VALUE"""),23720.0)</f>
        <v>23720</v>
      </c>
    </row>
    <row r="10582">
      <c r="A10582" t="str">
        <f t="shared" si="1"/>
        <v>mco#1972</v>
      </c>
      <c r="B10582" t="str">
        <f>IFERROR(__xludf.DUMMYFUNCTION("""COMPUTED_VALUE"""),"mco")</f>
        <v>mco</v>
      </c>
      <c r="C10582" t="str">
        <f>IFERROR(__xludf.DUMMYFUNCTION("""COMPUTED_VALUE"""),"Monaco")</f>
        <v>Monaco</v>
      </c>
      <c r="D10582">
        <f>IFERROR(__xludf.DUMMYFUNCTION("""COMPUTED_VALUE"""),1972.0)</f>
        <v>1972</v>
      </c>
      <c r="E10582">
        <f>IFERROR(__xludf.DUMMYFUNCTION("""COMPUTED_VALUE"""),24051.0)</f>
        <v>24051</v>
      </c>
    </row>
    <row r="10583">
      <c r="A10583" t="str">
        <f t="shared" si="1"/>
        <v>mco#1973</v>
      </c>
      <c r="B10583" t="str">
        <f>IFERROR(__xludf.DUMMYFUNCTION("""COMPUTED_VALUE"""),"mco")</f>
        <v>mco</v>
      </c>
      <c r="C10583" t="str">
        <f>IFERROR(__xludf.DUMMYFUNCTION("""COMPUTED_VALUE"""),"Monaco")</f>
        <v>Monaco</v>
      </c>
      <c r="D10583">
        <f>IFERROR(__xludf.DUMMYFUNCTION("""COMPUTED_VALUE"""),1973.0)</f>
        <v>1973</v>
      </c>
      <c r="E10583">
        <f>IFERROR(__xludf.DUMMYFUNCTION("""COMPUTED_VALUE"""),24439.0)</f>
        <v>24439</v>
      </c>
    </row>
    <row r="10584">
      <c r="A10584" t="str">
        <f t="shared" si="1"/>
        <v>mco#1974</v>
      </c>
      <c r="B10584" t="str">
        <f>IFERROR(__xludf.DUMMYFUNCTION("""COMPUTED_VALUE"""),"mco")</f>
        <v>mco</v>
      </c>
      <c r="C10584" t="str">
        <f>IFERROR(__xludf.DUMMYFUNCTION("""COMPUTED_VALUE"""),"Monaco")</f>
        <v>Monaco</v>
      </c>
      <c r="D10584">
        <f>IFERROR(__xludf.DUMMYFUNCTION("""COMPUTED_VALUE"""),1974.0)</f>
        <v>1974</v>
      </c>
      <c r="E10584">
        <f>IFERROR(__xludf.DUMMYFUNCTION("""COMPUTED_VALUE"""),24835.0)</f>
        <v>24835</v>
      </c>
    </row>
    <row r="10585">
      <c r="A10585" t="str">
        <f t="shared" si="1"/>
        <v>mco#1975</v>
      </c>
      <c r="B10585" t="str">
        <f>IFERROR(__xludf.DUMMYFUNCTION("""COMPUTED_VALUE"""),"mco")</f>
        <v>mco</v>
      </c>
      <c r="C10585" t="str">
        <f>IFERROR(__xludf.DUMMYFUNCTION("""COMPUTED_VALUE"""),"Monaco")</f>
        <v>Monaco</v>
      </c>
      <c r="D10585">
        <f>IFERROR(__xludf.DUMMYFUNCTION("""COMPUTED_VALUE"""),1975.0)</f>
        <v>1975</v>
      </c>
      <c r="E10585">
        <f>IFERROR(__xludf.DUMMYFUNCTION("""COMPUTED_VALUE"""),25197.0)</f>
        <v>25197</v>
      </c>
    </row>
    <row r="10586">
      <c r="A10586" t="str">
        <f t="shared" si="1"/>
        <v>mco#1976</v>
      </c>
      <c r="B10586" t="str">
        <f>IFERROR(__xludf.DUMMYFUNCTION("""COMPUTED_VALUE"""),"mco")</f>
        <v>mco</v>
      </c>
      <c r="C10586" t="str">
        <f>IFERROR(__xludf.DUMMYFUNCTION("""COMPUTED_VALUE"""),"Monaco")</f>
        <v>Monaco</v>
      </c>
      <c r="D10586">
        <f>IFERROR(__xludf.DUMMYFUNCTION("""COMPUTED_VALUE"""),1976.0)</f>
        <v>1976</v>
      </c>
      <c r="E10586">
        <f>IFERROR(__xludf.DUMMYFUNCTION("""COMPUTED_VALUE"""),25523.0)</f>
        <v>25523</v>
      </c>
    </row>
    <row r="10587">
      <c r="A10587" t="str">
        <f t="shared" si="1"/>
        <v>mco#1977</v>
      </c>
      <c r="B10587" t="str">
        <f>IFERROR(__xludf.DUMMYFUNCTION("""COMPUTED_VALUE"""),"mco")</f>
        <v>mco</v>
      </c>
      <c r="C10587" t="str">
        <f>IFERROR(__xludf.DUMMYFUNCTION("""COMPUTED_VALUE"""),"Monaco")</f>
        <v>Monaco</v>
      </c>
      <c r="D10587">
        <f>IFERROR(__xludf.DUMMYFUNCTION("""COMPUTED_VALUE"""),1977.0)</f>
        <v>1977</v>
      </c>
      <c r="E10587">
        <f>IFERROR(__xludf.DUMMYFUNCTION("""COMPUTED_VALUE"""),25809.0)</f>
        <v>25809</v>
      </c>
    </row>
    <row r="10588">
      <c r="A10588" t="str">
        <f t="shared" si="1"/>
        <v>mco#1978</v>
      </c>
      <c r="B10588" t="str">
        <f>IFERROR(__xludf.DUMMYFUNCTION("""COMPUTED_VALUE"""),"mco")</f>
        <v>mco</v>
      </c>
      <c r="C10588" t="str">
        <f>IFERROR(__xludf.DUMMYFUNCTION("""COMPUTED_VALUE"""),"Monaco")</f>
        <v>Monaco</v>
      </c>
      <c r="D10588">
        <f>IFERROR(__xludf.DUMMYFUNCTION("""COMPUTED_VALUE"""),1978.0)</f>
        <v>1978</v>
      </c>
      <c r="E10588">
        <f>IFERROR(__xludf.DUMMYFUNCTION("""COMPUTED_VALUE"""),26087.0)</f>
        <v>26087</v>
      </c>
    </row>
    <row r="10589">
      <c r="A10589" t="str">
        <f t="shared" si="1"/>
        <v>mco#1979</v>
      </c>
      <c r="B10589" t="str">
        <f>IFERROR(__xludf.DUMMYFUNCTION("""COMPUTED_VALUE"""),"mco")</f>
        <v>mco</v>
      </c>
      <c r="C10589" t="str">
        <f>IFERROR(__xludf.DUMMYFUNCTION("""COMPUTED_VALUE"""),"Monaco")</f>
        <v>Monaco</v>
      </c>
      <c r="D10589">
        <f>IFERROR(__xludf.DUMMYFUNCTION("""COMPUTED_VALUE"""),1979.0)</f>
        <v>1979</v>
      </c>
      <c r="E10589">
        <f>IFERROR(__xludf.DUMMYFUNCTION("""COMPUTED_VALUE"""),26395.0)</f>
        <v>26395</v>
      </c>
    </row>
    <row r="10590">
      <c r="A10590" t="str">
        <f t="shared" si="1"/>
        <v>mco#1980</v>
      </c>
      <c r="B10590" t="str">
        <f>IFERROR(__xludf.DUMMYFUNCTION("""COMPUTED_VALUE"""),"mco")</f>
        <v>mco</v>
      </c>
      <c r="C10590" t="str">
        <f>IFERROR(__xludf.DUMMYFUNCTION("""COMPUTED_VALUE"""),"Monaco")</f>
        <v>Monaco</v>
      </c>
      <c r="D10590">
        <f>IFERROR(__xludf.DUMMYFUNCTION("""COMPUTED_VALUE"""),1980.0)</f>
        <v>1980</v>
      </c>
      <c r="E10590">
        <f>IFERROR(__xludf.DUMMYFUNCTION("""COMPUTED_VALUE"""),26745.0)</f>
        <v>26745</v>
      </c>
    </row>
    <row r="10591">
      <c r="A10591" t="str">
        <f t="shared" si="1"/>
        <v>mco#1981</v>
      </c>
      <c r="B10591" t="str">
        <f>IFERROR(__xludf.DUMMYFUNCTION("""COMPUTED_VALUE"""),"mco")</f>
        <v>mco</v>
      </c>
      <c r="C10591" t="str">
        <f>IFERROR(__xludf.DUMMYFUNCTION("""COMPUTED_VALUE"""),"Monaco")</f>
        <v>Monaco</v>
      </c>
      <c r="D10591">
        <f>IFERROR(__xludf.DUMMYFUNCTION("""COMPUTED_VALUE"""),1981.0)</f>
        <v>1981</v>
      </c>
      <c r="E10591">
        <f>IFERROR(__xludf.DUMMYFUNCTION("""COMPUTED_VALUE"""),27164.0)</f>
        <v>27164</v>
      </c>
    </row>
    <row r="10592">
      <c r="A10592" t="str">
        <f t="shared" si="1"/>
        <v>mco#1982</v>
      </c>
      <c r="B10592" t="str">
        <f>IFERROR(__xludf.DUMMYFUNCTION("""COMPUTED_VALUE"""),"mco")</f>
        <v>mco</v>
      </c>
      <c r="C10592" t="str">
        <f>IFERROR(__xludf.DUMMYFUNCTION("""COMPUTED_VALUE"""),"Monaco")</f>
        <v>Monaco</v>
      </c>
      <c r="D10592">
        <f>IFERROR(__xludf.DUMMYFUNCTION("""COMPUTED_VALUE"""),1982.0)</f>
        <v>1982</v>
      </c>
      <c r="E10592">
        <f>IFERROR(__xludf.DUMMYFUNCTION("""COMPUTED_VALUE"""),27624.0)</f>
        <v>27624</v>
      </c>
    </row>
    <row r="10593">
      <c r="A10593" t="str">
        <f t="shared" si="1"/>
        <v>mco#1983</v>
      </c>
      <c r="B10593" t="str">
        <f>IFERROR(__xludf.DUMMYFUNCTION("""COMPUTED_VALUE"""),"mco")</f>
        <v>mco</v>
      </c>
      <c r="C10593" t="str">
        <f>IFERROR(__xludf.DUMMYFUNCTION("""COMPUTED_VALUE"""),"Monaco")</f>
        <v>Monaco</v>
      </c>
      <c r="D10593">
        <f>IFERROR(__xludf.DUMMYFUNCTION("""COMPUTED_VALUE"""),1983.0)</f>
        <v>1983</v>
      </c>
      <c r="E10593">
        <f>IFERROR(__xludf.DUMMYFUNCTION("""COMPUTED_VALUE"""),28095.0)</f>
        <v>28095</v>
      </c>
    </row>
    <row r="10594">
      <c r="A10594" t="str">
        <f t="shared" si="1"/>
        <v>mco#1984</v>
      </c>
      <c r="B10594" t="str">
        <f>IFERROR(__xludf.DUMMYFUNCTION("""COMPUTED_VALUE"""),"mco")</f>
        <v>mco</v>
      </c>
      <c r="C10594" t="str">
        <f>IFERROR(__xludf.DUMMYFUNCTION("""COMPUTED_VALUE"""),"Monaco")</f>
        <v>Monaco</v>
      </c>
      <c r="D10594">
        <f>IFERROR(__xludf.DUMMYFUNCTION("""COMPUTED_VALUE"""),1984.0)</f>
        <v>1984</v>
      </c>
      <c r="E10594">
        <f>IFERROR(__xludf.DUMMYFUNCTION("""COMPUTED_VALUE"""),28512.0)</f>
        <v>28512</v>
      </c>
    </row>
    <row r="10595">
      <c r="A10595" t="str">
        <f t="shared" si="1"/>
        <v>mco#1985</v>
      </c>
      <c r="B10595" t="str">
        <f>IFERROR(__xludf.DUMMYFUNCTION("""COMPUTED_VALUE"""),"mco")</f>
        <v>mco</v>
      </c>
      <c r="C10595" t="str">
        <f>IFERROR(__xludf.DUMMYFUNCTION("""COMPUTED_VALUE"""),"Monaco")</f>
        <v>Monaco</v>
      </c>
      <c r="D10595">
        <f>IFERROR(__xludf.DUMMYFUNCTION("""COMPUTED_VALUE"""),1985.0)</f>
        <v>1985</v>
      </c>
      <c r="E10595">
        <f>IFERROR(__xludf.DUMMYFUNCTION("""COMPUTED_VALUE"""),28835.0)</f>
        <v>28835</v>
      </c>
    </row>
    <row r="10596">
      <c r="A10596" t="str">
        <f t="shared" si="1"/>
        <v>mco#1986</v>
      </c>
      <c r="B10596" t="str">
        <f>IFERROR(__xludf.DUMMYFUNCTION("""COMPUTED_VALUE"""),"mco")</f>
        <v>mco</v>
      </c>
      <c r="C10596" t="str">
        <f>IFERROR(__xludf.DUMMYFUNCTION("""COMPUTED_VALUE"""),"Monaco")</f>
        <v>Monaco</v>
      </c>
      <c r="D10596">
        <f>IFERROR(__xludf.DUMMYFUNCTION("""COMPUTED_VALUE"""),1986.0)</f>
        <v>1986</v>
      </c>
      <c r="E10596">
        <f>IFERROR(__xludf.DUMMYFUNCTION("""COMPUTED_VALUE"""),29041.0)</f>
        <v>29041</v>
      </c>
    </row>
    <row r="10597">
      <c r="A10597" t="str">
        <f t="shared" si="1"/>
        <v>mco#1987</v>
      </c>
      <c r="B10597" t="str">
        <f>IFERROR(__xludf.DUMMYFUNCTION("""COMPUTED_VALUE"""),"mco")</f>
        <v>mco</v>
      </c>
      <c r="C10597" t="str">
        <f>IFERROR(__xludf.DUMMYFUNCTION("""COMPUTED_VALUE"""),"Monaco")</f>
        <v>Monaco</v>
      </c>
      <c r="D10597">
        <f>IFERROR(__xludf.DUMMYFUNCTION("""COMPUTED_VALUE"""),1987.0)</f>
        <v>1987</v>
      </c>
      <c r="E10597">
        <f>IFERROR(__xludf.DUMMYFUNCTION("""COMPUTED_VALUE"""),29172.0)</f>
        <v>29172</v>
      </c>
    </row>
    <row r="10598">
      <c r="A10598" t="str">
        <f t="shared" si="1"/>
        <v>mco#1988</v>
      </c>
      <c r="B10598" t="str">
        <f>IFERROR(__xludf.DUMMYFUNCTION("""COMPUTED_VALUE"""),"mco")</f>
        <v>mco</v>
      </c>
      <c r="C10598" t="str">
        <f>IFERROR(__xludf.DUMMYFUNCTION("""COMPUTED_VALUE"""),"Monaco")</f>
        <v>Monaco</v>
      </c>
      <c r="D10598">
        <f>IFERROR(__xludf.DUMMYFUNCTION("""COMPUTED_VALUE"""),1988.0)</f>
        <v>1988</v>
      </c>
      <c r="E10598">
        <f>IFERROR(__xludf.DUMMYFUNCTION("""COMPUTED_VALUE"""),29235.0)</f>
        <v>29235</v>
      </c>
    </row>
    <row r="10599">
      <c r="A10599" t="str">
        <f t="shared" si="1"/>
        <v>mco#1989</v>
      </c>
      <c r="B10599" t="str">
        <f>IFERROR(__xludf.DUMMYFUNCTION("""COMPUTED_VALUE"""),"mco")</f>
        <v>mco</v>
      </c>
      <c r="C10599" t="str">
        <f>IFERROR(__xludf.DUMMYFUNCTION("""COMPUTED_VALUE"""),"Monaco")</f>
        <v>Monaco</v>
      </c>
      <c r="D10599">
        <f>IFERROR(__xludf.DUMMYFUNCTION("""COMPUTED_VALUE"""),1989.0)</f>
        <v>1989</v>
      </c>
      <c r="E10599">
        <f>IFERROR(__xludf.DUMMYFUNCTION("""COMPUTED_VALUE"""),29312.0)</f>
        <v>29312</v>
      </c>
    </row>
    <row r="10600">
      <c r="A10600" t="str">
        <f t="shared" si="1"/>
        <v>mco#1990</v>
      </c>
      <c r="B10600" t="str">
        <f>IFERROR(__xludf.DUMMYFUNCTION("""COMPUTED_VALUE"""),"mco")</f>
        <v>mco</v>
      </c>
      <c r="C10600" t="str">
        <f>IFERROR(__xludf.DUMMYFUNCTION("""COMPUTED_VALUE"""),"Monaco")</f>
        <v>Monaco</v>
      </c>
      <c r="D10600">
        <f>IFERROR(__xludf.DUMMYFUNCTION("""COMPUTED_VALUE"""),1990.0)</f>
        <v>1990</v>
      </c>
      <c r="E10600">
        <f>IFERROR(__xludf.DUMMYFUNCTION("""COMPUTED_VALUE"""),29439.0)</f>
        <v>29439</v>
      </c>
    </row>
    <row r="10601">
      <c r="A10601" t="str">
        <f t="shared" si="1"/>
        <v>mco#1991</v>
      </c>
      <c r="B10601" t="str">
        <f>IFERROR(__xludf.DUMMYFUNCTION("""COMPUTED_VALUE"""),"mco")</f>
        <v>mco</v>
      </c>
      <c r="C10601" t="str">
        <f>IFERROR(__xludf.DUMMYFUNCTION("""COMPUTED_VALUE"""),"Monaco")</f>
        <v>Monaco</v>
      </c>
      <c r="D10601">
        <f>IFERROR(__xludf.DUMMYFUNCTION("""COMPUTED_VALUE"""),1991.0)</f>
        <v>1991</v>
      </c>
      <c r="E10601">
        <f>IFERROR(__xludf.DUMMYFUNCTION("""COMPUTED_VALUE"""),29624.0)</f>
        <v>29624</v>
      </c>
    </row>
    <row r="10602">
      <c r="A10602" t="str">
        <f t="shared" si="1"/>
        <v>mco#1992</v>
      </c>
      <c r="B10602" t="str">
        <f>IFERROR(__xludf.DUMMYFUNCTION("""COMPUTED_VALUE"""),"mco")</f>
        <v>mco</v>
      </c>
      <c r="C10602" t="str">
        <f>IFERROR(__xludf.DUMMYFUNCTION("""COMPUTED_VALUE"""),"Monaco")</f>
        <v>Monaco</v>
      </c>
      <c r="D10602">
        <f>IFERROR(__xludf.DUMMYFUNCTION("""COMPUTED_VALUE"""),1992.0)</f>
        <v>1992</v>
      </c>
      <c r="E10602">
        <f>IFERROR(__xludf.DUMMYFUNCTION("""COMPUTED_VALUE"""),29863.0)</f>
        <v>29863</v>
      </c>
    </row>
    <row r="10603">
      <c r="A10603" t="str">
        <f t="shared" si="1"/>
        <v>mco#1993</v>
      </c>
      <c r="B10603" t="str">
        <f>IFERROR(__xludf.DUMMYFUNCTION("""COMPUTED_VALUE"""),"mco")</f>
        <v>mco</v>
      </c>
      <c r="C10603" t="str">
        <f>IFERROR(__xludf.DUMMYFUNCTION("""COMPUTED_VALUE"""),"Monaco")</f>
        <v>Monaco</v>
      </c>
      <c r="D10603">
        <f>IFERROR(__xludf.DUMMYFUNCTION("""COMPUTED_VALUE"""),1993.0)</f>
        <v>1993</v>
      </c>
      <c r="E10603">
        <f>IFERROR(__xludf.DUMMYFUNCTION("""COMPUTED_VALUE"""),30138.0)</f>
        <v>30138</v>
      </c>
    </row>
    <row r="10604">
      <c r="A10604" t="str">
        <f t="shared" si="1"/>
        <v>mco#1994</v>
      </c>
      <c r="B10604" t="str">
        <f>IFERROR(__xludf.DUMMYFUNCTION("""COMPUTED_VALUE"""),"mco")</f>
        <v>mco</v>
      </c>
      <c r="C10604" t="str">
        <f>IFERROR(__xludf.DUMMYFUNCTION("""COMPUTED_VALUE"""),"Monaco")</f>
        <v>Monaco</v>
      </c>
      <c r="D10604">
        <f>IFERROR(__xludf.DUMMYFUNCTION("""COMPUTED_VALUE"""),1994.0)</f>
        <v>1994</v>
      </c>
      <c r="E10604">
        <f>IFERROR(__xludf.DUMMYFUNCTION("""COMPUTED_VALUE"""),30427.0)</f>
        <v>30427</v>
      </c>
    </row>
    <row r="10605">
      <c r="A10605" t="str">
        <f t="shared" si="1"/>
        <v>mco#1995</v>
      </c>
      <c r="B10605" t="str">
        <f>IFERROR(__xludf.DUMMYFUNCTION("""COMPUTED_VALUE"""),"mco")</f>
        <v>mco</v>
      </c>
      <c r="C10605" t="str">
        <f>IFERROR(__xludf.DUMMYFUNCTION("""COMPUTED_VALUE"""),"Monaco")</f>
        <v>Monaco</v>
      </c>
      <c r="D10605">
        <f>IFERROR(__xludf.DUMMYFUNCTION("""COMPUTED_VALUE"""),1995.0)</f>
        <v>1995</v>
      </c>
      <c r="E10605">
        <f>IFERROR(__xludf.DUMMYFUNCTION("""COMPUTED_VALUE"""),30691.0)</f>
        <v>30691</v>
      </c>
    </row>
    <row r="10606">
      <c r="A10606" t="str">
        <f t="shared" si="1"/>
        <v>mco#1996</v>
      </c>
      <c r="B10606" t="str">
        <f>IFERROR(__xludf.DUMMYFUNCTION("""COMPUTED_VALUE"""),"mco")</f>
        <v>mco</v>
      </c>
      <c r="C10606" t="str">
        <f>IFERROR(__xludf.DUMMYFUNCTION("""COMPUTED_VALUE"""),"Monaco")</f>
        <v>Monaco</v>
      </c>
      <c r="D10606">
        <f>IFERROR(__xludf.DUMMYFUNCTION("""COMPUTED_VALUE"""),1996.0)</f>
        <v>1996</v>
      </c>
      <c r="E10606">
        <f>IFERROR(__xludf.DUMMYFUNCTION("""COMPUTED_VALUE"""),30967.0)</f>
        <v>30967</v>
      </c>
    </row>
    <row r="10607">
      <c r="A10607" t="str">
        <f t="shared" si="1"/>
        <v>mco#1997</v>
      </c>
      <c r="B10607" t="str">
        <f>IFERROR(__xludf.DUMMYFUNCTION("""COMPUTED_VALUE"""),"mco")</f>
        <v>mco</v>
      </c>
      <c r="C10607" t="str">
        <f>IFERROR(__xludf.DUMMYFUNCTION("""COMPUTED_VALUE"""),"Monaco")</f>
        <v>Monaco</v>
      </c>
      <c r="D10607">
        <f>IFERROR(__xludf.DUMMYFUNCTION("""COMPUTED_VALUE"""),1997.0)</f>
        <v>1997</v>
      </c>
      <c r="E10607">
        <f>IFERROR(__xludf.DUMMYFUNCTION("""COMPUTED_VALUE"""),31251.0)</f>
        <v>31251</v>
      </c>
    </row>
    <row r="10608">
      <c r="A10608" t="str">
        <f t="shared" si="1"/>
        <v>mco#1998</v>
      </c>
      <c r="B10608" t="str">
        <f>IFERROR(__xludf.DUMMYFUNCTION("""COMPUTED_VALUE"""),"mco")</f>
        <v>mco</v>
      </c>
      <c r="C10608" t="str">
        <f>IFERROR(__xludf.DUMMYFUNCTION("""COMPUTED_VALUE"""),"Monaco")</f>
        <v>Monaco</v>
      </c>
      <c r="D10608">
        <f>IFERROR(__xludf.DUMMYFUNCTION("""COMPUTED_VALUE"""),1998.0)</f>
        <v>1998</v>
      </c>
      <c r="E10608">
        <f>IFERROR(__xludf.DUMMYFUNCTION("""COMPUTED_VALUE"""),31523.0)</f>
        <v>31523</v>
      </c>
    </row>
    <row r="10609">
      <c r="A10609" t="str">
        <f t="shared" si="1"/>
        <v>mco#1999</v>
      </c>
      <c r="B10609" t="str">
        <f>IFERROR(__xludf.DUMMYFUNCTION("""COMPUTED_VALUE"""),"mco")</f>
        <v>mco</v>
      </c>
      <c r="C10609" t="str">
        <f>IFERROR(__xludf.DUMMYFUNCTION("""COMPUTED_VALUE"""),"Monaco")</f>
        <v>Monaco</v>
      </c>
      <c r="D10609">
        <f>IFERROR(__xludf.DUMMYFUNCTION("""COMPUTED_VALUE"""),1999.0)</f>
        <v>1999</v>
      </c>
      <c r="E10609">
        <f>IFERROR(__xludf.DUMMYFUNCTION("""COMPUTED_VALUE"""),31800.0)</f>
        <v>31800</v>
      </c>
    </row>
    <row r="10610">
      <c r="A10610" t="str">
        <f t="shared" si="1"/>
        <v>mco#2000</v>
      </c>
      <c r="B10610" t="str">
        <f>IFERROR(__xludf.DUMMYFUNCTION("""COMPUTED_VALUE"""),"mco")</f>
        <v>mco</v>
      </c>
      <c r="C10610" t="str">
        <f>IFERROR(__xludf.DUMMYFUNCTION("""COMPUTED_VALUE"""),"Monaco")</f>
        <v>Monaco</v>
      </c>
      <c r="D10610">
        <f>IFERROR(__xludf.DUMMYFUNCTION("""COMPUTED_VALUE"""),2000.0)</f>
        <v>2000</v>
      </c>
      <c r="E10610">
        <f>IFERROR(__xludf.DUMMYFUNCTION("""COMPUTED_VALUE"""),32082.0)</f>
        <v>32082</v>
      </c>
    </row>
    <row r="10611">
      <c r="A10611" t="str">
        <f t="shared" si="1"/>
        <v>mco#2001</v>
      </c>
      <c r="B10611" t="str">
        <f>IFERROR(__xludf.DUMMYFUNCTION("""COMPUTED_VALUE"""),"mco")</f>
        <v>mco</v>
      </c>
      <c r="C10611" t="str">
        <f>IFERROR(__xludf.DUMMYFUNCTION("""COMPUTED_VALUE"""),"Monaco")</f>
        <v>Monaco</v>
      </c>
      <c r="D10611">
        <f>IFERROR(__xludf.DUMMYFUNCTION("""COMPUTED_VALUE"""),2001.0)</f>
        <v>2001</v>
      </c>
      <c r="E10611">
        <f>IFERROR(__xludf.DUMMYFUNCTION("""COMPUTED_VALUE"""),32360.0)</f>
        <v>32360</v>
      </c>
    </row>
    <row r="10612">
      <c r="A10612" t="str">
        <f t="shared" si="1"/>
        <v>mco#2002</v>
      </c>
      <c r="B10612" t="str">
        <f>IFERROR(__xludf.DUMMYFUNCTION("""COMPUTED_VALUE"""),"mco")</f>
        <v>mco</v>
      </c>
      <c r="C10612" t="str">
        <f>IFERROR(__xludf.DUMMYFUNCTION("""COMPUTED_VALUE"""),"Monaco")</f>
        <v>Monaco</v>
      </c>
      <c r="D10612">
        <f>IFERROR(__xludf.DUMMYFUNCTION("""COMPUTED_VALUE"""),2002.0)</f>
        <v>2002</v>
      </c>
      <c r="E10612">
        <f>IFERROR(__xludf.DUMMYFUNCTION("""COMPUTED_VALUE"""),32629.0)</f>
        <v>32629</v>
      </c>
    </row>
    <row r="10613">
      <c r="A10613" t="str">
        <f t="shared" si="1"/>
        <v>mco#2003</v>
      </c>
      <c r="B10613" t="str">
        <f>IFERROR(__xludf.DUMMYFUNCTION("""COMPUTED_VALUE"""),"mco")</f>
        <v>mco</v>
      </c>
      <c r="C10613" t="str">
        <f>IFERROR(__xludf.DUMMYFUNCTION("""COMPUTED_VALUE"""),"Monaco")</f>
        <v>Monaco</v>
      </c>
      <c r="D10613">
        <f>IFERROR(__xludf.DUMMYFUNCTION("""COMPUTED_VALUE"""),2003.0)</f>
        <v>2003</v>
      </c>
      <c r="E10613">
        <f>IFERROR(__xludf.DUMMYFUNCTION("""COMPUTED_VALUE"""),32933.0)</f>
        <v>32933</v>
      </c>
    </row>
    <row r="10614">
      <c r="A10614" t="str">
        <f t="shared" si="1"/>
        <v>mco#2004</v>
      </c>
      <c r="B10614" t="str">
        <f>IFERROR(__xludf.DUMMYFUNCTION("""COMPUTED_VALUE"""),"mco")</f>
        <v>mco</v>
      </c>
      <c r="C10614" t="str">
        <f>IFERROR(__xludf.DUMMYFUNCTION("""COMPUTED_VALUE"""),"Monaco")</f>
        <v>Monaco</v>
      </c>
      <c r="D10614">
        <f>IFERROR(__xludf.DUMMYFUNCTION("""COMPUTED_VALUE"""),2004.0)</f>
        <v>2004</v>
      </c>
      <c r="E10614">
        <f>IFERROR(__xludf.DUMMYFUNCTION("""COMPUTED_VALUE"""),33314.0)</f>
        <v>33314</v>
      </c>
    </row>
    <row r="10615">
      <c r="A10615" t="str">
        <f t="shared" si="1"/>
        <v>mco#2005</v>
      </c>
      <c r="B10615" t="str">
        <f>IFERROR(__xludf.DUMMYFUNCTION("""COMPUTED_VALUE"""),"mco")</f>
        <v>mco</v>
      </c>
      <c r="C10615" t="str">
        <f>IFERROR(__xludf.DUMMYFUNCTION("""COMPUTED_VALUE"""),"Monaco")</f>
        <v>Monaco</v>
      </c>
      <c r="D10615">
        <f>IFERROR(__xludf.DUMMYFUNCTION("""COMPUTED_VALUE"""),2005.0)</f>
        <v>2005</v>
      </c>
      <c r="E10615">
        <f>IFERROR(__xludf.DUMMYFUNCTION("""COMPUTED_VALUE"""),33793.0)</f>
        <v>33793</v>
      </c>
    </row>
    <row r="10616">
      <c r="A10616" t="str">
        <f t="shared" si="1"/>
        <v>mco#2006</v>
      </c>
      <c r="B10616" t="str">
        <f>IFERROR(__xludf.DUMMYFUNCTION("""COMPUTED_VALUE"""),"mco")</f>
        <v>mco</v>
      </c>
      <c r="C10616" t="str">
        <f>IFERROR(__xludf.DUMMYFUNCTION("""COMPUTED_VALUE"""),"Monaco")</f>
        <v>Monaco</v>
      </c>
      <c r="D10616">
        <f>IFERROR(__xludf.DUMMYFUNCTION("""COMPUTED_VALUE"""),2006.0)</f>
        <v>2006</v>
      </c>
      <c r="E10616">
        <f>IFERROR(__xludf.DUMMYFUNCTION("""COMPUTED_VALUE"""),34408.0)</f>
        <v>34408</v>
      </c>
    </row>
    <row r="10617">
      <c r="A10617" t="str">
        <f t="shared" si="1"/>
        <v>mco#2007</v>
      </c>
      <c r="B10617" t="str">
        <f>IFERROR(__xludf.DUMMYFUNCTION("""COMPUTED_VALUE"""),"mco")</f>
        <v>mco</v>
      </c>
      <c r="C10617" t="str">
        <f>IFERROR(__xludf.DUMMYFUNCTION("""COMPUTED_VALUE"""),"Monaco")</f>
        <v>Monaco</v>
      </c>
      <c r="D10617">
        <f>IFERROR(__xludf.DUMMYFUNCTION("""COMPUTED_VALUE"""),2007.0)</f>
        <v>2007</v>
      </c>
      <c r="E10617">
        <f>IFERROR(__xludf.DUMMYFUNCTION("""COMPUTED_VALUE"""),35111.0)</f>
        <v>35111</v>
      </c>
    </row>
    <row r="10618">
      <c r="A10618" t="str">
        <f t="shared" si="1"/>
        <v>mco#2008</v>
      </c>
      <c r="B10618" t="str">
        <f>IFERROR(__xludf.DUMMYFUNCTION("""COMPUTED_VALUE"""),"mco")</f>
        <v>mco</v>
      </c>
      <c r="C10618" t="str">
        <f>IFERROR(__xludf.DUMMYFUNCTION("""COMPUTED_VALUE"""),"Monaco")</f>
        <v>Monaco</v>
      </c>
      <c r="D10618">
        <f>IFERROR(__xludf.DUMMYFUNCTION("""COMPUTED_VALUE"""),2008.0)</f>
        <v>2008</v>
      </c>
      <c r="E10618">
        <f>IFERROR(__xludf.DUMMYFUNCTION("""COMPUTED_VALUE"""),35853.0)</f>
        <v>35853</v>
      </c>
    </row>
    <row r="10619">
      <c r="A10619" t="str">
        <f t="shared" si="1"/>
        <v>mco#2009</v>
      </c>
      <c r="B10619" t="str">
        <f>IFERROR(__xludf.DUMMYFUNCTION("""COMPUTED_VALUE"""),"mco")</f>
        <v>mco</v>
      </c>
      <c r="C10619" t="str">
        <f>IFERROR(__xludf.DUMMYFUNCTION("""COMPUTED_VALUE"""),"Monaco")</f>
        <v>Monaco</v>
      </c>
      <c r="D10619">
        <f>IFERROR(__xludf.DUMMYFUNCTION("""COMPUTED_VALUE"""),2009.0)</f>
        <v>2009</v>
      </c>
      <c r="E10619">
        <f>IFERROR(__xludf.DUMMYFUNCTION("""COMPUTED_VALUE"""),36534.0)</f>
        <v>36534</v>
      </c>
    </row>
    <row r="10620">
      <c r="A10620" t="str">
        <f t="shared" si="1"/>
        <v>mco#2010</v>
      </c>
      <c r="B10620" t="str">
        <f>IFERROR(__xludf.DUMMYFUNCTION("""COMPUTED_VALUE"""),"mco")</f>
        <v>mco</v>
      </c>
      <c r="C10620" t="str">
        <f>IFERROR(__xludf.DUMMYFUNCTION("""COMPUTED_VALUE"""),"Monaco")</f>
        <v>Monaco</v>
      </c>
      <c r="D10620">
        <f>IFERROR(__xludf.DUMMYFUNCTION("""COMPUTED_VALUE"""),2010.0)</f>
        <v>2010</v>
      </c>
      <c r="E10620">
        <f>IFERROR(__xludf.DUMMYFUNCTION("""COMPUTED_VALUE"""),37094.0)</f>
        <v>37094</v>
      </c>
    </row>
    <row r="10621">
      <c r="A10621" t="str">
        <f t="shared" si="1"/>
        <v>mco#2011</v>
      </c>
      <c r="B10621" t="str">
        <f>IFERROR(__xludf.DUMMYFUNCTION("""COMPUTED_VALUE"""),"mco")</f>
        <v>mco</v>
      </c>
      <c r="C10621" t="str">
        <f>IFERROR(__xludf.DUMMYFUNCTION("""COMPUTED_VALUE"""),"Monaco")</f>
        <v>Monaco</v>
      </c>
      <c r="D10621">
        <f>IFERROR(__xludf.DUMMYFUNCTION("""COMPUTED_VALUE"""),2011.0)</f>
        <v>2011</v>
      </c>
      <c r="E10621">
        <f>IFERROR(__xludf.DUMMYFUNCTION("""COMPUTED_VALUE"""),37497.0)</f>
        <v>37497</v>
      </c>
    </row>
    <row r="10622">
      <c r="A10622" t="str">
        <f t="shared" si="1"/>
        <v>mco#2012</v>
      </c>
      <c r="B10622" t="str">
        <f>IFERROR(__xludf.DUMMYFUNCTION("""COMPUTED_VALUE"""),"mco")</f>
        <v>mco</v>
      </c>
      <c r="C10622" t="str">
        <f>IFERROR(__xludf.DUMMYFUNCTION("""COMPUTED_VALUE"""),"Monaco")</f>
        <v>Monaco</v>
      </c>
      <c r="D10622">
        <f>IFERROR(__xludf.DUMMYFUNCTION("""COMPUTED_VALUE"""),2012.0)</f>
        <v>2012</v>
      </c>
      <c r="E10622">
        <f>IFERROR(__xludf.DUMMYFUNCTION("""COMPUTED_VALUE"""),37783.0)</f>
        <v>37783</v>
      </c>
    </row>
    <row r="10623">
      <c r="A10623" t="str">
        <f t="shared" si="1"/>
        <v>mco#2013</v>
      </c>
      <c r="B10623" t="str">
        <f>IFERROR(__xludf.DUMMYFUNCTION("""COMPUTED_VALUE"""),"mco")</f>
        <v>mco</v>
      </c>
      <c r="C10623" t="str">
        <f>IFERROR(__xludf.DUMMYFUNCTION("""COMPUTED_VALUE"""),"Monaco")</f>
        <v>Monaco</v>
      </c>
      <c r="D10623">
        <f>IFERROR(__xludf.DUMMYFUNCTION("""COMPUTED_VALUE"""),2013.0)</f>
        <v>2013</v>
      </c>
      <c r="E10623">
        <f>IFERROR(__xludf.DUMMYFUNCTION("""COMPUTED_VALUE"""),37971.0)</f>
        <v>37971</v>
      </c>
    </row>
    <row r="10624">
      <c r="A10624" t="str">
        <f t="shared" si="1"/>
        <v>mco#2014</v>
      </c>
      <c r="B10624" t="str">
        <f>IFERROR(__xludf.DUMMYFUNCTION("""COMPUTED_VALUE"""),"mco")</f>
        <v>mco</v>
      </c>
      <c r="C10624" t="str">
        <f>IFERROR(__xludf.DUMMYFUNCTION("""COMPUTED_VALUE"""),"Monaco")</f>
        <v>Monaco</v>
      </c>
      <c r="D10624">
        <f>IFERROR(__xludf.DUMMYFUNCTION("""COMPUTED_VALUE"""),2014.0)</f>
        <v>2014</v>
      </c>
      <c r="E10624">
        <f>IFERROR(__xludf.DUMMYFUNCTION("""COMPUTED_VALUE"""),38132.0)</f>
        <v>38132</v>
      </c>
    </row>
    <row r="10625">
      <c r="A10625" t="str">
        <f t="shared" si="1"/>
        <v>mco#2015</v>
      </c>
      <c r="B10625" t="str">
        <f>IFERROR(__xludf.DUMMYFUNCTION("""COMPUTED_VALUE"""),"mco")</f>
        <v>mco</v>
      </c>
      <c r="C10625" t="str">
        <f>IFERROR(__xludf.DUMMYFUNCTION("""COMPUTED_VALUE"""),"Monaco")</f>
        <v>Monaco</v>
      </c>
      <c r="D10625">
        <f>IFERROR(__xludf.DUMMYFUNCTION("""COMPUTED_VALUE"""),2015.0)</f>
        <v>2015</v>
      </c>
      <c r="E10625">
        <f>IFERROR(__xludf.DUMMYFUNCTION("""COMPUTED_VALUE"""),38307.0)</f>
        <v>38307</v>
      </c>
    </row>
    <row r="10626">
      <c r="A10626" t="str">
        <f t="shared" si="1"/>
        <v>mco#2016</v>
      </c>
      <c r="B10626" t="str">
        <f>IFERROR(__xludf.DUMMYFUNCTION("""COMPUTED_VALUE"""),"mco")</f>
        <v>mco</v>
      </c>
      <c r="C10626" t="str">
        <f>IFERROR(__xludf.DUMMYFUNCTION("""COMPUTED_VALUE"""),"Monaco")</f>
        <v>Monaco</v>
      </c>
      <c r="D10626">
        <f>IFERROR(__xludf.DUMMYFUNCTION("""COMPUTED_VALUE"""),2016.0)</f>
        <v>2016</v>
      </c>
      <c r="E10626">
        <f>IFERROR(__xludf.DUMMYFUNCTION("""COMPUTED_VALUE"""),38499.0)</f>
        <v>38499</v>
      </c>
    </row>
    <row r="10627">
      <c r="A10627" t="str">
        <f t="shared" si="1"/>
        <v>mco#2017</v>
      </c>
      <c r="B10627" t="str">
        <f>IFERROR(__xludf.DUMMYFUNCTION("""COMPUTED_VALUE"""),"mco")</f>
        <v>mco</v>
      </c>
      <c r="C10627" t="str">
        <f>IFERROR(__xludf.DUMMYFUNCTION("""COMPUTED_VALUE"""),"Monaco")</f>
        <v>Monaco</v>
      </c>
      <c r="D10627">
        <f>IFERROR(__xludf.DUMMYFUNCTION("""COMPUTED_VALUE"""),2017.0)</f>
        <v>2017</v>
      </c>
      <c r="E10627">
        <f>IFERROR(__xludf.DUMMYFUNCTION("""COMPUTED_VALUE"""),38695.0)</f>
        <v>38695</v>
      </c>
    </row>
    <row r="10628">
      <c r="A10628" t="str">
        <f t="shared" si="1"/>
        <v>mco#2018</v>
      </c>
      <c r="B10628" t="str">
        <f>IFERROR(__xludf.DUMMYFUNCTION("""COMPUTED_VALUE"""),"mco")</f>
        <v>mco</v>
      </c>
      <c r="C10628" t="str">
        <f>IFERROR(__xludf.DUMMYFUNCTION("""COMPUTED_VALUE"""),"Monaco")</f>
        <v>Monaco</v>
      </c>
      <c r="D10628">
        <f>IFERROR(__xludf.DUMMYFUNCTION("""COMPUTED_VALUE"""),2018.0)</f>
        <v>2018</v>
      </c>
      <c r="E10628">
        <f>IFERROR(__xludf.DUMMYFUNCTION("""COMPUTED_VALUE"""),38897.0)</f>
        <v>38897</v>
      </c>
    </row>
    <row r="10629">
      <c r="A10629" t="str">
        <f t="shared" si="1"/>
        <v>mco#2019</v>
      </c>
      <c r="B10629" t="str">
        <f>IFERROR(__xludf.DUMMYFUNCTION("""COMPUTED_VALUE"""),"mco")</f>
        <v>mco</v>
      </c>
      <c r="C10629" t="str">
        <f>IFERROR(__xludf.DUMMYFUNCTION("""COMPUTED_VALUE"""),"Monaco")</f>
        <v>Monaco</v>
      </c>
      <c r="D10629">
        <f>IFERROR(__xludf.DUMMYFUNCTION("""COMPUTED_VALUE"""),2019.0)</f>
        <v>2019</v>
      </c>
      <c r="E10629">
        <f>IFERROR(__xludf.DUMMYFUNCTION("""COMPUTED_VALUE"""),39102.0)</f>
        <v>39102</v>
      </c>
    </row>
    <row r="10630">
      <c r="A10630" t="str">
        <f t="shared" si="1"/>
        <v>mco#2020</v>
      </c>
      <c r="B10630" t="str">
        <f>IFERROR(__xludf.DUMMYFUNCTION("""COMPUTED_VALUE"""),"mco")</f>
        <v>mco</v>
      </c>
      <c r="C10630" t="str">
        <f>IFERROR(__xludf.DUMMYFUNCTION("""COMPUTED_VALUE"""),"Monaco")</f>
        <v>Monaco</v>
      </c>
      <c r="D10630">
        <f>IFERROR(__xludf.DUMMYFUNCTION("""COMPUTED_VALUE"""),2020.0)</f>
        <v>2020</v>
      </c>
      <c r="E10630">
        <f>IFERROR(__xludf.DUMMYFUNCTION("""COMPUTED_VALUE"""),39297.0)</f>
        <v>39297</v>
      </c>
    </row>
    <row r="10631">
      <c r="A10631" t="str">
        <f t="shared" si="1"/>
        <v>mco#2021</v>
      </c>
      <c r="B10631" t="str">
        <f>IFERROR(__xludf.DUMMYFUNCTION("""COMPUTED_VALUE"""),"mco")</f>
        <v>mco</v>
      </c>
      <c r="C10631" t="str">
        <f>IFERROR(__xludf.DUMMYFUNCTION("""COMPUTED_VALUE"""),"Monaco")</f>
        <v>Monaco</v>
      </c>
      <c r="D10631">
        <f>IFERROR(__xludf.DUMMYFUNCTION("""COMPUTED_VALUE"""),2021.0)</f>
        <v>2021</v>
      </c>
      <c r="E10631">
        <f>IFERROR(__xludf.DUMMYFUNCTION("""COMPUTED_VALUE"""),39495.0)</f>
        <v>39495</v>
      </c>
    </row>
    <row r="10632">
      <c r="A10632" t="str">
        <f t="shared" si="1"/>
        <v>mco#2022</v>
      </c>
      <c r="B10632" t="str">
        <f>IFERROR(__xludf.DUMMYFUNCTION("""COMPUTED_VALUE"""),"mco")</f>
        <v>mco</v>
      </c>
      <c r="C10632" t="str">
        <f>IFERROR(__xludf.DUMMYFUNCTION("""COMPUTED_VALUE"""),"Monaco")</f>
        <v>Monaco</v>
      </c>
      <c r="D10632">
        <f>IFERROR(__xludf.DUMMYFUNCTION("""COMPUTED_VALUE"""),2022.0)</f>
        <v>2022</v>
      </c>
      <c r="E10632">
        <f>IFERROR(__xludf.DUMMYFUNCTION("""COMPUTED_VALUE"""),39684.0)</f>
        <v>39684</v>
      </c>
    </row>
    <row r="10633">
      <c r="A10633" t="str">
        <f t="shared" si="1"/>
        <v>mco#2023</v>
      </c>
      <c r="B10633" t="str">
        <f>IFERROR(__xludf.DUMMYFUNCTION("""COMPUTED_VALUE"""),"mco")</f>
        <v>mco</v>
      </c>
      <c r="C10633" t="str">
        <f>IFERROR(__xludf.DUMMYFUNCTION("""COMPUTED_VALUE"""),"Monaco")</f>
        <v>Monaco</v>
      </c>
      <c r="D10633">
        <f>IFERROR(__xludf.DUMMYFUNCTION("""COMPUTED_VALUE"""),2023.0)</f>
        <v>2023</v>
      </c>
      <c r="E10633">
        <f>IFERROR(__xludf.DUMMYFUNCTION("""COMPUTED_VALUE"""),39890.0)</f>
        <v>39890</v>
      </c>
    </row>
    <row r="10634">
      <c r="A10634" t="str">
        <f t="shared" si="1"/>
        <v>mco#2024</v>
      </c>
      <c r="B10634" t="str">
        <f>IFERROR(__xludf.DUMMYFUNCTION("""COMPUTED_VALUE"""),"mco")</f>
        <v>mco</v>
      </c>
      <c r="C10634" t="str">
        <f>IFERROR(__xludf.DUMMYFUNCTION("""COMPUTED_VALUE"""),"Monaco")</f>
        <v>Monaco</v>
      </c>
      <c r="D10634">
        <f>IFERROR(__xludf.DUMMYFUNCTION("""COMPUTED_VALUE"""),2024.0)</f>
        <v>2024</v>
      </c>
      <c r="E10634">
        <f>IFERROR(__xludf.DUMMYFUNCTION("""COMPUTED_VALUE"""),40086.0)</f>
        <v>40086</v>
      </c>
    </row>
    <row r="10635">
      <c r="A10635" t="str">
        <f t="shared" si="1"/>
        <v>mco#2025</v>
      </c>
      <c r="B10635" t="str">
        <f>IFERROR(__xludf.DUMMYFUNCTION("""COMPUTED_VALUE"""),"mco")</f>
        <v>mco</v>
      </c>
      <c r="C10635" t="str">
        <f>IFERROR(__xludf.DUMMYFUNCTION("""COMPUTED_VALUE"""),"Monaco")</f>
        <v>Monaco</v>
      </c>
      <c r="D10635">
        <f>IFERROR(__xludf.DUMMYFUNCTION("""COMPUTED_VALUE"""),2025.0)</f>
        <v>2025</v>
      </c>
      <c r="E10635">
        <f>IFERROR(__xludf.DUMMYFUNCTION("""COMPUTED_VALUE"""),40294.0)</f>
        <v>40294</v>
      </c>
    </row>
    <row r="10636">
      <c r="A10636" t="str">
        <f t="shared" si="1"/>
        <v>mco#2026</v>
      </c>
      <c r="B10636" t="str">
        <f>IFERROR(__xludf.DUMMYFUNCTION("""COMPUTED_VALUE"""),"mco")</f>
        <v>mco</v>
      </c>
      <c r="C10636" t="str">
        <f>IFERROR(__xludf.DUMMYFUNCTION("""COMPUTED_VALUE"""),"Monaco")</f>
        <v>Monaco</v>
      </c>
      <c r="D10636">
        <f>IFERROR(__xludf.DUMMYFUNCTION("""COMPUTED_VALUE"""),2026.0)</f>
        <v>2026</v>
      </c>
      <c r="E10636">
        <f>IFERROR(__xludf.DUMMYFUNCTION("""COMPUTED_VALUE"""),40499.0)</f>
        <v>40499</v>
      </c>
    </row>
    <row r="10637">
      <c r="A10637" t="str">
        <f t="shared" si="1"/>
        <v>mco#2027</v>
      </c>
      <c r="B10637" t="str">
        <f>IFERROR(__xludf.DUMMYFUNCTION("""COMPUTED_VALUE"""),"mco")</f>
        <v>mco</v>
      </c>
      <c r="C10637" t="str">
        <f>IFERROR(__xludf.DUMMYFUNCTION("""COMPUTED_VALUE"""),"Monaco")</f>
        <v>Monaco</v>
      </c>
      <c r="D10637">
        <f>IFERROR(__xludf.DUMMYFUNCTION("""COMPUTED_VALUE"""),2027.0)</f>
        <v>2027</v>
      </c>
      <c r="E10637">
        <f>IFERROR(__xludf.DUMMYFUNCTION("""COMPUTED_VALUE"""),40713.0)</f>
        <v>40713</v>
      </c>
    </row>
    <row r="10638">
      <c r="A10638" t="str">
        <f t="shared" si="1"/>
        <v>mco#2028</v>
      </c>
      <c r="B10638" t="str">
        <f>IFERROR(__xludf.DUMMYFUNCTION("""COMPUTED_VALUE"""),"mco")</f>
        <v>mco</v>
      </c>
      <c r="C10638" t="str">
        <f>IFERROR(__xludf.DUMMYFUNCTION("""COMPUTED_VALUE"""),"Monaco")</f>
        <v>Monaco</v>
      </c>
      <c r="D10638">
        <f>IFERROR(__xludf.DUMMYFUNCTION("""COMPUTED_VALUE"""),2028.0)</f>
        <v>2028</v>
      </c>
      <c r="E10638">
        <f>IFERROR(__xludf.DUMMYFUNCTION("""COMPUTED_VALUE"""),40919.0)</f>
        <v>40919</v>
      </c>
    </row>
    <row r="10639">
      <c r="A10639" t="str">
        <f t="shared" si="1"/>
        <v>mco#2029</v>
      </c>
      <c r="B10639" t="str">
        <f>IFERROR(__xludf.DUMMYFUNCTION("""COMPUTED_VALUE"""),"mco")</f>
        <v>mco</v>
      </c>
      <c r="C10639" t="str">
        <f>IFERROR(__xludf.DUMMYFUNCTION("""COMPUTED_VALUE"""),"Monaco")</f>
        <v>Monaco</v>
      </c>
      <c r="D10639">
        <f>IFERROR(__xludf.DUMMYFUNCTION("""COMPUTED_VALUE"""),2029.0)</f>
        <v>2029</v>
      </c>
      <c r="E10639">
        <f>IFERROR(__xludf.DUMMYFUNCTION("""COMPUTED_VALUE"""),41143.0)</f>
        <v>41143</v>
      </c>
    </row>
    <row r="10640">
      <c r="A10640" t="str">
        <f t="shared" si="1"/>
        <v>mco#2030</v>
      </c>
      <c r="B10640" t="str">
        <f>IFERROR(__xludf.DUMMYFUNCTION("""COMPUTED_VALUE"""),"mco")</f>
        <v>mco</v>
      </c>
      <c r="C10640" t="str">
        <f>IFERROR(__xludf.DUMMYFUNCTION("""COMPUTED_VALUE"""),"Monaco")</f>
        <v>Monaco</v>
      </c>
      <c r="D10640">
        <f>IFERROR(__xludf.DUMMYFUNCTION("""COMPUTED_VALUE"""),2030.0)</f>
        <v>2030</v>
      </c>
      <c r="E10640">
        <f>IFERROR(__xludf.DUMMYFUNCTION("""COMPUTED_VALUE"""),41362.0)</f>
        <v>41362</v>
      </c>
    </row>
    <row r="10641">
      <c r="A10641" t="str">
        <f t="shared" si="1"/>
        <v>mco#2031</v>
      </c>
      <c r="B10641" t="str">
        <f>IFERROR(__xludf.DUMMYFUNCTION("""COMPUTED_VALUE"""),"mco")</f>
        <v>mco</v>
      </c>
      <c r="C10641" t="str">
        <f>IFERROR(__xludf.DUMMYFUNCTION("""COMPUTED_VALUE"""),"Monaco")</f>
        <v>Monaco</v>
      </c>
      <c r="D10641">
        <f>IFERROR(__xludf.DUMMYFUNCTION("""COMPUTED_VALUE"""),2031.0)</f>
        <v>2031</v>
      </c>
      <c r="E10641">
        <f>IFERROR(__xludf.DUMMYFUNCTION("""COMPUTED_VALUE"""),41577.0)</f>
        <v>41577</v>
      </c>
    </row>
    <row r="10642">
      <c r="A10642" t="str">
        <f t="shared" si="1"/>
        <v>mco#2032</v>
      </c>
      <c r="B10642" t="str">
        <f>IFERROR(__xludf.DUMMYFUNCTION("""COMPUTED_VALUE"""),"mco")</f>
        <v>mco</v>
      </c>
      <c r="C10642" t="str">
        <f>IFERROR(__xludf.DUMMYFUNCTION("""COMPUTED_VALUE"""),"Monaco")</f>
        <v>Monaco</v>
      </c>
      <c r="D10642">
        <f>IFERROR(__xludf.DUMMYFUNCTION("""COMPUTED_VALUE"""),2032.0)</f>
        <v>2032</v>
      </c>
      <c r="E10642">
        <f>IFERROR(__xludf.DUMMYFUNCTION("""COMPUTED_VALUE"""),41798.0)</f>
        <v>41798</v>
      </c>
    </row>
    <row r="10643">
      <c r="A10643" t="str">
        <f t="shared" si="1"/>
        <v>mco#2033</v>
      </c>
      <c r="B10643" t="str">
        <f>IFERROR(__xludf.DUMMYFUNCTION("""COMPUTED_VALUE"""),"mco")</f>
        <v>mco</v>
      </c>
      <c r="C10643" t="str">
        <f>IFERROR(__xludf.DUMMYFUNCTION("""COMPUTED_VALUE"""),"Monaco")</f>
        <v>Monaco</v>
      </c>
      <c r="D10643">
        <f>IFERROR(__xludf.DUMMYFUNCTION("""COMPUTED_VALUE"""),2033.0)</f>
        <v>2033</v>
      </c>
      <c r="E10643">
        <f>IFERROR(__xludf.DUMMYFUNCTION("""COMPUTED_VALUE"""),42027.0)</f>
        <v>42027</v>
      </c>
    </row>
    <row r="10644">
      <c r="A10644" t="str">
        <f t="shared" si="1"/>
        <v>mco#2034</v>
      </c>
      <c r="B10644" t="str">
        <f>IFERROR(__xludf.DUMMYFUNCTION("""COMPUTED_VALUE"""),"mco")</f>
        <v>mco</v>
      </c>
      <c r="C10644" t="str">
        <f>IFERROR(__xludf.DUMMYFUNCTION("""COMPUTED_VALUE"""),"Monaco")</f>
        <v>Monaco</v>
      </c>
      <c r="D10644">
        <f>IFERROR(__xludf.DUMMYFUNCTION("""COMPUTED_VALUE"""),2034.0)</f>
        <v>2034</v>
      </c>
      <c r="E10644">
        <f>IFERROR(__xludf.DUMMYFUNCTION("""COMPUTED_VALUE"""),42250.0)</f>
        <v>42250</v>
      </c>
    </row>
    <row r="10645">
      <c r="A10645" t="str">
        <f t="shared" si="1"/>
        <v>mco#2035</v>
      </c>
      <c r="B10645" t="str">
        <f>IFERROR(__xludf.DUMMYFUNCTION("""COMPUTED_VALUE"""),"mco")</f>
        <v>mco</v>
      </c>
      <c r="C10645" t="str">
        <f>IFERROR(__xludf.DUMMYFUNCTION("""COMPUTED_VALUE"""),"Monaco")</f>
        <v>Monaco</v>
      </c>
      <c r="D10645">
        <f>IFERROR(__xludf.DUMMYFUNCTION("""COMPUTED_VALUE"""),2035.0)</f>
        <v>2035</v>
      </c>
      <c r="E10645">
        <f>IFERROR(__xludf.DUMMYFUNCTION("""COMPUTED_VALUE"""),42462.0)</f>
        <v>42462</v>
      </c>
    </row>
    <row r="10646">
      <c r="A10646" t="str">
        <f t="shared" si="1"/>
        <v>mco#2036</v>
      </c>
      <c r="B10646" t="str">
        <f>IFERROR(__xludf.DUMMYFUNCTION("""COMPUTED_VALUE"""),"mco")</f>
        <v>mco</v>
      </c>
      <c r="C10646" t="str">
        <f>IFERROR(__xludf.DUMMYFUNCTION("""COMPUTED_VALUE"""),"Monaco")</f>
        <v>Monaco</v>
      </c>
      <c r="D10646">
        <f>IFERROR(__xludf.DUMMYFUNCTION("""COMPUTED_VALUE"""),2036.0)</f>
        <v>2036</v>
      </c>
      <c r="E10646">
        <f>IFERROR(__xludf.DUMMYFUNCTION("""COMPUTED_VALUE"""),42675.0)</f>
        <v>42675</v>
      </c>
    </row>
    <row r="10647">
      <c r="A10647" t="str">
        <f t="shared" si="1"/>
        <v>mco#2037</v>
      </c>
      <c r="B10647" t="str">
        <f>IFERROR(__xludf.DUMMYFUNCTION("""COMPUTED_VALUE"""),"mco")</f>
        <v>mco</v>
      </c>
      <c r="C10647" t="str">
        <f>IFERROR(__xludf.DUMMYFUNCTION("""COMPUTED_VALUE"""),"Monaco")</f>
        <v>Monaco</v>
      </c>
      <c r="D10647">
        <f>IFERROR(__xludf.DUMMYFUNCTION("""COMPUTED_VALUE"""),2037.0)</f>
        <v>2037</v>
      </c>
      <c r="E10647">
        <f>IFERROR(__xludf.DUMMYFUNCTION("""COMPUTED_VALUE"""),42885.0)</f>
        <v>42885</v>
      </c>
    </row>
    <row r="10648">
      <c r="A10648" t="str">
        <f t="shared" si="1"/>
        <v>mco#2038</v>
      </c>
      <c r="B10648" t="str">
        <f>IFERROR(__xludf.DUMMYFUNCTION("""COMPUTED_VALUE"""),"mco")</f>
        <v>mco</v>
      </c>
      <c r="C10648" t="str">
        <f>IFERROR(__xludf.DUMMYFUNCTION("""COMPUTED_VALUE"""),"Monaco")</f>
        <v>Monaco</v>
      </c>
      <c r="D10648">
        <f>IFERROR(__xludf.DUMMYFUNCTION("""COMPUTED_VALUE"""),2038.0)</f>
        <v>2038</v>
      </c>
      <c r="E10648">
        <f>IFERROR(__xludf.DUMMYFUNCTION("""COMPUTED_VALUE"""),43089.0)</f>
        <v>43089</v>
      </c>
    </row>
    <row r="10649">
      <c r="A10649" t="str">
        <f t="shared" si="1"/>
        <v>mco#2039</v>
      </c>
      <c r="B10649" t="str">
        <f>IFERROR(__xludf.DUMMYFUNCTION("""COMPUTED_VALUE"""),"mco")</f>
        <v>mco</v>
      </c>
      <c r="C10649" t="str">
        <f>IFERROR(__xludf.DUMMYFUNCTION("""COMPUTED_VALUE"""),"Monaco")</f>
        <v>Monaco</v>
      </c>
      <c r="D10649">
        <f>IFERROR(__xludf.DUMMYFUNCTION("""COMPUTED_VALUE"""),2039.0)</f>
        <v>2039</v>
      </c>
      <c r="E10649">
        <f>IFERROR(__xludf.DUMMYFUNCTION("""COMPUTED_VALUE"""),43289.0)</f>
        <v>43289</v>
      </c>
    </row>
    <row r="10650">
      <c r="A10650" t="str">
        <f t="shared" si="1"/>
        <v>mco#2040</v>
      </c>
      <c r="B10650" t="str">
        <f>IFERROR(__xludf.DUMMYFUNCTION("""COMPUTED_VALUE"""),"mco")</f>
        <v>mco</v>
      </c>
      <c r="C10650" t="str">
        <f>IFERROR(__xludf.DUMMYFUNCTION("""COMPUTED_VALUE"""),"Monaco")</f>
        <v>Monaco</v>
      </c>
      <c r="D10650">
        <f>IFERROR(__xludf.DUMMYFUNCTION("""COMPUTED_VALUE"""),2040.0)</f>
        <v>2040</v>
      </c>
      <c r="E10650">
        <f>IFERROR(__xludf.DUMMYFUNCTION("""COMPUTED_VALUE"""),43487.0)</f>
        <v>43487</v>
      </c>
    </row>
    <row r="10651">
      <c r="A10651" t="str">
        <f t="shared" si="1"/>
        <v>mng#1950</v>
      </c>
      <c r="B10651" t="str">
        <f>IFERROR(__xludf.DUMMYFUNCTION("""COMPUTED_VALUE"""),"mng")</f>
        <v>mng</v>
      </c>
      <c r="C10651" t="str">
        <f>IFERROR(__xludf.DUMMYFUNCTION("""COMPUTED_VALUE"""),"Mongolia")</f>
        <v>Mongolia</v>
      </c>
      <c r="D10651">
        <f>IFERROR(__xludf.DUMMYFUNCTION("""COMPUTED_VALUE"""),1950.0)</f>
        <v>1950</v>
      </c>
      <c r="E10651">
        <f>IFERROR(__xludf.DUMMYFUNCTION("""COMPUTED_VALUE"""),780199.0)</f>
        <v>780199</v>
      </c>
    </row>
    <row r="10652">
      <c r="A10652" t="str">
        <f t="shared" si="1"/>
        <v>mng#1951</v>
      </c>
      <c r="B10652" t="str">
        <f>IFERROR(__xludf.DUMMYFUNCTION("""COMPUTED_VALUE"""),"mng")</f>
        <v>mng</v>
      </c>
      <c r="C10652" t="str">
        <f>IFERROR(__xludf.DUMMYFUNCTION("""COMPUTED_VALUE"""),"Mongolia")</f>
        <v>Mongolia</v>
      </c>
      <c r="D10652">
        <f>IFERROR(__xludf.DUMMYFUNCTION("""COMPUTED_VALUE"""),1951.0)</f>
        <v>1951</v>
      </c>
      <c r="E10652">
        <f>IFERROR(__xludf.DUMMYFUNCTION("""COMPUTED_VALUE"""),793538.0)</f>
        <v>793538</v>
      </c>
    </row>
    <row r="10653">
      <c r="A10653" t="str">
        <f t="shared" si="1"/>
        <v>mng#1952</v>
      </c>
      <c r="B10653" t="str">
        <f>IFERROR(__xludf.DUMMYFUNCTION("""COMPUTED_VALUE"""),"mng")</f>
        <v>mng</v>
      </c>
      <c r="C10653" t="str">
        <f>IFERROR(__xludf.DUMMYFUNCTION("""COMPUTED_VALUE"""),"Mongolia")</f>
        <v>Mongolia</v>
      </c>
      <c r="D10653">
        <f>IFERROR(__xludf.DUMMYFUNCTION("""COMPUTED_VALUE"""),1952.0)</f>
        <v>1952</v>
      </c>
      <c r="E10653">
        <f>IFERROR(__xludf.DUMMYFUNCTION("""COMPUTED_VALUE"""),807921.0)</f>
        <v>807921</v>
      </c>
    </row>
    <row r="10654">
      <c r="A10654" t="str">
        <f t="shared" si="1"/>
        <v>mng#1953</v>
      </c>
      <c r="B10654" t="str">
        <f>IFERROR(__xludf.DUMMYFUNCTION("""COMPUTED_VALUE"""),"mng")</f>
        <v>mng</v>
      </c>
      <c r="C10654" t="str">
        <f>IFERROR(__xludf.DUMMYFUNCTION("""COMPUTED_VALUE"""),"Mongolia")</f>
        <v>Mongolia</v>
      </c>
      <c r="D10654">
        <f>IFERROR(__xludf.DUMMYFUNCTION("""COMPUTED_VALUE"""),1953.0)</f>
        <v>1953</v>
      </c>
      <c r="E10654">
        <f>IFERROR(__xludf.DUMMYFUNCTION("""COMPUTED_VALUE"""),823060.0)</f>
        <v>823060</v>
      </c>
    </row>
    <row r="10655">
      <c r="A10655" t="str">
        <f t="shared" si="1"/>
        <v>mng#1954</v>
      </c>
      <c r="B10655" t="str">
        <f>IFERROR(__xludf.DUMMYFUNCTION("""COMPUTED_VALUE"""),"mng")</f>
        <v>mng</v>
      </c>
      <c r="C10655" t="str">
        <f>IFERROR(__xludf.DUMMYFUNCTION("""COMPUTED_VALUE"""),"Mongolia")</f>
        <v>Mongolia</v>
      </c>
      <c r="D10655">
        <f>IFERROR(__xludf.DUMMYFUNCTION("""COMPUTED_VALUE"""),1954.0)</f>
        <v>1954</v>
      </c>
      <c r="E10655">
        <f>IFERROR(__xludf.DUMMYFUNCTION("""COMPUTED_VALUE"""),838785.0)</f>
        <v>838785</v>
      </c>
    </row>
    <row r="10656">
      <c r="A10656" t="str">
        <f t="shared" si="1"/>
        <v>mng#1955</v>
      </c>
      <c r="B10656" t="str">
        <f>IFERROR(__xludf.DUMMYFUNCTION("""COMPUTED_VALUE"""),"mng")</f>
        <v>mng</v>
      </c>
      <c r="C10656" t="str">
        <f>IFERROR(__xludf.DUMMYFUNCTION("""COMPUTED_VALUE"""),"Mongolia")</f>
        <v>Mongolia</v>
      </c>
      <c r="D10656">
        <f>IFERROR(__xludf.DUMMYFUNCTION("""COMPUTED_VALUE"""),1955.0)</f>
        <v>1955</v>
      </c>
      <c r="E10656">
        <f>IFERROR(__xludf.DUMMYFUNCTION("""COMPUTED_VALUE"""),855103.0)</f>
        <v>855103</v>
      </c>
    </row>
    <row r="10657">
      <c r="A10657" t="str">
        <f t="shared" si="1"/>
        <v>mng#1956</v>
      </c>
      <c r="B10657" t="str">
        <f>IFERROR(__xludf.DUMMYFUNCTION("""COMPUTED_VALUE"""),"mng")</f>
        <v>mng</v>
      </c>
      <c r="C10657" t="str">
        <f>IFERROR(__xludf.DUMMYFUNCTION("""COMPUTED_VALUE"""),"Mongolia")</f>
        <v>Mongolia</v>
      </c>
      <c r="D10657">
        <f>IFERROR(__xludf.DUMMYFUNCTION("""COMPUTED_VALUE"""),1956.0)</f>
        <v>1956</v>
      </c>
      <c r="E10657">
        <f>IFERROR(__xludf.DUMMYFUNCTION("""COMPUTED_VALUE"""),872156.0)</f>
        <v>872156</v>
      </c>
    </row>
    <row r="10658">
      <c r="A10658" t="str">
        <f t="shared" si="1"/>
        <v>mng#1957</v>
      </c>
      <c r="B10658" t="str">
        <f>IFERROR(__xludf.DUMMYFUNCTION("""COMPUTED_VALUE"""),"mng")</f>
        <v>mng</v>
      </c>
      <c r="C10658" t="str">
        <f>IFERROR(__xludf.DUMMYFUNCTION("""COMPUTED_VALUE"""),"Mongolia")</f>
        <v>Mongolia</v>
      </c>
      <c r="D10658">
        <f>IFERROR(__xludf.DUMMYFUNCTION("""COMPUTED_VALUE"""),1957.0)</f>
        <v>1957</v>
      </c>
      <c r="E10658">
        <f>IFERROR(__xludf.DUMMYFUNCTION("""COMPUTED_VALUE"""),890274.0)</f>
        <v>890274</v>
      </c>
    </row>
    <row r="10659">
      <c r="A10659" t="str">
        <f t="shared" si="1"/>
        <v>mng#1958</v>
      </c>
      <c r="B10659" t="str">
        <f>IFERROR(__xludf.DUMMYFUNCTION("""COMPUTED_VALUE"""),"mng")</f>
        <v>mng</v>
      </c>
      <c r="C10659" t="str">
        <f>IFERROR(__xludf.DUMMYFUNCTION("""COMPUTED_VALUE"""),"Mongolia")</f>
        <v>Mongolia</v>
      </c>
      <c r="D10659">
        <f>IFERROR(__xludf.DUMMYFUNCTION("""COMPUTED_VALUE"""),1958.0)</f>
        <v>1958</v>
      </c>
      <c r="E10659">
        <f>IFERROR(__xludf.DUMMYFUNCTION("""COMPUTED_VALUE"""),909890.0)</f>
        <v>909890</v>
      </c>
    </row>
    <row r="10660">
      <c r="A10660" t="str">
        <f t="shared" si="1"/>
        <v>mng#1959</v>
      </c>
      <c r="B10660" t="str">
        <f>IFERROR(__xludf.DUMMYFUNCTION("""COMPUTED_VALUE"""),"mng")</f>
        <v>mng</v>
      </c>
      <c r="C10660" t="str">
        <f>IFERROR(__xludf.DUMMYFUNCTION("""COMPUTED_VALUE"""),"Mongolia")</f>
        <v>Mongolia</v>
      </c>
      <c r="D10660">
        <f>IFERROR(__xludf.DUMMYFUNCTION("""COMPUTED_VALUE"""),1959.0)</f>
        <v>1959</v>
      </c>
      <c r="E10660">
        <f>IFERROR(__xludf.DUMMYFUNCTION("""COMPUTED_VALUE"""),931481.0)</f>
        <v>931481</v>
      </c>
    </row>
    <row r="10661">
      <c r="A10661" t="str">
        <f t="shared" si="1"/>
        <v>mng#1960</v>
      </c>
      <c r="B10661" t="str">
        <f>IFERROR(__xludf.DUMMYFUNCTION("""COMPUTED_VALUE"""),"mng")</f>
        <v>mng</v>
      </c>
      <c r="C10661" t="str">
        <f>IFERROR(__xludf.DUMMYFUNCTION("""COMPUTED_VALUE"""),"Mongolia")</f>
        <v>Mongolia</v>
      </c>
      <c r="D10661">
        <f>IFERROR(__xludf.DUMMYFUNCTION("""COMPUTED_VALUE"""),1960.0)</f>
        <v>1960</v>
      </c>
      <c r="E10661">
        <f>IFERROR(__xludf.DUMMYFUNCTION("""COMPUTED_VALUE"""),955505.0)</f>
        <v>955505</v>
      </c>
    </row>
    <row r="10662">
      <c r="A10662" t="str">
        <f t="shared" si="1"/>
        <v>mng#1961</v>
      </c>
      <c r="B10662" t="str">
        <f>IFERROR(__xludf.DUMMYFUNCTION("""COMPUTED_VALUE"""),"mng")</f>
        <v>mng</v>
      </c>
      <c r="C10662" t="str">
        <f>IFERROR(__xludf.DUMMYFUNCTION("""COMPUTED_VALUE"""),"Mongolia")</f>
        <v>Mongolia</v>
      </c>
      <c r="D10662">
        <f>IFERROR(__xludf.DUMMYFUNCTION("""COMPUTED_VALUE"""),1961.0)</f>
        <v>1961</v>
      </c>
      <c r="E10662">
        <f>IFERROR(__xludf.DUMMYFUNCTION("""COMPUTED_VALUE"""),982178.0)</f>
        <v>982178</v>
      </c>
    </row>
    <row r="10663">
      <c r="A10663" t="str">
        <f t="shared" si="1"/>
        <v>mng#1962</v>
      </c>
      <c r="B10663" t="str">
        <f>IFERROR(__xludf.DUMMYFUNCTION("""COMPUTED_VALUE"""),"mng")</f>
        <v>mng</v>
      </c>
      <c r="C10663" t="str">
        <f>IFERROR(__xludf.DUMMYFUNCTION("""COMPUTED_VALUE"""),"Mongolia")</f>
        <v>Mongolia</v>
      </c>
      <c r="D10663">
        <f>IFERROR(__xludf.DUMMYFUNCTION("""COMPUTED_VALUE"""),1962.0)</f>
        <v>1962</v>
      </c>
      <c r="E10663">
        <f>IFERROR(__xludf.DUMMYFUNCTION("""COMPUTED_VALUE"""),1011324.0)</f>
        <v>1011324</v>
      </c>
    </row>
    <row r="10664">
      <c r="A10664" t="str">
        <f t="shared" si="1"/>
        <v>mng#1963</v>
      </c>
      <c r="B10664" t="str">
        <f>IFERROR(__xludf.DUMMYFUNCTION("""COMPUTED_VALUE"""),"mng")</f>
        <v>mng</v>
      </c>
      <c r="C10664" t="str">
        <f>IFERROR(__xludf.DUMMYFUNCTION("""COMPUTED_VALUE"""),"Mongolia")</f>
        <v>Mongolia</v>
      </c>
      <c r="D10664">
        <f>IFERROR(__xludf.DUMMYFUNCTION("""COMPUTED_VALUE"""),1963.0)</f>
        <v>1963</v>
      </c>
      <c r="E10664">
        <f>IFERROR(__xludf.DUMMYFUNCTION("""COMPUTED_VALUE"""),1042383.0)</f>
        <v>1042383</v>
      </c>
    </row>
    <row r="10665">
      <c r="A10665" t="str">
        <f t="shared" si="1"/>
        <v>mng#1964</v>
      </c>
      <c r="B10665" t="str">
        <f>IFERROR(__xludf.DUMMYFUNCTION("""COMPUTED_VALUE"""),"mng")</f>
        <v>mng</v>
      </c>
      <c r="C10665" t="str">
        <f>IFERROR(__xludf.DUMMYFUNCTION("""COMPUTED_VALUE"""),"Mongolia")</f>
        <v>Mongolia</v>
      </c>
      <c r="D10665">
        <f>IFERROR(__xludf.DUMMYFUNCTION("""COMPUTED_VALUE"""),1964.0)</f>
        <v>1964</v>
      </c>
      <c r="E10665">
        <f>IFERROR(__xludf.DUMMYFUNCTION("""COMPUTED_VALUE"""),1074514.0)</f>
        <v>1074514</v>
      </c>
    </row>
    <row r="10666">
      <c r="A10666" t="str">
        <f t="shared" si="1"/>
        <v>mng#1965</v>
      </c>
      <c r="B10666" t="str">
        <f>IFERROR(__xludf.DUMMYFUNCTION("""COMPUTED_VALUE"""),"mng")</f>
        <v>mng</v>
      </c>
      <c r="C10666" t="str">
        <f>IFERROR(__xludf.DUMMYFUNCTION("""COMPUTED_VALUE"""),"Mongolia")</f>
        <v>Mongolia</v>
      </c>
      <c r="D10666">
        <f>IFERROR(__xludf.DUMMYFUNCTION("""COMPUTED_VALUE"""),1965.0)</f>
        <v>1965</v>
      </c>
      <c r="E10666">
        <f>IFERROR(__xludf.DUMMYFUNCTION("""COMPUTED_VALUE"""),1107124.0)</f>
        <v>1107124</v>
      </c>
    </row>
    <row r="10667">
      <c r="A10667" t="str">
        <f t="shared" si="1"/>
        <v>mng#1966</v>
      </c>
      <c r="B10667" t="str">
        <f>IFERROR(__xludf.DUMMYFUNCTION("""COMPUTED_VALUE"""),"mng")</f>
        <v>mng</v>
      </c>
      <c r="C10667" t="str">
        <f>IFERROR(__xludf.DUMMYFUNCTION("""COMPUTED_VALUE"""),"Mongolia")</f>
        <v>Mongolia</v>
      </c>
      <c r="D10667">
        <f>IFERROR(__xludf.DUMMYFUNCTION("""COMPUTED_VALUE"""),1966.0)</f>
        <v>1966</v>
      </c>
      <c r="E10667">
        <f>IFERROR(__xludf.DUMMYFUNCTION("""COMPUTED_VALUE"""),1139961.0)</f>
        <v>1139961</v>
      </c>
    </row>
    <row r="10668">
      <c r="A10668" t="str">
        <f t="shared" si="1"/>
        <v>mng#1967</v>
      </c>
      <c r="B10668" t="str">
        <f>IFERROR(__xludf.DUMMYFUNCTION("""COMPUTED_VALUE"""),"mng")</f>
        <v>mng</v>
      </c>
      <c r="C10668" t="str">
        <f>IFERROR(__xludf.DUMMYFUNCTION("""COMPUTED_VALUE"""),"Mongolia")</f>
        <v>Mongolia</v>
      </c>
      <c r="D10668">
        <f>IFERROR(__xludf.DUMMYFUNCTION("""COMPUTED_VALUE"""),1967.0)</f>
        <v>1967</v>
      </c>
      <c r="E10668">
        <f>IFERROR(__xludf.DUMMYFUNCTION("""COMPUTED_VALUE"""),1173191.0)</f>
        <v>1173191</v>
      </c>
    </row>
    <row r="10669">
      <c r="A10669" t="str">
        <f t="shared" si="1"/>
        <v>mng#1968</v>
      </c>
      <c r="B10669" t="str">
        <f>IFERROR(__xludf.DUMMYFUNCTION("""COMPUTED_VALUE"""),"mng")</f>
        <v>mng</v>
      </c>
      <c r="C10669" t="str">
        <f>IFERROR(__xludf.DUMMYFUNCTION("""COMPUTED_VALUE"""),"Mongolia")</f>
        <v>Mongolia</v>
      </c>
      <c r="D10669">
        <f>IFERROR(__xludf.DUMMYFUNCTION("""COMPUTED_VALUE"""),1968.0)</f>
        <v>1968</v>
      </c>
      <c r="E10669">
        <f>IFERROR(__xludf.DUMMYFUNCTION("""COMPUTED_VALUE"""),1207104.0)</f>
        <v>1207104</v>
      </c>
    </row>
    <row r="10670">
      <c r="A10670" t="str">
        <f t="shared" si="1"/>
        <v>mng#1969</v>
      </c>
      <c r="B10670" t="str">
        <f>IFERROR(__xludf.DUMMYFUNCTION("""COMPUTED_VALUE"""),"mng")</f>
        <v>mng</v>
      </c>
      <c r="C10670" t="str">
        <f>IFERROR(__xludf.DUMMYFUNCTION("""COMPUTED_VALUE"""),"Mongolia")</f>
        <v>Mongolia</v>
      </c>
      <c r="D10670">
        <f>IFERROR(__xludf.DUMMYFUNCTION("""COMPUTED_VALUE"""),1969.0)</f>
        <v>1969</v>
      </c>
      <c r="E10670">
        <f>IFERROR(__xludf.DUMMYFUNCTION("""COMPUTED_VALUE"""),1242214.0)</f>
        <v>1242214</v>
      </c>
    </row>
    <row r="10671">
      <c r="A10671" t="str">
        <f t="shared" si="1"/>
        <v>mng#1970</v>
      </c>
      <c r="B10671" t="str">
        <f>IFERROR(__xludf.DUMMYFUNCTION("""COMPUTED_VALUE"""),"mng")</f>
        <v>mng</v>
      </c>
      <c r="C10671" t="str">
        <f>IFERROR(__xludf.DUMMYFUNCTION("""COMPUTED_VALUE"""),"Mongolia")</f>
        <v>Mongolia</v>
      </c>
      <c r="D10671">
        <f>IFERROR(__xludf.DUMMYFUNCTION("""COMPUTED_VALUE"""),1970.0)</f>
        <v>1970</v>
      </c>
      <c r="E10671">
        <f>IFERROR(__xludf.DUMMYFUNCTION("""COMPUTED_VALUE"""),1278825.0)</f>
        <v>1278825</v>
      </c>
    </row>
    <row r="10672">
      <c r="A10672" t="str">
        <f t="shared" si="1"/>
        <v>mng#1971</v>
      </c>
      <c r="B10672" t="str">
        <f>IFERROR(__xludf.DUMMYFUNCTION("""COMPUTED_VALUE"""),"mng")</f>
        <v>mng</v>
      </c>
      <c r="C10672" t="str">
        <f>IFERROR(__xludf.DUMMYFUNCTION("""COMPUTED_VALUE"""),"Mongolia")</f>
        <v>Mongolia</v>
      </c>
      <c r="D10672">
        <f>IFERROR(__xludf.DUMMYFUNCTION("""COMPUTED_VALUE"""),1971.0)</f>
        <v>1971</v>
      </c>
      <c r="E10672">
        <f>IFERROR(__xludf.DUMMYFUNCTION("""COMPUTED_VALUE"""),1317050.0)</f>
        <v>1317050</v>
      </c>
    </row>
    <row r="10673">
      <c r="A10673" t="str">
        <f t="shared" si="1"/>
        <v>mng#1972</v>
      </c>
      <c r="B10673" t="str">
        <f>IFERROR(__xludf.DUMMYFUNCTION("""COMPUTED_VALUE"""),"mng")</f>
        <v>mng</v>
      </c>
      <c r="C10673" t="str">
        <f>IFERROR(__xludf.DUMMYFUNCTION("""COMPUTED_VALUE"""),"Mongolia")</f>
        <v>Mongolia</v>
      </c>
      <c r="D10673">
        <f>IFERROR(__xludf.DUMMYFUNCTION("""COMPUTED_VALUE"""),1972.0)</f>
        <v>1972</v>
      </c>
      <c r="E10673">
        <f>IFERROR(__xludf.DUMMYFUNCTION("""COMPUTED_VALUE"""),1356670.0)</f>
        <v>1356670</v>
      </c>
    </row>
    <row r="10674">
      <c r="A10674" t="str">
        <f t="shared" si="1"/>
        <v>mng#1973</v>
      </c>
      <c r="B10674" t="str">
        <f>IFERROR(__xludf.DUMMYFUNCTION("""COMPUTED_VALUE"""),"mng")</f>
        <v>mng</v>
      </c>
      <c r="C10674" t="str">
        <f>IFERROR(__xludf.DUMMYFUNCTION("""COMPUTED_VALUE"""),"Mongolia")</f>
        <v>Mongolia</v>
      </c>
      <c r="D10674">
        <f>IFERROR(__xludf.DUMMYFUNCTION("""COMPUTED_VALUE"""),1973.0)</f>
        <v>1973</v>
      </c>
      <c r="E10674">
        <f>IFERROR(__xludf.DUMMYFUNCTION("""COMPUTED_VALUE"""),1397304.0)</f>
        <v>1397304</v>
      </c>
    </row>
    <row r="10675">
      <c r="A10675" t="str">
        <f t="shared" si="1"/>
        <v>mng#1974</v>
      </c>
      <c r="B10675" t="str">
        <f>IFERROR(__xludf.DUMMYFUNCTION("""COMPUTED_VALUE"""),"mng")</f>
        <v>mng</v>
      </c>
      <c r="C10675" t="str">
        <f>IFERROR(__xludf.DUMMYFUNCTION("""COMPUTED_VALUE"""),"Mongolia")</f>
        <v>Mongolia</v>
      </c>
      <c r="D10675">
        <f>IFERROR(__xludf.DUMMYFUNCTION("""COMPUTED_VALUE"""),1974.0)</f>
        <v>1974</v>
      </c>
      <c r="E10675">
        <f>IFERROR(__xludf.DUMMYFUNCTION("""COMPUTED_VALUE"""),1438425.0)</f>
        <v>1438425</v>
      </c>
    </row>
    <row r="10676">
      <c r="A10676" t="str">
        <f t="shared" si="1"/>
        <v>mng#1975</v>
      </c>
      <c r="B10676" t="str">
        <f>IFERROR(__xludf.DUMMYFUNCTION("""COMPUTED_VALUE"""),"mng")</f>
        <v>mng</v>
      </c>
      <c r="C10676" t="str">
        <f>IFERROR(__xludf.DUMMYFUNCTION("""COMPUTED_VALUE"""),"Mongolia")</f>
        <v>Mongolia</v>
      </c>
      <c r="D10676">
        <f>IFERROR(__xludf.DUMMYFUNCTION("""COMPUTED_VALUE"""),1975.0)</f>
        <v>1975</v>
      </c>
      <c r="E10676">
        <f>IFERROR(__xludf.DUMMYFUNCTION("""COMPUTED_VALUE"""),1479651.0)</f>
        <v>1479651</v>
      </c>
    </row>
    <row r="10677">
      <c r="A10677" t="str">
        <f t="shared" si="1"/>
        <v>mng#1976</v>
      </c>
      <c r="B10677" t="str">
        <f>IFERROR(__xludf.DUMMYFUNCTION("""COMPUTED_VALUE"""),"mng")</f>
        <v>mng</v>
      </c>
      <c r="C10677" t="str">
        <f>IFERROR(__xludf.DUMMYFUNCTION("""COMPUTED_VALUE"""),"Mongolia")</f>
        <v>Mongolia</v>
      </c>
      <c r="D10677">
        <f>IFERROR(__xludf.DUMMYFUNCTION("""COMPUTED_VALUE"""),1976.0)</f>
        <v>1976</v>
      </c>
      <c r="E10677">
        <f>IFERROR(__xludf.DUMMYFUNCTION("""COMPUTED_VALUE"""),1520865.0)</f>
        <v>1520865</v>
      </c>
    </row>
    <row r="10678">
      <c r="A10678" t="str">
        <f t="shared" si="1"/>
        <v>mng#1977</v>
      </c>
      <c r="B10678" t="str">
        <f>IFERROR(__xludf.DUMMYFUNCTION("""COMPUTED_VALUE"""),"mng")</f>
        <v>mng</v>
      </c>
      <c r="C10678" t="str">
        <f>IFERROR(__xludf.DUMMYFUNCTION("""COMPUTED_VALUE"""),"Mongolia")</f>
        <v>Mongolia</v>
      </c>
      <c r="D10678">
        <f>IFERROR(__xludf.DUMMYFUNCTION("""COMPUTED_VALUE"""),1977.0)</f>
        <v>1977</v>
      </c>
      <c r="E10678">
        <f>IFERROR(__xludf.DUMMYFUNCTION("""COMPUTED_VALUE"""),1562209.0)</f>
        <v>1562209</v>
      </c>
    </row>
    <row r="10679">
      <c r="A10679" t="str">
        <f t="shared" si="1"/>
        <v>mng#1978</v>
      </c>
      <c r="B10679" t="str">
        <f>IFERROR(__xludf.DUMMYFUNCTION("""COMPUTED_VALUE"""),"mng")</f>
        <v>mng</v>
      </c>
      <c r="C10679" t="str">
        <f>IFERROR(__xludf.DUMMYFUNCTION("""COMPUTED_VALUE"""),"Mongolia")</f>
        <v>Mongolia</v>
      </c>
      <c r="D10679">
        <f>IFERROR(__xludf.DUMMYFUNCTION("""COMPUTED_VALUE"""),1978.0)</f>
        <v>1978</v>
      </c>
      <c r="E10679">
        <f>IFERROR(__xludf.DUMMYFUNCTION("""COMPUTED_VALUE"""),1603906.0)</f>
        <v>1603906</v>
      </c>
    </row>
    <row r="10680">
      <c r="A10680" t="str">
        <f t="shared" si="1"/>
        <v>mng#1979</v>
      </c>
      <c r="B10680" t="str">
        <f>IFERROR(__xludf.DUMMYFUNCTION("""COMPUTED_VALUE"""),"mng")</f>
        <v>mng</v>
      </c>
      <c r="C10680" t="str">
        <f>IFERROR(__xludf.DUMMYFUNCTION("""COMPUTED_VALUE"""),"Mongolia")</f>
        <v>Mongolia</v>
      </c>
      <c r="D10680">
        <f>IFERROR(__xludf.DUMMYFUNCTION("""COMPUTED_VALUE"""),1979.0)</f>
        <v>1979</v>
      </c>
      <c r="E10680">
        <f>IFERROR(__xludf.DUMMYFUNCTION("""COMPUTED_VALUE"""),1646291.0)</f>
        <v>1646291</v>
      </c>
    </row>
    <row r="10681">
      <c r="A10681" t="str">
        <f t="shared" si="1"/>
        <v>mng#1980</v>
      </c>
      <c r="B10681" t="str">
        <f>IFERROR(__xludf.DUMMYFUNCTION("""COMPUTED_VALUE"""),"mng")</f>
        <v>mng</v>
      </c>
      <c r="C10681" t="str">
        <f>IFERROR(__xludf.DUMMYFUNCTION("""COMPUTED_VALUE"""),"Mongolia")</f>
        <v>Mongolia</v>
      </c>
      <c r="D10681">
        <f>IFERROR(__xludf.DUMMYFUNCTION("""COMPUTED_VALUE"""),1980.0)</f>
        <v>1980</v>
      </c>
      <c r="E10681">
        <f>IFERROR(__xludf.DUMMYFUNCTION("""COMPUTED_VALUE"""),1689622.0)</f>
        <v>1689622</v>
      </c>
    </row>
    <row r="10682">
      <c r="A10682" t="str">
        <f t="shared" si="1"/>
        <v>mng#1981</v>
      </c>
      <c r="B10682" t="str">
        <f>IFERROR(__xludf.DUMMYFUNCTION("""COMPUTED_VALUE"""),"mng")</f>
        <v>mng</v>
      </c>
      <c r="C10682" t="str">
        <f>IFERROR(__xludf.DUMMYFUNCTION("""COMPUTED_VALUE"""),"Mongolia")</f>
        <v>Mongolia</v>
      </c>
      <c r="D10682">
        <f>IFERROR(__xludf.DUMMYFUNCTION("""COMPUTED_VALUE"""),1981.0)</f>
        <v>1981</v>
      </c>
      <c r="E10682">
        <f>IFERROR(__xludf.DUMMYFUNCTION("""COMPUTED_VALUE"""),1733475.0)</f>
        <v>1733475</v>
      </c>
    </row>
    <row r="10683">
      <c r="A10683" t="str">
        <f t="shared" si="1"/>
        <v>mng#1982</v>
      </c>
      <c r="B10683" t="str">
        <f>IFERROR(__xludf.DUMMYFUNCTION("""COMPUTED_VALUE"""),"mng")</f>
        <v>mng</v>
      </c>
      <c r="C10683" t="str">
        <f>IFERROR(__xludf.DUMMYFUNCTION("""COMPUTED_VALUE"""),"Mongolia")</f>
        <v>Mongolia</v>
      </c>
      <c r="D10683">
        <f>IFERROR(__xludf.DUMMYFUNCTION("""COMPUTED_VALUE"""),1982.0)</f>
        <v>1982</v>
      </c>
      <c r="E10683">
        <f>IFERROR(__xludf.DUMMYFUNCTION("""COMPUTED_VALUE"""),1777727.0)</f>
        <v>1777727</v>
      </c>
    </row>
    <row r="10684">
      <c r="A10684" t="str">
        <f t="shared" si="1"/>
        <v>mng#1983</v>
      </c>
      <c r="B10684" t="str">
        <f>IFERROR(__xludf.DUMMYFUNCTION("""COMPUTED_VALUE"""),"mng")</f>
        <v>mng</v>
      </c>
      <c r="C10684" t="str">
        <f>IFERROR(__xludf.DUMMYFUNCTION("""COMPUTED_VALUE"""),"Mongolia")</f>
        <v>Mongolia</v>
      </c>
      <c r="D10684">
        <f>IFERROR(__xludf.DUMMYFUNCTION("""COMPUTED_VALUE"""),1983.0)</f>
        <v>1983</v>
      </c>
      <c r="E10684">
        <f>IFERROR(__xludf.DUMMYFUNCTION("""COMPUTED_VALUE"""),1823216.0)</f>
        <v>1823216</v>
      </c>
    </row>
    <row r="10685">
      <c r="A10685" t="str">
        <f t="shared" si="1"/>
        <v>mng#1984</v>
      </c>
      <c r="B10685" t="str">
        <f>IFERROR(__xludf.DUMMYFUNCTION("""COMPUTED_VALUE"""),"mng")</f>
        <v>mng</v>
      </c>
      <c r="C10685" t="str">
        <f>IFERROR(__xludf.DUMMYFUNCTION("""COMPUTED_VALUE"""),"Mongolia")</f>
        <v>Mongolia</v>
      </c>
      <c r="D10685">
        <f>IFERROR(__xludf.DUMMYFUNCTION("""COMPUTED_VALUE"""),1984.0)</f>
        <v>1984</v>
      </c>
      <c r="E10685">
        <f>IFERROR(__xludf.DUMMYFUNCTION("""COMPUTED_VALUE"""),1871090.0)</f>
        <v>1871090</v>
      </c>
    </row>
    <row r="10686">
      <c r="A10686" t="str">
        <f t="shared" si="1"/>
        <v>mng#1985</v>
      </c>
      <c r="B10686" t="str">
        <f>IFERROR(__xludf.DUMMYFUNCTION("""COMPUTED_VALUE"""),"mng")</f>
        <v>mng</v>
      </c>
      <c r="C10686" t="str">
        <f>IFERROR(__xludf.DUMMYFUNCTION("""COMPUTED_VALUE"""),"Mongolia")</f>
        <v>Mongolia</v>
      </c>
      <c r="D10686">
        <f>IFERROR(__xludf.DUMMYFUNCTION("""COMPUTED_VALUE"""),1985.0)</f>
        <v>1985</v>
      </c>
      <c r="E10686">
        <f>IFERROR(__xludf.DUMMYFUNCTION("""COMPUTED_VALUE"""),1921881.0)</f>
        <v>1921881</v>
      </c>
    </row>
    <row r="10687">
      <c r="A10687" t="str">
        <f t="shared" si="1"/>
        <v>mng#1986</v>
      </c>
      <c r="B10687" t="str">
        <f>IFERROR(__xludf.DUMMYFUNCTION("""COMPUTED_VALUE"""),"mng")</f>
        <v>mng</v>
      </c>
      <c r="C10687" t="str">
        <f>IFERROR(__xludf.DUMMYFUNCTION("""COMPUTED_VALUE"""),"Mongolia")</f>
        <v>Mongolia</v>
      </c>
      <c r="D10687">
        <f>IFERROR(__xludf.DUMMYFUNCTION("""COMPUTED_VALUE"""),1986.0)</f>
        <v>1986</v>
      </c>
      <c r="E10687">
        <f>IFERROR(__xludf.DUMMYFUNCTION("""COMPUTED_VALUE"""),1976309.0)</f>
        <v>1976309</v>
      </c>
    </row>
    <row r="10688">
      <c r="A10688" t="str">
        <f t="shared" si="1"/>
        <v>mng#1987</v>
      </c>
      <c r="B10688" t="str">
        <f>IFERROR(__xludf.DUMMYFUNCTION("""COMPUTED_VALUE"""),"mng")</f>
        <v>mng</v>
      </c>
      <c r="C10688" t="str">
        <f>IFERROR(__xludf.DUMMYFUNCTION("""COMPUTED_VALUE"""),"Mongolia")</f>
        <v>Mongolia</v>
      </c>
      <c r="D10688">
        <f>IFERROR(__xludf.DUMMYFUNCTION("""COMPUTED_VALUE"""),1987.0)</f>
        <v>1987</v>
      </c>
      <c r="E10688">
        <f>IFERROR(__xludf.DUMMYFUNCTION("""COMPUTED_VALUE"""),2033343.0)</f>
        <v>2033343</v>
      </c>
    </row>
    <row r="10689">
      <c r="A10689" t="str">
        <f t="shared" si="1"/>
        <v>mng#1988</v>
      </c>
      <c r="B10689" t="str">
        <f>IFERROR(__xludf.DUMMYFUNCTION("""COMPUTED_VALUE"""),"mng")</f>
        <v>mng</v>
      </c>
      <c r="C10689" t="str">
        <f>IFERROR(__xludf.DUMMYFUNCTION("""COMPUTED_VALUE"""),"Mongolia")</f>
        <v>Mongolia</v>
      </c>
      <c r="D10689">
        <f>IFERROR(__xludf.DUMMYFUNCTION("""COMPUTED_VALUE"""),1988.0)</f>
        <v>1988</v>
      </c>
      <c r="E10689">
        <f>IFERROR(__xludf.DUMMYFUNCTION("""COMPUTED_VALUE"""),2089714.0)</f>
        <v>2089714</v>
      </c>
    </row>
    <row r="10690">
      <c r="A10690" t="str">
        <f t="shared" si="1"/>
        <v>mng#1989</v>
      </c>
      <c r="B10690" t="str">
        <f>IFERROR(__xludf.DUMMYFUNCTION("""COMPUTED_VALUE"""),"mng")</f>
        <v>mng</v>
      </c>
      <c r="C10690" t="str">
        <f>IFERROR(__xludf.DUMMYFUNCTION("""COMPUTED_VALUE"""),"Mongolia")</f>
        <v>Mongolia</v>
      </c>
      <c r="D10690">
        <f>IFERROR(__xludf.DUMMYFUNCTION("""COMPUTED_VALUE"""),1989.0)</f>
        <v>1989</v>
      </c>
      <c r="E10690">
        <f>IFERROR(__xludf.DUMMYFUNCTION("""COMPUTED_VALUE"""),2141008.0)</f>
        <v>2141008</v>
      </c>
    </row>
    <row r="10691">
      <c r="A10691" t="str">
        <f t="shared" si="1"/>
        <v>mng#1990</v>
      </c>
      <c r="B10691" t="str">
        <f>IFERROR(__xludf.DUMMYFUNCTION("""COMPUTED_VALUE"""),"mng")</f>
        <v>mng</v>
      </c>
      <c r="C10691" t="str">
        <f>IFERROR(__xludf.DUMMYFUNCTION("""COMPUTED_VALUE"""),"Mongolia")</f>
        <v>Mongolia</v>
      </c>
      <c r="D10691">
        <f>IFERROR(__xludf.DUMMYFUNCTION("""COMPUTED_VALUE"""),1990.0)</f>
        <v>1990</v>
      </c>
      <c r="E10691">
        <f>IFERROR(__xludf.DUMMYFUNCTION("""COMPUTED_VALUE"""),2184145.0)</f>
        <v>2184145</v>
      </c>
    </row>
    <row r="10692">
      <c r="A10692" t="str">
        <f t="shared" si="1"/>
        <v>mng#1991</v>
      </c>
      <c r="B10692" t="str">
        <f>IFERROR(__xludf.DUMMYFUNCTION("""COMPUTED_VALUE"""),"mng")</f>
        <v>mng</v>
      </c>
      <c r="C10692" t="str">
        <f>IFERROR(__xludf.DUMMYFUNCTION("""COMPUTED_VALUE"""),"Mongolia")</f>
        <v>Mongolia</v>
      </c>
      <c r="D10692">
        <f>IFERROR(__xludf.DUMMYFUNCTION("""COMPUTED_VALUE"""),1991.0)</f>
        <v>1991</v>
      </c>
      <c r="E10692">
        <f>IFERROR(__xludf.DUMMYFUNCTION("""COMPUTED_VALUE"""),2217918.0)</f>
        <v>2217918</v>
      </c>
    </row>
    <row r="10693">
      <c r="A10693" t="str">
        <f t="shared" si="1"/>
        <v>mng#1992</v>
      </c>
      <c r="B10693" t="str">
        <f>IFERROR(__xludf.DUMMYFUNCTION("""COMPUTED_VALUE"""),"mng")</f>
        <v>mng</v>
      </c>
      <c r="C10693" t="str">
        <f>IFERROR(__xludf.DUMMYFUNCTION("""COMPUTED_VALUE"""),"Mongolia")</f>
        <v>Mongolia</v>
      </c>
      <c r="D10693">
        <f>IFERROR(__xludf.DUMMYFUNCTION("""COMPUTED_VALUE"""),1992.0)</f>
        <v>1992</v>
      </c>
      <c r="E10693">
        <f>IFERROR(__xludf.DUMMYFUNCTION("""COMPUTED_VALUE"""),2243502.0)</f>
        <v>2243502</v>
      </c>
    </row>
    <row r="10694">
      <c r="A10694" t="str">
        <f t="shared" si="1"/>
        <v>mng#1993</v>
      </c>
      <c r="B10694" t="str">
        <f>IFERROR(__xludf.DUMMYFUNCTION("""COMPUTED_VALUE"""),"mng")</f>
        <v>mng</v>
      </c>
      <c r="C10694" t="str">
        <f>IFERROR(__xludf.DUMMYFUNCTION("""COMPUTED_VALUE"""),"Mongolia")</f>
        <v>Mongolia</v>
      </c>
      <c r="D10694">
        <f>IFERROR(__xludf.DUMMYFUNCTION("""COMPUTED_VALUE"""),1993.0)</f>
        <v>1993</v>
      </c>
      <c r="E10694">
        <f>IFERROR(__xludf.DUMMYFUNCTION("""COMPUTED_VALUE"""),2263200.0)</f>
        <v>2263200</v>
      </c>
    </row>
    <row r="10695">
      <c r="A10695" t="str">
        <f t="shared" si="1"/>
        <v>mng#1994</v>
      </c>
      <c r="B10695" t="str">
        <f>IFERROR(__xludf.DUMMYFUNCTION("""COMPUTED_VALUE"""),"mng")</f>
        <v>mng</v>
      </c>
      <c r="C10695" t="str">
        <f>IFERROR(__xludf.DUMMYFUNCTION("""COMPUTED_VALUE"""),"Mongolia")</f>
        <v>Mongolia</v>
      </c>
      <c r="D10695">
        <f>IFERROR(__xludf.DUMMYFUNCTION("""COMPUTED_VALUE"""),1994.0)</f>
        <v>1994</v>
      </c>
      <c r="E10695">
        <f>IFERROR(__xludf.DUMMYFUNCTION("""COMPUTED_VALUE"""),2280496.0)</f>
        <v>2280496</v>
      </c>
    </row>
    <row r="10696">
      <c r="A10696" t="str">
        <f t="shared" si="1"/>
        <v>mng#1995</v>
      </c>
      <c r="B10696" t="str">
        <f>IFERROR(__xludf.DUMMYFUNCTION("""COMPUTED_VALUE"""),"mng")</f>
        <v>mng</v>
      </c>
      <c r="C10696" t="str">
        <f>IFERROR(__xludf.DUMMYFUNCTION("""COMPUTED_VALUE"""),"Mongolia")</f>
        <v>Mongolia</v>
      </c>
      <c r="D10696">
        <f>IFERROR(__xludf.DUMMYFUNCTION("""COMPUTED_VALUE"""),1995.0)</f>
        <v>1995</v>
      </c>
      <c r="E10696">
        <f>IFERROR(__xludf.DUMMYFUNCTION("""COMPUTED_VALUE"""),2298039.0)</f>
        <v>2298039</v>
      </c>
    </row>
    <row r="10697">
      <c r="A10697" t="str">
        <f t="shared" si="1"/>
        <v>mng#1996</v>
      </c>
      <c r="B10697" t="str">
        <f>IFERROR(__xludf.DUMMYFUNCTION("""COMPUTED_VALUE"""),"mng")</f>
        <v>mng</v>
      </c>
      <c r="C10697" t="str">
        <f>IFERROR(__xludf.DUMMYFUNCTION("""COMPUTED_VALUE"""),"Mongolia")</f>
        <v>Mongolia</v>
      </c>
      <c r="D10697">
        <f>IFERROR(__xludf.DUMMYFUNCTION("""COMPUTED_VALUE"""),1996.0)</f>
        <v>1996</v>
      </c>
      <c r="E10697">
        <f>IFERROR(__xludf.DUMMYFUNCTION("""COMPUTED_VALUE"""),2316567.0)</f>
        <v>2316567</v>
      </c>
    </row>
    <row r="10698">
      <c r="A10698" t="str">
        <f t="shared" si="1"/>
        <v>mng#1997</v>
      </c>
      <c r="B10698" t="str">
        <f>IFERROR(__xludf.DUMMYFUNCTION("""COMPUTED_VALUE"""),"mng")</f>
        <v>mng</v>
      </c>
      <c r="C10698" t="str">
        <f>IFERROR(__xludf.DUMMYFUNCTION("""COMPUTED_VALUE"""),"Mongolia")</f>
        <v>Mongolia</v>
      </c>
      <c r="D10698">
        <f>IFERROR(__xludf.DUMMYFUNCTION("""COMPUTED_VALUE"""),1997.0)</f>
        <v>1997</v>
      </c>
      <c r="E10698">
        <f>IFERROR(__xludf.DUMMYFUNCTION("""COMPUTED_VALUE"""),2335695.0)</f>
        <v>2335695</v>
      </c>
    </row>
    <row r="10699">
      <c r="A10699" t="str">
        <f t="shared" si="1"/>
        <v>mng#1998</v>
      </c>
      <c r="B10699" t="str">
        <f>IFERROR(__xludf.DUMMYFUNCTION("""COMPUTED_VALUE"""),"mng")</f>
        <v>mng</v>
      </c>
      <c r="C10699" t="str">
        <f>IFERROR(__xludf.DUMMYFUNCTION("""COMPUTED_VALUE"""),"Mongolia")</f>
        <v>Mongolia</v>
      </c>
      <c r="D10699">
        <f>IFERROR(__xludf.DUMMYFUNCTION("""COMPUTED_VALUE"""),1998.0)</f>
        <v>1998</v>
      </c>
      <c r="E10699">
        <f>IFERROR(__xludf.DUMMYFUNCTION("""COMPUTED_VALUE"""),2355590.0)</f>
        <v>2355590</v>
      </c>
    </row>
    <row r="10700">
      <c r="A10700" t="str">
        <f t="shared" si="1"/>
        <v>mng#1999</v>
      </c>
      <c r="B10700" t="str">
        <f>IFERROR(__xludf.DUMMYFUNCTION("""COMPUTED_VALUE"""),"mng")</f>
        <v>mng</v>
      </c>
      <c r="C10700" t="str">
        <f>IFERROR(__xludf.DUMMYFUNCTION("""COMPUTED_VALUE"""),"Mongolia")</f>
        <v>Mongolia</v>
      </c>
      <c r="D10700">
        <f>IFERROR(__xludf.DUMMYFUNCTION("""COMPUTED_VALUE"""),1999.0)</f>
        <v>1999</v>
      </c>
      <c r="E10700">
        <f>IFERROR(__xludf.DUMMYFUNCTION("""COMPUTED_VALUE"""),2376162.0)</f>
        <v>2376162</v>
      </c>
    </row>
    <row r="10701">
      <c r="A10701" t="str">
        <f t="shared" si="1"/>
        <v>mng#2000</v>
      </c>
      <c r="B10701" t="str">
        <f>IFERROR(__xludf.DUMMYFUNCTION("""COMPUTED_VALUE"""),"mng")</f>
        <v>mng</v>
      </c>
      <c r="C10701" t="str">
        <f>IFERROR(__xludf.DUMMYFUNCTION("""COMPUTED_VALUE"""),"Mongolia")</f>
        <v>Mongolia</v>
      </c>
      <c r="D10701">
        <f>IFERROR(__xludf.DUMMYFUNCTION("""COMPUTED_VALUE"""),2000.0)</f>
        <v>2000</v>
      </c>
      <c r="E10701">
        <f>IFERROR(__xludf.DUMMYFUNCTION("""COMPUTED_VALUE"""),2397436.0)</f>
        <v>2397436</v>
      </c>
    </row>
    <row r="10702">
      <c r="A10702" t="str">
        <f t="shared" si="1"/>
        <v>mng#2001</v>
      </c>
      <c r="B10702" t="str">
        <f>IFERROR(__xludf.DUMMYFUNCTION("""COMPUTED_VALUE"""),"mng")</f>
        <v>mng</v>
      </c>
      <c r="C10702" t="str">
        <f>IFERROR(__xludf.DUMMYFUNCTION("""COMPUTED_VALUE"""),"Mongolia")</f>
        <v>Mongolia</v>
      </c>
      <c r="D10702">
        <f>IFERROR(__xludf.DUMMYFUNCTION("""COMPUTED_VALUE"""),2001.0)</f>
        <v>2001</v>
      </c>
      <c r="E10702">
        <f>IFERROR(__xludf.DUMMYFUNCTION("""COMPUTED_VALUE"""),2419776.0)</f>
        <v>2419776</v>
      </c>
    </row>
    <row r="10703">
      <c r="A10703" t="str">
        <f t="shared" si="1"/>
        <v>mng#2002</v>
      </c>
      <c r="B10703" t="str">
        <f>IFERROR(__xludf.DUMMYFUNCTION("""COMPUTED_VALUE"""),"mng")</f>
        <v>mng</v>
      </c>
      <c r="C10703" t="str">
        <f>IFERROR(__xludf.DUMMYFUNCTION("""COMPUTED_VALUE"""),"Mongolia")</f>
        <v>Mongolia</v>
      </c>
      <c r="D10703">
        <f>IFERROR(__xludf.DUMMYFUNCTION("""COMPUTED_VALUE"""),2002.0)</f>
        <v>2002</v>
      </c>
      <c r="E10703">
        <f>IFERROR(__xludf.DUMMYFUNCTION("""COMPUTED_VALUE"""),2443659.0)</f>
        <v>2443659</v>
      </c>
    </row>
    <row r="10704">
      <c r="A10704" t="str">
        <f t="shared" si="1"/>
        <v>mng#2003</v>
      </c>
      <c r="B10704" t="str">
        <f>IFERROR(__xludf.DUMMYFUNCTION("""COMPUTED_VALUE"""),"mng")</f>
        <v>mng</v>
      </c>
      <c r="C10704" t="str">
        <f>IFERROR(__xludf.DUMMYFUNCTION("""COMPUTED_VALUE"""),"Mongolia")</f>
        <v>Mongolia</v>
      </c>
      <c r="D10704">
        <f>IFERROR(__xludf.DUMMYFUNCTION("""COMPUTED_VALUE"""),2003.0)</f>
        <v>2003</v>
      </c>
      <c r="E10704">
        <f>IFERROR(__xludf.DUMMYFUNCTION("""COMPUTED_VALUE"""),2469286.0)</f>
        <v>2469286</v>
      </c>
    </row>
    <row r="10705">
      <c r="A10705" t="str">
        <f t="shared" si="1"/>
        <v>mng#2004</v>
      </c>
      <c r="B10705" t="str">
        <f>IFERROR(__xludf.DUMMYFUNCTION("""COMPUTED_VALUE"""),"mng")</f>
        <v>mng</v>
      </c>
      <c r="C10705" t="str">
        <f>IFERROR(__xludf.DUMMYFUNCTION("""COMPUTED_VALUE"""),"Mongolia")</f>
        <v>Mongolia</v>
      </c>
      <c r="D10705">
        <f>IFERROR(__xludf.DUMMYFUNCTION("""COMPUTED_VALUE"""),2004.0)</f>
        <v>2004</v>
      </c>
      <c r="E10705">
        <f>IFERROR(__xludf.DUMMYFUNCTION("""COMPUTED_VALUE"""),2496832.0)</f>
        <v>2496832</v>
      </c>
    </row>
    <row r="10706">
      <c r="A10706" t="str">
        <f t="shared" si="1"/>
        <v>mng#2005</v>
      </c>
      <c r="B10706" t="str">
        <f>IFERROR(__xludf.DUMMYFUNCTION("""COMPUTED_VALUE"""),"mng")</f>
        <v>mng</v>
      </c>
      <c r="C10706" t="str">
        <f>IFERROR(__xludf.DUMMYFUNCTION("""COMPUTED_VALUE"""),"Mongolia")</f>
        <v>Mongolia</v>
      </c>
      <c r="D10706">
        <f>IFERROR(__xludf.DUMMYFUNCTION("""COMPUTED_VALUE"""),2005.0)</f>
        <v>2005</v>
      </c>
      <c r="E10706">
        <f>IFERROR(__xludf.DUMMYFUNCTION("""COMPUTED_VALUE"""),2526446.0)</f>
        <v>2526446</v>
      </c>
    </row>
    <row r="10707">
      <c r="A10707" t="str">
        <f t="shared" si="1"/>
        <v>mng#2006</v>
      </c>
      <c r="B10707" t="str">
        <f>IFERROR(__xludf.DUMMYFUNCTION("""COMPUTED_VALUE"""),"mng")</f>
        <v>mng</v>
      </c>
      <c r="C10707" t="str">
        <f>IFERROR(__xludf.DUMMYFUNCTION("""COMPUTED_VALUE"""),"Mongolia")</f>
        <v>Mongolia</v>
      </c>
      <c r="D10707">
        <f>IFERROR(__xludf.DUMMYFUNCTION("""COMPUTED_VALUE"""),2006.0)</f>
        <v>2006</v>
      </c>
      <c r="E10707">
        <f>IFERROR(__xludf.DUMMYFUNCTION("""COMPUTED_VALUE"""),2558012.0)</f>
        <v>2558012</v>
      </c>
    </row>
    <row r="10708">
      <c r="A10708" t="str">
        <f t="shared" si="1"/>
        <v>mng#2007</v>
      </c>
      <c r="B10708" t="str">
        <f>IFERROR(__xludf.DUMMYFUNCTION("""COMPUTED_VALUE"""),"mng")</f>
        <v>mng</v>
      </c>
      <c r="C10708" t="str">
        <f>IFERROR(__xludf.DUMMYFUNCTION("""COMPUTED_VALUE"""),"Mongolia")</f>
        <v>Mongolia</v>
      </c>
      <c r="D10708">
        <f>IFERROR(__xludf.DUMMYFUNCTION("""COMPUTED_VALUE"""),2007.0)</f>
        <v>2007</v>
      </c>
      <c r="E10708">
        <f>IFERROR(__xludf.DUMMYFUNCTION("""COMPUTED_VALUE"""),2591670.0)</f>
        <v>2591670</v>
      </c>
    </row>
    <row r="10709">
      <c r="A10709" t="str">
        <f t="shared" si="1"/>
        <v>mng#2008</v>
      </c>
      <c r="B10709" t="str">
        <f>IFERROR(__xludf.DUMMYFUNCTION("""COMPUTED_VALUE"""),"mng")</f>
        <v>mng</v>
      </c>
      <c r="C10709" t="str">
        <f>IFERROR(__xludf.DUMMYFUNCTION("""COMPUTED_VALUE"""),"Mongolia")</f>
        <v>Mongolia</v>
      </c>
      <c r="D10709">
        <f>IFERROR(__xludf.DUMMYFUNCTION("""COMPUTED_VALUE"""),2008.0)</f>
        <v>2008</v>
      </c>
      <c r="E10709">
        <f>IFERROR(__xludf.DUMMYFUNCTION("""COMPUTED_VALUE"""),2628131.0)</f>
        <v>2628131</v>
      </c>
    </row>
    <row r="10710">
      <c r="A10710" t="str">
        <f t="shared" si="1"/>
        <v>mng#2009</v>
      </c>
      <c r="B10710" t="str">
        <f>IFERROR(__xludf.DUMMYFUNCTION("""COMPUTED_VALUE"""),"mng")</f>
        <v>mng</v>
      </c>
      <c r="C10710" t="str">
        <f>IFERROR(__xludf.DUMMYFUNCTION("""COMPUTED_VALUE"""),"Mongolia")</f>
        <v>Mongolia</v>
      </c>
      <c r="D10710">
        <f>IFERROR(__xludf.DUMMYFUNCTION("""COMPUTED_VALUE"""),2009.0)</f>
        <v>2009</v>
      </c>
      <c r="E10710">
        <f>IFERROR(__xludf.DUMMYFUNCTION("""COMPUTED_VALUE"""),2668289.0)</f>
        <v>2668289</v>
      </c>
    </row>
    <row r="10711">
      <c r="A10711" t="str">
        <f t="shared" si="1"/>
        <v>mng#2010</v>
      </c>
      <c r="B10711" t="str">
        <f>IFERROR(__xludf.DUMMYFUNCTION("""COMPUTED_VALUE"""),"mng")</f>
        <v>mng</v>
      </c>
      <c r="C10711" t="str">
        <f>IFERROR(__xludf.DUMMYFUNCTION("""COMPUTED_VALUE"""),"Mongolia")</f>
        <v>Mongolia</v>
      </c>
      <c r="D10711">
        <f>IFERROR(__xludf.DUMMYFUNCTION("""COMPUTED_VALUE"""),2010.0)</f>
        <v>2010</v>
      </c>
      <c r="E10711">
        <f>IFERROR(__xludf.DUMMYFUNCTION("""COMPUTED_VALUE"""),2712650.0)</f>
        <v>2712650</v>
      </c>
    </row>
    <row r="10712">
      <c r="A10712" t="str">
        <f t="shared" si="1"/>
        <v>mng#2011</v>
      </c>
      <c r="B10712" t="str">
        <f>IFERROR(__xludf.DUMMYFUNCTION("""COMPUTED_VALUE"""),"mng")</f>
        <v>mng</v>
      </c>
      <c r="C10712" t="str">
        <f>IFERROR(__xludf.DUMMYFUNCTION("""COMPUTED_VALUE"""),"Mongolia")</f>
        <v>Mongolia</v>
      </c>
      <c r="D10712">
        <f>IFERROR(__xludf.DUMMYFUNCTION("""COMPUTED_VALUE"""),2011.0)</f>
        <v>2011</v>
      </c>
      <c r="E10712">
        <f>IFERROR(__xludf.DUMMYFUNCTION("""COMPUTED_VALUE"""),2761516.0)</f>
        <v>2761516</v>
      </c>
    </row>
    <row r="10713">
      <c r="A10713" t="str">
        <f t="shared" si="1"/>
        <v>mng#2012</v>
      </c>
      <c r="B10713" t="str">
        <f>IFERROR(__xludf.DUMMYFUNCTION("""COMPUTED_VALUE"""),"mng")</f>
        <v>mng</v>
      </c>
      <c r="C10713" t="str">
        <f>IFERROR(__xludf.DUMMYFUNCTION("""COMPUTED_VALUE"""),"Mongolia")</f>
        <v>Mongolia</v>
      </c>
      <c r="D10713">
        <f>IFERROR(__xludf.DUMMYFUNCTION("""COMPUTED_VALUE"""),2012.0)</f>
        <v>2012</v>
      </c>
      <c r="E10713">
        <f>IFERROR(__xludf.DUMMYFUNCTION("""COMPUTED_VALUE"""),2814226.0)</f>
        <v>2814226</v>
      </c>
    </row>
    <row r="10714">
      <c r="A10714" t="str">
        <f t="shared" si="1"/>
        <v>mng#2013</v>
      </c>
      <c r="B10714" t="str">
        <f>IFERROR(__xludf.DUMMYFUNCTION("""COMPUTED_VALUE"""),"mng")</f>
        <v>mng</v>
      </c>
      <c r="C10714" t="str">
        <f>IFERROR(__xludf.DUMMYFUNCTION("""COMPUTED_VALUE"""),"Mongolia")</f>
        <v>Mongolia</v>
      </c>
      <c r="D10714">
        <f>IFERROR(__xludf.DUMMYFUNCTION("""COMPUTED_VALUE"""),2013.0)</f>
        <v>2013</v>
      </c>
      <c r="E10714">
        <f>IFERROR(__xludf.DUMMYFUNCTION("""COMPUTED_VALUE"""),2869107.0)</f>
        <v>2869107</v>
      </c>
    </row>
    <row r="10715">
      <c r="A10715" t="str">
        <f t="shared" si="1"/>
        <v>mng#2014</v>
      </c>
      <c r="B10715" t="str">
        <f>IFERROR(__xludf.DUMMYFUNCTION("""COMPUTED_VALUE"""),"mng")</f>
        <v>mng</v>
      </c>
      <c r="C10715" t="str">
        <f>IFERROR(__xludf.DUMMYFUNCTION("""COMPUTED_VALUE"""),"Mongolia")</f>
        <v>Mongolia</v>
      </c>
      <c r="D10715">
        <f>IFERROR(__xludf.DUMMYFUNCTION("""COMPUTED_VALUE"""),2014.0)</f>
        <v>2014</v>
      </c>
      <c r="E10715">
        <f>IFERROR(__xludf.DUMMYFUNCTION("""COMPUTED_VALUE"""),2923896.0)</f>
        <v>2923896</v>
      </c>
    </row>
    <row r="10716">
      <c r="A10716" t="str">
        <f t="shared" si="1"/>
        <v>mng#2015</v>
      </c>
      <c r="B10716" t="str">
        <f>IFERROR(__xludf.DUMMYFUNCTION("""COMPUTED_VALUE"""),"mng")</f>
        <v>mng</v>
      </c>
      <c r="C10716" t="str">
        <f>IFERROR(__xludf.DUMMYFUNCTION("""COMPUTED_VALUE"""),"Mongolia")</f>
        <v>Mongolia</v>
      </c>
      <c r="D10716">
        <f>IFERROR(__xludf.DUMMYFUNCTION("""COMPUTED_VALUE"""),2015.0)</f>
        <v>2015</v>
      </c>
      <c r="E10716">
        <f>IFERROR(__xludf.DUMMYFUNCTION("""COMPUTED_VALUE"""),2976877.0)</f>
        <v>2976877</v>
      </c>
    </row>
    <row r="10717">
      <c r="A10717" t="str">
        <f t="shared" si="1"/>
        <v>mng#2016</v>
      </c>
      <c r="B10717" t="str">
        <f>IFERROR(__xludf.DUMMYFUNCTION("""COMPUTED_VALUE"""),"mng")</f>
        <v>mng</v>
      </c>
      <c r="C10717" t="str">
        <f>IFERROR(__xludf.DUMMYFUNCTION("""COMPUTED_VALUE"""),"Mongolia")</f>
        <v>Mongolia</v>
      </c>
      <c r="D10717">
        <f>IFERROR(__xludf.DUMMYFUNCTION("""COMPUTED_VALUE"""),2016.0)</f>
        <v>2016</v>
      </c>
      <c r="E10717">
        <f>IFERROR(__xludf.DUMMYFUNCTION("""COMPUTED_VALUE"""),3027398.0)</f>
        <v>3027398</v>
      </c>
    </row>
    <row r="10718">
      <c r="A10718" t="str">
        <f t="shared" si="1"/>
        <v>mng#2017</v>
      </c>
      <c r="B10718" t="str">
        <f>IFERROR(__xludf.DUMMYFUNCTION("""COMPUTED_VALUE"""),"mng")</f>
        <v>mng</v>
      </c>
      <c r="C10718" t="str">
        <f>IFERROR(__xludf.DUMMYFUNCTION("""COMPUTED_VALUE"""),"Mongolia")</f>
        <v>Mongolia</v>
      </c>
      <c r="D10718">
        <f>IFERROR(__xludf.DUMMYFUNCTION("""COMPUTED_VALUE"""),2017.0)</f>
        <v>2017</v>
      </c>
      <c r="E10718">
        <f>IFERROR(__xludf.DUMMYFUNCTION("""COMPUTED_VALUE"""),3075647.0)</f>
        <v>3075647</v>
      </c>
    </row>
    <row r="10719">
      <c r="A10719" t="str">
        <f t="shared" si="1"/>
        <v>mng#2018</v>
      </c>
      <c r="B10719" t="str">
        <f>IFERROR(__xludf.DUMMYFUNCTION("""COMPUTED_VALUE"""),"mng")</f>
        <v>mng</v>
      </c>
      <c r="C10719" t="str">
        <f>IFERROR(__xludf.DUMMYFUNCTION("""COMPUTED_VALUE"""),"Mongolia")</f>
        <v>Mongolia</v>
      </c>
      <c r="D10719">
        <f>IFERROR(__xludf.DUMMYFUNCTION("""COMPUTED_VALUE"""),2018.0)</f>
        <v>2018</v>
      </c>
      <c r="E10719">
        <f>IFERROR(__xludf.DUMMYFUNCTION("""COMPUTED_VALUE"""),3121772.0)</f>
        <v>3121772</v>
      </c>
    </row>
    <row r="10720">
      <c r="A10720" t="str">
        <f t="shared" si="1"/>
        <v>mng#2019</v>
      </c>
      <c r="B10720" t="str">
        <f>IFERROR(__xludf.DUMMYFUNCTION("""COMPUTED_VALUE"""),"mng")</f>
        <v>mng</v>
      </c>
      <c r="C10720" t="str">
        <f>IFERROR(__xludf.DUMMYFUNCTION("""COMPUTED_VALUE"""),"Mongolia")</f>
        <v>Mongolia</v>
      </c>
      <c r="D10720">
        <f>IFERROR(__xludf.DUMMYFUNCTION("""COMPUTED_VALUE"""),2019.0)</f>
        <v>2019</v>
      </c>
      <c r="E10720">
        <f>IFERROR(__xludf.DUMMYFUNCTION("""COMPUTED_VALUE"""),3166244.0)</f>
        <v>3166244</v>
      </c>
    </row>
    <row r="10721">
      <c r="A10721" t="str">
        <f t="shared" si="1"/>
        <v>mng#2020</v>
      </c>
      <c r="B10721" t="str">
        <f>IFERROR(__xludf.DUMMYFUNCTION("""COMPUTED_VALUE"""),"mng")</f>
        <v>mng</v>
      </c>
      <c r="C10721" t="str">
        <f>IFERROR(__xludf.DUMMYFUNCTION("""COMPUTED_VALUE"""),"Mongolia")</f>
        <v>Mongolia</v>
      </c>
      <c r="D10721">
        <f>IFERROR(__xludf.DUMMYFUNCTION("""COMPUTED_VALUE"""),2020.0)</f>
        <v>2020</v>
      </c>
      <c r="E10721">
        <f>IFERROR(__xludf.DUMMYFUNCTION("""COMPUTED_VALUE"""),3209404.0)</f>
        <v>3209404</v>
      </c>
    </row>
    <row r="10722">
      <c r="A10722" t="str">
        <f t="shared" si="1"/>
        <v>mng#2021</v>
      </c>
      <c r="B10722" t="str">
        <f>IFERROR(__xludf.DUMMYFUNCTION("""COMPUTED_VALUE"""),"mng")</f>
        <v>mng</v>
      </c>
      <c r="C10722" t="str">
        <f>IFERROR(__xludf.DUMMYFUNCTION("""COMPUTED_VALUE"""),"Mongolia")</f>
        <v>Mongolia</v>
      </c>
      <c r="D10722">
        <f>IFERROR(__xludf.DUMMYFUNCTION("""COMPUTED_VALUE"""),2021.0)</f>
        <v>2021</v>
      </c>
      <c r="E10722">
        <f>IFERROR(__xludf.DUMMYFUNCTION("""COMPUTED_VALUE"""),3251146.0)</f>
        <v>3251146</v>
      </c>
    </row>
    <row r="10723">
      <c r="A10723" t="str">
        <f t="shared" si="1"/>
        <v>mng#2022</v>
      </c>
      <c r="B10723" t="str">
        <f>IFERROR(__xludf.DUMMYFUNCTION("""COMPUTED_VALUE"""),"mng")</f>
        <v>mng</v>
      </c>
      <c r="C10723" t="str">
        <f>IFERROR(__xludf.DUMMYFUNCTION("""COMPUTED_VALUE"""),"Mongolia")</f>
        <v>Mongolia</v>
      </c>
      <c r="D10723">
        <f>IFERROR(__xludf.DUMMYFUNCTION("""COMPUTED_VALUE"""),2022.0)</f>
        <v>2022</v>
      </c>
      <c r="E10723">
        <f>IFERROR(__xludf.DUMMYFUNCTION("""COMPUTED_VALUE"""),3291243.0)</f>
        <v>3291243</v>
      </c>
    </row>
    <row r="10724">
      <c r="A10724" t="str">
        <f t="shared" si="1"/>
        <v>mng#2023</v>
      </c>
      <c r="B10724" t="str">
        <f>IFERROR(__xludf.DUMMYFUNCTION("""COMPUTED_VALUE"""),"mng")</f>
        <v>mng</v>
      </c>
      <c r="C10724" t="str">
        <f>IFERROR(__xludf.DUMMYFUNCTION("""COMPUTED_VALUE"""),"Mongolia")</f>
        <v>Mongolia</v>
      </c>
      <c r="D10724">
        <f>IFERROR(__xludf.DUMMYFUNCTION("""COMPUTED_VALUE"""),2023.0)</f>
        <v>2023</v>
      </c>
      <c r="E10724">
        <f>IFERROR(__xludf.DUMMYFUNCTION("""COMPUTED_VALUE"""),3329746.0)</f>
        <v>3329746</v>
      </c>
    </row>
    <row r="10725">
      <c r="A10725" t="str">
        <f t="shared" si="1"/>
        <v>mng#2024</v>
      </c>
      <c r="B10725" t="str">
        <f>IFERROR(__xludf.DUMMYFUNCTION("""COMPUTED_VALUE"""),"mng")</f>
        <v>mng</v>
      </c>
      <c r="C10725" t="str">
        <f>IFERROR(__xludf.DUMMYFUNCTION("""COMPUTED_VALUE"""),"Mongolia")</f>
        <v>Mongolia</v>
      </c>
      <c r="D10725">
        <f>IFERROR(__xludf.DUMMYFUNCTION("""COMPUTED_VALUE"""),2024.0)</f>
        <v>2024</v>
      </c>
      <c r="E10725">
        <f>IFERROR(__xludf.DUMMYFUNCTION("""COMPUTED_VALUE"""),3366713.0)</f>
        <v>3366713</v>
      </c>
    </row>
    <row r="10726">
      <c r="A10726" t="str">
        <f t="shared" si="1"/>
        <v>mng#2025</v>
      </c>
      <c r="B10726" t="str">
        <f>IFERROR(__xludf.DUMMYFUNCTION("""COMPUTED_VALUE"""),"mng")</f>
        <v>mng</v>
      </c>
      <c r="C10726" t="str">
        <f>IFERROR(__xludf.DUMMYFUNCTION("""COMPUTED_VALUE"""),"Mongolia")</f>
        <v>Mongolia</v>
      </c>
      <c r="D10726">
        <f>IFERROR(__xludf.DUMMYFUNCTION("""COMPUTED_VALUE"""),2025.0)</f>
        <v>2025</v>
      </c>
      <c r="E10726">
        <f>IFERROR(__xludf.DUMMYFUNCTION("""COMPUTED_VALUE"""),3402258.0)</f>
        <v>3402258</v>
      </c>
    </row>
    <row r="10727">
      <c r="A10727" t="str">
        <f t="shared" si="1"/>
        <v>mng#2026</v>
      </c>
      <c r="B10727" t="str">
        <f>IFERROR(__xludf.DUMMYFUNCTION("""COMPUTED_VALUE"""),"mng")</f>
        <v>mng</v>
      </c>
      <c r="C10727" t="str">
        <f>IFERROR(__xludf.DUMMYFUNCTION("""COMPUTED_VALUE"""),"Mongolia")</f>
        <v>Mongolia</v>
      </c>
      <c r="D10727">
        <f>IFERROR(__xludf.DUMMYFUNCTION("""COMPUTED_VALUE"""),2026.0)</f>
        <v>2026</v>
      </c>
      <c r="E10727">
        <f>IFERROR(__xludf.DUMMYFUNCTION("""COMPUTED_VALUE"""),3436417.0)</f>
        <v>3436417</v>
      </c>
    </row>
    <row r="10728">
      <c r="A10728" t="str">
        <f t="shared" si="1"/>
        <v>mng#2027</v>
      </c>
      <c r="B10728" t="str">
        <f>IFERROR(__xludf.DUMMYFUNCTION("""COMPUTED_VALUE"""),"mng")</f>
        <v>mng</v>
      </c>
      <c r="C10728" t="str">
        <f>IFERROR(__xludf.DUMMYFUNCTION("""COMPUTED_VALUE"""),"Mongolia")</f>
        <v>Mongolia</v>
      </c>
      <c r="D10728">
        <f>IFERROR(__xludf.DUMMYFUNCTION("""COMPUTED_VALUE"""),2027.0)</f>
        <v>2027</v>
      </c>
      <c r="E10728">
        <f>IFERROR(__xludf.DUMMYFUNCTION("""COMPUTED_VALUE"""),3469237.0)</f>
        <v>3469237</v>
      </c>
    </row>
    <row r="10729">
      <c r="A10729" t="str">
        <f t="shared" si="1"/>
        <v>mng#2028</v>
      </c>
      <c r="B10729" t="str">
        <f>IFERROR(__xludf.DUMMYFUNCTION("""COMPUTED_VALUE"""),"mng")</f>
        <v>mng</v>
      </c>
      <c r="C10729" t="str">
        <f>IFERROR(__xludf.DUMMYFUNCTION("""COMPUTED_VALUE"""),"Mongolia")</f>
        <v>Mongolia</v>
      </c>
      <c r="D10729">
        <f>IFERROR(__xludf.DUMMYFUNCTION("""COMPUTED_VALUE"""),2028.0)</f>
        <v>2028</v>
      </c>
      <c r="E10729">
        <f>IFERROR(__xludf.DUMMYFUNCTION("""COMPUTED_VALUE"""),3500845.0)</f>
        <v>3500845</v>
      </c>
    </row>
    <row r="10730">
      <c r="A10730" t="str">
        <f t="shared" si="1"/>
        <v>mng#2029</v>
      </c>
      <c r="B10730" t="str">
        <f>IFERROR(__xludf.DUMMYFUNCTION("""COMPUTED_VALUE"""),"mng")</f>
        <v>mng</v>
      </c>
      <c r="C10730" t="str">
        <f>IFERROR(__xludf.DUMMYFUNCTION("""COMPUTED_VALUE"""),"Mongolia")</f>
        <v>Mongolia</v>
      </c>
      <c r="D10730">
        <f>IFERROR(__xludf.DUMMYFUNCTION("""COMPUTED_VALUE"""),2029.0)</f>
        <v>2029</v>
      </c>
      <c r="E10730">
        <f>IFERROR(__xludf.DUMMYFUNCTION("""COMPUTED_VALUE"""),3531367.0)</f>
        <v>3531367</v>
      </c>
    </row>
    <row r="10731">
      <c r="A10731" t="str">
        <f t="shared" si="1"/>
        <v>mng#2030</v>
      </c>
      <c r="B10731" t="str">
        <f>IFERROR(__xludf.DUMMYFUNCTION("""COMPUTED_VALUE"""),"mng")</f>
        <v>mng</v>
      </c>
      <c r="C10731" t="str">
        <f>IFERROR(__xludf.DUMMYFUNCTION("""COMPUTED_VALUE"""),"Mongolia")</f>
        <v>Mongolia</v>
      </c>
      <c r="D10731">
        <f>IFERROR(__xludf.DUMMYFUNCTION("""COMPUTED_VALUE"""),2030.0)</f>
        <v>2030</v>
      </c>
      <c r="E10731">
        <f>IFERROR(__xludf.DUMMYFUNCTION("""COMPUTED_VALUE"""),3560959.0)</f>
        <v>3560959</v>
      </c>
    </row>
    <row r="10732">
      <c r="A10732" t="str">
        <f t="shared" si="1"/>
        <v>mng#2031</v>
      </c>
      <c r="B10732" t="str">
        <f>IFERROR(__xludf.DUMMYFUNCTION("""COMPUTED_VALUE"""),"mng")</f>
        <v>mng</v>
      </c>
      <c r="C10732" t="str">
        <f>IFERROR(__xludf.DUMMYFUNCTION("""COMPUTED_VALUE"""),"Mongolia")</f>
        <v>Mongolia</v>
      </c>
      <c r="D10732">
        <f>IFERROR(__xludf.DUMMYFUNCTION("""COMPUTED_VALUE"""),2031.0)</f>
        <v>2031</v>
      </c>
      <c r="E10732">
        <f>IFERROR(__xludf.DUMMYFUNCTION("""COMPUTED_VALUE"""),3589666.0)</f>
        <v>3589666</v>
      </c>
    </row>
    <row r="10733">
      <c r="A10733" t="str">
        <f t="shared" si="1"/>
        <v>mng#2032</v>
      </c>
      <c r="B10733" t="str">
        <f>IFERROR(__xludf.DUMMYFUNCTION("""COMPUTED_VALUE"""),"mng")</f>
        <v>mng</v>
      </c>
      <c r="C10733" t="str">
        <f>IFERROR(__xludf.DUMMYFUNCTION("""COMPUTED_VALUE"""),"Mongolia")</f>
        <v>Mongolia</v>
      </c>
      <c r="D10733">
        <f>IFERROR(__xludf.DUMMYFUNCTION("""COMPUTED_VALUE"""),2032.0)</f>
        <v>2032</v>
      </c>
      <c r="E10733">
        <f>IFERROR(__xludf.DUMMYFUNCTION("""COMPUTED_VALUE"""),3617577.0)</f>
        <v>3617577</v>
      </c>
    </row>
    <row r="10734">
      <c r="A10734" t="str">
        <f t="shared" si="1"/>
        <v>mng#2033</v>
      </c>
      <c r="B10734" t="str">
        <f>IFERROR(__xludf.DUMMYFUNCTION("""COMPUTED_VALUE"""),"mng")</f>
        <v>mng</v>
      </c>
      <c r="C10734" t="str">
        <f>IFERROR(__xludf.DUMMYFUNCTION("""COMPUTED_VALUE"""),"Mongolia")</f>
        <v>Mongolia</v>
      </c>
      <c r="D10734">
        <f>IFERROR(__xludf.DUMMYFUNCTION("""COMPUTED_VALUE"""),2033.0)</f>
        <v>2033</v>
      </c>
      <c r="E10734">
        <f>IFERROR(__xludf.DUMMYFUNCTION("""COMPUTED_VALUE"""),3644860.0)</f>
        <v>3644860</v>
      </c>
    </row>
    <row r="10735">
      <c r="A10735" t="str">
        <f t="shared" si="1"/>
        <v>mng#2034</v>
      </c>
      <c r="B10735" t="str">
        <f>IFERROR(__xludf.DUMMYFUNCTION("""COMPUTED_VALUE"""),"mng")</f>
        <v>mng</v>
      </c>
      <c r="C10735" t="str">
        <f>IFERROR(__xludf.DUMMYFUNCTION("""COMPUTED_VALUE"""),"Mongolia")</f>
        <v>Mongolia</v>
      </c>
      <c r="D10735">
        <f>IFERROR(__xludf.DUMMYFUNCTION("""COMPUTED_VALUE"""),2034.0)</f>
        <v>2034</v>
      </c>
      <c r="E10735">
        <f>IFERROR(__xludf.DUMMYFUNCTION("""COMPUTED_VALUE"""),3671639.0)</f>
        <v>3671639</v>
      </c>
    </row>
    <row r="10736">
      <c r="A10736" t="str">
        <f t="shared" si="1"/>
        <v>mng#2035</v>
      </c>
      <c r="B10736" t="str">
        <f>IFERROR(__xludf.DUMMYFUNCTION("""COMPUTED_VALUE"""),"mng")</f>
        <v>mng</v>
      </c>
      <c r="C10736" t="str">
        <f>IFERROR(__xludf.DUMMYFUNCTION("""COMPUTED_VALUE"""),"Mongolia")</f>
        <v>Mongolia</v>
      </c>
      <c r="D10736">
        <f>IFERROR(__xludf.DUMMYFUNCTION("""COMPUTED_VALUE"""),2035.0)</f>
        <v>2035</v>
      </c>
      <c r="E10736">
        <f>IFERROR(__xludf.DUMMYFUNCTION("""COMPUTED_VALUE"""),3698058.0)</f>
        <v>3698058</v>
      </c>
    </row>
    <row r="10737">
      <c r="A10737" t="str">
        <f t="shared" si="1"/>
        <v>mng#2036</v>
      </c>
      <c r="B10737" t="str">
        <f>IFERROR(__xludf.DUMMYFUNCTION("""COMPUTED_VALUE"""),"mng")</f>
        <v>mng</v>
      </c>
      <c r="C10737" t="str">
        <f>IFERROR(__xludf.DUMMYFUNCTION("""COMPUTED_VALUE"""),"Mongolia")</f>
        <v>Mongolia</v>
      </c>
      <c r="D10737">
        <f>IFERROR(__xludf.DUMMYFUNCTION("""COMPUTED_VALUE"""),2036.0)</f>
        <v>2036</v>
      </c>
      <c r="E10737">
        <f>IFERROR(__xludf.DUMMYFUNCTION("""COMPUTED_VALUE"""),3724192.0)</f>
        <v>3724192</v>
      </c>
    </row>
    <row r="10738">
      <c r="A10738" t="str">
        <f t="shared" si="1"/>
        <v>mng#2037</v>
      </c>
      <c r="B10738" t="str">
        <f>IFERROR(__xludf.DUMMYFUNCTION("""COMPUTED_VALUE"""),"mng")</f>
        <v>mng</v>
      </c>
      <c r="C10738" t="str">
        <f>IFERROR(__xludf.DUMMYFUNCTION("""COMPUTED_VALUE"""),"Mongolia")</f>
        <v>Mongolia</v>
      </c>
      <c r="D10738">
        <f>IFERROR(__xludf.DUMMYFUNCTION("""COMPUTED_VALUE"""),2037.0)</f>
        <v>2037</v>
      </c>
      <c r="E10738">
        <f>IFERROR(__xludf.DUMMYFUNCTION("""COMPUTED_VALUE"""),3750086.0)</f>
        <v>3750086</v>
      </c>
    </row>
    <row r="10739">
      <c r="A10739" t="str">
        <f t="shared" si="1"/>
        <v>mng#2038</v>
      </c>
      <c r="B10739" t="str">
        <f>IFERROR(__xludf.DUMMYFUNCTION("""COMPUTED_VALUE"""),"mng")</f>
        <v>mng</v>
      </c>
      <c r="C10739" t="str">
        <f>IFERROR(__xludf.DUMMYFUNCTION("""COMPUTED_VALUE"""),"Mongolia")</f>
        <v>Mongolia</v>
      </c>
      <c r="D10739">
        <f>IFERROR(__xludf.DUMMYFUNCTION("""COMPUTED_VALUE"""),2038.0)</f>
        <v>2038</v>
      </c>
      <c r="E10739">
        <f>IFERROR(__xludf.DUMMYFUNCTION("""COMPUTED_VALUE"""),3775810.0)</f>
        <v>3775810</v>
      </c>
    </row>
    <row r="10740">
      <c r="A10740" t="str">
        <f t="shared" si="1"/>
        <v>mng#2039</v>
      </c>
      <c r="B10740" t="str">
        <f>IFERROR(__xludf.DUMMYFUNCTION("""COMPUTED_VALUE"""),"mng")</f>
        <v>mng</v>
      </c>
      <c r="C10740" t="str">
        <f>IFERROR(__xludf.DUMMYFUNCTION("""COMPUTED_VALUE"""),"Mongolia")</f>
        <v>Mongolia</v>
      </c>
      <c r="D10740">
        <f>IFERROR(__xludf.DUMMYFUNCTION("""COMPUTED_VALUE"""),2039.0)</f>
        <v>2039</v>
      </c>
      <c r="E10740">
        <f>IFERROR(__xludf.DUMMYFUNCTION("""COMPUTED_VALUE"""),3801444.0)</f>
        <v>3801444</v>
      </c>
    </row>
    <row r="10741">
      <c r="A10741" t="str">
        <f t="shared" si="1"/>
        <v>mng#2040</v>
      </c>
      <c r="B10741" t="str">
        <f>IFERROR(__xludf.DUMMYFUNCTION("""COMPUTED_VALUE"""),"mng")</f>
        <v>mng</v>
      </c>
      <c r="C10741" t="str">
        <f>IFERROR(__xludf.DUMMYFUNCTION("""COMPUTED_VALUE"""),"Mongolia")</f>
        <v>Mongolia</v>
      </c>
      <c r="D10741">
        <f>IFERROR(__xludf.DUMMYFUNCTION("""COMPUTED_VALUE"""),2040.0)</f>
        <v>2040</v>
      </c>
      <c r="E10741">
        <f>IFERROR(__xludf.DUMMYFUNCTION("""COMPUTED_VALUE"""),3827004.0)</f>
        <v>3827004</v>
      </c>
    </row>
    <row r="10742">
      <c r="A10742" t="str">
        <f t="shared" si="1"/>
        <v>mne#1950</v>
      </c>
      <c r="B10742" t="str">
        <f>IFERROR(__xludf.DUMMYFUNCTION("""COMPUTED_VALUE"""),"mne")</f>
        <v>mne</v>
      </c>
      <c r="C10742" t="str">
        <f>IFERROR(__xludf.DUMMYFUNCTION("""COMPUTED_VALUE"""),"Montenegro")</f>
        <v>Montenegro</v>
      </c>
      <c r="D10742">
        <f>IFERROR(__xludf.DUMMYFUNCTION("""COMPUTED_VALUE"""),1950.0)</f>
        <v>1950</v>
      </c>
      <c r="E10742">
        <f>IFERROR(__xludf.DUMMYFUNCTION("""COMPUTED_VALUE"""),394739.0)</f>
        <v>394739</v>
      </c>
    </row>
    <row r="10743">
      <c r="A10743" t="str">
        <f t="shared" si="1"/>
        <v>mne#1951</v>
      </c>
      <c r="B10743" t="str">
        <f>IFERROR(__xludf.DUMMYFUNCTION("""COMPUTED_VALUE"""),"mne")</f>
        <v>mne</v>
      </c>
      <c r="C10743" t="str">
        <f>IFERROR(__xludf.DUMMYFUNCTION("""COMPUTED_VALUE"""),"Montenegro")</f>
        <v>Montenegro</v>
      </c>
      <c r="D10743">
        <f>IFERROR(__xludf.DUMMYFUNCTION("""COMPUTED_VALUE"""),1951.0)</f>
        <v>1951</v>
      </c>
      <c r="E10743">
        <f>IFERROR(__xludf.DUMMYFUNCTION("""COMPUTED_VALUE"""),400872.0)</f>
        <v>400872</v>
      </c>
    </row>
    <row r="10744">
      <c r="A10744" t="str">
        <f t="shared" si="1"/>
        <v>mne#1952</v>
      </c>
      <c r="B10744" t="str">
        <f>IFERROR(__xludf.DUMMYFUNCTION("""COMPUTED_VALUE"""),"mne")</f>
        <v>mne</v>
      </c>
      <c r="C10744" t="str">
        <f>IFERROR(__xludf.DUMMYFUNCTION("""COMPUTED_VALUE"""),"Montenegro")</f>
        <v>Montenegro</v>
      </c>
      <c r="D10744">
        <f>IFERROR(__xludf.DUMMYFUNCTION("""COMPUTED_VALUE"""),1952.0)</f>
        <v>1952</v>
      </c>
      <c r="E10744">
        <f>IFERROR(__xludf.DUMMYFUNCTION("""COMPUTED_VALUE"""),410508.0)</f>
        <v>410508</v>
      </c>
    </row>
    <row r="10745">
      <c r="A10745" t="str">
        <f t="shared" si="1"/>
        <v>mne#1953</v>
      </c>
      <c r="B10745" t="str">
        <f>IFERROR(__xludf.DUMMYFUNCTION("""COMPUTED_VALUE"""),"mne")</f>
        <v>mne</v>
      </c>
      <c r="C10745" t="str">
        <f>IFERROR(__xludf.DUMMYFUNCTION("""COMPUTED_VALUE"""),"Montenegro")</f>
        <v>Montenegro</v>
      </c>
      <c r="D10745">
        <f>IFERROR(__xludf.DUMMYFUNCTION("""COMPUTED_VALUE"""),1953.0)</f>
        <v>1953</v>
      </c>
      <c r="E10745">
        <f>IFERROR(__xludf.DUMMYFUNCTION("""COMPUTED_VALUE"""),421737.0)</f>
        <v>421737</v>
      </c>
    </row>
    <row r="10746">
      <c r="A10746" t="str">
        <f t="shared" si="1"/>
        <v>mne#1954</v>
      </c>
      <c r="B10746" t="str">
        <f>IFERROR(__xludf.DUMMYFUNCTION("""COMPUTED_VALUE"""),"mne")</f>
        <v>mne</v>
      </c>
      <c r="C10746" t="str">
        <f>IFERROR(__xludf.DUMMYFUNCTION("""COMPUTED_VALUE"""),"Montenegro")</f>
        <v>Montenegro</v>
      </c>
      <c r="D10746">
        <f>IFERROR(__xludf.DUMMYFUNCTION("""COMPUTED_VALUE"""),1954.0)</f>
        <v>1954</v>
      </c>
      <c r="E10746">
        <f>IFERROR(__xludf.DUMMYFUNCTION("""COMPUTED_VALUE"""),433135.0)</f>
        <v>433135</v>
      </c>
    </row>
    <row r="10747">
      <c r="A10747" t="str">
        <f t="shared" si="1"/>
        <v>mne#1955</v>
      </c>
      <c r="B10747" t="str">
        <f>IFERROR(__xludf.DUMMYFUNCTION("""COMPUTED_VALUE"""),"mne")</f>
        <v>mne</v>
      </c>
      <c r="C10747" t="str">
        <f>IFERROR(__xludf.DUMMYFUNCTION("""COMPUTED_VALUE"""),"Montenegro")</f>
        <v>Montenegro</v>
      </c>
      <c r="D10747">
        <f>IFERROR(__xludf.DUMMYFUNCTION("""COMPUTED_VALUE"""),1955.0)</f>
        <v>1955</v>
      </c>
      <c r="E10747">
        <f>IFERROR(__xludf.DUMMYFUNCTION("""COMPUTED_VALUE"""),443795.0)</f>
        <v>443795</v>
      </c>
    </row>
    <row r="10748">
      <c r="A10748" t="str">
        <f t="shared" si="1"/>
        <v>mne#1956</v>
      </c>
      <c r="B10748" t="str">
        <f>IFERROR(__xludf.DUMMYFUNCTION("""COMPUTED_VALUE"""),"mne")</f>
        <v>mne</v>
      </c>
      <c r="C10748" t="str">
        <f>IFERROR(__xludf.DUMMYFUNCTION("""COMPUTED_VALUE"""),"Montenegro")</f>
        <v>Montenegro</v>
      </c>
      <c r="D10748">
        <f>IFERROR(__xludf.DUMMYFUNCTION("""COMPUTED_VALUE"""),1956.0)</f>
        <v>1956</v>
      </c>
      <c r="E10748">
        <f>IFERROR(__xludf.DUMMYFUNCTION("""COMPUTED_VALUE"""),453317.0)</f>
        <v>453317</v>
      </c>
    </row>
    <row r="10749">
      <c r="A10749" t="str">
        <f t="shared" si="1"/>
        <v>mne#1957</v>
      </c>
      <c r="B10749" t="str">
        <f>IFERROR(__xludf.DUMMYFUNCTION("""COMPUTED_VALUE"""),"mne")</f>
        <v>mne</v>
      </c>
      <c r="C10749" t="str">
        <f>IFERROR(__xludf.DUMMYFUNCTION("""COMPUTED_VALUE"""),"Montenegro")</f>
        <v>Montenegro</v>
      </c>
      <c r="D10749">
        <f>IFERROR(__xludf.DUMMYFUNCTION("""COMPUTED_VALUE"""),1957.0)</f>
        <v>1957</v>
      </c>
      <c r="E10749">
        <f>IFERROR(__xludf.DUMMYFUNCTION("""COMPUTED_VALUE"""),461809.0)</f>
        <v>461809</v>
      </c>
    </row>
    <row r="10750">
      <c r="A10750" t="str">
        <f t="shared" si="1"/>
        <v>mne#1958</v>
      </c>
      <c r="B10750" t="str">
        <f>IFERROR(__xludf.DUMMYFUNCTION("""COMPUTED_VALUE"""),"mne")</f>
        <v>mne</v>
      </c>
      <c r="C10750" t="str">
        <f>IFERROR(__xludf.DUMMYFUNCTION("""COMPUTED_VALUE"""),"Montenegro")</f>
        <v>Montenegro</v>
      </c>
      <c r="D10750">
        <f>IFERROR(__xludf.DUMMYFUNCTION("""COMPUTED_VALUE"""),1958.0)</f>
        <v>1958</v>
      </c>
      <c r="E10750">
        <f>IFERROR(__xludf.DUMMYFUNCTION("""COMPUTED_VALUE"""),469791.0)</f>
        <v>469791</v>
      </c>
    </row>
    <row r="10751">
      <c r="A10751" t="str">
        <f t="shared" si="1"/>
        <v>mne#1959</v>
      </c>
      <c r="B10751" t="str">
        <f>IFERROR(__xludf.DUMMYFUNCTION("""COMPUTED_VALUE"""),"mne")</f>
        <v>mne</v>
      </c>
      <c r="C10751" t="str">
        <f>IFERROR(__xludf.DUMMYFUNCTION("""COMPUTED_VALUE"""),"Montenegro")</f>
        <v>Montenegro</v>
      </c>
      <c r="D10751">
        <f>IFERROR(__xludf.DUMMYFUNCTION("""COMPUTED_VALUE"""),1959.0)</f>
        <v>1959</v>
      </c>
      <c r="E10751">
        <f>IFERROR(__xludf.DUMMYFUNCTION("""COMPUTED_VALUE"""),478068.0)</f>
        <v>478068</v>
      </c>
    </row>
    <row r="10752">
      <c r="A10752" t="str">
        <f t="shared" si="1"/>
        <v>mne#1960</v>
      </c>
      <c r="B10752" t="str">
        <f>IFERROR(__xludf.DUMMYFUNCTION("""COMPUTED_VALUE"""),"mne")</f>
        <v>mne</v>
      </c>
      <c r="C10752" t="str">
        <f>IFERROR(__xludf.DUMMYFUNCTION("""COMPUTED_VALUE"""),"Montenegro")</f>
        <v>Montenegro</v>
      </c>
      <c r="D10752">
        <f>IFERROR(__xludf.DUMMYFUNCTION("""COMPUTED_VALUE"""),1960.0)</f>
        <v>1960</v>
      </c>
      <c r="E10752">
        <f>IFERROR(__xludf.DUMMYFUNCTION("""COMPUTED_VALUE"""),487413.0)</f>
        <v>487413</v>
      </c>
    </row>
    <row r="10753">
      <c r="A10753" t="str">
        <f t="shared" si="1"/>
        <v>mne#1961</v>
      </c>
      <c r="B10753" t="str">
        <f>IFERROR(__xludf.DUMMYFUNCTION("""COMPUTED_VALUE"""),"mne")</f>
        <v>mne</v>
      </c>
      <c r="C10753" t="str">
        <f>IFERROR(__xludf.DUMMYFUNCTION("""COMPUTED_VALUE"""),"Montenegro")</f>
        <v>Montenegro</v>
      </c>
      <c r="D10753">
        <f>IFERROR(__xludf.DUMMYFUNCTION("""COMPUTED_VALUE"""),1961.0)</f>
        <v>1961</v>
      </c>
      <c r="E10753">
        <f>IFERROR(__xludf.DUMMYFUNCTION("""COMPUTED_VALUE"""),498128.0)</f>
        <v>498128</v>
      </c>
    </row>
    <row r="10754">
      <c r="A10754" t="str">
        <f t="shared" si="1"/>
        <v>mne#1962</v>
      </c>
      <c r="B10754" t="str">
        <f>IFERROR(__xludf.DUMMYFUNCTION("""COMPUTED_VALUE"""),"mne")</f>
        <v>mne</v>
      </c>
      <c r="C10754" t="str">
        <f>IFERROR(__xludf.DUMMYFUNCTION("""COMPUTED_VALUE"""),"Montenegro")</f>
        <v>Montenegro</v>
      </c>
      <c r="D10754">
        <f>IFERROR(__xludf.DUMMYFUNCTION("""COMPUTED_VALUE"""),1962.0)</f>
        <v>1962</v>
      </c>
      <c r="E10754">
        <f>IFERROR(__xludf.DUMMYFUNCTION("""COMPUTED_VALUE"""),509713.0)</f>
        <v>509713</v>
      </c>
    </row>
    <row r="10755">
      <c r="A10755" t="str">
        <f t="shared" si="1"/>
        <v>mne#1963</v>
      </c>
      <c r="B10755" t="str">
        <f>IFERROR(__xludf.DUMMYFUNCTION("""COMPUTED_VALUE"""),"mne")</f>
        <v>mne</v>
      </c>
      <c r="C10755" t="str">
        <f>IFERROR(__xludf.DUMMYFUNCTION("""COMPUTED_VALUE"""),"Montenegro")</f>
        <v>Montenegro</v>
      </c>
      <c r="D10755">
        <f>IFERROR(__xludf.DUMMYFUNCTION("""COMPUTED_VALUE"""),1963.0)</f>
        <v>1963</v>
      </c>
      <c r="E10755">
        <f>IFERROR(__xludf.DUMMYFUNCTION("""COMPUTED_VALUE"""),520714.0)</f>
        <v>520714</v>
      </c>
    </row>
    <row r="10756">
      <c r="A10756" t="str">
        <f t="shared" si="1"/>
        <v>mne#1964</v>
      </c>
      <c r="B10756" t="str">
        <f>IFERROR(__xludf.DUMMYFUNCTION("""COMPUTED_VALUE"""),"mne")</f>
        <v>mne</v>
      </c>
      <c r="C10756" t="str">
        <f>IFERROR(__xludf.DUMMYFUNCTION("""COMPUTED_VALUE"""),"Montenegro")</f>
        <v>Montenegro</v>
      </c>
      <c r="D10756">
        <f>IFERROR(__xludf.DUMMYFUNCTION("""COMPUTED_VALUE"""),1964.0)</f>
        <v>1964</v>
      </c>
      <c r="E10756">
        <f>IFERROR(__xludf.DUMMYFUNCTION("""COMPUTED_VALUE"""),529175.0)</f>
        <v>529175</v>
      </c>
    </row>
    <row r="10757">
      <c r="A10757" t="str">
        <f t="shared" si="1"/>
        <v>mne#1965</v>
      </c>
      <c r="B10757" t="str">
        <f>IFERROR(__xludf.DUMMYFUNCTION("""COMPUTED_VALUE"""),"mne")</f>
        <v>mne</v>
      </c>
      <c r="C10757" t="str">
        <f>IFERROR(__xludf.DUMMYFUNCTION("""COMPUTED_VALUE"""),"Montenegro")</f>
        <v>Montenegro</v>
      </c>
      <c r="D10757">
        <f>IFERROR(__xludf.DUMMYFUNCTION("""COMPUTED_VALUE"""),1965.0)</f>
        <v>1965</v>
      </c>
      <c r="E10757">
        <f>IFERROR(__xludf.DUMMYFUNCTION("""COMPUTED_VALUE"""),533814.0)</f>
        <v>533814</v>
      </c>
    </row>
    <row r="10758">
      <c r="A10758" t="str">
        <f t="shared" si="1"/>
        <v>mne#1966</v>
      </c>
      <c r="B10758" t="str">
        <f>IFERROR(__xludf.DUMMYFUNCTION("""COMPUTED_VALUE"""),"mne")</f>
        <v>mne</v>
      </c>
      <c r="C10758" t="str">
        <f>IFERROR(__xludf.DUMMYFUNCTION("""COMPUTED_VALUE"""),"Montenegro")</f>
        <v>Montenegro</v>
      </c>
      <c r="D10758">
        <f>IFERROR(__xludf.DUMMYFUNCTION("""COMPUTED_VALUE"""),1966.0)</f>
        <v>1966</v>
      </c>
      <c r="E10758">
        <f>IFERROR(__xludf.DUMMYFUNCTION("""COMPUTED_VALUE"""),533908.0)</f>
        <v>533908</v>
      </c>
    </row>
    <row r="10759">
      <c r="A10759" t="str">
        <f t="shared" si="1"/>
        <v>mne#1967</v>
      </c>
      <c r="B10759" t="str">
        <f>IFERROR(__xludf.DUMMYFUNCTION("""COMPUTED_VALUE"""),"mne")</f>
        <v>mne</v>
      </c>
      <c r="C10759" t="str">
        <f>IFERROR(__xludf.DUMMYFUNCTION("""COMPUTED_VALUE"""),"Montenegro")</f>
        <v>Montenegro</v>
      </c>
      <c r="D10759">
        <f>IFERROR(__xludf.DUMMYFUNCTION("""COMPUTED_VALUE"""),1967.0)</f>
        <v>1967</v>
      </c>
      <c r="E10759">
        <f>IFERROR(__xludf.DUMMYFUNCTION("""COMPUTED_VALUE"""),530229.0)</f>
        <v>530229</v>
      </c>
    </row>
    <row r="10760">
      <c r="A10760" t="str">
        <f t="shared" si="1"/>
        <v>mne#1968</v>
      </c>
      <c r="B10760" t="str">
        <f>IFERROR(__xludf.DUMMYFUNCTION("""COMPUTED_VALUE"""),"mne")</f>
        <v>mne</v>
      </c>
      <c r="C10760" t="str">
        <f>IFERROR(__xludf.DUMMYFUNCTION("""COMPUTED_VALUE"""),"Montenegro")</f>
        <v>Montenegro</v>
      </c>
      <c r="D10760">
        <f>IFERROR(__xludf.DUMMYFUNCTION("""COMPUTED_VALUE"""),1968.0)</f>
        <v>1968</v>
      </c>
      <c r="E10760">
        <f>IFERROR(__xludf.DUMMYFUNCTION("""COMPUTED_VALUE"""),524844.0)</f>
        <v>524844</v>
      </c>
    </row>
    <row r="10761">
      <c r="A10761" t="str">
        <f t="shared" si="1"/>
        <v>mne#1969</v>
      </c>
      <c r="B10761" t="str">
        <f>IFERROR(__xludf.DUMMYFUNCTION("""COMPUTED_VALUE"""),"mne")</f>
        <v>mne</v>
      </c>
      <c r="C10761" t="str">
        <f>IFERROR(__xludf.DUMMYFUNCTION("""COMPUTED_VALUE"""),"Montenegro")</f>
        <v>Montenegro</v>
      </c>
      <c r="D10761">
        <f>IFERROR(__xludf.DUMMYFUNCTION("""COMPUTED_VALUE"""),1969.0)</f>
        <v>1969</v>
      </c>
      <c r="E10761">
        <f>IFERROR(__xludf.DUMMYFUNCTION("""COMPUTED_VALUE"""),520647.0)</f>
        <v>520647</v>
      </c>
    </row>
    <row r="10762">
      <c r="A10762" t="str">
        <f t="shared" si="1"/>
        <v>mne#1970</v>
      </c>
      <c r="B10762" t="str">
        <f>IFERROR(__xludf.DUMMYFUNCTION("""COMPUTED_VALUE"""),"mne")</f>
        <v>mne</v>
      </c>
      <c r="C10762" t="str">
        <f>IFERROR(__xludf.DUMMYFUNCTION("""COMPUTED_VALUE"""),"Montenegro")</f>
        <v>Montenegro</v>
      </c>
      <c r="D10762">
        <f>IFERROR(__xludf.DUMMYFUNCTION("""COMPUTED_VALUE"""),1970.0)</f>
        <v>1970</v>
      </c>
      <c r="E10762">
        <f>IFERROR(__xludf.DUMMYFUNCTION("""COMPUTED_VALUE"""),519696.0)</f>
        <v>519696</v>
      </c>
    </row>
    <row r="10763">
      <c r="A10763" t="str">
        <f t="shared" si="1"/>
        <v>mne#1971</v>
      </c>
      <c r="B10763" t="str">
        <f>IFERROR(__xludf.DUMMYFUNCTION("""COMPUTED_VALUE"""),"mne")</f>
        <v>mne</v>
      </c>
      <c r="C10763" t="str">
        <f>IFERROR(__xludf.DUMMYFUNCTION("""COMPUTED_VALUE"""),"Montenegro")</f>
        <v>Montenegro</v>
      </c>
      <c r="D10763">
        <f>IFERROR(__xludf.DUMMYFUNCTION("""COMPUTED_VALUE"""),1971.0)</f>
        <v>1971</v>
      </c>
      <c r="E10763">
        <f>IFERROR(__xludf.DUMMYFUNCTION("""COMPUTED_VALUE"""),522786.0)</f>
        <v>522786</v>
      </c>
    </row>
    <row r="10764">
      <c r="A10764" t="str">
        <f t="shared" si="1"/>
        <v>mne#1972</v>
      </c>
      <c r="B10764" t="str">
        <f>IFERROR(__xludf.DUMMYFUNCTION("""COMPUTED_VALUE"""),"mne")</f>
        <v>mne</v>
      </c>
      <c r="C10764" t="str">
        <f>IFERROR(__xludf.DUMMYFUNCTION("""COMPUTED_VALUE"""),"Montenegro")</f>
        <v>Montenegro</v>
      </c>
      <c r="D10764">
        <f>IFERROR(__xludf.DUMMYFUNCTION("""COMPUTED_VALUE"""),1972.0)</f>
        <v>1972</v>
      </c>
      <c r="E10764">
        <f>IFERROR(__xludf.DUMMYFUNCTION("""COMPUTED_VALUE"""),529210.0)</f>
        <v>529210</v>
      </c>
    </row>
    <row r="10765">
      <c r="A10765" t="str">
        <f t="shared" si="1"/>
        <v>mne#1973</v>
      </c>
      <c r="B10765" t="str">
        <f>IFERROR(__xludf.DUMMYFUNCTION("""COMPUTED_VALUE"""),"mne")</f>
        <v>mne</v>
      </c>
      <c r="C10765" t="str">
        <f>IFERROR(__xludf.DUMMYFUNCTION("""COMPUTED_VALUE"""),"Montenegro")</f>
        <v>Montenegro</v>
      </c>
      <c r="D10765">
        <f>IFERROR(__xludf.DUMMYFUNCTION("""COMPUTED_VALUE"""),1973.0)</f>
        <v>1973</v>
      </c>
      <c r="E10765">
        <f>IFERROR(__xludf.DUMMYFUNCTION("""COMPUTED_VALUE"""),537758.0)</f>
        <v>537758</v>
      </c>
    </row>
    <row r="10766">
      <c r="A10766" t="str">
        <f t="shared" si="1"/>
        <v>mne#1974</v>
      </c>
      <c r="B10766" t="str">
        <f>IFERROR(__xludf.DUMMYFUNCTION("""COMPUTED_VALUE"""),"mne")</f>
        <v>mne</v>
      </c>
      <c r="C10766" t="str">
        <f>IFERROR(__xludf.DUMMYFUNCTION("""COMPUTED_VALUE"""),"Montenegro")</f>
        <v>Montenegro</v>
      </c>
      <c r="D10766">
        <f>IFERROR(__xludf.DUMMYFUNCTION("""COMPUTED_VALUE"""),1974.0)</f>
        <v>1974</v>
      </c>
      <c r="E10766">
        <f>IFERROR(__xludf.DUMMYFUNCTION("""COMPUTED_VALUE"""),546574.0)</f>
        <v>546574</v>
      </c>
    </row>
    <row r="10767">
      <c r="A10767" t="str">
        <f t="shared" si="1"/>
        <v>mne#1975</v>
      </c>
      <c r="B10767" t="str">
        <f>IFERROR(__xludf.DUMMYFUNCTION("""COMPUTED_VALUE"""),"mne")</f>
        <v>mne</v>
      </c>
      <c r="C10767" t="str">
        <f>IFERROR(__xludf.DUMMYFUNCTION("""COMPUTED_VALUE"""),"Montenegro")</f>
        <v>Montenegro</v>
      </c>
      <c r="D10767">
        <f>IFERROR(__xludf.DUMMYFUNCTION("""COMPUTED_VALUE"""),1975.0)</f>
        <v>1975</v>
      </c>
      <c r="E10767">
        <f>IFERROR(__xludf.DUMMYFUNCTION("""COMPUTED_VALUE"""),554262.0)</f>
        <v>554262</v>
      </c>
    </row>
    <row r="10768">
      <c r="A10768" t="str">
        <f t="shared" si="1"/>
        <v>mne#1976</v>
      </c>
      <c r="B10768" t="str">
        <f>IFERROR(__xludf.DUMMYFUNCTION("""COMPUTED_VALUE"""),"mne")</f>
        <v>mne</v>
      </c>
      <c r="C10768" t="str">
        <f>IFERROR(__xludf.DUMMYFUNCTION("""COMPUTED_VALUE"""),"Montenegro")</f>
        <v>Montenegro</v>
      </c>
      <c r="D10768">
        <f>IFERROR(__xludf.DUMMYFUNCTION("""COMPUTED_VALUE"""),1976.0)</f>
        <v>1976</v>
      </c>
      <c r="E10768">
        <f>IFERROR(__xludf.DUMMYFUNCTION("""COMPUTED_VALUE"""),560423.0)</f>
        <v>560423</v>
      </c>
    </row>
    <row r="10769">
      <c r="A10769" t="str">
        <f t="shared" si="1"/>
        <v>mne#1977</v>
      </c>
      <c r="B10769" t="str">
        <f>IFERROR(__xludf.DUMMYFUNCTION("""COMPUTED_VALUE"""),"mne")</f>
        <v>mne</v>
      </c>
      <c r="C10769" t="str">
        <f>IFERROR(__xludf.DUMMYFUNCTION("""COMPUTED_VALUE"""),"Montenegro")</f>
        <v>Montenegro</v>
      </c>
      <c r="D10769">
        <f>IFERROR(__xludf.DUMMYFUNCTION("""COMPUTED_VALUE"""),1977.0)</f>
        <v>1977</v>
      </c>
      <c r="E10769">
        <f>IFERROR(__xludf.DUMMYFUNCTION("""COMPUTED_VALUE"""),565507.0)</f>
        <v>565507</v>
      </c>
    </row>
    <row r="10770">
      <c r="A10770" t="str">
        <f t="shared" si="1"/>
        <v>mne#1978</v>
      </c>
      <c r="B10770" t="str">
        <f>IFERROR(__xludf.DUMMYFUNCTION("""COMPUTED_VALUE"""),"mne")</f>
        <v>mne</v>
      </c>
      <c r="C10770" t="str">
        <f>IFERROR(__xludf.DUMMYFUNCTION("""COMPUTED_VALUE"""),"Montenegro")</f>
        <v>Montenegro</v>
      </c>
      <c r="D10770">
        <f>IFERROR(__xludf.DUMMYFUNCTION("""COMPUTED_VALUE"""),1978.0)</f>
        <v>1978</v>
      </c>
      <c r="E10770">
        <f>IFERROR(__xludf.DUMMYFUNCTION("""COMPUTED_VALUE"""),570056.0)</f>
        <v>570056</v>
      </c>
    </row>
    <row r="10771">
      <c r="A10771" t="str">
        <f t="shared" si="1"/>
        <v>mne#1979</v>
      </c>
      <c r="B10771" t="str">
        <f>IFERROR(__xludf.DUMMYFUNCTION("""COMPUTED_VALUE"""),"mne")</f>
        <v>mne</v>
      </c>
      <c r="C10771" t="str">
        <f>IFERROR(__xludf.DUMMYFUNCTION("""COMPUTED_VALUE"""),"Montenegro")</f>
        <v>Montenegro</v>
      </c>
      <c r="D10771">
        <f>IFERROR(__xludf.DUMMYFUNCTION("""COMPUTED_VALUE"""),1979.0)</f>
        <v>1979</v>
      </c>
      <c r="E10771">
        <f>IFERROR(__xludf.DUMMYFUNCTION("""COMPUTED_VALUE"""),574950.0)</f>
        <v>574950</v>
      </c>
    </row>
    <row r="10772">
      <c r="A10772" t="str">
        <f t="shared" si="1"/>
        <v>mne#1980</v>
      </c>
      <c r="B10772" t="str">
        <f>IFERROR(__xludf.DUMMYFUNCTION("""COMPUTED_VALUE"""),"mne")</f>
        <v>mne</v>
      </c>
      <c r="C10772" t="str">
        <f>IFERROR(__xludf.DUMMYFUNCTION("""COMPUTED_VALUE"""),"Montenegro")</f>
        <v>Montenegro</v>
      </c>
      <c r="D10772">
        <f>IFERROR(__xludf.DUMMYFUNCTION("""COMPUTED_VALUE"""),1980.0)</f>
        <v>1980</v>
      </c>
      <c r="E10772">
        <f>IFERROR(__xludf.DUMMYFUNCTION("""COMPUTED_VALUE"""),580754.0)</f>
        <v>580754</v>
      </c>
    </row>
    <row r="10773">
      <c r="A10773" t="str">
        <f t="shared" si="1"/>
        <v>mne#1981</v>
      </c>
      <c r="B10773" t="str">
        <f>IFERROR(__xludf.DUMMYFUNCTION("""COMPUTED_VALUE"""),"mne")</f>
        <v>mne</v>
      </c>
      <c r="C10773" t="str">
        <f>IFERROR(__xludf.DUMMYFUNCTION("""COMPUTED_VALUE"""),"Montenegro")</f>
        <v>Montenegro</v>
      </c>
      <c r="D10773">
        <f>IFERROR(__xludf.DUMMYFUNCTION("""COMPUTED_VALUE"""),1981.0)</f>
        <v>1981</v>
      </c>
      <c r="E10773">
        <f>IFERROR(__xludf.DUMMYFUNCTION("""COMPUTED_VALUE"""),587687.0)</f>
        <v>587687</v>
      </c>
    </row>
    <row r="10774">
      <c r="A10774" t="str">
        <f t="shared" si="1"/>
        <v>mne#1982</v>
      </c>
      <c r="B10774" t="str">
        <f>IFERROR(__xludf.DUMMYFUNCTION("""COMPUTED_VALUE"""),"mne")</f>
        <v>mne</v>
      </c>
      <c r="C10774" t="str">
        <f>IFERROR(__xludf.DUMMYFUNCTION("""COMPUTED_VALUE"""),"Montenegro")</f>
        <v>Montenegro</v>
      </c>
      <c r="D10774">
        <f>IFERROR(__xludf.DUMMYFUNCTION("""COMPUTED_VALUE"""),1982.0)</f>
        <v>1982</v>
      </c>
      <c r="E10774">
        <f>IFERROR(__xludf.DUMMYFUNCTION("""COMPUTED_VALUE"""),595354.0)</f>
        <v>595354</v>
      </c>
    </row>
    <row r="10775">
      <c r="A10775" t="str">
        <f t="shared" si="1"/>
        <v>mne#1983</v>
      </c>
      <c r="B10775" t="str">
        <f>IFERROR(__xludf.DUMMYFUNCTION("""COMPUTED_VALUE"""),"mne")</f>
        <v>mne</v>
      </c>
      <c r="C10775" t="str">
        <f>IFERROR(__xludf.DUMMYFUNCTION("""COMPUTED_VALUE"""),"Montenegro")</f>
        <v>Montenegro</v>
      </c>
      <c r="D10775">
        <f>IFERROR(__xludf.DUMMYFUNCTION("""COMPUTED_VALUE"""),1983.0)</f>
        <v>1983</v>
      </c>
      <c r="E10775">
        <f>IFERROR(__xludf.DUMMYFUNCTION("""COMPUTED_VALUE"""),602967.0)</f>
        <v>602967</v>
      </c>
    </row>
    <row r="10776">
      <c r="A10776" t="str">
        <f t="shared" si="1"/>
        <v>mne#1984</v>
      </c>
      <c r="B10776" t="str">
        <f>IFERROR(__xludf.DUMMYFUNCTION("""COMPUTED_VALUE"""),"mne")</f>
        <v>mne</v>
      </c>
      <c r="C10776" t="str">
        <f>IFERROR(__xludf.DUMMYFUNCTION("""COMPUTED_VALUE"""),"Montenegro")</f>
        <v>Montenegro</v>
      </c>
      <c r="D10776">
        <f>IFERROR(__xludf.DUMMYFUNCTION("""COMPUTED_VALUE"""),1984.0)</f>
        <v>1984</v>
      </c>
      <c r="E10776">
        <f>IFERROR(__xludf.DUMMYFUNCTION("""COMPUTED_VALUE"""),609431.0)</f>
        <v>609431</v>
      </c>
    </row>
    <row r="10777">
      <c r="A10777" t="str">
        <f t="shared" si="1"/>
        <v>mne#1985</v>
      </c>
      <c r="B10777" t="str">
        <f>IFERROR(__xludf.DUMMYFUNCTION("""COMPUTED_VALUE"""),"mne")</f>
        <v>mne</v>
      </c>
      <c r="C10777" t="str">
        <f>IFERROR(__xludf.DUMMYFUNCTION("""COMPUTED_VALUE"""),"Montenegro")</f>
        <v>Montenegro</v>
      </c>
      <c r="D10777">
        <f>IFERROR(__xludf.DUMMYFUNCTION("""COMPUTED_VALUE"""),1985.0)</f>
        <v>1985</v>
      </c>
      <c r="E10777">
        <f>IFERROR(__xludf.DUMMYFUNCTION("""COMPUTED_VALUE"""),614016.0)</f>
        <v>614016</v>
      </c>
    </row>
    <row r="10778">
      <c r="A10778" t="str">
        <f t="shared" si="1"/>
        <v>mne#1986</v>
      </c>
      <c r="B10778" t="str">
        <f>IFERROR(__xludf.DUMMYFUNCTION("""COMPUTED_VALUE"""),"mne")</f>
        <v>mne</v>
      </c>
      <c r="C10778" t="str">
        <f>IFERROR(__xludf.DUMMYFUNCTION("""COMPUTED_VALUE"""),"Montenegro")</f>
        <v>Montenegro</v>
      </c>
      <c r="D10778">
        <f>IFERROR(__xludf.DUMMYFUNCTION("""COMPUTED_VALUE"""),1986.0)</f>
        <v>1986</v>
      </c>
      <c r="E10778">
        <f>IFERROR(__xludf.DUMMYFUNCTION("""COMPUTED_VALUE"""),616357.0)</f>
        <v>616357</v>
      </c>
    </row>
    <row r="10779">
      <c r="A10779" t="str">
        <f t="shared" si="1"/>
        <v>mne#1987</v>
      </c>
      <c r="B10779" t="str">
        <f>IFERROR(__xludf.DUMMYFUNCTION("""COMPUTED_VALUE"""),"mne")</f>
        <v>mne</v>
      </c>
      <c r="C10779" t="str">
        <f>IFERROR(__xludf.DUMMYFUNCTION("""COMPUTED_VALUE"""),"Montenegro")</f>
        <v>Montenegro</v>
      </c>
      <c r="D10779">
        <f>IFERROR(__xludf.DUMMYFUNCTION("""COMPUTED_VALUE"""),1987.0)</f>
        <v>1987</v>
      </c>
      <c r="E10779">
        <f>IFERROR(__xludf.DUMMYFUNCTION("""COMPUTED_VALUE"""),616797.0)</f>
        <v>616797</v>
      </c>
    </row>
    <row r="10780">
      <c r="A10780" t="str">
        <f t="shared" si="1"/>
        <v>mne#1988</v>
      </c>
      <c r="B10780" t="str">
        <f>IFERROR(__xludf.DUMMYFUNCTION("""COMPUTED_VALUE"""),"mne")</f>
        <v>mne</v>
      </c>
      <c r="C10780" t="str">
        <f>IFERROR(__xludf.DUMMYFUNCTION("""COMPUTED_VALUE"""),"Montenegro")</f>
        <v>Montenegro</v>
      </c>
      <c r="D10780">
        <f>IFERROR(__xludf.DUMMYFUNCTION("""COMPUTED_VALUE"""),1988.0)</f>
        <v>1988</v>
      </c>
      <c r="E10780">
        <f>IFERROR(__xludf.DUMMYFUNCTION("""COMPUTED_VALUE"""),616053.0)</f>
        <v>616053</v>
      </c>
    </row>
    <row r="10781">
      <c r="A10781" t="str">
        <f t="shared" si="1"/>
        <v>mne#1989</v>
      </c>
      <c r="B10781" t="str">
        <f>IFERROR(__xludf.DUMMYFUNCTION("""COMPUTED_VALUE"""),"mne")</f>
        <v>mne</v>
      </c>
      <c r="C10781" t="str">
        <f>IFERROR(__xludf.DUMMYFUNCTION("""COMPUTED_VALUE"""),"Montenegro")</f>
        <v>Montenegro</v>
      </c>
      <c r="D10781">
        <f>IFERROR(__xludf.DUMMYFUNCTION("""COMPUTED_VALUE"""),1989.0)</f>
        <v>1989</v>
      </c>
      <c r="E10781">
        <f>IFERROR(__xludf.DUMMYFUNCTION("""COMPUTED_VALUE"""),615203.0)</f>
        <v>615203</v>
      </c>
    </row>
    <row r="10782">
      <c r="A10782" t="str">
        <f t="shared" si="1"/>
        <v>mne#1990</v>
      </c>
      <c r="B10782" t="str">
        <f>IFERROR(__xludf.DUMMYFUNCTION("""COMPUTED_VALUE"""),"mne")</f>
        <v>mne</v>
      </c>
      <c r="C10782" t="str">
        <f>IFERROR(__xludf.DUMMYFUNCTION("""COMPUTED_VALUE"""),"Montenegro")</f>
        <v>Montenegro</v>
      </c>
      <c r="D10782">
        <f>IFERROR(__xludf.DUMMYFUNCTION("""COMPUTED_VALUE"""),1990.0)</f>
        <v>1990</v>
      </c>
      <c r="E10782">
        <f>IFERROR(__xludf.DUMMYFUNCTION("""COMPUTED_VALUE"""),615002.0)</f>
        <v>615002</v>
      </c>
    </row>
    <row r="10783">
      <c r="A10783" t="str">
        <f t="shared" si="1"/>
        <v>mne#1991</v>
      </c>
      <c r="B10783" t="str">
        <f>IFERROR(__xludf.DUMMYFUNCTION("""COMPUTED_VALUE"""),"mne")</f>
        <v>mne</v>
      </c>
      <c r="C10783" t="str">
        <f>IFERROR(__xludf.DUMMYFUNCTION("""COMPUTED_VALUE"""),"Montenegro")</f>
        <v>Montenegro</v>
      </c>
      <c r="D10783">
        <f>IFERROR(__xludf.DUMMYFUNCTION("""COMPUTED_VALUE"""),1991.0)</f>
        <v>1991</v>
      </c>
      <c r="E10783">
        <f>IFERROR(__xludf.DUMMYFUNCTION("""COMPUTED_VALUE"""),615741.0)</f>
        <v>615741</v>
      </c>
    </row>
    <row r="10784">
      <c r="A10784" t="str">
        <f t="shared" si="1"/>
        <v>mne#1992</v>
      </c>
      <c r="B10784" t="str">
        <f>IFERROR(__xludf.DUMMYFUNCTION("""COMPUTED_VALUE"""),"mne")</f>
        <v>mne</v>
      </c>
      <c r="C10784" t="str">
        <f>IFERROR(__xludf.DUMMYFUNCTION("""COMPUTED_VALUE"""),"Montenegro")</f>
        <v>Montenegro</v>
      </c>
      <c r="D10784">
        <f>IFERROR(__xludf.DUMMYFUNCTION("""COMPUTED_VALUE"""),1992.0)</f>
        <v>1992</v>
      </c>
      <c r="E10784">
        <f>IFERROR(__xludf.DUMMYFUNCTION("""COMPUTED_VALUE"""),617172.0)</f>
        <v>617172</v>
      </c>
    </row>
    <row r="10785">
      <c r="A10785" t="str">
        <f t="shared" si="1"/>
        <v>mne#1993</v>
      </c>
      <c r="B10785" t="str">
        <f>IFERROR(__xludf.DUMMYFUNCTION("""COMPUTED_VALUE"""),"mne")</f>
        <v>mne</v>
      </c>
      <c r="C10785" t="str">
        <f>IFERROR(__xludf.DUMMYFUNCTION("""COMPUTED_VALUE"""),"Montenegro")</f>
        <v>Montenegro</v>
      </c>
      <c r="D10785">
        <f>IFERROR(__xludf.DUMMYFUNCTION("""COMPUTED_VALUE"""),1993.0)</f>
        <v>1993</v>
      </c>
      <c r="E10785">
        <f>IFERROR(__xludf.DUMMYFUNCTION("""COMPUTED_VALUE"""),618852.0)</f>
        <v>618852</v>
      </c>
    </row>
    <row r="10786">
      <c r="A10786" t="str">
        <f t="shared" si="1"/>
        <v>mne#1994</v>
      </c>
      <c r="B10786" t="str">
        <f>IFERROR(__xludf.DUMMYFUNCTION("""COMPUTED_VALUE"""),"mne")</f>
        <v>mne</v>
      </c>
      <c r="C10786" t="str">
        <f>IFERROR(__xludf.DUMMYFUNCTION("""COMPUTED_VALUE"""),"Montenegro")</f>
        <v>Montenegro</v>
      </c>
      <c r="D10786">
        <f>IFERROR(__xludf.DUMMYFUNCTION("""COMPUTED_VALUE"""),1994.0)</f>
        <v>1994</v>
      </c>
      <c r="E10786">
        <f>IFERROR(__xludf.DUMMYFUNCTION("""COMPUTED_VALUE"""),620084.0)</f>
        <v>620084</v>
      </c>
    </row>
    <row r="10787">
      <c r="A10787" t="str">
        <f t="shared" si="1"/>
        <v>mne#1995</v>
      </c>
      <c r="B10787" t="str">
        <f>IFERROR(__xludf.DUMMYFUNCTION("""COMPUTED_VALUE"""),"mne")</f>
        <v>mne</v>
      </c>
      <c r="C10787" t="str">
        <f>IFERROR(__xludf.DUMMYFUNCTION("""COMPUTED_VALUE"""),"Montenegro")</f>
        <v>Montenegro</v>
      </c>
      <c r="D10787">
        <f>IFERROR(__xludf.DUMMYFUNCTION("""COMPUTED_VALUE"""),1995.0)</f>
        <v>1995</v>
      </c>
      <c r="E10787">
        <f>IFERROR(__xludf.DUMMYFUNCTION("""COMPUTED_VALUE"""),620414.0)</f>
        <v>620414</v>
      </c>
    </row>
    <row r="10788">
      <c r="A10788" t="str">
        <f t="shared" si="1"/>
        <v>mne#1996</v>
      </c>
      <c r="B10788" t="str">
        <f>IFERROR(__xludf.DUMMYFUNCTION("""COMPUTED_VALUE"""),"mne")</f>
        <v>mne</v>
      </c>
      <c r="C10788" t="str">
        <f>IFERROR(__xludf.DUMMYFUNCTION("""COMPUTED_VALUE"""),"Montenegro")</f>
        <v>Montenegro</v>
      </c>
      <c r="D10788">
        <f>IFERROR(__xludf.DUMMYFUNCTION("""COMPUTED_VALUE"""),1996.0)</f>
        <v>1996</v>
      </c>
      <c r="E10788">
        <f>IFERROR(__xludf.DUMMYFUNCTION("""COMPUTED_VALUE"""),619707.0)</f>
        <v>619707</v>
      </c>
    </row>
    <row r="10789">
      <c r="A10789" t="str">
        <f t="shared" si="1"/>
        <v>mne#1997</v>
      </c>
      <c r="B10789" t="str">
        <f>IFERROR(__xludf.DUMMYFUNCTION("""COMPUTED_VALUE"""),"mne")</f>
        <v>mne</v>
      </c>
      <c r="C10789" t="str">
        <f>IFERROR(__xludf.DUMMYFUNCTION("""COMPUTED_VALUE"""),"Montenegro")</f>
        <v>Montenegro</v>
      </c>
      <c r="D10789">
        <f>IFERROR(__xludf.DUMMYFUNCTION("""COMPUTED_VALUE"""),1997.0)</f>
        <v>1997</v>
      </c>
      <c r="E10789">
        <f>IFERROR(__xludf.DUMMYFUNCTION("""COMPUTED_VALUE"""),618216.0)</f>
        <v>618216</v>
      </c>
    </row>
    <row r="10790">
      <c r="A10790" t="str">
        <f t="shared" si="1"/>
        <v>mne#1998</v>
      </c>
      <c r="B10790" t="str">
        <f>IFERROR(__xludf.DUMMYFUNCTION("""COMPUTED_VALUE"""),"mne")</f>
        <v>mne</v>
      </c>
      <c r="C10790" t="str">
        <f>IFERROR(__xludf.DUMMYFUNCTION("""COMPUTED_VALUE"""),"Montenegro")</f>
        <v>Montenegro</v>
      </c>
      <c r="D10790">
        <f>IFERROR(__xludf.DUMMYFUNCTION("""COMPUTED_VALUE"""),1998.0)</f>
        <v>1998</v>
      </c>
      <c r="E10790">
        <f>IFERROR(__xludf.DUMMYFUNCTION("""COMPUTED_VALUE"""),616340.0)</f>
        <v>616340</v>
      </c>
    </row>
    <row r="10791">
      <c r="A10791" t="str">
        <f t="shared" si="1"/>
        <v>mne#1999</v>
      </c>
      <c r="B10791" t="str">
        <f>IFERROR(__xludf.DUMMYFUNCTION("""COMPUTED_VALUE"""),"mne")</f>
        <v>mne</v>
      </c>
      <c r="C10791" t="str">
        <f>IFERROR(__xludf.DUMMYFUNCTION("""COMPUTED_VALUE"""),"Montenegro")</f>
        <v>Montenegro</v>
      </c>
      <c r="D10791">
        <f>IFERROR(__xludf.DUMMYFUNCTION("""COMPUTED_VALUE"""),1999.0)</f>
        <v>1999</v>
      </c>
      <c r="E10791">
        <f>IFERROR(__xludf.DUMMYFUNCTION("""COMPUTED_VALUE"""),614650.0)</f>
        <v>614650</v>
      </c>
    </row>
    <row r="10792">
      <c r="A10792" t="str">
        <f t="shared" si="1"/>
        <v>mne#2000</v>
      </c>
      <c r="B10792" t="str">
        <f>IFERROR(__xludf.DUMMYFUNCTION("""COMPUTED_VALUE"""),"mne")</f>
        <v>mne</v>
      </c>
      <c r="C10792" t="str">
        <f>IFERROR(__xludf.DUMMYFUNCTION("""COMPUTED_VALUE"""),"Montenegro")</f>
        <v>Montenegro</v>
      </c>
      <c r="D10792">
        <f>IFERROR(__xludf.DUMMYFUNCTION("""COMPUTED_VALUE"""),2000.0)</f>
        <v>2000</v>
      </c>
      <c r="E10792">
        <f>IFERROR(__xludf.DUMMYFUNCTION("""COMPUTED_VALUE"""),613560.0)</f>
        <v>613560</v>
      </c>
    </row>
    <row r="10793">
      <c r="A10793" t="str">
        <f t="shared" si="1"/>
        <v>mne#2001</v>
      </c>
      <c r="B10793" t="str">
        <f>IFERROR(__xludf.DUMMYFUNCTION("""COMPUTED_VALUE"""),"mne")</f>
        <v>mne</v>
      </c>
      <c r="C10793" t="str">
        <f>IFERROR(__xludf.DUMMYFUNCTION("""COMPUTED_VALUE"""),"Montenegro")</f>
        <v>Montenegro</v>
      </c>
      <c r="D10793">
        <f>IFERROR(__xludf.DUMMYFUNCTION("""COMPUTED_VALUE"""),2001.0)</f>
        <v>2001</v>
      </c>
      <c r="E10793">
        <f>IFERROR(__xludf.DUMMYFUNCTION("""COMPUTED_VALUE"""),613175.0)</f>
        <v>613175</v>
      </c>
    </row>
    <row r="10794">
      <c r="A10794" t="str">
        <f t="shared" si="1"/>
        <v>mne#2002</v>
      </c>
      <c r="B10794" t="str">
        <f>IFERROR(__xludf.DUMMYFUNCTION("""COMPUTED_VALUE"""),"mne")</f>
        <v>mne</v>
      </c>
      <c r="C10794" t="str">
        <f>IFERROR(__xludf.DUMMYFUNCTION("""COMPUTED_VALUE"""),"Montenegro")</f>
        <v>Montenegro</v>
      </c>
      <c r="D10794">
        <f>IFERROR(__xludf.DUMMYFUNCTION("""COMPUTED_VALUE"""),2002.0)</f>
        <v>2002</v>
      </c>
      <c r="E10794">
        <f>IFERROR(__xludf.DUMMYFUNCTION("""COMPUTED_VALUE"""),613382.0)</f>
        <v>613382</v>
      </c>
    </row>
    <row r="10795">
      <c r="A10795" t="str">
        <f t="shared" si="1"/>
        <v>mne#2003</v>
      </c>
      <c r="B10795" t="str">
        <f>IFERROR(__xludf.DUMMYFUNCTION("""COMPUTED_VALUE"""),"mne")</f>
        <v>mne</v>
      </c>
      <c r="C10795" t="str">
        <f>IFERROR(__xludf.DUMMYFUNCTION("""COMPUTED_VALUE"""),"Montenegro")</f>
        <v>Montenegro</v>
      </c>
      <c r="D10795">
        <f>IFERROR(__xludf.DUMMYFUNCTION("""COMPUTED_VALUE"""),2003.0)</f>
        <v>2003</v>
      </c>
      <c r="E10795">
        <f>IFERROR(__xludf.DUMMYFUNCTION("""COMPUTED_VALUE"""),614097.0)</f>
        <v>614097</v>
      </c>
    </row>
    <row r="10796">
      <c r="A10796" t="str">
        <f t="shared" si="1"/>
        <v>mne#2004</v>
      </c>
      <c r="B10796" t="str">
        <f>IFERROR(__xludf.DUMMYFUNCTION("""COMPUTED_VALUE"""),"mne")</f>
        <v>mne</v>
      </c>
      <c r="C10796" t="str">
        <f>IFERROR(__xludf.DUMMYFUNCTION("""COMPUTED_VALUE"""),"Montenegro")</f>
        <v>Montenegro</v>
      </c>
      <c r="D10796">
        <f>IFERROR(__xludf.DUMMYFUNCTION("""COMPUTED_VALUE"""),2004.0)</f>
        <v>2004</v>
      </c>
      <c r="E10796">
        <f>IFERROR(__xludf.DUMMYFUNCTION("""COMPUTED_VALUE"""),615145.0)</f>
        <v>615145</v>
      </c>
    </row>
    <row r="10797">
      <c r="A10797" t="str">
        <f t="shared" si="1"/>
        <v>mne#2005</v>
      </c>
      <c r="B10797" t="str">
        <f>IFERROR(__xludf.DUMMYFUNCTION("""COMPUTED_VALUE"""),"mne")</f>
        <v>mne</v>
      </c>
      <c r="C10797" t="str">
        <f>IFERROR(__xludf.DUMMYFUNCTION("""COMPUTED_VALUE"""),"Montenegro")</f>
        <v>Montenegro</v>
      </c>
      <c r="D10797">
        <f>IFERROR(__xludf.DUMMYFUNCTION("""COMPUTED_VALUE"""),2005.0)</f>
        <v>2005</v>
      </c>
      <c r="E10797">
        <f>IFERROR(__xludf.DUMMYFUNCTION("""COMPUTED_VALUE"""),616388.0)</f>
        <v>616388</v>
      </c>
    </row>
    <row r="10798">
      <c r="A10798" t="str">
        <f t="shared" si="1"/>
        <v>mne#2006</v>
      </c>
      <c r="B10798" t="str">
        <f>IFERROR(__xludf.DUMMYFUNCTION("""COMPUTED_VALUE"""),"mne")</f>
        <v>mne</v>
      </c>
      <c r="C10798" t="str">
        <f>IFERROR(__xludf.DUMMYFUNCTION("""COMPUTED_VALUE"""),"Montenegro")</f>
        <v>Montenegro</v>
      </c>
      <c r="D10798">
        <f>IFERROR(__xludf.DUMMYFUNCTION("""COMPUTED_VALUE"""),2006.0)</f>
        <v>2006</v>
      </c>
      <c r="E10798">
        <f>IFERROR(__xludf.DUMMYFUNCTION("""COMPUTED_VALUE"""),617832.0)</f>
        <v>617832</v>
      </c>
    </row>
    <row r="10799">
      <c r="A10799" t="str">
        <f t="shared" si="1"/>
        <v>mne#2007</v>
      </c>
      <c r="B10799" t="str">
        <f>IFERROR(__xludf.DUMMYFUNCTION("""COMPUTED_VALUE"""),"mne")</f>
        <v>mne</v>
      </c>
      <c r="C10799" t="str">
        <f>IFERROR(__xludf.DUMMYFUNCTION("""COMPUTED_VALUE"""),"Montenegro")</f>
        <v>Montenegro</v>
      </c>
      <c r="D10799">
        <f>IFERROR(__xludf.DUMMYFUNCTION("""COMPUTED_VALUE"""),2007.0)</f>
        <v>2007</v>
      </c>
      <c r="E10799">
        <f>IFERROR(__xludf.DUMMYFUNCTION("""COMPUTED_VALUE"""),619484.0)</f>
        <v>619484</v>
      </c>
    </row>
    <row r="10800">
      <c r="A10800" t="str">
        <f t="shared" si="1"/>
        <v>mne#2008</v>
      </c>
      <c r="B10800" t="str">
        <f>IFERROR(__xludf.DUMMYFUNCTION("""COMPUTED_VALUE"""),"mne")</f>
        <v>mne</v>
      </c>
      <c r="C10800" t="str">
        <f>IFERROR(__xludf.DUMMYFUNCTION("""COMPUTED_VALUE"""),"Montenegro")</f>
        <v>Montenegro</v>
      </c>
      <c r="D10800">
        <f>IFERROR(__xludf.DUMMYFUNCTION("""COMPUTED_VALUE"""),2008.0)</f>
        <v>2008</v>
      </c>
      <c r="E10800">
        <f>IFERROR(__xludf.DUMMYFUNCTION("""COMPUTED_VALUE"""),621205.0)</f>
        <v>621205</v>
      </c>
    </row>
    <row r="10801">
      <c r="A10801" t="str">
        <f t="shared" si="1"/>
        <v>mne#2009</v>
      </c>
      <c r="B10801" t="str">
        <f>IFERROR(__xludf.DUMMYFUNCTION("""COMPUTED_VALUE"""),"mne")</f>
        <v>mne</v>
      </c>
      <c r="C10801" t="str">
        <f>IFERROR(__xludf.DUMMYFUNCTION("""COMPUTED_VALUE"""),"Montenegro")</f>
        <v>Montenegro</v>
      </c>
      <c r="D10801">
        <f>IFERROR(__xludf.DUMMYFUNCTION("""COMPUTED_VALUE"""),2009.0)</f>
        <v>2009</v>
      </c>
      <c r="E10801">
        <f>IFERROR(__xludf.DUMMYFUNCTION("""COMPUTED_VALUE"""),622852.0)</f>
        <v>622852</v>
      </c>
    </row>
    <row r="10802">
      <c r="A10802" t="str">
        <f t="shared" si="1"/>
        <v>mne#2010</v>
      </c>
      <c r="B10802" t="str">
        <f>IFERROR(__xludf.DUMMYFUNCTION("""COMPUTED_VALUE"""),"mne")</f>
        <v>mne</v>
      </c>
      <c r="C10802" t="str">
        <f>IFERROR(__xludf.DUMMYFUNCTION("""COMPUTED_VALUE"""),"Montenegro")</f>
        <v>Montenegro</v>
      </c>
      <c r="D10802">
        <f>IFERROR(__xludf.DUMMYFUNCTION("""COMPUTED_VALUE"""),2010.0)</f>
        <v>2010</v>
      </c>
      <c r="E10802">
        <f>IFERROR(__xludf.DUMMYFUNCTION("""COMPUTED_VALUE"""),624285.0)</f>
        <v>624285</v>
      </c>
    </row>
    <row r="10803">
      <c r="A10803" t="str">
        <f t="shared" si="1"/>
        <v>mne#2011</v>
      </c>
      <c r="B10803" t="str">
        <f>IFERROR(__xludf.DUMMYFUNCTION("""COMPUTED_VALUE"""),"mne")</f>
        <v>mne</v>
      </c>
      <c r="C10803" t="str">
        <f>IFERROR(__xludf.DUMMYFUNCTION("""COMPUTED_VALUE"""),"Montenegro")</f>
        <v>Montenegro</v>
      </c>
      <c r="D10803">
        <f>IFERROR(__xludf.DUMMYFUNCTION("""COMPUTED_VALUE"""),2011.0)</f>
        <v>2011</v>
      </c>
      <c r="E10803">
        <f>IFERROR(__xludf.DUMMYFUNCTION("""COMPUTED_VALUE"""),625466.0)</f>
        <v>625466</v>
      </c>
    </row>
    <row r="10804">
      <c r="A10804" t="str">
        <f t="shared" si="1"/>
        <v>mne#2012</v>
      </c>
      <c r="B10804" t="str">
        <f>IFERROR(__xludf.DUMMYFUNCTION("""COMPUTED_VALUE"""),"mne")</f>
        <v>mne</v>
      </c>
      <c r="C10804" t="str">
        <f>IFERROR(__xludf.DUMMYFUNCTION("""COMPUTED_VALUE"""),"Montenegro")</f>
        <v>Montenegro</v>
      </c>
      <c r="D10804">
        <f>IFERROR(__xludf.DUMMYFUNCTION("""COMPUTED_VALUE"""),2012.0)</f>
        <v>2012</v>
      </c>
      <c r="E10804">
        <f>IFERROR(__xludf.DUMMYFUNCTION("""COMPUTED_VALUE"""),626386.0)</f>
        <v>626386</v>
      </c>
    </row>
    <row r="10805">
      <c r="A10805" t="str">
        <f t="shared" si="1"/>
        <v>mne#2013</v>
      </c>
      <c r="B10805" t="str">
        <f>IFERROR(__xludf.DUMMYFUNCTION("""COMPUTED_VALUE"""),"mne")</f>
        <v>mne</v>
      </c>
      <c r="C10805" t="str">
        <f>IFERROR(__xludf.DUMMYFUNCTION("""COMPUTED_VALUE"""),"Montenegro")</f>
        <v>Montenegro</v>
      </c>
      <c r="D10805">
        <f>IFERROR(__xludf.DUMMYFUNCTION("""COMPUTED_VALUE"""),2013.0)</f>
        <v>2013</v>
      </c>
      <c r="E10805">
        <f>IFERROR(__xludf.DUMMYFUNCTION("""COMPUTED_VALUE"""),627094.0)</f>
        <v>627094</v>
      </c>
    </row>
    <row r="10806">
      <c r="A10806" t="str">
        <f t="shared" si="1"/>
        <v>mne#2014</v>
      </c>
      <c r="B10806" t="str">
        <f>IFERROR(__xludf.DUMMYFUNCTION("""COMPUTED_VALUE"""),"mne")</f>
        <v>mne</v>
      </c>
      <c r="C10806" t="str">
        <f>IFERROR(__xludf.DUMMYFUNCTION("""COMPUTED_VALUE"""),"Montenegro")</f>
        <v>Montenegro</v>
      </c>
      <c r="D10806">
        <f>IFERROR(__xludf.DUMMYFUNCTION("""COMPUTED_VALUE"""),2014.0)</f>
        <v>2014</v>
      </c>
      <c r="E10806">
        <f>IFERROR(__xludf.DUMMYFUNCTION("""COMPUTED_VALUE"""),627674.0)</f>
        <v>627674</v>
      </c>
    </row>
    <row r="10807">
      <c r="A10807" t="str">
        <f t="shared" si="1"/>
        <v>mne#2015</v>
      </c>
      <c r="B10807" t="str">
        <f>IFERROR(__xludf.DUMMYFUNCTION("""COMPUTED_VALUE"""),"mne")</f>
        <v>mne</v>
      </c>
      <c r="C10807" t="str">
        <f>IFERROR(__xludf.DUMMYFUNCTION("""COMPUTED_VALUE"""),"Montenegro")</f>
        <v>Montenegro</v>
      </c>
      <c r="D10807">
        <f>IFERROR(__xludf.DUMMYFUNCTION("""COMPUTED_VALUE"""),2015.0)</f>
        <v>2015</v>
      </c>
      <c r="E10807">
        <f>IFERROR(__xludf.DUMMYFUNCTION("""COMPUTED_VALUE"""),628178.0)</f>
        <v>628178</v>
      </c>
    </row>
    <row r="10808">
      <c r="A10808" t="str">
        <f t="shared" si="1"/>
        <v>mne#2016</v>
      </c>
      <c r="B10808" t="str">
        <f>IFERROR(__xludf.DUMMYFUNCTION("""COMPUTED_VALUE"""),"mne")</f>
        <v>mne</v>
      </c>
      <c r="C10808" t="str">
        <f>IFERROR(__xludf.DUMMYFUNCTION("""COMPUTED_VALUE"""),"Montenegro")</f>
        <v>Montenegro</v>
      </c>
      <c r="D10808">
        <f>IFERROR(__xludf.DUMMYFUNCTION("""COMPUTED_VALUE"""),2016.0)</f>
        <v>2016</v>
      </c>
      <c r="E10808">
        <f>IFERROR(__xludf.DUMMYFUNCTION("""COMPUTED_VALUE"""),628615.0)</f>
        <v>628615</v>
      </c>
    </row>
    <row r="10809">
      <c r="A10809" t="str">
        <f t="shared" si="1"/>
        <v>mne#2017</v>
      </c>
      <c r="B10809" t="str">
        <f>IFERROR(__xludf.DUMMYFUNCTION("""COMPUTED_VALUE"""),"mne")</f>
        <v>mne</v>
      </c>
      <c r="C10809" t="str">
        <f>IFERROR(__xludf.DUMMYFUNCTION("""COMPUTED_VALUE"""),"Montenegro")</f>
        <v>Montenegro</v>
      </c>
      <c r="D10809">
        <f>IFERROR(__xludf.DUMMYFUNCTION("""COMPUTED_VALUE"""),2017.0)</f>
        <v>2017</v>
      </c>
      <c r="E10809">
        <f>IFERROR(__xludf.DUMMYFUNCTION("""COMPUTED_VALUE"""),628960.0)</f>
        <v>628960</v>
      </c>
    </row>
    <row r="10810">
      <c r="A10810" t="str">
        <f t="shared" si="1"/>
        <v>mne#2018</v>
      </c>
      <c r="B10810" t="str">
        <f>IFERROR(__xludf.DUMMYFUNCTION("""COMPUTED_VALUE"""),"mne")</f>
        <v>mne</v>
      </c>
      <c r="C10810" t="str">
        <f>IFERROR(__xludf.DUMMYFUNCTION("""COMPUTED_VALUE"""),"Montenegro")</f>
        <v>Montenegro</v>
      </c>
      <c r="D10810">
        <f>IFERROR(__xludf.DUMMYFUNCTION("""COMPUTED_VALUE"""),2018.0)</f>
        <v>2018</v>
      </c>
      <c r="E10810">
        <f>IFERROR(__xludf.DUMMYFUNCTION("""COMPUTED_VALUE"""),629219.0)</f>
        <v>629219</v>
      </c>
    </row>
    <row r="10811">
      <c r="A10811" t="str">
        <f t="shared" si="1"/>
        <v>mne#2019</v>
      </c>
      <c r="B10811" t="str">
        <f>IFERROR(__xludf.DUMMYFUNCTION("""COMPUTED_VALUE"""),"mne")</f>
        <v>mne</v>
      </c>
      <c r="C10811" t="str">
        <f>IFERROR(__xludf.DUMMYFUNCTION("""COMPUTED_VALUE"""),"Montenegro")</f>
        <v>Montenegro</v>
      </c>
      <c r="D10811">
        <f>IFERROR(__xludf.DUMMYFUNCTION("""COMPUTED_VALUE"""),2019.0)</f>
        <v>2019</v>
      </c>
      <c r="E10811">
        <f>IFERROR(__xludf.DUMMYFUNCTION("""COMPUTED_VALUE"""),629355.0)</f>
        <v>629355</v>
      </c>
    </row>
    <row r="10812">
      <c r="A10812" t="str">
        <f t="shared" si="1"/>
        <v>mne#2020</v>
      </c>
      <c r="B10812" t="str">
        <f>IFERROR(__xludf.DUMMYFUNCTION("""COMPUTED_VALUE"""),"mne")</f>
        <v>mne</v>
      </c>
      <c r="C10812" t="str">
        <f>IFERROR(__xludf.DUMMYFUNCTION("""COMPUTED_VALUE"""),"Montenegro")</f>
        <v>Montenegro</v>
      </c>
      <c r="D10812">
        <f>IFERROR(__xludf.DUMMYFUNCTION("""COMPUTED_VALUE"""),2020.0)</f>
        <v>2020</v>
      </c>
      <c r="E10812">
        <f>IFERROR(__xludf.DUMMYFUNCTION("""COMPUTED_VALUE"""),629397.0)</f>
        <v>629397</v>
      </c>
    </row>
    <row r="10813">
      <c r="A10813" t="str">
        <f t="shared" si="1"/>
        <v>mne#2021</v>
      </c>
      <c r="B10813" t="str">
        <f>IFERROR(__xludf.DUMMYFUNCTION("""COMPUTED_VALUE"""),"mne")</f>
        <v>mne</v>
      </c>
      <c r="C10813" t="str">
        <f>IFERROR(__xludf.DUMMYFUNCTION("""COMPUTED_VALUE"""),"Montenegro")</f>
        <v>Montenegro</v>
      </c>
      <c r="D10813">
        <f>IFERROR(__xludf.DUMMYFUNCTION("""COMPUTED_VALUE"""),2021.0)</f>
        <v>2021</v>
      </c>
      <c r="E10813">
        <f>IFERROR(__xludf.DUMMYFUNCTION("""COMPUTED_VALUE"""),629333.0)</f>
        <v>629333</v>
      </c>
    </row>
    <row r="10814">
      <c r="A10814" t="str">
        <f t="shared" si="1"/>
        <v>mne#2022</v>
      </c>
      <c r="B10814" t="str">
        <f>IFERROR(__xludf.DUMMYFUNCTION("""COMPUTED_VALUE"""),"mne")</f>
        <v>mne</v>
      </c>
      <c r="C10814" t="str">
        <f>IFERROR(__xludf.DUMMYFUNCTION("""COMPUTED_VALUE"""),"Montenegro")</f>
        <v>Montenegro</v>
      </c>
      <c r="D10814">
        <f>IFERROR(__xludf.DUMMYFUNCTION("""COMPUTED_VALUE"""),2022.0)</f>
        <v>2022</v>
      </c>
      <c r="E10814">
        <f>IFERROR(__xludf.DUMMYFUNCTION("""COMPUTED_VALUE"""),629161.0)</f>
        <v>629161</v>
      </c>
    </row>
    <row r="10815">
      <c r="A10815" t="str">
        <f t="shared" si="1"/>
        <v>mne#2023</v>
      </c>
      <c r="B10815" t="str">
        <f>IFERROR(__xludf.DUMMYFUNCTION("""COMPUTED_VALUE"""),"mne")</f>
        <v>mne</v>
      </c>
      <c r="C10815" t="str">
        <f>IFERROR(__xludf.DUMMYFUNCTION("""COMPUTED_VALUE"""),"Montenegro")</f>
        <v>Montenegro</v>
      </c>
      <c r="D10815">
        <f>IFERROR(__xludf.DUMMYFUNCTION("""COMPUTED_VALUE"""),2023.0)</f>
        <v>2023</v>
      </c>
      <c r="E10815">
        <f>IFERROR(__xludf.DUMMYFUNCTION("""COMPUTED_VALUE"""),628893.0)</f>
        <v>628893</v>
      </c>
    </row>
    <row r="10816">
      <c r="A10816" t="str">
        <f t="shared" si="1"/>
        <v>mne#2024</v>
      </c>
      <c r="B10816" t="str">
        <f>IFERROR(__xludf.DUMMYFUNCTION("""COMPUTED_VALUE"""),"mne")</f>
        <v>mne</v>
      </c>
      <c r="C10816" t="str">
        <f>IFERROR(__xludf.DUMMYFUNCTION("""COMPUTED_VALUE"""),"Montenegro")</f>
        <v>Montenegro</v>
      </c>
      <c r="D10816">
        <f>IFERROR(__xludf.DUMMYFUNCTION("""COMPUTED_VALUE"""),2024.0)</f>
        <v>2024</v>
      </c>
      <c r="E10816">
        <f>IFERROR(__xludf.DUMMYFUNCTION("""COMPUTED_VALUE"""),628538.0)</f>
        <v>628538</v>
      </c>
    </row>
    <row r="10817">
      <c r="A10817" t="str">
        <f t="shared" si="1"/>
        <v>mne#2025</v>
      </c>
      <c r="B10817" t="str">
        <f>IFERROR(__xludf.DUMMYFUNCTION("""COMPUTED_VALUE"""),"mne")</f>
        <v>mne</v>
      </c>
      <c r="C10817" t="str">
        <f>IFERROR(__xludf.DUMMYFUNCTION("""COMPUTED_VALUE"""),"Montenegro")</f>
        <v>Montenegro</v>
      </c>
      <c r="D10817">
        <f>IFERROR(__xludf.DUMMYFUNCTION("""COMPUTED_VALUE"""),2025.0)</f>
        <v>2025</v>
      </c>
      <c r="E10817">
        <f>IFERROR(__xludf.DUMMYFUNCTION("""COMPUTED_VALUE"""),628109.0)</f>
        <v>628109</v>
      </c>
    </row>
    <row r="10818">
      <c r="A10818" t="str">
        <f t="shared" si="1"/>
        <v>mne#2026</v>
      </c>
      <c r="B10818" t="str">
        <f>IFERROR(__xludf.DUMMYFUNCTION("""COMPUTED_VALUE"""),"mne")</f>
        <v>mne</v>
      </c>
      <c r="C10818" t="str">
        <f>IFERROR(__xludf.DUMMYFUNCTION("""COMPUTED_VALUE"""),"Montenegro")</f>
        <v>Montenegro</v>
      </c>
      <c r="D10818">
        <f>IFERROR(__xludf.DUMMYFUNCTION("""COMPUTED_VALUE"""),2026.0)</f>
        <v>2026</v>
      </c>
      <c r="E10818">
        <f>IFERROR(__xludf.DUMMYFUNCTION("""COMPUTED_VALUE"""),627604.0)</f>
        <v>627604</v>
      </c>
    </row>
    <row r="10819">
      <c r="A10819" t="str">
        <f t="shared" si="1"/>
        <v>mne#2027</v>
      </c>
      <c r="B10819" t="str">
        <f>IFERROR(__xludf.DUMMYFUNCTION("""COMPUTED_VALUE"""),"mne")</f>
        <v>mne</v>
      </c>
      <c r="C10819" t="str">
        <f>IFERROR(__xludf.DUMMYFUNCTION("""COMPUTED_VALUE"""),"Montenegro")</f>
        <v>Montenegro</v>
      </c>
      <c r="D10819">
        <f>IFERROR(__xludf.DUMMYFUNCTION("""COMPUTED_VALUE"""),2027.0)</f>
        <v>2027</v>
      </c>
      <c r="E10819">
        <f>IFERROR(__xludf.DUMMYFUNCTION("""COMPUTED_VALUE"""),627007.0)</f>
        <v>627007</v>
      </c>
    </row>
    <row r="10820">
      <c r="A10820" t="str">
        <f t="shared" si="1"/>
        <v>mne#2028</v>
      </c>
      <c r="B10820" t="str">
        <f>IFERROR(__xludf.DUMMYFUNCTION("""COMPUTED_VALUE"""),"mne")</f>
        <v>mne</v>
      </c>
      <c r="C10820" t="str">
        <f>IFERROR(__xludf.DUMMYFUNCTION("""COMPUTED_VALUE"""),"Montenegro")</f>
        <v>Montenegro</v>
      </c>
      <c r="D10820">
        <f>IFERROR(__xludf.DUMMYFUNCTION("""COMPUTED_VALUE"""),2028.0)</f>
        <v>2028</v>
      </c>
      <c r="E10820">
        <f>IFERROR(__xludf.DUMMYFUNCTION("""COMPUTED_VALUE"""),626336.0)</f>
        <v>626336</v>
      </c>
    </row>
    <row r="10821">
      <c r="A10821" t="str">
        <f t="shared" si="1"/>
        <v>mne#2029</v>
      </c>
      <c r="B10821" t="str">
        <f>IFERROR(__xludf.DUMMYFUNCTION("""COMPUTED_VALUE"""),"mne")</f>
        <v>mne</v>
      </c>
      <c r="C10821" t="str">
        <f>IFERROR(__xludf.DUMMYFUNCTION("""COMPUTED_VALUE"""),"Montenegro")</f>
        <v>Montenegro</v>
      </c>
      <c r="D10821">
        <f>IFERROR(__xludf.DUMMYFUNCTION("""COMPUTED_VALUE"""),2029.0)</f>
        <v>2029</v>
      </c>
      <c r="E10821">
        <f>IFERROR(__xludf.DUMMYFUNCTION("""COMPUTED_VALUE"""),625567.0)</f>
        <v>625567</v>
      </c>
    </row>
    <row r="10822">
      <c r="A10822" t="str">
        <f t="shared" si="1"/>
        <v>mne#2030</v>
      </c>
      <c r="B10822" t="str">
        <f>IFERROR(__xludf.DUMMYFUNCTION("""COMPUTED_VALUE"""),"mne")</f>
        <v>mne</v>
      </c>
      <c r="C10822" t="str">
        <f>IFERROR(__xludf.DUMMYFUNCTION("""COMPUTED_VALUE"""),"Montenegro")</f>
        <v>Montenegro</v>
      </c>
      <c r="D10822">
        <f>IFERROR(__xludf.DUMMYFUNCTION("""COMPUTED_VALUE"""),2030.0)</f>
        <v>2030</v>
      </c>
      <c r="E10822">
        <f>IFERROR(__xludf.DUMMYFUNCTION("""COMPUTED_VALUE"""),624702.0)</f>
        <v>624702</v>
      </c>
    </row>
    <row r="10823">
      <c r="A10823" t="str">
        <f t="shared" si="1"/>
        <v>mne#2031</v>
      </c>
      <c r="B10823" t="str">
        <f>IFERROR(__xludf.DUMMYFUNCTION("""COMPUTED_VALUE"""),"mne")</f>
        <v>mne</v>
      </c>
      <c r="C10823" t="str">
        <f>IFERROR(__xludf.DUMMYFUNCTION("""COMPUTED_VALUE"""),"Montenegro")</f>
        <v>Montenegro</v>
      </c>
      <c r="D10823">
        <f>IFERROR(__xludf.DUMMYFUNCTION("""COMPUTED_VALUE"""),2031.0)</f>
        <v>2031</v>
      </c>
      <c r="E10823">
        <f>IFERROR(__xludf.DUMMYFUNCTION("""COMPUTED_VALUE"""),623740.0)</f>
        <v>623740</v>
      </c>
    </row>
    <row r="10824">
      <c r="A10824" t="str">
        <f t="shared" si="1"/>
        <v>mne#2032</v>
      </c>
      <c r="B10824" t="str">
        <f>IFERROR(__xludf.DUMMYFUNCTION("""COMPUTED_VALUE"""),"mne")</f>
        <v>mne</v>
      </c>
      <c r="C10824" t="str">
        <f>IFERROR(__xludf.DUMMYFUNCTION("""COMPUTED_VALUE"""),"Montenegro")</f>
        <v>Montenegro</v>
      </c>
      <c r="D10824">
        <f>IFERROR(__xludf.DUMMYFUNCTION("""COMPUTED_VALUE"""),2032.0)</f>
        <v>2032</v>
      </c>
      <c r="E10824">
        <f>IFERROR(__xludf.DUMMYFUNCTION("""COMPUTED_VALUE"""),622684.0)</f>
        <v>622684</v>
      </c>
    </row>
    <row r="10825">
      <c r="A10825" t="str">
        <f t="shared" si="1"/>
        <v>mne#2033</v>
      </c>
      <c r="B10825" t="str">
        <f>IFERROR(__xludf.DUMMYFUNCTION("""COMPUTED_VALUE"""),"mne")</f>
        <v>mne</v>
      </c>
      <c r="C10825" t="str">
        <f>IFERROR(__xludf.DUMMYFUNCTION("""COMPUTED_VALUE"""),"Montenegro")</f>
        <v>Montenegro</v>
      </c>
      <c r="D10825">
        <f>IFERROR(__xludf.DUMMYFUNCTION("""COMPUTED_VALUE"""),2033.0)</f>
        <v>2033</v>
      </c>
      <c r="E10825">
        <f>IFERROR(__xludf.DUMMYFUNCTION("""COMPUTED_VALUE"""),621529.0)</f>
        <v>621529</v>
      </c>
    </row>
    <row r="10826">
      <c r="A10826" t="str">
        <f t="shared" si="1"/>
        <v>mne#2034</v>
      </c>
      <c r="B10826" t="str">
        <f>IFERROR(__xludf.DUMMYFUNCTION("""COMPUTED_VALUE"""),"mne")</f>
        <v>mne</v>
      </c>
      <c r="C10826" t="str">
        <f>IFERROR(__xludf.DUMMYFUNCTION("""COMPUTED_VALUE"""),"Montenegro")</f>
        <v>Montenegro</v>
      </c>
      <c r="D10826">
        <f>IFERROR(__xludf.DUMMYFUNCTION("""COMPUTED_VALUE"""),2034.0)</f>
        <v>2034</v>
      </c>
      <c r="E10826">
        <f>IFERROR(__xludf.DUMMYFUNCTION("""COMPUTED_VALUE"""),620268.0)</f>
        <v>620268</v>
      </c>
    </row>
    <row r="10827">
      <c r="A10827" t="str">
        <f t="shared" si="1"/>
        <v>mne#2035</v>
      </c>
      <c r="B10827" t="str">
        <f>IFERROR(__xludf.DUMMYFUNCTION("""COMPUTED_VALUE"""),"mne")</f>
        <v>mne</v>
      </c>
      <c r="C10827" t="str">
        <f>IFERROR(__xludf.DUMMYFUNCTION("""COMPUTED_VALUE"""),"Montenegro")</f>
        <v>Montenegro</v>
      </c>
      <c r="D10827">
        <f>IFERROR(__xludf.DUMMYFUNCTION("""COMPUTED_VALUE"""),2035.0)</f>
        <v>2035</v>
      </c>
      <c r="E10827">
        <f>IFERROR(__xludf.DUMMYFUNCTION("""COMPUTED_VALUE"""),618895.0)</f>
        <v>618895</v>
      </c>
    </row>
    <row r="10828">
      <c r="A10828" t="str">
        <f t="shared" si="1"/>
        <v>mne#2036</v>
      </c>
      <c r="B10828" t="str">
        <f>IFERROR(__xludf.DUMMYFUNCTION("""COMPUTED_VALUE"""),"mne")</f>
        <v>mne</v>
      </c>
      <c r="C10828" t="str">
        <f>IFERROR(__xludf.DUMMYFUNCTION("""COMPUTED_VALUE"""),"Montenegro")</f>
        <v>Montenegro</v>
      </c>
      <c r="D10828">
        <f>IFERROR(__xludf.DUMMYFUNCTION("""COMPUTED_VALUE"""),2036.0)</f>
        <v>2036</v>
      </c>
      <c r="E10828">
        <f>IFERROR(__xludf.DUMMYFUNCTION("""COMPUTED_VALUE"""),617415.0)</f>
        <v>617415</v>
      </c>
    </row>
    <row r="10829">
      <c r="A10829" t="str">
        <f t="shared" si="1"/>
        <v>mne#2037</v>
      </c>
      <c r="B10829" t="str">
        <f>IFERROR(__xludf.DUMMYFUNCTION("""COMPUTED_VALUE"""),"mne")</f>
        <v>mne</v>
      </c>
      <c r="C10829" t="str">
        <f>IFERROR(__xludf.DUMMYFUNCTION("""COMPUTED_VALUE"""),"Montenegro")</f>
        <v>Montenegro</v>
      </c>
      <c r="D10829">
        <f>IFERROR(__xludf.DUMMYFUNCTION("""COMPUTED_VALUE"""),2037.0)</f>
        <v>2037</v>
      </c>
      <c r="E10829">
        <f>IFERROR(__xludf.DUMMYFUNCTION("""COMPUTED_VALUE"""),615826.0)</f>
        <v>615826</v>
      </c>
    </row>
    <row r="10830">
      <c r="A10830" t="str">
        <f t="shared" si="1"/>
        <v>mne#2038</v>
      </c>
      <c r="B10830" t="str">
        <f>IFERROR(__xludf.DUMMYFUNCTION("""COMPUTED_VALUE"""),"mne")</f>
        <v>mne</v>
      </c>
      <c r="C10830" t="str">
        <f>IFERROR(__xludf.DUMMYFUNCTION("""COMPUTED_VALUE"""),"Montenegro")</f>
        <v>Montenegro</v>
      </c>
      <c r="D10830">
        <f>IFERROR(__xludf.DUMMYFUNCTION("""COMPUTED_VALUE"""),2038.0)</f>
        <v>2038</v>
      </c>
      <c r="E10830">
        <f>IFERROR(__xludf.DUMMYFUNCTION("""COMPUTED_VALUE"""),614140.0)</f>
        <v>614140</v>
      </c>
    </row>
    <row r="10831">
      <c r="A10831" t="str">
        <f t="shared" si="1"/>
        <v>mne#2039</v>
      </c>
      <c r="B10831" t="str">
        <f>IFERROR(__xludf.DUMMYFUNCTION("""COMPUTED_VALUE"""),"mne")</f>
        <v>mne</v>
      </c>
      <c r="C10831" t="str">
        <f>IFERROR(__xludf.DUMMYFUNCTION("""COMPUTED_VALUE"""),"Montenegro")</f>
        <v>Montenegro</v>
      </c>
      <c r="D10831">
        <f>IFERROR(__xludf.DUMMYFUNCTION("""COMPUTED_VALUE"""),2039.0)</f>
        <v>2039</v>
      </c>
      <c r="E10831">
        <f>IFERROR(__xludf.DUMMYFUNCTION("""COMPUTED_VALUE"""),612352.0)</f>
        <v>612352</v>
      </c>
    </row>
    <row r="10832">
      <c r="A10832" t="str">
        <f t="shared" si="1"/>
        <v>mne#2040</v>
      </c>
      <c r="B10832" t="str">
        <f>IFERROR(__xludf.DUMMYFUNCTION("""COMPUTED_VALUE"""),"mne")</f>
        <v>mne</v>
      </c>
      <c r="C10832" t="str">
        <f>IFERROR(__xludf.DUMMYFUNCTION("""COMPUTED_VALUE"""),"Montenegro")</f>
        <v>Montenegro</v>
      </c>
      <c r="D10832">
        <f>IFERROR(__xludf.DUMMYFUNCTION("""COMPUTED_VALUE"""),2040.0)</f>
        <v>2040</v>
      </c>
      <c r="E10832">
        <f>IFERROR(__xludf.DUMMYFUNCTION("""COMPUTED_VALUE"""),610465.0)</f>
        <v>610465</v>
      </c>
    </row>
    <row r="10833">
      <c r="A10833" t="str">
        <f t="shared" si="1"/>
        <v>mar#1950</v>
      </c>
      <c r="B10833" t="str">
        <f>IFERROR(__xludf.DUMMYFUNCTION("""COMPUTED_VALUE"""),"mar")</f>
        <v>mar</v>
      </c>
      <c r="C10833" t="str">
        <f>IFERROR(__xludf.DUMMYFUNCTION("""COMPUTED_VALUE"""),"Morocco")</f>
        <v>Morocco</v>
      </c>
      <c r="D10833">
        <f>IFERROR(__xludf.DUMMYFUNCTION("""COMPUTED_VALUE"""),1950.0)</f>
        <v>1950</v>
      </c>
      <c r="E10833">
        <f>IFERROR(__xludf.DUMMYFUNCTION("""COMPUTED_VALUE"""),8985989.0)</f>
        <v>8985989</v>
      </c>
    </row>
    <row r="10834">
      <c r="A10834" t="str">
        <f t="shared" si="1"/>
        <v>mar#1951</v>
      </c>
      <c r="B10834" t="str">
        <f>IFERROR(__xludf.DUMMYFUNCTION("""COMPUTED_VALUE"""),"mar")</f>
        <v>mar</v>
      </c>
      <c r="C10834" t="str">
        <f>IFERROR(__xludf.DUMMYFUNCTION("""COMPUTED_VALUE"""),"Morocco")</f>
        <v>Morocco</v>
      </c>
      <c r="D10834">
        <f>IFERROR(__xludf.DUMMYFUNCTION("""COMPUTED_VALUE"""),1951.0)</f>
        <v>1951</v>
      </c>
      <c r="E10834">
        <f>IFERROR(__xludf.DUMMYFUNCTION("""COMPUTED_VALUE"""),9242797.0)</f>
        <v>9242797</v>
      </c>
    </row>
    <row r="10835">
      <c r="A10835" t="str">
        <f t="shared" si="1"/>
        <v>mar#1952</v>
      </c>
      <c r="B10835" t="str">
        <f>IFERROR(__xludf.DUMMYFUNCTION("""COMPUTED_VALUE"""),"mar")</f>
        <v>mar</v>
      </c>
      <c r="C10835" t="str">
        <f>IFERROR(__xludf.DUMMYFUNCTION("""COMPUTED_VALUE"""),"Morocco")</f>
        <v>Morocco</v>
      </c>
      <c r="D10835">
        <f>IFERROR(__xludf.DUMMYFUNCTION("""COMPUTED_VALUE"""),1952.0)</f>
        <v>1952</v>
      </c>
      <c r="E10835">
        <f>IFERROR(__xludf.DUMMYFUNCTION("""COMPUTED_VALUE"""),9528256.0)</f>
        <v>9528256</v>
      </c>
    </row>
    <row r="10836">
      <c r="A10836" t="str">
        <f t="shared" si="1"/>
        <v>mar#1953</v>
      </c>
      <c r="B10836" t="str">
        <f>IFERROR(__xludf.DUMMYFUNCTION("""COMPUTED_VALUE"""),"mar")</f>
        <v>mar</v>
      </c>
      <c r="C10836" t="str">
        <f>IFERROR(__xludf.DUMMYFUNCTION("""COMPUTED_VALUE"""),"Morocco")</f>
        <v>Morocco</v>
      </c>
      <c r="D10836">
        <f>IFERROR(__xludf.DUMMYFUNCTION("""COMPUTED_VALUE"""),1953.0)</f>
        <v>1953</v>
      </c>
      <c r="E10836">
        <f>IFERROR(__xludf.DUMMYFUNCTION("""COMPUTED_VALUE"""),9836534.0)</f>
        <v>9836534</v>
      </c>
    </row>
    <row r="10837">
      <c r="A10837" t="str">
        <f t="shared" si="1"/>
        <v>mar#1954</v>
      </c>
      <c r="B10837" t="str">
        <f>IFERROR(__xludf.DUMMYFUNCTION("""COMPUTED_VALUE"""),"mar")</f>
        <v>mar</v>
      </c>
      <c r="C10837" t="str">
        <f>IFERROR(__xludf.DUMMYFUNCTION("""COMPUTED_VALUE"""),"Morocco")</f>
        <v>Morocco</v>
      </c>
      <c r="D10837">
        <f>IFERROR(__xludf.DUMMYFUNCTION("""COMPUTED_VALUE"""),1954.0)</f>
        <v>1954</v>
      </c>
      <c r="E10837">
        <f>IFERROR(__xludf.DUMMYFUNCTION("""COMPUTED_VALUE"""),1.0162684E7)</f>
        <v>10162684</v>
      </c>
    </row>
    <row r="10838">
      <c r="A10838" t="str">
        <f t="shared" si="1"/>
        <v>mar#1955</v>
      </c>
      <c r="B10838" t="str">
        <f>IFERROR(__xludf.DUMMYFUNCTION("""COMPUTED_VALUE"""),"mar")</f>
        <v>mar</v>
      </c>
      <c r="C10838" t="str">
        <f>IFERROR(__xludf.DUMMYFUNCTION("""COMPUTED_VALUE"""),"Morocco")</f>
        <v>Morocco</v>
      </c>
      <c r="D10838">
        <f>IFERROR(__xludf.DUMMYFUNCTION("""COMPUTED_VALUE"""),1955.0)</f>
        <v>1955</v>
      </c>
      <c r="E10838">
        <f>IFERROR(__xludf.DUMMYFUNCTION("""COMPUTED_VALUE"""),1.0502666E7)</f>
        <v>10502666</v>
      </c>
    </row>
    <row r="10839">
      <c r="A10839" t="str">
        <f t="shared" si="1"/>
        <v>mar#1956</v>
      </c>
      <c r="B10839" t="str">
        <f>IFERROR(__xludf.DUMMYFUNCTION("""COMPUTED_VALUE"""),"mar")</f>
        <v>mar</v>
      </c>
      <c r="C10839" t="str">
        <f>IFERROR(__xludf.DUMMYFUNCTION("""COMPUTED_VALUE"""),"Morocco")</f>
        <v>Morocco</v>
      </c>
      <c r="D10839">
        <f>IFERROR(__xludf.DUMMYFUNCTION("""COMPUTED_VALUE"""),1956.0)</f>
        <v>1956</v>
      </c>
      <c r="E10839">
        <f>IFERROR(__xludf.DUMMYFUNCTION("""COMPUTED_VALUE"""),1.0853333E7)</f>
        <v>10853333</v>
      </c>
    </row>
    <row r="10840">
      <c r="A10840" t="str">
        <f t="shared" si="1"/>
        <v>mar#1957</v>
      </c>
      <c r="B10840" t="str">
        <f>IFERROR(__xludf.DUMMYFUNCTION("""COMPUTED_VALUE"""),"mar")</f>
        <v>mar</v>
      </c>
      <c r="C10840" t="str">
        <f>IFERROR(__xludf.DUMMYFUNCTION("""COMPUTED_VALUE"""),"Morocco")</f>
        <v>Morocco</v>
      </c>
      <c r="D10840">
        <f>IFERROR(__xludf.DUMMYFUNCTION("""COMPUTED_VALUE"""),1957.0)</f>
        <v>1957</v>
      </c>
      <c r="E10840">
        <f>IFERROR(__xludf.DUMMYFUNCTION("""COMPUTED_VALUE"""),1.1212449E7)</f>
        <v>11212449</v>
      </c>
    </row>
    <row r="10841">
      <c r="A10841" t="str">
        <f t="shared" si="1"/>
        <v>mar#1958</v>
      </c>
      <c r="B10841" t="str">
        <f>IFERROR(__xludf.DUMMYFUNCTION("""COMPUTED_VALUE"""),"mar")</f>
        <v>mar</v>
      </c>
      <c r="C10841" t="str">
        <f>IFERROR(__xludf.DUMMYFUNCTION("""COMPUTED_VALUE"""),"Morocco")</f>
        <v>Morocco</v>
      </c>
      <c r="D10841">
        <f>IFERROR(__xludf.DUMMYFUNCTION("""COMPUTED_VALUE"""),1958.0)</f>
        <v>1958</v>
      </c>
      <c r="E10841">
        <f>IFERROR(__xludf.DUMMYFUNCTION("""COMPUTED_VALUE"""),1.1578559E7)</f>
        <v>11578559</v>
      </c>
    </row>
    <row r="10842">
      <c r="A10842" t="str">
        <f t="shared" si="1"/>
        <v>mar#1959</v>
      </c>
      <c r="B10842" t="str">
        <f>IFERROR(__xludf.DUMMYFUNCTION("""COMPUTED_VALUE"""),"mar")</f>
        <v>mar</v>
      </c>
      <c r="C10842" t="str">
        <f>IFERROR(__xludf.DUMMYFUNCTION("""COMPUTED_VALUE"""),"Morocco")</f>
        <v>Morocco</v>
      </c>
      <c r="D10842">
        <f>IFERROR(__xludf.DUMMYFUNCTION("""COMPUTED_VALUE"""),1959.0)</f>
        <v>1959</v>
      </c>
      <c r="E10842">
        <f>IFERROR(__xludf.DUMMYFUNCTION("""COMPUTED_VALUE"""),1.1950826E7)</f>
        <v>11950826</v>
      </c>
    </row>
    <row r="10843">
      <c r="A10843" t="str">
        <f t="shared" si="1"/>
        <v>mar#1960</v>
      </c>
      <c r="B10843" t="str">
        <f>IFERROR(__xludf.DUMMYFUNCTION("""COMPUTED_VALUE"""),"mar")</f>
        <v>mar</v>
      </c>
      <c r="C10843" t="str">
        <f>IFERROR(__xludf.DUMMYFUNCTION("""COMPUTED_VALUE"""),"Morocco")</f>
        <v>Morocco</v>
      </c>
      <c r="D10843">
        <f>IFERROR(__xludf.DUMMYFUNCTION("""COMPUTED_VALUE"""),1960.0)</f>
        <v>1960</v>
      </c>
      <c r="E10843">
        <f>IFERROR(__xludf.DUMMYFUNCTION("""COMPUTED_VALUE"""),1.2328532E7)</f>
        <v>12328532</v>
      </c>
    </row>
    <row r="10844">
      <c r="A10844" t="str">
        <f t="shared" si="1"/>
        <v>mar#1961</v>
      </c>
      <c r="B10844" t="str">
        <f>IFERROR(__xludf.DUMMYFUNCTION("""COMPUTED_VALUE"""),"mar")</f>
        <v>mar</v>
      </c>
      <c r="C10844" t="str">
        <f>IFERROR(__xludf.DUMMYFUNCTION("""COMPUTED_VALUE"""),"Morocco")</f>
        <v>Morocco</v>
      </c>
      <c r="D10844">
        <f>IFERROR(__xludf.DUMMYFUNCTION("""COMPUTED_VALUE"""),1961.0)</f>
        <v>1961</v>
      </c>
      <c r="E10844">
        <f>IFERROR(__xludf.DUMMYFUNCTION("""COMPUTED_VALUE"""),1.2710547E7)</f>
        <v>12710547</v>
      </c>
    </row>
    <row r="10845">
      <c r="A10845" t="str">
        <f t="shared" si="1"/>
        <v>mar#1962</v>
      </c>
      <c r="B10845" t="str">
        <f>IFERROR(__xludf.DUMMYFUNCTION("""COMPUTED_VALUE"""),"mar")</f>
        <v>mar</v>
      </c>
      <c r="C10845" t="str">
        <f>IFERROR(__xludf.DUMMYFUNCTION("""COMPUTED_VALUE"""),"Morocco")</f>
        <v>Morocco</v>
      </c>
      <c r="D10845">
        <f>IFERROR(__xludf.DUMMYFUNCTION("""COMPUTED_VALUE"""),1962.0)</f>
        <v>1962</v>
      </c>
      <c r="E10845">
        <f>IFERROR(__xludf.DUMMYFUNCTION("""COMPUTED_VALUE"""),1.3094818E7)</f>
        <v>13094818</v>
      </c>
    </row>
    <row r="10846">
      <c r="A10846" t="str">
        <f t="shared" si="1"/>
        <v>mar#1963</v>
      </c>
      <c r="B10846" t="str">
        <f>IFERROR(__xludf.DUMMYFUNCTION("""COMPUTED_VALUE"""),"mar")</f>
        <v>mar</v>
      </c>
      <c r="C10846" t="str">
        <f>IFERROR(__xludf.DUMMYFUNCTION("""COMPUTED_VALUE"""),"Morocco")</f>
        <v>Morocco</v>
      </c>
      <c r="D10846">
        <f>IFERROR(__xludf.DUMMYFUNCTION("""COMPUTED_VALUE"""),1963.0)</f>
        <v>1963</v>
      </c>
      <c r="E10846">
        <f>IFERROR(__xludf.DUMMYFUNCTION("""COMPUTED_VALUE"""),1.3478232E7)</f>
        <v>13478232</v>
      </c>
    </row>
    <row r="10847">
      <c r="A10847" t="str">
        <f t="shared" si="1"/>
        <v>mar#1964</v>
      </c>
      <c r="B10847" t="str">
        <f>IFERROR(__xludf.DUMMYFUNCTION("""COMPUTED_VALUE"""),"mar")</f>
        <v>mar</v>
      </c>
      <c r="C10847" t="str">
        <f>IFERROR(__xludf.DUMMYFUNCTION("""COMPUTED_VALUE"""),"Morocco")</f>
        <v>Morocco</v>
      </c>
      <c r="D10847">
        <f>IFERROR(__xludf.DUMMYFUNCTION("""COMPUTED_VALUE"""),1964.0)</f>
        <v>1964</v>
      </c>
      <c r="E10847">
        <f>IFERROR(__xludf.DUMMYFUNCTION("""COMPUTED_VALUE"""),1.3857142E7)</f>
        <v>13857142</v>
      </c>
    </row>
    <row r="10848">
      <c r="A10848" t="str">
        <f t="shared" si="1"/>
        <v>mar#1965</v>
      </c>
      <c r="B10848" t="str">
        <f>IFERROR(__xludf.DUMMYFUNCTION("""COMPUTED_VALUE"""),"mar")</f>
        <v>mar</v>
      </c>
      <c r="C10848" t="str">
        <f>IFERROR(__xludf.DUMMYFUNCTION("""COMPUTED_VALUE"""),"Morocco")</f>
        <v>Morocco</v>
      </c>
      <c r="D10848">
        <f>IFERROR(__xludf.DUMMYFUNCTION("""COMPUTED_VALUE"""),1965.0)</f>
        <v>1965</v>
      </c>
      <c r="E10848">
        <f>IFERROR(__xludf.DUMMYFUNCTION("""COMPUTED_VALUE"""),1.4229044E7)</f>
        <v>14229044</v>
      </c>
    </row>
    <row r="10849">
      <c r="A10849" t="str">
        <f t="shared" si="1"/>
        <v>mar#1966</v>
      </c>
      <c r="B10849" t="str">
        <f>IFERROR(__xludf.DUMMYFUNCTION("""COMPUTED_VALUE"""),"mar")</f>
        <v>mar</v>
      </c>
      <c r="C10849" t="str">
        <f>IFERROR(__xludf.DUMMYFUNCTION("""COMPUTED_VALUE"""),"Morocco")</f>
        <v>Morocco</v>
      </c>
      <c r="D10849">
        <f>IFERROR(__xludf.DUMMYFUNCTION("""COMPUTED_VALUE"""),1966.0)</f>
        <v>1966</v>
      </c>
      <c r="E10849">
        <f>IFERROR(__xludf.DUMMYFUNCTION("""COMPUTED_VALUE"""),1.4593284E7)</f>
        <v>14593284</v>
      </c>
    </row>
    <row r="10850">
      <c r="A10850" t="str">
        <f t="shared" si="1"/>
        <v>mar#1967</v>
      </c>
      <c r="B10850" t="str">
        <f>IFERROR(__xludf.DUMMYFUNCTION("""COMPUTED_VALUE"""),"mar")</f>
        <v>mar</v>
      </c>
      <c r="C10850" t="str">
        <f>IFERROR(__xludf.DUMMYFUNCTION("""COMPUTED_VALUE"""),"Morocco")</f>
        <v>Morocco</v>
      </c>
      <c r="D10850">
        <f>IFERROR(__xludf.DUMMYFUNCTION("""COMPUTED_VALUE"""),1967.0)</f>
        <v>1967</v>
      </c>
      <c r="E10850">
        <f>IFERROR(__xludf.DUMMYFUNCTION("""COMPUTED_VALUE"""),1.4950803E7)</f>
        <v>14950803</v>
      </c>
    </row>
    <row r="10851">
      <c r="A10851" t="str">
        <f t="shared" si="1"/>
        <v>mar#1968</v>
      </c>
      <c r="B10851" t="str">
        <f>IFERROR(__xludf.DUMMYFUNCTION("""COMPUTED_VALUE"""),"mar")</f>
        <v>mar</v>
      </c>
      <c r="C10851" t="str">
        <f>IFERROR(__xludf.DUMMYFUNCTION("""COMPUTED_VALUE"""),"Morocco")</f>
        <v>Morocco</v>
      </c>
      <c r="D10851">
        <f>IFERROR(__xludf.DUMMYFUNCTION("""COMPUTED_VALUE"""),1968.0)</f>
        <v>1968</v>
      </c>
      <c r="E10851">
        <f>IFERROR(__xludf.DUMMYFUNCTION("""COMPUTED_VALUE"""),1.5302947E7)</f>
        <v>15302947</v>
      </c>
    </row>
    <row r="10852">
      <c r="A10852" t="str">
        <f t="shared" si="1"/>
        <v>mar#1969</v>
      </c>
      <c r="B10852" t="str">
        <f>IFERROR(__xludf.DUMMYFUNCTION("""COMPUTED_VALUE"""),"mar")</f>
        <v>mar</v>
      </c>
      <c r="C10852" t="str">
        <f>IFERROR(__xludf.DUMMYFUNCTION("""COMPUTED_VALUE"""),"Morocco")</f>
        <v>Morocco</v>
      </c>
      <c r="D10852">
        <f>IFERROR(__xludf.DUMMYFUNCTION("""COMPUTED_VALUE"""),1969.0)</f>
        <v>1969</v>
      </c>
      <c r="E10852">
        <f>IFERROR(__xludf.DUMMYFUNCTION("""COMPUTED_VALUE"""),1.5651924E7)</f>
        <v>15651924</v>
      </c>
    </row>
    <row r="10853">
      <c r="A10853" t="str">
        <f t="shared" si="1"/>
        <v>mar#1970</v>
      </c>
      <c r="B10853" t="str">
        <f>IFERROR(__xludf.DUMMYFUNCTION("""COMPUTED_VALUE"""),"mar")</f>
        <v>mar</v>
      </c>
      <c r="C10853" t="str">
        <f>IFERROR(__xludf.DUMMYFUNCTION("""COMPUTED_VALUE"""),"Morocco")</f>
        <v>Morocco</v>
      </c>
      <c r="D10853">
        <f>IFERROR(__xludf.DUMMYFUNCTION("""COMPUTED_VALUE"""),1970.0)</f>
        <v>1970</v>
      </c>
      <c r="E10853">
        <f>IFERROR(__xludf.DUMMYFUNCTION("""COMPUTED_VALUE"""),1.6000008E7)</f>
        <v>16000008</v>
      </c>
    </row>
    <row r="10854">
      <c r="A10854" t="str">
        <f t="shared" si="1"/>
        <v>mar#1971</v>
      </c>
      <c r="B10854" t="str">
        <f>IFERROR(__xludf.DUMMYFUNCTION("""COMPUTED_VALUE"""),"mar")</f>
        <v>mar</v>
      </c>
      <c r="C10854" t="str">
        <f>IFERROR(__xludf.DUMMYFUNCTION("""COMPUTED_VALUE"""),"Morocco")</f>
        <v>Morocco</v>
      </c>
      <c r="D10854">
        <f>IFERROR(__xludf.DUMMYFUNCTION("""COMPUTED_VALUE"""),1971.0)</f>
        <v>1971</v>
      </c>
      <c r="E10854">
        <f>IFERROR(__xludf.DUMMYFUNCTION("""COMPUTED_VALUE"""),1.6347198E7)</f>
        <v>16347198</v>
      </c>
    </row>
    <row r="10855">
      <c r="A10855" t="str">
        <f t="shared" si="1"/>
        <v>mar#1972</v>
      </c>
      <c r="B10855" t="str">
        <f>IFERROR(__xludf.DUMMYFUNCTION("""COMPUTED_VALUE"""),"mar")</f>
        <v>mar</v>
      </c>
      <c r="C10855" t="str">
        <f>IFERROR(__xludf.DUMMYFUNCTION("""COMPUTED_VALUE"""),"Morocco")</f>
        <v>Morocco</v>
      </c>
      <c r="D10855">
        <f>IFERROR(__xludf.DUMMYFUNCTION("""COMPUTED_VALUE"""),1972.0)</f>
        <v>1972</v>
      </c>
      <c r="E10855">
        <f>IFERROR(__xludf.DUMMYFUNCTION("""COMPUTED_VALUE"""),1.6695003E7)</f>
        <v>16695003</v>
      </c>
    </row>
    <row r="10856">
      <c r="A10856" t="str">
        <f t="shared" si="1"/>
        <v>mar#1973</v>
      </c>
      <c r="B10856" t="str">
        <f>IFERROR(__xludf.DUMMYFUNCTION("""COMPUTED_VALUE"""),"mar")</f>
        <v>mar</v>
      </c>
      <c r="C10856" t="str">
        <f>IFERROR(__xludf.DUMMYFUNCTION("""COMPUTED_VALUE"""),"Morocco")</f>
        <v>Morocco</v>
      </c>
      <c r="D10856">
        <f>IFERROR(__xludf.DUMMYFUNCTION("""COMPUTED_VALUE"""),1973.0)</f>
        <v>1973</v>
      </c>
      <c r="E10856">
        <f>IFERROR(__xludf.DUMMYFUNCTION("""COMPUTED_VALUE"""),1.7049165E7)</f>
        <v>17049165</v>
      </c>
    </row>
    <row r="10857">
      <c r="A10857" t="str">
        <f t="shared" si="1"/>
        <v>mar#1974</v>
      </c>
      <c r="B10857" t="str">
        <f>IFERROR(__xludf.DUMMYFUNCTION("""COMPUTED_VALUE"""),"mar")</f>
        <v>mar</v>
      </c>
      <c r="C10857" t="str">
        <f>IFERROR(__xludf.DUMMYFUNCTION("""COMPUTED_VALUE"""),"Morocco")</f>
        <v>Morocco</v>
      </c>
      <c r="D10857">
        <f>IFERROR(__xludf.DUMMYFUNCTION("""COMPUTED_VALUE"""),1974.0)</f>
        <v>1974</v>
      </c>
      <c r="E10857">
        <f>IFERROR(__xludf.DUMMYFUNCTION("""COMPUTED_VALUE"""),1.7416964E7)</f>
        <v>17416964</v>
      </c>
    </row>
    <row r="10858">
      <c r="A10858" t="str">
        <f t="shared" si="1"/>
        <v>mar#1975</v>
      </c>
      <c r="B10858" t="str">
        <f>IFERROR(__xludf.DUMMYFUNCTION("""COMPUTED_VALUE"""),"mar")</f>
        <v>mar</v>
      </c>
      <c r="C10858" t="str">
        <f>IFERROR(__xludf.DUMMYFUNCTION("""COMPUTED_VALUE"""),"Morocco")</f>
        <v>Morocco</v>
      </c>
      <c r="D10858">
        <f>IFERROR(__xludf.DUMMYFUNCTION("""COMPUTED_VALUE"""),1975.0)</f>
        <v>1975</v>
      </c>
      <c r="E10858">
        <f>IFERROR(__xludf.DUMMYFUNCTION("""COMPUTED_VALUE"""),1.7803698E7)</f>
        <v>17803698</v>
      </c>
    </row>
    <row r="10859">
      <c r="A10859" t="str">
        <f t="shared" si="1"/>
        <v>mar#1976</v>
      </c>
      <c r="B10859" t="str">
        <f>IFERROR(__xludf.DUMMYFUNCTION("""COMPUTED_VALUE"""),"mar")</f>
        <v>mar</v>
      </c>
      <c r="C10859" t="str">
        <f>IFERROR(__xludf.DUMMYFUNCTION("""COMPUTED_VALUE"""),"Morocco")</f>
        <v>Morocco</v>
      </c>
      <c r="D10859">
        <f>IFERROR(__xludf.DUMMYFUNCTION("""COMPUTED_VALUE"""),1976.0)</f>
        <v>1976</v>
      </c>
      <c r="E10859">
        <f>IFERROR(__xludf.DUMMYFUNCTION("""COMPUTED_VALUE"""),1.8210754E7)</f>
        <v>18210754</v>
      </c>
    </row>
    <row r="10860">
      <c r="A10860" t="str">
        <f t="shared" si="1"/>
        <v>mar#1977</v>
      </c>
      <c r="B10860" t="str">
        <f>IFERROR(__xludf.DUMMYFUNCTION("""COMPUTED_VALUE"""),"mar")</f>
        <v>mar</v>
      </c>
      <c r="C10860" t="str">
        <f>IFERROR(__xludf.DUMMYFUNCTION("""COMPUTED_VALUE"""),"Morocco")</f>
        <v>Morocco</v>
      </c>
      <c r="D10860">
        <f>IFERROR(__xludf.DUMMYFUNCTION("""COMPUTED_VALUE"""),1977.0)</f>
        <v>1977</v>
      </c>
      <c r="E10860">
        <f>IFERROR(__xludf.DUMMYFUNCTION("""COMPUTED_VALUE"""),1.8636977E7)</f>
        <v>18636977</v>
      </c>
    </row>
    <row r="10861">
      <c r="A10861" t="str">
        <f t="shared" si="1"/>
        <v>mar#1978</v>
      </c>
      <c r="B10861" t="str">
        <f>IFERROR(__xludf.DUMMYFUNCTION("""COMPUTED_VALUE"""),"mar")</f>
        <v>mar</v>
      </c>
      <c r="C10861" t="str">
        <f>IFERROR(__xludf.DUMMYFUNCTION("""COMPUTED_VALUE"""),"Morocco")</f>
        <v>Morocco</v>
      </c>
      <c r="D10861">
        <f>IFERROR(__xludf.DUMMYFUNCTION("""COMPUTED_VALUE"""),1978.0)</f>
        <v>1978</v>
      </c>
      <c r="E10861">
        <f>IFERROR(__xludf.DUMMYFUNCTION("""COMPUTED_VALUE"""),1.9081718E7)</f>
        <v>19081718</v>
      </c>
    </row>
    <row r="10862">
      <c r="A10862" t="str">
        <f t="shared" si="1"/>
        <v>mar#1979</v>
      </c>
      <c r="B10862" t="str">
        <f>IFERROR(__xludf.DUMMYFUNCTION("""COMPUTED_VALUE"""),"mar")</f>
        <v>mar</v>
      </c>
      <c r="C10862" t="str">
        <f>IFERROR(__xludf.DUMMYFUNCTION("""COMPUTED_VALUE"""),"Morocco")</f>
        <v>Morocco</v>
      </c>
      <c r="D10862">
        <f>IFERROR(__xludf.DUMMYFUNCTION("""COMPUTED_VALUE"""),1979.0)</f>
        <v>1979</v>
      </c>
      <c r="E10862">
        <f>IFERROR(__xludf.DUMMYFUNCTION("""COMPUTED_VALUE"""),1.9543347E7)</f>
        <v>19543347</v>
      </c>
    </row>
    <row r="10863">
      <c r="A10863" t="str">
        <f t="shared" si="1"/>
        <v>mar#1980</v>
      </c>
      <c r="B10863" t="str">
        <f>IFERROR(__xludf.DUMMYFUNCTION("""COMPUTED_VALUE"""),"mar")</f>
        <v>mar</v>
      </c>
      <c r="C10863" t="str">
        <f>IFERROR(__xludf.DUMMYFUNCTION("""COMPUTED_VALUE"""),"Morocco")</f>
        <v>Morocco</v>
      </c>
      <c r="D10863">
        <f>IFERROR(__xludf.DUMMYFUNCTION("""COMPUTED_VALUE"""),1980.0)</f>
        <v>1980</v>
      </c>
      <c r="E10863">
        <f>IFERROR(__xludf.DUMMYFUNCTION("""COMPUTED_VALUE"""),2.0019847E7)</f>
        <v>20019847</v>
      </c>
    </row>
    <row r="10864">
      <c r="A10864" t="str">
        <f t="shared" si="1"/>
        <v>mar#1981</v>
      </c>
      <c r="B10864" t="str">
        <f>IFERROR(__xludf.DUMMYFUNCTION("""COMPUTED_VALUE"""),"mar")</f>
        <v>mar</v>
      </c>
      <c r="C10864" t="str">
        <f>IFERROR(__xludf.DUMMYFUNCTION("""COMPUTED_VALUE"""),"Morocco")</f>
        <v>Morocco</v>
      </c>
      <c r="D10864">
        <f>IFERROR(__xludf.DUMMYFUNCTION("""COMPUTED_VALUE"""),1981.0)</f>
        <v>1981</v>
      </c>
      <c r="E10864">
        <f>IFERROR(__xludf.DUMMYFUNCTION("""COMPUTED_VALUE"""),2.0511601E7)</f>
        <v>20511601</v>
      </c>
    </row>
    <row r="10865">
      <c r="A10865" t="str">
        <f t="shared" si="1"/>
        <v>mar#1982</v>
      </c>
      <c r="B10865" t="str">
        <f>IFERROR(__xludf.DUMMYFUNCTION("""COMPUTED_VALUE"""),"mar")</f>
        <v>mar</v>
      </c>
      <c r="C10865" t="str">
        <f>IFERROR(__xludf.DUMMYFUNCTION("""COMPUTED_VALUE"""),"Morocco")</f>
        <v>Morocco</v>
      </c>
      <c r="D10865">
        <f>IFERROR(__xludf.DUMMYFUNCTION("""COMPUTED_VALUE"""),1982.0)</f>
        <v>1982</v>
      </c>
      <c r="E10865">
        <f>IFERROR(__xludf.DUMMYFUNCTION("""COMPUTED_VALUE"""),2.1016818E7)</f>
        <v>21016818</v>
      </c>
    </row>
    <row r="10866">
      <c r="A10866" t="str">
        <f t="shared" si="1"/>
        <v>mar#1983</v>
      </c>
      <c r="B10866" t="str">
        <f>IFERROR(__xludf.DUMMYFUNCTION("""COMPUTED_VALUE"""),"mar")</f>
        <v>mar</v>
      </c>
      <c r="C10866" t="str">
        <f>IFERROR(__xludf.DUMMYFUNCTION("""COMPUTED_VALUE"""),"Morocco")</f>
        <v>Morocco</v>
      </c>
      <c r="D10866">
        <f>IFERROR(__xludf.DUMMYFUNCTION("""COMPUTED_VALUE"""),1983.0)</f>
        <v>1983</v>
      </c>
      <c r="E10866">
        <f>IFERROR(__xludf.DUMMYFUNCTION("""COMPUTED_VALUE"""),2.1528502E7)</f>
        <v>21528502</v>
      </c>
    </row>
    <row r="10867">
      <c r="A10867" t="str">
        <f t="shared" si="1"/>
        <v>mar#1984</v>
      </c>
      <c r="B10867" t="str">
        <f>IFERROR(__xludf.DUMMYFUNCTION("""COMPUTED_VALUE"""),"mar")</f>
        <v>mar</v>
      </c>
      <c r="C10867" t="str">
        <f>IFERROR(__xludf.DUMMYFUNCTION("""COMPUTED_VALUE"""),"Morocco")</f>
        <v>Morocco</v>
      </c>
      <c r="D10867">
        <f>IFERROR(__xludf.DUMMYFUNCTION("""COMPUTED_VALUE"""),1984.0)</f>
        <v>1984</v>
      </c>
      <c r="E10867">
        <f>IFERROR(__xludf.DUMMYFUNCTION("""COMPUTED_VALUE"""),2.203761E7)</f>
        <v>22037610</v>
      </c>
    </row>
    <row r="10868">
      <c r="A10868" t="str">
        <f t="shared" si="1"/>
        <v>mar#1985</v>
      </c>
      <c r="B10868" t="str">
        <f>IFERROR(__xludf.DUMMYFUNCTION("""COMPUTED_VALUE"""),"mar")</f>
        <v>mar</v>
      </c>
      <c r="C10868" t="str">
        <f>IFERROR(__xludf.DUMMYFUNCTION("""COMPUTED_VALUE"""),"Morocco")</f>
        <v>Morocco</v>
      </c>
      <c r="D10868">
        <f>IFERROR(__xludf.DUMMYFUNCTION("""COMPUTED_VALUE"""),1985.0)</f>
        <v>1985</v>
      </c>
      <c r="E10868">
        <f>IFERROR(__xludf.DUMMYFUNCTION("""COMPUTED_VALUE"""),2.2537376E7)</f>
        <v>22537376</v>
      </c>
    </row>
    <row r="10869">
      <c r="A10869" t="str">
        <f t="shared" si="1"/>
        <v>mar#1986</v>
      </c>
      <c r="B10869" t="str">
        <f>IFERROR(__xludf.DUMMYFUNCTION("""COMPUTED_VALUE"""),"mar")</f>
        <v>mar</v>
      </c>
      <c r="C10869" t="str">
        <f>IFERROR(__xludf.DUMMYFUNCTION("""COMPUTED_VALUE"""),"Morocco")</f>
        <v>Morocco</v>
      </c>
      <c r="D10869">
        <f>IFERROR(__xludf.DUMMYFUNCTION("""COMPUTED_VALUE"""),1986.0)</f>
        <v>1986</v>
      </c>
      <c r="E10869">
        <f>IFERROR(__xludf.DUMMYFUNCTION("""COMPUTED_VALUE"""),2.3023935E7)</f>
        <v>23023935</v>
      </c>
    </row>
    <row r="10870">
      <c r="A10870" t="str">
        <f t="shared" si="1"/>
        <v>mar#1987</v>
      </c>
      <c r="B10870" t="str">
        <f>IFERROR(__xludf.DUMMYFUNCTION("""COMPUTED_VALUE"""),"mar")</f>
        <v>mar</v>
      </c>
      <c r="C10870" t="str">
        <f>IFERROR(__xludf.DUMMYFUNCTION("""COMPUTED_VALUE"""),"Morocco")</f>
        <v>Morocco</v>
      </c>
      <c r="D10870">
        <f>IFERROR(__xludf.DUMMYFUNCTION("""COMPUTED_VALUE"""),1987.0)</f>
        <v>1987</v>
      </c>
      <c r="E10870">
        <f>IFERROR(__xludf.DUMMYFUNCTION("""COMPUTED_VALUE"""),2.3497766E7)</f>
        <v>23497766</v>
      </c>
    </row>
    <row r="10871">
      <c r="A10871" t="str">
        <f t="shared" si="1"/>
        <v>mar#1988</v>
      </c>
      <c r="B10871" t="str">
        <f>IFERROR(__xludf.DUMMYFUNCTION("""COMPUTED_VALUE"""),"mar")</f>
        <v>mar</v>
      </c>
      <c r="C10871" t="str">
        <f>IFERROR(__xludf.DUMMYFUNCTION("""COMPUTED_VALUE"""),"Morocco")</f>
        <v>Morocco</v>
      </c>
      <c r="D10871">
        <f>IFERROR(__xludf.DUMMYFUNCTION("""COMPUTED_VALUE"""),1988.0)</f>
        <v>1988</v>
      </c>
      <c r="E10871">
        <f>IFERROR(__xludf.DUMMYFUNCTION("""COMPUTED_VALUE"""),2.396182E7)</f>
        <v>23961820</v>
      </c>
    </row>
    <row r="10872">
      <c r="A10872" t="str">
        <f t="shared" si="1"/>
        <v>mar#1989</v>
      </c>
      <c r="B10872" t="str">
        <f>IFERROR(__xludf.DUMMYFUNCTION("""COMPUTED_VALUE"""),"mar")</f>
        <v>mar</v>
      </c>
      <c r="C10872" t="str">
        <f>IFERROR(__xludf.DUMMYFUNCTION("""COMPUTED_VALUE"""),"Morocco")</f>
        <v>Morocco</v>
      </c>
      <c r="D10872">
        <f>IFERROR(__xludf.DUMMYFUNCTION("""COMPUTED_VALUE"""),1989.0)</f>
        <v>1989</v>
      </c>
      <c r="E10872">
        <f>IFERROR(__xludf.DUMMYFUNCTION("""COMPUTED_VALUE"""),2.4421191E7)</f>
        <v>24421191</v>
      </c>
    </row>
    <row r="10873">
      <c r="A10873" t="str">
        <f t="shared" si="1"/>
        <v>mar#1990</v>
      </c>
      <c r="B10873" t="str">
        <f>IFERROR(__xludf.DUMMYFUNCTION("""COMPUTED_VALUE"""),"mar")</f>
        <v>mar</v>
      </c>
      <c r="C10873" t="str">
        <f>IFERROR(__xludf.DUMMYFUNCTION("""COMPUTED_VALUE"""),"Morocco")</f>
        <v>Morocco</v>
      </c>
      <c r="D10873">
        <f>IFERROR(__xludf.DUMMYFUNCTION("""COMPUTED_VALUE"""),1990.0)</f>
        <v>1990</v>
      </c>
      <c r="E10873">
        <f>IFERROR(__xludf.DUMMYFUNCTION("""COMPUTED_VALUE"""),2.4879136E7)</f>
        <v>24879136</v>
      </c>
    </row>
    <row r="10874">
      <c r="A10874" t="str">
        <f t="shared" si="1"/>
        <v>mar#1991</v>
      </c>
      <c r="B10874" t="str">
        <f>IFERROR(__xludf.DUMMYFUNCTION("""COMPUTED_VALUE"""),"mar")</f>
        <v>mar</v>
      </c>
      <c r="C10874" t="str">
        <f>IFERROR(__xludf.DUMMYFUNCTION("""COMPUTED_VALUE"""),"Morocco")</f>
        <v>Morocco</v>
      </c>
      <c r="D10874">
        <f>IFERROR(__xludf.DUMMYFUNCTION("""COMPUTED_VALUE"""),1991.0)</f>
        <v>1991</v>
      </c>
      <c r="E10874">
        <f>IFERROR(__xludf.DUMMYFUNCTION("""COMPUTED_VALUE"""),2.5336862E7)</f>
        <v>25336862</v>
      </c>
    </row>
    <row r="10875">
      <c r="A10875" t="str">
        <f t="shared" si="1"/>
        <v>mar#1992</v>
      </c>
      <c r="B10875" t="str">
        <f>IFERROR(__xludf.DUMMYFUNCTION("""COMPUTED_VALUE"""),"mar")</f>
        <v>mar</v>
      </c>
      <c r="C10875" t="str">
        <f>IFERROR(__xludf.DUMMYFUNCTION("""COMPUTED_VALUE"""),"Morocco")</f>
        <v>Morocco</v>
      </c>
      <c r="D10875">
        <f>IFERROR(__xludf.DUMMYFUNCTION("""COMPUTED_VALUE"""),1992.0)</f>
        <v>1992</v>
      </c>
      <c r="E10875">
        <f>IFERROR(__xludf.DUMMYFUNCTION("""COMPUTED_VALUE"""),2.5791494E7)</f>
        <v>25791494</v>
      </c>
    </row>
    <row r="10876">
      <c r="A10876" t="str">
        <f t="shared" si="1"/>
        <v>mar#1993</v>
      </c>
      <c r="B10876" t="str">
        <f>IFERROR(__xludf.DUMMYFUNCTION("""COMPUTED_VALUE"""),"mar")</f>
        <v>mar</v>
      </c>
      <c r="C10876" t="str">
        <f>IFERROR(__xludf.DUMMYFUNCTION("""COMPUTED_VALUE"""),"Morocco")</f>
        <v>Morocco</v>
      </c>
      <c r="D10876">
        <f>IFERROR(__xludf.DUMMYFUNCTION("""COMPUTED_VALUE"""),1993.0)</f>
        <v>1993</v>
      </c>
      <c r="E10876">
        <f>IFERROR(__xludf.DUMMYFUNCTION("""COMPUTED_VALUE"""),2.6237417E7)</f>
        <v>26237417</v>
      </c>
    </row>
    <row r="10877">
      <c r="A10877" t="str">
        <f t="shared" si="1"/>
        <v>mar#1994</v>
      </c>
      <c r="B10877" t="str">
        <f>IFERROR(__xludf.DUMMYFUNCTION("""COMPUTED_VALUE"""),"mar")</f>
        <v>mar</v>
      </c>
      <c r="C10877" t="str">
        <f>IFERROR(__xludf.DUMMYFUNCTION("""COMPUTED_VALUE"""),"Morocco")</f>
        <v>Morocco</v>
      </c>
      <c r="D10877">
        <f>IFERROR(__xludf.DUMMYFUNCTION("""COMPUTED_VALUE"""),1994.0)</f>
        <v>1994</v>
      </c>
      <c r="E10877">
        <f>IFERROR(__xludf.DUMMYFUNCTION("""COMPUTED_VALUE"""),2.6667048E7)</f>
        <v>26667048</v>
      </c>
    </row>
    <row r="10878">
      <c r="A10878" t="str">
        <f t="shared" si="1"/>
        <v>mar#1995</v>
      </c>
      <c r="B10878" t="str">
        <f>IFERROR(__xludf.DUMMYFUNCTION("""COMPUTED_VALUE"""),"mar")</f>
        <v>mar</v>
      </c>
      <c r="C10878" t="str">
        <f>IFERROR(__xludf.DUMMYFUNCTION("""COMPUTED_VALUE"""),"Morocco")</f>
        <v>Morocco</v>
      </c>
      <c r="D10878">
        <f>IFERROR(__xludf.DUMMYFUNCTION("""COMPUTED_VALUE"""),1995.0)</f>
        <v>1995</v>
      </c>
      <c r="E10878">
        <f>IFERROR(__xludf.DUMMYFUNCTION("""COMPUTED_VALUE"""),2.7075232E7)</f>
        <v>27075232</v>
      </c>
    </row>
    <row r="10879">
      <c r="A10879" t="str">
        <f t="shared" si="1"/>
        <v>mar#1996</v>
      </c>
      <c r="B10879" t="str">
        <f>IFERROR(__xludf.DUMMYFUNCTION("""COMPUTED_VALUE"""),"mar")</f>
        <v>mar</v>
      </c>
      <c r="C10879" t="str">
        <f>IFERROR(__xludf.DUMMYFUNCTION("""COMPUTED_VALUE"""),"Morocco")</f>
        <v>Morocco</v>
      </c>
      <c r="D10879">
        <f>IFERROR(__xludf.DUMMYFUNCTION("""COMPUTED_VALUE"""),1996.0)</f>
        <v>1996</v>
      </c>
      <c r="E10879">
        <f>IFERROR(__xludf.DUMMYFUNCTION("""COMPUTED_VALUE"""),2.7460603E7)</f>
        <v>27460603</v>
      </c>
    </row>
    <row r="10880">
      <c r="A10880" t="str">
        <f t="shared" si="1"/>
        <v>mar#1997</v>
      </c>
      <c r="B10880" t="str">
        <f>IFERROR(__xludf.DUMMYFUNCTION("""COMPUTED_VALUE"""),"mar")</f>
        <v>mar</v>
      </c>
      <c r="C10880" t="str">
        <f>IFERROR(__xludf.DUMMYFUNCTION("""COMPUTED_VALUE"""),"Morocco")</f>
        <v>Morocco</v>
      </c>
      <c r="D10880">
        <f>IFERROR(__xludf.DUMMYFUNCTION("""COMPUTED_VALUE"""),1997.0)</f>
        <v>1997</v>
      </c>
      <c r="E10880">
        <f>IFERROR(__xludf.DUMMYFUNCTION("""COMPUTED_VALUE"""),2.7825901E7)</f>
        <v>27825901</v>
      </c>
    </row>
    <row r="10881">
      <c r="A10881" t="str">
        <f t="shared" si="1"/>
        <v>mar#1998</v>
      </c>
      <c r="B10881" t="str">
        <f>IFERROR(__xludf.DUMMYFUNCTION("""COMPUTED_VALUE"""),"mar")</f>
        <v>mar</v>
      </c>
      <c r="C10881" t="str">
        <f>IFERROR(__xludf.DUMMYFUNCTION("""COMPUTED_VALUE"""),"Morocco")</f>
        <v>Morocco</v>
      </c>
      <c r="D10881">
        <f>IFERROR(__xludf.DUMMYFUNCTION("""COMPUTED_VALUE"""),1998.0)</f>
        <v>1998</v>
      </c>
      <c r="E10881">
        <f>IFERROR(__xludf.DUMMYFUNCTION("""COMPUTED_VALUE"""),2.8175263E7)</f>
        <v>28175263</v>
      </c>
    </row>
    <row r="10882">
      <c r="A10882" t="str">
        <f t="shared" si="1"/>
        <v>mar#1999</v>
      </c>
      <c r="B10882" t="str">
        <f>IFERROR(__xludf.DUMMYFUNCTION("""COMPUTED_VALUE"""),"mar")</f>
        <v>mar</v>
      </c>
      <c r="C10882" t="str">
        <f>IFERROR(__xludf.DUMMYFUNCTION("""COMPUTED_VALUE"""),"Morocco")</f>
        <v>Morocco</v>
      </c>
      <c r="D10882">
        <f>IFERROR(__xludf.DUMMYFUNCTION("""COMPUTED_VALUE"""),1999.0)</f>
        <v>1999</v>
      </c>
      <c r="E10882">
        <f>IFERROR(__xludf.DUMMYFUNCTION("""COMPUTED_VALUE"""),2.8514798E7)</f>
        <v>28514798</v>
      </c>
    </row>
    <row r="10883">
      <c r="A10883" t="str">
        <f t="shared" si="1"/>
        <v>mar#2000</v>
      </c>
      <c r="B10883" t="str">
        <f>IFERROR(__xludf.DUMMYFUNCTION("""COMPUTED_VALUE"""),"mar")</f>
        <v>mar</v>
      </c>
      <c r="C10883" t="str">
        <f>IFERROR(__xludf.DUMMYFUNCTION("""COMPUTED_VALUE"""),"Morocco")</f>
        <v>Morocco</v>
      </c>
      <c r="D10883">
        <f>IFERROR(__xludf.DUMMYFUNCTION("""COMPUTED_VALUE"""),2000.0)</f>
        <v>2000</v>
      </c>
      <c r="E10883">
        <f>IFERROR(__xludf.DUMMYFUNCTION("""COMPUTED_VALUE"""),2.8849621E7)</f>
        <v>28849621</v>
      </c>
    </row>
    <row r="10884">
      <c r="A10884" t="str">
        <f t="shared" si="1"/>
        <v>mar#2001</v>
      </c>
      <c r="B10884" t="str">
        <f>IFERROR(__xludf.DUMMYFUNCTION("""COMPUTED_VALUE"""),"mar")</f>
        <v>mar</v>
      </c>
      <c r="C10884" t="str">
        <f>IFERROR(__xludf.DUMMYFUNCTION("""COMPUTED_VALUE"""),"Morocco")</f>
        <v>Morocco</v>
      </c>
      <c r="D10884">
        <f>IFERROR(__xludf.DUMMYFUNCTION("""COMPUTED_VALUE"""),2001.0)</f>
        <v>2001</v>
      </c>
      <c r="E10884">
        <f>IFERROR(__xludf.DUMMYFUNCTION("""COMPUTED_VALUE"""),2.9181832E7)</f>
        <v>29181832</v>
      </c>
    </row>
    <row r="10885">
      <c r="A10885" t="str">
        <f t="shared" si="1"/>
        <v>mar#2002</v>
      </c>
      <c r="B10885" t="str">
        <f>IFERROR(__xludf.DUMMYFUNCTION("""COMPUTED_VALUE"""),"mar")</f>
        <v>mar</v>
      </c>
      <c r="C10885" t="str">
        <f>IFERROR(__xludf.DUMMYFUNCTION("""COMPUTED_VALUE"""),"Morocco")</f>
        <v>Morocco</v>
      </c>
      <c r="D10885">
        <f>IFERROR(__xludf.DUMMYFUNCTION("""COMPUTED_VALUE"""),2002.0)</f>
        <v>2002</v>
      </c>
      <c r="E10885">
        <f>IFERROR(__xludf.DUMMYFUNCTION("""COMPUTED_VALUE"""),2.9512368E7)</f>
        <v>29512368</v>
      </c>
    </row>
    <row r="10886">
      <c r="A10886" t="str">
        <f t="shared" si="1"/>
        <v>mar#2003</v>
      </c>
      <c r="B10886" t="str">
        <f>IFERROR(__xludf.DUMMYFUNCTION("""COMPUTED_VALUE"""),"mar")</f>
        <v>mar</v>
      </c>
      <c r="C10886" t="str">
        <f>IFERROR(__xludf.DUMMYFUNCTION("""COMPUTED_VALUE"""),"Morocco")</f>
        <v>Morocco</v>
      </c>
      <c r="D10886">
        <f>IFERROR(__xludf.DUMMYFUNCTION("""COMPUTED_VALUE"""),2003.0)</f>
        <v>2003</v>
      </c>
      <c r="E10886">
        <f>IFERROR(__xludf.DUMMYFUNCTION("""COMPUTED_VALUE"""),2.9843937E7)</f>
        <v>29843937</v>
      </c>
    </row>
    <row r="10887">
      <c r="A10887" t="str">
        <f t="shared" si="1"/>
        <v>mar#2004</v>
      </c>
      <c r="B10887" t="str">
        <f>IFERROR(__xludf.DUMMYFUNCTION("""COMPUTED_VALUE"""),"mar")</f>
        <v>mar</v>
      </c>
      <c r="C10887" t="str">
        <f>IFERROR(__xludf.DUMMYFUNCTION("""COMPUTED_VALUE"""),"Morocco")</f>
        <v>Morocco</v>
      </c>
      <c r="D10887">
        <f>IFERROR(__xludf.DUMMYFUNCTION("""COMPUTED_VALUE"""),2004.0)</f>
        <v>2004</v>
      </c>
      <c r="E10887">
        <f>IFERROR(__xludf.DUMMYFUNCTION("""COMPUTED_VALUE"""),3.0179285E7)</f>
        <v>30179285</v>
      </c>
    </row>
    <row r="10888">
      <c r="A10888" t="str">
        <f t="shared" si="1"/>
        <v>mar#2005</v>
      </c>
      <c r="B10888" t="str">
        <f>IFERROR(__xludf.DUMMYFUNCTION("""COMPUTED_VALUE"""),"mar")</f>
        <v>mar</v>
      </c>
      <c r="C10888" t="str">
        <f>IFERROR(__xludf.DUMMYFUNCTION("""COMPUTED_VALUE"""),"Morocco")</f>
        <v>Morocco</v>
      </c>
      <c r="D10888">
        <f>IFERROR(__xludf.DUMMYFUNCTION("""COMPUTED_VALUE"""),2005.0)</f>
        <v>2005</v>
      </c>
      <c r="E10888">
        <f>IFERROR(__xludf.DUMMYFUNCTION("""COMPUTED_VALUE"""),3.052107E7)</f>
        <v>30521070</v>
      </c>
    </row>
    <row r="10889">
      <c r="A10889" t="str">
        <f t="shared" si="1"/>
        <v>mar#2006</v>
      </c>
      <c r="B10889" t="str">
        <f>IFERROR(__xludf.DUMMYFUNCTION("""COMPUTED_VALUE"""),"mar")</f>
        <v>mar</v>
      </c>
      <c r="C10889" t="str">
        <f>IFERROR(__xludf.DUMMYFUNCTION("""COMPUTED_VALUE"""),"Morocco")</f>
        <v>Morocco</v>
      </c>
      <c r="D10889">
        <f>IFERROR(__xludf.DUMMYFUNCTION("""COMPUTED_VALUE"""),2006.0)</f>
        <v>2006</v>
      </c>
      <c r="E10889">
        <f>IFERROR(__xludf.DUMMYFUNCTION("""COMPUTED_VALUE"""),3.0869346E7)</f>
        <v>30869346</v>
      </c>
    </row>
    <row r="10890">
      <c r="A10890" t="str">
        <f t="shared" si="1"/>
        <v>mar#2007</v>
      </c>
      <c r="B10890" t="str">
        <f>IFERROR(__xludf.DUMMYFUNCTION("""COMPUTED_VALUE"""),"mar")</f>
        <v>mar</v>
      </c>
      <c r="C10890" t="str">
        <f>IFERROR(__xludf.DUMMYFUNCTION("""COMPUTED_VALUE"""),"Morocco")</f>
        <v>Morocco</v>
      </c>
      <c r="D10890">
        <f>IFERROR(__xludf.DUMMYFUNCTION("""COMPUTED_VALUE"""),2007.0)</f>
        <v>2007</v>
      </c>
      <c r="E10890">
        <f>IFERROR(__xludf.DUMMYFUNCTION("""COMPUTED_VALUE"""),3.1225881E7)</f>
        <v>31225881</v>
      </c>
    </row>
    <row r="10891">
      <c r="A10891" t="str">
        <f t="shared" si="1"/>
        <v>mar#2008</v>
      </c>
      <c r="B10891" t="str">
        <f>IFERROR(__xludf.DUMMYFUNCTION("""COMPUTED_VALUE"""),"mar")</f>
        <v>mar</v>
      </c>
      <c r="C10891" t="str">
        <f>IFERROR(__xludf.DUMMYFUNCTION("""COMPUTED_VALUE"""),"Morocco")</f>
        <v>Morocco</v>
      </c>
      <c r="D10891">
        <f>IFERROR(__xludf.DUMMYFUNCTION("""COMPUTED_VALUE"""),2008.0)</f>
        <v>2008</v>
      </c>
      <c r="E10891">
        <f>IFERROR(__xludf.DUMMYFUNCTION("""COMPUTED_VALUE"""),3.1596855E7)</f>
        <v>31596855</v>
      </c>
    </row>
    <row r="10892">
      <c r="A10892" t="str">
        <f t="shared" si="1"/>
        <v>mar#2009</v>
      </c>
      <c r="B10892" t="str">
        <f>IFERROR(__xludf.DUMMYFUNCTION("""COMPUTED_VALUE"""),"mar")</f>
        <v>mar</v>
      </c>
      <c r="C10892" t="str">
        <f>IFERROR(__xludf.DUMMYFUNCTION("""COMPUTED_VALUE"""),"Morocco")</f>
        <v>Morocco</v>
      </c>
      <c r="D10892">
        <f>IFERROR(__xludf.DUMMYFUNCTION("""COMPUTED_VALUE"""),2009.0)</f>
        <v>2009</v>
      </c>
      <c r="E10892">
        <f>IFERROR(__xludf.DUMMYFUNCTION("""COMPUTED_VALUE"""),3.1989897E7)</f>
        <v>31989897</v>
      </c>
    </row>
    <row r="10893">
      <c r="A10893" t="str">
        <f t="shared" si="1"/>
        <v>mar#2010</v>
      </c>
      <c r="B10893" t="str">
        <f>IFERROR(__xludf.DUMMYFUNCTION("""COMPUTED_VALUE"""),"mar")</f>
        <v>mar</v>
      </c>
      <c r="C10893" t="str">
        <f>IFERROR(__xludf.DUMMYFUNCTION("""COMPUTED_VALUE"""),"Morocco")</f>
        <v>Morocco</v>
      </c>
      <c r="D10893">
        <f>IFERROR(__xludf.DUMMYFUNCTION("""COMPUTED_VALUE"""),2010.0)</f>
        <v>2010</v>
      </c>
      <c r="E10893">
        <f>IFERROR(__xludf.DUMMYFUNCTION("""COMPUTED_VALUE"""),3.2409639E7)</f>
        <v>32409639</v>
      </c>
    </row>
    <row r="10894">
      <c r="A10894" t="str">
        <f t="shared" si="1"/>
        <v>mar#2011</v>
      </c>
      <c r="B10894" t="str">
        <f>IFERROR(__xludf.DUMMYFUNCTION("""COMPUTED_VALUE"""),"mar")</f>
        <v>mar</v>
      </c>
      <c r="C10894" t="str">
        <f>IFERROR(__xludf.DUMMYFUNCTION("""COMPUTED_VALUE"""),"Morocco")</f>
        <v>Morocco</v>
      </c>
      <c r="D10894">
        <f>IFERROR(__xludf.DUMMYFUNCTION("""COMPUTED_VALUE"""),2011.0)</f>
        <v>2011</v>
      </c>
      <c r="E10894">
        <f>IFERROR(__xludf.DUMMYFUNCTION("""COMPUTED_VALUE"""),3.2858823E7)</f>
        <v>32858823</v>
      </c>
    </row>
    <row r="10895">
      <c r="A10895" t="str">
        <f t="shared" si="1"/>
        <v>mar#2012</v>
      </c>
      <c r="B10895" t="str">
        <f>IFERROR(__xludf.DUMMYFUNCTION("""COMPUTED_VALUE"""),"mar")</f>
        <v>mar</v>
      </c>
      <c r="C10895" t="str">
        <f>IFERROR(__xludf.DUMMYFUNCTION("""COMPUTED_VALUE"""),"Morocco")</f>
        <v>Morocco</v>
      </c>
      <c r="D10895">
        <f>IFERROR(__xludf.DUMMYFUNCTION("""COMPUTED_VALUE"""),2012.0)</f>
        <v>2012</v>
      </c>
      <c r="E10895">
        <f>IFERROR(__xludf.DUMMYFUNCTION("""COMPUTED_VALUE"""),3.3333789E7)</f>
        <v>33333789</v>
      </c>
    </row>
    <row r="10896">
      <c r="A10896" t="str">
        <f t="shared" si="1"/>
        <v>mar#2013</v>
      </c>
      <c r="B10896" t="str">
        <f>IFERROR(__xludf.DUMMYFUNCTION("""COMPUTED_VALUE"""),"mar")</f>
        <v>mar</v>
      </c>
      <c r="C10896" t="str">
        <f>IFERROR(__xludf.DUMMYFUNCTION("""COMPUTED_VALUE"""),"Morocco")</f>
        <v>Morocco</v>
      </c>
      <c r="D10896">
        <f>IFERROR(__xludf.DUMMYFUNCTION("""COMPUTED_VALUE"""),2013.0)</f>
        <v>2013</v>
      </c>
      <c r="E10896">
        <f>IFERROR(__xludf.DUMMYFUNCTION("""COMPUTED_VALUE"""),3.3824769E7)</f>
        <v>33824769</v>
      </c>
    </row>
    <row r="10897">
      <c r="A10897" t="str">
        <f t="shared" si="1"/>
        <v>mar#2014</v>
      </c>
      <c r="B10897" t="str">
        <f>IFERROR(__xludf.DUMMYFUNCTION("""COMPUTED_VALUE"""),"mar")</f>
        <v>mar</v>
      </c>
      <c r="C10897" t="str">
        <f>IFERROR(__xludf.DUMMYFUNCTION("""COMPUTED_VALUE"""),"Morocco")</f>
        <v>Morocco</v>
      </c>
      <c r="D10897">
        <f>IFERROR(__xludf.DUMMYFUNCTION("""COMPUTED_VALUE"""),2014.0)</f>
        <v>2014</v>
      </c>
      <c r="E10897">
        <f>IFERROR(__xludf.DUMMYFUNCTION("""COMPUTED_VALUE"""),3.4318082E7)</f>
        <v>34318082</v>
      </c>
    </row>
    <row r="10898">
      <c r="A10898" t="str">
        <f t="shared" si="1"/>
        <v>mar#2015</v>
      </c>
      <c r="B10898" t="str">
        <f>IFERROR(__xludf.DUMMYFUNCTION("""COMPUTED_VALUE"""),"mar")</f>
        <v>mar</v>
      </c>
      <c r="C10898" t="str">
        <f>IFERROR(__xludf.DUMMYFUNCTION("""COMPUTED_VALUE"""),"Morocco")</f>
        <v>Morocco</v>
      </c>
      <c r="D10898">
        <f>IFERROR(__xludf.DUMMYFUNCTION("""COMPUTED_VALUE"""),2015.0)</f>
        <v>2015</v>
      </c>
      <c r="E10898">
        <f>IFERROR(__xludf.DUMMYFUNCTION("""COMPUTED_VALUE"""),3.4803322E7)</f>
        <v>34803322</v>
      </c>
    </row>
    <row r="10899">
      <c r="A10899" t="str">
        <f t="shared" si="1"/>
        <v>mar#2016</v>
      </c>
      <c r="B10899" t="str">
        <f>IFERROR(__xludf.DUMMYFUNCTION("""COMPUTED_VALUE"""),"mar")</f>
        <v>mar</v>
      </c>
      <c r="C10899" t="str">
        <f>IFERROR(__xludf.DUMMYFUNCTION("""COMPUTED_VALUE"""),"Morocco")</f>
        <v>Morocco</v>
      </c>
      <c r="D10899">
        <f>IFERROR(__xludf.DUMMYFUNCTION("""COMPUTED_VALUE"""),2016.0)</f>
        <v>2016</v>
      </c>
      <c r="E10899">
        <f>IFERROR(__xludf.DUMMYFUNCTION("""COMPUTED_VALUE"""),3.5276786E7)</f>
        <v>35276786</v>
      </c>
    </row>
    <row r="10900">
      <c r="A10900" t="str">
        <f t="shared" si="1"/>
        <v>mar#2017</v>
      </c>
      <c r="B10900" t="str">
        <f>IFERROR(__xludf.DUMMYFUNCTION("""COMPUTED_VALUE"""),"mar")</f>
        <v>mar</v>
      </c>
      <c r="C10900" t="str">
        <f>IFERROR(__xludf.DUMMYFUNCTION("""COMPUTED_VALUE"""),"Morocco")</f>
        <v>Morocco</v>
      </c>
      <c r="D10900">
        <f>IFERROR(__xludf.DUMMYFUNCTION("""COMPUTED_VALUE"""),2017.0)</f>
        <v>2017</v>
      </c>
      <c r="E10900">
        <f>IFERROR(__xludf.DUMMYFUNCTION("""COMPUTED_VALUE"""),3.573958E7)</f>
        <v>35739580</v>
      </c>
    </row>
    <row r="10901">
      <c r="A10901" t="str">
        <f t="shared" si="1"/>
        <v>mar#2018</v>
      </c>
      <c r="B10901" t="str">
        <f>IFERROR(__xludf.DUMMYFUNCTION("""COMPUTED_VALUE"""),"mar")</f>
        <v>mar</v>
      </c>
      <c r="C10901" t="str">
        <f>IFERROR(__xludf.DUMMYFUNCTION("""COMPUTED_VALUE"""),"Morocco")</f>
        <v>Morocco</v>
      </c>
      <c r="D10901">
        <f>IFERROR(__xludf.DUMMYFUNCTION("""COMPUTED_VALUE"""),2018.0)</f>
        <v>2018</v>
      </c>
      <c r="E10901">
        <f>IFERROR(__xludf.DUMMYFUNCTION("""COMPUTED_VALUE"""),3.6191805E7)</f>
        <v>36191805</v>
      </c>
    </row>
    <row r="10902">
      <c r="A10902" t="str">
        <f t="shared" si="1"/>
        <v>mar#2019</v>
      </c>
      <c r="B10902" t="str">
        <f>IFERROR(__xludf.DUMMYFUNCTION("""COMPUTED_VALUE"""),"mar")</f>
        <v>mar</v>
      </c>
      <c r="C10902" t="str">
        <f>IFERROR(__xludf.DUMMYFUNCTION("""COMPUTED_VALUE"""),"Morocco")</f>
        <v>Morocco</v>
      </c>
      <c r="D10902">
        <f>IFERROR(__xludf.DUMMYFUNCTION("""COMPUTED_VALUE"""),2019.0)</f>
        <v>2019</v>
      </c>
      <c r="E10902">
        <f>IFERROR(__xludf.DUMMYFUNCTION("""COMPUTED_VALUE"""),3.6635156E7)</f>
        <v>36635156</v>
      </c>
    </row>
    <row r="10903">
      <c r="A10903" t="str">
        <f t="shared" si="1"/>
        <v>mar#2020</v>
      </c>
      <c r="B10903" t="str">
        <f>IFERROR(__xludf.DUMMYFUNCTION("""COMPUTED_VALUE"""),"mar")</f>
        <v>mar</v>
      </c>
      <c r="C10903" t="str">
        <f>IFERROR(__xludf.DUMMYFUNCTION("""COMPUTED_VALUE"""),"Morocco")</f>
        <v>Morocco</v>
      </c>
      <c r="D10903">
        <f>IFERROR(__xludf.DUMMYFUNCTION("""COMPUTED_VALUE"""),2020.0)</f>
        <v>2020</v>
      </c>
      <c r="E10903">
        <f>IFERROR(__xludf.DUMMYFUNCTION("""COMPUTED_VALUE"""),3.7070718E7)</f>
        <v>37070718</v>
      </c>
    </row>
    <row r="10904">
      <c r="A10904" t="str">
        <f t="shared" si="1"/>
        <v>mar#2021</v>
      </c>
      <c r="B10904" t="str">
        <f>IFERROR(__xludf.DUMMYFUNCTION("""COMPUTED_VALUE"""),"mar")</f>
        <v>mar</v>
      </c>
      <c r="C10904" t="str">
        <f>IFERROR(__xludf.DUMMYFUNCTION("""COMPUTED_VALUE"""),"Morocco")</f>
        <v>Morocco</v>
      </c>
      <c r="D10904">
        <f>IFERROR(__xludf.DUMMYFUNCTION("""COMPUTED_VALUE"""),2021.0)</f>
        <v>2021</v>
      </c>
      <c r="E10904">
        <f>IFERROR(__xludf.DUMMYFUNCTION("""COMPUTED_VALUE"""),3.7497502E7)</f>
        <v>37497502</v>
      </c>
    </row>
    <row r="10905">
      <c r="A10905" t="str">
        <f t="shared" si="1"/>
        <v>mar#2022</v>
      </c>
      <c r="B10905" t="str">
        <f>IFERROR(__xludf.DUMMYFUNCTION("""COMPUTED_VALUE"""),"mar")</f>
        <v>mar</v>
      </c>
      <c r="C10905" t="str">
        <f>IFERROR(__xludf.DUMMYFUNCTION("""COMPUTED_VALUE"""),"Morocco")</f>
        <v>Morocco</v>
      </c>
      <c r="D10905">
        <f>IFERROR(__xludf.DUMMYFUNCTION("""COMPUTED_VALUE"""),2022.0)</f>
        <v>2022</v>
      </c>
      <c r="E10905">
        <f>IFERROR(__xludf.DUMMYFUNCTION("""COMPUTED_VALUE"""),3.7913853E7)</f>
        <v>37913853</v>
      </c>
    </row>
    <row r="10906">
      <c r="A10906" t="str">
        <f t="shared" si="1"/>
        <v>mar#2023</v>
      </c>
      <c r="B10906" t="str">
        <f>IFERROR(__xludf.DUMMYFUNCTION("""COMPUTED_VALUE"""),"mar")</f>
        <v>mar</v>
      </c>
      <c r="C10906" t="str">
        <f>IFERROR(__xludf.DUMMYFUNCTION("""COMPUTED_VALUE"""),"Morocco")</f>
        <v>Morocco</v>
      </c>
      <c r="D10906">
        <f>IFERROR(__xludf.DUMMYFUNCTION("""COMPUTED_VALUE"""),2023.0)</f>
        <v>2023</v>
      </c>
      <c r="E10906">
        <f>IFERROR(__xludf.DUMMYFUNCTION("""COMPUTED_VALUE"""),3.8319726E7)</f>
        <v>38319726</v>
      </c>
    </row>
    <row r="10907">
      <c r="A10907" t="str">
        <f t="shared" si="1"/>
        <v>mar#2024</v>
      </c>
      <c r="B10907" t="str">
        <f>IFERROR(__xludf.DUMMYFUNCTION("""COMPUTED_VALUE"""),"mar")</f>
        <v>mar</v>
      </c>
      <c r="C10907" t="str">
        <f>IFERROR(__xludf.DUMMYFUNCTION("""COMPUTED_VALUE"""),"Morocco")</f>
        <v>Morocco</v>
      </c>
      <c r="D10907">
        <f>IFERROR(__xludf.DUMMYFUNCTION("""COMPUTED_VALUE"""),2024.0)</f>
        <v>2024</v>
      </c>
      <c r="E10907">
        <f>IFERROR(__xludf.DUMMYFUNCTION("""COMPUTED_VALUE"""),3.8715278E7)</f>
        <v>38715278</v>
      </c>
    </row>
    <row r="10908">
      <c r="A10908" t="str">
        <f t="shared" si="1"/>
        <v>mar#2025</v>
      </c>
      <c r="B10908" t="str">
        <f>IFERROR(__xludf.DUMMYFUNCTION("""COMPUTED_VALUE"""),"mar")</f>
        <v>mar</v>
      </c>
      <c r="C10908" t="str">
        <f>IFERROR(__xludf.DUMMYFUNCTION("""COMPUTED_VALUE"""),"Morocco")</f>
        <v>Morocco</v>
      </c>
      <c r="D10908">
        <f>IFERROR(__xludf.DUMMYFUNCTION("""COMPUTED_VALUE"""),2025.0)</f>
        <v>2025</v>
      </c>
      <c r="E10908">
        <f>IFERROR(__xludf.DUMMYFUNCTION("""COMPUTED_VALUE"""),3.9100641E7)</f>
        <v>39100641</v>
      </c>
    </row>
    <row r="10909">
      <c r="A10909" t="str">
        <f t="shared" si="1"/>
        <v>mar#2026</v>
      </c>
      <c r="B10909" t="str">
        <f>IFERROR(__xludf.DUMMYFUNCTION("""COMPUTED_VALUE"""),"mar")</f>
        <v>mar</v>
      </c>
      <c r="C10909" t="str">
        <f>IFERROR(__xludf.DUMMYFUNCTION("""COMPUTED_VALUE"""),"Morocco")</f>
        <v>Morocco</v>
      </c>
      <c r="D10909">
        <f>IFERROR(__xludf.DUMMYFUNCTION("""COMPUTED_VALUE"""),2026.0)</f>
        <v>2026</v>
      </c>
      <c r="E10909">
        <f>IFERROR(__xludf.DUMMYFUNCTION("""COMPUTED_VALUE"""),3.9475653E7)</f>
        <v>39475653</v>
      </c>
    </row>
    <row r="10910">
      <c r="A10910" t="str">
        <f t="shared" si="1"/>
        <v>mar#2027</v>
      </c>
      <c r="B10910" t="str">
        <f>IFERROR(__xludf.DUMMYFUNCTION("""COMPUTED_VALUE"""),"mar")</f>
        <v>mar</v>
      </c>
      <c r="C10910" t="str">
        <f>IFERROR(__xludf.DUMMYFUNCTION("""COMPUTED_VALUE"""),"Morocco")</f>
        <v>Morocco</v>
      </c>
      <c r="D10910">
        <f>IFERROR(__xludf.DUMMYFUNCTION("""COMPUTED_VALUE"""),2027.0)</f>
        <v>2027</v>
      </c>
      <c r="E10910">
        <f>IFERROR(__xludf.DUMMYFUNCTION("""COMPUTED_VALUE"""),3.984014E7)</f>
        <v>39840140</v>
      </c>
    </row>
    <row r="10911">
      <c r="A10911" t="str">
        <f t="shared" si="1"/>
        <v>mar#2028</v>
      </c>
      <c r="B10911" t="str">
        <f>IFERROR(__xludf.DUMMYFUNCTION("""COMPUTED_VALUE"""),"mar")</f>
        <v>mar</v>
      </c>
      <c r="C10911" t="str">
        <f>IFERROR(__xludf.DUMMYFUNCTION("""COMPUTED_VALUE"""),"Morocco")</f>
        <v>Morocco</v>
      </c>
      <c r="D10911">
        <f>IFERROR(__xludf.DUMMYFUNCTION("""COMPUTED_VALUE"""),2028.0)</f>
        <v>2028</v>
      </c>
      <c r="E10911">
        <f>IFERROR(__xludf.DUMMYFUNCTION("""COMPUTED_VALUE"""),4.0194377E7)</f>
        <v>40194377</v>
      </c>
    </row>
    <row r="10912">
      <c r="A10912" t="str">
        <f t="shared" si="1"/>
        <v>mar#2029</v>
      </c>
      <c r="B10912" t="str">
        <f>IFERROR(__xludf.DUMMYFUNCTION("""COMPUTED_VALUE"""),"mar")</f>
        <v>mar</v>
      </c>
      <c r="C10912" t="str">
        <f>IFERROR(__xludf.DUMMYFUNCTION("""COMPUTED_VALUE"""),"Morocco")</f>
        <v>Morocco</v>
      </c>
      <c r="D10912">
        <f>IFERROR(__xludf.DUMMYFUNCTION("""COMPUTED_VALUE"""),2029.0)</f>
        <v>2029</v>
      </c>
      <c r="E10912">
        <f>IFERROR(__xludf.DUMMYFUNCTION("""COMPUTED_VALUE"""),4.053876E7)</f>
        <v>40538760</v>
      </c>
    </row>
    <row r="10913">
      <c r="A10913" t="str">
        <f t="shared" si="1"/>
        <v>mar#2030</v>
      </c>
      <c r="B10913" t="str">
        <f>IFERROR(__xludf.DUMMYFUNCTION("""COMPUTED_VALUE"""),"mar")</f>
        <v>mar</v>
      </c>
      <c r="C10913" t="str">
        <f>IFERROR(__xludf.DUMMYFUNCTION("""COMPUTED_VALUE"""),"Morocco")</f>
        <v>Morocco</v>
      </c>
      <c r="D10913">
        <f>IFERROR(__xludf.DUMMYFUNCTION("""COMPUTED_VALUE"""),2030.0)</f>
        <v>2030</v>
      </c>
      <c r="E10913">
        <f>IFERROR(__xludf.DUMMYFUNCTION("""COMPUTED_VALUE"""),4.0873592E7)</f>
        <v>40873592</v>
      </c>
    </row>
    <row r="10914">
      <c r="A10914" t="str">
        <f t="shared" si="1"/>
        <v>mar#2031</v>
      </c>
      <c r="B10914" t="str">
        <f>IFERROR(__xludf.DUMMYFUNCTION("""COMPUTED_VALUE"""),"mar")</f>
        <v>mar</v>
      </c>
      <c r="C10914" t="str">
        <f>IFERROR(__xludf.DUMMYFUNCTION("""COMPUTED_VALUE"""),"Morocco")</f>
        <v>Morocco</v>
      </c>
      <c r="D10914">
        <f>IFERROR(__xludf.DUMMYFUNCTION("""COMPUTED_VALUE"""),2031.0)</f>
        <v>2031</v>
      </c>
      <c r="E10914">
        <f>IFERROR(__xludf.DUMMYFUNCTION("""COMPUTED_VALUE"""),4.1198982E7)</f>
        <v>41198982</v>
      </c>
    </row>
    <row r="10915">
      <c r="A10915" t="str">
        <f t="shared" si="1"/>
        <v>mar#2032</v>
      </c>
      <c r="B10915" t="str">
        <f>IFERROR(__xludf.DUMMYFUNCTION("""COMPUTED_VALUE"""),"mar")</f>
        <v>mar</v>
      </c>
      <c r="C10915" t="str">
        <f>IFERROR(__xludf.DUMMYFUNCTION("""COMPUTED_VALUE"""),"Morocco")</f>
        <v>Morocco</v>
      </c>
      <c r="D10915">
        <f>IFERROR(__xludf.DUMMYFUNCTION("""COMPUTED_VALUE"""),2032.0)</f>
        <v>2032</v>
      </c>
      <c r="E10915">
        <f>IFERROR(__xludf.DUMMYFUNCTION("""COMPUTED_VALUE"""),4.1514923E7)</f>
        <v>41514923</v>
      </c>
    </row>
    <row r="10916">
      <c r="A10916" t="str">
        <f t="shared" si="1"/>
        <v>mar#2033</v>
      </c>
      <c r="B10916" t="str">
        <f>IFERROR(__xludf.DUMMYFUNCTION("""COMPUTED_VALUE"""),"mar")</f>
        <v>mar</v>
      </c>
      <c r="C10916" t="str">
        <f>IFERROR(__xludf.DUMMYFUNCTION("""COMPUTED_VALUE"""),"Morocco")</f>
        <v>Morocco</v>
      </c>
      <c r="D10916">
        <f>IFERROR(__xludf.DUMMYFUNCTION("""COMPUTED_VALUE"""),2033.0)</f>
        <v>2033</v>
      </c>
      <c r="E10916">
        <f>IFERROR(__xludf.DUMMYFUNCTION("""COMPUTED_VALUE"""),4.1821531E7)</f>
        <v>41821531</v>
      </c>
    </row>
    <row r="10917">
      <c r="A10917" t="str">
        <f t="shared" si="1"/>
        <v>mar#2034</v>
      </c>
      <c r="B10917" t="str">
        <f>IFERROR(__xludf.DUMMYFUNCTION("""COMPUTED_VALUE"""),"mar")</f>
        <v>mar</v>
      </c>
      <c r="C10917" t="str">
        <f>IFERROR(__xludf.DUMMYFUNCTION("""COMPUTED_VALUE"""),"Morocco")</f>
        <v>Morocco</v>
      </c>
      <c r="D10917">
        <f>IFERROR(__xludf.DUMMYFUNCTION("""COMPUTED_VALUE"""),2034.0)</f>
        <v>2034</v>
      </c>
      <c r="E10917">
        <f>IFERROR(__xludf.DUMMYFUNCTION("""COMPUTED_VALUE"""),4.2118916E7)</f>
        <v>42118916</v>
      </c>
    </row>
    <row r="10918">
      <c r="A10918" t="str">
        <f t="shared" si="1"/>
        <v>mar#2035</v>
      </c>
      <c r="B10918" t="str">
        <f>IFERROR(__xludf.DUMMYFUNCTION("""COMPUTED_VALUE"""),"mar")</f>
        <v>mar</v>
      </c>
      <c r="C10918" t="str">
        <f>IFERROR(__xludf.DUMMYFUNCTION("""COMPUTED_VALUE"""),"Morocco")</f>
        <v>Morocco</v>
      </c>
      <c r="D10918">
        <f>IFERROR(__xludf.DUMMYFUNCTION("""COMPUTED_VALUE"""),2035.0)</f>
        <v>2035</v>
      </c>
      <c r="E10918">
        <f>IFERROR(__xludf.DUMMYFUNCTION("""COMPUTED_VALUE"""),4.2407174E7)</f>
        <v>42407174</v>
      </c>
    </row>
    <row r="10919">
      <c r="A10919" t="str">
        <f t="shared" si="1"/>
        <v>mar#2036</v>
      </c>
      <c r="B10919" t="str">
        <f>IFERROR(__xludf.DUMMYFUNCTION("""COMPUTED_VALUE"""),"mar")</f>
        <v>mar</v>
      </c>
      <c r="C10919" t="str">
        <f>IFERROR(__xludf.DUMMYFUNCTION("""COMPUTED_VALUE"""),"Morocco")</f>
        <v>Morocco</v>
      </c>
      <c r="D10919">
        <f>IFERROR(__xludf.DUMMYFUNCTION("""COMPUTED_VALUE"""),2036.0)</f>
        <v>2036</v>
      </c>
      <c r="E10919">
        <f>IFERROR(__xludf.DUMMYFUNCTION("""COMPUTED_VALUE"""),4.2686376E7)</f>
        <v>42686376</v>
      </c>
    </row>
    <row r="10920">
      <c r="A10920" t="str">
        <f t="shared" si="1"/>
        <v>mar#2037</v>
      </c>
      <c r="B10920" t="str">
        <f>IFERROR(__xludf.DUMMYFUNCTION("""COMPUTED_VALUE"""),"mar")</f>
        <v>mar</v>
      </c>
      <c r="C10920" t="str">
        <f>IFERROR(__xludf.DUMMYFUNCTION("""COMPUTED_VALUE"""),"Morocco")</f>
        <v>Morocco</v>
      </c>
      <c r="D10920">
        <f>IFERROR(__xludf.DUMMYFUNCTION("""COMPUTED_VALUE"""),2037.0)</f>
        <v>2037</v>
      </c>
      <c r="E10920">
        <f>IFERROR(__xludf.DUMMYFUNCTION("""COMPUTED_VALUE"""),4.2956584E7)</f>
        <v>42956584</v>
      </c>
    </row>
    <row r="10921">
      <c r="A10921" t="str">
        <f t="shared" si="1"/>
        <v>mar#2038</v>
      </c>
      <c r="B10921" t="str">
        <f>IFERROR(__xludf.DUMMYFUNCTION("""COMPUTED_VALUE"""),"mar")</f>
        <v>mar</v>
      </c>
      <c r="C10921" t="str">
        <f>IFERROR(__xludf.DUMMYFUNCTION("""COMPUTED_VALUE"""),"Morocco")</f>
        <v>Morocco</v>
      </c>
      <c r="D10921">
        <f>IFERROR(__xludf.DUMMYFUNCTION("""COMPUTED_VALUE"""),2038.0)</f>
        <v>2038</v>
      </c>
      <c r="E10921">
        <f>IFERROR(__xludf.DUMMYFUNCTION("""COMPUTED_VALUE"""),4.3217848E7)</f>
        <v>43217848</v>
      </c>
    </row>
    <row r="10922">
      <c r="A10922" t="str">
        <f t="shared" si="1"/>
        <v>mar#2039</v>
      </c>
      <c r="B10922" t="str">
        <f>IFERROR(__xludf.DUMMYFUNCTION("""COMPUTED_VALUE"""),"mar")</f>
        <v>mar</v>
      </c>
      <c r="C10922" t="str">
        <f>IFERROR(__xludf.DUMMYFUNCTION("""COMPUTED_VALUE"""),"Morocco")</f>
        <v>Morocco</v>
      </c>
      <c r="D10922">
        <f>IFERROR(__xludf.DUMMYFUNCTION("""COMPUTED_VALUE"""),2039.0)</f>
        <v>2039</v>
      </c>
      <c r="E10922">
        <f>IFERROR(__xludf.DUMMYFUNCTION("""COMPUTED_VALUE"""),4.3470212E7)</f>
        <v>43470212</v>
      </c>
    </row>
    <row r="10923">
      <c r="A10923" t="str">
        <f t="shared" si="1"/>
        <v>mar#2040</v>
      </c>
      <c r="B10923" t="str">
        <f>IFERROR(__xludf.DUMMYFUNCTION("""COMPUTED_VALUE"""),"mar")</f>
        <v>mar</v>
      </c>
      <c r="C10923" t="str">
        <f>IFERROR(__xludf.DUMMYFUNCTION("""COMPUTED_VALUE"""),"Morocco")</f>
        <v>Morocco</v>
      </c>
      <c r="D10923">
        <f>IFERROR(__xludf.DUMMYFUNCTION("""COMPUTED_VALUE"""),2040.0)</f>
        <v>2040</v>
      </c>
      <c r="E10923">
        <f>IFERROR(__xludf.DUMMYFUNCTION("""COMPUTED_VALUE"""),4.3713705E7)</f>
        <v>43713705</v>
      </c>
    </row>
    <row r="10924">
      <c r="A10924" t="str">
        <f t="shared" si="1"/>
        <v>moz#1950</v>
      </c>
      <c r="B10924" t="str">
        <f>IFERROR(__xludf.DUMMYFUNCTION("""COMPUTED_VALUE"""),"moz")</f>
        <v>moz</v>
      </c>
      <c r="C10924" t="str">
        <f>IFERROR(__xludf.DUMMYFUNCTION("""COMPUTED_VALUE"""),"Mozambique")</f>
        <v>Mozambique</v>
      </c>
      <c r="D10924">
        <f>IFERROR(__xludf.DUMMYFUNCTION("""COMPUTED_VALUE"""),1950.0)</f>
        <v>1950</v>
      </c>
      <c r="E10924">
        <f>IFERROR(__xludf.DUMMYFUNCTION("""COMPUTED_VALUE"""),6152237.0)</f>
        <v>6152237</v>
      </c>
    </row>
    <row r="10925">
      <c r="A10925" t="str">
        <f t="shared" si="1"/>
        <v>moz#1951</v>
      </c>
      <c r="B10925" t="str">
        <f>IFERROR(__xludf.DUMMYFUNCTION("""COMPUTED_VALUE"""),"moz")</f>
        <v>moz</v>
      </c>
      <c r="C10925" t="str">
        <f>IFERROR(__xludf.DUMMYFUNCTION("""COMPUTED_VALUE"""),"Mozambique")</f>
        <v>Mozambique</v>
      </c>
      <c r="D10925">
        <f>IFERROR(__xludf.DUMMYFUNCTION("""COMPUTED_VALUE"""),1951.0)</f>
        <v>1951</v>
      </c>
      <c r="E10925">
        <f>IFERROR(__xludf.DUMMYFUNCTION("""COMPUTED_VALUE"""),6248717.0)</f>
        <v>6248717</v>
      </c>
    </row>
    <row r="10926">
      <c r="A10926" t="str">
        <f t="shared" si="1"/>
        <v>moz#1952</v>
      </c>
      <c r="B10926" t="str">
        <f>IFERROR(__xludf.DUMMYFUNCTION("""COMPUTED_VALUE"""),"moz")</f>
        <v>moz</v>
      </c>
      <c r="C10926" t="str">
        <f>IFERROR(__xludf.DUMMYFUNCTION("""COMPUTED_VALUE"""),"Mozambique")</f>
        <v>Mozambique</v>
      </c>
      <c r="D10926">
        <f>IFERROR(__xludf.DUMMYFUNCTION("""COMPUTED_VALUE"""),1952.0)</f>
        <v>1952</v>
      </c>
      <c r="E10926">
        <f>IFERROR(__xludf.DUMMYFUNCTION("""COMPUTED_VALUE"""),6352584.0)</f>
        <v>6352584</v>
      </c>
    </row>
    <row r="10927">
      <c r="A10927" t="str">
        <f t="shared" si="1"/>
        <v>moz#1953</v>
      </c>
      <c r="B10927" t="str">
        <f>IFERROR(__xludf.DUMMYFUNCTION("""COMPUTED_VALUE"""),"moz")</f>
        <v>moz</v>
      </c>
      <c r="C10927" t="str">
        <f>IFERROR(__xludf.DUMMYFUNCTION("""COMPUTED_VALUE"""),"Mozambique")</f>
        <v>Mozambique</v>
      </c>
      <c r="D10927">
        <f>IFERROR(__xludf.DUMMYFUNCTION("""COMPUTED_VALUE"""),1953.0)</f>
        <v>1953</v>
      </c>
      <c r="E10927">
        <f>IFERROR(__xludf.DUMMYFUNCTION("""COMPUTED_VALUE"""),6463088.0)</f>
        <v>6463088</v>
      </c>
    </row>
    <row r="10928">
      <c r="A10928" t="str">
        <f t="shared" si="1"/>
        <v>moz#1954</v>
      </c>
      <c r="B10928" t="str">
        <f>IFERROR(__xludf.DUMMYFUNCTION("""COMPUTED_VALUE"""),"moz")</f>
        <v>moz</v>
      </c>
      <c r="C10928" t="str">
        <f>IFERROR(__xludf.DUMMYFUNCTION("""COMPUTED_VALUE"""),"Mozambique")</f>
        <v>Mozambique</v>
      </c>
      <c r="D10928">
        <f>IFERROR(__xludf.DUMMYFUNCTION("""COMPUTED_VALUE"""),1954.0)</f>
        <v>1954</v>
      </c>
      <c r="E10928">
        <f>IFERROR(__xludf.DUMMYFUNCTION("""COMPUTED_VALUE"""),6579634.0)</f>
        <v>6579634</v>
      </c>
    </row>
    <row r="10929">
      <c r="A10929" t="str">
        <f t="shared" si="1"/>
        <v>moz#1955</v>
      </c>
      <c r="B10929" t="str">
        <f>IFERROR(__xludf.DUMMYFUNCTION("""COMPUTED_VALUE"""),"moz")</f>
        <v>moz</v>
      </c>
      <c r="C10929" t="str">
        <f>IFERROR(__xludf.DUMMYFUNCTION("""COMPUTED_VALUE"""),"Mozambique")</f>
        <v>Mozambique</v>
      </c>
      <c r="D10929">
        <f>IFERROR(__xludf.DUMMYFUNCTION("""COMPUTED_VALUE"""),1955.0)</f>
        <v>1955</v>
      </c>
      <c r="E10929">
        <f>IFERROR(__xludf.DUMMYFUNCTION("""COMPUTED_VALUE"""),6701749.0)</f>
        <v>6701749</v>
      </c>
    </row>
    <row r="10930">
      <c r="A10930" t="str">
        <f t="shared" si="1"/>
        <v>moz#1956</v>
      </c>
      <c r="B10930" t="str">
        <f>IFERROR(__xludf.DUMMYFUNCTION("""COMPUTED_VALUE"""),"moz")</f>
        <v>moz</v>
      </c>
      <c r="C10930" t="str">
        <f>IFERROR(__xludf.DUMMYFUNCTION("""COMPUTED_VALUE"""),"Mozambique")</f>
        <v>Mozambique</v>
      </c>
      <c r="D10930">
        <f>IFERROR(__xludf.DUMMYFUNCTION("""COMPUTED_VALUE"""),1956.0)</f>
        <v>1956</v>
      </c>
      <c r="E10930">
        <f>IFERROR(__xludf.DUMMYFUNCTION("""COMPUTED_VALUE"""),6829092.0)</f>
        <v>6829092</v>
      </c>
    </row>
    <row r="10931">
      <c r="A10931" t="str">
        <f t="shared" si="1"/>
        <v>moz#1957</v>
      </c>
      <c r="B10931" t="str">
        <f>IFERROR(__xludf.DUMMYFUNCTION("""COMPUTED_VALUE"""),"moz")</f>
        <v>moz</v>
      </c>
      <c r="C10931" t="str">
        <f>IFERROR(__xludf.DUMMYFUNCTION("""COMPUTED_VALUE"""),"Mozambique")</f>
        <v>Mozambique</v>
      </c>
      <c r="D10931">
        <f>IFERROR(__xludf.DUMMYFUNCTION("""COMPUTED_VALUE"""),1957.0)</f>
        <v>1957</v>
      </c>
      <c r="E10931">
        <f>IFERROR(__xludf.DUMMYFUNCTION("""COMPUTED_VALUE"""),6961486.0)</f>
        <v>6961486</v>
      </c>
    </row>
    <row r="10932">
      <c r="A10932" t="str">
        <f t="shared" si="1"/>
        <v>moz#1958</v>
      </c>
      <c r="B10932" t="str">
        <f>IFERROR(__xludf.DUMMYFUNCTION("""COMPUTED_VALUE"""),"moz")</f>
        <v>moz</v>
      </c>
      <c r="C10932" t="str">
        <f>IFERROR(__xludf.DUMMYFUNCTION("""COMPUTED_VALUE"""),"Mozambique")</f>
        <v>Mozambique</v>
      </c>
      <c r="D10932">
        <f>IFERROR(__xludf.DUMMYFUNCTION("""COMPUTED_VALUE"""),1958.0)</f>
        <v>1958</v>
      </c>
      <c r="E10932">
        <f>IFERROR(__xludf.DUMMYFUNCTION("""COMPUTED_VALUE"""),7098859.0)</f>
        <v>7098859</v>
      </c>
    </row>
    <row r="10933">
      <c r="A10933" t="str">
        <f t="shared" si="1"/>
        <v>moz#1959</v>
      </c>
      <c r="B10933" t="str">
        <f>IFERROR(__xludf.DUMMYFUNCTION("""COMPUTED_VALUE"""),"moz")</f>
        <v>moz</v>
      </c>
      <c r="C10933" t="str">
        <f>IFERROR(__xludf.DUMMYFUNCTION("""COMPUTED_VALUE"""),"Mozambique")</f>
        <v>Mozambique</v>
      </c>
      <c r="D10933">
        <f>IFERROR(__xludf.DUMMYFUNCTION("""COMPUTED_VALUE"""),1959.0)</f>
        <v>1959</v>
      </c>
      <c r="E10933">
        <f>IFERROR(__xludf.DUMMYFUNCTION("""COMPUTED_VALUE"""),7241232.0)</f>
        <v>7241232</v>
      </c>
    </row>
    <row r="10934">
      <c r="A10934" t="str">
        <f t="shared" si="1"/>
        <v>moz#1960</v>
      </c>
      <c r="B10934" t="str">
        <f>IFERROR(__xludf.DUMMYFUNCTION("""COMPUTED_VALUE"""),"moz")</f>
        <v>moz</v>
      </c>
      <c r="C10934" t="str">
        <f>IFERROR(__xludf.DUMMYFUNCTION("""COMPUTED_VALUE"""),"Mozambique")</f>
        <v>Mozambique</v>
      </c>
      <c r="D10934">
        <f>IFERROR(__xludf.DUMMYFUNCTION("""COMPUTED_VALUE"""),1960.0)</f>
        <v>1960</v>
      </c>
      <c r="E10934">
        <f>IFERROR(__xludf.DUMMYFUNCTION("""COMPUTED_VALUE"""),7388695.0)</f>
        <v>7388695</v>
      </c>
    </row>
    <row r="10935">
      <c r="A10935" t="str">
        <f t="shared" si="1"/>
        <v>moz#1961</v>
      </c>
      <c r="B10935" t="str">
        <f>IFERROR(__xludf.DUMMYFUNCTION("""COMPUTED_VALUE"""),"moz")</f>
        <v>moz</v>
      </c>
      <c r="C10935" t="str">
        <f>IFERROR(__xludf.DUMMYFUNCTION("""COMPUTED_VALUE"""),"Mozambique")</f>
        <v>Mozambique</v>
      </c>
      <c r="D10935">
        <f>IFERROR(__xludf.DUMMYFUNCTION("""COMPUTED_VALUE"""),1961.0)</f>
        <v>1961</v>
      </c>
      <c r="E10935">
        <f>IFERROR(__xludf.DUMMYFUNCTION("""COMPUTED_VALUE"""),7541325.0)</f>
        <v>7541325</v>
      </c>
    </row>
    <row r="10936">
      <c r="A10936" t="str">
        <f t="shared" si="1"/>
        <v>moz#1962</v>
      </c>
      <c r="B10936" t="str">
        <f>IFERROR(__xludf.DUMMYFUNCTION("""COMPUTED_VALUE"""),"moz")</f>
        <v>moz</v>
      </c>
      <c r="C10936" t="str">
        <f>IFERROR(__xludf.DUMMYFUNCTION("""COMPUTED_VALUE"""),"Mozambique")</f>
        <v>Mozambique</v>
      </c>
      <c r="D10936">
        <f>IFERROR(__xludf.DUMMYFUNCTION("""COMPUTED_VALUE"""),1962.0)</f>
        <v>1962</v>
      </c>
      <c r="E10936">
        <f>IFERROR(__xludf.DUMMYFUNCTION("""COMPUTED_VALUE"""),7699139.0)</f>
        <v>7699139</v>
      </c>
    </row>
    <row r="10937">
      <c r="A10937" t="str">
        <f t="shared" si="1"/>
        <v>moz#1963</v>
      </c>
      <c r="B10937" t="str">
        <f>IFERROR(__xludf.DUMMYFUNCTION("""COMPUTED_VALUE"""),"moz")</f>
        <v>moz</v>
      </c>
      <c r="C10937" t="str">
        <f>IFERROR(__xludf.DUMMYFUNCTION("""COMPUTED_VALUE"""),"Mozambique")</f>
        <v>Mozambique</v>
      </c>
      <c r="D10937">
        <f>IFERROR(__xludf.DUMMYFUNCTION("""COMPUTED_VALUE"""),1963.0)</f>
        <v>1963</v>
      </c>
      <c r="E10937">
        <f>IFERROR(__xludf.DUMMYFUNCTION("""COMPUTED_VALUE"""),7862072.0)</f>
        <v>7862072</v>
      </c>
    </row>
    <row r="10938">
      <c r="A10938" t="str">
        <f t="shared" si="1"/>
        <v>moz#1964</v>
      </c>
      <c r="B10938" t="str">
        <f>IFERROR(__xludf.DUMMYFUNCTION("""COMPUTED_VALUE"""),"moz")</f>
        <v>moz</v>
      </c>
      <c r="C10938" t="str">
        <f>IFERROR(__xludf.DUMMYFUNCTION("""COMPUTED_VALUE"""),"Mozambique")</f>
        <v>Mozambique</v>
      </c>
      <c r="D10938">
        <f>IFERROR(__xludf.DUMMYFUNCTION("""COMPUTED_VALUE"""),1964.0)</f>
        <v>1964</v>
      </c>
      <c r="E10938">
        <f>IFERROR(__xludf.DUMMYFUNCTION("""COMPUTED_VALUE"""),8030025.0)</f>
        <v>8030025</v>
      </c>
    </row>
    <row r="10939">
      <c r="A10939" t="str">
        <f t="shared" si="1"/>
        <v>moz#1965</v>
      </c>
      <c r="B10939" t="str">
        <f>IFERROR(__xludf.DUMMYFUNCTION("""COMPUTED_VALUE"""),"moz")</f>
        <v>moz</v>
      </c>
      <c r="C10939" t="str">
        <f>IFERROR(__xludf.DUMMYFUNCTION("""COMPUTED_VALUE"""),"Mozambique")</f>
        <v>Mozambique</v>
      </c>
      <c r="D10939">
        <f>IFERROR(__xludf.DUMMYFUNCTION("""COMPUTED_VALUE"""),1965.0)</f>
        <v>1965</v>
      </c>
      <c r="E10939">
        <f>IFERROR(__xludf.DUMMYFUNCTION("""COMPUTED_VALUE"""),8203076.0)</f>
        <v>8203076</v>
      </c>
    </row>
    <row r="10940">
      <c r="A10940" t="str">
        <f t="shared" si="1"/>
        <v>moz#1966</v>
      </c>
      <c r="B10940" t="str">
        <f>IFERROR(__xludf.DUMMYFUNCTION("""COMPUTED_VALUE"""),"moz")</f>
        <v>moz</v>
      </c>
      <c r="C10940" t="str">
        <f>IFERROR(__xludf.DUMMYFUNCTION("""COMPUTED_VALUE"""),"Mozambique")</f>
        <v>Mozambique</v>
      </c>
      <c r="D10940">
        <f>IFERROR(__xludf.DUMMYFUNCTION("""COMPUTED_VALUE"""),1966.0)</f>
        <v>1966</v>
      </c>
      <c r="E10940">
        <f>IFERROR(__xludf.DUMMYFUNCTION("""COMPUTED_VALUE"""),8381455.0)</f>
        <v>8381455</v>
      </c>
    </row>
    <row r="10941">
      <c r="A10941" t="str">
        <f t="shared" si="1"/>
        <v>moz#1967</v>
      </c>
      <c r="B10941" t="str">
        <f>IFERROR(__xludf.DUMMYFUNCTION("""COMPUTED_VALUE"""),"moz")</f>
        <v>moz</v>
      </c>
      <c r="C10941" t="str">
        <f>IFERROR(__xludf.DUMMYFUNCTION("""COMPUTED_VALUE"""),"Mozambique")</f>
        <v>Mozambique</v>
      </c>
      <c r="D10941">
        <f>IFERROR(__xludf.DUMMYFUNCTION("""COMPUTED_VALUE"""),1967.0)</f>
        <v>1967</v>
      </c>
      <c r="E10941">
        <f>IFERROR(__xludf.DUMMYFUNCTION("""COMPUTED_VALUE"""),8565674.0)</f>
        <v>8565674</v>
      </c>
    </row>
    <row r="10942">
      <c r="A10942" t="str">
        <f t="shared" si="1"/>
        <v>moz#1968</v>
      </c>
      <c r="B10942" t="str">
        <f>IFERROR(__xludf.DUMMYFUNCTION("""COMPUTED_VALUE"""),"moz")</f>
        <v>moz</v>
      </c>
      <c r="C10942" t="str">
        <f>IFERROR(__xludf.DUMMYFUNCTION("""COMPUTED_VALUE"""),"Mozambique")</f>
        <v>Mozambique</v>
      </c>
      <c r="D10942">
        <f>IFERROR(__xludf.DUMMYFUNCTION("""COMPUTED_VALUE"""),1968.0)</f>
        <v>1968</v>
      </c>
      <c r="E10942">
        <f>IFERROR(__xludf.DUMMYFUNCTION("""COMPUTED_VALUE"""),8756481.0)</f>
        <v>8756481</v>
      </c>
    </row>
    <row r="10943">
      <c r="A10943" t="str">
        <f t="shared" si="1"/>
        <v>moz#1969</v>
      </c>
      <c r="B10943" t="str">
        <f>IFERROR(__xludf.DUMMYFUNCTION("""COMPUTED_VALUE"""),"moz")</f>
        <v>moz</v>
      </c>
      <c r="C10943" t="str">
        <f>IFERROR(__xludf.DUMMYFUNCTION("""COMPUTED_VALUE"""),"Mozambique")</f>
        <v>Mozambique</v>
      </c>
      <c r="D10943">
        <f>IFERROR(__xludf.DUMMYFUNCTION("""COMPUTED_VALUE"""),1969.0)</f>
        <v>1969</v>
      </c>
      <c r="E10943">
        <f>IFERROR(__xludf.DUMMYFUNCTION("""COMPUTED_VALUE"""),8954809.0)</f>
        <v>8954809</v>
      </c>
    </row>
    <row r="10944">
      <c r="A10944" t="str">
        <f t="shared" si="1"/>
        <v>moz#1970</v>
      </c>
      <c r="B10944" t="str">
        <f>IFERROR(__xludf.DUMMYFUNCTION("""COMPUTED_VALUE"""),"moz")</f>
        <v>moz</v>
      </c>
      <c r="C10944" t="str">
        <f>IFERROR(__xludf.DUMMYFUNCTION("""COMPUTED_VALUE"""),"Mozambique")</f>
        <v>Mozambique</v>
      </c>
      <c r="D10944">
        <f>IFERROR(__xludf.DUMMYFUNCTION("""COMPUTED_VALUE"""),1970.0)</f>
        <v>1970</v>
      </c>
      <c r="E10944">
        <f>IFERROR(__xludf.DUMMYFUNCTION("""COMPUTED_VALUE"""),9161534.0)</f>
        <v>9161534</v>
      </c>
    </row>
    <row r="10945">
      <c r="A10945" t="str">
        <f t="shared" si="1"/>
        <v>moz#1971</v>
      </c>
      <c r="B10945" t="str">
        <f>IFERROR(__xludf.DUMMYFUNCTION("""COMPUTED_VALUE"""),"moz")</f>
        <v>moz</v>
      </c>
      <c r="C10945" t="str">
        <f>IFERROR(__xludf.DUMMYFUNCTION("""COMPUTED_VALUE"""),"Mozambique")</f>
        <v>Mozambique</v>
      </c>
      <c r="D10945">
        <f>IFERROR(__xludf.DUMMYFUNCTION("""COMPUTED_VALUE"""),1971.0)</f>
        <v>1971</v>
      </c>
      <c r="E10945">
        <f>IFERROR(__xludf.DUMMYFUNCTION("""COMPUTED_VALUE"""),9375144.0)</f>
        <v>9375144</v>
      </c>
    </row>
    <row r="10946">
      <c r="A10946" t="str">
        <f t="shared" si="1"/>
        <v>moz#1972</v>
      </c>
      <c r="B10946" t="str">
        <f>IFERROR(__xludf.DUMMYFUNCTION("""COMPUTED_VALUE"""),"moz")</f>
        <v>moz</v>
      </c>
      <c r="C10946" t="str">
        <f>IFERROR(__xludf.DUMMYFUNCTION("""COMPUTED_VALUE"""),"Mozambique")</f>
        <v>Mozambique</v>
      </c>
      <c r="D10946">
        <f>IFERROR(__xludf.DUMMYFUNCTION("""COMPUTED_VALUE"""),1972.0)</f>
        <v>1972</v>
      </c>
      <c r="E10946">
        <f>IFERROR(__xludf.DUMMYFUNCTION("""COMPUTED_VALUE"""),9595762.0)</f>
        <v>9595762</v>
      </c>
    </row>
    <row r="10947">
      <c r="A10947" t="str">
        <f t="shared" si="1"/>
        <v>moz#1973</v>
      </c>
      <c r="B10947" t="str">
        <f>IFERROR(__xludf.DUMMYFUNCTION("""COMPUTED_VALUE"""),"moz")</f>
        <v>moz</v>
      </c>
      <c r="C10947" t="str">
        <f>IFERROR(__xludf.DUMMYFUNCTION("""COMPUTED_VALUE"""),"Mozambique")</f>
        <v>Mozambique</v>
      </c>
      <c r="D10947">
        <f>IFERROR(__xludf.DUMMYFUNCTION("""COMPUTED_VALUE"""),1973.0)</f>
        <v>1973</v>
      </c>
      <c r="E10947">
        <f>IFERROR(__xludf.DUMMYFUNCTION("""COMPUTED_VALUE"""),9827580.0)</f>
        <v>9827580</v>
      </c>
    </row>
    <row r="10948">
      <c r="A10948" t="str">
        <f t="shared" si="1"/>
        <v>moz#1974</v>
      </c>
      <c r="B10948" t="str">
        <f>IFERROR(__xludf.DUMMYFUNCTION("""COMPUTED_VALUE"""),"moz")</f>
        <v>moz</v>
      </c>
      <c r="C10948" t="str">
        <f>IFERROR(__xludf.DUMMYFUNCTION("""COMPUTED_VALUE"""),"Mozambique")</f>
        <v>Mozambique</v>
      </c>
      <c r="D10948">
        <f>IFERROR(__xludf.DUMMYFUNCTION("""COMPUTED_VALUE"""),1974.0)</f>
        <v>1974</v>
      </c>
      <c r="E10948">
        <f>IFERROR(__xludf.DUMMYFUNCTION("""COMPUTED_VALUE"""),1.0076172E7)</f>
        <v>10076172</v>
      </c>
    </row>
    <row r="10949">
      <c r="A10949" t="str">
        <f t="shared" si="1"/>
        <v>moz#1975</v>
      </c>
      <c r="B10949" t="str">
        <f>IFERROR(__xludf.DUMMYFUNCTION("""COMPUTED_VALUE"""),"moz")</f>
        <v>moz</v>
      </c>
      <c r="C10949" t="str">
        <f>IFERROR(__xludf.DUMMYFUNCTION("""COMPUTED_VALUE"""),"Mozambique")</f>
        <v>Mozambique</v>
      </c>
      <c r="D10949">
        <f>IFERROR(__xludf.DUMMYFUNCTION("""COMPUTED_VALUE"""),1975.0)</f>
        <v>1975</v>
      </c>
      <c r="E10949">
        <f>IFERROR(__xludf.DUMMYFUNCTION("""COMPUTED_VALUE"""),1.0344494E7)</f>
        <v>10344494</v>
      </c>
    </row>
    <row r="10950">
      <c r="A10950" t="str">
        <f t="shared" si="1"/>
        <v>moz#1976</v>
      </c>
      <c r="B10950" t="str">
        <f>IFERROR(__xludf.DUMMYFUNCTION("""COMPUTED_VALUE"""),"moz")</f>
        <v>moz</v>
      </c>
      <c r="C10950" t="str">
        <f>IFERROR(__xludf.DUMMYFUNCTION("""COMPUTED_VALUE"""),"Mozambique")</f>
        <v>Mozambique</v>
      </c>
      <c r="D10950">
        <f>IFERROR(__xludf.DUMMYFUNCTION("""COMPUTED_VALUE"""),1976.0)</f>
        <v>1976</v>
      </c>
      <c r="E10950">
        <f>IFERROR(__xludf.DUMMYFUNCTION("""COMPUTED_VALUE"""),1.0632932E7)</f>
        <v>10632932</v>
      </c>
    </row>
    <row r="10951">
      <c r="A10951" t="str">
        <f t="shared" si="1"/>
        <v>moz#1977</v>
      </c>
      <c r="B10951" t="str">
        <f>IFERROR(__xludf.DUMMYFUNCTION("""COMPUTED_VALUE"""),"moz")</f>
        <v>moz</v>
      </c>
      <c r="C10951" t="str">
        <f>IFERROR(__xludf.DUMMYFUNCTION("""COMPUTED_VALUE"""),"Mozambique")</f>
        <v>Mozambique</v>
      </c>
      <c r="D10951">
        <f>IFERROR(__xludf.DUMMYFUNCTION("""COMPUTED_VALUE"""),1977.0)</f>
        <v>1977</v>
      </c>
      <c r="E10951">
        <f>IFERROR(__xludf.DUMMYFUNCTION("""COMPUTED_VALUE"""),1.0936936E7)</f>
        <v>10936936</v>
      </c>
    </row>
    <row r="10952">
      <c r="A10952" t="str">
        <f t="shared" si="1"/>
        <v>moz#1978</v>
      </c>
      <c r="B10952" t="str">
        <f>IFERROR(__xludf.DUMMYFUNCTION("""COMPUTED_VALUE"""),"moz")</f>
        <v>moz</v>
      </c>
      <c r="C10952" t="str">
        <f>IFERROR(__xludf.DUMMYFUNCTION("""COMPUTED_VALUE"""),"Mozambique")</f>
        <v>Mozambique</v>
      </c>
      <c r="D10952">
        <f>IFERROR(__xludf.DUMMYFUNCTION("""COMPUTED_VALUE"""),1978.0)</f>
        <v>1978</v>
      </c>
      <c r="E10952">
        <f>IFERROR(__xludf.DUMMYFUNCTION("""COMPUTED_VALUE"""),1.1248046E7)</f>
        <v>11248046</v>
      </c>
    </row>
    <row r="10953">
      <c r="A10953" t="str">
        <f t="shared" si="1"/>
        <v>moz#1979</v>
      </c>
      <c r="B10953" t="str">
        <f>IFERROR(__xludf.DUMMYFUNCTION("""COMPUTED_VALUE"""),"moz")</f>
        <v>moz</v>
      </c>
      <c r="C10953" t="str">
        <f>IFERROR(__xludf.DUMMYFUNCTION("""COMPUTED_VALUE"""),"Mozambique")</f>
        <v>Mozambique</v>
      </c>
      <c r="D10953">
        <f>IFERROR(__xludf.DUMMYFUNCTION("""COMPUTED_VALUE"""),1979.0)</f>
        <v>1979</v>
      </c>
      <c r="E10953">
        <f>IFERROR(__xludf.DUMMYFUNCTION("""COMPUTED_VALUE"""),1.1554979E7)</f>
        <v>11554979</v>
      </c>
    </row>
    <row r="10954">
      <c r="A10954" t="str">
        <f t="shared" si="1"/>
        <v>moz#1980</v>
      </c>
      <c r="B10954" t="str">
        <f>IFERROR(__xludf.DUMMYFUNCTION("""COMPUTED_VALUE"""),"moz")</f>
        <v>moz</v>
      </c>
      <c r="C10954" t="str">
        <f>IFERROR(__xludf.DUMMYFUNCTION("""COMPUTED_VALUE"""),"Mozambique")</f>
        <v>Mozambique</v>
      </c>
      <c r="D10954">
        <f>IFERROR(__xludf.DUMMYFUNCTION("""COMPUTED_VALUE"""),1980.0)</f>
        <v>1980</v>
      </c>
      <c r="E10954">
        <f>IFERROR(__xludf.DUMMYFUNCTION("""COMPUTED_VALUE"""),1.1848331E7)</f>
        <v>11848331</v>
      </c>
    </row>
    <row r="10955">
      <c r="A10955" t="str">
        <f t="shared" si="1"/>
        <v>moz#1981</v>
      </c>
      <c r="B10955" t="str">
        <f>IFERROR(__xludf.DUMMYFUNCTION("""COMPUTED_VALUE"""),"moz")</f>
        <v>moz</v>
      </c>
      <c r="C10955" t="str">
        <f>IFERROR(__xludf.DUMMYFUNCTION("""COMPUTED_VALUE"""),"Mozambique")</f>
        <v>Mozambique</v>
      </c>
      <c r="D10955">
        <f>IFERROR(__xludf.DUMMYFUNCTION("""COMPUTED_VALUE"""),1981.0)</f>
        <v>1981</v>
      </c>
      <c r="E10955">
        <f>IFERROR(__xludf.DUMMYFUNCTION("""COMPUTED_VALUE"""),1.2133074E7)</f>
        <v>12133074</v>
      </c>
    </row>
    <row r="10956">
      <c r="A10956" t="str">
        <f t="shared" si="1"/>
        <v>moz#1982</v>
      </c>
      <c r="B10956" t="str">
        <f>IFERROR(__xludf.DUMMYFUNCTION("""COMPUTED_VALUE"""),"moz")</f>
        <v>moz</v>
      </c>
      <c r="C10956" t="str">
        <f>IFERROR(__xludf.DUMMYFUNCTION("""COMPUTED_VALUE"""),"Mozambique")</f>
        <v>Mozambique</v>
      </c>
      <c r="D10956">
        <f>IFERROR(__xludf.DUMMYFUNCTION("""COMPUTED_VALUE"""),1982.0)</f>
        <v>1982</v>
      </c>
      <c r="E10956">
        <f>IFERROR(__xludf.DUMMYFUNCTION("""COMPUTED_VALUE"""),1.2409243E7)</f>
        <v>12409243</v>
      </c>
    </row>
    <row r="10957">
      <c r="A10957" t="str">
        <f t="shared" si="1"/>
        <v>moz#1983</v>
      </c>
      <c r="B10957" t="str">
        <f>IFERROR(__xludf.DUMMYFUNCTION("""COMPUTED_VALUE"""),"moz")</f>
        <v>moz</v>
      </c>
      <c r="C10957" t="str">
        <f>IFERROR(__xludf.DUMMYFUNCTION("""COMPUTED_VALUE"""),"Mozambique")</f>
        <v>Mozambique</v>
      </c>
      <c r="D10957">
        <f>IFERROR(__xludf.DUMMYFUNCTION("""COMPUTED_VALUE"""),1983.0)</f>
        <v>1983</v>
      </c>
      <c r="E10957">
        <f>IFERROR(__xludf.DUMMYFUNCTION("""COMPUTED_VALUE"""),1.2657708E7)</f>
        <v>12657708</v>
      </c>
    </row>
    <row r="10958">
      <c r="A10958" t="str">
        <f t="shared" si="1"/>
        <v>moz#1984</v>
      </c>
      <c r="B10958" t="str">
        <f>IFERROR(__xludf.DUMMYFUNCTION("""COMPUTED_VALUE"""),"moz")</f>
        <v>moz</v>
      </c>
      <c r="C10958" t="str">
        <f>IFERROR(__xludf.DUMMYFUNCTION("""COMPUTED_VALUE"""),"Mozambique")</f>
        <v>Mozambique</v>
      </c>
      <c r="D10958">
        <f>IFERROR(__xludf.DUMMYFUNCTION("""COMPUTED_VALUE"""),1984.0)</f>
        <v>1984</v>
      </c>
      <c r="E10958">
        <f>IFERROR(__xludf.DUMMYFUNCTION("""COMPUTED_VALUE"""),1.285378E7)</f>
        <v>12853780</v>
      </c>
    </row>
    <row r="10959">
      <c r="A10959" t="str">
        <f t="shared" si="1"/>
        <v>moz#1985</v>
      </c>
      <c r="B10959" t="str">
        <f>IFERROR(__xludf.DUMMYFUNCTION("""COMPUTED_VALUE"""),"moz")</f>
        <v>moz</v>
      </c>
      <c r="C10959" t="str">
        <f>IFERROR(__xludf.DUMMYFUNCTION("""COMPUTED_VALUE"""),"Mozambique")</f>
        <v>Mozambique</v>
      </c>
      <c r="D10959">
        <f>IFERROR(__xludf.DUMMYFUNCTION("""COMPUTED_VALUE"""),1985.0)</f>
        <v>1985</v>
      </c>
      <c r="E10959">
        <f>IFERROR(__xludf.DUMMYFUNCTION("""COMPUTED_VALUE"""),1.2984405E7)</f>
        <v>12984405</v>
      </c>
    </row>
    <row r="10960">
      <c r="A10960" t="str">
        <f t="shared" si="1"/>
        <v>moz#1986</v>
      </c>
      <c r="B10960" t="str">
        <f>IFERROR(__xludf.DUMMYFUNCTION("""COMPUTED_VALUE"""),"moz")</f>
        <v>moz</v>
      </c>
      <c r="C10960" t="str">
        <f>IFERROR(__xludf.DUMMYFUNCTION("""COMPUTED_VALUE"""),"Mozambique")</f>
        <v>Mozambique</v>
      </c>
      <c r="D10960">
        <f>IFERROR(__xludf.DUMMYFUNCTION("""COMPUTED_VALUE"""),1986.0)</f>
        <v>1986</v>
      </c>
      <c r="E10960">
        <f>IFERROR(__xludf.DUMMYFUNCTION("""COMPUTED_VALUE"""),1.3034385E7)</f>
        <v>13034385</v>
      </c>
    </row>
    <row r="10961">
      <c r="A10961" t="str">
        <f t="shared" si="1"/>
        <v>moz#1987</v>
      </c>
      <c r="B10961" t="str">
        <f>IFERROR(__xludf.DUMMYFUNCTION("""COMPUTED_VALUE"""),"moz")</f>
        <v>moz</v>
      </c>
      <c r="C10961" t="str">
        <f>IFERROR(__xludf.DUMMYFUNCTION("""COMPUTED_VALUE"""),"Mozambique")</f>
        <v>Mozambique</v>
      </c>
      <c r="D10961">
        <f>IFERROR(__xludf.DUMMYFUNCTION("""COMPUTED_VALUE"""),1987.0)</f>
        <v>1987</v>
      </c>
      <c r="E10961">
        <f>IFERROR(__xludf.DUMMYFUNCTION("""COMPUTED_VALUE"""),1.3020861E7)</f>
        <v>13020861</v>
      </c>
    </row>
    <row r="10962">
      <c r="A10962" t="str">
        <f t="shared" si="1"/>
        <v>moz#1988</v>
      </c>
      <c r="B10962" t="str">
        <f>IFERROR(__xludf.DUMMYFUNCTION("""COMPUTED_VALUE"""),"moz")</f>
        <v>moz</v>
      </c>
      <c r="C10962" t="str">
        <f>IFERROR(__xludf.DUMMYFUNCTION("""COMPUTED_VALUE"""),"Mozambique")</f>
        <v>Mozambique</v>
      </c>
      <c r="D10962">
        <f>IFERROR(__xludf.DUMMYFUNCTION("""COMPUTED_VALUE"""),1988.0)</f>
        <v>1988</v>
      </c>
      <c r="E10962">
        <f>IFERROR(__xludf.DUMMYFUNCTION("""COMPUTED_VALUE"""),1.3002553E7)</f>
        <v>13002553</v>
      </c>
    </row>
    <row r="10963">
      <c r="A10963" t="str">
        <f t="shared" si="1"/>
        <v>moz#1989</v>
      </c>
      <c r="B10963" t="str">
        <f>IFERROR(__xludf.DUMMYFUNCTION("""COMPUTED_VALUE"""),"moz")</f>
        <v>moz</v>
      </c>
      <c r="C10963" t="str">
        <f>IFERROR(__xludf.DUMMYFUNCTION("""COMPUTED_VALUE"""),"Mozambique")</f>
        <v>Mozambique</v>
      </c>
      <c r="D10963">
        <f>IFERROR(__xludf.DUMMYFUNCTION("""COMPUTED_VALUE"""),1989.0)</f>
        <v>1989</v>
      </c>
      <c r="E10963">
        <f>IFERROR(__xludf.DUMMYFUNCTION("""COMPUTED_VALUE"""),1.3059613E7)</f>
        <v>13059613</v>
      </c>
    </row>
    <row r="10964">
      <c r="A10964" t="str">
        <f t="shared" si="1"/>
        <v>moz#1990</v>
      </c>
      <c r="B10964" t="str">
        <f>IFERROR(__xludf.DUMMYFUNCTION("""COMPUTED_VALUE"""),"moz")</f>
        <v>moz</v>
      </c>
      <c r="C10964" t="str">
        <f>IFERROR(__xludf.DUMMYFUNCTION("""COMPUTED_VALUE"""),"Mozambique")</f>
        <v>Mozambique</v>
      </c>
      <c r="D10964">
        <f>IFERROR(__xludf.DUMMYFUNCTION("""COMPUTED_VALUE"""),1990.0)</f>
        <v>1990</v>
      </c>
      <c r="E10964">
        <f>IFERROR(__xludf.DUMMYFUNCTION("""COMPUTED_VALUE"""),1.3247649E7)</f>
        <v>13247649</v>
      </c>
    </row>
    <row r="10965">
      <c r="A10965" t="str">
        <f t="shared" si="1"/>
        <v>moz#1991</v>
      </c>
      <c r="B10965" t="str">
        <f>IFERROR(__xludf.DUMMYFUNCTION("""COMPUTED_VALUE"""),"moz")</f>
        <v>moz</v>
      </c>
      <c r="C10965" t="str">
        <f>IFERROR(__xludf.DUMMYFUNCTION("""COMPUTED_VALUE"""),"Mozambique")</f>
        <v>Mozambique</v>
      </c>
      <c r="D10965">
        <f>IFERROR(__xludf.DUMMYFUNCTION("""COMPUTED_VALUE"""),1991.0)</f>
        <v>1991</v>
      </c>
      <c r="E10965">
        <f>IFERROR(__xludf.DUMMYFUNCTION("""COMPUTED_VALUE"""),1.359197E7)</f>
        <v>13591970</v>
      </c>
    </row>
    <row r="10966">
      <c r="A10966" t="str">
        <f t="shared" si="1"/>
        <v>moz#1992</v>
      </c>
      <c r="B10966" t="str">
        <f>IFERROR(__xludf.DUMMYFUNCTION("""COMPUTED_VALUE"""),"moz")</f>
        <v>moz</v>
      </c>
      <c r="C10966" t="str">
        <f>IFERROR(__xludf.DUMMYFUNCTION("""COMPUTED_VALUE"""),"Mozambique")</f>
        <v>Mozambique</v>
      </c>
      <c r="D10966">
        <f>IFERROR(__xludf.DUMMYFUNCTION("""COMPUTED_VALUE"""),1992.0)</f>
        <v>1992</v>
      </c>
      <c r="E10966">
        <f>IFERROR(__xludf.DUMMYFUNCTION("""COMPUTED_VALUE"""),1.4071231E7)</f>
        <v>14071231</v>
      </c>
    </row>
    <row r="10967">
      <c r="A10967" t="str">
        <f t="shared" si="1"/>
        <v>moz#1993</v>
      </c>
      <c r="B10967" t="str">
        <f>IFERROR(__xludf.DUMMYFUNCTION("""COMPUTED_VALUE"""),"moz")</f>
        <v>moz</v>
      </c>
      <c r="C10967" t="str">
        <f>IFERROR(__xludf.DUMMYFUNCTION("""COMPUTED_VALUE"""),"Mozambique")</f>
        <v>Mozambique</v>
      </c>
      <c r="D10967">
        <f>IFERROR(__xludf.DUMMYFUNCTION("""COMPUTED_VALUE"""),1993.0)</f>
        <v>1993</v>
      </c>
      <c r="E10967">
        <f>IFERROR(__xludf.DUMMYFUNCTION("""COMPUTED_VALUE"""),1.4636995E7)</f>
        <v>14636995</v>
      </c>
    </row>
    <row r="10968">
      <c r="A10968" t="str">
        <f t="shared" si="1"/>
        <v>moz#1994</v>
      </c>
      <c r="B10968" t="str">
        <f>IFERROR(__xludf.DUMMYFUNCTION("""COMPUTED_VALUE"""),"moz")</f>
        <v>moz</v>
      </c>
      <c r="C10968" t="str">
        <f>IFERROR(__xludf.DUMMYFUNCTION("""COMPUTED_VALUE"""),"Mozambique")</f>
        <v>Mozambique</v>
      </c>
      <c r="D10968">
        <f>IFERROR(__xludf.DUMMYFUNCTION("""COMPUTED_VALUE"""),1994.0)</f>
        <v>1994</v>
      </c>
      <c r="E10968">
        <f>IFERROR(__xludf.DUMMYFUNCTION("""COMPUTED_VALUE"""),1.5217044E7)</f>
        <v>15217044</v>
      </c>
    </row>
    <row r="10969">
      <c r="A10969" t="str">
        <f t="shared" si="1"/>
        <v>moz#1995</v>
      </c>
      <c r="B10969" t="str">
        <f>IFERROR(__xludf.DUMMYFUNCTION("""COMPUTED_VALUE"""),"moz")</f>
        <v>moz</v>
      </c>
      <c r="C10969" t="str">
        <f>IFERROR(__xludf.DUMMYFUNCTION("""COMPUTED_VALUE"""),"Mozambique")</f>
        <v>Mozambique</v>
      </c>
      <c r="D10969">
        <f>IFERROR(__xludf.DUMMYFUNCTION("""COMPUTED_VALUE"""),1995.0)</f>
        <v>1995</v>
      </c>
      <c r="E10969">
        <f>IFERROR(__xludf.DUMMYFUNCTION("""COMPUTED_VALUE"""),1.5759132E7)</f>
        <v>15759132</v>
      </c>
    </row>
    <row r="10970">
      <c r="A10970" t="str">
        <f t="shared" si="1"/>
        <v>moz#1996</v>
      </c>
      <c r="B10970" t="str">
        <f>IFERROR(__xludf.DUMMYFUNCTION("""COMPUTED_VALUE"""),"moz")</f>
        <v>moz</v>
      </c>
      <c r="C10970" t="str">
        <f>IFERROR(__xludf.DUMMYFUNCTION("""COMPUTED_VALUE"""),"Mozambique")</f>
        <v>Mozambique</v>
      </c>
      <c r="D10970">
        <f>IFERROR(__xludf.DUMMYFUNCTION("""COMPUTED_VALUE"""),1996.0)</f>
        <v>1996</v>
      </c>
      <c r="E10970">
        <f>IFERROR(__xludf.DUMMYFUNCTION("""COMPUTED_VALUE"""),1.6248232E7)</f>
        <v>16248232</v>
      </c>
    </row>
    <row r="10971">
      <c r="A10971" t="str">
        <f t="shared" si="1"/>
        <v>moz#1997</v>
      </c>
      <c r="B10971" t="str">
        <f>IFERROR(__xludf.DUMMYFUNCTION("""COMPUTED_VALUE"""),"moz")</f>
        <v>moz</v>
      </c>
      <c r="C10971" t="str">
        <f>IFERROR(__xludf.DUMMYFUNCTION("""COMPUTED_VALUE"""),"Mozambique")</f>
        <v>Mozambique</v>
      </c>
      <c r="D10971">
        <f>IFERROR(__xludf.DUMMYFUNCTION("""COMPUTED_VALUE"""),1997.0)</f>
        <v>1997</v>
      </c>
      <c r="E10971">
        <f>IFERROR(__xludf.DUMMYFUNCTION("""COMPUTED_VALUE"""),1.6701351E7)</f>
        <v>16701351</v>
      </c>
    </row>
    <row r="10972">
      <c r="A10972" t="str">
        <f t="shared" si="1"/>
        <v>moz#1998</v>
      </c>
      <c r="B10972" t="str">
        <f>IFERROR(__xludf.DUMMYFUNCTION("""COMPUTED_VALUE"""),"moz")</f>
        <v>moz</v>
      </c>
      <c r="C10972" t="str">
        <f>IFERROR(__xludf.DUMMYFUNCTION("""COMPUTED_VALUE"""),"Mozambique")</f>
        <v>Mozambique</v>
      </c>
      <c r="D10972">
        <f>IFERROR(__xludf.DUMMYFUNCTION("""COMPUTED_VALUE"""),1998.0)</f>
        <v>1998</v>
      </c>
      <c r="E10972">
        <f>IFERROR(__xludf.DUMMYFUNCTION("""COMPUTED_VALUE"""),1.713678E7)</f>
        <v>17136780</v>
      </c>
    </row>
    <row r="10973">
      <c r="A10973" t="str">
        <f t="shared" si="1"/>
        <v>moz#1999</v>
      </c>
      <c r="B10973" t="str">
        <f>IFERROR(__xludf.DUMMYFUNCTION("""COMPUTED_VALUE"""),"moz")</f>
        <v>moz</v>
      </c>
      <c r="C10973" t="str">
        <f>IFERROR(__xludf.DUMMYFUNCTION("""COMPUTED_VALUE"""),"Mozambique")</f>
        <v>Mozambique</v>
      </c>
      <c r="D10973">
        <f>IFERROR(__xludf.DUMMYFUNCTION("""COMPUTED_VALUE"""),1999.0)</f>
        <v>1999</v>
      </c>
      <c r="E10973">
        <f>IFERROR(__xludf.DUMMYFUNCTION("""COMPUTED_VALUE"""),1.7584869E7)</f>
        <v>17584869</v>
      </c>
    </row>
    <row r="10974">
      <c r="A10974" t="str">
        <f t="shared" si="1"/>
        <v>moz#2000</v>
      </c>
      <c r="B10974" t="str">
        <f>IFERROR(__xludf.DUMMYFUNCTION("""COMPUTED_VALUE"""),"moz")</f>
        <v>moz</v>
      </c>
      <c r="C10974" t="str">
        <f>IFERROR(__xludf.DUMMYFUNCTION("""COMPUTED_VALUE"""),"Mozambique")</f>
        <v>Mozambique</v>
      </c>
      <c r="D10974">
        <f>IFERROR(__xludf.DUMMYFUNCTION("""COMPUTED_VALUE"""),2000.0)</f>
        <v>2000</v>
      </c>
      <c r="E10974">
        <f>IFERROR(__xludf.DUMMYFUNCTION("""COMPUTED_VALUE"""),1.8067687E7)</f>
        <v>18067687</v>
      </c>
    </row>
    <row r="10975">
      <c r="A10975" t="str">
        <f t="shared" si="1"/>
        <v>moz#2001</v>
      </c>
      <c r="B10975" t="str">
        <f>IFERROR(__xludf.DUMMYFUNCTION("""COMPUTED_VALUE"""),"moz")</f>
        <v>moz</v>
      </c>
      <c r="C10975" t="str">
        <f>IFERROR(__xludf.DUMMYFUNCTION("""COMPUTED_VALUE"""),"Mozambique")</f>
        <v>Mozambique</v>
      </c>
      <c r="D10975">
        <f>IFERROR(__xludf.DUMMYFUNCTION("""COMPUTED_VALUE"""),2001.0)</f>
        <v>2001</v>
      </c>
      <c r="E10975">
        <f>IFERROR(__xludf.DUMMYFUNCTION("""COMPUTED_VALUE"""),1.8588758E7)</f>
        <v>18588758</v>
      </c>
    </row>
    <row r="10976">
      <c r="A10976" t="str">
        <f t="shared" si="1"/>
        <v>moz#2002</v>
      </c>
      <c r="B10976" t="str">
        <f>IFERROR(__xludf.DUMMYFUNCTION("""COMPUTED_VALUE"""),"moz")</f>
        <v>moz</v>
      </c>
      <c r="C10976" t="str">
        <f>IFERROR(__xludf.DUMMYFUNCTION("""COMPUTED_VALUE"""),"Mozambique")</f>
        <v>Mozambique</v>
      </c>
      <c r="D10976">
        <f>IFERROR(__xludf.DUMMYFUNCTION("""COMPUTED_VALUE"""),2002.0)</f>
        <v>2002</v>
      </c>
      <c r="E10976">
        <f>IFERROR(__xludf.DUMMYFUNCTION("""COMPUTED_VALUE"""),1.9139658E7)</f>
        <v>19139658</v>
      </c>
    </row>
    <row r="10977">
      <c r="A10977" t="str">
        <f t="shared" si="1"/>
        <v>moz#2003</v>
      </c>
      <c r="B10977" t="str">
        <f>IFERROR(__xludf.DUMMYFUNCTION("""COMPUTED_VALUE"""),"moz")</f>
        <v>moz</v>
      </c>
      <c r="C10977" t="str">
        <f>IFERROR(__xludf.DUMMYFUNCTION("""COMPUTED_VALUE"""),"Mozambique")</f>
        <v>Mozambique</v>
      </c>
      <c r="D10977">
        <f>IFERROR(__xludf.DUMMYFUNCTION("""COMPUTED_VALUE"""),2003.0)</f>
        <v>2003</v>
      </c>
      <c r="E10977">
        <f>IFERROR(__xludf.DUMMYFUNCTION("""COMPUTED_VALUE"""),1.9716598E7)</f>
        <v>19716598</v>
      </c>
    </row>
    <row r="10978">
      <c r="A10978" t="str">
        <f t="shared" si="1"/>
        <v>moz#2004</v>
      </c>
      <c r="B10978" t="str">
        <f>IFERROR(__xludf.DUMMYFUNCTION("""COMPUTED_VALUE"""),"moz")</f>
        <v>moz</v>
      </c>
      <c r="C10978" t="str">
        <f>IFERROR(__xludf.DUMMYFUNCTION("""COMPUTED_VALUE"""),"Mozambique")</f>
        <v>Mozambique</v>
      </c>
      <c r="D10978">
        <f>IFERROR(__xludf.DUMMYFUNCTION("""COMPUTED_VALUE"""),2004.0)</f>
        <v>2004</v>
      </c>
      <c r="E10978">
        <f>IFERROR(__xludf.DUMMYFUNCTION("""COMPUTED_VALUE"""),2.0312705E7)</f>
        <v>20312705</v>
      </c>
    </row>
    <row r="10979">
      <c r="A10979" t="str">
        <f t="shared" si="1"/>
        <v>moz#2005</v>
      </c>
      <c r="B10979" t="str">
        <f>IFERROR(__xludf.DUMMYFUNCTION("""COMPUTED_VALUE"""),"moz")</f>
        <v>moz</v>
      </c>
      <c r="C10979" t="str">
        <f>IFERROR(__xludf.DUMMYFUNCTION("""COMPUTED_VALUE"""),"Mozambique")</f>
        <v>Mozambique</v>
      </c>
      <c r="D10979">
        <f>IFERROR(__xludf.DUMMYFUNCTION("""COMPUTED_VALUE"""),2005.0)</f>
        <v>2005</v>
      </c>
      <c r="E10979">
        <f>IFERROR(__xludf.DUMMYFUNCTION("""COMPUTED_VALUE"""),2.092307E7)</f>
        <v>20923070</v>
      </c>
    </row>
    <row r="10980">
      <c r="A10980" t="str">
        <f t="shared" si="1"/>
        <v>moz#2006</v>
      </c>
      <c r="B10980" t="str">
        <f>IFERROR(__xludf.DUMMYFUNCTION("""COMPUTED_VALUE"""),"moz")</f>
        <v>moz</v>
      </c>
      <c r="C10980" t="str">
        <f>IFERROR(__xludf.DUMMYFUNCTION("""COMPUTED_VALUE"""),"Mozambique")</f>
        <v>Mozambique</v>
      </c>
      <c r="D10980">
        <f>IFERROR(__xludf.DUMMYFUNCTION("""COMPUTED_VALUE"""),2006.0)</f>
        <v>2006</v>
      </c>
      <c r="E10980">
        <f>IFERROR(__xludf.DUMMYFUNCTION("""COMPUTED_VALUE"""),2.1547463E7)</f>
        <v>21547463</v>
      </c>
    </row>
    <row r="10981">
      <c r="A10981" t="str">
        <f t="shared" si="1"/>
        <v>moz#2007</v>
      </c>
      <c r="B10981" t="str">
        <f>IFERROR(__xludf.DUMMYFUNCTION("""COMPUTED_VALUE"""),"moz")</f>
        <v>moz</v>
      </c>
      <c r="C10981" t="str">
        <f>IFERROR(__xludf.DUMMYFUNCTION("""COMPUTED_VALUE"""),"Mozambique")</f>
        <v>Mozambique</v>
      </c>
      <c r="D10981">
        <f>IFERROR(__xludf.DUMMYFUNCTION("""COMPUTED_VALUE"""),2007.0)</f>
        <v>2007</v>
      </c>
      <c r="E10981">
        <f>IFERROR(__xludf.DUMMYFUNCTION("""COMPUTED_VALUE"""),2.2188387E7)</f>
        <v>22188387</v>
      </c>
    </row>
    <row r="10982">
      <c r="A10982" t="str">
        <f t="shared" si="1"/>
        <v>moz#2008</v>
      </c>
      <c r="B10982" t="str">
        <f>IFERROR(__xludf.DUMMYFUNCTION("""COMPUTED_VALUE"""),"moz")</f>
        <v>moz</v>
      </c>
      <c r="C10982" t="str">
        <f>IFERROR(__xludf.DUMMYFUNCTION("""COMPUTED_VALUE"""),"Mozambique")</f>
        <v>Mozambique</v>
      </c>
      <c r="D10982">
        <f>IFERROR(__xludf.DUMMYFUNCTION("""COMPUTED_VALUE"""),2008.0)</f>
        <v>2008</v>
      </c>
      <c r="E10982">
        <f>IFERROR(__xludf.DUMMYFUNCTION("""COMPUTED_VALUE"""),2.2846758E7)</f>
        <v>22846758</v>
      </c>
    </row>
    <row r="10983">
      <c r="A10983" t="str">
        <f t="shared" si="1"/>
        <v>moz#2009</v>
      </c>
      <c r="B10983" t="str">
        <f>IFERROR(__xludf.DUMMYFUNCTION("""COMPUTED_VALUE"""),"moz")</f>
        <v>moz</v>
      </c>
      <c r="C10983" t="str">
        <f>IFERROR(__xludf.DUMMYFUNCTION("""COMPUTED_VALUE"""),"Mozambique")</f>
        <v>Mozambique</v>
      </c>
      <c r="D10983">
        <f>IFERROR(__xludf.DUMMYFUNCTION("""COMPUTED_VALUE"""),2009.0)</f>
        <v>2009</v>
      </c>
      <c r="E10983">
        <f>IFERROR(__xludf.DUMMYFUNCTION("""COMPUTED_VALUE"""),2.3524063E7)</f>
        <v>23524063</v>
      </c>
    </row>
    <row r="10984">
      <c r="A10984" t="str">
        <f t="shared" si="1"/>
        <v>moz#2010</v>
      </c>
      <c r="B10984" t="str">
        <f>IFERROR(__xludf.DUMMYFUNCTION("""COMPUTED_VALUE"""),"moz")</f>
        <v>moz</v>
      </c>
      <c r="C10984" t="str">
        <f>IFERROR(__xludf.DUMMYFUNCTION("""COMPUTED_VALUE"""),"Mozambique")</f>
        <v>Mozambique</v>
      </c>
      <c r="D10984">
        <f>IFERROR(__xludf.DUMMYFUNCTION("""COMPUTED_VALUE"""),2010.0)</f>
        <v>2010</v>
      </c>
      <c r="E10984">
        <f>IFERROR(__xludf.DUMMYFUNCTION("""COMPUTED_VALUE"""),2.4221405E7)</f>
        <v>24221405</v>
      </c>
    </row>
    <row r="10985">
      <c r="A10985" t="str">
        <f t="shared" si="1"/>
        <v>moz#2011</v>
      </c>
      <c r="B10985" t="str">
        <f>IFERROR(__xludf.DUMMYFUNCTION("""COMPUTED_VALUE"""),"moz")</f>
        <v>moz</v>
      </c>
      <c r="C10985" t="str">
        <f>IFERROR(__xludf.DUMMYFUNCTION("""COMPUTED_VALUE"""),"Mozambique")</f>
        <v>Mozambique</v>
      </c>
      <c r="D10985">
        <f>IFERROR(__xludf.DUMMYFUNCTION("""COMPUTED_VALUE"""),2011.0)</f>
        <v>2011</v>
      </c>
      <c r="E10985">
        <f>IFERROR(__xludf.DUMMYFUNCTION("""COMPUTED_VALUE"""),2.4939005E7)</f>
        <v>24939005</v>
      </c>
    </row>
    <row r="10986">
      <c r="A10986" t="str">
        <f t="shared" si="1"/>
        <v>moz#2012</v>
      </c>
      <c r="B10986" t="str">
        <f>IFERROR(__xludf.DUMMYFUNCTION("""COMPUTED_VALUE"""),"moz")</f>
        <v>moz</v>
      </c>
      <c r="C10986" t="str">
        <f>IFERROR(__xludf.DUMMYFUNCTION("""COMPUTED_VALUE"""),"Mozambique")</f>
        <v>Mozambique</v>
      </c>
      <c r="D10986">
        <f>IFERROR(__xludf.DUMMYFUNCTION("""COMPUTED_VALUE"""),2012.0)</f>
        <v>2012</v>
      </c>
      <c r="E10986">
        <f>IFERROR(__xludf.DUMMYFUNCTION("""COMPUTED_VALUE"""),2.5676606E7)</f>
        <v>25676606</v>
      </c>
    </row>
    <row r="10987">
      <c r="A10987" t="str">
        <f t="shared" si="1"/>
        <v>moz#2013</v>
      </c>
      <c r="B10987" t="str">
        <f>IFERROR(__xludf.DUMMYFUNCTION("""COMPUTED_VALUE"""),"moz")</f>
        <v>moz</v>
      </c>
      <c r="C10987" t="str">
        <f>IFERROR(__xludf.DUMMYFUNCTION("""COMPUTED_VALUE"""),"Mozambique")</f>
        <v>Mozambique</v>
      </c>
      <c r="D10987">
        <f>IFERROR(__xludf.DUMMYFUNCTION("""COMPUTED_VALUE"""),2013.0)</f>
        <v>2013</v>
      </c>
      <c r="E10987">
        <f>IFERROR(__xludf.DUMMYFUNCTION("""COMPUTED_VALUE"""),2.6434372E7)</f>
        <v>26434372</v>
      </c>
    </row>
    <row r="10988">
      <c r="A10988" t="str">
        <f t="shared" si="1"/>
        <v>moz#2014</v>
      </c>
      <c r="B10988" t="str">
        <f>IFERROR(__xludf.DUMMYFUNCTION("""COMPUTED_VALUE"""),"moz")</f>
        <v>moz</v>
      </c>
      <c r="C10988" t="str">
        <f>IFERROR(__xludf.DUMMYFUNCTION("""COMPUTED_VALUE"""),"Mozambique")</f>
        <v>Mozambique</v>
      </c>
      <c r="D10988">
        <f>IFERROR(__xludf.DUMMYFUNCTION("""COMPUTED_VALUE"""),2014.0)</f>
        <v>2014</v>
      </c>
      <c r="E10988">
        <f>IFERROR(__xludf.DUMMYFUNCTION("""COMPUTED_VALUE"""),2.7212382E7)</f>
        <v>27212382</v>
      </c>
    </row>
    <row r="10989">
      <c r="A10989" t="str">
        <f t="shared" si="1"/>
        <v>moz#2015</v>
      </c>
      <c r="B10989" t="str">
        <f>IFERROR(__xludf.DUMMYFUNCTION("""COMPUTED_VALUE"""),"moz")</f>
        <v>moz</v>
      </c>
      <c r="C10989" t="str">
        <f>IFERROR(__xludf.DUMMYFUNCTION("""COMPUTED_VALUE"""),"Mozambique")</f>
        <v>Mozambique</v>
      </c>
      <c r="D10989">
        <f>IFERROR(__xludf.DUMMYFUNCTION("""COMPUTED_VALUE"""),2015.0)</f>
        <v>2015</v>
      </c>
      <c r="E10989">
        <f>IFERROR(__xludf.DUMMYFUNCTION("""COMPUTED_VALUE"""),2.8010691E7)</f>
        <v>28010691</v>
      </c>
    </row>
    <row r="10990">
      <c r="A10990" t="str">
        <f t="shared" si="1"/>
        <v>moz#2016</v>
      </c>
      <c r="B10990" t="str">
        <f>IFERROR(__xludf.DUMMYFUNCTION("""COMPUTED_VALUE"""),"moz")</f>
        <v>moz</v>
      </c>
      <c r="C10990" t="str">
        <f>IFERROR(__xludf.DUMMYFUNCTION("""COMPUTED_VALUE"""),"Mozambique")</f>
        <v>Mozambique</v>
      </c>
      <c r="D10990">
        <f>IFERROR(__xludf.DUMMYFUNCTION("""COMPUTED_VALUE"""),2016.0)</f>
        <v>2016</v>
      </c>
      <c r="E10990">
        <f>IFERROR(__xludf.DUMMYFUNCTION("""COMPUTED_VALUE"""),2.8829476E7)</f>
        <v>28829476</v>
      </c>
    </row>
    <row r="10991">
      <c r="A10991" t="str">
        <f t="shared" si="1"/>
        <v>moz#2017</v>
      </c>
      <c r="B10991" t="str">
        <f>IFERROR(__xludf.DUMMYFUNCTION("""COMPUTED_VALUE"""),"moz")</f>
        <v>moz</v>
      </c>
      <c r="C10991" t="str">
        <f>IFERROR(__xludf.DUMMYFUNCTION("""COMPUTED_VALUE"""),"Mozambique")</f>
        <v>Mozambique</v>
      </c>
      <c r="D10991">
        <f>IFERROR(__xludf.DUMMYFUNCTION("""COMPUTED_VALUE"""),2017.0)</f>
        <v>2017</v>
      </c>
      <c r="E10991">
        <f>IFERROR(__xludf.DUMMYFUNCTION("""COMPUTED_VALUE"""),2.9668834E7)</f>
        <v>29668834</v>
      </c>
    </row>
    <row r="10992">
      <c r="A10992" t="str">
        <f t="shared" si="1"/>
        <v>moz#2018</v>
      </c>
      <c r="B10992" t="str">
        <f>IFERROR(__xludf.DUMMYFUNCTION("""COMPUTED_VALUE"""),"moz")</f>
        <v>moz</v>
      </c>
      <c r="C10992" t="str">
        <f>IFERROR(__xludf.DUMMYFUNCTION("""COMPUTED_VALUE"""),"Mozambique")</f>
        <v>Mozambique</v>
      </c>
      <c r="D10992">
        <f>IFERROR(__xludf.DUMMYFUNCTION("""COMPUTED_VALUE"""),2018.0)</f>
        <v>2018</v>
      </c>
      <c r="E10992">
        <f>IFERROR(__xludf.DUMMYFUNCTION("""COMPUTED_VALUE"""),3.0528673E7)</f>
        <v>30528673</v>
      </c>
    </row>
    <row r="10993">
      <c r="A10993" t="str">
        <f t="shared" si="1"/>
        <v>moz#2019</v>
      </c>
      <c r="B10993" t="str">
        <f>IFERROR(__xludf.DUMMYFUNCTION("""COMPUTED_VALUE"""),"moz")</f>
        <v>moz</v>
      </c>
      <c r="C10993" t="str">
        <f>IFERROR(__xludf.DUMMYFUNCTION("""COMPUTED_VALUE"""),"Mozambique")</f>
        <v>Mozambique</v>
      </c>
      <c r="D10993">
        <f>IFERROR(__xludf.DUMMYFUNCTION("""COMPUTED_VALUE"""),2019.0)</f>
        <v>2019</v>
      </c>
      <c r="E10993">
        <f>IFERROR(__xludf.DUMMYFUNCTION("""COMPUTED_VALUE"""),3.1408823E7)</f>
        <v>31408823</v>
      </c>
    </row>
    <row r="10994">
      <c r="A10994" t="str">
        <f t="shared" si="1"/>
        <v>moz#2020</v>
      </c>
      <c r="B10994" t="str">
        <f>IFERROR(__xludf.DUMMYFUNCTION("""COMPUTED_VALUE"""),"moz")</f>
        <v>moz</v>
      </c>
      <c r="C10994" t="str">
        <f>IFERROR(__xludf.DUMMYFUNCTION("""COMPUTED_VALUE"""),"Mozambique")</f>
        <v>Mozambique</v>
      </c>
      <c r="D10994">
        <f>IFERROR(__xludf.DUMMYFUNCTION("""COMPUTED_VALUE"""),2020.0)</f>
        <v>2020</v>
      </c>
      <c r="E10994">
        <f>IFERROR(__xludf.DUMMYFUNCTION("""COMPUTED_VALUE"""),3.2309195E7)</f>
        <v>32309195</v>
      </c>
    </row>
    <row r="10995">
      <c r="A10995" t="str">
        <f t="shared" si="1"/>
        <v>moz#2021</v>
      </c>
      <c r="B10995" t="str">
        <f>IFERROR(__xludf.DUMMYFUNCTION("""COMPUTED_VALUE"""),"moz")</f>
        <v>moz</v>
      </c>
      <c r="C10995" t="str">
        <f>IFERROR(__xludf.DUMMYFUNCTION("""COMPUTED_VALUE"""),"Mozambique")</f>
        <v>Mozambique</v>
      </c>
      <c r="D10995">
        <f>IFERROR(__xludf.DUMMYFUNCTION("""COMPUTED_VALUE"""),2021.0)</f>
        <v>2021</v>
      </c>
      <c r="E10995">
        <f>IFERROR(__xludf.DUMMYFUNCTION("""COMPUTED_VALUE"""),3.3229664E7)</f>
        <v>33229664</v>
      </c>
    </row>
    <row r="10996">
      <c r="A10996" t="str">
        <f t="shared" si="1"/>
        <v>moz#2022</v>
      </c>
      <c r="B10996" t="str">
        <f>IFERROR(__xludf.DUMMYFUNCTION("""COMPUTED_VALUE"""),"moz")</f>
        <v>moz</v>
      </c>
      <c r="C10996" t="str">
        <f>IFERROR(__xludf.DUMMYFUNCTION("""COMPUTED_VALUE"""),"Mozambique")</f>
        <v>Mozambique</v>
      </c>
      <c r="D10996">
        <f>IFERROR(__xludf.DUMMYFUNCTION("""COMPUTED_VALUE"""),2022.0)</f>
        <v>2022</v>
      </c>
      <c r="E10996">
        <f>IFERROR(__xludf.DUMMYFUNCTION("""COMPUTED_VALUE"""),3.4170326E7)</f>
        <v>34170326</v>
      </c>
    </row>
    <row r="10997">
      <c r="A10997" t="str">
        <f t="shared" si="1"/>
        <v>moz#2023</v>
      </c>
      <c r="B10997" t="str">
        <f>IFERROR(__xludf.DUMMYFUNCTION("""COMPUTED_VALUE"""),"moz")</f>
        <v>moz</v>
      </c>
      <c r="C10997" t="str">
        <f>IFERROR(__xludf.DUMMYFUNCTION("""COMPUTED_VALUE"""),"Mozambique")</f>
        <v>Mozambique</v>
      </c>
      <c r="D10997">
        <f>IFERROR(__xludf.DUMMYFUNCTION("""COMPUTED_VALUE"""),2023.0)</f>
        <v>2023</v>
      </c>
      <c r="E10997">
        <f>IFERROR(__xludf.DUMMYFUNCTION("""COMPUTED_VALUE"""),3.513142E7)</f>
        <v>35131420</v>
      </c>
    </row>
    <row r="10998">
      <c r="A10998" t="str">
        <f t="shared" si="1"/>
        <v>moz#2024</v>
      </c>
      <c r="B10998" t="str">
        <f>IFERROR(__xludf.DUMMYFUNCTION("""COMPUTED_VALUE"""),"moz")</f>
        <v>moz</v>
      </c>
      <c r="C10998" t="str">
        <f>IFERROR(__xludf.DUMMYFUNCTION("""COMPUTED_VALUE"""),"Mozambique")</f>
        <v>Mozambique</v>
      </c>
      <c r="D10998">
        <f>IFERROR(__xludf.DUMMYFUNCTION("""COMPUTED_VALUE"""),2024.0)</f>
        <v>2024</v>
      </c>
      <c r="E10998">
        <f>IFERROR(__xludf.DUMMYFUNCTION("""COMPUTED_VALUE"""),3.6113311E7)</f>
        <v>36113311</v>
      </c>
    </row>
    <row r="10999">
      <c r="A10999" t="str">
        <f t="shared" si="1"/>
        <v>moz#2025</v>
      </c>
      <c r="B10999" t="str">
        <f>IFERROR(__xludf.DUMMYFUNCTION("""COMPUTED_VALUE"""),"moz")</f>
        <v>moz</v>
      </c>
      <c r="C10999" t="str">
        <f>IFERROR(__xludf.DUMMYFUNCTION("""COMPUTED_VALUE"""),"Mozambique")</f>
        <v>Mozambique</v>
      </c>
      <c r="D10999">
        <f>IFERROR(__xludf.DUMMYFUNCTION("""COMPUTED_VALUE"""),2025.0)</f>
        <v>2025</v>
      </c>
      <c r="E10999">
        <f>IFERROR(__xludf.DUMMYFUNCTION("""COMPUTED_VALUE"""),3.7116198E7)</f>
        <v>37116198</v>
      </c>
    </row>
    <row r="11000">
      <c r="A11000" t="str">
        <f t="shared" si="1"/>
        <v>moz#2026</v>
      </c>
      <c r="B11000" t="str">
        <f>IFERROR(__xludf.DUMMYFUNCTION("""COMPUTED_VALUE"""),"moz")</f>
        <v>moz</v>
      </c>
      <c r="C11000" t="str">
        <f>IFERROR(__xludf.DUMMYFUNCTION("""COMPUTED_VALUE"""),"Mozambique")</f>
        <v>Mozambique</v>
      </c>
      <c r="D11000">
        <f>IFERROR(__xludf.DUMMYFUNCTION("""COMPUTED_VALUE"""),2026.0)</f>
        <v>2026</v>
      </c>
      <c r="E11000">
        <f>IFERROR(__xludf.DUMMYFUNCTION("""COMPUTED_VALUE"""),3.8139962E7)</f>
        <v>38139962</v>
      </c>
    </row>
    <row r="11001">
      <c r="A11001" t="str">
        <f t="shared" si="1"/>
        <v>moz#2027</v>
      </c>
      <c r="B11001" t="str">
        <f>IFERROR(__xludf.DUMMYFUNCTION("""COMPUTED_VALUE"""),"moz")</f>
        <v>moz</v>
      </c>
      <c r="C11001" t="str">
        <f>IFERROR(__xludf.DUMMYFUNCTION("""COMPUTED_VALUE"""),"Mozambique")</f>
        <v>Mozambique</v>
      </c>
      <c r="D11001">
        <f>IFERROR(__xludf.DUMMYFUNCTION("""COMPUTED_VALUE"""),2027.0)</f>
        <v>2027</v>
      </c>
      <c r="E11001">
        <f>IFERROR(__xludf.DUMMYFUNCTION("""COMPUTED_VALUE"""),3.918431E7)</f>
        <v>39184310</v>
      </c>
    </row>
    <row r="11002">
      <c r="A11002" t="str">
        <f t="shared" si="1"/>
        <v>moz#2028</v>
      </c>
      <c r="B11002" t="str">
        <f>IFERROR(__xludf.DUMMYFUNCTION("""COMPUTED_VALUE"""),"moz")</f>
        <v>moz</v>
      </c>
      <c r="C11002" t="str">
        <f>IFERROR(__xludf.DUMMYFUNCTION("""COMPUTED_VALUE"""),"Mozambique")</f>
        <v>Mozambique</v>
      </c>
      <c r="D11002">
        <f>IFERROR(__xludf.DUMMYFUNCTION("""COMPUTED_VALUE"""),2028.0)</f>
        <v>2028</v>
      </c>
      <c r="E11002">
        <f>IFERROR(__xludf.DUMMYFUNCTION("""COMPUTED_VALUE"""),4.0249062E7)</f>
        <v>40249062</v>
      </c>
    </row>
    <row r="11003">
      <c r="A11003" t="str">
        <f t="shared" si="1"/>
        <v>moz#2029</v>
      </c>
      <c r="B11003" t="str">
        <f>IFERROR(__xludf.DUMMYFUNCTION("""COMPUTED_VALUE"""),"moz")</f>
        <v>moz</v>
      </c>
      <c r="C11003" t="str">
        <f>IFERROR(__xludf.DUMMYFUNCTION("""COMPUTED_VALUE"""),"Mozambique")</f>
        <v>Mozambique</v>
      </c>
      <c r="D11003">
        <f>IFERROR(__xludf.DUMMYFUNCTION("""COMPUTED_VALUE"""),2029.0)</f>
        <v>2029</v>
      </c>
      <c r="E11003">
        <f>IFERROR(__xludf.DUMMYFUNCTION("""COMPUTED_VALUE"""),4.133397E7)</f>
        <v>41333970</v>
      </c>
    </row>
    <row r="11004">
      <c r="A11004" t="str">
        <f t="shared" si="1"/>
        <v>moz#2030</v>
      </c>
      <c r="B11004" t="str">
        <f>IFERROR(__xludf.DUMMYFUNCTION("""COMPUTED_VALUE"""),"moz")</f>
        <v>moz</v>
      </c>
      <c r="C11004" t="str">
        <f>IFERROR(__xludf.DUMMYFUNCTION("""COMPUTED_VALUE"""),"Mozambique")</f>
        <v>Mozambique</v>
      </c>
      <c r="D11004">
        <f>IFERROR(__xludf.DUMMYFUNCTION("""COMPUTED_VALUE"""),2030.0)</f>
        <v>2030</v>
      </c>
      <c r="E11004">
        <f>IFERROR(__xludf.DUMMYFUNCTION("""COMPUTED_VALUE"""),4.2438703E7)</f>
        <v>42438703</v>
      </c>
    </row>
    <row r="11005">
      <c r="A11005" t="str">
        <f t="shared" si="1"/>
        <v>moz#2031</v>
      </c>
      <c r="B11005" t="str">
        <f>IFERROR(__xludf.DUMMYFUNCTION("""COMPUTED_VALUE"""),"moz")</f>
        <v>moz</v>
      </c>
      <c r="C11005" t="str">
        <f>IFERROR(__xludf.DUMMYFUNCTION("""COMPUTED_VALUE"""),"Mozambique")</f>
        <v>Mozambique</v>
      </c>
      <c r="D11005">
        <f>IFERROR(__xludf.DUMMYFUNCTION("""COMPUTED_VALUE"""),2031.0)</f>
        <v>2031</v>
      </c>
      <c r="E11005">
        <f>IFERROR(__xludf.DUMMYFUNCTION("""COMPUTED_VALUE"""),4.3562982E7)</f>
        <v>43562982</v>
      </c>
    </row>
    <row r="11006">
      <c r="A11006" t="str">
        <f t="shared" si="1"/>
        <v>moz#2032</v>
      </c>
      <c r="B11006" t="str">
        <f>IFERROR(__xludf.DUMMYFUNCTION("""COMPUTED_VALUE"""),"moz")</f>
        <v>moz</v>
      </c>
      <c r="C11006" t="str">
        <f>IFERROR(__xludf.DUMMYFUNCTION("""COMPUTED_VALUE"""),"Mozambique")</f>
        <v>Mozambique</v>
      </c>
      <c r="D11006">
        <f>IFERROR(__xludf.DUMMYFUNCTION("""COMPUTED_VALUE"""),2032.0)</f>
        <v>2032</v>
      </c>
      <c r="E11006">
        <f>IFERROR(__xludf.DUMMYFUNCTION("""COMPUTED_VALUE"""),4.4706339E7)</f>
        <v>44706339</v>
      </c>
    </row>
    <row r="11007">
      <c r="A11007" t="str">
        <f t="shared" si="1"/>
        <v>moz#2033</v>
      </c>
      <c r="B11007" t="str">
        <f>IFERROR(__xludf.DUMMYFUNCTION("""COMPUTED_VALUE"""),"moz")</f>
        <v>moz</v>
      </c>
      <c r="C11007" t="str">
        <f>IFERROR(__xludf.DUMMYFUNCTION("""COMPUTED_VALUE"""),"Mozambique")</f>
        <v>Mozambique</v>
      </c>
      <c r="D11007">
        <f>IFERROR(__xludf.DUMMYFUNCTION("""COMPUTED_VALUE"""),2033.0)</f>
        <v>2033</v>
      </c>
      <c r="E11007">
        <f>IFERROR(__xludf.DUMMYFUNCTION("""COMPUTED_VALUE"""),4.5867925E7)</f>
        <v>45867925</v>
      </c>
    </row>
    <row r="11008">
      <c r="A11008" t="str">
        <f t="shared" si="1"/>
        <v>moz#2034</v>
      </c>
      <c r="B11008" t="str">
        <f>IFERROR(__xludf.DUMMYFUNCTION("""COMPUTED_VALUE"""),"moz")</f>
        <v>moz</v>
      </c>
      <c r="C11008" t="str">
        <f>IFERROR(__xludf.DUMMYFUNCTION("""COMPUTED_VALUE"""),"Mozambique")</f>
        <v>Mozambique</v>
      </c>
      <c r="D11008">
        <f>IFERROR(__xludf.DUMMYFUNCTION("""COMPUTED_VALUE"""),2034.0)</f>
        <v>2034</v>
      </c>
      <c r="E11008">
        <f>IFERROR(__xludf.DUMMYFUNCTION("""COMPUTED_VALUE"""),4.7046694E7)</f>
        <v>47046694</v>
      </c>
    </row>
    <row r="11009">
      <c r="A11009" t="str">
        <f t="shared" si="1"/>
        <v>moz#2035</v>
      </c>
      <c r="B11009" t="str">
        <f>IFERROR(__xludf.DUMMYFUNCTION("""COMPUTED_VALUE"""),"moz")</f>
        <v>moz</v>
      </c>
      <c r="C11009" t="str">
        <f>IFERROR(__xludf.DUMMYFUNCTION("""COMPUTED_VALUE"""),"Mozambique")</f>
        <v>Mozambique</v>
      </c>
      <c r="D11009">
        <f>IFERROR(__xludf.DUMMYFUNCTION("""COMPUTED_VALUE"""),2035.0)</f>
        <v>2035</v>
      </c>
      <c r="E11009">
        <f>IFERROR(__xludf.DUMMYFUNCTION("""COMPUTED_VALUE"""),4.8241764E7)</f>
        <v>48241764</v>
      </c>
    </row>
    <row r="11010">
      <c r="A11010" t="str">
        <f t="shared" si="1"/>
        <v>moz#2036</v>
      </c>
      <c r="B11010" t="str">
        <f>IFERROR(__xludf.DUMMYFUNCTION("""COMPUTED_VALUE"""),"moz")</f>
        <v>moz</v>
      </c>
      <c r="C11010" t="str">
        <f>IFERROR(__xludf.DUMMYFUNCTION("""COMPUTED_VALUE"""),"Mozambique")</f>
        <v>Mozambique</v>
      </c>
      <c r="D11010">
        <f>IFERROR(__xludf.DUMMYFUNCTION("""COMPUTED_VALUE"""),2036.0)</f>
        <v>2036</v>
      </c>
      <c r="E11010">
        <f>IFERROR(__xludf.DUMMYFUNCTION("""COMPUTED_VALUE"""),4.9452538E7)</f>
        <v>49452538</v>
      </c>
    </row>
    <row r="11011">
      <c r="A11011" t="str">
        <f t="shared" si="1"/>
        <v>moz#2037</v>
      </c>
      <c r="B11011" t="str">
        <f>IFERROR(__xludf.DUMMYFUNCTION("""COMPUTED_VALUE"""),"moz")</f>
        <v>moz</v>
      </c>
      <c r="C11011" t="str">
        <f>IFERROR(__xludf.DUMMYFUNCTION("""COMPUTED_VALUE"""),"Mozambique")</f>
        <v>Mozambique</v>
      </c>
      <c r="D11011">
        <f>IFERROR(__xludf.DUMMYFUNCTION("""COMPUTED_VALUE"""),2037.0)</f>
        <v>2037</v>
      </c>
      <c r="E11011">
        <f>IFERROR(__xludf.DUMMYFUNCTION("""COMPUTED_VALUE"""),5.067858E7)</f>
        <v>50678580</v>
      </c>
    </row>
    <row r="11012">
      <c r="A11012" t="str">
        <f t="shared" si="1"/>
        <v>moz#2038</v>
      </c>
      <c r="B11012" t="str">
        <f>IFERROR(__xludf.DUMMYFUNCTION("""COMPUTED_VALUE"""),"moz")</f>
        <v>moz</v>
      </c>
      <c r="C11012" t="str">
        <f>IFERROR(__xludf.DUMMYFUNCTION("""COMPUTED_VALUE"""),"Mozambique")</f>
        <v>Mozambique</v>
      </c>
      <c r="D11012">
        <f>IFERROR(__xludf.DUMMYFUNCTION("""COMPUTED_VALUE"""),2038.0)</f>
        <v>2038</v>
      </c>
      <c r="E11012">
        <f>IFERROR(__xludf.DUMMYFUNCTION("""COMPUTED_VALUE"""),5.1919357E7)</f>
        <v>51919357</v>
      </c>
    </row>
    <row r="11013">
      <c r="A11013" t="str">
        <f t="shared" si="1"/>
        <v>moz#2039</v>
      </c>
      <c r="B11013" t="str">
        <f>IFERROR(__xludf.DUMMYFUNCTION("""COMPUTED_VALUE"""),"moz")</f>
        <v>moz</v>
      </c>
      <c r="C11013" t="str">
        <f>IFERROR(__xludf.DUMMYFUNCTION("""COMPUTED_VALUE"""),"Mozambique")</f>
        <v>Mozambique</v>
      </c>
      <c r="D11013">
        <f>IFERROR(__xludf.DUMMYFUNCTION("""COMPUTED_VALUE"""),2039.0)</f>
        <v>2039</v>
      </c>
      <c r="E11013">
        <f>IFERROR(__xludf.DUMMYFUNCTION("""COMPUTED_VALUE"""),5.3174368E7)</f>
        <v>53174368</v>
      </c>
    </row>
    <row r="11014">
      <c r="A11014" t="str">
        <f t="shared" si="1"/>
        <v>moz#2040</v>
      </c>
      <c r="B11014" t="str">
        <f>IFERROR(__xludf.DUMMYFUNCTION("""COMPUTED_VALUE"""),"moz")</f>
        <v>moz</v>
      </c>
      <c r="C11014" t="str">
        <f>IFERROR(__xludf.DUMMYFUNCTION("""COMPUTED_VALUE"""),"Mozambique")</f>
        <v>Mozambique</v>
      </c>
      <c r="D11014">
        <f>IFERROR(__xludf.DUMMYFUNCTION("""COMPUTED_VALUE"""),2040.0)</f>
        <v>2040</v>
      </c>
      <c r="E11014">
        <f>IFERROR(__xludf.DUMMYFUNCTION("""COMPUTED_VALUE"""),5.4443113E7)</f>
        <v>54443113</v>
      </c>
    </row>
    <row r="11015">
      <c r="A11015" t="str">
        <f t="shared" si="1"/>
        <v>mmr#1950</v>
      </c>
      <c r="B11015" t="str">
        <f>IFERROR(__xludf.DUMMYFUNCTION("""COMPUTED_VALUE"""),"mmr")</f>
        <v>mmr</v>
      </c>
      <c r="C11015" t="str">
        <f>IFERROR(__xludf.DUMMYFUNCTION("""COMPUTED_VALUE"""),"Myanmar")</f>
        <v>Myanmar</v>
      </c>
      <c r="D11015">
        <f>IFERROR(__xludf.DUMMYFUNCTION("""COMPUTED_VALUE"""),1950.0)</f>
        <v>1950</v>
      </c>
      <c r="E11015">
        <f>IFERROR(__xludf.DUMMYFUNCTION("""COMPUTED_VALUE"""),1.715151E7)</f>
        <v>17151510</v>
      </c>
    </row>
    <row r="11016">
      <c r="A11016" t="str">
        <f t="shared" si="1"/>
        <v>mmr#1951</v>
      </c>
      <c r="B11016" t="str">
        <f>IFERROR(__xludf.DUMMYFUNCTION("""COMPUTED_VALUE"""),"mmr")</f>
        <v>mmr</v>
      </c>
      <c r="C11016" t="str">
        <f>IFERROR(__xludf.DUMMYFUNCTION("""COMPUTED_VALUE"""),"Myanmar")</f>
        <v>Myanmar</v>
      </c>
      <c r="D11016">
        <f>IFERROR(__xludf.DUMMYFUNCTION("""COMPUTED_VALUE"""),1951.0)</f>
        <v>1951</v>
      </c>
      <c r="E11016">
        <f>IFERROR(__xludf.DUMMYFUNCTION("""COMPUTED_VALUE"""),1.747006E7)</f>
        <v>17470060</v>
      </c>
    </row>
    <row r="11017">
      <c r="A11017" t="str">
        <f t="shared" si="1"/>
        <v>mmr#1952</v>
      </c>
      <c r="B11017" t="str">
        <f>IFERROR(__xludf.DUMMYFUNCTION("""COMPUTED_VALUE"""),"mmr")</f>
        <v>mmr</v>
      </c>
      <c r="C11017" t="str">
        <f>IFERROR(__xludf.DUMMYFUNCTION("""COMPUTED_VALUE"""),"Myanmar")</f>
        <v>Myanmar</v>
      </c>
      <c r="D11017">
        <f>IFERROR(__xludf.DUMMYFUNCTION("""COMPUTED_VALUE"""),1952.0)</f>
        <v>1952</v>
      </c>
      <c r="E11017">
        <f>IFERROR(__xludf.DUMMYFUNCTION("""COMPUTED_VALUE"""),1.77964E7)</f>
        <v>17796400</v>
      </c>
    </row>
    <row r="11018">
      <c r="A11018" t="str">
        <f t="shared" si="1"/>
        <v>mmr#1953</v>
      </c>
      <c r="B11018" t="str">
        <f>IFERROR(__xludf.DUMMYFUNCTION("""COMPUTED_VALUE"""),"mmr")</f>
        <v>mmr</v>
      </c>
      <c r="C11018" t="str">
        <f>IFERROR(__xludf.DUMMYFUNCTION("""COMPUTED_VALUE"""),"Myanmar")</f>
        <v>Myanmar</v>
      </c>
      <c r="D11018">
        <f>IFERROR(__xludf.DUMMYFUNCTION("""COMPUTED_VALUE"""),1953.0)</f>
        <v>1953</v>
      </c>
      <c r="E11018">
        <f>IFERROR(__xludf.DUMMYFUNCTION("""COMPUTED_VALUE"""),1.8135962E7)</f>
        <v>18135962</v>
      </c>
    </row>
    <row r="11019">
      <c r="A11019" t="str">
        <f t="shared" si="1"/>
        <v>mmr#1954</v>
      </c>
      <c r="B11019" t="str">
        <f>IFERROR(__xludf.DUMMYFUNCTION("""COMPUTED_VALUE"""),"mmr")</f>
        <v>mmr</v>
      </c>
      <c r="C11019" t="str">
        <f>IFERROR(__xludf.DUMMYFUNCTION("""COMPUTED_VALUE"""),"Myanmar")</f>
        <v>Myanmar</v>
      </c>
      <c r="D11019">
        <f>IFERROR(__xludf.DUMMYFUNCTION("""COMPUTED_VALUE"""),1954.0)</f>
        <v>1954</v>
      </c>
      <c r="E11019">
        <f>IFERROR(__xludf.DUMMYFUNCTION("""COMPUTED_VALUE"""),1.8492475E7)</f>
        <v>18492475</v>
      </c>
    </row>
    <row r="11020">
      <c r="A11020" t="str">
        <f t="shared" si="1"/>
        <v>mmr#1955</v>
      </c>
      <c r="B11020" t="str">
        <f>IFERROR(__xludf.DUMMYFUNCTION("""COMPUTED_VALUE"""),"mmr")</f>
        <v>mmr</v>
      </c>
      <c r="C11020" t="str">
        <f>IFERROR(__xludf.DUMMYFUNCTION("""COMPUTED_VALUE"""),"Myanmar")</f>
        <v>Myanmar</v>
      </c>
      <c r="D11020">
        <f>IFERROR(__xludf.DUMMYFUNCTION("""COMPUTED_VALUE"""),1955.0)</f>
        <v>1955</v>
      </c>
      <c r="E11020">
        <f>IFERROR(__xludf.DUMMYFUNCTION("""COMPUTED_VALUE"""),1.8867968E7)</f>
        <v>18867968</v>
      </c>
    </row>
    <row r="11021">
      <c r="A11021" t="str">
        <f t="shared" si="1"/>
        <v>mmr#1956</v>
      </c>
      <c r="B11021" t="str">
        <f>IFERROR(__xludf.DUMMYFUNCTION("""COMPUTED_VALUE"""),"mmr")</f>
        <v>mmr</v>
      </c>
      <c r="C11021" t="str">
        <f>IFERROR(__xludf.DUMMYFUNCTION("""COMPUTED_VALUE"""),"Myanmar")</f>
        <v>Myanmar</v>
      </c>
      <c r="D11021">
        <f>IFERROR(__xludf.DUMMYFUNCTION("""COMPUTED_VALUE"""),1956.0)</f>
        <v>1956</v>
      </c>
      <c r="E11021">
        <f>IFERROR(__xludf.DUMMYFUNCTION("""COMPUTED_VALUE"""),1.9262647E7)</f>
        <v>19262647</v>
      </c>
    </row>
    <row r="11022">
      <c r="A11022" t="str">
        <f t="shared" si="1"/>
        <v>mmr#1957</v>
      </c>
      <c r="B11022" t="str">
        <f>IFERROR(__xludf.DUMMYFUNCTION("""COMPUTED_VALUE"""),"mmr")</f>
        <v>mmr</v>
      </c>
      <c r="C11022" t="str">
        <f>IFERROR(__xludf.DUMMYFUNCTION("""COMPUTED_VALUE"""),"Myanmar")</f>
        <v>Myanmar</v>
      </c>
      <c r="D11022">
        <f>IFERROR(__xludf.DUMMYFUNCTION("""COMPUTED_VALUE"""),1957.0)</f>
        <v>1957</v>
      </c>
      <c r="E11022">
        <f>IFERROR(__xludf.DUMMYFUNCTION("""COMPUTED_VALUE"""),1.9675044E7)</f>
        <v>19675044</v>
      </c>
    </row>
    <row r="11023">
      <c r="A11023" t="str">
        <f t="shared" si="1"/>
        <v>mmr#1958</v>
      </c>
      <c r="B11023" t="str">
        <f>IFERROR(__xludf.DUMMYFUNCTION("""COMPUTED_VALUE"""),"mmr")</f>
        <v>mmr</v>
      </c>
      <c r="C11023" t="str">
        <f>IFERROR(__xludf.DUMMYFUNCTION("""COMPUTED_VALUE"""),"Myanmar")</f>
        <v>Myanmar</v>
      </c>
      <c r="D11023">
        <f>IFERROR(__xludf.DUMMYFUNCTION("""COMPUTED_VALUE"""),1958.0)</f>
        <v>1958</v>
      </c>
      <c r="E11023">
        <f>IFERROR(__xludf.DUMMYFUNCTION("""COMPUTED_VALUE"""),2.0102248E7)</f>
        <v>20102248</v>
      </c>
    </row>
    <row r="11024">
      <c r="A11024" t="str">
        <f t="shared" si="1"/>
        <v>mmr#1959</v>
      </c>
      <c r="B11024" t="str">
        <f>IFERROR(__xludf.DUMMYFUNCTION("""COMPUTED_VALUE"""),"mmr")</f>
        <v>mmr</v>
      </c>
      <c r="C11024" t="str">
        <f>IFERROR(__xludf.DUMMYFUNCTION("""COMPUTED_VALUE"""),"Myanmar")</f>
        <v>Myanmar</v>
      </c>
      <c r="D11024">
        <f>IFERROR(__xludf.DUMMYFUNCTION("""COMPUTED_VALUE"""),1959.0)</f>
        <v>1959</v>
      </c>
      <c r="E11024">
        <f>IFERROR(__xludf.DUMMYFUNCTION("""COMPUTED_VALUE"""),2.0540399E7)</f>
        <v>20540399</v>
      </c>
    </row>
    <row r="11025">
      <c r="A11025" t="str">
        <f t="shared" si="1"/>
        <v>mmr#1960</v>
      </c>
      <c r="B11025" t="str">
        <f>IFERROR(__xludf.DUMMYFUNCTION("""COMPUTED_VALUE"""),"mmr")</f>
        <v>mmr</v>
      </c>
      <c r="C11025" t="str">
        <f>IFERROR(__xludf.DUMMYFUNCTION("""COMPUTED_VALUE"""),"Myanmar")</f>
        <v>Myanmar</v>
      </c>
      <c r="D11025">
        <f>IFERROR(__xludf.DUMMYFUNCTION("""COMPUTED_VALUE"""),1960.0)</f>
        <v>1960</v>
      </c>
      <c r="E11025">
        <f>IFERROR(__xludf.DUMMYFUNCTION("""COMPUTED_VALUE"""),2.0986123E7)</f>
        <v>20986123</v>
      </c>
    </row>
    <row r="11026">
      <c r="A11026" t="str">
        <f t="shared" si="1"/>
        <v>mmr#1961</v>
      </c>
      <c r="B11026" t="str">
        <f>IFERROR(__xludf.DUMMYFUNCTION("""COMPUTED_VALUE"""),"mmr")</f>
        <v>mmr</v>
      </c>
      <c r="C11026" t="str">
        <f>IFERROR(__xludf.DUMMYFUNCTION("""COMPUTED_VALUE"""),"Myanmar")</f>
        <v>Myanmar</v>
      </c>
      <c r="D11026">
        <f>IFERROR(__xludf.DUMMYFUNCTION("""COMPUTED_VALUE"""),1961.0)</f>
        <v>1961</v>
      </c>
      <c r="E11026">
        <f>IFERROR(__xludf.DUMMYFUNCTION("""COMPUTED_VALUE"""),2.1438025E7)</f>
        <v>21438025</v>
      </c>
    </row>
    <row r="11027">
      <c r="A11027" t="str">
        <f t="shared" si="1"/>
        <v>mmr#1962</v>
      </c>
      <c r="B11027" t="str">
        <f>IFERROR(__xludf.DUMMYFUNCTION("""COMPUTED_VALUE"""),"mmr")</f>
        <v>mmr</v>
      </c>
      <c r="C11027" t="str">
        <f>IFERROR(__xludf.DUMMYFUNCTION("""COMPUTED_VALUE"""),"Myanmar")</f>
        <v>Myanmar</v>
      </c>
      <c r="D11027">
        <f>IFERROR(__xludf.DUMMYFUNCTION("""COMPUTED_VALUE"""),1962.0)</f>
        <v>1962</v>
      </c>
      <c r="E11027">
        <f>IFERROR(__xludf.DUMMYFUNCTION("""COMPUTED_VALUE"""),2.189802E7)</f>
        <v>21898020</v>
      </c>
    </row>
    <row r="11028">
      <c r="A11028" t="str">
        <f t="shared" si="1"/>
        <v>mmr#1963</v>
      </c>
      <c r="B11028" t="str">
        <f>IFERROR(__xludf.DUMMYFUNCTION("""COMPUTED_VALUE"""),"mmr")</f>
        <v>mmr</v>
      </c>
      <c r="C11028" t="str">
        <f>IFERROR(__xludf.DUMMYFUNCTION("""COMPUTED_VALUE"""),"Myanmar")</f>
        <v>Myanmar</v>
      </c>
      <c r="D11028">
        <f>IFERROR(__xludf.DUMMYFUNCTION("""COMPUTED_VALUE"""),1963.0)</f>
        <v>1963</v>
      </c>
      <c r="E11028">
        <f>IFERROR(__xludf.DUMMYFUNCTION("""COMPUTED_VALUE"""),2.2371902E7)</f>
        <v>22371902</v>
      </c>
    </row>
    <row r="11029">
      <c r="A11029" t="str">
        <f t="shared" si="1"/>
        <v>mmr#1964</v>
      </c>
      <c r="B11029" t="str">
        <f>IFERROR(__xludf.DUMMYFUNCTION("""COMPUTED_VALUE"""),"mmr")</f>
        <v>mmr</v>
      </c>
      <c r="C11029" t="str">
        <f>IFERROR(__xludf.DUMMYFUNCTION("""COMPUTED_VALUE"""),"Myanmar")</f>
        <v>Myanmar</v>
      </c>
      <c r="D11029">
        <f>IFERROR(__xludf.DUMMYFUNCTION("""COMPUTED_VALUE"""),1964.0)</f>
        <v>1964</v>
      </c>
      <c r="E11029">
        <f>IFERROR(__xludf.DUMMYFUNCTION("""COMPUTED_VALUE"""),2.2867741E7)</f>
        <v>22867741</v>
      </c>
    </row>
    <row r="11030">
      <c r="A11030" t="str">
        <f t="shared" si="1"/>
        <v>mmr#1965</v>
      </c>
      <c r="B11030" t="str">
        <f>IFERROR(__xludf.DUMMYFUNCTION("""COMPUTED_VALUE"""),"mmr")</f>
        <v>mmr</v>
      </c>
      <c r="C11030" t="str">
        <f>IFERROR(__xludf.DUMMYFUNCTION("""COMPUTED_VALUE"""),"Myanmar")</f>
        <v>Myanmar</v>
      </c>
      <c r="D11030">
        <f>IFERROR(__xludf.DUMMYFUNCTION("""COMPUTED_VALUE"""),1965.0)</f>
        <v>1965</v>
      </c>
      <c r="E11030">
        <f>IFERROR(__xludf.DUMMYFUNCTION("""COMPUTED_VALUE"""),2.3391145E7)</f>
        <v>23391145</v>
      </c>
    </row>
    <row r="11031">
      <c r="A11031" t="str">
        <f t="shared" si="1"/>
        <v>mmr#1966</v>
      </c>
      <c r="B11031" t="str">
        <f>IFERROR(__xludf.DUMMYFUNCTION("""COMPUTED_VALUE"""),"mmr")</f>
        <v>mmr</v>
      </c>
      <c r="C11031" t="str">
        <f>IFERROR(__xludf.DUMMYFUNCTION("""COMPUTED_VALUE"""),"Myanmar")</f>
        <v>Myanmar</v>
      </c>
      <c r="D11031">
        <f>IFERROR(__xludf.DUMMYFUNCTION("""COMPUTED_VALUE"""),1966.0)</f>
        <v>1966</v>
      </c>
      <c r="E11031">
        <f>IFERROR(__xludf.DUMMYFUNCTION("""COMPUTED_VALUE"""),2.3944178E7)</f>
        <v>23944178</v>
      </c>
    </row>
    <row r="11032">
      <c r="A11032" t="str">
        <f t="shared" si="1"/>
        <v>mmr#1967</v>
      </c>
      <c r="B11032" t="str">
        <f>IFERROR(__xludf.DUMMYFUNCTION("""COMPUTED_VALUE"""),"mmr")</f>
        <v>mmr</v>
      </c>
      <c r="C11032" t="str">
        <f>IFERROR(__xludf.DUMMYFUNCTION("""COMPUTED_VALUE"""),"Myanmar")</f>
        <v>Myanmar</v>
      </c>
      <c r="D11032">
        <f>IFERROR(__xludf.DUMMYFUNCTION("""COMPUTED_VALUE"""),1967.0)</f>
        <v>1967</v>
      </c>
      <c r="E11032">
        <f>IFERROR(__xludf.DUMMYFUNCTION("""COMPUTED_VALUE"""),2.4524548E7)</f>
        <v>24524548</v>
      </c>
    </row>
    <row r="11033">
      <c r="A11033" t="str">
        <f t="shared" si="1"/>
        <v>mmr#1968</v>
      </c>
      <c r="B11033" t="str">
        <f>IFERROR(__xludf.DUMMYFUNCTION("""COMPUTED_VALUE"""),"mmr")</f>
        <v>mmr</v>
      </c>
      <c r="C11033" t="str">
        <f>IFERROR(__xludf.DUMMYFUNCTION("""COMPUTED_VALUE"""),"Myanmar")</f>
        <v>Myanmar</v>
      </c>
      <c r="D11033">
        <f>IFERROR(__xludf.DUMMYFUNCTION("""COMPUTED_VALUE"""),1968.0)</f>
        <v>1968</v>
      </c>
      <c r="E11033">
        <f>IFERROR(__xludf.DUMMYFUNCTION("""COMPUTED_VALUE"""),2.5128116E7)</f>
        <v>25128116</v>
      </c>
    </row>
    <row r="11034">
      <c r="A11034" t="str">
        <f t="shared" si="1"/>
        <v>mmr#1969</v>
      </c>
      <c r="B11034" t="str">
        <f>IFERROR(__xludf.DUMMYFUNCTION("""COMPUTED_VALUE"""),"mmr")</f>
        <v>mmr</v>
      </c>
      <c r="C11034" t="str">
        <f>IFERROR(__xludf.DUMMYFUNCTION("""COMPUTED_VALUE"""),"Myanmar")</f>
        <v>Myanmar</v>
      </c>
      <c r="D11034">
        <f>IFERROR(__xludf.DUMMYFUNCTION("""COMPUTED_VALUE"""),1969.0)</f>
        <v>1969</v>
      </c>
      <c r="E11034">
        <f>IFERROR(__xludf.DUMMYFUNCTION("""COMPUTED_VALUE"""),2.5748643E7)</f>
        <v>25748643</v>
      </c>
    </row>
    <row r="11035">
      <c r="A11035" t="str">
        <f t="shared" si="1"/>
        <v>mmr#1970</v>
      </c>
      <c r="B11035" t="str">
        <f>IFERROR(__xludf.DUMMYFUNCTION("""COMPUTED_VALUE"""),"mmr")</f>
        <v>mmr</v>
      </c>
      <c r="C11035" t="str">
        <f>IFERROR(__xludf.DUMMYFUNCTION("""COMPUTED_VALUE"""),"Myanmar")</f>
        <v>Myanmar</v>
      </c>
      <c r="D11035">
        <f>IFERROR(__xludf.DUMMYFUNCTION("""COMPUTED_VALUE"""),1970.0)</f>
        <v>1970</v>
      </c>
      <c r="E11035">
        <f>IFERROR(__xludf.DUMMYFUNCTION("""COMPUTED_VALUE"""),2.6381431E7)</f>
        <v>26381431</v>
      </c>
    </row>
    <row r="11036">
      <c r="A11036" t="str">
        <f t="shared" si="1"/>
        <v>mmr#1971</v>
      </c>
      <c r="B11036" t="str">
        <f>IFERROR(__xludf.DUMMYFUNCTION("""COMPUTED_VALUE"""),"mmr")</f>
        <v>mmr</v>
      </c>
      <c r="C11036" t="str">
        <f>IFERROR(__xludf.DUMMYFUNCTION("""COMPUTED_VALUE"""),"Myanmar")</f>
        <v>Myanmar</v>
      </c>
      <c r="D11036">
        <f>IFERROR(__xludf.DUMMYFUNCTION("""COMPUTED_VALUE"""),1971.0)</f>
        <v>1971</v>
      </c>
      <c r="E11036">
        <f>IFERROR(__xludf.DUMMYFUNCTION("""COMPUTED_VALUE"""),2.7024985E7)</f>
        <v>27024985</v>
      </c>
    </row>
    <row r="11037">
      <c r="A11037" t="str">
        <f t="shared" si="1"/>
        <v>mmr#1972</v>
      </c>
      <c r="B11037" t="str">
        <f>IFERROR(__xludf.DUMMYFUNCTION("""COMPUTED_VALUE"""),"mmr")</f>
        <v>mmr</v>
      </c>
      <c r="C11037" t="str">
        <f>IFERROR(__xludf.DUMMYFUNCTION("""COMPUTED_VALUE"""),"Myanmar")</f>
        <v>Myanmar</v>
      </c>
      <c r="D11037">
        <f>IFERROR(__xludf.DUMMYFUNCTION("""COMPUTED_VALUE"""),1972.0)</f>
        <v>1972</v>
      </c>
      <c r="E11037">
        <f>IFERROR(__xludf.DUMMYFUNCTION("""COMPUTED_VALUE"""),2.7680144E7)</f>
        <v>27680144</v>
      </c>
    </row>
    <row r="11038">
      <c r="A11038" t="str">
        <f t="shared" si="1"/>
        <v>mmr#1973</v>
      </c>
      <c r="B11038" t="str">
        <f>IFERROR(__xludf.DUMMYFUNCTION("""COMPUTED_VALUE"""),"mmr")</f>
        <v>mmr</v>
      </c>
      <c r="C11038" t="str">
        <f>IFERROR(__xludf.DUMMYFUNCTION("""COMPUTED_VALUE"""),"Myanmar")</f>
        <v>Myanmar</v>
      </c>
      <c r="D11038">
        <f>IFERROR(__xludf.DUMMYFUNCTION("""COMPUTED_VALUE"""),1973.0)</f>
        <v>1973</v>
      </c>
      <c r="E11038">
        <f>IFERROR(__xludf.DUMMYFUNCTION("""COMPUTED_VALUE"""),2.8347341E7)</f>
        <v>28347341</v>
      </c>
    </row>
    <row r="11039">
      <c r="A11039" t="str">
        <f t="shared" si="1"/>
        <v>mmr#1974</v>
      </c>
      <c r="B11039" t="str">
        <f>IFERROR(__xludf.DUMMYFUNCTION("""COMPUTED_VALUE"""),"mmr")</f>
        <v>mmr</v>
      </c>
      <c r="C11039" t="str">
        <f>IFERROR(__xludf.DUMMYFUNCTION("""COMPUTED_VALUE"""),"Myanmar")</f>
        <v>Myanmar</v>
      </c>
      <c r="D11039">
        <f>IFERROR(__xludf.DUMMYFUNCTION("""COMPUTED_VALUE"""),1974.0)</f>
        <v>1974</v>
      </c>
      <c r="E11039">
        <f>IFERROR(__xludf.DUMMYFUNCTION("""COMPUTED_VALUE"""),2.9027734E7)</f>
        <v>29027734</v>
      </c>
    </row>
    <row r="11040">
      <c r="A11040" t="str">
        <f t="shared" si="1"/>
        <v>mmr#1975</v>
      </c>
      <c r="B11040" t="str">
        <f>IFERROR(__xludf.DUMMYFUNCTION("""COMPUTED_VALUE"""),"mmr")</f>
        <v>mmr</v>
      </c>
      <c r="C11040" t="str">
        <f>IFERROR(__xludf.DUMMYFUNCTION("""COMPUTED_VALUE"""),"Myanmar")</f>
        <v>Myanmar</v>
      </c>
      <c r="D11040">
        <f>IFERROR(__xludf.DUMMYFUNCTION("""COMPUTED_VALUE"""),1975.0)</f>
        <v>1975</v>
      </c>
      <c r="E11040">
        <f>IFERROR(__xludf.DUMMYFUNCTION("""COMPUTED_VALUE"""),2.9721967E7)</f>
        <v>29721967</v>
      </c>
    </row>
    <row r="11041">
      <c r="A11041" t="str">
        <f t="shared" si="1"/>
        <v>mmr#1976</v>
      </c>
      <c r="B11041" t="str">
        <f>IFERROR(__xludf.DUMMYFUNCTION("""COMPUTED_VALUE"""),"mmr")</f>
        <v>mmr</v>
      </c>
      <c r="C11041" t="str">
        <f>IFERROR(__xludf.DUMMYFUNCTION("""COMPUTED_VALUE"""),"Myanmar")</f>
        <v>Myanmar</v>
      </c>
      <c r="D11041">
        <f>IFERROR(__xludf.DUMMYFUNCTION("""COMPUTED_VALUE"""),1976.0)</f>
        <v>1976</v>
      </c>
      <c r="E11041">
        <f>IFERROR(__xludf.DUMMYFUNCTION("""COMPUTED_VALUE"""),3.0428034E7)</f>
        <v>30428034</v>
      </c>
    </row>
    <row r="11042">
      <c r="A11042" t="str">
        <f t="shared" si="1"/>
        <v>mmr#1977</v>
      </c>
      <c r="B11042" t="str">
        <f>IFERROR(__xludf.DUMMYFUNCTION("""COMPUTED_VALUE"""),"mmr")</f>
        <v>mmr</v>
      </c>
      <c r="C11042" t="str">
        <f>IFERROR(__xludf.DUMMYFUNCTION("""COMPUTED_VALUE"""),"Myanmar")</f>
        <v>Myanmar</v>
      </c>
      <c r="D11042">
        <f>IFERROR(__xludf.DUMMYFUNCTION("""COMPUTED_VALUE"""),1977.0)</f>
        <v>1977</v>
      </c>
      <c r="E11042">
        <f>IFERROR(__xludf.DUMMYFUNCTION("""COMPUTED_VALUE"""),3.1144324E7)</f>
        <v>31144324</v>
      </c>
    </row>
    <row r="11043">
      <c r="A11043" t="str">
        <f t="shared" si="1"/>
        <v>mmr#1978</v>
      </c>
      <c r="B11043" t="str">
        <f>IFERROR(__xludf.DUMMYFUNCTION("""COMPUTED_VALUE"""),"mmr")</f>
        <v>mmr</v>
      </c>
      <c r="C11043" t="str">
        <f>IFERROR(__xludf.DUMMYFUNCTION("""COMPUTED_VALUE"""),"Myanmar")</f>
        <v>Myanmar</v>
      </c>
      <c r="D11043">
        <f>IFERROR(__xludf.DUMMYFUNCTION("""COMPUTED_VALUE"""),1978.0)</f>
        <v>1978</v>
      </c>
      <c r="E11043">
        <f>IFERROR(__xludf.DUMMYFUNCTION("""COMPUTED_VALUE"""),3.187223E7)</f>
        <v>31872230</v>
      </c>
    </row>
    <row r="11044">
      <c r="A11044" t="str">
        <f t="shared" si="1"/>
        <v>mmr#1979</v>
      </c>
      <c r="B11044" t="str">
        <f>IFERROR(__xludf.DUMMYFUNCTION("""COMPUTED_VALUE"""),"mmr")</f>
        <v>mmr</v>
      </c>
      <c r="C11044" t="str">
        <f>IFERROR(__xludf.DUMMYFUNCTION("""COMPUTED_VALUE"""),"Myanmar")</f>
        <v>Myanmar</v>
      </c>
      <c r="D11044">
        <f>IFERROR(__xludf.DUMMYFUNCTION("""COMPUTED_VALUE"""),1979.0)</f>
        <v>1979</v>
      </c>
      <c r="E11044">
        <f>IFERROR(__xludf.DUMMYFUNCTION("""COMPUTED_VALUE"""),3.2613888E7)</f>
        <v>32613888</v>
      </c>
    </row>
    <row r="11045">
      <c r="A11045" t="str">
        <f t="shared" si="1"/>
        <v>mmr#1980</v>
      </c>
      <c r="B11045" t="str">
        <f>IFERROR(__xludf.DUMMYFUNCTION("""COMPUTED_VALUE"""),"mmr")</f>
        <v>mmr</v>
      </c>
      <c r="C11045" t="str">
        <f>IFERROR(__xludf.DUMMYFUNCTION("""COMPUTED_VALUE"""),"Myanmar")</f>
        <v>Myanmar</v>
      </c>
      <c r="D11045">
        <f>IFERROR(__xludf.DUMMYFUNCTION("""COMPUTED_VALUE"""),1980.0)</f>
        <v>1980</v>
      </c>
      <c r="E11045">
        <f>IFERROR(__xludf.DUMMYFUNCTION("""COMPUTED_VALUE"""),3.3369712E7)</f>
        <v>33369712</v>
      </c>
    </row>
    <row r="11046">
      <c r="A11046" t="str">
        <f t="shared" si="1"/>
        <v>mmr#1981</v>
      </c>
      <c r="B11046" t="str">
        <f>IFERROR(__xludf.DUMMYFUNCTION("""COMPUTED_VALUE"""),"mmr")</f>
        <v>mmr</v>
      </c>
      <c r="C11046" t="str">
        <f>IFERROR(__xludf.DUMMYFUNCTION("""COMPUTED_VALUE"""),"Myanmar")</f>
        <v>Myanmar</v>
      </c>
      <c r="D11046">
        <f>IFERROR(__xludf.DUMMYFUNCTION("""COMPUTED_VALUE"""),1981.0)</f>
        <v>1981</v>
      </c>
      <c r="E11046">
        <f>IFERROR(__xludf.DUMMYFUNCTION("""COMPUTED_VALUE"""),3.413913E7)</f>
        <v>34139130</v>
      </c>
    </row>
    <row r="11047">
      <c r="A11047" t="str">
        <f t="shared" si="1"/>
        <v>mmr#1982</v>
      </c>
      <c r="B11047" t="str">
        <f>IFERROR(__xludf.DUMMYFUNCTION("""COMPUTED_VALUE"""),"mmr")</f>
        <v>mmr</v>
      </c>
      <c r="C11047" t="str">
        <f>IFERROR(__xludf.DUMMYFUNCTION("""COMPUTED_VALUE"""),"Myanmar")</f>
        <v>Myanmar</v>
      </c>
      <c r="D11047">
        <f>IFERROR(__xludf.DUMMYFUNCTION("""COMPUTED_VALUE"""),1982.0)</f>
        <v>1982</v>
      </c>
      <c r="E11047">
        <f>IFERROR(__xludf.DUMMYFUNCTION("""COMPUTED_VALUE"""),3.4917895E7)</f>
        <v>34917895</v>
      </c>
    </row>
    <row r="11048">
      <c r="A11048" t="str">
        <f t="shared" si="1"/>
        <v>mmr#1983</v>
      </c>
      <c r="B11048" t="str">
        <f>IFERROR(__xludf.DUMMYFUNCTION("""COMPUTED_VALUE"""),"mmr")</f>
        <v>mmr</v>
      </c>
      <c r="C11048" t="str">
        <f>IFERROR(__xludf.DUMMYFUNCTION("""COMPUTED_VALUE"""),"Myanmar")</f>
        <v>Myanmar</v>
      </c>
      <c r="D11048">
        <f>IFERROR(__xludf.DUMMYFUNCTION("""COMPUTED_VALUE"""),1983.0)</f>
        <v>1983</v>
      </c>
      <c r="E11048">
        <f>IFERROR(__xludf.DUMMYFUNCTION("""COMPUTED_VALUE"""),3.5697943E7)</f>
        <v>35697943</v>
      </c>
    </row>
    <row r="11049">
      <c r="A11049" t="str">
        <f t="shared" si="1"/>
        <v>mmr#1984</v>
      </c>
      <c r="B11049" t="str">
        <f>IFERROR(__xludf.DUMMYFUNCTION("""COMPUTED_VALUE"""),"mmr")</f>
        <v>mmr</v>
      </c>
      <c r="C11049" t="str">
        <f>IFERROR(__xludf.DUMMYFUNCTION("""COMPUTED_VALUE"""),"Myanmar")</f>
        <v>Myanmar</v>
      </c>
      <c r="D11049">
        <f>IFERROR(__xludf.DUMMYFUNCTION("""COMPUTED_VALUE"""),1984.0)</f>
        <v>1984</v>
      </c>
      <c r="E11049">
        <f>IFERROR(__xludf.DUMMYFUNCTION("""COMPUTED_VALUE"""),3.6468888E7)</f>
        <v>36468888</v>
      </c>
    </row>
    <row r="11050">
      <c r="A11050" t="str">
        <f t="shared" si="1"/>
        <v>mmr#1985</v>
      </c>
      <c r="B11050" t="str">
        <f>IFERROR(__xludf.DUMMYFUNCTION("""COMPUTED_VALUE"""),"mmr")</f>
        <v>mmr</v>
      </c>
      <c r="C11050" t="str">
        <f>IFERROR(__xludf.DUMMYFUNCTION("""COMPUTED_VALUE"""),"Myanmar")</f>
        <v>Myanmar</v>
      </c>
      <c r="D11050">
        <f>IFERROR(__xludf.DUMMYFUNCTION("""COMPUTED_VALUE"""),1985.0)</f>
        <v>1985</v>
      </c>
      <c r="E11050">
        <f>IFERROR(__xludf.DUMMYFUNCTION("""COMPUTED_VALUE"""),3.7222296E7)</f>
        <v>37222296</v>
      </c>
    </row>
    <row r="11051">
      <c r="A11051" t="str">
        <f t="shared" si="1"/>
        <v>mmr#1986</v>
      </c>
      <c r="B11051" t="str">
        <f>IFERROR(__xludf.DUMMYFUNCTION("""COMPUTED_VALUE"""),"mmr")</f>
        <v>mmr</v>
      </c>
      <c r="C11051" t="str">
        <f>IFERROR(__xludf.DUMMYFUNCTION("""COMPUTED_VALUE"""),"Myanmar")</f>
        <v>Myanmar</v>
      </c>
      <c r="D11051">
        <f>IFERROR(__xludf.DUMMYFUNCTION("""COMPUTED_VALUE"""),1986.0)</f>
        <v>1986</v>
      </c>
      <c r="E11051">
        <f>IFERROR(__xludf.DUMMYFUNCTION("""COMPUTED_VALUE"""),3.7957332E7)</f>
        <v>37957332</v>
      </c>
    </row>
    <row r="11052">
      <c r="A11052" t="str">
        <f t="shared" si="1"/>
        <v>mmr#1987</v>
      </c>
      <c r="B11052" t="str">
        <f>IFERROR(__xludf.DUMMYFUNCTION("""COMPUTED_VALUE"""),"mmr")</f>
        <v>mmr</v>
      </c>
      <c r="C11052" t="str">
        <f>IFERROR(__xludf.DUMMYFUNCTION("""COMPUTED_VALUE"""),"Myanmar")</f>
        <v>Myanmar</v>
      </c>
      <c r="D11052">
        <f>IFERROR(__xludf.DUMMYFUNCTION("""COMPUTED_VALUE"""),1987.0)</f>
        <v>1987</v>
      </c>
      <c r="E11052">
        <f>IFERROR(__xludf.DUMMYFUNCTION("""COMPUTED_VALUE"""),3.8673241E7)</f>
        <v>38673241</v>
      </c>
    </row>
    <row r="11053">
      <c r="A11053" t="str">
        <f t="shared" si="1"/>
        <v>mmr#1988</v>
      </c>
      <c r="B11053" t="str">
        <f>IFERROR(__xludf.DUMMYFUNCTION("""COMPUTED_VALUE"""),"mmr")</f>
        <v>mmr</v>
      </c>
      <c r="C11053" t="str">
        <f>IFERROR(__xludf.DUMMYFUNCTION("""COMPUTED_VALUE"""),"Myanmar")</f>
        <v>Myanmar</v>
      </c>
      <c r="D11053">
        <f>IFERROR(__xludf.DUMMYFUNCTION("""COMPUTED_VALUE"""),1988.0)</f>
        <v>1988</v>
      </c>
      <c r="E11053">
        <f>IFERROR(__xludf.DUMMYFUNCTION("""COMPUTED_VALUE"""),3.9362142E7)</f>
        <v>39362142</v>
      </c>
    </row>
    <row r="11054">
      <c r="A11054" t="str">
        <f t="shared" si="1"/>
        <v>mmr#1989</v>
      </c>
      <c r="B11054" t="str">
        <f>IFERROR(__xludf.DUMMYFUNCTION("""COMPUTED_VALUE"""),"mmr")</f>
        <v>mmr</v>
      </c>
      <c r="C11054" t="str">
        <f>IFERROR(__xludf.DUMMYFUNCTION("""COMPUTED_VALUE"""),"Myanmar")</f>
        <v>Myanmar</v>
      </c>
      <c r="D11054">
        <f>IFERROR(__xludf.DUMMYFUNCTION("""COMPUTED_VALUE"""),1989.0)</f>
        <v>1989</v>
      </c>
      <c r="E11054">
        <f>IFERROR(__xludf.DUMMYFUNCTION("""COMPUTED_VALUE"""),4.0014862E7)</f>
        <v>40014862</v>
      </c>
    </row>
    <row r="11055">
      <c r="A11055" t="str">
        <f t="shared" si="1"/>
        <v>mmr#1990</v>
      </c>
      <c r="B11055" t="str">
        <f>IFERROR(__xludf.DUMMYFUNCTION("""COMPUTED_VALUE"""),"mmr")</f>
        <v>mmr</v>
      </c>
      <c r="C11055" t="str">
        <f>IFERROR(__xludf.DUMMYFUNCTION("""COMPUTED_VALUE"""),"Myanmar")</f>
        <v>Myanmar</v>
      </c>
      <c r="D11055">
        <f>IFERROR(__xludf.DUMMYFUNCTION("""COMPUTED_VALUE"""),1990.0)</f>
        <v>1990</v>
      </c>
      <c r="E11055">
        <f>IFERROR(__xludf.DUMMYFUNCTION("""COMPUTED_VALUE"""),4.062625E7)</f>
        <v>40626250</v>
      </c>
    </row>
    <row r="11056">
      <c r="A11056" t="str">
        <f t="shared" si="1"/>
        <v>mmr#1991</v>
      </c>
      <c r="B11056" t="str">
        <f>IFERROR(__xludf.DUMMYFUNCTION("""COMPUTED_VALUE"""),"mmr")</f>
        <v>mmr</v>
      </c>
      <c r="C11056" t="str">
        <f>IFERROR(__xludf.DUMMYFUNCTION("""COMPUTED_VALUE"""),"Myanmar")</f>
        <v>Myanmar</v>
      </c>
      <c r="D11056">
        <f>IFERROR(__xludf.DUMMYFUNCTION("""COMPUTED_VALUE"""),1991.0)</f>
        <v>1991</v>
      </c>
      <c r="E11056">
        <f>IFERROR(__xludf.DUMMYFUNCTION("""COMPUTED_VALUE"""),4.1190156E7)</f>
        <v>41190156</v>
      </c>
    </row>
    <row r="11057">
      <c r="A11057" t="str">
        <f t="shared" si="1"/>
        <v>mmr#1992</v>
      </c>
      <c r="B11057" t="str">
        <f>IFERROR(__xludf.DUMMYFUNCTION("""COMPUTED_VALUE"""),"mmr")</f>
        <v>mmr</v>
      </c>
      <c r="C11057" t="str">
        <f>IFERROR(__xludf.DUMMYFUNCTION("""COMPUTED_VALUE"""),"Myanmar")</f>
        <v>Myanmar</v>
      </c>
      <c r="D11057">
        <f>IFERROR(__xludf.DUMMYFUNCTION("""COMPUTED_VALUE"""),1992.0)</f>
        <v>1992</v>
      </c>
      <c r="E11057">
        <f>IFERROR(__xludf.DUMMYFUNCTION("""COMPUTED_VALUE"""),4.1711465E7)</f>
        <v>41711465</v>
      </c>
    </row>
    <row r="11058">
      <c r="A11058" t="str">
        <f t="shared" si="1"/>
        <v>mmr#1993</v>
      </c>
      <c r="B11058" t="str">
        <f>IFERROR(__xludf.DUMMYFUNCTION("""COMPUTED_VALUE"""),"mmr")</f>
        <v>mmr</v>
      </c>
      <c r="C11058" t="str">
        <f>IFERROR(__xludf.DUMMYFUNCTION("""COMPUTED_VALUE"""),"Myanmar")</f>
        <v>Myanmar</v>
      </c>
      <c r="D11058">
        <f>IFERROR(__xludf.DUMMYFUNCTION("""COMPUTED_VALUE"""),1993.0)</f>
        <v>1993</v>
      </c>
      <c r="E11058">
        <f>IFERROR(__xludf.DUMMYFUNCTION("""COMPUTED_VALUE"""),4.2209778E7)</f>
        <v>42209778</v>
      </c>
    </row>
    <row r="11059">
      <c r="A11059" t="str">
        <f t="shared" si="1"/>
        <v>mmr#1994</v>
      </c>
      <c r="B11059" t="str">
        <f>IFERROR(__xludf.DUMMYFUNCTION("""COMPUTED_VALUE"""),"mmr")</f>
        <v>mmr</v>
      </c>
      <c r="C11059" t="str">
        <f>IFERROR(__xludf.DUMMYFUNCTION("""COMPUTED_VALUE"""),"Myanmar")</f>
        <v>Myanmar</v>
      </c>
      <c r="D11059">
        <f>IFERROR(__xludf.DUMMYFUNCTION("""COMPUTED_VALUE"""),1994.0)</f>
        <v>1994</v>
      </c>
      <c r="E11059">
        <f>IFERROR(__xludf.DUMMYFUNCTION("""COMPUTED_VALUE"""),4.2712223E7)</f>
        <v>42712223</v>
      </c>
    </row>
    <row r="11060">
      <c r="A11060" t="str">
        <f t="shared" si="1"/>
        <v>mmr#1995</v>
      </c>
      <c r="B11060" t="str">
        <f>IFERROR(__xludf.DUMMYFUNCTION("""COMPUTED_VALUE"""),"mmr")</f>
        <v>mmr</v>
      </c>
      <c r="C11060" t="str">
        <f>IFERROR(__xludf.DUMMYFUNCTION("""COMPUTED_VALUE"""),"Myanmar")</f>
        <v>Myanmar</v>
      </c>
      <c r="D11060">
        <f>IFERROR(__xludf.DUMMYFUNCTION("""COMPUTED_VALUE"""),1995.0)</f>
        <v>1995</v>
      </c>
      <c r="E11060">
        <f>IFERROR(__xludf.DUMMYFUNCTION("""COMPUTED_VALUE"""),4.3237792E7)</f>
        <v>43237792</v>
      </c>
    </row>
    <row r="11061">
      <c r="A11061" t="str">
        <f t="shared" si="1"/>
        <v>mmr#1996</v>
      </c>
      <c r="B11061" t="str">
        <f>IFERROR(__xludf.DUMMYFUNCTION("""COMPUTED_VALUE"""),"mmr")</f>
        <v>mmr</v>
      </c>
      <c r="C11061" t="str">
        <f>IFERROR(__xludf.DUMMYFUNCTION("""COMPUTED_VALUE"""),"Myanmar")</f>
        <v>Myanmar</v>
      </c>
      <c r="D11061">
        <f>IFERROR(__xludf.DUMMYFUNCTION("""COMPUTED_VALUE"""),1996.0)</f>
        <v>1996</v>
      </c>
      <c r="E11061">
        <f>IFERROR(__xludf.DUMMYFUNCTION("""COMPUTED_VALUE"""),4.379331E7)</f>
        <v>43793310</v>
      </c>
    </row>
    <row r="11062">
      <c r="A11062" t="str">
        <f t="shared" si="1"/>
        <v>mmr#1997</v>
      </c>
      <c r="B11062" t="str">
        <f>IFERROR(__xludf.DUMMYFUNCTION("""COMPUTED_VALUE"""),"mmr")</f>
        <v>mmr</v>
      </c>
      <c r="C11062" t="str">
        <f>IFERROR(__xludf.DUMMYFUNCTION("""COMPUTED_VALUE"""),"Myanmar")</f>
        <v>Myanmar</v>
      </c>
      <c r="D11062">
        <f>IFERROR(__xludf.DUMMYFUNCTION("""COMPUTED_VALUE"""),1997.0)</f>
        <v>1997</v>
      </c>
      <c r="E11062">
        <f>IFERROR(__xludf.DUMMYFUNCTION("""COMPUTED_VALUE"""),4.4371525E7)</f>
        <v>44371525</v>
      </c>
    </row>
    <row r="11063">
      <c r="A11063" t="str">
        <f t="shared" si="1"/>
        <v>mmr#1998</v>
      </c>
      <c r="B11063" t="str">
        <f>IFERROR(__xludf.DUMMYFUNCTION("""COMPUTED_VALUE"""),"mmr")</f>
        <v>mmr</v>
      </c>
      <c r="C11063" t="str">
        <f>IFERROR(__xludf.DUMMYFUNCTION("""COMPUTED_VALUE"""),"Myanmar")</f>
        <v>Myanmar</v>
      </c>
      <c r="D11063">
        <f>IFERROR(__xludf.DUMMYFUNCTION("""COMPUTED_VALUE"""),1998.0)</f>
        <v>1998</v>
      </c>
      <c r="E11063">
        <f>IFERROR(__xludf.DUMMYFUNCTION("""COMPUTED_VALUE"""),4.4959935E7)</f>
        <v>44959935</v>
      </c>
    </row>
    <row r="11064">
      <c r="A11064" t="str">
        <f t="shared" si="1"/>
        <v>mmr#1999</v>
      </c>
      <c r="B11064" t="str">
        <f>IFERROR(__xludf.DUMMYFUNCTION("""COMPUTED_VALUE"""),"mmr")</f>
        <v>mmr</v>
      </c>
      <c r="C11064" t="str">
        <f>IFERROR(__xludf.DUMMYFUNCTION("""COMPUTED_VALUE"""),"Myanmar")</f>
        <v>Myanmar</v>
      </c>
      <c r="D11064">
        <f>IFERROR(__xludf.DUMMYFUNCTION("""COMPUTED_VALUE"""),1999.0)</f>
        <v>1999</v>
      </c>
      <c r="E11064">
        <f>IFERROR(__xludf.DUMMYFUNCTION("""COMPUTED_VALUE"""),4.5539435E7)</f>
        <v>45539435</v>
      </c>
    </row>
    <row r="11065">
      <c r="A11065" t="str">
        <f t="shared" si="1"/>
        <v>mmr#2000</v>
      </c>
      <c r="B11065" t="str">
        <f>IFERROR(__xludf.DUMMYFUNCTION("""COMPUTED_VALUE"""),"mmr")</f>
        <v>mmr</v>
      </c>
      <c r="C11065" t="str">
        <f>IFERROR(__xludf.DUMMYFUNCTION("""COMPUTED_VALUE"""),"Myanmar")</f>
        <v>Myanmar</v>
      </c>
      <c r="D11065">
        <f>IFERROR(__xludf.DUMMYFUNCTION("""COMPUTED_VALUE"""),2000.0)</f>
        <v>2000</v>
      </c>
      <c r="E11065">
        <f>IFERROR(__xludf.DUMMYFUNCTION("""COMPUTED_VALUE"""),4.6095462E7)</f>
        <v>46095462</v>
      </c>
    </row>
    <row r="11066">
      <c r="A11066" t="str">
        <f t="shared" si="1"/>
        <v>mmr#2001</v>
      </c>
      <c r="B11066" t="str">
        <f>IFERROR(__xludf.DUMMYFUNCTION("""COMPUTED_VALUE"""),"mmr")</f>
        <v>mmr</v>
      </c>
      <c r="C11066" t="str">
        <f>IFERROR(__xludf.DUMMYFUNCTION("""COMPUTED_VALUE"""),"Myanmar")</f>
        <v>Myanmar</v>
      </c>
      <c r="D11066">
        <f>IFERROR(__xludf.DUMMYFUNCTION("""COMPUTED_VALUE"""),2001.0)</f>
        <v>2001</v>
      </c>
      <c r="E11066">
        <f>IFERROR(__xludf.DUMMYFUNCTION("""COMPUTED_VALUE"""),4.6627994E7)</f>
        <v>46627994</v>
      </c>
    </row>
    <row r="11067">
      <c r="A11067" t="str">
        <f t="shared" si="1"/>
        <v>mmr#2002</v>
      </c>
      <c r="B11067" t="str">
        <f>IFERROR(__xludf.DUMMYFUNCTION("""COMPUTED_VALUE"""),"mmr")</f>
        <v>mmr</v>
      </c>
      <c r="C11067" t="str">
        <f>IFERROR(__xludf.DUMMYFUNCTION("""COMPUTED_VALUE"""),"Myanmar")</f>
        <v>Myanmar</v>
      </c>
      <c r="D11067">
        <f>IFERROR(__xludf.DUMMYFUNCTION("""COMPUTED_VALUE"""),2002.0)</f>
        <v>2002</v>
      </c>
      <c r="E11067">
        <f>IFERROR(__xludf.DUMMYFUNCTION("""COMPUTED_VALUE"""),4.714022E7)</f>
        <v>47140220</v>
      </c>
    </row>
    <row r="11068">
      <c r="A11068" t="str">
        <f t="shared" si="1"/>
        <v>mmr#2003</v>
      </c>
      <c r="B11068" t="str">
        <f>IFERROR(__xludf.DUMMYFUNCTION("""COMPUTED_VALUE"""),"mmr")</f>
        <v>mmr</v>
      </c>
      <c r="C11068" t="str">
        <f>IFERROR(__xludf.DUMMYFUNCTION("""COMPUTED_VALUE"""),"Myanmar")</f>
        <v>Myanmar</v>
      </c>
      <c r="D11068">
        <f>IFERROR(__xludf.DUMMYFUNCTION("""COMPUTED_VALUE"""),2003.0)</f>
        <v>2003</v>
      </c>
      <c r="E11068">
        <f>IFERROR(__xludf.DUMMYFUNCTION("""COMPUTED_VALUE"""),4.7624894E7)</f>
        <v>47624894</v>
      </c>
    </row>
    <row r="11069">
      <c r="A11069" t="str">
        <f t="shared" si="1"/>
        <v>mmr#2004</v>
      </c>
      <c r="B11069" t="str">
        <f>IFERROR(__xludf.DUMMYFUNCTION("""COMPUTED_VALUE"""),"mmr")</f>
        <v>mmr</v>
      </c>
      <c r="C11069" t="str">
        <f>IFERROR(__xludf.DUMMYFUNCTION("""COMPUTED_VALUE"""),"Myanmar")</f>
        <v>Myanmar</v>
      </c>
      <c r="D11069">
        <f>IFERROR(__xludf.DUMMYFUNCTION("""COMPUTED_VALUE"""),2004.0)</f>
        <v>2004</v>
      </c>
      <c r="E11069">
        <f>IFERROR(__xludf.DUMMYFUNCTION("""COMPUTED_VALUE"""),4.8073707E7)</f>
        <v>48073707</v>
      </c>
    </row>
    <row r="11070">
      <c r="A11070" t="str">
        <f t="shared" si="1"/>
        <v>mmr#2005</v>
      </c>
      <c r="B11070" t="str">
        <f>IFERROR(__xludf.DUMMYFUNCTION("""COMPUTED_VALUE"""),"mmr")</f>
        <v>mmr</v>
      </c>
      <c r="C11070" t="str">
        <f>IFERROR(__xludf.DUMMYFUNCTION("""COMPUTED_VALUE"""),"Myanmar")</f>
        <v>Myanmar</v>
      </c>
      <c r="D11070">
        <f>IFERROR(__xludf.DUMMYFUNCTION("""COMPUTED_VALUE"""),2005.0)</f>
        <v>2005</v>
      </c>
      <c r="E11070">
        <f>IFERROR(__xludf.DUMMYFUNCTION("""COMPUTED_VALUE"""),4.8482614E7)</f>
        <v>48482614</v>
      </c>
    </row>
    <row r="11071">
      <c r="A11071" t="str">
        <f t="shared" si="1"/>
        <v>mmr#2006</v>
      </c>
      <c r="B11071" t="str">
        <f>IFERROR(__xludf.DUMMYFUNCTION("""COMPUTED_VALUE"""),"mmr")</f>
        <v>mmr</v>
      </c>
      <c r="C11071" t="str">
        <f>IFERROR(__xludf.DUMMYFUNCTION("""COMPUTED_VALUE"""),"Myanmar")</f>
        <v>Myanmar</v>
      </c>
      <c r="D11071">
        <f>IFERROR(__xludf.DUMMYFUNCTION("""COMPUTED_VALUE"""),2006.0)</f>
        <v>2006</v>
      </c>
      <c r="E11071">
        <f>IFERROR(__xludf.DUMMYFUNCTION("""COMPUTED_VALUE"""),4.8846474E7)</f>
        <v>48846474</v>
      </c>
    </row>
    <row r="11072">
      <c r="A11072" t="str">
        <f t="shared" si="1"/>
        <v>mmr#2007</v>
      </c>
      <c r="B11072" t="str">
        <f>IFERROR(__xludf.DUMMYFUNCTION("""COMPUTED_VALUE"""),"mmr")</f>
        <v>mmr</v>
      </c>
      <c r="C11072" t="str">
        <f>IFERROR(__xludf.DUMMYFUNCTION("""COMPUTED_VALUE"""),"Myanmar")</f>
        <v>Myanmar</v>
      </c>
      <c r="D11072">
        <f>IFERROR(__xludf.DUMMYFUNCTION("""COMPUTED_VALUE"""),2007.0)</f>
        <v>2007</v>
      </c>
      <c r="E11072">
        <f>IFERROR(__xludf.DUMMYFUNCTION("""COMPUTED_VALUE"""),4.9171586E7)</f>
        <v>49171586</v>
      </c>
    </row>
    <row r="11073">
      <c r="A11073" t="str">
        <f t="shared" si="1"/>
        <v>mmr#2008</v>
      </c>
      <c r="B11073" t="str">
        <f>IFERROR(__xludf.DUMMYFUNCTION("""COMPUTED_VALUE"""),"mmr")</f>
        <v>mmr</v>
      </c>
      <c r="C11073" t="str">
        <f>IFERROR(__xludf.DUMMYFUNCTION("""COMPUTED_VALUE"""),"Myanmar")</f>
        <v>Myanmar</v>
      </c>
      <c r="D11073">
        <f>IFERROR(__xludf.DUMMYFUNCTION("""COMPUTED_VALUE"""),2008.0)</f>
        <v>2008</v>
      </c>
      <c r="E11073">
        <f>IFERROR(__xludf.DUMMYFUNCTION("""COMPUTED_VALUE"""),4.9479752E7)</f>
        <v>49479752</v>
      </c>
    </row>
    <row r="11074">
      <c r="A11074" t="str">
        <f t="shared" si="1"/>
        <v>mmr#2009</v>
      </c>
      <c r="B11074" t="str">
        <f>IFERROR(__xludf.DUMMYFUNCTION("""COMPUTED_VALUE"""),"mmr")</f>
        <v>mmr</v>
      </c>
      <c r="C11074" t="str">
        <f>IFERROR(__xludf.DUMMYFUNCTION("""COMPUTED_VALUE"""),"Myanmar")</f>
        <v>Myanmar</v>
      </c>
      <c r="D11074">
        <f>IFERROR(__xludf.DUMMYFUNCTION("""COMPUTED_VALUE"""),2009.0)</f>
        <v>2009</v>
      </c>
      <c r="E11074">
        <f>IFERROR(__xludf.DUMMYFUNCTION("""COMPUTED_VALUE"""),4.980069E7)</f>
        <v>49800690</v>
      </c>
    </row>
    <row r="11075">
      <c r="A11075" t="str">
        <f t="shared" si="1"/>
        <v>mmr#2010</v>
      </c>
      <c r="B11075" t="str">
        <f>IFERROR(__xludf.DUMMYFUNCTION("""COMPUTED_VALUE"""),"mmr")</f>
        <v>mmr</v>
      </c>
      <c r="C11075" t="str">
        <f>IFERROR(__xludf.DUMMYFUNCTION("""COMPUTED_VALUE"""),"Myanmar")</f>
        <v>Myanmar</v>
      </c>
      <c r="D11075">
        <f>IFERROR(__xludf.DUMMYFUNCTION("""COMPUTED_VALUE"""),2010.0)</f>
        <v>2010</v>
      </c>
      <c r="E11075">
        <f>IFERROR(__xludf.DUMMYFUNCTION("""COMPUTED_VALUE"""),5.0155896E7)</f>
        <v>50155896</v>
      </c>
    </row>
    <row r="11076">
      <c r="A11076" t="str">
        <f t="shared" si="1"/>
        <v>mmr#2011</v>
      </c>
      <c r="B11076" t="str">
        <f>IFERROR(__xludf.DUMMYFUNCTION("""COMPUTED_VALUE"""),"mmr")</f>
        <v>mmr</v>
      </c>
      <c r="C11076" t="str">
        <f>IFERROR(__xludf.DUMMYFUNCTION("""COMPUTED_VALUE"""),"Myanmar")</f>
        <v>Myanmar</v>
      </c>
      <c r="D11076">
        <f>IFERROR(__xludf.DUMMYFUNCTION("""COMPUTED_VALUE"""),2011.0)</f>
        <v>2011</v>
      </c>
      <c r="E11076">
        <f>IFERROR(__xludf.DUMMYFUNCTION("""COMPUTED_VALUE"""),5.0553031E7)</f>
        <v>50553031</v>
      </c>
    </row>
    <row r="11077">
      <c r="A11077" t="str">
        <f t="shared" si="1"/>
        <v>mmr#2012</v>
      </c>
      <c r="B11077" t="str">
        <f>IFERROR(__xludf.DUMMYFUNCTION("""COMPUTED_VALUE"""),"mmr")</f>
        <v>mmr</v>
      </c>
      <c r="C11077" t="str">
        <f>IFERROR(__xludf.DUMMYFUNCTION("""COMPUTED_VALUE"""),"Myanmar")</f>
        <v>Myanmar</v>
      </c>
      <c r="D11077">
        <f>IFERROR(__xludf.DUMMYFUNCTION("""COMPUTED_VALUE"""),2012.0)</f>
        <v>2012</v>
      </c>
      <c r="E11077">
        <f>IFERROR(__xludf.DUMMYFUNCTION("""COMPUTED_VALUE"""),5.0986514E7)</f>
        <v>50986514</v>
      </c>
    </row>
    <row r="11078">
      <c r="A11078" t="str">
        <f t="shared" si="1"/>
        <v>mmr#2013</v>
      </c>
      <c r="B11078" t="str">
        <f>IFERROR(__xludf.DUMMYFUNCTION("""COMPUTED_VALUE"""),"mmr")</f>
        <v>mmr</v>
      </c>
      <c r="C11078" t="str">
        <f>IFERROR(__xludf.DUMMYFUNCTION("""COMPUTED_VALUE"""),"Myanmar")</f>
        <v>Myanmar</v>
      </c>
      <c r="D11078">
        <f>IFERROR(__xludf.DUMMYFUNCTION("""COMPUTED_VALUE"""),2013.0)</f>
        <v>2013</v>
      </c>
      <c r="E11078">
        <f>IFERROR(__xludf.DUMMYFUNCTION("""COMPUTED_VALUE"""),5.1448196E7)</f>
        <v>51448196</v>
      </c>
    </row>
    <row r="11079">
      <c r="A11079" t="str">
        <f t="shared" si="1"/>
        <v>mmr#2014</v>
      </c>
      <c r="B11079" t="str">
        <f>IFERROR(__xludf.DUMMYFUNCTION("""COMPUTED_VALUE"""),"mmr")</f>
        <v>mmr</v>
      </c>
      <c r="C11079" t="str">
        <f>IFERROR(__xludf.DUMMYFUNCTION("""COMPUTED_VALUE"""),"Myanmar")</f>
        <v>Myanmar</v>
      </c>
      <c r="D11079">
        <f>IFERROR(__xludf.DUMMYFUNCTION("""COMPUTED_VALUE"""),2014.0)</f>
        <v>2014</v>
      </c>
      <c r="E11079">
        <f>IFERROR(__xludf.DUMMYFUNCTION("""COMPUTED_VALUE"""),5.1924182E7)</f>
        <v>51924182</v>
      </c>
    </row>
    <row r="11080">
      <c r="A11080" t="str">
        <f t="shared" si="1"/>
        <v>mmr#2015</v>
      </c>
      <c r="B11080" t="str">
        <f>IFERROR(__xludf.DUMMYFUNCTION("""COMPUTED_VALUE"""),"mmr")</f>
        <v>mmr</v>
      </c>
      <c r="C11080" t="str">
        <f>IFERROR(__xludf.DUMMYFUNCTION("""COMPUTED_VALUE"""),"Myanmar")</f>
        <v>Myanmar</v>
      </c>
      <c r="D11080">
        <f>IFERROR(__xludf.DUMMYFUNCTION("""COMPUTED_VALUE"""),2015.0)</f>
        <v>2015</v>
      </c>
      <c r="E11080">
        <f>IFERROR(__xludf.DUMMYFUNCTION("""COMPUTED_VALUE"""),5.2403669E7)</f>
        <v>52403669</v>
      </c>
    </row>
    <row r="11081">
      <c r="A11081" t="str">
        <f t="shared" si="1"/>
        <v>mmr#2016</v>
      </c>
      <c r="B11081" t="str">
        <f>IFERROR(__xludf.DUMMYFUNCTION("""COMPUTED_VALUE"""),"mmr")</f>
        <v>mmr</v>
      </c>
      <c r="C11081" t="str">
        <f>IFERROR(__xludf.DUMMYFUNCTION("""COMPUTED_VALUE"""),"Myanmar")</f>
        <v>Myanmar</v>
      </c>
      <c r="D11081">
        <f>IFERROR(__xludf.DUMMYFUNCTION("""COMPUTED_VALUE"""),2016.0)</f>
        <v>2016</v>
      </c>
      <c r="E11081">
        <f>IFERROR(__xludf.DUMMYFUNCTION("""COMPUTED_VALUE"""),5.2885223E7)</f>
        <v>52885223</v>
      </c>
    </row>
    <row r="11082">
      <c r="A11082" t="str">
        <f t="shared" si="1"/>
        <v>mmr#2017</v>
      </c>
      <c r="B11082" t="str">
        <f>IFERROR(__xludf.DUMMYFUNCTION("""COMPUTED_VALUE"""),"mmr")</f>
        <v>mmr</v>
      </c>
      <c r="C11082" t="str">
        <f>IFERROR(__xludf.DUMMYFUNCTION("""COMPUTED_VALUE"""),"Myanmar")</f>
        <v>Myanmar</v>
      </c>
      <c r="D11082">
        <f>IFERROR(__xludf.DUMMYFUNCTION("""COMPUTED_VALUE"""),2017.0)</f>
        <v>2017</v>
      </c>
      <c r="E11082">
        <f>IFERROR(__xludf.DUMMYFUNCTION("""COMPUTED_VALUE"""),5.3370609E7)</f>
        <v>53370609</v>
      </c>
    </row>
    <row r="11083">
      <c r="A11083" t="str">
        <f t="shared" si="1"/>
        <v>mmr#2018</v>
      </c>
      <c r="B11083" t="str">
        <f>IFERROR(__xludf.DUMMYFUNCTION("""COMPUTED_VALUE"""),"mmr")</f>
        <v>mmr</v>
      </c>
      <c r="C11083" t="str">
        <f>IFERROR(__xludf.DUMMYFUNCTION("""COMPUTED_VALUE"""),"Myanmar")</f>
        <v>Myanmar</v>
      </c>
      <c r="D11083">
        <f>IFERROR(__xludf.DUMMYFUNCTION("""COMPUTED_VALUE"""),2018.0)</f>
        <v>2018</v>
      </c>
      <c r="E11083">
        <f>IFERROR(__xludf.DUMMYFUNCTION("""COMPUTED_VALUE"""),5.3855735E7)</f>
        <v>53855735</v>
      </c>
    </row>
    <row r="11084">
      <c r="A11084" t="str">
        <f t="shared" si="1"/>
        <v>mmr#2019</v>
      </c>
      <c r="B11084" t="str">
        <f>IFERROR(__xludf.DUMMYFUNCTION("""COMPUTED_VALUE"""),"mmr")</f>
        <v>mmr</v>
      </c>
      <c r="C11084" t="str">
        <f>IFERROR(__xludf.DUMMYFUNCTION("""COMPUTED_VALUE"""),"Myanmar")</f>
        <v>Myanmar</v>
      </c>
      <c r="D11084">
        <f>IFERROR(__xludf.DUMMYFUNCTION("""COMPUTED_VALUE"""),2019.0)</f>
        <v>2019</v>
      </c>
      <c r="E11084">
        <f>IFERROR(__xludf.DUMMYFUNCTION("""COMPUTED_VALUE"""),5.4336138E7)</f>
        <v>54336138</v>
      </c>
    </row>
    <row r="11085">
      <c r="A11085" t="str">
        <f t="shared" si="1"/>
        <v>mmr#2020</v>
      </c>
      <c r="B11085" t="str">
        <f>IFERROR(__xludf.DUMMYFUNCTION("""COMPUTED_VALUE"""),"mmr")</f>
        <v>mmr</v>
      </c>
      <c r="C11085" t="str">
        <f>IFERROR(__xludf.DUMMYFUNCTION("""COMPUTED_VALUE"""),"Myanmar")</f>
        <v>Myanmar</v>
      </c>
      <c r="D11085">
        <f>IFERROR(__xludf.DUMMYFUNCTION("""COMPUTED_VALUE"""),2020.0)</f>
        <v>2020</v>
      </c>
      <c r="E11085">
        <f>IFERROR(__xludf.DUMMYFUNCTION("""COMPUTED_VALUE"""),5.4808276E7)</f>
        <v>54808276</v>
      </c>
    </row>
    <row r="11086">
      <c r="A11086" t="str">
        <f t="shared" si="1"/>
        <v>mmr#2021</v>
      </c>
      <c r="B11086" t="str">
        <f>IFERROR(__xludf.DUMMYFUNCTION("""COMPUTED_VALUE"""),"mmr")</f>
        <v>mmr</v>
      </c>
      <c r="C11086" t="str">
        <f>IFERROR(__xludf.DUMMYFUNCTION("""COMPUTED_VALUE"""),"Myanmar")</f>
        <v>Myanmar</v>
      </c>
      <c r="D11086">
        <f>IFERROR(__xludf.DUMMYFUNCTION("""COMPUTED_VALUE"""),2021.0)</f>
        <v>2021</v>
      </c>
      <c r="E11086">
        <f>IFERROR(__xludf.DUMMYFUNCTION("""COMPUTED_VALUE"""),5.526936E7)</f>
        <v>55269360</v>
      </c>
    </row>
    <row r="11087">
      <c r="A11087" t="str">
        <f t="shared" si="1"/>
        <v>mmr#2022</v>
      </c>
      <c r="B11087" t="str">
        <f>IFERROR(__xludf.DUMMYFUNCTION("""COMPUTED_VALUE"""),"mmr")</f>
        <v>mmr</v>
      </c>
      <c r="C11087" t="str">
        <f>IFERROR(__xludf.DUMMYFUNCTION("""COMPUTED_VALUE"""),"Myanmar")</f>
        <v>Myanmar</v>
      </c>
      <c r="D11087">
        <f>IFERROR(__xludf.DUMMYFUNCTION("""COMPUTED_VALUE"""),2022.0)</f>
        <v>2022</v>
      </c>
      <c r="E11087">
        <f>IFERROR(__xludf.DUMMYFUNCTION("""COMPUTED_VALUE"""),5.5718363E7)</f>
        <v>55718363</v>
      </c>
    </row>
    <row r="11088">
      <c r="A11088" t="str">
        <f t="shared" si="1"/>
        <v>mmr#2023</v>
      </c>
      <c r="B11088" t="str">
        <f>IFERROR(__xludf.DUMMYFUNCTION("""COMPUTED_VALUE"""),"mmr")</f>
        <v>mmr</v>
      </c>
      <c r="C11088" t="str">
        <f>IFERROR(__xludf.DUMMYFUNCTION("""COMPUTED_VALUE"""),"Myanmar")</f>
        <v>Myanmar</v>
      </c>
      <c r="D11088">
        <f>IFERROR(__xludf.DUMMYFUNCTION("""COMPUTED_VALUE"""),2023.0)</f>
        <v>2023</v>
      </c>
      <c r="E11088">
        <f>IFERROR(__xludf.DUMMYFUNCTION("""COMPUTED_VALUE"""),5.6155777E7)</f>
        <v>56155777</v>
      </c>
    </row>
    <row r="11089">
      <c r="A11089" t="str">
        <f t="shared" si="1"/>
        <v>mmr#2024</v>
      </c>
      <c r="B11089" t="str">
        <f>IFERROR(__xludf.DUMMYFUNCTION("""COMPUTED_VALUE"""),"mmr")</f>
        <v>mmr</v>
      </c>
      <c r="C11089" t="str">
        <f>IFERROR(__xludf.DUMMYFUNCTION("""COMPUTED_VALUE"""),"Myanmar")</f>
        <v>Myanmar</v>
      </c>
      <c r="D11089">
        <f>IFERROR(__xludf.DUMMYFUNCTION("""COMPUTED_VALUE"""),2024.0)</f>
        <v>2024</v>
      </c>
      <c r="E11089">
        <f>IFERROR(__xludf.DUMMYFUNCTION("""COMPUTED_VALUE"""),5.658319E7)</f>
        <v>56583190</v>
      </c>
    </row>
    <row r="11090">
      <c r="A11090" t="str">
        <f t="shared" si="1"/>
        <v>mmr#2025</v>
      </c>
      <c r="B11090" t="str">
        <f>IFERROR(__xludf.DUMMYFUNCTION("""COMPUTED_VALUE"""),"mmr")</f>
        <v>mmr</v>
      </c>
      <c r="C11090" t="str">
        <f>IFERROR(__xludf.DUMMYFUNCTION("""COMPUTED_VALUE"""),"Myanmar")</f>
        <v>Myanmar</v>
      </c>
      <c r="D11090">
        <f>IFERROR(__xludf.DUMMYFUNCTION("""COMPUTED_VALUE"""),2025.0)</f>
        <v>2025</v>
      </c>
      <c r="E11090">
        <f>IFERROR(__xludf.DUMMYFUNCTION("""COMPUTED_VALUE"""),5.7001494E7)</f>
        <v>57001494</v>
      </c>
    </row>
    <row r="11091">
      <c r="A11091" t="str">
        <f t="shared" si="1"/>
        <v>mmr#2026</v>
      </c>
      <c r="B11091" t="str">
        <f>IFERROR(__xludf.DUMMYFUNCTION("""COMPUTED_VALUE"""),"mmr")</f>
        <v>mmr</v>
      </c>
      <c r="C11091" t="str">
        <f>IFERROR(__xludf.DUMMYFUNCTION("""COMPUTED_VALUE"""),"Myanmar")</f>
        <v>Myanmar</v>
      </c>
      <c r="D11091">
        <f>IFERROR(__xludf.DUMMYFUNCTION("""COMPUTED_VALUE"""),2026.0)</f>
        <v>2026</v>
      </c>
      <c r="E11091">
        <f>IFERROR(__xludf.DUMMYFUNCTION("""COMPUTED_VALUE"""),5.7410076E7)</f>
        <v>57410076</v>
      </c>
    </row>
    <row r="11092">
      <c r="A11092" t="str">
        <f t="shared" si="1"/>
        <v>mmr#2027</v>
      </c>
      <c r="B11092" t="str">
        <f>IFERROR(__xludf.DUMMYFUNCTION("""COMPUTED_VALUE"""),"mmr")</f>
        <v>mmr</v>
      </c>
      <c r="C11092" t="str">
        <f>IFERROR(__xludf.DUMMYFUNCTION("""COMPUTED_VALUE"""),"Myanmar")</f>
        <v>Myanmar</v>
      </c>
      <c r="D11092">
        <f>IFERROR(__xludf.DUMMYFUNCTION("""COMPUTED_VALUE"""),2027.0)</f>
        <v>2027</v>
      </c>
      <c r="E11092">
        <f>IFERROR(__xludf.DUMMYFUNCTION("""COMPUTED_VALUE"""),5.7807267E7)</f>
        <v>57807267</v>
      </c>
    </row>
    <row r="11093">
      <c r="A11093" t="str">
        <f t="shared" si="1"/>
        <v>mmr#2028</v>
      </c>
      <c r="B11093" t="str">
        <f>IFERROR(__xludf.DUMMYFUNCTION("""COMPUTED_VALUE"""),"mmr")</f>
        <v>mmr</v>
      </c>
      <c r="C11093" t="str">
        <f>IFERROR(__xludf.DUMMYFUNCTION("""COMPUTED_VALUE"""),"Myanmar")</f>
        <v>Myanmar</v>
      </c>
      <c r="D11093">
        <f>IFERROR(__xludf.DUMMYFUNCTION("""COMPUTED_VALUE"""),2028.0)</f>
        <v>2028</v>
      </c>
      <c r="E11093">
        <f>IFERROR(__xludf.DUMMYFUNCTION("""COMPUTED_VALUE"""),5.8191691E7)</f>
        <v>58191691</v>
      </c>
    </row>
    <row r="11094">
      <c r="A11094" t="str">
        <f t="shared" si="1"/>
        <v>mmr#2029</v>
      </c>
      <c r="B11094" t="str">
        <f>IFERROR(__xludf.DUMMYFUNCTION("""COMPUTED_VALUE"""),"mmr")</f>
        <v>mmr</v>
      </c>
      <c r="C11094" t="str">
        <f>IFERROR(__xludf.DUMMYFUNCTION("""COMPUTED_VALUE"""),"Myanmar")</f>
        <v>Myanmar</v>
      </c>
      <c r="D11094">
        <f>IFERROR(__xludf.DUMMYFUNCTION("""COMPUTED_VALUE"""),2029.0)</f>
        <v>2029</v>
      </c>
      <c r="E11094">
        <f>IFERROR(__xludf.DUMMYFUNCTION("""COMPUTED_VALUE"""),5.8561681E7)</f>
        <v>58561681</v>
      </c>
    </row>
    <row r="11095">
      <c r="A11095" t="str">
        <f t="shared" si="1"/>
        <v>mmr#2030</v>
      </c>
      <c r="B11095" t="str">
        <f>IFERROR(__xludf.DUMMYFUNCTION("""COMPUTED_VALUE"""),"mmr")</f>
        <v>mmr</v>
      </c>
      <c r="C11095" t="str">
        <f>IFERROR(__xludf.DUMMYFUNCTION("""COMPUTED_VALUE"""),"Myanmar")</f>
        <v>Myanmar</v>
      </c>
      <c r="D11095">
        <f>IFERROR(__xludf.DUMMYFUNCTION("""COMPUTED_VALUE"""),2030.0)</f>
        <v>2030</v>
      </c>
      <c r="E11095">
        <f>IFERROR(__xludf.DUMMYFUNCTION("""COMPUTED_VALUE"""),5.8915869E7)</f>
        <v>58915869</v>
      </c>
    </row>
    <row r="11096">
      <c r="A11096" t="str">
        <f t="shared" si="1"/>
        <v>mmr#2031</v>
      </c>
      <c r="B11096" t="str">
        <f>IFERROR(__xludf.DUMMYFUNCTION("""COMPUTED_VALUE"""),"mmr")</f>
        <v>mmr</v>
      </c>
      <c r="C11096" t="str">
        <f>IFERROR(__xludf.DUMMYFUNCTION("""COMPUTED_VALUE"""),"Myanmar")</f>
        <v>Myanmar</v>
      </c>
      <c r="D11096">
        <f>IFERROR(__xludf.DUMMYFUNCTION("""COMPUTED_VALUE"""),2031.0)</f>
        <v>2031</v>
      </c>
      <c r="E11096">
        <f>IFERROR(__xludf.DUMMYFUNCTION("""COMPUTED_VALUE"""),5.9253608E7)</f>
        <v>59253608</v>
      </c>
    </row>
    <row r="11097">
      <c r="A11097" t="str">
        <f t="shared" si="1"/>
        <v>mmr#2032</v>
      </c>
      <c r="B11097" t="str">
        <f>IFERROR(__xludf.DUMMYFUNCTION("""COMPUTED_VALUE"""),"mmr")</f>
        <v>mmr</v>
      </c>
      <c r="C11097" t="str">
        <f>IFERROR(__xludf.DUMMYFUNCTION("""COMPUTED_VALUE"""),"Myanmar")</f>
        <v>Myanmar</v>
      </c>
      <c r="D11097">
        <f>IFERROR(__xludf.DUMMYFUNCTION("""COMPUTED_VALUE"""),2032.0)</f>
        <v>2032</v>
      </c>
      <c r="E11097">
        <f>IFERROR(__xludf.DUMMYFUNCTION("""COMPUTED_VALUE"""),5.9574526E7)</f>
        <v>59574526</v>
      </c>
    </row>
    <row r="11098">
      <c r="A11098" t="str">
        <f t="shared" si="1"/>
        <v>mmr#2033</v>
      </c>
      <c r="B11098" t="str">
        <f>IFERROR(__xludf.DUMMYFUNCTION("""COMPUTED_VALUE"""),"mmr")</f>
        <v>mmr</v>
      </c>
      <c r="C11098" t="str">
        <f>IFERROR(__xludf.DUMMYFUNCTION("""COMPUTED_VALUE"""),"Myanmar")</f>
        <v>Myanmar</v>
      </c>
      <c r="D11098">
        <f>IFERROR(__xludf.DUMMYFUNCTION("""COMPUTED_VALUE"""),2033.0)</f>
        <v>2033</v>
      </c>
      <c r="E11098">
        <f>IFERROR(__xludf.DUMMYFUNCTION("""COMPUTED_VALUE"""),5.9878046E7)</f>
        <v>59878046</v>
      </c>
    </row>
    <row r="11099">
      <c r="A11099" t="str">
        <f t="shared" si="1"/>
        <v>mmr#2034</v>
      </c>
      <c r="B11099" t="str">
        <f>IFERROR(__xludf.DUMMYFUNCTION("""COMPUTED_VALUE"""),"mmr")</f>
        <v>mmr</v>
      </c>
      <c r="C11099" t="str">
        <f>IFERROR(__xludf.DUMMYFUNCTION("""COMPUTED_VALUE"""),"Myanmar")</f>
        <v>Myanmar</v>
      </c>
      <c r="D11099">
        <f>IFERROR(__xludf.DUMMYFUNCTION("""COMPUTED_VALUE"""),2034.0)</f>
        <v>2034</v>
      </c>
      <c r="E11099">
        <f>IFERROR(__xludf.DUMMYFUNCTION("""COMPUTED_VALUE"""),6.0163634E7)</f>
        <v>60163634</v>
      </c>
    </row>
    <row r="11100">
      <c r="A11100" t="str">
        <f t="shared" si="1"/>
        <v>mmr#2035</v>
      </c>
      <c r="B11100" t="str">
        <f>IFERROR(__xludf.DUMMYFUNCTION("""COMPUTED_VALUE"""),"mmr")</f>
        <v>mmr</v>
      </c>
      <c r="C11100" t="str">
        <f>IFERROR(__xludf.DUMMYFUNCTION("""COMPUTED_VALUE"""),"Myanmar")</f>
        <v>Myanmar</v>
      </c>
      <c r="D11100">
        <f>IFERROR(__xludf.DUMMYFUNCTION("""COMPUTED_VALUE"""),2035.0)</f>
        <v>2035</v>
      </c>
      <c r="E11100">
        <f>IFERROR(__xludf.DUMMYFUNCTION("""COMPUTED_VALUE"""),6.0430924E7)</f>
        <v>60430924</v>
      </c>
    </row>
    <row r="11101">
      <c r="A11101" t="str">
        <f t="shared" si="1"/>
        <v>mmr#2036</v>
      </c>
      <c r="B11101" t="str">
        <f>IFERROR(__xludf.DUMMYFUNCTION("""COMPUTED_VALUE"""),"mmr")</f>
        <v>mmr</v>
      </c>
      <c r="C11101" t="str">
        <f>IFERROR(__xludf.DUMMYFUNCTION("""COMPUTED_VALUE"""),"Myanmar")</f>
        <v>Myanmar</v>
      </c>
      <c r="D11101">
        <f>IFERROR(__xludf.DUMMYFUNCTION("""COMPUTED_VALUE"""),2036.0)</f>
        <v>2036</v>
      </c>
      <c r="E11101">
        <f>IFERROR(__xludf.DUMMYFUNCTION("""COMPUTED_VALUE"""),6.0679668E7)</f>
        <v>60679668</v>
      </c>
    </row>
    <row r="11102">
      <c r="A11102" t="str">
        <f t="shared" si="1"/>
        <v>mmr#2037</v>
      </c>
      <c r="B11102" t="str">
        <f>IFERROR(__xludf.DUMMYFUNCTION("""COMPUTED_VALUE"""),"mmr")</f>
        <v>mmr</v>
      </c>
      <c r="C11102" t="str">
        <f>IFERROR(__xludf.DUMMYFUNCTION("""COMPUTED_VALUE"""),"Myanmar")</f>
        <v>Myanmar</v>
      </c>
      <c r="D11102">
        <f>IFERROR(__xludf.DUMMYFUNCTION("""COMPUTED_VALUE"""),2037.0)</f>
        <v>2037</v>
      </c>
      <c r="E11102">
        <f>IFERROR(__xludf.DUMMYFUNCTION("""COMPUTED_VALUE"""),6.0909763E7)</f>
        <v>60909763</v>
      </c>
    </row>
    <row r="11103">
      <c r="A11103" t="str">
        <f t="shared" si="1"/>
        <v>mmr#2038</v>
      </c>
      <c r="B11103" t="str">
        <f>IFERROR(__xludf.DUMMYFUNCTION("""COMPUTED_VALUE"""),"mmr")</f>
        <v>mmr</v>
      </c>
      <c r="C11103" t="str">
        <f>IFERROR(__xludf.DUMMYFUNCTION("""COMPUTED_VALUE"""),"Myanmar")</f>
        <v>Myanmar</v>
      </c>
      <c r="D11103">
        <f>IFERROR(__xludf.DUMMYFUNCTION("""COMPUTED_VALUE"""),2038.0)</f>
        <v>2038</v>
      </c>
      <c r="E11103">
        <f>IFERROR(__xludf.DUMMYFUNCTION("""COMPUTED_VALUE"""),6.112124E7)</f>
        <v>61121240</v>
      </c>
    </row>
    <row r="11104">
      <c r="A11104" t="str">
        <f t="shared" si="1"/>
        <v>mmr#2039</v>
      </c>
      <c r="B11104" t="str">
        <f>IFERROR(__xludf.DUMMYFUNCTION("""COMPUTED_VALUE"""),"mmr")</f>
        <v>mmr</v>
      </c>
      <c r="C11104" t="str">
        <f>IFERROR(__xludf.DUMMYFUNCTION("""COMPUTED_VALUE"""),"Myanmar")</f>
        <v>Myanmar</v>
      </c>
      <c r="D11104">
        <f>IFERROR(__xludf.DUMMYFUNCTION("""COMPUTED_VALUE"""),2039.0)</f>
        <v>2039</v>
      </c>
      <c r="E11104">
        <f>IFERROR(__xludf.DUMMYFUNCTION("""COMPUTED_VALUE"""),6.1314273E7)</f>
        <v>61314273</v>
      </c>
    </row>
    <row r="11105">
      <c r="A11105" t="str">
        <f t="shared" si="1"/>
        <v>mmr#2040</v>
      </c>
      <c r="B11105" t="str">
        <f>IFERROR(__xludf.DUMMYFUNCTION("""COMPUTED_VALUE"""),"mmr")</f>
        <v>mmr</v>
      </c>
      <c r="C11105" t="str">
        <f>IFERROR(__xludf.DUMMYFUNCTION("""COMPUTED_VALUE"""),"Myanmar")</f>
        <v>Myanmar</v>
      </c>
      <c r="D11105">
        <f>IFERROR(__xludf.DUMMYFUNCTION("""COMPUTED_VALUE"""),2040.0)</f>
        <v>2040</v>
      </c>
      <c r="E11105">
        <f>IFERROR(__xludf.DUMMYFUNCTION("""COMPUTED_VALUE"""),6.1489087E7)</f>
        <v>61489087</v>
      </c>
    </row>
    <row r="11106">
      <c r="A11106" t="str">
        <f t="shared" si="1"/>
        <v>nam#1950</v>
      </c>
      <c r="B11106" t="str">
        <f>IFERROR(__xludf.DUMMYFUNCTION("""COMPUTED_VALUE"""),"nam")</f>
        <v>nam</v>
      </c>
      <c r="C11106" t="str">
        <f>IFERROR(__xludf.DUMMYFUNCTION("""COMPUTED_VALUE"""),"Namibia")</f>
        <v>Namibia</v>
      </c>
      <c r="D11106">
        <f>IFERROR(__xludf.DUMMYFUNCTION("""COMPUTED_VALUE"""),1950.0)</f>
        <v>1950</v>
      </c>
      <c r="E11106">
        <f>IFERROR(__xludf.DUMMYFUNCTION("""COMPUTED_VALUE"""),485274.0)</f>
        <v>485274</v>
      </c>
    </row>
    <row r="11107">
      <c r="A11107" t="str">
        <f t="shared" si="1"/>
        <v>nam#1951</v>
      </c>
      <c r="B11107" t="str">
        <f>IFERROR(__xludf.DUMMYFUNCTION("""COMPUTED_VALUE"""),"nam")</f>
        <v>nam</v>
      </c>
      <c r="C11107" t="str">
        <f>IFERROR(__xludf.DUMMYFUNCTION("""COMPUTED_VALUE"""),"Namibia")</f>
        <v>Namibia</v>
      </c>
      <c r="D11107">
        <f>IFERROR(__xludf.DUMMYFUNCTION("""COMPUTED_VALUE"""),1951.0)</f>
        <v>1951</v>
      </c>
      <c r="E11107">
        <f>IFERROR(__xludf.DUMMYFUNCTION("""COMPUTED_VALUE"""),494631.0)</f>
        <v>494631</v>
      </c>
    </row>
    <row r="11108">
      <c r="A11108" t="str">
        <f t="shared" si="1"/>
        <v>nam#1952</v>
      </c>
      <c r="B11108" t="str">
        <f>IFERROR(__xludf.DUMMYFUNCTION("""COMPUTED_VALUE"""),"nam")</f>
        <v>nam</v>
      </c>
      <c r="C11108" t="str">
        <f>IFERROR(__xludf.DUMMYFUNCTION("""COMPUTED_VALUE"""),"Namibia")</f>
        <v>Namibia</v>
      </c>
      <c r="D11108">
        <f>IFERROR(__xludf.DUMMYFUNCTION("""COMPUTED_VALUE"""),1952.0)</f>
        <v>1952</v>
      </c>
      <c r="E11108">
        <f>IFERROR(__xludf.DUMMYFUNCTION("""COMPUTED_VALUE"""),504578.0)</f>
        <v>504578</v>
      </c>
    </row>
    <row r="11109">
      <c r="A11109" t="str">
        <f t="shared" si="1"/>
        <v>nam#1953</v>
      </c>
      <c r="B11109" t="str">
        <f>IFERROR(__xludf.DUMMYFUNCTION("""COMPUTED_VALUE"""),"nam")</f>
        <v>nam</v>
      </c>
      <c r="C11109" t="str">
        <f>IFERROR(__xludf.DUMMYFUNCTION("""COMPUTED_VALUE"""),"Namibia")</f>
        <v>Namibia</v>
      </c>
      <c r="D11109">
        <f>IFERROR(__xludf.DUMMYFUNCTION("""COMPUTED_VALUE"""),1953.0)</f>
        <v>1953</v>
      </c>
      <c r="E11109">
        <f>IFERROR(__xludf.DUMMYFUNCTION("""COMPUTED_VALUE"""),515058.0)</f>
        <v>515058</v>
      </c>
    </row>
    <row r="11110">
      <c r="A11110" t="str">
        <f t="shared" si="1"/>
        <v>nam#1954</v>
      </c>
      <c r="B11110" t="str">
        <f>IFERROR(__xludf.DUMMYFUNCTION("""COMPUTED_VALUE"""),"nam")</f>
        <v>nam</v>
      </c>
      <c r="C11110" t="str">
        <f>IFERROR(__xludf.DUMMYFUNCTION("""COMPUTED_VALUE"""),"Namibia")</f>
        <v>Namibia</v>
      </c>
      <c r="D11110">
        <f>IFERROR(__xludf.DUMMYFUNCTION("""COMPUTED_VALUE"""),1954.0)</f>
        <v>1954</v>
      </c>
      <c r="E11110">
        <f>IFERROR(__xludf.DUMMYFUNCTION("""COMPUTED_VALUE"""),526042.0)</f>
        <v>526042</v>
      </c>
    </row>
    <row r="11111">
      <c r="A11111" t="str">
        <f t="shared" si="1"/>
        <v>nam#1955</v>
      </c>
      <c r="B11111" t="str">
        <f>IFERROR(__xludf.DUMMYFUNCTION("""COMPUTED_VALUE"""),"nam")</f>
        <v>nam</v>
      </c>
      <c r="C11111" t="str">
        <f>IFERROR(__xludf.DUMMYFUNCTION("""COMPUTED_VALUE"""),"Namibia")</f>
        <v>Namibia</v>
      </c>
      <c r="D11111">
        <f>IFERROR(__xludf.DUMMYFUNCTION("""COMPUTED_VALUE"""),1955.0)</f>
        <v>1955</v>
      </c>
      <c r="E11111">
        <f>IFERROR(__xludf.DUMMYFUNCTION("""COMPUTED_VALUE"""),537514.0)</f>
        <v>537514</v>
      </c>
    </row>
    <row r="11112">
      <c r="A11112" t="str">
        <f t="shared" si="1"/>
        <v>nam#1956</v>
      </c>
      <c r="B11112" t="str">
        <f>IFERROR(__xludf.DUMMYFUNCTION("""COMPUTED_VALUE"""),"nam")</f>
        <v>nam</v>
      </c>
      <c r="C11112" t="str">
        <f>IFERROR(__xludf.DUMMYFUNCTION("""COMPUTED_VALUE"""),"Namibia")</f>
        <v>Namibia</v>
      </c>
      <c r="D11112">
        <f>IFERROR(__xludf.DUMMYFUNCTION("""COMPUTED_VALUE"""),1956.0)</f>
        <v>1956</v>
      </c>
      <c r="E11112">
        <f>IFERROR(__xludf.DUMMYFUNCTION("""COMPUTED_VALUE"""),549479.0)</f>
        <v>549479</v>
      </c>
    </row>
    <row r="11113">
      <c r="A11113" t="str">
        <f t="shared" si="1"/>
        <v>nam#1957</v>
      </c>
      <c r="B11113" t="str">
        <f>IFERROR(__xludf.DUMMYFUNCTION("""COMPUTED_VALUE"""),"nam")</f>
        <v>nam</v>
      </c>
      <c r="C11113" t="str">
        <f>IFERROR(__xludf.DUMMYFUNCTION("""COMPUTED_VALUE"""),"Namibia")</f>
        <v>Namibia</v>
      </c>
      <c r="D11113">
        <f>IFERROR(__xludf.DUMMYFUNCTION("""COMPUTED_VALUE"""),1957.0)</f>
        <v>1957</v>
      </c>
      <c r="E11113">
        <f>IFERROR(__xludf.DUMMYFUNCTION("""COMPUTED_VALUE"""),561932.0)</f>
        <v>561932</v>
      </c>
    </row>
    <row r="11114">
      <c r="A11114" t="str">
        <f t="shared" si="1"/>
        <v>nam#1958</v>
      </c>
      <c r="B11114" t="str">
        <f>IFERROR(__xludf.DUMMYFUNCTION("""COMPUTED_VALUE"""),"nam")</f>
        <v>nam</v>
      </c>
      <c r="C11114" t="str">
        <f>IFERROR(__xludf.DUMMYFUNCTION("""COMPUTED_VALUE"""),"Namibia")</f>
        <v>Namibia</v>
      </c>
      <c r="D11114">
        <f>IFERROR(__xludf.DUMMYFUNCTION("""COMPUTED_VALUE"""),1958.0)</f>
        <v>1958</v>
      </c>
      <c r="E11114">
        <f>IFERROR(__xludf.DUMMYFUNCTION("""COMPUTED_VALUE"""),574904.0)</f>
        <v>574904</v>
      </c>
    </row>
    <row r="11115">
      <c r="A11115" t="str">
        <f t="shared" si="1"/>
        <v>nam#1959</v>
      </c>
      <c r="B11115" t="str">
        <f>IFERROR(__xludf.DUMMYFUNCTION("""COMPUTED_VALUE"""),"nam")</f>
        <v>nam</v>
      </c>
      <c r="C11115" t="str">
        <f>IFERROR(__xludf.DUMMYFUNCTION("""COMPUTED_VALUE"""),"Namibia")</f>
        <v>Namibia</v>
      </c>
      <c r="D11115">
        <f>IFERROR(__xludf.DUMMYFUNCTION("""COMPUTED_VALUE"""),1959.0)</f>
        <v>1959</v>
      </c>
      <c r="E11115">
        <f>IFERROR(__xludf.DUMMYFUNCTION("""COMPUTED_VALUE"""),588426.0)</f>
        <v>588426</v>
      </c>
    </row>
    <row r="11116">
      <c r="A11116" t="str">
        <f t="shared" si="1"/>
        <v>nam#1960</v>
      </c>
      <c r="B11116" t="str">
        <f>IFERROR(__xludf.DUMMYFUNCTION("""COMPUTED_VALUE"""),"nam")</f>
        <v>nam</v>
      </c>
      <c r="C11116" t="str">
        <f>IFERROR(__xludf.DUMMYFUNCTION("""COMPUTED_VALUE"""),"Namibia")</f>
        <v>Namibia</v>
      </c>
      <c r="D11116">
        <f>IFERROR(__xludf.DUMMYFUNCTION("""COMPUTED_VALUE"""),1960.0)</f>
        <v>1960</v>
      </c>
      <c r="E11116">
        <f>IFERROR(__xludf.DUMMYFUNCTION("""COMPUTED_VALUE"""),602544.0)</f>
        <v>602544</v>
      </c>
    </row>
    <row r="11117">
      <c r="A11117" t="str">
        <f t="shared" si="1"/>
        <v>nam#1961</v>
      </c>
      <c r="B11117" t="str">
        <f>IFERROR(__xludf.DUMMYFUNCTION("""COMPUTED_VALUE"""),"nam")</f>
        <v>nam</v>
      </c>
      <c r="C11117" t="str">
        <f>IFERROR(__xludf.DUMMYFUNCTION("""COMPUTED_VALUE"""),"Namibia")</f>
        <v>Namibia</v>
      </c>
      <c r="D11117">
        <f>IFERROR(__xludf.DUMMYFUNCTION("""COMPUTED_VALUE"""),1961.0)</f>
        <v>1961</v>
      </c>
      <c r="E11117">
        <f>IFERROR(__xludf.DUMMYFUNCTION("""COMPUTED_VALUE"""),617277.0)</f>
        <v>617277</v>
      </c>
    </row>
    <row r="11118">
      <c r="A11118" t="str">
        <f t="shared" si="1"/>
        <v>nam#1962</v>
      </c>
      <c r="B11118" t="str">
        <f>IFERROR(__xludf.DUMMYFUNCTION("""COMPUTED_VALUE"""),"nam")</f>
        <v>nam</v>
      </c>
      <c r="C11118" t="str">
        <f>IFERROR(__xludf.DUMMYFUNCTION("""COMPUTED_VALUE"""),"Namibia")</f>
        <v>Namibia</v>
      </c>
      <c r="D11118">
        <f>IFERROR(__xludf.DUMMYFUNCTION("""COMPUTED_VALUE"""),1962.0)</f>
        <v>1962</v>
      </c>
      <c r="E11118">
        <f>IFERROR(__xludf.DUMMYFUNCTION("""COMPUTED_VALUE"""),632654.0)</f>
        <v>632654</v>
      </c>
    </row>
    <row r="11119">
      <c r="A11119" t="str">
        <f t="shared" si="1"/>
        <v>nam#1963</v>
      </c>
      <c r="B11119" t="str">
        <f>IFERROR(__xludf.DUMMYFUNCTION("""COMPUTED_VALUE"""),"nam")</f>
        <v>nam</v>
      </c>
      <c r="C11119" t="str">
        <f>IFERROR(__xludf.DUMMYFUNCTION("""COMPUTED_VALUE"""),"Namibia")</f>
        <v>Namibia</v>
      </c>
      <c r="D11119">
        <f>IFERROR(__xludf.DUMMYFUNCTION("""COMPUTED_VALUE"""),1963.0)</f>
        <v>1963</v>
      </c>
      <c r="E11119">
        <f>IFERROR(__xludf.DUMMYFUNCTION("""COMPUTED_VALUE"""),648661.0)</f>
        <v>648661</v>
      </c>
    </row>
    <row r="11120">
      <c r="A11120" t="str">
        <f t="shared" si="1"/>
        <v>nam#1964</v>
      </c>
      <c r="B11120" t="str">
        <f>IFERROR(__xludf.DUMMYFUNCTION("""COMPUTED_VALUE"""),"nam")</f>
        <v>nam</v>
      </c>
      <c r="C11120" t="str">
        <f>IFERROR(__xludf.DUMMYFUNCTION("""COMPUTED_VALUE"""),"Namibia")</f>
        <v>Namibia</v>
      </c>
      <c r="D11120">
        <f>IFERROR(__xludf.DUMMYFUNCTION("""COMPUTED_VALUE"""),1964.0)</f>
        <v>1964</v>
      </c>
      <c r="E11120">
        <f>IFERROR(__xludf.DUMMYFUNCTION("""COMPUTED_VALUE"""),665282.0)</f>
        <v>665282</v>
      </c>
    </row>
    <row r="11121">
      <c r="A11121" t="str">
        <f t="shared" si="1"/>
        <v>nam#1965</v>
      </c>
      <c r="B11121" t="str">
        <f>IFERROR(__xludf.DUMMYFUNCTION("""COMPUTED_VALUE"""),"nam")</f>
        <v>nam</v>
      </c>
      <c r="C11121" t="str">
        <f>IFERROR(__xludf.DUMMYFUNCTION("""COMPUTED_VALUE"""),"Namibia")</f>
        <v>Namibia</v>
      </c>
      <c r="D11121">
        <f>IFERROR(__xludf.DUMMYFUNCTION("""COMPUTED_VALUE"""),1965.0)</f>
        <v>1965</v>
      </c>
      <c r="E11121">
        <f>IFERROR(__xludf.DUMMYFUNCTION("""COMPUTED_VALUE"""),682551.0)</f>
        <v>682551</v>
      </c>
    </row>
    <row r="11122">
      <c r="A11122" t="str">
        <f t="shared" si="1"/>
        <v>nam#1966</v>
      </c>
      <c r="B11122" t="str">
        <f>IFERROR(__xludf.DUMMYFUNCTION("""COMPUTED_VALUE"""),"nam")</f>
        <v>nam</v>
      </c>
      <c r="C11122" t="str">
        <f>IFERROR(__xludf.DUMMYFUNCTION("""COMPUTED_VALUE"""),"Namibia")</f>
        <v>Namibia</v>
      </c>
      <c r="D11122">
        <f>IFERROR(__xludf.DUMMYFUNCTION("""COMPUTED_VALUE"""),1966.0)</f>
        <v>1966</v>
      </c>
      <c r="E11122">
        <f>IFERROR(__xludf.DUMMYFUNCTION("""COMPUTED_VALUE"""),700341.0)</f>
        <v>700341</v>
      </c>
    </row>
    <row r="11123">
      <c r="A11123" t="str">
        <f t="shared" si="1"/>
        <v>nam#1967</v>
      </c>
      <c r="B11123" t="str">
        <f>IFERROR(__xludf.DUMMYFUNCTION("""COMPUTED_VALUE"""),"nam")</f>
        <v>nam</v>
      </c>
      <c r="C11123" t="str">
        <f>IFERROR(__xludf.DUMMYFUNCTION("""COMPUTED_VALUE"""),"Namibia")</f>
        <v>Namibia</v>
      </c>
      <c r="D11123">
        <f>IFERROR(__xludf.DUMMYFUNCTION("""COMPUTED_VALUE"""),1967.0)</f>
        <v>1967</v>
      </c>
      <c r="E11123">
        <f>IFERROR(__xludf.DUMMYFUNCTION("""COMPUTED_VALUE"""),718685.0)</f>
        <v>718685</v>
      </c>
    </row>
    <row r="11124">
      <c r="A11124" t="str">
        <f t="shared" si="1"/>
        <v>nam#1968</v>
      </c>
      <c r="B11124" t="str">
        <f>IFERROR(__xludf.DUMMYFUNCTION("""COMPUTED_VALUE"""),"nam")</f>
        <v>nam</v>
      </c>
      <c r="C11124" t="str">
        <f>IFERROR(__xludf.DUMMYFUNCTION("""COMPUTED_VALUE"""),"Namibia")</f>
        <v>Namibia</v>
      </c>
      <c r="D11124">
        <f>IFERROR(__xludf.DUMMYFUNCTION("""COMPUTED_VALUE"""),1968.0)</f>
        <v>1968</v>
      </c>
      <c r="E11124">
        <f>IFERROR(__xludf.DUMMYFUNCTION("""COMPUTED_VALUE"""),737886.0)</f>
        <v>737886</v>
      </c>
    </row>
    <row r="11125">
      <c r="A11125" t="str">
        <f t="shared" si="1"/>
        <v>nam#1969</v>
      </c>
      <c r="B11125" t="str">
        <f>IFERROR(__xludf.DUMMYFUNCTION("""COMPUTED_VALUE"""),"nam")</f>
        <v>nam</v>
      </c>
      <c r="C11125" t="str">
        <f>IFERROR(__xludf.DUMMYFUNCTION("""COMPUTED_VALUE"""),"Namibia")</f>
        <v>Namibia</v>
      </c>
      <c r="D11125">
        <f>IFERROR(__xludf.DUMMYFUNCTION("""COMPUTED_VALUE"""),1969.0)</f>
        <v>1969</v>
      </c>
      <c r="E11125">
        <f>IFERROR(__xludf.DUMMYFUNCTION("""COMPUTED_VALUE"""),758377.0)</f>
        <v>758377</v>
      </c>
    </row>
    <row r="11126">
      <c r="A11126" t="str">
        <f t="shared" si="1"/>
        <v>nam#1970</v>
      </c>
      <c r="B11126" t="str">
        <f>IFERROR(__xludf.DUMMYFUNCTION("""COMPUTED_VALUE"""),"nam")</f>
        <v>nam</v>
      </c>
      <c r="C11126" t="str">
        <f>IFERROR(__xludf.DUMMYFUNCTION("""COMPUTED_VALUE"""),"Namibia")</f>
        <v>Namibia</v>
      </c>
      <c r="D11126">
        <f>IFERROR(__xludf.DUMMYFUNCTION("""COMPUTED_VALUE"""),1970.0)</f>
        <v>1970</v>
      </c>
      <c r="E11126">
        <f>IFERROR(__xludf.DUMMYFUNCTION("""COMPUTED_VALUE"""),780384.0)</f>
        <v>780384</v>
      </c>
    </row>
    <row r="11127">
      <c r="A11127" t="str">
        <f t="shared" si="1"/>
        <v>nam#1971</v>
      </c>
      <c r="B11127" t="str">
        <f>IFERROR(__xludf.DUMMYFUNCTION("""COMPUTED_VALUE"""),"nam")</f>
        <v>nam</v>
      </c>
      <c r="C11127" t="str">
        <f>IFERROR(__xludf.DUMMYFUNCTION("""COMPUTED_VALUE"""),"Namibia")</f>
        <v>Namibia</v>
      </c>
      <c r="D11127">
        <f>IFERROR(__xludf.DUMMYFUNCTION("""COMPUTED_VALUE"""),1971.0)</f>
        <v>1971</v>
      </c>
      <c r="E11127">
        <f>IFERROR(__xludf.DUMMYFUNCTION("""COMPUTED_VALUE"""),804157.0)</f>
        <v>804157</v>
      </c>
    </row>
    <row r="11128">
      <c r="A11128" t="str">
        <f t="shared" si="1"/>
        <v>nam#1972</v>
      </c>
      <c r="B11128" t="str">
        <f>IFERROR(__xludf.DUMMYFUNCTION("""COMPUTED_VALUE"""),"nam")</f>
        <v>nam</v>
      </c>
      <c r="C11128" t="str">
        <f>IFERROR(__xludf.DUMMYFUNCTION("""COMPUTED_VALUE"""),"Namibia")</f>
        <v>Namibia</v>
      </c>
      <c r="D11128">
        <f>IFERROR(__xludf.DUMMYFUNCTION("""COMPUTED_VALUE"""),1972.0)</f>
        <v>1972</v>
      </c>
      <c r="E11128">
        <f>IFERROR(__xludf.DUMMYFUNCTION("""COMPUTED_VALUE"""),829441.0)</f>
        <v>829441</v>
      </c>
    </row>
    <row r="11129">
      <c r="A11129" t="str">
        <f t="shared" si="1"/>
        <v>nam#1973</v>
      </c>
      <c r="B11129" t="str">
        <f>IFERROR(__xludf.DUMMYFUNCTION("""COMPUTED_VALUE"""),"nam")</f>
        <v>nam</v>
      </c>
      <c r="C11129" t="str">
        <f>IFERROR(__xludf.DUMMYFUNCTION("""COMPUTED_VALUE"""),"Namibia")</f>
        <v>Namibia</v>
      </c>
      <c r="D11129">
        <f>IFERROR(__xludf.DUMMYFUNCTION("""COMPUTED_VALUE"""),1973.0)</f>
        <v>1973</v>
      </c>
      <c r="E11129">
        <f>IFERROR(__xludf.DUMMYFUNCTION("""COMPUTED_VALUE"""),855380.0)</f>
        <v>855380</v>
      </c>
    </row>
    <row r="11130">
      <c r="A11130" t="str">
        <f t="shared" si="1"/>
        <v>nam#1974</v>
      </c>
      <c r="B11130" t="str">
        <f>IFERROR(__xludf.DUMMYFUNCTION("""COMPUTED_VALUE"""),"nam")</f>
        <v>nam</v>
      </c>
      <c r="C11130" t="str">
        <f>IFERROR(__xludf.DUMMYFUNCTION("""COMPUTED_VALUE"""),"Namibia")</f>
        <v>Namibia</v>
      </c>
      <c r="D11130">
        <f>IFERROR(__xludf.DUMMYFUNCTION("""COMPUTED_VALUE"""),1974.0)</f>
        <v>1974</v>
      </c>
      <c r="E11130">
        <f>IFERROR(__xludf.DUMMYFUNCTION("""COMPUTED_VALUE"""),880785.0)</f>
        <v>880785</v>
      </c>
    </row>
    <row r="11131">
      <c r="A11131" t="str">
        <f t="shared" si="1"/>
        <v>nam#1975</v>
      </c>
      <c r="B11131" t="str">
        <f>IFERROR(__xludf.DUMMYFUNCTION("""COMPUTED_VALUE"""),"nam")</f>
        <v>nam</v>
      </c>
      <c r="C11131" t="str">
        <f>IFERROR(__xludf.DUMMYFUNCTION("""COMPUTED_VALUE"""),"Namibia")</f>
        <v>Namibia</v>
      </c>
      <c r="D11131">
        <f>IFERROR(__xludf.DUMMYFUNCTION("""COMPUTED_VALUE"""),1975.0)</f>
        <v>1975</v>
      </c>
      <c r="E11131">
        <f>IFERROR(__xludf.DUMMYFUNCTION("""COMPUTED_VALUE"""),904839.0)</f>
        <v>904839</v>
      </c>
    </row>
    <row r="11132">
      <c r="A11132" t="str">
        <f t="shared" si="1"/>
        <v>nam#1976</v>
      </c>
      <c r="B11132" t="str">
        <f>IFERROR(__xludf.DUMMYFUNCTION("""COMPUTED_VALUE"""),"nam")</f>
        <v>nam</v>
      </c>
      <c r="C11132" t="str">
        <f>IFERROR(__xludf.DUMMYFUNCTION("""COMPUTED_VALUE"""),"Namibia")</f>
        <v>Namibia</v>
      </c>
      <c r="D11132">
        <f>IFERROR(__xludf.DUMMYFUNCTION("""COMPUTED_VALUE"""),1976.0)</f>
        <v>1976</v>
      </c>
      <c r="E11132">
        <f>IFERROR(__xludf.DUMMYFUNCTION("""COMPUTED_VALUE"""),927503.0)</f>
        <v>927503</v>
      </c>
    </row>
    <row r="11133">
      <c r="A11133" t="str">
        <f t="shared" si="1"/>
        <v>nam#1977</v>
      </c>
      <c r="B11133" t="str">
        <f>IFERROR(__xludf.DUMMYFUNCTION("""COMPUTED_VALUE"""),"nam")</f>
        <v>nam</v>
      </c>
      <c r="C11133" t="str">
        <f>IFERROR(__xludf.DUMMYFUNCTION("""COMPUTED_VALUE"""),"Namibia")</f>
        <v>Namibia</v>
      </c>
      <c r="D11133">
        <f>IFERROR(__xludf.DUMMYFUNCTION("""COMPUTED_VALUE"""),1977.0)</f>
        <v>1977</v>
      </c>
      <c r="E11133">
        <f>IFERROR(__xludf.DUMMYFUNCTION("""COMPUTED_VALUE"""),949193.0)</f>
        <v>949193</v>
      </c>
    </row>
    <row r="11134">
      <c r="A11134" t="str">
        <f t="shared" si="1"/>
        <v>nam#1978</v>
      </c>
      <c r="B11134" t="str">
        <f>IFERROR(__xludf.DUMMYFUNCTION("""COMPUTED_VALUE"""),"nam")</f>
        <v>nam</v>
      </c>
      <c r="C11134" t="str">
        <f>IFERROR(__xludf.DUMMYFUNCTION("""COMPUTED_VALUE"""),"Namibia")</f>
        <v>Namibia</v>
      </c>
      <c r="D11134">
        <f>IFERROR(__xludf.DUMMYFUNCTION("""COMPUTED_VALUE"""),1978.0)</f>
        <v>1978</v>
      </c>
      <c r="E11134">
        <f>IFERROR(__xludf.DUMMYFUNCTION("""COMPUTED_VALUE"""),970258.0)</f>
        <v>970258</v>
      </c>
    </row>
    <row r="11135">
      <c r="A11135" t="str">
        <f t="shared" si="1"/>
        <v>nam#1979</v>
      </c>
      <c r="B11135" t="str">
        <f>IFERROR(__xludf.DUMMYFUNCTION("""COMPUTED_VALUE"""),"nam")</f>
        <v>nam</v>
      </c>
      <c r="C11135" t="str">
        <f>IFERROR(__xludf.DUMMYFUNCTION("""COMPUTED_VALUE"""),"Namibia")</f>
        <v>Namibia</v>
      </c>
      <c r="D11135">
        <f>IFERROR(__xludf.DUMMYFUNCTION("""COMPUTED_VALUE"""),1979.0)</f>
        <v>1979</v>
      </c>
      <c r="E11135">
        <f>IFERROR(__xludf.DUMMYFUNCTION("""COMPUTED_VALUE"""),991226.0)</f>
        <v>991226</v>
      </c>
    </row>
    <row r="11136">
      <c r="A11136" t="str">
        <f t="shared" si="1"/>
        <v>nam#1980</v>
      </c>
      <c r="B11136" t="str">
        <f>IFERROR(__xludf.DUMMYFUNCTION("""COMPUTED_VALUE"""),"nam")</f>
        <v>nam</v>
      </c>
      <c r="C11136" t="str">
        <f>IFERROR(__xludf.DUMMYFUNCTION("""COMPUTED_VALUE"""),"Namibia")</f>
        <v>Namibia</v>
      </c>
      <c r="D11136">
        <f>IFERROR(__xludf.DUMMYFUNCTION("""COMPUTED_VALUE"""),1980.0)</f>
        <v>1980</v>
      </c>
      <c r="E11136">
        <f>IFERROR(__xludf.DUMMYFUNCTION("""COMPUTED_VALUE"""),1012672.0)</f>
        <v>1012672</v>
      </c>
    </row>
    <row r="11137">
      <c r="A11137" t="str">
        <f t="shared" si="1"/>
        <v>nam#1981</v>
      </c>
      <c r="B11137" t="str">
        <f>IFERROR(__xludf.DUMMYFUNCTION("""COMPUTED_VALUE"""),"nam")</f>
        <v>nam</v>
      </c>
      <c r="C11137" t="str">
        <f>IFERROR(__xludf.DUMMYFUNCTION("""COMPUTED_VALUE"""),"Namibia")</f>
        <v>Namibia</v>
      </c>
      <c r="D11137">
        <f>IFERROR(__xludf.DUMMYFUNCTION("""COMPUTED_VALUE"""),1981.0)</f>
        <v>1981</v>
      </c>
      <c r="E11137">
        <f>IFERROR(__xludf.DUMMYFUNCTION("""COMPUTED_VALUE"""),1034264.0)</f>
        <v>1034264</v>
      </c>
    </row>
    <row r="11138">
      <c r="A11138" t="str">
        <f t="shared" si="1"/>
        <v>nam#1982</v>
      </c>
      <c r="B11138" t="str">
        <f>IFERROR(__xludf.DUMMYFUNCTION("""COMPUTED_VALUE"""),"nam")</f>
        <v>nam</v>
      </c>
      <c r="C11138" t="str">
        <f>IFERROR(__xludf.DUMMYFUNCTION("""COMPUTED_VALUE"""),"Namibia")</f>
        <v>Namibia</v>
      </c>
      <c r="D11138">
        <f>IFERROR(__xludf.DUMMYFUNCTION("""COMPUTED_VALUE"""),1982.0)</f>
        <v>1982</v>
      </c>
      <c r="E11138">
        <f>IFERROR(__xludf.DUMMYFUNCTION("""COMPUTED_VALUE"""),1056366.0)</f>
        <v>1056366</v>
      </c>
    </row>
    <row r="11139">
      <c r="A11139" t="str">
        <f t="shared" si="1"/>
        <v>nam#1983</v>
      </c>
      <c r="B11139" t="str">
        <f>IFERROR(__xludf.DUMMYFUNCTION("""COMPUTED_VALUE"""),"nam")</f>
        <v>nam</v>
      </c>
      <c r="C11139" t="str">
        <f>IFERROR(__xludf.DUMMYFUNCTION("""COMPUTED_VALUE"""),"Namibia")</f>
        <v>Namibia</v>
      </c>
      <c r="D11139">
        <f>IFERROR(__xludf.DUMMYFUNCTION("""COMPUTED_VALUE"""),1983.0)</f>
        <v>1983</v>
      </c>
      <c r="E11139">
        <f>IFERROR(__xludf.DUMMYFUNCTION("""COMPUTED_VALUE"""),1081081.0)</f>
        <v>1081081</v>
      </c>
    </row>
    <row r="11140">
      <c r="A11140" t="str">
        <f t="shared" si="1"/>
        <v>nam#1984</v>
      </c>
      <c r="B11140" t="str">
        <f>IFERROR(__xludf.DUMMYFUNCTION("""COMPUTED_VALUE"""),"nam")</f>
        <v>nam</v>
      </c>
      <c r="C11140" t="str">
        <f>IFERROR(__xludf.DUMMYFUNCTION("""COMPUTED_VALUE"""),"Namibia")</f>
        <v>Namibia</v>
      </c>
      <c r="D11140">
        <f>IFERROR(__xludf.DUMMYFUNCTION("""COMPUTED_VALUE"""),1984.0)</f>
        <v>1984</v>
      </c>
      <c r="E11140">
        <f>IFERROR(__xludf.DUMMYFUNCTION("""COMPUTED_VALUE"""),1111132.0)</f>
        <v>1111132</v>
      </c>
    </row>
    <row r="11141">
      <c r="A11141" t="str">
        <f t="shared" si="1"/>
        <v>nam#1985</v>
      </c>
      <c r="B11141" t="str">
        <f>IFERROR(__xludf.DUMMYFUNCTION("""COMPUTED_VALUE"""),"nam")</f>
        <v>nam</v>
      </c>
      <c r="C11141" t="str">
        <f>IFERROR(__xludf.DUMMYFUNCTION("""COMPUTED_VALUE"""),"Namibia")</f>
        <v>Namibia</v>
      </c>
      <c r="D11141">
        <f>IFERROR(__xludf.DUMMYFUNCTION("""COMPUTED_VALUE"""),1985.0)</f>
        <v>1985</v>
      </c>
      <c r="E11141">
        <f>IFERROR(__xludf.DUMMYFUNCTION("""COMPUTED_VALUE"""),1148302.0)</f>
        <v>1148302</v>
      </c>
    </row>
    <row r="11142">
      <c r="A11142" t="str">
        <f t="shared" si="1"/>
        <v>nam#1986</v>
      </c>
      <c r="B11142" t="str">
        <f>IFERROR(__xludf.DUMMYFUNCTION("""COMPUTED_VALUE"""),"nam")</f>
        <v>nam</v>
      </c>
      <c r="C11142" t="str">
        <f>IFERROR(__xludf.DUMMYFUNCTION("""COMPUTED_VALUE"""),"Namibia")</f>
        <v>Namibia</v>
      </c>
      <c r="D11142">
        <f>IFERROR(__xludf.DUMMYFUNCTION("""COMPUTED_VALUE"""),1986.0)</f>
        <v>1986</v>
      </c>
      <c r="E11142">
        <f>IFERROR(__xludf.DUMMYFUNCTION("""COMPUTED_VALUE"""),1193592.0)</f>
        <v>1193592</v>
      </c>
    </row>
    <row r="11143">
      <c r="A11143" t="str">
        <f t="shared" si="1"/>
        <v>nam#1987</v>
      </c>
      <c r="B11143" t="str">
        <f>IFERROR(__xludf.DUMMYFUNCTION("""COMPUTED_VALUE"""),"nam")</f>
        <v>nam</v>
      </c>
      <c r="C11143" t="str">
        <f>IFERROR(__xludf.DUMMYFUNCTION("""COMPUTED_VALUE"""),"Namibia")</f>
        <v>Namibia</v>
      </c>
      <c r="D11143">
        <f>IFERROR(__xludf.DUMMYFUNCTION("""COMPUTED_VALUE"""),1987.0)</f>
        <v>1987</v>
      </c>
      <c r="E11143">
        <f>IFERROR(__xludf.DUMMYFUNCTION("""COMPUTED_VALUE"""),1245990.0)</f>
        <v>1245990</v>
      </c>
    </row>
    <row r="11144">
      <c r="A11144" t="str">
        <f t="shared" si="1"/>
        <v>nam#1988</v>
      </c>
      <c r="B11144" t="str">
        <f>IFERROR(__xludf.DUMMYFUNCTION("""COMPUTED_VALUE"""),"nam")</f>
        <v>nam</v>
      </c>
      <c r="C11144" t="str">
        <f>IFERROR(__xludf.DUMMYFUNCTION("""COMPUTED_VALUE"""),"Namibia")</f>
        <v>Namibia</v>
      </c>
      <c r="D11144">
        <f>IFERROR(__xludf.DUMMYFUNCTION("""COMPUTED_VALUE"""),1988.0)</f>
        <v>1988</v>
      </c>
      <c r="E11144">
        <f>IFERROR(__xludf.DUMMYFUNCTION("""COMPUTED_VALUE"""),1302741.0)</f>
        <v>1302741</v>
      </c>
    </row>
    <row r="11145">
      <c r="A11145" t="str">
        <f t="shared" si="1"/>
        <v>nam#1989</v>
      </c>
      <c r="B11145" t="str">
        <f>IFERROR(__xludf.DUMMYFUNCTION("""COMPUTED_VALUE"""),"nam")</f>
        <v>nam</v>
      </c>
      <c r="C11145" t="str">
        <f>IFERROR(__xludf.DUMMYFUNCTION("""COMPUTED_VALUE"""),"Namibia")</f>
        <v>Namibia</v>
      </c>
      <c r="D11145">
        <f>IFERROR(__xludf.DUMMYFUNCTION("""COMPUTED_VALUE"""),1989.0)</f>
        <v>1989</v>
      </c>
      <c r="E11145">
        <f>IFERROR(__xludf.DUMMYFUNCTION("""COMPUTED_VALUE"""),1359933.0)</f>
        <v>1359933</v>
      </c>
    </row>
    <row r="11146">
      <c r="A11146" t="str">
        <f t="shared" si="1"/>
        <v>nam#1990</v>
      </c>
      <c r="B11146" t="str">
        <f>IFERROR(__xludf.DUMMYFUNCTION("""COMPUTED_VALUE"""),"nam")</f>
        <v>nam</v>
      </c>
      <c r="C11146" t="str">
        <f>IFERROR(__xludf.DUMMYFUNCTION("""COMPUTED_VALUE"""),"Namibia")</f>
        <v>Namibia</v>
      </c>
      <c r="D11146">
        <f>IFERROR(__xludf.DUMMYFUNCTION("""COMPUTED_VALUE"""),1990.0)</f>
        <v>1990</v>
      </c>
      <c r="E11146">
        <f>IFERROR(__xludf.DUMMYFUNCTION("""COMPUTED_VALUE"""),1414692.0)</f>
        <v>1414692</v>
      </c>
    </row>
    <row r="11147">
      <c r="A11147" t="str">
        <f t="shared" si="1"/>
        <v>nam#1991</v>
      </c>
      <c r="B11147" t="str">
        <f>IFERROR(__xludf.DUMMYFUNCTION("""COMPUTED_VALUE"""),"nam")</f>
        <v>nam</v>
      </c>
      <c r="C11147" t="str">
        <f>IFERROR(__xludf.DUMMYFUNCTION("""COMPUTED_VALUE"""),"Namibia")</f>
        <v>Namibia</v>
      </c>
      <c r="D11147">
        <f>IFERROR(__xludf.DUMMYFUNCTION("""COMPUTED_VALUE"""),1991.0)</f>
        <v>1991</v>
      </c>
      <c r="E11147">
        <f>IFERROR(__xludf.DUMMYFUNCTION("""COMPUTED_VALUE"""),1465740.0)</f>
        <v>1465740</v>
      </c>
    </row>
    <row r="11148">
      <c r="A11148" t="str">
        <f t="shared" si="1"/>
        <v>nam#1992</v>
      </c>
      <c r="B11148" t="str">
        <f>IFERROR(__xludf.DUMMYFUNCTION("""COMPUTED_VALUE"""),"nam")</f>
        <v>nam</v>
      </c>
      <c r="C11148" t="str">
        <f>IFERROR(__xludf.DUMMYFUNCTION("""COMPUTED_VALUE"""),"Namibia")</f>
        <v>Namibia</v>
      </c>
      <c r="D11148">
        <f>IFERROR(__xludf.DUMMYFUNCTION("""COMPUTED_VALUE"""),1992.0)</f>
        <v>1992</v>
      </c>
      <c r="E11148">
        <f>IFERROR(__xludf.DUMMYFUNCTION("""COMPUTED_VALUE"""),1513721.0)</f>
        <v>1513721</v>
      </c>
    </row>
    <row r="11149">
      <c r="A11149" t="str">
        <f t="shared" si="1"/>
        <v>nam#1993</v>
      </c>
      <c r="B11149" t="str">
        <f>IFERROR(__xludf.DUMMYFUNCTION("""COMPUTED_VALUE"""),"nam")</f>
        <v>nam</v>
      </c>
      <c r="C11149" t="str">
        <f>IFERROR(__xludf.DUMMYFUNCTION("""COMPUTED_VALUE"""),"Namibia")</f>
        <v>Namibia</v>
      </c>
      <c r="D11149">
        <f>IFERROR(__xludf.DUMMYFUNCTION("""COMPUTED_VALUE"""),1993.0)</f>
        <v>1993</v>
      </c>
      <c r="E11149">
        <f>IFERROR(__xludf.DUMMYFUNCTION("""COMPUTED_VALUE"""),1559983.0)</f>
        <v>1559983</v>
      </c>
    </row>
    <row r="11150">
      <c r="A11150" t="str">
        <f t="shared" si="1"/>
        <v>nam#1994</v>
      </c>
      <c r="B11150" t="str">
        <f>IFERROR(__xludf.DUMMYFUNCTION("""COMPUTED_VALUE"""),"nam")</f>
        <v>nam</v>
      </c>
      <c r="C11150" t="str">
        <f>IFERROR(__xludf.DUMMYFUNCTION("""COMPUTED_VALUE"""),"Namibia")</f>
        <v>Namibia</v>
      </c>
      <c r="D11150">
        <f>IFERROR(__xludf.DUMMYFUNCTION("""COMPUTED_VALUE"""),1994.0)</f>
        <v>1994</v>
      </c>
      <c r="E11150">
        <f>IFERROR(__xludf.DUMMYFUNCTION("""COMPUTED_VALUE"""),1606718.0)</f>
        <v>1606718</v>
      </c>
    </row>
    <row r="11151">
      <c r="A11151" t="str">
        <f t="shared" si="1"/>
        <v>nam#1995</v>
      </c>
      <c r="B11151" t="str">
        <f>IFERROR(__xludf.DUMMYFUNCTION("""COMPUTED_VALUE"""),"nam")</f>
        <v>nam</v>
      </c>
      <c r="C11151" t="str">
        <f>IFERROR(__xludf.DUMMYFUNCTION("""COMPUTED_VALUE"""),"Namibia")</f>
        <v>Namibia</v>
      </c>
      <c r="D11151">
        <f>IFERROR(__xludf.DUMMYFUNCTION("""COMPUTED_VALUE"""),1995.0)</f>
        <v>1995</v>
      </c>
      <c r="E11151">
        <f>IFERROR(__xludf.DUMMYFUNCTION("""COMPUTED_VALUE"""),1655359.0)</f>
        <v>1655359</v>
      </c>
    </row>
    <row r="11152">
      <c r="A11152" t="str">
        <f t="shared" si="1"/>
        <v>nam#1996</v>
      </c>
      <c r="B11152" t="str">
        <f>IFERROR(__xludf.DUMMYFUNCTION("""COMPUTED_VALUE"""),"nam")</f>
        <v>nam</v>
      </c>
      <c r="C11152" t="str">
        <f>IFERROR(__xludf.DUMMYFUNCTION("""COMPUTED_VALUE"""),"Namibia")</f>
        <v>Namibia</v>
      </c>
      <c r="D11152">
        <f>IFERROR(__xludf.DUMMYFUNCTION("""COMPUTED_VALUE"""),1996.0)</f>
        <v>1996</v>
      </c>
      <c r="E11152">
        <f>IFERROR(__xludf.DUMMYFUNCTION("""COMPUTED_VALUE"""),1706489.0)</f>
        <v>1706489</v>
      </c>
    </row>
    <row r="11153">
      <c r="A11153" t="str">
        <f t="shared" si="1"/>
        <v>nam#1997</v>
      </c>
      <c r="B11153" t="str">
        <f>IFERROR(__xludf.DUMMYFUNCTION("""COMPUTED_VALUE"""),"nam")</f>
        <v>nam</v>
      </c>
      <c r="C11153" t="str">
        <f>IFERROR(__xludf.DUMMYFUNCTION("""COMPUTED_VALUE"""),"Namibia")</f>
        <v>Namibia</v>
      </c>
      <c r="D11153">
        <f>IFERROR(__xludf.DUMMYFUNCTION("""COMPUTED_VALUE"""),1997.0)</f>
        <v>1997</v>
      </c>
      <c r="E11153">
        <f>IFERROR(__xludf.DUMMYFUNCTION("""COMPUTED_VALUE"""),1758994.0)</f>
        <v>1758994</v>
      </c>
    </row>
    <row r="11154">
      <c r="A11154" t="str">
        <f t="shared" si="1"/>
        <v>nam#1998</v>
      </c>
      <c r="B11154" t="str">
        <f>IFERROR(__xludf.DUMMYFUNCTION("""COMPUTED_VALUE"""),"nam")</f>
        <v>nam</v>
      </c>
      <c r="C11154" t="str">
        <f>IFERROR(__xludf.DUMMYFUNCTION("""COMPUTED_VALUE"""),"Namibia")</f>
        <v>Namibia</v>
      </c>
      <c r="D11154">
        <f>IFERROR(__xludf.DUMMYFUNCTION("""COMPUTED_VALUE"""),1998.0)</f>
        <v>1998</v>
      </c>
      <c r="E11154">
        <f>IFERROR(__xludf.DUMMYFUNCTION("""COMPUTED_VALUE"""),1810566.0)</f>
        <v>1810566</v>
      </c>
    </row>
    <row r="11155">
      <c r="A11155" t="str">
        <f t="shared" si="1"/>
        <v>nam#1999</v>
      </c>
      <c r="B11155" t="str">
        <f>IFERROR(__xludf.DUMMYFUNCTION("""COMPUTED_VALUE"""),"nam")</f>
        <v>nam</v>
      </c>
      <c r="C11155" t="str">
        <f>IFERROR(__xludf.DUMMYFUNCTION("""COMPUTED_VALUE"""),"Namibia")</f>
        <v>Namibia</v>
      </c>
      <c r="D11155">
        <f>IFERROR(__xludf.DUMMYFUNCTION("""COMPUTED_VALUE"""),1999.0)</f>
        <v>1999</v>
      </c>
      <c r="E11155">
        <f>IFERROR(__xludf.DUMMYFUNCTION("""COMPUTED_VALUE"""),1858042.0)</f>
        <v>1858042</v>
      </c>
    </row>
    <row r="11156">
      <c r="A11156" t="str">
        <f t="shared" si="1"/>
        <v>nam#2000</v>
      </c>
      <c r="B11156" t="str">
        <f>IFERROR(__xludf.DUMMYFUNCTION("""COMPUTED_VALUE"""),"nam")</f>
        <v>nam</v>
      </c>
      <c r="C11156" t="str">
        <f>IFERROR(__xludf.DUMMYFUNCTION("""COMPUTED_VALUE"""),"Namibia")</f>
        <v>Namibia</v>
      </c>
      <c r="D11156">
        <f>IFERROR(__xludf.DUMMYFUNCTION("""COMPUTED_VALUE"""),2000.0)</f>
        <v>2000</v>
      </c>
      <c r="E11156">
        <f>IFERROR(__xludf.DUMMYFUNCTION("""COMPUTED_VALUE"""),1899257.0)</f>
        <v>1899257</v>
      </c>
    </row>
    <row r="11157">
      <c r="A11157" t="str">
        <f t="shared" si="1"/>
        <v>nam#2001</v>
      </c>
      <c r="B11157" t="str">
        <f>IFERROR(__xludf.DUMMYFUNCTION("""COMPUTED_VALUE"""),"nam")</f>
        <v>nam</v>
      </c>
      <c r="C11157" t="str">
        <f>IFERROR(__xludf.DUMMYFUNCTION("""COMPUTED_VALUE"""),"Namibia")</f>
        <v>Namibia</v>
      </c>
      <c r="D11157">
        <f>IFERROR(__xludf.DUMMYFUNCTION("""COMPUTED_VALUE"""),2001.0)</f>
        <v>2001</v>
      </c>
      <c r="E11157">
        <f>IFERROR(__xludf.DUMMYFUNCTION("""COMPUTED_VALUE"""),1933596.0)</f>
        <v>1933596</v>
      </c>
    </row>
    <row r="11158">
      <c r="A11158" t="str">
        <f t="shared" si="1"/>
        <v>nam#2002</v>
      </c>
      <c r="B11158" t="str">
        <f>IFERROR(__xludf.DUMMYFUNCTION("""COMPUTED_VALUE"""),"nam")</f>
        <v>nam</v>
      </c>
      <c r="C11158" t="str">
        <f>IFERROR(__xludf.DUMMYFUNCTION("""COMPUTED_VALUE"""),"Namibia")</f>
        <v>Namibia</v>
      </c>
      <c r="D11158">
        <f>IFERROR(__xludf.DUMMYFUNCTION("""COMPUTED_VALUE"""),2002.0)</f>
        <v>2002</v>
      </c>
      <c r="E11158">
        <f>IFERROR(__xludf.DUMMYFUNCTION("""COMPUTED_VALUE"""),1962147.0)</f>
        <v>1962147</v>
      </c>
    </row>
    <row r="11159">
      <c r="A11159" t="str">
        <f t="shared" si="1"/>
        <v>nam#2003</v>
      </c>
      <c r="B11159" t="str">
        <f>IFERROR(__xludf.DUMMYFUNCTION("""COMPUTED_VALUE"""),"nam")</f>
        <v>nam</v>
      </c>
      <c r="C11159" t="str">
        <f>IFERROR(__xludf.DUMMYFUNCTION("""COMPUTED_VALUE"""),"Namibia")</f>
        <v>Namibia</v>
      </c>
      <c r="D11159">
        <f>IFERROR(__xludf.DUMMYFUNCTION("""COMPUTED_VALUE"""),2003.0)</f>
        <v>2003</v>
      </c>
      <c r="E11159">
        <f>IFERROR(__xludf.DUMMYFUNCTION("""COMPUTED_VALUE"""),1986535.0)</f>
        <v>1986535</v>
      </c>
    </row>
    <row r="11160">
      <c r="A11160" t="str">
        <f t="shared" si="1"/>
        <v>nam#2004</v>
      </c>
      <c r="B11160" t="str">
        <f>IFERROR(__xludf.DUMMYFUNCTION("""COMPUTED_VALUE"""),"nam")</f>
        <v>nam</v>
      </c>
      <c r="C11160" t="str">
        <f>IFERROR(__xludf.DUMMYFUNCTION("""COMPUTED_VALUE"""),"Namibia")</f>
        <v>Namibia</v>
      </c>
      <c r="D11160">
        <f>IFERROR(__xludf.DUMMYFUNCTION("""COMPUTED_VALUE"""),2004.0)</f>
        <v>2004</v>
      </c>
      <c r="E11160">
        <f>IFERROR(__xludf.DUMMYFUNCTION("""COMPUTED_VALUE"""),2009228.0)</f>
        <v>2009228</v>
      </c>
    </row>
    <row r="11161">
      <c r="A11161" t="str">
        <f t="shared" si="1"/>
        <v>nam#2005</v>
      </c>
      <c r="B11161" t="str">
        <f>IFERROR(__xludf.DUMMYFUNCTION("""COMPUTED_VALUE"""),"nam")</f>
        <v>nam</v>
      </c>
      <c r="C11161" t="str">
        <f>IFERROR(__xludf.DUMMYFUNCTION("""COMPUTED_VALUE"""),"Namibia")</f>
        <v>Namibia</v>
      </c>
      <c r="D11161">
        <f>IFERROR(__xludf.DUMMYFUNCTION("""COMPUTED_VALUE"""),2005.0)</f>
        <v>2005</v>
      </c>
      <c r="E11161">
        <f>IFERROR(__xludf.DUMMYFUNCTION("""COMPUTED_VALUE"""),2032196.0)</f>
        <v>2032196</v>
      </c>
    </row>
    <row r="11162">
      <c r="A11162" t="str">
        <f t="shared" si="1"/>
        <v>nam#2006</v>
      </c>
      <c r="B11162" t="str">
        <f>IFERROR(__xludf.DUMMYFUNCTION("""COMPUTED_VALUE"""),"nam")</f>
        <v>nam</v>
      </c>
      <c r="C11162" t="str">
        <f>IFERROR(__xludf.DUMMYFUNCTION("""COMPUTED_VALUE"""),"Namibia")</f>
        <v>Namibia</v>
      </c>
      <c r="D11162">
        <f>IFERROR(__xludf.DUMMYFUNCTION("""COMPUTED_VALUE"""),2006.0)</f>
        <v>2006</v>
      </c>
      <c r="E11162">
        <f>IFERROR(__xludf.DUMMYFUNCTION("""COMPUTED_VALUE"""),2055734.0)</f>
        <v>2055734</v>
      </c>
    </row>
    <row r="11163">
      <c r="A11163" t="str">
        <f t="shared" si="1"/>
        <v>nam#2007</v>
      </c>
      <c r="B11163" t="str">
        <f>IFERROR(__xludf.DUMMYFUNCTION("""COMPUTED_VALUE"""),"nam")</f>
        <v>nam</v>
      </c>
      <c r="C11163" t="str">
        <f>IFERROR(__xludf.DUMMYFUNCTION("""COMPUTED_VALUE"""),"Namibia")</f>
        <v>Namibia</v>
      </c>
      <c r="D11163">
        <f>IFERROR(__xludf.DUMMYFUNCTION("""COMPUTED_VALUE"""),2007.0)</f>
        <v>2007</v>
      </c>
      <c r="E11163">
        <f>IFERROR(__xludf.DUMMYFUNCTION("""COMPUTED_VALUE"""),2079915.0)</f>
        <v>2079915</v>
      </c>
    </row>
    <row r="11164">
      <c r="A11164" t="str">
        <f t="shared" si="1"/>
        <v>nam#2008</v>
      </c>
      <c r="B11164" t="str">
        <f>IFERROR(__xludf.DUMMYFUNCTION("""COMPUTED_VALUE"""),"nam")</f>
        <v>nam</v>
      </c>
      <c r="C11164" t="str">
        <f>IFERROR(__xludf.DUMMYFUNCTION("""COMPUTED_VALUE"""),"Namibia")</f>
        <v>Namibia</v>
      </c>
      <c r="D11164">
        <f>IFERROR(__xludf.DUMMYFUNCTION("""COMPUTED_VALUE"""),2008.0)</f>
        <v>2008</v>
      </c>
      <c r="E11164">
        <f>IFERROR(__xludf.DUMMYFUNCTION("""COMPUTED_VALUE"""),2106375.0)</f>
        <v>2106375</v>
      </c>
    </row>
    <row r="11165">
      <c r="A11165" t="str">
        <f t="shared" si="1"/>
        <v>nam#2009</v>
      </c>
      <c r="B11165" t="str">
        <f>IFERROR(__xludf.DUMMYFUNCTION("""COMPUTED_VALUE"""),"nam")</f>
        <v>nam</v>
      </c>
      <c r="C11165" t="str">
        <f>IFERROR(__xludf.DUMMYFUNCTION("""COMPUTED_VALUE"""),"Namibia")</f>
        <v>Namibia</v>
      </c>
      <c r="D11165">
        <f>IFERROR(__xludf.DUMMYFUNCTION("""COMPUTED_VALUE"""),2009.0)</f>
        <v>2009</v>
      </c>
      <c r="E11165">
        <f>IFERROR(__xludf.DUMMYFUNCTION("""COMPUTED_VALUE"""),2137040.0)</f>
        <v>2137040</v>
      </c>
    </row>
    <row r="11166">
      <c r="A11166" t="str">
        <f t="shared" si="1"/>
        <v>nam#2010</v>
      </c>
      <c r="B11166" t="str">
        <f>IFERROR(__xludf.DUMMYFUNCTION("""COMPUTED_VALUE"""),"nam")</f>
        <v>nam</v>
      </c>
      <c r="C11166" t="str">
        <f>IFERROR(__xludf.DUMMYFUNCTION("""COMPUTED_VALUE"""),"Namibia")</f>
        <v>Namibia</v>
      </c>
      <c r="D11166">
        <f>IFERROR(__xludf.DUMMYFUNCTION("""COMPUTED_VALUE"""),2010.0)</f>
        <v>2010</v>
      </c>
      <c r="E11166">
        <f>IFERROR(__xludf.DUMMYFUNCTION("""COMPUTED_VALUE"""),2173170.0)</f>
        <v>2173170</v>
      </c>
    </row>
    <row r="11167">
      <c r="A11167" t="str">
        <f t="shared" si="1"/>
        <v>nam#2011</v>
      </c>
      <c r="B11167" t="str">
        <f>IFERROR(__xludf.DUMMYFUNCTION("""COMPUTED_VALUE"""),"nam")</f>
        <v>nam</v>
      </c>
      <c r="C11167" t="str">
        <f>IFERROR(__xludf.DUMMYFUNCTION("""COMPUTED_VALUE"""),"Namibia")</f>
        <v>Namibia</v>
      </c>
      <c r="D11167">
        <f>IFERROR(__xludf.DUMMYFUNCTION("""COMPUTED_VALUE"""),2011.0)</f>
        <v>2011</v>
      </c>
      <c r="E11167">
        <f>IFERROR(__xludf.DUMMYFUNCTION("""COMPUTED_VALUE"""),2215621.0)</f>
        <v>2215621</v>
      </c>
    </row>
    <row r="11168">
      <c r="A11168" t="str">
        <f t="shared" si="1"/>
        <v>nam#2012</v>
      </c>
      <c r="B11168" t="str">
        <f>IFERROR(__xludf.DUMMYFUNCTION("""COMPUTED_VALUE"""),"nam")</f>
        <v>nam</v>
      </c>
      <c r="C11168" t="str">
        <f>IFERROR(__xludf.DUMMYFUNCTION("""COMPUTED_VALUE"""),"Namibia")</f>
        <v>Namibia</v>
      </c>
      <c r="D11168">
        <f>IFERROR(__xludf.DUMMYFUNCTION("""COMPUTED_VALUE"""),2012.0)</f>
        <v>2012</v>
      </c>
      <c r="E11168">
        <f>IFERROR(__xludf.DUMMYFUNCTION("""COMPUTED_VALUE"""),2263934.0)</f>
        <v>2263934</v>
      </c>
    </row>
    <row r="11169">
      <c r="A11169" t="str">
        <f t="shared" si="1"/>
        <v>nam#2013</v>
      </c>
      <c r="B11169" t="str">
        <f>IFERROR(__xludf.DUMMYFUNCTION("""COMPUTED_VALUE"""),"nam")</f>
        <v>nam</v>
      </c>
      <c r="C11169" t="str">
        <f>IFERROR(__xludf.DUMMYFUNCTION("""COMPUTED_VALUE"""),"Namibia")</f>
        <v>Namibia</v>
      </c>
      <c r="D11169">
        <f>IFERROR(__xludf.DUMMYFUNCTION("""COMPUTED_VALUE"""),2013.0)</f>
        <v>2013</v>
      </c>
      <c r="E11169">
        <f>IFERROR(__xludf.DUMMYFUNCTION("""COMPUTED_VALUE"""),2316520.0)</f>
        <v>2316520</v>
      </c>
    </row>
    <row r="11170">
      <c r="A11170" t="str">
        <f t="shared" si="1"/>
        <v>nam#2014</v>
      </c>
      <c r="B11170" t="str">
        <f>IFERROR(__xludf.DUMMYFUNCTION("""COMPUTED_VALUE"""),"nam")</f>
        <v>nam</v>
      </c>
      <c r="C11170" t="str">
        <f>IFERROR(__xludf.DUMMYFUNCTION("""COMPUTED_VALUE"""),"Namibia")</f>
        <v>Namibia</v>
      </c>
      <c r="D11170">
        <f>IFERROR(__xludf.DUMMYFUNCTION("""COMPUTED_VALUE"""),2014.0)</f>
        <v>2014</v>
      </c>
      <c r="E11170">
        <f>IFERROR(__xludf.DUMMYFUNCTION("""COMPUTED_VALUE"""),2370992.0)</f>
        <v>2370992</v>
      </c>
    </row>
    <row r="11171">
      <c r="A11171" t="str">
        <f t="shared" si="1"/>
        <v>nam#2015</v>
      </c>
      <c r="B11171" t="str">
        <f>IFERROR(__xludf.DUMMYFUNCTION("""COMPUTED_VALUE"""),"nam")</f>
        <v>nam</v>
      </c>
      <c r="C11171" t="str">
        <f>IFERROR(__xludf.DUMMYFUNCTION("""COMPUTED_VALUE"""),"Namibia")</f>
        <v>Namibia</v>
      </c>
      <c r="D11171">
        <f>IFERROR(__xludf.DUMMYFUNCTION("""COMPUTED_VALUE"""),2015.0)</f>
        <v>2015</v>
      </c>
      <c r="E11171">
        <f>IFERROR(__xludf.DUMMYFUNCTION("""COMPUTED_VALUE"""),2425561.0)</f>
        <v>2425561</v>
      </c>
    </row>
    <row r="11172">
      <c r="A11172" t="str">
        <f t="shared" si="1"/>
        <v>nam#2016</v>
      </c>
      <c r="B11172" t="str">
        <f>IFERROR(__xludf.DUMMYFUNCTION("""COMPUTED_VALUE"""),"nam")</f>
        <v>nam</v>
      </c>
      <c r="C11172" t="str">
        <f>IFERROR(__xludf.DUMMYFUNCTION("""COMPUTED_VALUE"""),"Namibia")</f>
        <v>Namibia</v>
      </c>
      <c r="D11172">
        <f>IFERROR(__xludf.DUMMYFUNCTION("""COMPUTED_VALUE"""),2016.0)</f>
        <v>2016</v>
      </c>
      <c r="E11172">
        <f>IFERROR(__xludf.DUMMYFUNCTION("""COMPUTED_VALUE"""),2479713.0)</f>
        <v>2479713</v>
      </c>
    </row>
    <row r="11173">
      <c r="A11173" t="str">
        <f t="shared" si="1"/>
        <v>nam#2017</v>
      </c>
      <c r="B11173" t="str">
        <f>IFERROR(__xludf.DUMMYFUNCTION("""COMPUTED_VALUE"""),"nam")</f>
        <v>nam</v>
      </c>
      <c r="C11173" t="str">
        <f>IFERROR(__xludf.DUMMYFUNCTION("""COMPUTED_VALUE"""),"Namibia")</f>
        <v>Namibia</v>
      </c>
      <c r="D11173">
        <f>IFERROR(__xludf.DUMMYFUNCTION("""COMPUTED_VALUE"""),2017.0)</f>
        <v>2017</v>
      </c>
      <c r="E11173">
        <f>IFERROR(__xludf.DUMMYFUNCTION("""COMPUTED_VALUE"""),2533794.0)</f>
        <v>2533794</v>
      </c>
    </row>
    <row r="11174">
      <c r="A11174" t="str">
        <f t="shared" si="1"/>
        <v>nam#2018</v>
      </c>
      <c r="B11174" t="str">
        <f>IFERROR(__xludf.DUMMYFUNCTION("""COMPUTED_VALUE"""),"nam")</f>
        <v>nam</v>
      </c>
      <c r="C11174" t="str">
        <f>IFERROR(__xludf.DUMMYFUNCTION("""COMPUTED_VALUE"""),"Namibia")</f>
        <v>Namibia</v>
      </c>
      <c r="D11174">
        <f>IFERROR(__xludf.DUMMYFUNCTION("""COMPUTED_VALUE"""),2018.0)</f>
        <v>2018</v>
      </c>
      <c r="E11174">
        <f>IFERROR(__xludf.DUMMYFUNCTION("""COMPUTED_VALUE"""),2587801.0)</f>
        <v>2587801</v>
      </c>
    </row>
    <row r="11175">
      <c r="A11175" t="str">
        <f t="shared" si="1"/>
        <v>nam#2019</v>
      </c>
      <c r="B11175" t="str">
        <f>IFERROR(__xludf.DUMMYFUNCTION("""COMPUTED_VALUE"""),"nam")</f>
        <v>nam</v>
      </c>
      <c r="C11175" t="str">
        <f>IFERROR(__xludf.DUMMYFUNCTION("""COMPUTED_VALUE"""),"Namibia")</f>
        <v>Namibia</v>
      </c>
      <c r="D11175">
        <f>IFERROR(__xludf.DUMMYFUNCTION("""COMPUTED_VALUE"""),2019.0)</f>
        <v>2019</v>
      </c>
      <c r="E11175">
        <f>IFERROR(__xludf.DUMMYFUNCTION("""COMPUTED_VALUE"""),2641996.0)</f>
        <v>2641996</v>
      </c>
    </row>
    <row r="11176">
      <c r="A11176" t="str">
        <f t="shared" si="1"/>
        <v>nam#2020</v>
      </c>
      <c r="B11176" t="str">
        <f>IFERROR(__xludf.DUMMYFUNCTION("""COMPUTED_VALUE"""),"nam")</f>
        <v>nam</v>
      </c>
      <c r="C11176" t="str">
        <f>IFERROR(__xludf.DUMMYFUNCTION("""COMPUTED_VALUE"""),"Namibia")</f>
        <v>Namibia</v>
      </c>
      <c r="D11176">
        <f>IFERROR(__xludf.DUMMYFUNCTION("""COMPUTED_VALUE"""),2020.0)</f>
        <v>2020</v>
      </c>
      <c r="E11176">
        <f>IFERROR(__xludf.DUMMYFUNCTION("""COMPUTED_VALUE"""),2696537.0)</f>
        <v>2696537</v>
      </c>
    </row>
    <row r="11177">
      <c r="A11177" t="str">
        <f t="shared" si="1"/>
        <v>nam#2021</v>
      </c>
      <c r="B11177" t="str">
        <f>IFERROR(__xludf.DUMMYFUNCTION("""COMPUTED_VALUE"""),"nam")</f>
        <v>nam</v>
      </c>
      <c r="C11177" t="str">
        <f>IFERROR(__xludf.DUMMYFUNCTION("""COMPUTED_VALUE"""),"Namibia")</f>
        <v>Namibia</v>
      </c>
      <c r="D11177">
        <f>IFERROR(__xludf.DUMMYFUNCTION("""COMPUTED_VALUE"""),2021.0)</f>
        <v>2021</v>
      </c>
      <c r="E11177">
        <f>IFERROR(__xludf.DUMMYFUNCTION("""COMPUTED_VALUE"""),2751250.0)</f>
        <v>2751250</v>
      </c>
    </row>
    <row r="11178">
      <c r="A11178" t="str">
        <f t="shared" si="1"/>
        <v>nam#2022</v>
      </c>
      <c r="B11178" t="str">
        <f>IFERROR(__xludf.DUMMYFUNCTION("""COMPUTED_VALUE"""),"nam")</f>
        <v>nam</v>
      </c>
      <c r="C11178" t="str">
        <f>IFERROR(__xludf.DUMMYFUNCTION("""COMPUTED_VALUE"""),"Namibia")</f>
        <v>Namibia</v>
      </c>
      <c r="D11178">
        <f>IFERROR(__xludf.DUMMYFUNCTION("""COMPUTED_VALUE"""),2022.0)</f>
        <v>2022</v>
      </c>
      <c r="E11178">
        <f>IFERROR(__xludf.DUMMYFUNCTION("""COMPUTED_VALUE"""),2805929.0)</f>
        <v>2805929</v>
      </c>
    </row>
    <row r="11179">
      <c r="A11179" t="str">
        <f t="shared" si="1"/>
        <v>nam#2023</v>
      </c>
      <c r="B11179" t="str">
        <f>IFERROR(__xludf.DUMMYFUNCTION("""COMPUTED_VALUE"""),"nam")</f>
        <v>nam</v>
      </c>
      <c r="C11179" t="str">
        <f>IFERROR(__xludf.DUMMYFUNCTION("""COMPUTED_VALUE"""),"Namibia")</f>
        <v>Namibia</v>
      </c>
      <c r="D11179">
        <f>IFERROR(__xludf.DUMMYFUNCTION("""COMPUTED_VALUE"""),2023.0)</f>
        <v>2023</v>
      </c>
      <c r="E11179">
        <f>IFERROR(__xludf.DUMMYFUNCTION("""COMPUTED_VALUE"""),2860593.0)</f>
        <v>2860593</v>
      </c>
    </row>
    <row r="11180">
      <c r="A11180" t="str">
        <f t="shared" si="1"/>
        <v>nam#2024</v>
      </c>
      <c r="B11180" t="str">
        <f>IFERROR(__xludf.DUMMYFUNCTION("""COMPUTED_VALUE"""),"nam")</f>
        <v>nam</v>
      </c>
      <c r="C11180" t="str">
        <f>IFERROR(__xludf.DUMMYFUNCTION("""COMPUTED_VALUE"""),"Namibia")</f>
        <v>Namibia</v>
      </c>
      <c r="D11180">
        <f>IFERROR(__xludf.DUMMYFUNCTION("""COMPUTED_VALUE"""),2024.0)</f>
        <v>2024</v>
      </c>
      <c r="E11180">
        <f>IFERROR(__xludf.DUMMYFUNCTION("""COMPUTED_VALUE"""),2915328.0)</f>
        <v>2915328</v>
      </c>
    </row>
    <row r="11181">
      <c r="A11181" t="str">
        <f t="shared" si="1"/>
        <v>nam#2025</v>
      </c>
      <c r="B11181" t="str">
        <f>IFERROR(__xludf.DUMMYFUNCTION("""COMPUTED_VALUE"""),"nam")</f>
        <v>nam</v>
      </c>
      <c r="C11181" t="str">
        <f>IFERROR(__xludf.DUMMYFUNCTION("""COMPUTED_VALUE"""),"Namibia")</f>
        <v>Namibia</v>
      </c>
      <c r="D11181">
        <f>IFERROR(__xludf.DUMMYFUNCTION("""COMPUTED_VALUE"""),2025.0)</f>
        <v>2025</v>
      </c>
      <c r="E11181">
        <f>IFERROR(__xludf.DUMMYFUNCTION("""COMPUTED_VALUE"""),2970214.0)</f>
        <v>2970214</v>
      </c>
    </row>
    <row r="11182">
      <c r="A11182" t="str">
        <f t="shared" si="1"/>
        <v>nam#2026</v>
      </c>
      <c r="B11182" t="str">
        <f>IFERROR(__xludf.DUMMYFUNCTION("""COMPUTED_VALUE"""),"nam")</f>
        <v>nam</v>
      </c>
      <c r="C11182" t="str">
        <f>IFERROR(__xludf.DUMMYFUNCTION("""COMPUTED_VALUE"""),"Namibia")</f>
        <v>Namibia</v>
      </c>
      <c r="D11182">
        <f>IFERROR(__xludf.DUMMYFUNCTION("""COMPUTED_VALUE"""),2026.0)</f>
        <v>2026</v>
      </c>
      <c r="E11182">
        <f>IFERROR(__xludf.DUMMYFUNCTION("""COMPUTED_VALUE"""),3025227.0)</f>
        <v>3025227</v>
      </c>
    </row>
    <row r="11183">
      <c r="A11183" t="str">
        <f t="shared" si="1"/>
        <v>nam#2027</v>
      </c>
      <c r="B11183" t="str">
        <f>IFERROR(__xludf.DUMMYFUNCTION("""COMPUTED_VALUE"""),"nam")</f>
        <v>nam</v>
      </c>
      <c r="C11183" t="str">
        <f>IFERROR(__xludf.DUMMYFUNCTION("""COMPUTED_VALUE"""),"Namibia")</f>
        <v>Namibia</v>
      </c>
      <c r="D11183">
        <f>IFERROR(__xludf.DUMMYFUNCTION("""COMPUTED_VALUE"""),2027.0)</f>
        <v>2027</v>
      </c>
      <c r="E11183">
        <f>IFERROR(__xludf.DUMMYFUNCTION("""COMPUTED_VALUE"""),3080309.0)</f>
        <v>3080309</v>
      </c>
    </row>
    <row r="11184">
      <c r="A11184" t="str">
        <f t="shared" si="1"/>
        <v>nam#2028</v>
      </c>
      <c r="B11184" t="str">
        <f>IFERROR(__xludf.DUMMYFUNCTION("""COMPUTED_VALUE"""),"nam")</f>
        <v>nam</v>
      </c>
      <c r="C11184" t="str">
        <f>IFERROR(__xludf.DUMMYFUNCTION("""COMPUTED_VALUE"""),"Namibia")</f>
        <v>Namibia</v>
      </c>
      <c r="D11184">
        <f>IFERROR(__xludf.DUMMYFUNCTION("""COMPUTED_VALUE"""),2028.0)</f>
        <v>2028</v>
      </c>
      <c r="E11184">
        <f>IFERROR(__xludf.DUMMYFUNCTION("""COMPUTED_VALUE"""),3135433.0)</f>
        <v>3135433</v>
      </c>
    </row>
    <row r="11185">
      <c r="A11185" t="str">
        <f t="shared" si="1"/>
        <v>nam#2029</v>
      </c>
      <c r="B11185" t="str">
        <f>IFERROR(__xludf.DUMMYFUNCTION("""COMPUTED_VALUE"""),"nam")</f>
        <v>nam</v>
      </c>
      <c r="C11185" t="str">
        <f>IFERROR(__xludf.DUMMYFUNCTION("""COMPUTED_VALUE"""),"Namibia")</f>
        <v>Namibia</v>
      </c>
      <c r="D11185">
        <f>IFERROR(__xludf.DUMMYFUNCTION("""COMPUTED_VALUE"""),2029.0)</f>
        <v>2029</v>
      </c>
      <c r="E11185">
        <f>IFERROR(__xludf.DUMMYFUNCTION("""COMPUTED_VALUE"""),3190562.0)</f>
        <v>3190562</v>
      </c>
    </row>
    <row r="11186">
      <c r="A11186" t="str">
        <f t="shared" si="1"/>
        <v>nam#2030</v>
      </c>
      <c r="B11186" t="str">
        <f>IFERROR(__xludf.DUMMYFUNCTION("""COMPUTED_VALUE"""),"nam")</f>
        <v>nam</v>
      </c>
      <c r="C11186" t="str">
        <f>IFERROR(__xludf.DUMMYFUNCTION("""COMPUTED_VALUE"""),"Namibia")</f>
        <v>Namibia</v>
      </c>
      <c r="D11186">
        <f>IFERROR(__xludf.DUMMYFUNCTION("""COMPUTED_VALUE"""),2030.0)</f>
        <v>2030</v>
      </c>
      <c r="E11186">
        <f>IFERROR(__xludf.DUMMYFUNCTION("""COMPUTED_VALUE"""),3245659.0)</f>
        <v>3245659</v>
      </c>
    </row>
    <row r="11187">
      <c r="A11187" t="str">
        <f t="shared" si="1"/>
        <v>nam#2031</v>
      </c>
      <c r="B11187" t="str">
        <f>IFERROR(__xludf.DUMMYFUNCTION("""COMPUTED_VALUE"""),"nam")</f>
        <v>nam</v>
      </c>
      <c r="C11187" t="str">
        <f>IFERROR(__xludf.DUMMYFUNCTION("""COMPUTED_VALUE"""),"Namibia")</f>
        <v>Namibia</v>
      </c>
      <c r="D11187">
        <f>IFERROR(__xludf.DUMMYFUNCTION("""COMPUTED_VALUE"""),2031.0)</f>
        <v>2031</v>
      </c>
      <c r="E11187">
        <f>IFERROR(__xludf.DUMMYFUNCTION("""COMPUTED_VALUE"""),3300706.0)</f>
        <v>3300706</v>
      </c>
    </row>
    <row r="11188">
      <c r="A11188" t="str">
        <f t="shared" si="1"/>
        <v>nam#2032</v>
      </c>
      <c r="B11188" t="str">
        <f>IFERROR(__xludf.DUMMYFUNCTION("""COMPUTED_VALUE"""),"nam")</f>
        <v>nam</v>
      </c>
      <c r="C11188" t="str">
        <f>IFERROR(__xludf.DUMMYFUNCTION("""COMPUTED_VALUE"""),"Namibia")</f>
        <v>Namibia</v>
      </c>
      <c r="D11188">
        <f>IFERROR(__xludf.DUMMYFUNCTION("""COMPUTED_VALUE"""),2032.0)</f>
        <v>2032</v>
      </c>
      <c r="E11188">
        <f>IFERROR(__xludf.DUMMYFUNCTION("""COMPUTED_VALUE"""),3355713.0)</f>
        <v>3355713</v>
      </c>
    </row>
    <row r="11189">
      <c r="A11189" t="str">
        <f t="shared" si="1"/>
        <v>nam#2033</v>
      </c>
      <c r="B11189" t="str">
        <f>IFERROR(__xludf.DUMMYFUNCTION("""COMPUTED_VALUE"""),"nam")</f>
        <v>nam</v>
      </c>
      <c r="C11189" t="str">
        <f>IFERROR(__xludf.DUMMYFUNCTION("""COMPUTED_VALUE"""),"Namibia")</f>
        <v>Namibia</v>
      </c>
      <c r="D11189">
        <f>IFERROR(__xludf.DUMMYFUNCTION("""COMPUTED_VALUE"""),2033.0)</f>
        <v>2033</v>
      </c>
      <c r="E11189">
        <f>IFERROR(__xludf.DUMMYFUNCTION("""COMPUTED_VALUE"""),3410697.0)</f>
        <v>3410697</v>
      </c>
    </row>
    <row r="11190">
      <c r="A11190" t="str">
        <f t="shared" si="1"/>
        <v>nam#2034</v>
      </c>
      <c r="B11190" t="str">
        <f>IFERROR(__xludf.DUMMYFUNCTION("""COMPUTED_VALUE"""),"nam")</f>
        <v>nam</v>
      </c>
      <c r="C11190" t="str">
        <f>IFERROR(__xludf.DUMMYFUNCTION("""COMPUTED_VALUE"""),"Namibia")</f>
        <v>Namibia</v>
      </c>
      <c r="D11190">
        <f>IFERROR(__xludf.DUMMYFUNCTION("""COMPUTED_VALUE"""),2034.0)</f>
        <v>2034</v>
      </c>
      <c r="E11190">
        <f>IFERROR(__xludf.DUMMYFUNCTION("""COMPUTED_VALUE"""),3465693.0)</f>
        <v>3465693</v>
      </c>
    </row>
    <row r="11191">
      <c r="A11191" t="str">
        <f t="shared" si="1"/>
        <v>nam#2035</v>
      </c>
      <c r="B11191" t="str">
        <f>IFERROR(__xludf.DUMMYFUNCTION("""COMPUTED_VALUE"""),"nam")</f>
        <v>nam</v>
      </c>
      <c r="C11191" t="str">
        <f>IFERROR(__xludf.DUMMYFUNCTION("""COMPUTED_VALUE"""),"Namibia")</f>
        <v>Namibia</v>
      </c>
      <c r="D11191">
        <f>IFERROR(__xludf.DUMMYFUNCTION("""COMPUTED_VALUE"""),2035.0)</f>
        <v>2035</v>
      </c>
      <c r="E11191">
        <f>IFERROR(__xludf.DUMMYFUNCTION("""COMPUTED_VALUE"""),3520740.0)</f>
        <v>3520740</v>
      </c>
    </row>
    <row r="11192">
      <c r="A11192" t="str">
        <f t="shared" si="1"/>
        <v>nam#2036</v>
      </c>
      <c r="B11192" t="str">
        <f>IFERROR(__xludf.DUMMYFUNCTION("""COMPUTED_VALUE"""),"nam")</f>
        <v>nam</v>
      </c>
      <c r="C11192" t="str">
        <f>IFERROR(__xludf.DUMMYFUNCTION("""COMPUTED_VALUE"""),"Namibia")</f>
        <v>Namibia</v>
      </c>
      <c r="D11192">
        <f>IFERROR(__xludf.DUMMYFUNCTION("""COMPUTED_VALUE"""),2036.0)</f>
        <v>2036</v>
      </c>
      <c r="E11192">
        <f>IFERROR(__xludf.DUMMYFUNCTION("""COMPUTED_VALUE"""),3575822.0)</f>
        <v>3575822</v>
      </c>
    </row>
    <row r="11193">
      <c r="A11193" t="str">
        <f t="shared" si="1"/>
        <v>nam#2037</v>
      </c>
      <c r="B11193" t="str">
        <f>IFERROR(__xludf.DUMMYFUNCTION("""COMPUTED_VALUE"""),"nam")</f>
        <v>nam</v>
      </c>
      <c r="C11193" t="str">
        <f>IFERROR(__xludf.DUMMYFUNCTION("""COMPUTED_VALUE"""),"Namibia")</f>
        <v>Namibia</v>
      </c>
      <c r="D11193">
        <f>IFERROR(__xludf.DUMMYFUNCTION("""COMPUTED_VALUE"""),2037.0)</f>
        <v>2037</v>
      </c>
      <c r="E11193">
        <f>IFERROR(__xludf.DUMMYFUNCTION("""COMPUTED_VALUE"""),3630913.0)</f>
        <v>3630913</v>
      </c>
    </row>
    <row r="11194">
      <c r="A11194" t="str">
        <f t="shared" si="1"/>
        <v>nam#2038</v>
      </c>
      <c r="B11194" t="str">
        <f>IFERROR(__xludf.DUMMYFUNCTION("""COMPUTED_VALUE"""),"nam")</f>
        <v>nam</v>
      </c>
      <c r="C11194" t="str">
        <f>IFERROR(__xludf.DUMMYFUNCTION("""COMPUTED_VALUE"""),"Namibia")</f>
        <v>Namibia</v>
      </c>
      <c r="D11194">
        <f>IFERROR(__xludf.DUMMYFUNCTION("""COMPUTED_VALUE"""),2038.0)</f>
        <v>2038</v>
      </c>
      <c r="E11194">
        <f>IFERROR(__xludf.DUMMYFUNCTION("""COMPUTED_VALUE"""),3686025.0)</f>
        <v>3686025</v>
      </c>
    </row>
    <row r="11195">
      <c r="A11195" t="str">
        <f t="shared" si="1"/>
        <v>nam#2039</v>
      </c>
      <c r="B11195" t="str">
        <f>IFERROR(__xludf.DUMMYFUNCTION("""COMPUTED_VALUE"""),"nam")</f>
        <v>nam</v>
      </c>
      <c r="C11195" t="str">
        <f>IFERROR(__xludf.DUMMYFUNCTION("""COMPUTED_VALUE"""),"Namibia")</f>
        <v>Namibia</v>
      </c>
      <c r="D11195">
        <f>IFERROR(__xludf.DUMMYFUNCTION("""COMPUTED_VALUE"""),2039.0)</f>
        <v>2039</v>
      </c>
      <c r="E11195">
        <f>IFERROR(__xludf.DUMMYFUNCTION("""COMPUTED_VALUE"""),3741170.0)</f>
        <v>3741170</v>
      </c>
    </row>
    <row r="11196">
      <c r="A11196" t="str">
        <f t="shared" si="1"/>
        <v>nam#2040</v>
      </c>
      <c r="B11196" t="str">
        <f>IFERROR(__xludf.DUMMYFUNCTION("""COMPUTED_VALUE"""),"nam")</f>
        <v>nam</v>
      </c>
      <c r="C11196" t="str">
        <f>IFERROR(__xludf.DUMMYFUNCTION("""COMPUTED_VALUE"""),"Namibia")</f>
        <v>Namibia</v>
      </c>
      <c r="D11196">
        <f>IFERROR(__xludf.DUMMYFUNCTION("""COMPUTED_VALUE"""),2040.0)</f>
        <v>2040</v>
      </c>
      <c r="E11196">
        <f>IFERROR(__xludf.DUMMYFUNCTION("""COMPUTED_VALUE"""),3796319.0)</f>
        <v>3796319</v>
      </c>
    </row>
    <row r="11197">
      <c r="A11197" t="str">
        <f t="shared" si="1"/>
        <v>nru#1950</v>
      </c>
      <c r="B11197" t="str">
        <f>IFERROR(__xludf.DUMMYFUNCTION("""COMPUTED_VALUE"""),"nru")</f>
        <v>nru</v>
      </c>
      <c r="C11197" t="str">
        <f>IFERROR(__xludf.DUMMYFUNCTION("""COMPUTED_VALUE"""),"Nauru")</f>
        <v>Nauru</v>
      </c>
      <c r="D11197">
        <f>IFERROR(__xludf.DUMMYFUNCTION("""COMPUTED_VALUE"""),1950.0)</f>
        <v>1950</v>
      </c>
      <c r="E11197">
        <f>IFERROR(__xludf.DUMMYFUNCTION("""COMPUTED_VALUE"""),2954.0)</f>
        <v>2954</v>
      </c>
    </row>
    <row r="11198">
      <c r="A11198" t="str">
        <f t="shared" si="1"/>
        <v>nru#1951</v>
      </c>
      <c r="B11198" t="str">
        <f>IFERROR(__xludf.DUMMYFUNCTION("""COMPUTED_VALUE"""),"nru")</f>
        <v>nru</v>
      </c>
      <c r="C11198" t="str">
        <f>IFERROR(__xludf.DUMMYFUNCTION("""COMPUTED_VALUE"""),"Nauru")</f>
        <v>Nauru</v>
      </c>
      <c r="D11198">
        <f>IFERROR(__xludf.DUMMYFUNCTION("""COMPUTED_VALUE"""),1951.0)</f>
        <v>1951</v>
      </c>
      <c r="E11198">
        <f>IFERROR(__xludf.DUMMYFUNCTION("""COMPUTED_VALUE"""),3057.0)</f>
        <v>3057</v>
      </c>
    </row>
    <row r="11199">
      <c r="A11199" t="str">
        <f t="shared" si="1"/>
        <v>nru#1952</v>
      </c>
      <c r="B11199" t="str">
        <f>IFERROR(__xludf.DUMMYFUNCTION("""COMPUTED_VALUE"""),"nru")</f>
        <v>nru</v>
      </c>
      <c r="C11199" t="str">
        <f>IFERROR(__xludf.DUMMYFUNCTION("""COMPUTED_VALUE"""),"Nauru")</f>
        <v>Nauru</v>
      </c>
      <c r="D11199">
        <f>IFERROR(__xludf.DUMMYFUNCTION("""COMPUTED_VALUE"""),1952.0)</f>
        <v>1952</v>
      </c>
      <c r="E11199">
        <f>IFERROR(__xludf.DUMMYFUNCTION("""COMPUTED_VALUE"""),3194.0)</f>
        <v>3194</v>
      </c>
    </row>
    <row r="11200">
      <c r="A11200" t="str">
        <f t="shared" si="1"/>
        <v>nru#1953</v>
      </c>
      <c r="B11200" t="str">
        <f>IFERROR(__xludf.DUMMYFUNCTION("""COMPUTED_VALUE"""),"nru")</f>
        <v>nru</v>
      </c>
      <c r="C11200" t="str">
        <f>IFERROR(__xludf.DUMMYFUNCTION("""COMPUTED_VALUE"""),"Nauru")</f>
        <v>Nauru</v>
      </c>
      <c r="D11200">
        <f>IFERROR(__xludf.DUMMYFUNCTION("""COMPUTED_VALUE"""),1953.0)</f>
        <v>1953</v>
      </c>
      <c r="E11200">
        <f>IFERROR(__xludf.DUMMYFUNCTION("""COMPUTED_VALUE"""),3337.0)</f>
        <v>3337</v>
      </c>
    </row>
    <row r="11201">
      <c r="A11201" t="str">
        <f t="shared" si="1"/>
        <v>nru#1954</v>
      </c>
      <c r="B11201" t="str">
        <f>IFERROR(__xludf.DUMMYFUNCTION("""COMPUTED_VALUE"""),"nru")</f>
        <v>nru</v>
      </c>
      <c r="C11201" t="str">
        <f>IFERROR(__xludf.DUMMYFUNCTION("""COMPUTED_VALUE"""),"Nauru")</f>
        <v>Nauru</v>
      </c>
      <c r="D11201">
        <f>IFERROR(__xludf.DUMMYFUNCTION("""COMPUTED_VALUE"""),1954.0)</f>
        <v>1954</v>
      </c>
      <c r="E11201">
        <f>IFERROR(__xludf.DUMMYFUNCTION("""COMPUTED_VALUE"""),3481.0)</f>
        <v>3481</v>
      </c>
    </row>
    <row r="11202">
      <c r="A11202" t="str">
        <f t="shared" si="1"/>
        <v>nru#1955</v>
      </c>
      <c r="B11202" t="str">
        <f>IFERROR(__xludf.DUMMYFUNCTION("""COMPUTED_VALUE"""),"nru")</f>
        <v>nru</v>
      </c>
      <c r="C11202" t="str">
        <f>IFERROR(__xludf.DUMMYFUNCTION("""COMPUTED_VALUE"""),"Nauru")</f>
        <v>Nauru</v>
      </c>
      <c r="D11202">
        <f>IFERROR(__xludf.DUMMYFUNCTION("""COMPUTED_VALUE"""),1955.0)</f>
        <v>1955</v>
      </c>
      <c r="E11202">
        <f>IFERROR(__xludf.DUMMYFUNCTION("""COMPUTED_VALUE"""),3619.0)</f>
        <v>3619</v>
      </c>
    </row>
    <row r="11203">
      <c r="A11203" t="str">
        <f t="shared" si="1"/>
        <v>nru#1956</v>
      </c>
      <c r="B11203" t="str">
        <f>IFERROR(__xludf.DUMMYFUNCTION("""COMPUTED_VALUE"""),"nru")</f>
        <v>nru</v>
      </c>
      <c r="C11203" t="str">
        <f>IFERROR(__xludf.DUMMYFUNCTION("""COMPUTED_VALUE"""),"Nauru")</f>
        <v>Nauru</v>
      </c>
      <c r="D11203">
        <f>IFERROR(__xludf.DUMMYFUNCTION("""COMPUTED_VALUE"""),1956.0)</f>
        <v>1956</v>
      </c>
      <c r="E11203">
        <f>IFERROR(__xludf.DUMMYFUNCTION("""COMPUTED_VALUE"""),3756.0)</f>
        <v>3756</v>
      </c>
    </row>
    <row r="11204">
      <c r="A11204" t="str">
        <f t="shared" si="1"/>
        <v>nru#1957</v>
      </c>
      <c r="B11204" t="str">
        <f>IFERROR(__xludf.DUMMYFUNCTION("""COMPUTED_VALUE"""),"nru")</f>
        <v>nru</v>
      </c>
      <c r="C11204" t="str">
        <f>IFERROR(__xludf.DUMMYFUNCTION("""COMPUTED_VALUE"""),"Nauru")</f>
        <v>Nauru</v>
      </c>
      <c r="D11204">
        <f>IFERROR(__xludf.DUMMYFUNCTION("""COMPUTED_VALUE"""),1957.0)</f>
        <v>1957</v>
      </c>
      <c r="E11204">
        <f>IFERROR(__xludf.DUMMYFUNCTION("""COMPUTED_VALUE"""),3900.0)</f>
        <v>3900</v>
      </c>
    </row>
    <row r="11205">
      <c r="A11205" t="str">
        <f t="shared" si="1"/>
        <v>nru#1958</v>
      </c>
      <c r="B11205" t="str">
        <f>IFERROR(__xludf.DUMMYFUNCTION("""COMPUTED_VALUE"""),"nru")</f>
        <v>nru</v>
      </c>
      <c r="C11205" t="str">
        <f>IFERROR(__xludf.DUMMYFUNCTION("""COMPUTED_VALUE"""),"Nauru")</f>
        <v>Nauru</v>
      </c>
      <c r="D11205">
        <f>IFERROR(__xludf.DUMMYFUNCTION("""COMPUTED_VALUE"""),1958.0)</f>
        <v>1958</v>
      </c>
      <c r="E11205">
        <f>IFERROR(__xludf.DUMMYFUNCTION("""COMPUTED_VALUE"""),4051.0)</f>
        <v>4051</v>
      </c>
    </row>
    <row r="11206">
      <c r="A11206" t="str">
        <f t="shared" si="1"/>
        <v>nru#1959</v>
      </c>
      <c r="B11206" t="str">
        <f>IFERROR(__xludf.DUMMYFUNCTION("""COMPUTED_VALUE"""),"nru")</f>
        <v>nru</v>
      </c>
      <c r="C11206" t="str">
        <f>IFERROR(__xludf.DUMMYFUNCTION("""COMPUTED_VALUE"""),"Nauru")</f>
        <v>Nauru</v>
      </c>
      <c r="D11206">
        <f>IFERROR(__xludf.DUMMYFUNCTION("""COMPUTED_VALUE"""),1959.0)</f>
        <v>1959</v>
      </c>
      <c r="E11206">
        <f>IFERROR(__xludf.DUMMYFUNCTION("""COMPUTED_VALUE"""),4232.0)</f>
        <v>4232</v>
      </c>
    </row>
    <row r="11207">
      <c r="A11207" t="str">
        <f t="shared" si="1"/>
        <v>nru#1960</v>
      </c>
      <c r="B11207" t="str">
        <f>IFERROR(__xludf.DUMMYFUNCTION("""COMPUTED_VALUE"""),"nru")</f>
        <v>nru</v>
      </c>
      <c r="C11207" t="str">
        <f>IFERROR(__xludf.DUMMYFUNCTION("""COMPUTED_VALUE"""),"Nauru")</f>
        <v>Nauru</v>
      </c>
      <c r="D11207">
        <f>IFERROR(__xludf.DUMMYFUNCTION("""COMPUTED_VALUE"""),1960.0)</f>
        <v>1960</v>
      </c>
      <c r="E11207">
        <f>IFERROR(__xludf.DUMMYFUNCTION("""COMPUTED_VALUE"""),4433.0)</f>
        <v>4433</v>
      </c>
    </row>
    <row r="11208">
      <c r="A11208" t="str">
        <f t="shared" si="1"/>
        <v>nru#1961</v>
      </c>
      <c r="B11208" t="str">
        <f>IFERROR(__xludf.DUMMYFUNCTION("""COMPUTED_VALUE"""),"nru")</f>
        <v>nru</v>
      </c>
      <c r="C11208" t="str">
        <f>IFERROR(__xludf.DUMMYFUNCTION("""COMPUTED_VALUE"""),"Nauru")</f>
        <v>Nauru</v>
      </c>
      <c r="D11208">
        <f>IFERROR(__xludf.DUMMYFUNCTION("""COMPUTED_VALUE"""),1961.0)</f>
        <v>1961</v>
      </c>
      <c r="E11208">
        <f>IFERROR(__xludf.DUMMYFUNCTION("""COMPUTED_VALUE"""),4676.0)</f>
        <v>4676</v>
      </c>
    </row>
    <row r="11209">
      <c r="A11209" t="str">
        <f t="shared" si="1"/>
        <v>nru#1962</v>
      </c>
      <c r="B11209" t="str">
        <f>IFERROR(__xludf.DUMMYFUNCTION("""COMPUTED_VALUE"""),"nru")</f>
        <v>nru</v>
      </c>
      <c r="C11209" t="str">
        <f>IFERROR(__xludf.DUMMYFUNCTION("""COMPUTED_VALUE"""),"Nauru")</f>
        <v>Nauru</v>
      </c>
      <c r="D11209">
        <f>IFERROR(__xludf.DUMMYFUNCTION("""COMPUTED_VALUE"""),1962.0)</f>
        <v>1962</v>
      </c>
      <c r="E11209">
        <f>IFERROR(__xludf.DUMMYFUNCTION("""COMPUTED_VALUE"""),4948.0)</f>
        <v>4948</v>
      </c>
    </row>
    <row r="11210">
      <c r="A11210" t="str">
        <f t="shared" si="1"/>
        <v>nru#1963</v>
      </c>
      <c r="B11210" t="str">
        <f>IFERROR(__xludf.DUMMYFUNCTION("""COMPUTED_VALUE"""),"nru")</f>
        <v>nru</v>
      </c>
      <c r="C11210" t="str">
        <f>IFERROR(__xludf.DUMMYFUNCTION("""COMPUTED_VALUE"""),"Nauru")</f>
        <v>Nauru</v>
      </c>
      <c r="D11210">
        <f>IFERROR(__xludf.DUMMYFUNCTION("""COMPUTED_VALUE"""),1963.0)</f>
        <v>1963</v>
      </c>
      <c r="E11210">
        <f>IFERROR(__xludf.DUMMYFUNCTION("""COMPUTED_VALUE"""),5228.0)</f>
        <v>5228</v>
      </c>
    </row>
    <row r="11211">
      <c r="A11211" t="str">
        <f t="shared" si="1"/>
        <v>nru#1964</v>
      </c>
      <c r="B11211" t="str">
        <f>IFERROR(__xludf.DUMMYFUNCTION("""COMPUTED_VALUE"""),"nru")</f>
        <v>nru</v>
      </c>
      <c r="C11211" t="str">
        <f>IFERROR(__xludf.DUMMYFUNCTION("""COMPUTED_VALUE"""),"Nauru")</f>
        <v>Nauru</v>
      </c>
      <c r="D11211">
        <f>IFERROR(__xludf.DUMMYFUNCTION("""COMPUTED_VALUE"""),1964.0)</f>
        <v>1964</v>
      </c>
      <c r="E11211">
        <f>IFERROR(__xludf.DUMMYFUNCTION("""COMPUTED_VALUE"""),5500.0)</f>
        <v>5500</v>
      </c>
    </row>
    <row r="11212">
      <c r="A11212" t="str">
        <f t="shared" si="1"/>
        <v>nru#1965</v>
      </c>
      <c r="B11212" t="str">
        <f>IFERROR(__xludf.DUMMYFUNCTION("""COMPUTED_VALUE"""),"nru")</f>
        <v>nru</v>
      </c>
      <c r="C11212" t="str">
        <f>IFERROR(__xludf.DUMMYFUNCTION("""COMPUTED_VALUE"""),"Nauru")</f>
        <v>Nauru</v>
      </c>
      <c r="D11212">
        <f>IFERROR(__xludf.DUMMYFUNCTION("""COMPUTED_VALUE"""),1965.0)</f>
        <v>1965</v>
      </c>
      <c r="E11212">
        <f>IFERROR(__xludf.DUMMYFUNCTION("""COMPUTED_VALUE"""),5740.0)</f>
        <v>5740</v>
      </c>
    </row>
    <row r="11213">
      <c r="A11213" t="str">
        <f t="shared" si="1"/>
        <v>nru#1966</v>
      </c>
      <c r="B11213" t="str">
        <f>IFERROR(__xludf.DUMMYFUNCTION("""COMPUTED_VALUE"""),"nru")</f>
        <v>nru</v>
      </c>
      <c r="C11213" t="str">
        <f>IFERROR(__xludf.DUMMYFUNCTION("""COMPUTED_VALUE"""),"Nauru")</f>
        <v>Nauru</v>
      </c>
      <c r="D11213">
        <f>IFERROR(__xludf.DUMMYFUNCTION("""COMPUTED_VALUE"""),1966.0)</f>
        <v>1966</v>
      </c>
      <c r="E11213">
        <f>IFERROR(__xludf.DUMMYFUNCTION("""COMPUTED_VALUE"""),5933.0)</f>
        <v>5933</v>
      </c>
    </row>
    <row r="11214">
      <c r="A11214" t="str">
        <f t="shared" si="1"/>
        <v>nru#1967</v>
      </c>
      <c r="B11214" t="str">
        <f>IFERROR(__xludf.DUMMYFUNCTION("""COMPUTED_VALUE"""),"nru")</f>
        <v>nru</v>
      </c>
      <c r="C11214" t="str">
        <f>IFERROR(__xludf.DUMMYFUNCTION("""COMPUTED_VALUE"""),"Nauru")</f>
        <v>Nauru</v>
      </c>
      <c r="D11214">
        <f>IFERROR(__xludf.DUMMYFUNCTION("""COMPUTED_VALUE"""),1967.0)</f>
        <v>1967</v>
      </c>
      <c r="E11214">
        <f>IFERROR(__xludf.DUMMYFUNCTION("""COMPUTED_VALUE"""),6103.0)</f>
        <v>6103</v>
      </c>
    </row>
    <row r="11215">
      <c r="A11215" t="str">
        <f t="shared" si="1"/>
        <v>nru#1968</v>
      </c>
      <c r="B11215" t="str">
        <f>IFERROR(__xludf.DUMMYFUNCTION("""COMPUTED_VALUE"""),"nru")</f>
        <v>nru</v>
      </c>
      <c r="C11215" t="str">
        <f>IFERROR(__xludf.DUMMYFUNCTION("""COMPUTED_VALUE"""),"Nauru")</f>
        <v>Nauru</v>
      </c>
      <c r="D11215">
        <f>IFERROR(__xludf.DUMMYFUNCTION("""COMPUTED_VALUE"""),1968.0)</f>
        <v>1968</v>
      </c>
      <c r="E11215">
        <f>IFERROR(__xludf.DUMMYFUNCTION("""COMPUTED_VALUE"""),6237.0)</f>
        <v>6237</v>
      </c>
    </row>
    <row r="11216">
      <c r="A11216" t="str">
        <f t="shared" si="1"/>
        <v>nru#1969</v>
      </c>
      <c r="B11216" t="str">
        <f>IFERROR(__xludf.DUMMYFUNCTION("""COMPUTED_VALUE"""),"nru")</f>
        <v>nru</v>
      </c>
      <c r="C11216" t="str">
        <f>IFERROR(__xludf.DUMMYFUNCTION("""COMPUTED_VALUE"""),"Nauru")</f>
        <v>Nauru</v>
      </c>
      <c r="D11216">
        <f>IFERROR(__xludf.DUMMYFUNCTION("""COMPUTED_VALUE"""),1969.0)</f>
        <v>1969</v>
      </c>
      <c r="E11216">
        <f>IFERROR(__xludf.DUMMYFUNCTION("""COMPUTED_VALUE"""),6371.0)</f>
        <v>6371</v>
      </c>
    </row>
    <row r="11217">
      <c r="A11217" t="str">
        <f t="shared" si="1"/>
        <v>nru#1970</v>
      </c>
      <c r="B11217" t="str">
        <f>IFERROR(__xludf.DUMMYFUNCTION("""COMPUTED_VALUE"""),"nru")</f>
        <v>nru</v>
      </c>
      <c r="C11217" t="str">
        <f>IFERROR(__xludf.DUMMYFUNCTION("""COMPUTED_VALUE"""),"Nauru")</f>
        <v>Nauru</v>
      </c>
      <c r="D11217">
        <f>IFERROR(__xludf.DUMMYFUNCTION("""COMPUTED_VALUE"""),1970.0)</f>
        <v>1970</v>
      </c>
      <c r="E11217">
        <f>IFERROR(__xludf.DUMMYFUNCTION("""COMPUTED_VALUE"""),6496.0)</f>
        <v>6496</v>
      </c>
    </row>
    <row r="11218">
      <c r="A11218" t="str">
        <f t="shared" si="1"/>
        <v>nru#1971</v>
      </c>
      <c r="B11218" t="str">
        <f>IFERROR(__xludf.DUMMYFUNCTION("""COMPUTED_VALUE"""),"nru")</f>
        <v>nru</v>
      </c>
      <c r="C11218" t="str">
        <f>IFERROR(__xludf.DUMMYFUNCTION("""COMPUTED_VALUE"""),"Nauru")</f>
        <v>Nauru</v>
      </c>
      <c r="D11218">
        <f>IFERROR(__xludf.DUMMYFUNCTION("""COMPUTED_VALUE"""),1971.0)</f>
        <v>1971</v>
      </c>
      <c r="E11218">
        <f>IFERROR(__xludf.DUMMYFUNCTION("""COMPUTED_VALUE"""),6617.0)</f>
        <v>6617</v>
      </c>
    </row>
    <row r="11219">
      <c r="A11219" t="str">
        <f t="shared" si="1"/>
        <v>nru#1972</v>
      </c>
      <c r="B11219" t="str">
        <f>IFERROR(__xludf.DUMMYFUNCTION("""COMPUTED_VALUE"""),"nru")</f>
        <v>nru</v>
      </c>
      <c r="C11219" t="str">
        <f>IFERROR(__xludf.DUMMYFUNCTION("""COMPUTED_VALUE"""),"Nauru")</f>
        <v>Nauru</v>
      </c>
      <c r="D11219">
        <f>IFERROR(__xludf.DUMMYFUNCTION("""COMPUTED_VALUE"""),1972.0)</f>
        <v>1972</v>
      </c>
      <c r="E11219">
        <f>IFERROR(__xludf.DUMMYFUNCTION("""COMPUTED_VALUE"""),6743.0)</f>
        <v>6743</v>
      </c>
    </row>
    <row r="11220">
      <c r="A11220" t="str">
        <f t="shared" si="1"/>
        <v>nru#1973</v>
      </c>
      <c r="B11220" t="str">
        <f>IFERROR(__xludf.DUMMYFUNCTION("""COMPUTED_VALUE"""),"nru")</f>
        <v>nru</v>
      </c>
      <c r="C11220" t="str">
        <f>IFERROR(__xludf.DUMMYFUNCTION("""COMPUTED_VALUE"""),"Nauru")</f>
        <v>Nauru</v>
      </c>
      <c r="D11220">
        <f>IFERROR(__xludf.DUMMYFUNCTION("""COMPUTED_VALUE"""),1973.0)</f>
        <v>1973</v>
      </c>
      <c r="E11220">
        <f>IFERROR(__xludf.DUMMYFUNCTION("""COMPUTED_VALUE"""),6863.0)</f>
        <v>6863</v>
      </c>
    </row>
    <row r="11221">
      <c r="A11221" t="str">
        <f t="shared" si="1"/>
        <v>nru#1974</v>
      </c>
      <c r="B11221" t="str">
        <f>IFERROR(__xludf.DUMMYFUNCTION("""COMPUTED_VALUE"""),"nru")</f>
        <v>nru</v>
      </c>
      <c r="C11221" t="str">
        <f>IFERROR(__xludf.DUMMYFUNCTION("""COMPUTED_VALUE"""),"Nauru")</f>
        <v>Nauru</v>
      </c>
      <c r="D11221">
        <f>IFERROR(__xludf.DUMMYFUNCTION("""COMPUTED_VALUE"""),1974.0)</f>
        <v>1974</v>
      </c>
      <c r="E11221">
        <f>IFERROR(__xludf.DUMMYFUNCTION("""COMPUTED_VALUE"""),6972.0)</f>
        <v>6972</v>
      </c>
    </row>
    <row r="11222">
      <c r="A11222" t="str">
        <f t="shared" si="1"/>
        <v>nru#1975</v>
      </c>
      <c r="B11222" t="str">
        <f>IFERROR(__xludf.DUMMYFUNCTION("""COMPUTED_VALUE"""),"nru")</f>
        <v>nru</v>
      </c>
      <c r="C11222" t="str">
        <f>IFERROR(__xludf.DUMMYFUNCTION("""COMPUTED_VALUE"""),"Nauru")</f>
        <v>Nauru</v>
      </c>
      <c r="D11222">
        <f>IFERROR(__xludf.DUMMYFUNCTION("""COMPUTED_VALUE"""),1975.0)</f>
        <v>1975</v>
      </c>
      <c r="E11222">
        <f>IFERROR(__xludf.DUMMYFUNCTION("""COMPUTED_VALUE"""),7068.0)</f>
        <v>7068</v>
      </c>
    </row>
    <row r="11223">
      <c r="A11223" t="str">
        <f t="shared" si="1"/>
        <v>nru#1976</v>
      </c>
      <c r="B11223" t="str">
        <f>IFERROR(__xludf.DUMMYFUNCTION("""COMPUTED_VALUE"""),"nru")</f>
        <v>nru</v>
      </c>
      <c r="C11223" t="str">
        <f>IFERROR(__xludf.DUMMYFUNCTION("""COMPUTED_VALUE"""),"Nauru")</f>
        <v>Nauru</v>
      </c>
      <c r="D11223">
        <f>IFERROR(__xludf.DUMMYFUNCTION("""COMPUTED_VALUE"""),1976.0)</f>
        <v>1976</v>
      </c>
      <c r="E11223">
        <f>IFERROR(__xludf.DUMMYFUNCTION("""COMPUTED_VALUE"""),7150.0)</f>
        <v>7150</v>
      </c>
    </row>
    <row r="11224">
      <c r="A11224" t="str">
        <f t="shared" si="1"/>
        <v>nru#1977</v>
      </c>
      <c r="B11224" t="str">
        <f>IFERROR(__xludf.DUMMYFUNCTION("""COMPUTED_VALUE"""),"nru")</f>
        <v>nru</v>
      </c>
      <c r="C11224" t="str">
        <f>IFERROR(__xludf.DUMMYFUNCTION("""COMPUTED_VALUE"""),"Nauru")</f>
        <v>Nauru</v>
      </c>
      <c r="D11224">
        <f>IFERROR(__xludf.DUMMYFUNCTION("""COMPUTED_VALUE"""),1977.0)</f>
        <v>1977</v>
      </c>
      <c r="E11224">
        <f>IFERROR(__xludf.DUMMYFUNCTION("""COMPUTED_VALUE"""),7232.0)</f>
        <v>7232</v>
      </c>
    </row>
    <row r="11225">
      <c r="A11225" t="str">
        <f t="shared" si="1"/>
        <v>nru#1978</v>
      </c>
      <c r="B11225" t="str">
        <f>IFERROR(__xludf.DUMMYFUNCTION("""COMPUTED_VALUE"""),"nru")</f>
        <v>nru</v>
      </c>
      <c r="C11225" t="str">
        <f>IFERROR(__xludf.DUMMYFUNCTION("""COMPUTED_VALUE"""),"Nauru")</f>
        <v>Nauru</v>
      </c>
      <c r="D11225">
        <f>IFERROR(__xludf.DUMMYFUNCTION("""COMPUTED_VALUE"""),1978.0)</f>
        <v>1978</v>
      </c>
      <c r="E11225">
        <f>IFERROR(__xludf.DUMMYFUNCTION("""COMPUTED_VALUE"""),7309.0)</f>
        <v>7309</v>
      </c>
    </row>
    <row r="11226">
      <c r="A11226" t="str">
        <f t="shared" si="1"/>
        <v>nru#1979</v>
      </c>
      <c r="B11226" t="str">
        <f>IFERROR(__xludf.DUMMYFUNCTION("""COMPUTED_VALUE"""),"nru")</f>
        <v>nru</v>
      </c>
      <c r="C11226" t="str">
        <f>IFERROR(__xludf.DUMMYFUNCTION("""COMPUTED_VALUE"""),"Nauru")</f>
        <v>Nauru</v>
      </c>
      <c r="D11226">
        <f>IFERROR(__xludf.DUMMYFUNCTION("""COMPUTED_VALUE"""),1979.0)</f>
        <v>1979</v>
      </c>
      <c r="E11226">
        <f>IFERROR(__xludf.DUMMYFUNCTION("""COMPUTED_VALUE"""),7397.0)</f>
        <v>7397</v>
      </c>
    </row>
    <row r="11227">
      <c r="A11227" t="str">
        <f t="shared" si="1"/>
        <v>nru#1980</v>
      </c>
      <c r="B11227" t="str">
        <f>IFERROR(__xludf.DUMMYFUNCTION("""COMPUTED_VALUE"""),"nru")</f>
        <v>nru</v>
      </c>
      <c r="C11227" t="str">
        <f>IFERROR(__xludf.DUMMYFUNCTION("""COMPUTED_VALUE"""),"Nauru")</f>
        <v>Nauru</v>
      </c>
      <c r="D11227">
        <f>IFERROR(__xludf.DUMMYFUNCTION("""COMPUTED_VALUE"""),1980.0)</f>
        <v>1980</v>
      </c>
      <c r="E11227">
        <f>IFERROR(__xludf.DUMMYFUNCTION("""COMPUTED_VALUE"""),7488.0)</f>
        <v>7488</v>
      </c>
    </row>
    <row r="11228">
      <c r="A11228" t="str">
        <f t="shared" si="1"/>
        <v>nru#1981</v>
      </c>
      <c r="B11228" t="str">
        <f>IFERROR(__xludf.DUMMYFUNCTION("""COMPUTED_VALUE"""),"nru")</f>
        <v>nru</v>
      </c>
      <c r="C11228" t="str">
        <f>IFERROR(__xludf.DUMMYFUNCTION("""COMPUTED_VALUE"""),"Nauru")</f>
        <v>Nauru</v>
      </c>
      <c r="D11228">
        <f>IFERROR(__xludf.DUMMYFUNCTION("""COMPUTED_VALUE"""),1981.0)</f>
        <v>1981</v>
      </c>
      <c r="E11228">
        <f>IFERROR(__xludf.DUMMYFUNCTION("""COMPUTED_VALUE"""),7592.0)</f>
        <v>7592</v>
      </c>
    </row>
    <row r="11229">
      <c r="A11229" t="str">
        <f t="shared" si="1"/>
        <v>nru#1982</v>
      </c>
      <c r="B11229" t="str">
        <f>IFERROR(__xludf.DUMMYFUNCTION("""COMPUTED_VALUE"""),"nru")</f>
        <v>nru</v>
      </c>
      <c r="C11229" t="str">
        <f>IFERROR(__xludf.DUMMYFUNCTION("""COMPUTED_VALUE"""),"Nauru")</f>
        <v>Nauru</v>
      </c>
      <c r="D11229">
        <f>IFERROR(__xludf.DUMMYFUNCTION("""COMPUTED_VALUE"""),1982.0)</f>
        <v>1982</v>
      </c>
      <c r="E11229">
        <f>IFERROR(__xludf.DUMMYFUNCTION("""COMPUTED_VALUE"""),7717.0)</f>
        <v>7717</v>
      </c>
    </row>
    <row r="11230">
      <c r="A11230" t="str">
        <f t="shared" si="1"/>
        <v>nru#1983</v>
      </c>
      <c r="B11230" t="str">
        <f>IFERROR(__xludf.DUMMYFUNCTION("""COMPUTED_VALUE"""),"nru")</f>
        <v>nru</v>
      </c>
      <c r="C11230" t="str">
        <f>IFERROR(__xludf.DUMMYFUNCTION("""COMPUTED_VALUE"""),"Nauru")</f>
        <v>Nauru</v>
      </c>
      <c r="D11230">
        <f>IFERROR(__xludf.DUMMYFUNCTION("""COMPUTED_VALUE"""),1983.0)</f>
        <v>1983</v>
      </c>
      <c r="E11230">
        <f>IFERROR(__xludf.DUMMYFUNCTION("""COMPUTED_VALUE"""),7854.0)</f>
        <v>7854</v>
      </c>
    </row>
    <row r="11231">
      <c r="A11231" t="str">
        <f t="shared" si="1"/>
        <v>nru#1984</v>
      </c>
      <c r="B11231" t="str">
        <f>IFERROR(__xludf.DUMMYFUNCTION("""COMPUTED_VALUE"""),"nru")</f>
        <v>nru</v>
      </c>
      <c r="C11231" t="str">
        <f>IFERROR(__xludf.DUMMYFUNCTION("""COMPUTED_VALUE"""),"Nauru")</f>
        <v>Nauru</v>
      </c>
      <c r="D11231">
        <f>IFERROR(__xludf.DUMMYFUNCTION("""COMPUTED_VALUE"""),1984.0)</f>
        <v>1984</v>
      </c>
      <c r="E11231">
        <f>IFERROR(__xludf.DUMMYFUNCTION("""COMPUTED_VALUE"""),8005.0)</f>
        <v>8005</v>
      </c>
    </row>
    <row r="11232">
      <c r="A11232" t="str">
        <f t="shared" si="1"/>
        <v>nru#1985</v>
      </c>
      <c r="B11232" t="str">
        <f>IFERROR(__xludf.DUMMYFUNCTION("""COMPUTED_VALUE"""),"nru")</f>
        <v>nru</v>
      </c>
      <c r="C11232" t="str">
        <f>IFERROR(__xludf.DUMMYFUNCTION("""COMPUTED_VALUE"""),"Nauru")</f>
        <v>Nauru</v>
      </c>
      <c r="D11232">
        <f>IFERROR(__xludf.DUMMYFUNCTION("""COMPUTED_VALUE"""),1985.0)</f>
        <v>1985</v>
      </c>
      <c r="E11232">
        <f>IFERROR(__xludf.DUMMYFUNCTION("""COMPUTED_VALUE"""),8173.0)</f>
        <v>8173</v>
      </c>
    </row>
    <row r="11233">
      <c r="A11233" t="str">
        <f t="shared" si="1"/>
        <v>nru#1986</v>
      </c>
      <c r="B11233" t="str">
        <f>IFERROR(__xludf.DUMMYFUNCTION("""COMPUTED_VALUE"""),"nru")</f>
        <v>nru</v>
      </c>
      <c r="C11233" t="str">
        <f>IFERROR(__xludf.DUMMYFUNCTION("""COMPUTED_VALUE"""),"Nauru")</f>
        <v>Nauru</v>
      </c>
      <c r="D11233">
        <f>IFERROR(__xludf.DUMMYFUNCTION("""COMPUTED_VALUE"""),1986.0)</f>
        <v>1986</v>
      </c>
      <c r="E11233">
        <f>IFERROR(__xludf.DUMMYFUNCTION("""COMPUTED_VALUE"""),8353.0)</f>
        <v>8353</v>
      </c>
    </row>
    <row r="11234">
      <c r="A11234" t="str">
        <f t="shared" si="1"/>
        <v>nru#1987</v>
      </c>
      <c r="B11234" t="str">
        <f>IFERROR(__xludf.DUMMYFUNCTION("""COMPUTED_VALUE"""),"nru")</f>
        <v>nru</v>
      </c>
      <c r="C11234" t="str">
        <f>IFERROR(__xludf.DUMMYFUNCTION("""COMPUTED_VALUE"""),"Nauru")</f>
        <v>Nauru</v>
      </c>
      <c r="D11234">
        <f>IFERROR(__xludf.DUMMYFUNCTION("""COMPUTED_VALUE"""),1987.0)</f>
        <v>1987</v>
      </c>
      <c r="E11234">
        <f>IFERROR(__xludf.DUMMYFUNCTION("""COMPUTED_VALUE"""),8554.0)</f>
        <v>8554</v>
      </c>
    </row>
    <row r="11235">
      <c r="A11235" t="str">
        <f t="shared" si="1"/>
        <v>nru#1988</v>
      </c>
      <c r="B11235" t="str">
        <f>IFERROR(__xludf.DUMMYFUNCTION("""COMPUTED_VALUE"""),"nru")</f>
        <v>nru</v>
      </c>
      <c r="C11235" t="str">
        <f>IFERROR(__xludf.DUMMYFUNCTION("""COMPUTED_VALUE"""),"Nauru")</f>
        <v>Nauru</v>
      </c>
      <c r="D11235">
        <f>IFERROR(__xludf.DUMMYFUNCTION("""COMPUTED_VALUE"""),1988.0)</f>
        <v>1988</v>
      </c>
      <c r="E11235">
        <f>IFERROR(__xludf.DUMMYFUNCTION("""COMPUTED_VALUE"""),8755.0)</f>
        <v>8755</v>
      </c>
    </row>
    <row r="11236">
      <c r="A11236" t="str">
        <f t="shared" si="1"/>
        <v>nru#1989</v>
      </c>
      <c r="B11236" t="str">
        <f>IFERROR(__xludf.DUMMYFUNCTION("""COMPUTED_VALUE"""),"nru")</f>
        <v>nru</v>
      </c>
      <c r="C11236" t="str">
        <f>IFERROR(__xludf.DUMMYFUNCTION("""COMPUTED_VALUE"""),"Nauru")</f>
        <v>Nauru</v>
      </c>
      <c r="D11236">
        <f>IFERROR(__xludf.DUMMYFUNCTION("""COMPUTED_VALUE"""),1989.0)</f>
        <v>1989</v>
      </c>
      <c r="E11236">
        <f>IFERROR(__xludf.DUMMYFUNCTION("""COMPUTED_VALUE"""),8954.0)</f>
        <v>8954</v>
      </c>
    </row>
    <row r="11237">
      <c r="A11237" t="str">
        <f t="shared" si="1"/>
        <v>nru#1990</v>
      </c>
      <c r="B11237" t="str">
        <f>IFERROR(__xludf.DUMMYFUNCTION("""COMPUTED_VALUE"""),"nru")</f>
        <v>nru</v>
      </c>
      <c r="C11237" t="str">
        <f>IFERROR(__xludf.DUMMYFUNCTION("""COMPUTED_VALUE"""),"Nauru")</f>
        <v>Nauru</v>
      </c>
      <c r="D11237">
        <f>IFERROR(__xludf.DUMMYFUNCTION("""COMPUTED_VALUE"""),1990.0)</f>
        <v>1990</v>
      </c>
      <c r="E11237">
        <f>IFERROR(__xludf.DUMMYFUNCTION("""COMPUTED_VALUE"""),9155.0)</f>
        <v>9155</v>
      </c>
    </row>
    <row r="11238">
      <c r="A11238" t="str">
        <f t="shared" si="1"/>
        <v>nru#1991</v>
      </c>
      <c r="B11238" t="str">
        <f>IFERROR(__xludf.DUMMYFUNCTION("""COMPUTED_VALUE"""),"nru")</f>
        <v>nru</v>
      </c>
      <c r="C11238" t="str">
        <f>IFERROR(__xludf.DUMMYFUNCTION("""COMPUTED_VALUE"""),"Nauru")</f>
        <v>Nauru</v>
      </c>
      <c r="D11238">
        <f>IFERROR(__xludf.DUMMYFUNCTION("""COMPUTED_VALUE"""),1991.0)</f>
        <v>1991</v>
      </c>
      <c r="E11238">
        <f>IFERROR(__xludf.DUMMYFUNCTION("""COMPUTED_VALUE"""),9348.0)</f>
        <v>9348</v>
      </c>
    </row>
    <row r="11239">
      <c r="A11239" t="str">
        <f t="shared" si="1"/>
        <v>nru#1992</v>
      </c>
      <c r="B11239" t="str">
        <f>IFERROR(__xludf.DUMMYFUNCTION("""COMPUTED_VALUE"""),"nru")</f>
        <v>nru</v>
      </c>
      <c r="C11239" t="str">
        <f>IFERROR(__xludf.DUMMYFUNCTION("""COMPUTED_VALUE"""),"Nauru")</f>
        <v>Nauru</v>
      </c>
      <c r="D11239">
        <f>IFERROR(__xludf.DUMMYFUNCTION("""COMPUTED_VALUE"""),1992.0)</f>
        <v>1992</v>
      </c>
      <c r="E11239">
        <f>IFERROR(__xludf.DUMMYFUNCTION("""COMPUTED_VALUE"""),9546.0)</f>
        <v>9546</v>
      </c>
    </row>
    <row r="11240">
      <c r="A11240" t="str">
        <f t="shared" si="1"/>
        <v>nru#1993</v>
      </c>
      <c r="B11240" t="str">
        <f>IFERROR(__xludf.DUMMYFUNCTION("""COMPUTED_VALUE"""),"nru")</f>
        <v>nru</v>
      </c>
      <c r="C11240" t="str">
        <f>IFERROR(__xludf.DUMMYFUNCTION("""COMPUTED_VALUE"""),"Nauru")</f>
        <v>Nauru</v>
      </c>
      <c r="D11240">
        <f>IFERROR(__xludf.DUMMYFUNCTION("""COMPUTED_VALUE"""),1993.0)</f>
        <v>1993</v>
      </c>
      <c r="E11240">
        <f>IFERROR(__xludf.DUMMYFUNCTION("""COMPUTED_VALUE"""),9719.0)</f>
        <v>9719</v>
      </c>
    </row>
    <row r="11241">
      <c r="A11241" t="str">
        <f t="shared" si="1"/>
        <v>nru#1994</v>
      </c>
      <c r="B11241" t="str">
        <f>IFERROR(__xludf.DUMMYFUNCTION("""COMPUTED_VALUE"""),"nru")</f>
        <v>nru</v>
      </c>
      <c r="C11241" t="str">
        <f>IFERROR(__xludf.DUMMYFUNCTION("""COMPUTED_VALUE"""),"Nauru")</f>
        <v>Nauru</v>
      </c>
      <c r="D11241">
        <f>IFERROR(__xludf.DUMMYFUNCTION("""COMPUTED_VALUE"""),1994.0)</f>
        <v>1994</v>
      </c>
      <c r="E11241">
        <f>IFERROR(__xludf.DUMMYFUNCTION("""COMPUTED_VALUE"""),9857.0)</f>
        <v>9857</v>
      </c>
    </row>
    <row r="11242">
      <c r="A11242" t="str">
        <f t="shared" si="1"/>
        <v>nru#1995</v>
      </c>
      <c r="B11242" t="str">
        <f>IFERROR(__xludf.DUMMYFUNCTION("""COMPUTED_VALUE"""),"nru")</f>
        <v>nru</v>
      </c>
      <c r="C11242" t="str">
        <f>IFERROR(__xludf.DUMMYFUNCTION("""COMPUTED_VALUE"""),"Nauru")</f>
        <v>Nauru</v>
      </c>
      <c r="D11242">
        <f>IFERROR(__xludf.DUMMYFUNCTION("""COMPUTED_VALUE"""),1995.0)</f>
        <v>1995</v>
      </c>
      <c r="E11242">
        <f>IFERROR(__xludf.DUMMYFUNCTION("""COMPUTED_VALUE"""),9969.0)</f>
        <v>9969</v>
      </c>
    </row>
    <row r="11243">
      <c r="A11243" t="str">
        <f t="shared" si="1"/>
        <v>nru#1996</v>
      </c>
      <c r="B11243" t="str">
        <f>IFERROR(__xludf.DUMMYFUNCTION("""COMPUTED_VALUE"""),"nru")</f>
        <v>nru</v>
      </c>
      <c r="C11243" t="str">
        <f>IFERROR(__xludf.DUMMYFUNCTION("""COMPUTED_VALUE"""),"Nauru")</f>
        <v>Nauru</v>
      </c>
      <c r="D11243">
        <f>IFERROR(__xludf.DUMMYFUNCTION("""COMPUTED_VALUE"""),1996.0)</f>
        <v>1996</v>
      </c>
      <c r="E11243">
        <f>IFERROR(__xludf.DUMMYFUNCTION("""COMPUTED_VALUE"""),10029.0)</f>
        <v>10029</v>
      </c>
    </row>
    <row r="11244">
      <c r="A11244" t="str">
        <f t="shared" si="1"/>
        <v>nru#1997</v>
      </c>
      <c r="B11244" t="str">
        <f>IFERROR(__xludf.DUMMYFUNCTION("""COMPUTED_VALUE"""),"nru")</f>
        <v>nru</v>
      </c>
      <c r="C11244" t="str">
        <f>IFERROR(__xludf.DUMMYFUNCTION("""COMPUTED_VALUE"""),"Nauru")</f>
        <v>Nauru</v>
      </c>
      <c r="D11244">
        <f>IFERROR(__xludf.DUMMYFUNCTION("""COMPUTED_VALUE"""),1997.0)</f>
        <v>1997</v>
      </c>
      <c r="E11244">
        <f>IFERROR(__xludf.DUMMYFUNCTION("""COMPUTED_VALUE"""),10057.0)</f>
        <v>10057</v>
      </c>
    </row>
    <row r="11245">
      <c r="A11245" t="str">
        <f t="shared" si="1"/>
        <v>nru#1998</v>
      </c>
      <c r="B11245" t="str">
        <f>IFERROR(__xludf.DUMMYFUNCTION("""COMPUTED_VALUE"""),"nru")</f>
        <v>nru</v>
      </c>
      <c r="C11245" t="str">
        <f>IFERROR(__xludf.DUMMYFUNCTION("""COMPUTED_VALUE"""),"Nauru")</f>
        <v>Nauru</v>
      </c>
      <c r="D11245">
        <f>IFERROR(__xludf.DUMMYFUNCTION("""COMPUTED_VALUE"""),1998.0)</f>
        <v>1998</v>
      </c>
      <c r="E11245">
        <f>IFERROR(__xludf.DUMMYFUNCTION("""COMPUTED_VALUE"""),10046.0)</f>
        <v>10046</v>
      </c>
    </row>
    <row r="11246">
      <c r="A11246" t="str">
        <f t="shared" si="1"/>
        <v>nru#1999</v>
      </c>
      <c r="B11246" t="str">
        <f>IFERROR(__xludf.DUMMYFUNCTION("""COMPUTED_VALUE"""),"nru")</f>
        <v>nru</v>
      </c>
      <c r="C11246" t="str">
        <f>IFERROR(__xludf.DUMMYFUNCTION("""COMPUTED_VALUE"""),"Nauru")</f>
        <v>Nauru</v>
      </c>
      <c r="D11246">
        <f>IFERROR(__xludf.DUMMYFUNCTION("""COMPUTED_VALUE"""),1999.0)</f>
        <v>1999</v>
      </c>
      <c r="E11246">
        <f>IFERROR(__xludf.DUMMYFUNCTION("""COMPUTED_VALUE"""),10040.0)</f>
        <v>10040</v>
      </c>
    </row>
    <row r="11247">
      <c r="A11247" t="str">
        <f t="shared" si="1"/>
        <v>nru#2000</v>
      </c>
      <c r="B11247" t="str">
        <f>IFERROR(__xludf.DUMMYFUNCTION("""COMPUTED_VALUE"""),"nru")</f>
        <v>nru</v>
      </c>
      <c r="C11247" t="str">
        <f>IFERROR(__xludf.DUMMYFUNCTION("""COMPUTED_VALUE"""),"Nauru")</f>
        <v>Nauru</v>
      </c>
      <c r="D11247">
        <f>IFERROR(__xludf.DUMMYFUNCTION("""COMPUTED_VALUE"""),2000.0)</f>
        <v>2000</v>
      </c>
      <c r="E11247">
        <f>IFERROR(__xludf.DUMMYFUNCTION("""COMPUTED_VALUE"""),10037.0)</f>
        <v>10037</v>
      </c>
    </row>
    <row r="11248">
      <c r="A11248" t="str">
        <f t="shared" si="1"/>
        <v>nru#2001</v>
      </c>
      <c r="B11248" t="str">
        <f>IFERROR(__xludf.DUMMYFUNCTION("""COMPUTED_VALUE"""),"nru")</f>
        <v>nru</v>
      </c>
      <c r="C11248" t="str">
        <f>IFERROR(__xludf.DUMMYFUNCTION("""COMPUTED_VALUE"""),"Nauru")</f>
        <v>Nauru</v>
      </c>
      <c r="D11248">
        <f>IFERROR(__xludf.DUMMYFUNCTION("""COMPUTED_VALUE"""),2001.0)</f>
        <v>2001</v>
      </c>
      <c r="E11248">
        <f>IFERROR(__xludf.DUMMYFUNCTION("""COMPUTED_VALUE"""),10052.0)</f>
        <v>10052</v>
      </c>
    </row>
    <row r="11249">
      <c r="A11249" t="str">
        <f t="shared" si="1"/>
        <v>nru#2002</v>
      </c>
      <c r="B11249" t="str">
        <f>IFERROR(__xludf.DUMMYFUNCTION("""COMPUTED_VALUE"""),"nru")</f>
        <v>nru</v>
      </c>
      <c r="C11249" t="str">
        <f>IFERROR(__xludf.DUMMYFUNCTION("""COMPUTED_VALUE"""),"Nauru")</f>
        <v>Nauru</v>
      </c>
      <c r="D11249">
        <f>IFERROR(__xludf.DUMMYFUNCTION("""COMPUTED_VALUE"""),2002.0)</f>
        <v>2002</v>
      </c>
      <c r="E11249">
        <f>IFERROR(__xludf.DUMMYFUNCTION("""COMPUTED_VALUE"""),10080.0)</f>
        <v>10080</v>
      </c>
    </row>
    <row r="11250">
      <c r="A11250" t="str">
        <f t="shared" si="1"/>
        <v>nru#2003</v>
      </c>
      <c r="B11250" t="str">
        <f>IFERROR(__xludf.DUMMYFUNCTION("""COMPUTED_VALUE"""),"nru")</f>
        <v>nru</v>
      </c>
      <c r="C11250" t="str">
        <f>IFERROR(__xludf.DUMMYFUNCTION("""COMPUTED_VALUE"""),"Nauru")</f>
        <v>Nauru</v>
      </c>
      <c r="D11250">
        <f>IFERROR(__xludf.DUMMYFUNCTION("""COMPUTED_VALUE"""),2003.0)</f>
        <v>2003</v>
      </c>
      <c r="E11250">
        <f>IFERROR(__xludf.DUMMYFUNCTION("""COMPUTED_VALUE"""),10106.0)</f>
        <v>10106</v>
      </c>
    </row>
    <row r="11251">
      <c r="A11251" t="str">
        <f t="shared" si="1"/>
        <v>nru#2004</v>
      </c>
      <c r="B11251" t="str">
        <f>IFERROR(__xludf.DUMMYFUNCTION("""COMPUTED_VALUE"""),"nru")</f>
        <v>nru</v>
      </c>
      <c r="C11251" t="str">
        <f>IFERROR(__xludf.DUMMYFUNCTION("""COMPUTED_VALUE"""),"Nauru")</f>
        <v>Nauru</v>
      </c>
      <c r="D11251">
        <f>IFERROR(__xludf.DUMMYFUNCTION("""COMPUTED_VALUE"""),2004.0)</f>
        <v>2004</v>
      </c>
      <c r="E11251">
        <f>IFERROR(__xludf.DUMMYFUNCTION("""COMPUTED_VALUE"""),10126.0)</f>
        <v>10126</v>
      </c>
    </row>
    <row r="11252">
      <c r="A11252" t="str">
        <f t="shared" si="1"/>
        <v>nru#2005</v>
      </c>
      <c r="B11252" t="str">
        <f>IFERROR(__xludf.DUMMYFUNCTION("""COMPUTED_VALUE"""),"nru")</f>
        <v>nru</v>
      </c>
      <c r="C11252" t="str">
        <f>IFERROR(__xludf.DUMMYFUNCTION("""COMPUTED_VALUE"""),"Nauru")</f>
        <v>Nauru</v>
      </c>
      <c r="D11252">
        <f>IFERROR(__xludf.DUMMYFUNCTION("""COMPUTED_VALUE"""),2005.0)</f>
        <v>2005</v>
      </c>
      <c r="E11252">
        <f>IFERROR(__xludf.DUMMYFUNCTION("""COMPUTED_VALUE"""),10114.0)</f>
        <v>10114</v>
      </c>
    </row>
    <row r="11253">
      <c r="A11253" t="str">
        <f t="shared" si="1"/>
        <v>nru#2006</v>
      </c>
      <c r="B11253" t="str">
        <f>IFERROR(__xludf.DUMMYFUNCTION("""COMPUTED_VALUE"""),"nru")</f>
        <v>nru</v>
      </c>
      <c r="C11253" t="str">
        <f>IFERROR(__xludf.DUMMYFUNCTION("""COMPUTED_VALUE"""),"Nauru")</f>
        <v>Nauru</v>
      </c>
      <c r="D11253">
        <f>IFERROR(__xludf.DUMMYFUNCTION("""COMPUTED_VALUE"""),2006.0)</f>
        <v>2006</v>
      </c>
      <c r="E11253">
        <f>IFERROR(__xludf.DUMMYFUNCTION("""COMPUTED_VALUE"""),10071.0)</f>
        <v>10071</v>
      </c>
    </row>
    <row r="11254">
      <c r="A11254" t="str">
        <f t="shared" si="1"/>
        <v>nru#2007</v>
      </c>
      <c r="B11254" t="str">
        <f>IFERROR(__xludf.DUMMYFUNCTION("""COMPUTED_VALUE"""),"nru")</f>
        <v>nru</v>
      </c>
      <c r="C11254" t="str">
        <f>IFERROR(__xludf.DUMMYFUNCTION("""COMPUTED_VALUE"""),"Nauru")</f>
        <v>Nauru</v>
      </c>
      <c r="D11254">
        <f>IFERROR(__xludf.DUMMYFUNCTION("""COMPUTED_VALUE"""),2007.0)</f>
        <v>2007</v>
      </c>
      <c r="E11254">
        <f>IFERROR(__xludf.DUMMYFUNCTION("""COMPUTED_VALUE"""),10002.0)</f>
        <v>10002</v>
      </c>
    </row>
    <row r="11255">
      <c r="A11255" t="str">
        <f t="shared" si="1"/>
        <v>nru#2008</v>
      </c>
      <c r="B11255" t="str">
        <f>IFERROR(__xludf.DUMMYFUNCTION("""COMPUTED_VALUE"""),"nru")</f>
        <v>nru</v>
      </c>
      <c r="C11255" t="str">
        <f>IFERROR(__xludf.DUMMYFUNCTION("""COMPUTED_VALUE"""),"Nauru")</f>
        <v>Nauru</v>
      </c>
      <c r="D11255">
        <f>IFERROR(__xludf.DUMMYFUNCTION("""COMPUTED_VALUE"""),2008.0)</f>
        <v>2008</v>
      </c>
      <c r="E11255">
        <f>IFERROR(__xludf.DUMMYFUNCTION("""COMPUTED_VALUE"""),9947.0)</f>
        <v>9947</v>
      </c>
    </row>
    <row r="11256">
      <c r="A11256" t="str">
        <f t="shared" si="1"/>
        <v>nru#2009</v>
      </c>
      <c r="B11256" t="str">
        <f>IFERROR(__xludf.DUMMYFUNCTION("""COMPUTED_VALUE"""),"nru")</f>
        <v>nru</v>
      </c>
      <c r="C11256" t="str">
        <f>IFERROR(__xludf.DUMMYFUNCTION("""COMPUTED_VALUE"""),"Nauru")</f>
        <v>Nauru</v>
      </c>
      <c r="D11256">
        <f>IFERROR(__xludf.DUMMYFUNCTION("""COMPUTED_VALUE"""),2009.0)</f>
        <v>2009</v>
      </c>
      <c r="E11256">
        <f>IFERROR(__xludf.DUMMYFUNCTION("""COMPUTED_VALUE"""),9945.0)</f>
        <v>9945</v>
      </c>
    </row>
    <row r="11257">
      <c r="A11257" t="str">
        <f t="shared" si="1"/>
        <v>nru#2010</v>
      </c>
      <c r="B11257" t="str">
        <f>IFERROR(__xludf.DUMMYFUNCTION("""COMPUTED_VALUE"""),"nru")</f>
        <v>nru</v>
      </c>
      <c r="C11257" t="str">
        <f>IFERROR(__xludf.DUMMYFUNCTION("""COMPUTED_VALUE"""),"Nauru")</f>
        <v>Nauru</v>
      </c>
      <c r="D11257">
        <f>IFERROR(__xludf.DUMMYFUNCTION("""COMPUTED_VALUE"""),2010.0)</f>
        <v>2010</v>
      </c>
      <c r="E11257">
        <f>IFERROR(__xludf.DUMMYFUNCTION("""COMPUTED_VALUE"""),10025.0)</f>
        <v>10025</v>
      </c>
    </row>
    <row r="11258">
      <c r="A11258" t="str">
        <f t="shared" si="1"/>
        <v>nru#2011</v>
      </c>
      <c r="B11258" t="str">
        <f>IFERROR(__xludf.DUMMYFUNCTION("""COMPUTED_VALUE"""),"nru")</f>
        <v>nru</v>
      </c>
      <c r="C11258" t="str">
        <f>IFERROR(__xludf.DUMMYFUNCTION("""COMPUTED_VALUE"""),"Nauru")</f>
        <v>Nauru</v>
      </c>
      <c r="D11258">
        <f>IFERROR(__xludf.DUMMYFUNCTION("""COMPUTED_VALUE"""),2011.0)</f>
        <v>2011</v>
      </c>
      <c r="E11258">
        <f>IFERROR(__xludf.DUMMYFUNCTION("""COMPUTED_VALUE"""),10208.0)</f>
        <v>10208</v>
      </c>
    </row>
    <row r="11259">
      <c r="A11259" t="str">
        <f t="shared" si="1"/>
        <v>nru#2012</v>
      </c>
      <c r="B11259" t="str">
        <f>IFERROR(__xludf.DUMMYFUNCTION("""COMPUTED_VALUE"""),"nru")</f>
        <v>nru</v>
      </c>
      <c r="C11259" t="str">
        <f>IFERROR(__xludf.DUMMYFUNCTION("""COMPUTED_VALUE"""),"Nauru")</f>
        <v>Nauru</v>
      </c>
      <c r="D11259">
        <f>IFERROR(__xludf.DUMMYFUNCTION("""COMPUTED_VALUE"""),2012.0)</f>
        <v>2012</v>
      </c>
      <c r="E11259">
        <f>IFERROR(__xludf.DUMMYFUNCTION("""COMPUTED_VALUE"""),10478.0)</f>
        <v>10478</v>
      </c>
    </row>
    <row r="11260">
      <c r="A11260" t="str">
        <f t="shared" si="1"/>
        <v>nru#2013</v>
      </c>
      <c r="B11260" t="str">
        <f>IFERROR(__xludf.DUMMYFUNCTION("""COMPUTED_VALUE"""),"nru")</f>
        <v>nru</v>
      </c>
      <c r="C11260" t="str">
        <f>IFERROR(__xludf.DUMMYFUNCTION("""COMPUTED_VALUE"""),"Nauru")</f>
        <v>Nauru</v>
      </c>
      <c r="D11260">
        <f>IFERROR(__xludf.DUMMYFUNCTION("""COMPUTED_VALUE"""),2013.0)</f>
        <v>2013</v>
      </c>
      <c r="E11260">
        <f>IFERROR(__xludf.DUMMYFUNCTION("""COMPUTED_VALUE"""),10790.0)</f>
        <v>10790</v>
      </c>
    </row>
    <row r="11261">
      <c r="A11261" t="str">
        <f t="shared" si="1"/>
        <v>nru#2014</v>
      </c>
      <c r="B11261" t="str">
        <f>IFERROR(__xludf.DUMMYFUNCTION("""COMPUTED_VALUE"""),"nru")</f>
        <v>nru</v>
      </c>
      <c r="C11261" t="str">
        <f>IFERROR(__xludf.DUMMYFUNCTION("""COMPUTED_VALUE"""),"Nauru")</f>
        <v>Nauru</v>
      </c>
      <c r="D11261">
        <f>IFERROR(__xludf.DUMMYFUNCTION("""COMPUTED_VALUE"""),2014.0)</f>
        <v>2014</v>
      </c>
      <c r="E11261">
        <f>IFERROR(__xludf.DUMMYFUNCTION("""COMPUTED_VALUE"""),11070.0)</f>
        <v>11070</v>
      </c>
    </row>
    <row r="11262">
      <c r="A11262" t="str">
        <f t="shared" si="1"/>
        <v>nru#2015</v>
      </c>
      <c r="B11262" t="str">
        <f>IFERROR(__xludf.DUMMYFUNCTION("""COMPUTED_VALUE"""),"nru")</f>
        <v>nru</v>
      </c>
      <c r="C11262" t="str">
        <f>IFERROR(__xludf.DUMMYFUNCTION("""COMPUTED_VALUE"""),"Nauru")</f>
        <v>Nauru</v>
      </c>
      <c r="D11262">
        <f>IFERROR(__xludf.DUMMYFUNCTION("""COMPUTED_VALUE"""),2015.0)</f>
        <v>2015</v>
      </c>
      <c r="E11262">
        <f>IFERROR(__xludf.DUMMYFUNCTION("""COMPUTED_VALUE"""),11260.0)</f>
        <v>11260</v>
      </c>
    </row>
    <row r="11263">
      <c r="A11263" t="str">
        <f t="shared" si="1"/>
        <v>nru#2016</v>
      </c>
      <c r="B11263" t="str">
        <f>IFERROR(__xludf.DUMMYFUNCTION("""COMPUTED_VALUE"""),"nru")</f>
        <v>nru</v>
      </c>
      <c r="C11263" t="str">
        <f>IFERROR(__xludf.DUMMYFUNCTION("""COMPUTED_VALUE"""),"Nauru")</f>
        <v>Nauru</v>
      </c>
      <c r="D11263">
        <f>IFERROR(__xludf.DUMMYFUNCTION("""COMPUTED_VALUE"""),2016.0)</f>
        <v>2016</v>
      </c>
      <c r="E11263">
        <f>IFERROR(__xludf.DUMMYFUNCTION("""COMPUTED_VALUE"""),11347.0)</f>
        <v>11347</v>
      </c>
    </row>
    <row r="11264">
      <c r="A11264" t="str">
        <f t="shared" si="1"/>
        <v>nru#2017</v>
      </c>
      <c r="B11264" t="str">
        <f>IFERROR(__xludf.DUMMYFUNCTION("""COMPUTED_VALUE"""),"nru")</f>
        <v>nru</v>
      </c>
      <c r="C11264" t="str">
        <f>IFERROR(__xludf.DUMMYFUNCTION("""COMPUTED_VALUE"""),"Nauru")</f>
        <v>Nauru</v>
      </c>
      <c r="D11264">
        <f>IFERROR(__xludf.DUMMYFUNCTION("""COMPUTED_VALUE"""),2017.0)</f>
        <v>2017</v>
      </c>
      <c r="E11264">
        <f>IFERROR(__xludf.DUMMYFUNCTION("""COMPUTED_VALUE"""),11359.0)</f>
        <v>11359</v>
      </c>
    </row>
    <row r="11265">
      <c r="A11265" t="str">
        <f t="shared" si="1"/>
        <v>nru#2018</v>
      </c>
      <c r="B11265" t="str">
        <f>IFERROR(__xludf.DUMMYFUNCTION("""COMPUTED_VALUE"""),"nru")</f>
        <v>nru</v>
      </c>
      <c r="C11265" t="str">
        <f>IFERROR(__xludf.DUMMYFUNCTION("""COMPUTED_VALUE"""),"Nauru")</f>
        <v>Nauru</v>
      </c>
      <c r="D11265">
        <f>IFERROR(__xludf.DUMMYFUNCTION("""COMPUTED_VALUE"""),2018.0)</f>
        <v>2018</v>
      </c>
      <c r="E11265">
        <f>IFERROR(__xludf.DUMMYFUNCTION("""COMPUTED_VALUE"""),11312.0)</f>
        <v>11312</v>
      </c>
    </row>
    <row r="11266">
      <c r="A11266" t="str">
        <f t="shared" si="1"/>
        <v>nru#2019</v>
      </c>
      <c r="B11266" t="str">
        <f>IFERROR(__xludf.DUMMYFUNCTION("""COMPUTED_VALUE"""),"nru")</f>
        <v>nru</v>
      </c>
      <c r="C11266" t="str">
        <f>IFERROR(__xludf.DUMMYFUNCTION("""COMPUTED_VALUE"""),"Nauru")</f>
        <v>Nauru</v>
      </c>
      <c r="D11266">
        <f>IFERROR(__xludf.DUMMYFUNCTION("""COMPUTED_VALUE"""),2019.0)</f>
        <v>2019</v>
      </c>
      <c r="E11266">
        <f>IFERROR(__xludf.DUMMYFUNCTION("""COMPUTED_VALUE"""),11260.0)</f>
        <v>11260</v>
      </c>
    </row>
    <row r="11267">
      <c r="A11267" t="str">
        <f t="shared" si="1"/>
        <v>nru#2020</v>
      </c>
      <c r="B11267" t="str">
        <f>IFERROR(__xludf.DUMMYFUNCTION("""COMPUTED_VALUE"""),"nru")</f>
        <v>nru</v>
      </c>
      <c r="C11267" t="str">
        <f>IFERROR(__xludf.DUMMYFUNCTION("""COMPUTED_VALUE"""),"Nauru")</f>
        <v>Nauru</v>
      </c>
      <c r="D11267">
        <f>IFERROR(__xludf.DUMMYFUNCTION("""COMPUTED_VALUE"""),2020.0)</f>
        <v>2020</v>
      </c>
      <c r="E11267">
        <f>IFERROR(__xludf.DUMMYFUNCTION("""COMPUTED_VALUE"""),11227.0)</f>
        <v>11227</v>
      </c>
    </row>
    <row r="11268">
      <c r="A11268" t="str">
        <f t="shared" si="1"/>
        <v>nru#2021</v>
      </c>
      <c r="B11268" t="str">
        <f>IFERROR(__xludf.DUMMYFUNCTION("""COMPUTED_VALUE"""),"nru")</f>
        <v>nru</v>
      </c>
      <c r="C11268" t="str">
        <f>IFERROR(__xludf.DUMMYFUNCTION("""COMPUTED_VALUE"""),"Nauru")</f>
        <v>Nauru</v>
      </c>
      <c r="D11268">
        <f>IFERROR(__xludf.DUMMYFUNCTION("""COMPUTED_VALUE"""),2021.0)</f>
        <v>2021</v>
      </c>
      <c r="E11268">
        <f>IFERROR(__xludf.DUMMYFUNCTION("""COMPUTED_VALUE"""),11222.0)</f>
        <v>11222</v>
      </c>
    </row>
    <row r="11269">
      <c r="A11269" t="str">
        <f t="shared" si="1"/>
        <v>nru#2022</v>
      </c>
      <c r="B11269" t="str">
        <f>IFERROR(__xludf.DUMMYFUNCTION("""COMPUTED_VALUE"""),"nru")</f>
        <v>nru</v>
      </c>
      <c r="C11269" t="str">
        <f>IFERROR(__xludf.DUMMYFUNCTION("""COMPUTED_VALUE"""),"Nauru")</f>
        <v>Nauru</v>
      </c>
      <c r="D11269">
        <f>IFERROR(__xludf.DUMMYFUNCTION("""COMPUTED_VALUE"""),2022.0)</f>
        <v>2022</v>
      </c>
      <c r="E11269">
        <f>IFERROR(__xludf.DUMMYFUNCTION("""COMPUTED_VALUE"""),11232.0)</f>
        <v>11232</v>
      </c>
    </row>
    <row r="11270">
      <c r="A11270" t="str">
        <f t="shared" si="1"/>
        <v>nru#2023</v>
      </c>
      <c r="B11270" t="str">
        <f>IFERROR(__xludf.DUMMYFUNCTION("""COMPUTED_VALUE"""),"nru")</f>
        <v>nru</v>
      </c>
      <c r="C11270" t="str">
        <f>IFERROR(__xludf.DUMMYFUNCTION("""COMPUTED_VALUE"""),"Nauru")</f>
        <v>Nauru</v>
      </c>
      <c r="D11270">
        <f>IFERROR(__xludf.DUMMYFUNCTION("""COMPUTED_VALUE"""),2023.0)</f>
        <v>2023</v>
      </c>
      <c r="E11270">
        <f>IFERROR(__xludf.DUMMYFUNCTION("""COMPUTED_VALUE"""),11261.0)</f>
        <v>11261</v>
      </c>
    </row>
    <row r="11271">
      <c r="A11271" t="str">
        <f t="shared" si="1"/>
        <v>nru#2024</v>
      </c>
      <c r="B11271" t="str">
        <f>IFERROR(__xludf.DUMMYFUNCTION("""COMPUTED_VALUE"""),"nru")</f>
        <v>nru</v>
      </c>
      <c r="C11271" t="str">
        <f>IFERROR(__xludf.DUMMYFUNCTION("""COMPUTED_VALUE"""),"Nauru")</f>
        <v>Nauru</v>
      </c>
      <c r="D11271">
        <f>IFERROR(__xludf.DUMMYFUNCTION("""COMPUTED_VALUE"""),2024.0)</f>
        <v>2024</v>
      </c>
      <c r="E11271">
        <f>IFERROR(__xludf.DUMMYFUNCTION("""COMPUTED_VALUE"""),11291.0)</f>
        <v>11291</v>
      </c>
    </row>
    <row r="11272">
      <c r="A11272" t="str">
        <f t="shared" si="1"/>
        <v>nru#2025</v>
      </c>
      <c r="B11272" t="str">
        <f>IFERROR(__xludf.DUMMYFUNCTION("""COMPUTED_VALUE"""),"nru")</f>
        <v>nru</v>
      </c>
      <c r="C11272" t="str">
        <f>IFERROR(__xludf.DUMMYFUNCTION("""COMPUTED_VALUE"""),"Nauru")</f>
        <v>Nauru</v>
      </c>
      <c r="D11272">
        <f>IFERROR(__xludf.DUMMYFUNCTION("""COMPUTED_VALUE"""),2025.0)</f>
        <v>2025</v>
      </c>
      <c r="E11272">
        <f>IFERROR(__xludf.DUMMYFUNCTION("""COMPUTED_VALUE"""),11326.0)</f>
        <v>11326</v>
      </c>
    </row>
    <row r="11273">
      <c r="A11273" t="str">
        <f t="shared" si="1"/>
        <v>nru#2026</v>
      </c>
      <c r="B11273" t="str">
        <f>IFERROR(__xludf.DUMMYFUNCTION("""COMPUTED_VALUE"""),"nru")</f>
        <v>nru</v>
      </c>
      <c r="C11273" t="str">
        <f>IFERROR(__xludf.DUMMYFUNCTION("""COMPUTED_VALUE"""),"Nauru")</f>
        <v>Nauru</v>
      </c>
      <c r="D11273">
        <f>IFERROR(__xludf.DUMMYFUNCTION("""COMPUTED_VALUE"""),2026.0)</f>
        <v>2026</v>
      </c>
      <c r="E11273">
        <f>IFERROR(__xludf.DUMMYFUNCTION("""COMPUTED_VALUE"""),11351.0)</f>
        <v>11351</v>
      </c>
    </row>
    <row r="11274">
      <c r="A11274" t="str">
        <f t="shared" si="1"/>
        <v>nru#2027</v>
      </c>
      <c r="B11274" t="str">
        <f>IFERROR(__xludf.DUMMYFUNCTION("""COMPUTED_VALUE"""),"nru")</f>
        <v>nru</v>
      </c>
      <c r="C11274" t="str">
        <f>IFERROR(__xludf.DUMMYFUNCTION("""COMPUTED_VALUE"""),"Nauru")</f>
        <v>Nauru</v>
      </c>
      <c r="D11274">
        <f>IFERROR(__xludf.DUMMYFUNCTION("""COMPUTED_VALUE"""),2027.0)</f>
        <v>2027</v>
      </c>
      <c r="E11274">
        <f>IFERROR(__xludf.DUMMYFUNCTION("""COMPUTED_VALUE"""),11381.0)</f>
        <v>11381</v>
      </c>
    </row>
    <row r="11275">
      <c r="A11275" t="str">
        <f t="shared" si="1"/>
        <v>nru#2028</v>
      </c>
      <c r="B11275" t="str">
        <f>IFERROR(__xludf.DUMMYFUNCTION("""COMPUTED_VALUE"""),"nru")</f>
        <v>nru</v>
      </c>
      <c r="C11275" t="str">
        <f>IFERROR(__xludf.DUMMYFUNCTION("""COMPUTED_VALUE"""),"Nauru")</f>
        <v>Nauru</v>
      </c>
      <c r="D11275">
        <f>IFERROR(__xludf.DUMMYFUNCTION("""COMPUTED_VALUE"""),2028.0)</f>
        <v>2028</v>
      </c>
      <c r="E11275">
        <f>IFERROR(__xludf.DUMMYFUNCTION("""COMPUTED_VALUE"""),11407.0)</f>
        <v>11407</v>
      </c>
    </row>
    <row r="11276">
      <c r="A11276" t="str">
        <f t="shared" si="1"/>
        <v>nru#2029</v>
      </c>
      <c r="B11276" t="str">
        <f>IFERROR(__xludf.DUMMYFUNCTION("""COMPUTED_VALUE"""),"nru")</f>
        <v>nru</v>
      </c>
      <c r="C11276" t="str">
        <f>IFERROR(__xludf.DUMMYFUNCTION("""COMPUTED_VALUE"""),"Nauru")</f>
        <v>Nauru</v>
      </c>
      <c r="D11276">
        <f>IFERROR(__xludf.DUMMYFUNCTION("""COMPUTED_VALUE"""),2029.0)</f>
        <v>2029</v>
      </c>
      <c r="E11276">
        <f>IFERROR(__xludf.DUMMYFUNCTION("""COMPUTED_VALUE"""),11429.0)</f>
        <v>11429</v>
      </c>
    </row>
    <row r="11277">
      <c r="A11277" t="str">
        <f t="shared" si="1"/>
        <v>nru#2030</v>
      </c>
      <c r="B11277" t="str">
        <f>IFERROR(__xludf.DUMMYFUNCTION("""COMPUTED_VALUE"""),"nru")</f>
        <v>nru</v>
      </c>
      <c r="C11277" t="str">
        <f>IFERROR(__xludf.DUMMYFUNCTION("""COMPUTED_VALUE"""),"Nauru")</f>
        <v>Nauru</v>
      </c>
      <c r="D11277">
        <f>IFERROR(__xludf.DUMMYFUNCTION("""COMPUTED_VALUE"""),2030.0)</f>
        <v>2030</v>
      </c>
      <c r="E11277">
        <f>IFERROR(__xludf.DUMMYFUNCTION("""COMPUTED_VALUE"""),11454.0)</f>
        <v>11454</v>
      </c>
    </row>
    <row r="11278">
      <c r="A11278" t="str">
        <f t="shared" si="1"/>
        <v>nru#2031</v>
      </c>
      <c r="B11278" t="str">
        <f>IFERROR(__xludf.DUMMYFUNCTION("""COMPUTED_VALUE"""),"nru")</f>
        <v>nru</v>
      </c>
      <c r="C11278" t="str">
        <f>IFERROR(__xludf.DUMMYFUNCTION("""COMPUTED_VALUE"""),"Nauru")</f>
        <v>Nauru</v>
      </c>
      <c r="D11278">
        <f>IFERROR(__xludf.DUMMYFUNCTION("""COMPUTED_VALUE"""),2031.0)</f>
        <v>2031</v>
      </c>
      <c r="E11278">
        <f>IFERROR(__xludf.DUMMYFUNCTION("""COMPUTED_VALUE"""),11473.0)</f>
        <v>11473</v>
      </c>
    </row>
    <row r="11279">
      <c r="A11279" t="str">
        <f t="shared" si="1"/>
        <v>nru#2032</v>
      </c>
      <c r="B11279" t="str">
        <f>IFERROR(__xludf.DUMMYFUNCTION("""COMPUTED_VALUE"""),"nru")</f>
        <v>nru</v>
      </c>
      <c r="C11279" t="str">
        <f>IFERROR(__xludf.DUMMYFUNCTION("""COMPUTED_VALUE"""),"Nauru")</f>
        <v>Nauru</v>
      </c>
      <c r="D11279">
        <f>IFERROR(__xludf.DUMMYFUNCTION("""COMPUTED_VALUE"""),2032.0)</f>
        <v>2032</v>
      </c>
      <c r="E11279">
        <f>IFERROR(__xludf.DUMMYFUNCTION("""COMPUTED_VALUE"""),11494.0)</f>
        <v>11494</v>
      </c>
    </row>
    <row r="11280">
      <c r="A11280" t="str">
        <f t="shared" si="1"/>
        <v>nru#2033</v>
      </c>
      <c r="B11280" t="str">
        <f>IFERROR(__xludf.DUMMYFUNCTION("""COMPUTED_VALUE"""),"nru")</f>
        <v>nru</v>
      </c>
      <c r="C11280" t="str">
        <f>IFERROR(__xludf.DUMMYFUNCTION("""COMPUTED_VALUE"""),"Nauru")</f>
        <v>Nauru</v>
      </c>
      <c r="D11280">
        <f>IFERROR(__xludf.DUMMYFUNCTION("""COMPUTED_VALUE"""),2033.0)</f>
        <v>2033</v>
      </c>
      <c r="E11280">
        <f>IFERROR(__xludf.DUMMYFUNCTION("""COMPUTED_VALUE"""),11507.0)</f>
        <v>11507</v>
      </c>
    </row>
    <row r="11281">
      <c r="A11281" t="str">
        <f t="shared" si="1"/>
        <v>nru#2034</v>
      </c>
      <c r="B11281" t="str">
        <f>IFERROR(__xludf.DUMMYFUNCTION("""COMPUTED_VALUE"""),"nru")</f>
        <v>nru</v>
      </c>
      <c r="C11281" t="str">
        <f>IFERROR(__xludf.DUMMYFUNCTION("""COMPUTED_VALUE"""),"Nauru")</f>
        <v>Nauru</v>
      </c>
      <c r="D11281">
        <f>IFERROR(__xludf.DUMMYFUNCTION("""COMPUTED_VALUE"""),2034.0)</f>
        <v>2034</v>
      </c>
      <c r="E11281">
        <f>IFERROR(__xludf.DUMMYFUNCTION("""COMPUTED_VALUE"""),11519.0)</f>
        <v>11519</v>
      </c>
    </row>
    <row r="11282">
      <c r="A11282" t="str">
        <f t="shared" si="1"/>
        <v>nru#2035</v>
      </c>
      <c r="B11282" t="str">
        <f>IFERROR(__xludf.DUMMYFUNCTION("""COMPUTED_VALUE"""),"nru")</f>
        <v>nru</v>
      </c>
      <c r="C11282" t="str">
        <f>IFERROR(__xludf.DUMMYFUNCTION("""COMPUTED_VALUE"""),"Nauru")</f>
        <v>Nauru</v>
      </c>
      <c r="D11282">
        <f>IFERROR(__xludf.DUMMYFUNCTION("""COMPUTED_VALUE"""),2035.0)</f>
        <v>2035</v>
      </c>
      <c r="E11282">
        <f>IFERROR(__xludf.DUMMYFUNCTION("""COMPUTED_VALUE"""),11527.0)</f>
        <v>11527</v>
      </c>
    </row>
    <row r="11283">
      <c r="A11283" t="str">
        <f t="shared" si="1"/>
        <v>nru#2036</v>
      </c>
      <c r="B11283" t="str">
        <f>IFERROR(__xludf.DUMMYFUNCTION("""COMPUTED_VALUE"""),"nru")</f>
        <v>nru</v>
      </c>
      <c r="C11283" t="str">
        <f>IFERROR(__xludf.DUMMYFUNCTION("""COMPUTED_VALUE"""),"Nauru")</f>
        <v>Nauru</v>
      </c>
      <c r="D11283">
        <f>IFERROR(__xludf.DUMMYFUNCTION("""COMPUTED_VALUE"""),2036.0)</f>
        <v>2036</v>
      </c>
      <c r="E11283">
        <f>IFERROR(__xludf.DUMMYFUNCTION("""COMPUTED_VALUE"""),11531.0)</f>
        <v>11531</v>
      </c>
    </row>
    <row r="11284">
      <c r="A11284" t="str">
        <f t="shared" si="1"/>
        <v>nru#2037</v>
      </c>
      <c r="B11284" t="str">
        <f>IFERROR(__xludf.DUMMYFUNCTION("""COMPUTED_VALUE"""),"nru")</f>
        <v>nru</v>
      </c>
      <c r="C11284" t="str">
        <f>IFERROR(__xludf.DUMMYFUNCTION("""COMPUTED_VALUE"""),"Nauru")</f>
        <v>Nauru</v>
      </c>
      <c r="D11284">
        <f>IFERROR(__xludf.DUMMYFUNCTION("""COMPUTED_VALUE"""),2037.0)</f>
        <v>2037</v>
      </c>
      <c r="E11284">
        <f>IFERROR(__xludf.DUMMYFUNCTION("""COMPUTED_VALUE"""),11532.0)</f>
        <v>11532</v>
      </c>
    </row>
    <row r="11285">
      <c r="A11285" t="str">
        <f t="shared" si="1"/>
        <v>nru#2038</v>
      </c>
      <c r="B11285" t="str">
        <f>IFERROR(__xludf.DUMMYFUNCTION("""COMPUTED_VALUE"""),"nru")</f>
        <v>nru</v>
      </c>
      <c r="C11285" t="str">
        <f>IFERROR(__xludf.DUMMYFUNCTION("""COMPUTED_VALUE"""),"Nauru")</f>
        <v>Nauru</v>
      </c>
      <c r="D11285">
        <f>IFERROR(__xludf.DUMMYFUNCTION("""COMPUTED_VALUE"""),2038.0)</f>
        <v>2038</v>
      </c>
      <c r="E11285">
        <f>IFERROR(__xludf.DUMMYFUNCTION("""COMPUTED_VALUE"""),11532.0)</f>
        <v>11532</v>
      </c>
    </row>
    <row r="11286">
      <c r="A11286" t="str">
        <f t="shared" si="1"/>
        <v>nru#2039</v>
      </c>
      <c r="B11286" t="str">
        <f>IFERROR(__xludf.DUMMYFUNCTION("""COMPUTED_VALUE"""),"nru")</f>
        <v>nru</v>
      </c>
      <c r="C11286" t="str">
        <f>IFERROR(__xludf.DUMMYFUNCTION("""COMPUTED_VALUE"""),"Nauru")</f>
        <v>Nauru</v>
      </c>
      <c r="D11286">
        <f>IFERROR(__xludf.DUMMYFUNCTION("""COMPUTED_VALUE"""),2039.0)</f>
        <v>2039</v>
      </c>
      <c r="E11286">
        <f>IFERROR(__xludf.DUMMYFUNCTION("""COMPUTED_VALUE"""),11527.0)</f>
        <v>11527</v>
      </c>
    </row>
    <row r="11287">
      <c r="A11287" t="str">
        <f t="shared" si="1"/>
        <v>nru#2040</v>
      </c>
      <c r="B11287" t="str">
        <f>IFERROR(__xludf.DUMMYFUNCTION("""COMPUTED_VALUE"""),"nru")</f>
        <v>nru</v>
      </c>
      <c r="C11287" t="str">
        <f>IFERROR(__xludf.DUMMYFUNCTION("""COMPUTED_VALUE"""),"Nauru")</f>
        <v>Nauru</v>
      </c>
      <c r="D11287">
        <f>IFERROR(__xludf.DUMMYFUNCTION("""COMPUTED_VALUE"""),2040.0)</f>
        <v>2040</v>
      </c>
      <c r="E11287">
        <f>IFERROR(__xludf.DUMMYFUNCTION("""COMPUTED_VALUE"""),11522.0)</f>
        <v>11522</v>
      </c>
    </row>
    <row r="11288">
      <c r="A11288" t="str">
        <f t="shared" si="1"/>
        <v>npl#1950</v>
      </c>
      <c r="B11288" t="str">
        <f>IFERROR(__xludf.DUMMYFUNCTION("""COMPUTED_VALUE"""),"npl")</f>
        <v>npl</v>
      </c>
      <c r="C11288" t="str">
        <f>IFERROR(__xludf.DUMMYFUNCTION("""COMPUTED_VALUE"""),"Nepal")</f>
        <v>Nepal</v>
      </c>
      <c r="D11288">
        <f>IFERROR(__xludf.DUMMYFUNCTION("""COMPUTED_VALUE"""),1950.0)</f>
        <v>1950</v>
      </c>
      <c r="E11288">
        <f>IFERROR(__xludf.DUMMYFUNCTION("""COMPUTED_VALUE"""),8483325.0)</f>
        <v>8483325</v>
      </c>
    </row>
    <row r="11289">
      <c r="A11289" t="str">
        <f t="shared" si="1"/>
        <v>npl#1951</v>
      </c>
      <c r="B11289" t="str">
        <f>IFERROR(__xludf.DUMMYFUNCTION("""COMPUTED_VALUE"""),"npl")</f>
        <v>npl</v>
      </c>
      <c r="C11289" t="str">
        <f>IFERROR(__xludf.DUMMYFUNCTION("""COMPUTED_VALUE"""),"Nepal")</f>
        <v>Nepal</v>
      </c>
      <c r="D11289">
        <f>IFERROR(__xludf.DUMMYFUNCTION("""COMPUTED_VALUE"""),1951.0)</f>
        <v>1951</v>
      </c>
      <c r="E11289">
        <f>IFERROR(__xludf.DUMMYFUNCTION("""COMPUTED_VALUE"""),8658310.0)</f>
        <v>8658310</v>
      </c>
    </row>
    <row r="11290">
      <c r="A11290" t="str">
        <f t="shared" si="1"/>
        <v>npl#1952</v>
      </c>
      <c r="B11290" t="str">
        <f>IFERROR(__xludf.DUMMYFUNCTION("""COMPUTED_VALUE"""),"npl")</f>
        <v>npl</v>
      </c>
      <c r="C11290" t="str">
        <f>IFERROR(__xludf.DUMMYFUNCTION("""COMPUTED_VALUE"""),"Nepal")</f>
        <v>Nepal</v>
      </c>
      <c r="D11290">
        <f>IFERROR(__xludf.DUMMYFUNCTION("""COMPUTED_VALUE"""),1952.0)</f>
        <v>1952</v>
      </c>
      <c r="E11290">
        <f>IFERROR(__xludf.DUMMYFUNCTION("""COMPUTED_VALUE"""),8824455.0)</f>
        <v>8824455</v>
      </c>
    </row>
    <row r="11291">
      <c r="A11291" t="str">
        <f t="shared" si="1"/>
        <v>npl#1953</v>
      </c>
      <c r="B11291" t="str">
        <f>IFERROR(__xludf.DUMMYFUNCTION("""COMPUTED_VALUE"""),"npl")</f>
        <v>npl</v>
      </c>
      <c r="C11291" t="str">
        <f>IFERROR(__xludf.DUMMYFUNCTION("""COMPUTED_VALUE"""),"Nepal")</f>
        <v>Nepal</v>
      </c>
      <c r="D11291">
        <f>IFERROR(__xludf.DUMMYFUNCTION("""COMPUTED_VALUE"""),1953.0)</f>
        <v>1953</v>
      </c>
      <c r="E11291">
        <f>IFERROR(__xludf.DUMMYFUNCTION("""COMPUTED_VALUE"""),8984311.0)</f>
        <v>8984311</v>
      </c>
    </row>
    <row r="11292">
      <c r="A11292" t="str">
        <f t="shared" si="1"/>
        <v>npl#1954</v>
      </c>
      <c r="B11292" t="str">
        <f>IFERROR(__xludf.DUMMYFUNCTION("""COMPUTED_VALUE"""),"npl")</f>
        <v>npl</v>
      </c>
      <c r="C11292" t="str">
        <f>IFERROR(__xludf.DUMMYFUNCTION("""COMPUTED_VALUE"""),"Nepal")</f>
        <v>Nepal</v>
      </c>
      <c r="D11292">
        <f>IFERROR(__xludf.DUMMYFUNCTION("""COMPUTED_VALUE"""),1954.0)</f>
        <v>1954</v>
      </c>
      <c r="E11292">
        <f>IFERROR(__xludf.DUMMYFUNCTION("""COMPUTED_VALUE"""),9140059.0)</f>
        <v>9140059</v>
      </c>
    </row>
    <row r="11293">
      <c r="A11293" t="str">
        <f t="shared" si="1"/>
        <v>npl#1955</v>
      </c>
      <c r="B11293" t="str">
        <f>IFERROR(__xludf.DUMMYFUNCTION("""COMPUTED_VALUE"""),"npl")</f>
        <v>npl</v>
      </c>
      <c r="C11293" t="str">
        <f>IFERROR(__xludf.DUMMYFUNCTION("""COMPUTED_VALUE"""),"Nepal")</f>
        <v>Nepal</v>
      </c>
      <c r="D11293">
        <f>IFERROR(__xludf.DUMMYFUNCTION("""COMPUTED_VALUE"""),1955.0)</f>
        <v>1955</v>
      </c>
      <c r="E11293">
        <f>IFERROR(__xludf.DUMMYFUNCTION("""COMPUTED_VALUE"""),9293493.0)</f>
        <v>9293493</v>
      </c>
    </row>
    <row r="11294">
      <c r="A11294" t="str">
        <f t="shared" si="1"/>
        <v>npl#1956</v>
      </c>
      <c r="B11294" t="str">
        <f>IFERROR(__xludf.DUMMYFUNCTION("""COMPUTED_VALUE"""),"npl")</f>
        <v>npl</v>
      </c>
      <c r="C11294" t="str">
        <f>IFERROR(__xludf.DUMMYFUNCTION("""COMPUTED_VALUE"""),"Nepal")</f>
        <v>Nepal</v>
      </c>
      <c r="D11294">
        <f>IFERROR(__xludf.DUMMYFUNCTION("""COMPUTED_VALUE"""),1956.0)</f>
        <v>1956</v>
      </c>
      <c r="E11294">
        <f>IFERROR(__xludf.DUMMYFUNCTION("""COMPUTED_VALUE"""),9446009.0)</f>
        <v>9446009</v>
      </c>
    </row>
    <row r="11295">
      <c r="A11295" t="str">
        <f t="shared" si="1"/>
        <v>npl#1957</v>
      </c>
      <c r="B11295" t="str">
        <f>IFERROR(__xludf.DUMMYFUNCTION("""COMPUTED_VALUE"""),"npl")</f>
        <v>npl</v>
      </c>
      <c r="C11295" t="str">
        <f>IFERROR(__xludf.DUMMYFUNCTION("""COMPUTED_VALUE"""),"Nepal")</f>
        <v>Nepal</v>
      </c>
      <c r="D11295">
        <f>IFERROR(__xludf.DUMMYFUNCTION("""COMPUTED_VALUE"""),1957.0)</f>
        <v>1957</v>
      </c>
      <c r="E11295">
        <f>IFERROR(__xludf.DUMMYFUNCTION("""COMPUTED_VALUE"""),9598630.0)</f>
        <v>9598630</v>
      </c>
    </row>
    <row r="11296">
      <c r="A11296" t="str">
        <f t="shared" si="1"/>
        <v>npl#1958</v>
      </c>
      <c r="B11296" t="str">
        <f>IFERROR(__xludf.DUMMYFUNCTION("""COMPUTED_VALUE"""),"npl")</f>
        <v>npl</v>
      </c>
      <c r="C11296" t="str">
        <f>IFERROR(__xludf.DUMMYFUNCTION("""COMPUTED_VALUE"""),"Nepal")</f>
        <v>Nepal</v>
      </c>
      <c r="D11296">
        <f>IFERROR(__xludf.DUMMYFUNCTION("""COMPUTED_VALUE"""),1958.0)</f>
        <v>1958</v>
      </c>
      <c r="E11296">
        <f>IFERROR(__xludf.DUMMYFUNCTION("""COMPUTED_VALUE"""),9752049.0)</f>
        <v>9752049</v>
      </c>
    </row>
    <row r="11297">
      <c r="A11297" t="str">
        <f t="shared" si="1"/>
        <v>npl#1959</v>
      </c>
      <c r="B11297" t="str">
        <f>IFERROR(__xludf.DUMMYFUNCTION("""COMPUTED_VALUE"""),"npl")</f>
        <v>npl</v>
      </c>
      <c r="C11297" t="str">
        <f>IFERROR(__xludf.DUMMYFUNCTION("""COMPUTED_VALUE"""),"Nepal")</f>
        <v>Nepal</v>
      </c>
      <c r="D11297">
        <f>IFERROR(__xludf.DUMMYFUNCTION("""COMPUTED_VALUE"""),1959.0)</f>
        <v>1959</v>
      </c>
      <c r="E11297">
        <f>IFERROR(__xludf.DUMMYFUNCTION("""COMPUTED_VALUE"""),9906689.0)</f>
        <v>9906689</v>
      </c>
    </row>
    <row r="11298">
      <c r="A11298" t="str">
        <f t="shared" si="1"/>
        <v>npl#1960</v>
      </c>
      <c r="B11298" t="str">
        <f>IFERROR(__xludf.DUMMYFUNCTION("""COMPUTED_VALUE"""),"npl")</f>
        <v>npl</v>
      </c>
      <c r="C11298" t="str">
        <f>IFERROR(__xludf.DUMMYFUNCTION("""COMPUTED_VALUE"""),"Nepal")</f>
        <v>Nepal</v>
      </c>
      <c r="D11298">
        <f>IFERROR(__xludf.DUMMYFUNCTION("""COMPUTED_VALUE"""),1960.0)</f>
        <v>1960</v>
      </c>
      <c r="E11298">
        <f>IFERROR(__xludf.DUMMYFUNCTION("""COMPUTED_VALUE"""),1.0063011E7)</f>
        <v>10063011</v>
      </c>
    </row>
    <row r="11299">
      <c r="A11299" t="str">
        <f t="shared" si="1"/>
        <v>npl#1961</v>
      </c>
      <c r="B11299" t="str">
        <f>IFERROR(__xludf.DUMMYFUNCTION("""COMPUTED_VALUE"""),"npl")</f>
        <v>npl</v>
      </c>
      <c r="C11299" t="str">
        <f>IFERROR(__xludf.DUMMYFUNCTION("""COMPUTED_VALUE"""),"Nepal")</f>
        <v>Nepal</v>
      </c>
      <c r="D11299">
        <f>IFERROR(__xludf.DUMMYFUNCTION("""COMPUTED_VALUE"""),1961.0)</f>
        <v>1961</v>
      </c>
      <c r="E11299">
        <f>IFERROR(__xludf.DUMMYFUNCTION("""COMPUTED_VALUE"""),1.0221759E7)</f>
        <v>10221759</v>
      </c>
    </row>
    <row r="11300">
      <c r="A11300" t="str">
        <f t="shared" si="1"/>
        <v>npl#1962</v>
      </c>
      <c r="B11300" t="str">
        <f>IFERROR(__xludf.DUMMYFUNCTION("""COMPUTED_VALUE"""),"npl")</f>
        <v>npl</v>
      </c>
      <c r="C11300" t="str">
        <f>IFERROR(__xludf.DUMMYFUNCTION("""COMPUTED_VALUE"""),"Nepal")</f>
        <v>Nepal</v>
      </c>
      <c r="D11300">
        <f>IFERROR(__xludf.DUMMYFUNCTION("""COMPUTED_VALUE"""),1962.0)</f>
        <v>1962</v>
      </c>
      <c r="E11300">
        <f>IFERROR(__xludf.DUMMYFUNCTION("""COMPUTED_VALUE"""),1.0384204E7)</f>
        <v>10384204</v>
      </c>
    </row>
    <row r="11301">
      <c r="A11301" t="str">
        <f t="shared" si="1"/>
        <v>npl#1963</v>
      </c>
      <c r="B11301" t="str">
        <f>IFERROR(__xludf.DUMMYFUNCTION("""COMPUTED_VALUE"""),"npl")</f>
        <v>npl</v>
      </c>
      <c r="C11301" t="str">
        <f>IFERROR(__xludf.DUMMYFUNCTION("""COMPUTED_VALUE"""),"Nepal")</f>
        <v>Nepal</v>
      </c>
      <c r="D11301">
        <f>IFERROR(__xludf.DUMMYFUNCTION("""COMPUTED_VALUE"""),1963.0)</f>
        <v>1963</v>
      </c>
      <c r="E11301">
        <f>IFERROR(__xludf.DUMMYFUNCTION("""COMPUTED_VALUE"""),1.0552267E7)</f>
        <v>10552267</v>
      </c>
    </row>
    <row r="11302">
      <c r="A11302" t="str">
        <f t="shared" si="1"/>
        <v>npl#1964</v>
      </c>
      <c r="B11302" t="str">
        <f>IFERROR(__xludf.DUMMYFUNCTION("""COMPUTED_VALUE"""),"npl")</f>
        <v>npl</v>
      </c>
      <c r="C11302" t="str">
        <f>IFERROR(__xludf.DUMMYFUNCTION("""COMPUTED_VALUE"""),"Nepal")</f>
        <v>Nepal</v>
      </c>
      <c r="D11302">
        <f>IFERROR(__xludf.DUMMYFUNCTION("""COMPUTED_VALUE"""),1964.0)</f>
        <v>1964</v>
      </c>
      <c r="E11302">
        <f>IFERROR(__xludf.DUMMYFUNCTION("""COMPUTED_VALUE"""),1.0728197E7)</f>
        <v>10728197</v>
      </c>
    </row>
    <row r="11303">
      <c r="A11303" t="str">
        <f t="shared" si="1"/>
        <v>npl#1965</v>
      </c>
      <c r="B11303" t="str">
        <f>IFERROR(__xludf.DUMMYFUNCTION("""COMPUTED_VALUE"""),"npl")</f>
        <v>npl</v>
      </c>
      <c r="C11303" t="str">
        <f>IFERROR(__xludf.DUMMYFUNCTION("""COMPUTED_VALUE"""),"Nepal")</f>
        <v>Nepal</v>
      </c>
      <c r="D11303">
        <f>IFERROR(__xludf.DUMMYFUNCTION("""COMPUTED_VALUE"""),1965.0)</f>
        <v>1965</v>
      </c>
      <c r="E11303">
        <f>IFERROR(__xludf.DUMMYFUNCTION("""COMPUTED_VALUE"""),1.0913724E7)</f>
        <v>10913724</v>
      </c>
    </row>
    <row r="11304">
      <c r="A11304" t="str">
        <f t="shared" si="1"/>
        <v>npl#1966</v>
      </c>
      <c r="B11304" t="str">
        <f>IFERROR(__xludf.DUMMYFUNCTION("""COMPUTED_VALUE"""),"npl")</f>
        <v>npl</v>
      </c>
      <c r="C11304" t="str">
        <f>IFERROR(__xludf.DUMMYFUNCTION("""COMPUTED_VALUE"""),"Nepal")</f>
        <v>Nepal</v>
      </c>
      <c r="D11304">
        <f>IFERROR(__xludf.DUMMYFUNCTION("""COMPUTED_VALUE"""),1966.0)</f>
        <v>1966</v>
      </c>
      <c r="E11304">
        <f>IFERROR(__xludf.DUMMYFUNCTION("""COMPUTED_VALUE"""),1.1109884E7)</f>
        <v>11109884</v>
      </c>
    </row>
    <row r="11305">
      <c r="A11305" t="str">
        <f t="shared" si="1"/>
        <v>npl#1967</v>
      </c>
      <c r="B11305" t="str">
        <f>IFERROR(__xludf.DUMMYFUNCTION("""COMPUTED_VALUE"""),"npl")</f>
        <v>npl</v>
      </c>
      <c r="C11305" t="str">
        <f>IFERROR(__xludf.DUMMYFUNCTION("""COMPUTED_VALUE"""),"Nepal")</f>
        <v>Nepal</v>
      </c>
      <c r="D11305">
        <f>IFERROR(__xludf.DUMMYFUNCTION("""COMPUTED_VALUE"""),1967.0)</f>
        <v>1967</v>
      </c>
      <c r="E11305">
        <f>IFERROR(__xludf.DUMMYFUNCTION("""COMPUTED_VALUE"""),1.1316826E7)</f>
        <v>11316826</v>
      </c>
    </row>
    <row r="11306">
      <c r="A11306" t="str">
        <f t="shared" si="1"/>
        <v>npl#1968</v>
      </c>
      <c r="B11306" t="str">
        <f>IFERROR(__xludf.DUMMYFUNCTION("""COMPUTED_VALUE"""),"npl")</f>
        <v>npl</v>
      </c>
      <c r="C11306" t="str">
        <f>IFERROR(__xludf.DUMMYFUNCTION("""COMPUTED_VALUE"""),"Nepal")</f>
        <v>Nepal</v>
      </c>
      <c r="D11306">
        <f>IFERROR(__xludf.DUMMYFUNCTION("""COMPUTED_VALUE"""),1968.0)</f>
        <v>1968</v>
      </c>
      <c r="E11306">
        <f>IFERROR(__xludf.DUMMYFUNCTION("""COMPUTED_VALUE"""),1.1534264E7)</f>
        <v>11534264</v>
      </c>
    </row>
    <row r="11307">
      <c r="A11307" t="str">
        <f t="shared" si="1"/>
        <v>npl#1969</v>
      </c>
      <c r="B11307" t="str">
        <f>IFERROR(__xludf.DUMMYFUNCTION("""COMPUTED_VALUE"""),"npl")</f>
        <v>npl</v>
      </c>
      <c r="C11307" t="str">
        <f>IFERROR(__xludf.DUMMYFUNCTION("""COMPUTED_VALUE"""),"Nepal")</f>
        <v>Nepal</v>
      </c>
      <c r="D11307">
        <f>IFERROR(__xludf.DUMMYFUNCTION("""COMPUTED_VALUE"""),1969.0)</f>
        <v>1969</v>
      </c>
      <c r="E11307">
        <f>IFERROR(__xludf.DUMMYFUNCTION("""COMPUTED_VALUE"""),1.1761473E7)</f>
        <v>11761473</v>
      </c>
    </row>
    <row r="11308">
      <c r="A11308" t="str">
        <f t="shared" si="1"/>
        <v>npl#1970</v>
      </c>
      <c r="B11308" t="str">
        <f>IFERROR(__xludf.DUMMYFUNCTION("""COMPUTED_VALUE"""),"npl")</f>
        <v>npl</v>
      </c>
      <c r="C11308" t="str">
        <f>IFERROR(__xludf.DUMMYFUNCTION("""COMPUTED_VALUE"""),"Nepal")</f>
        <v>Nepal</v>
      </c>
      <c r="D11308">
        <f>IFERROR(__xludf.DUMMYFUNCTION("""COMPUTED_VALUE"""),1970.0)</f>
        <v>1970</v>
      </c>
      <c r="E11308">
        <f>IFERROR(__xludf.DUMMYFUNCTION("""COMPUTED_VALUE"""),1.1997929E7)</f>
        <v>11997929</v>
      </c>
    </row>
    <row r="11309">
      <c r="A11309" t="str">
        <f t="shared" si="1"/>
        <v>npl#1971</v>
      </c>
      <c r="B11309" t="str">
        <f>IFERROR(__xludf.DUMMYFUNCTION("""COMPUTED_VALUE"""),"npl")</f>
        <v>npl</v>
      </c>
      <c r="C11309" t="str">
        <f>IFERROR(__xludf.DUMMYFUNCTION("""COMPUTED_VALUE"""),"Nepal")</f>
        <v>Nepal</v>
      </c>
      <c r="D11309">
        <f>IFERROR(__xludf.DUMMYFUNCTION("""COMPUTED_VALUE"""),1971.0)</f>
        <v>1971</v>
      </c>
      <c r="E11309">
        <f>IFERROR(__xludf.DUMMYFUNCTION("""COMPUTED_VALUE"""),1.2243768E7)</f>
        <v>12243768</v>
      </c>
    </row>
    <row r="11310">
      <c r="A11310" t="str">
        <f t="shared" si="1"/>
        <v>npl#1972</v>
      </c>
      <c r="B11310" t="str">
        <f>IFERROR(__xludf.DUMMYFUNCTION("""COMPUTED_VALUE"""),"npl")</f>
        <v>npl</v>
      </c>
      <c r="C11310" t="str">
        <f>IFERROR(__xludf.DUMMYFUNCTION("""COMPUTED_VALUE"""),"Nepal")</f>
        <v>Nepal</v>
      </c>
      <c r="D11310">
        <f>IFERROR(__xludf.DUMMYFUNCTION("""COMPUTED_VALUE"""),1972.0)</f>
        <v>1972</v>
      </c>
      <c r="E11310">
        <f>IFERROR(__xludf.DUMMYFUNCTION("""COMPUTED_VALUE"""),1.2499429E7)</f>
        <v>12499429</v>
      </c>
    </row>
    <row r="11311">
      <c r="A11311" t="str">
        <f t="shared" si="1"/>
        <v>npl#1973</v>
      </c>
      <c r="B11311" t="str">
        <f>IFERROR(__xludf.DUMMYFUNCTION("""COMPUTED_VALUE"""),"npl")</f>
        <v>npl</v>
      </c>
      <c r="C11311" t="str">
        <f>IFERROR(__xludf.DUMMYFUNCTION("""COMPUTED_VALUE"""),"Nepal")</f>
        <v>Nepal</v>
      </c>
      <c r="D11311">
        <f>IFERROR(__xludf.DUMMYFUNCTION("""COMPUTED_VALUE"""),1973.0)</f>
        <v>1973</v>
      </c>
      <c r="E11311">
        <f>IFERROR(__xludf.DUMMYFUNCTION("""COMPUTED_VALUE"""),1.2764957E7)</f>
        <v>12764957</v>
      </c>
    </row>
    <row r="11312">
      <c r="A11312" t="str">
        <f t="shared" si="1"/>
        <v>npl#1974</v>
      </c>
      <c r="B11312" t="str">
        <f>IFERROR(__xludf.DUMMYFUNCTION("""COMPUTED_VALUE"""),"npl")</f>
        <v>npl</v>
      </c>
      <c r="C11312" t="str">
        <f>IFERROR(__xludf.DUMMYFUNCTION("""COMPUTED_VALUE"""),"Nepal")</f>
        <v>Nepal</v>
      </c>
      <c r="D11312">
        <f>IFERROR(__xludf.DUMMYFUNCTION("""COMPUTED_VALUE"""),1974.0)</f>
        <v>1974</v>
      </c>
      <c r="E11312">
        <f>IFERROR(__xludf.DUMMYFUNCTION("""COMPUTED_VALUE"""),1.3040404E7)</f>
        <v>13040404</v>
      </c>
    </row>
    <row r="11313">
      <c r="A11313" t="str">
        <f t="shared" si="1"/>
        <v>npl#1975</v>
      </c>
      <c r="B11313" t="str">
        <f>IFERROR(__xludf.DUMMYFUNCTION("""COMPUTED_VALUE"""),"npl")</f>
        <v>npl</v>
      </c>
      <c r="C11313" t="str">
        <f>IFERROR(__xludf.DUMMYFUNCTION("""COMPUTED_VALUE"""),"Nepal")</f>
        <v>Nepal</v>
      </c>
      <c r="D11313">
        <f>IFERROR(__xludf.DUMMYFUNCTION("""COMPUTED_VALUE"""),1975.0)</f>
        <v>1975</v>
      </c>
      <c r="E11313">
        <f>IFERROR(__xludf.DUMMYFUNCTION("""COMPUTED_VALUE"""),1.3325814E7)</f>
        <v>13325814</v>
      </c>
    </row>
    <row r="11314">
      <c r="A11314" t="str">
        <f t="shared" si="1"/>
        <v>npl#1976</v>
      </c>
      <c r="B11314" t="str">
        <f>IFERROR(__xludf.DUMMYFUNCTION("""COMPUTED_VALUE"""),"npl")</f>
        <v>npl</v>
      </c>
      <c r="C11314" t="str">
        <f>IFERROR(__xludf.DUMMYFUNCTION("""COMPUTED_VALUE"""),"Nepal")</f>
        <v>Nepal</v>
      </c>
      <c r="D11314">
        <f>IFERROR(__xludf.DUMMYFUNCTION("""COMPUTED_VALUE"""),1976.0)</f>
        <v>1976</v>
      </c>
      <c r="E11314">
        <f>IFERROR(__xludf.DUMMYFUNCTION("""COMPUTED_VALUE"""),1.362111E7)</f>
        <v>13621110</v>
      </c>
    </row>
    <row r="11315">
      <c r="A11315" t="str">
        <f t="shared" si="1"/>
        <v>npl#1977</v>
      </c>
      <c r="B11315" t="str">
        <f>IFERROR(__xludf.DUMMYFUNCTION("""COMPUTED_VALUE"""),"npl")</f>
        <v>npl</v>
      </c>
      <c r="C11315" t="str">
        <f>IFERROR(__xludf.DUMMYFUNCTION("""COMPUTED_VALUE"""),"Nepal")</f>
        <v>Nepal</v>
      </c>
      <c r="D11315">
        <f>IFERROR(__xludf.DUMMYFUNCTION("""COMPUTED_VALUE"""),1977.0)</f>
        <v>1977</v>
      </c>
      <c r="E11315">
        <f>IFERROR(__xludf.DUMMYFUNCTION("""COMPUTED_VALUE"""),1.392626E7)</f>
        <v>13926260</v>
      </c>
    </row>
    <row r="11316">
      <c r="A11316" t="str">
        <f t="shared" si="1"/>
        <v>npl#1978</v>
      </c>
      <c r="B11316" t="str">
        <f>IFERROR(__xludf.DUMMYFUNCTION("""COMPUTED_VALUE"""),"npl")</f>
        <v>npl</v>
      </c>
      <c r="C11316" t="str">
        <f>IFERROR(__xludf.DUMMYFUNCTION("""COMPUTED_VALUE"""),"Nepal")</f>
        <v>Nepal</v>
      </c>
      <c r="D11316">
        <f>IFERROR(__xludf.DUMMYFUNCTION("""COMPUTED_VALUE"""),1978.0)</f>
        <v>1978</v>
      </c>
      <c r="E11316">
        <f>IFERROR(__xludf.DUMMYFUNCTION("""COMPUTED_VALUE"""),1.4241403E7)</f>
        <v>14241403</v>
      </c>
    </row>
    <row r="11317">
      <c r="A11317" t="str">
        <f t="shared" si="1"/>
        <v>npl#1979</v>
      </c>
      <c r="B11317" t="str">
        <f>IFERROR(__xludf.DUMMYFUNCTION("""COMPUTED_VALUE"""),"npl")</f>
        <v>npl</v>
      </c>
      <c r="C11317" t="str">
        <f>IFERROR(__xludf.DUMMYFUNCTION("""COMPUTED_VALUE"""),"Nepal")</f>
        <v>Nepal</v>
      </c>
      <c r="D11317">
        <f>IFERROR(__xludf.DUMMYFUNCTION("""COMPUTED_VALUE"""),1979.0)</f>
        <v>1979</v>
      </c>
      <c r="E11317">
        <f>IFERROR(__xludf.DUMMYFUNCTION("""COMPUTED_VALUE"""),1.4566691E7)</f>
        <v>14566691</v>
      </c>
    </row>
    <row r="11318">
      <c r="A11318" t="str">
        <f t="shared" si="1"/>
        <v>npl#1980</v>
      </c>
      <c r="B11318" t="str">
        <f>IFERROR(__xludf.DUMMYFUNCTION("""COMPUTED_VALUE"""),"npl")</f>
        <v>npl</v>
      </c>
      <c r="C11318" t="str">
        <f>IFERROR(__xludf.DUMMYFUNCTION("""COMPUTED_VALUE"""),"Nepal")</f>
        <v>Nepal</v>
      </c>
      <c r="D11318">
        <f>IFERROR(__xludf.DUMMYFUNCTION("""COMPUTED_VALUE"""),1980.0)</f>
        <v>1980</v>
      </c>
      <c r="E11318">
        <f>IFERROR(__xludf.DUMMYFUNCTION("""COMPUTED_VALUE"""),1.4902163E7)</f>
        <v>14902163</v>
      </c>
    </row>
    <row r="11319">
      <c r="A11319" t="str">
        <f t="shared" si="1"/>
        <v>npl#1981</v>
      </c>
      <c r="B11319" t="str">
        <f>IFERROR(__xludf.DUMMYFUNCTION("""COMPUTED_VALUE"""),"npl")</f>
        <v>npl</v>
      </c>
      <c r="C11319" t="str">
        <f>IFERROR(__xludf.DUMMYFUNCTION("""COMPUTED_VALUE"""),"Nepal")</f>
        <v>Nepal</v>
      </c>
      <c r="D11319">
        <f>IFERROR(__xludf.DUMMYFUNCTION("""COMPUTED_VALUE"""),1981.0)</f>
        <v>1981</v>
      </c>
      <c r="E11319">
        <f>IFERROR(__xludf.DUMMYFUNCTION("""COMPUTED_VALUE"""),1.524901E7)</f>
        <v>15249010</v>
      </c>
    </row>
    <row r="11320">
      <c r="A11320" t="str">
        <f t="shared" si="1"/>
        <v>npl#1982</v>
      </c>
      <c r="B11320" t="str">
        <f>IFERROR(__xludf.DUMMYFUNCTION("""COMPUTED_VALUE"""),"npl")</f>
        <v>npl</v>
      </c>
      <c r="C11320" t="str">
        <f>IFERROR(__xludf.DUMMYFUNCTION("""COMPUTED_VALUE"""),"Nepal")</f>
        <v>Nepal</v>
      </c>
      <c r="D11320">
        <f>IFERROR(__xludf.DUMMYFUNCTION("""COMPUTED_VALUE"""),1982.0)</f>
        <v>1982</v>
      </c>
      <c r="E11320">
        <f>IFERROR(__xludf.DUMMYFUNCTION("""COMPUTED_VALUE"""),1.5607236E7)</f>
        <v>15607236</v>
      </c>
    </row>
    <row r="11321">
      <c r="A11321" t="str">
        <f t="shared" si="1"/>
        <v>npl#1983</v>
      </c>
      <c r="B11321" t="str">
        <f>IFERROR(__xludf.DUMMYFUNCTION("""COMPUTED_VALUE"""),"npl")</f>
        <v>npl</v>
      </c>
      <c r="C11321" t="str">
        <f>IFERROR(__xludf.DUMMYFUNCTION("""COMPUTED_VALUE"""),"Nepal")</f>
        <v>Nepal</v>
      </c>
      <c r="D11321">
        <f>IFERROR(__xludf.DUMMYFUNCTION("""COMPUTED_VALUE"""),1983.0)</f>
        <v>1983</v>
      </c>
      <c r="E11321">
        <f>IFERROR(__xludf.DUMMYFUNCTION("""COMPUTED_VALUE"""),1.597442E7)</f>
        <v>15974420</v>
      </c>
    </row>
    <row r="11322">
      <c r="A11322" t="str">
        <f t="shared" si="1"/>
        <v>npl#1984</v>
      </c>
      <c r="B11322" t="str">
        <f>IFERROR(__xludf.DUMMYFUNCTION("""COMPUTED_VALUE"""),"npl")</f>
        <v>npl</v>
      </c>
      <c r="C11322" t="str">
        <f>IFERROR(__xludf.DUMMYFUNCTION("""COMPUTED_VALUE"""),"Nepal")</f>
        <v>Nepal</v>
      </c>
      <c r="D11322">
        <f>IFERROR(__xludf.DUMMYFUNCTION("""COMPUTED_VALUE"""),1984.0)</f>
        <v>1984</v>
      </c>
      <c r="E11322">
        <f>IFERROR(__xludf.DUMMYFUNCTION("""COMPUTED_VALUE"""),1.6347242E7)</f>
        <v>16347242</v>
      </c>
    </row>
    <row r="11323">
      <c r="A11323" t="str">
        <f t="shared" si="1"/>
        <v>npl#1985</v>
      </c>
      <c r="B11323" t="str">
        <f>IFERROR(__xludf.DUMMYFUNCTION("""COMPUTED_VALUE"""),"npl")</f>
        <v>npl</v>
      </c>
      <c r="C11323" t="str">
        <f>IFERROR(__xludf.DUMMYFUNCTION("""COMPUTED_VALUE"""),"Nepal")</f>
        <v>Nepal</v>
      </c>
      <c r="D11323">
        <f>IFERROR(__xludf.DUMMYFUNCTION("""COMPUTED_VALUE"""),1985.0)</f>
        <v>1985</v>
      </c>
      <c r="E11323">
        <f>IFERROR(__xludf.DUMMYFUNCTION("""COMPUTED_VALUE"""),1.6723956E7)</f>
        <v>16723956</v>
      </c>
    </row>
    <row r="11324">
      <c r="A11324" t="str">
        <f t="shared" si="1"/>
        <v>npl#1986</v>
      </c>
      <c r="B11324" t="str">
        <f>IFERROR(__xludf.DUMMYFUNCTION("""COMPUTED_VALUE"""),"npl")</f>
        <v>npl</v>
      </c>
      <c r="C11324" t="str">
        <f>IFERROR(__xludf.DUMMYFUNCTION("""COMPUTED_VALUE"""),"Nepal")</f>
        <v>Nepal</v>
      </c>
      <c r="D11324">
        <f>IFERROR(__xludf.DUMMYFUNCTION("""COMPUTED_VALUE"""),1986.0)</f>
        <v>1986</v>
      </c>
      <c r="E11324">
        <f>IFERROR(__xludf.DUMMYFUNCTION("""COMPUTED_VALUE"""),1.7101136E7)</f>
        <v>17101136</v>
      </c>
    </row>
    <row r="11325">
      <c r="A11325" t="str">
        <f t="shared" si="1"/>
        <v>npl#1987</v>
      </c>
      <c r="B11325" t="str">
        <f>IFERROR(__xludf.DUMMYFUNCTION("""COMPUTED_VALUE"""),"npl")</f>
        <v>npl</v>
      </c>
      <c r="C11325" t="str">
        <f>IFERROR(__xludf.DUMMYFUNCTION("""COMPUTED_VALUE"""),"Nepal")</f>
        <v>Nepal</v>
      </c>
      <c r="D11325">
        <f>IFERROR(__xludf.DUMMYFUNCTION("""COMPUTED_VALUE"""),1987.0)</f>
        <v>1987</v>
      </c>
      <c r="E11325">
        <f>IFERROR(__xludf.DUMMYFUNCTION("""COMPUTED_VALUE"""),1.7480921E7)</f>
        <v>17480921</v>
      </c>
    </row>
    <row r="11326">
      <c r="A11326" t="str">
        <f t="shared" si="1"/>
        <v>npl#1988</v>
      </c>
      <c r="B11326" t="str">
        <f>IFERROR(__xludf.DUMMYFUNCTION("""COMPUTED_VALUE"""),"npl")</f>
        <v>npl</v>
      </c>
      <c r="C11326" t="str">
        <f>IFERROR(__xludf.DUMMYFUNCTION("""COMPUTED_VALUE"""),"Nepal")</f>
        <v>Nepal</v>
      </c>
      <c r="D11326">
        <f>IFERROR(__xludf.DUMMYFUNCTION("""COMPUTED_VALUE"""),1988.0)</f>
        <v>1988</v>
      </c>
      <c r="E11326">
        <f>IFERROR(__xludf.DUMMYFUNCTION("""COMPUTED_VALUE"""),1.7873667E7)</f>
        <v>17873667</v>
      </c>
    </row>
    <row r="11327">
      <c r="A11327" t="str">
        <f t="shared" si="1"/>
        <v>npl#1989</v>
      </c>
      <c r="B11327" t="str">
        <f>IFERROR(__xludf.DUMMYFUNCTION("""COMPUTED_VALUE"""),"npl")</f>
        <v>npl</v>
      </c>
      <c r="C11327" t="str">
        <f>IFERROR(__xludf.DUMMYFUNCTION("""COMPUTED_VALUE"""),"Nepal")</f>
        <v>Nepal</v>
      </c>
      <c r="D11327">
        <f>IFERROR(__xludf.DUMMYFUNCTION("""COMPUTED_VALUE"""),1989.0)</f>
        <v>1989</v>
      </c>
      <c r="E11327">
        <f>IFERROR(__xludf.DUMMYFUNCTION("""COMPUTED_VALUE"""),1.8293514E7)</f>
        <v>18293514</v>
      </c>
    </row>
    <row r="11328">
      <c r="A11328" t="str">
        <f t="shared" si="1"/>
        <v>npl#1990</v>
      </c>
      <c r="B11328" t="str">
        <f>IFERROR(__xludf.DUMMYFUNCTION("""COMPUTED_VALUE"""),"npl")</f>
        <v>npl</v>
      </c>
      <c r="C11328" t="str">
        <f>IFERROR(__xludf.DUMMYFUNCTION("""COMPUTED_VALUE"""),"Nepal")</f>
        <v>Nepal</v>
      </c>
      <c r="D11328">
        <f>IFERROR(__xludf.DUMMYFUNCTION("""COMPUTED_VALUE"""),1990.0)</f>
        <v>1990</v>
      </c>
      <c r="E11328">
        <f>IFERROR(__xludf.DUMMYFUNCTION("""COMPUTED_VALUE"""),1.8749406E7)</f>
        <v>18749406</v>
      </c>
    </row>
    <row r="11329">
      <c r="A11329" t="str">
        <f t="shared" si="1"/>
        <v>npl#1991</v>
      </c>
      <c r="B11329" t="str">
        <f>IFERROR(__xludf.DUMMYFUNCTION("""COMPUTED_VALUE"""),"npl")</f>
        <v>npl</v>
      </c>
      <c r="C11329" t="str">
        <f>IFERROR(__xludf.DUMMYFUNCTION("""COMPUTED_VALUE"""),"Nepal")</f>
        <v>Nepal</v>
      </c>
      <c r="D11329">
        <f>IFERROR(__xludf.DUMMYFUNCTION("""COMPUTED_VALUE"""),1991.0)</f>
        <v>1991</v>
      </c>
      <c r="E11329">
        <f>IFERROR(__xludf.DUMMYFUNCTION("""COMPUTED_VALUE"""),1.9245054E7)</f>
        <v>19245054</v>
      </c>
    </row>
    <row r="11330">
      <c r="A11330" t="str">
        <f t="shared" si="1"/>
        <v>npl#1992</v>
      </c>
      <c r="B11330" t="str">
        <f>IFERROR(__xludf.DUMMYFUNCTION("""COMPUTED_VALUE"""),"npl")</f>
        <v>npl</v>
      </c>
      <c r="C11330" t="str">
        <f>IFERROR(__xludf.DUMMYFUNCTION("""COMPUTED_VALUE"""),"Nepal")</f>
        <v>Nepal</v>
      </c>
      <c r="D11330">
        <f>IFERROR(__xludf.DUMMYFUNCTION("""COMPUTED_VALUE"""),1992.0)</f>
        <v>1992</v>
      </c>
      <c r="E11330">
        <f>IFERROR(__xludf.DUMMYFUNCTION("""COMPUTED_VALUE"""),1.9773772E7)</f>
        <v>19773772</v>
      </c>
    </row>
    <row r="11331">
      <c r="A11331" t="str">
        <f t="shared" si="1"/>
        <v>npl#1993</v>
      </c>
      <c r="B11331" t="str">
        <f>IFERROR(__xludf.DUMMYFUNCTION("""COMPUTED_VALUE"""),"npl")</f>
        <v>npl</v>
      </c>
      <c r="C11331" t="str">
        <f>IFERROR(__xludf.DUMMYFUNCTION("""COMPUTED_VALUE"""),"Nepal")</f>
        <v>Nepal</v>
      </c>
      <c r="D11331">
        <f>IFERROR(__xludf.DUMMYFUNCTION("""COMPUTED_VALUE"""),1993.0)</f>
        <v>1993</v>
      </c>
      <c r="E11331">
        <f>IFERROR(__xludf.DUMMYFUNCTION("""COMPUTED_VALUE"""),2.0321175E7)</f>
        <v>20321175</v>
      </c>
    </row>
    <row r="11332">
      <c r="A11332" t="str">
        <f t="shared" si="1"/>
        <v>npl#1994</v>
      </c>
      <c r="B11332" t="str">
        <f>IFERROR(__xludf.DUMMYFUNCTION("""COMPUTED_VALUE"""),"npl")</f>
        <v>npl</v>
      </c>
      <c r="C11332" t="str">
        <f>IFERROR(__xludf.DUMMYFUNCTION("""COMPUTED_VALUE"""),"Nepal")</f>
        <v>Nepal</v>
      </c>
      <c r="D11332">
        <f>IFERROR(__xludf.DUMMYFUNCTION("""COMPUTED_VALUE"""),1994.0)</f>
        <v>1994</v>
      </c>
      <c r="E11332">
        <f>IFERROR(__xludf.DUMMYFUNCTION("""COMPUTED_VALUE"""),2.086713E7)</f>
        <v>20867130</v>
      </c>
    </row>
    <row r="11333">
      <c r="A11333" t="str">
        <f t="shared" si="1"/>
        <v>npl#1995</v>
      </c>
      <c r="B11333" t="str">
        <f>IFERROR(__xludf.DUMMYFUNCTION("""COMPUTED_VALUE"""),"npl")</f>
        <v>npl</v>
      </c>
      <c r="C11333" t="str">
        <f>IFERROR(__xludf.DUMMYFUNCTION("""COMPUTED_VALUE"""),"Nepal")</f>
        <v>Nepal</v>
      </c>
      <c r="D11333">
        <f>IFERROR(__xludf.DUMMYFUNCTION("""COMPUTED_VALUE"""),1995.0)</f>
        <v>1995</v>
      </c>
      <c r="E11333">
        <f>IFERROR(__xludf.DUMMYFUNCTION("""COMPUTED_VALUE"""),2.1396384E7)</f>
        <v>21396384</v>
      </c>
    </row>
    <row r="11334">
      <c r="A11334" t="str">
        <f t="shared" si="1"/>
        <v>npl#1996</v>
      </c>
      <c r="B11334" t="str">
        <f>IFERROR(__xludf.DUMMYFUNCTION("""COMPUTED_VALUE"""),"npl")</f>
        <v>npl</v>
      </c>
      <c r="C11334" t="str">
        <f>IFERROR(__xludf.DUMMYFUNCTION("""COMPUTED_VALUE"""),"Nepal")</f>
        <v>Nepal</v>
      </c>
      <c r="D11334">
        <f>IFERROR(__xludf.DUMMYFUNCTION("""COMPUTED_VALUE"""),1996.0)</f>
        <v>1996</v>
      </c>
      <c r="E11334">
        <f>IFERROR(__xludf.DUMMYFUNCTION("""COMPUTED_VALUE"""),2.1903379E7)</f>
        <v>21903379</v>
      </c>
    </row>
    <row r="11335">
      <c r="A11335" t="str">
        <f t="shared" si="1"/>
        <v>npl#1997</v>
      </c>
      <c r="B11335" t="str">
        <f>IFERROR(__xludf.DUMMYFUNCTION("""COMPUTED_VALUE"""),"npl")</f>
        <v>npl</v>
      </c>
      <c r="C11335" t="str">
        <f>IFERROR(__xludf.DUMMYFUNCTION("""COMPUTED_VALUE"""),"Nepal")</f>
        <v>Nepal</v>
      </c>
      <c r="D11335">
        <f>IFERROR(__xludf.DUMMYFUNCTION("""COMPUTED_VALUE"""),1997.0)</f>
        <v>1997</v>
      </c>
      <c r="E11335">
        <f>IFERROR(__xludf.DUMMYFUNCTION("""COMPUTED_VALUE"""),2.2389803E7)</f>
        <v>22389803</v>
      </c>
    </row>
    <row r="11336">
      <c r="A11336" t="str">
        <f t="shared" si="1"/>
        <v>npl#1998</v>
      </c>
      <c r="B11336" t="str">
        <f>IFERROR(__xludf.DUMMYFUNCTION("""COMPUTED_VALUE"""),"npl")</f>
        <v>npl</v>
      </c>
      <c r="C11336" t="str">
        <f>IFERROR(__xludf.DUMMYFUNCTION("""COMPUTED_VALUE"""),"Nepal")</f>
        <v>Nepal</v>
      </c>
      <c r="D11336">
        <f>IFERROR(__xludf.DUMMYFUNCTION("""COMPUTED_VALUE"""),1998.0)</f>
        <v>1998</v>
      </c>
      <c r="E11336">
        <f>IFERROR(__xludf.DUMMYFUNCTION("""COMPUTED_VALUE"""),2.2856305E7)</f>
        <v>22856305</v>
      </c>
    </row>
    <row r="11337">
      <c r="A11337" t="str">
        <f t="shared" si="1"/>
        <v>npl#1999</v>
      </c>
      <c r="B11337" t="str">
        <f>IFERROR(__xludf.DUMMYFUNCTION("""COMPUTED_VALUE"""),"npl")</f>
        <v>npl</v>
      </c>
      <c r="C11337" t="str">
        <f>IFERROR(__xludf.DUMMYFUNCTION("""COMPUTED_VALUE"""),"Nepal")</f>
        <v>Nepal</v>
      </c>
      <c r="D11337">
        <f>IFERROR(__xludf.DUMMYFUNCTION("""COMPUTED_VALUE"""),1999.0)</f>
        <v>1999</v>
      </c>
      <c r="E11337">
        <f>IFERROR(__xludf.DUMMYFUNCTION("""COMPUTED_VALUE"""),2.3305994E7)</f>
        <v>23305994</v>
      </c>
    </row>
    <row r="11338">
      <c r="A11338" t="str">
        <f t="shared" si="1"/>
        <v>npl#2000</v>
      </c>
      <c r="B11338" t="str">
        <f>IFERROR(__xludf.DUMMYFUNCTION("""COMPUTED_VALUE"""),"npl")</f>
        <v>npl</v>
      </c>
      <c r="C11338" t="str">
        <f>IFERROR(__xludf.DUMMYFUNCTION("""COMPUTED_VALUE"""),"Nepal")</f>
        <v>Nepal</v>
      </c>
      <c r="D11338">
        <f>IFERROR(__xludf.DUMMYFUNCTION("""COMPUTED_VALUE"""),2000.0)</f>
        <v>2000</v>
      </c>
      <c r="E11338">
        <f>IFERROR(__xludf.DUMMYFUNCTION("""COMPUTED_VALUE"""),2.3740911E7)</f>
        <v>23740911</v>
      </c>
    </row>
    <row r="11339">
      <c r="A11339" t="str">
        <f t="shared" si="1"/>
        <v>npl#2001</v>
      </c>
      <c r="B11339" t="str">
        <f>IFERROR(__xludf.DUMMYFUNCTION("""COMPUTED_VALUE"""),"npl")</f>
        <v>npl</v>
      </c>
      <c r="C11339" t="str">
        <f>IFERROR(__xludf.DUMMYFUNCTION("""COMPUTED_VALUE"""),"Nepal")</f>
        <v>Nepal</v>
      </c>
      <c r="D11339">
        <f>IFERROR(__xludf.DUMMYFUNCTION("""COMPUTED_VALUE"""),2001.0)</f>
        <v>2001</v>
      </c>
      <c r="E11339">
        <f>IFERROR(__xludf.DUMMYFUNCTION("""COMPUTED_VALUE"""),2.4161777E7)</f>
        <v>24161777</v>
      </c>
    </row>
    <row r="11340">
      <c r="A11340" t="str">
        <f t="shared" si="1"/>
        <v>npl#2002</v>
      </c>
      <c r="B11340" t="str">
        <f>IFERROR(__xludf.DUMMYFUNCTION("""COMPUTED_VALUE"""),"npl")</f>
        <v>npl</v>
      </c>
      <c r="C11340" t="str">
        <f>IFERROR(__xludf.DUMMYFUNCTION("""COMPUTED_VALUE"""),"Nepal")</f>
        <v>Nepal</v>
      </c>
      <c r="D11340">
        <f>IFERROR(__xludf.DUMMYFUNCTION("""COMPUTED_VALUE"""),2002.0)</f>
        <v>2002</v>
      </c>
      <c r="E11340">
        <f>IFERROR(__xludf.DUMMYFUNCTION("""COMPUTED_VALUE"""),2.4566342E7)</f>
        <v>24566342</v>
      </c>
    </row>
    <row r="11341">
      <c r="A11341" t="str">
        <f t="shared" si="1"/>
        <v>npl#2003</v>
      </c>
      <c r="B11341" t="str">
        <f>IFERROR(__xludf.DUMMYFUNCTION("""COMPUTED_VALUE"""),"npl")</f>
        <v>npl</v>
      </c>
      <c r="C11341" t="str">
        <f>IFERROR(__xludf.DUMMYFUNCTION("""COMPUTED_VALUE"""),"Nepal")</f>
        <v>Nepal</v>
      </c>
      <c r="D11341">
        <f>IFERROR(__xludf.DUMMYFUNCTION("""COMPUTED_VALUE"""),2003.0)</f>
        <v>2003</v>
      </c>
      <c r="E11341">
        <f>IFERROR(__xludf.DUMMYFUNCTION("""COMPUTED_VALUE"""),2.4950623E7)</f>
        <v>24950623</v>
      </c>
    </row>
    <row r="11342">
      <c r="A11342" t="str">
        <f t="shared" si="1"/>
        <v>npl#2004</v>
      </c>
      <c r="B11342" t="str">
        <f>IFERROR(__xludf.DUMMYFUNCTION("""COMPUTED_VALUE"""),"npl")</f>
        <v>npl</v>
      </c>
      <c r="C11342" t="str">
        <f>IFERROR(__xludf.DUMMYFUNCTION("""COMPUTED_VALUE"""),"Nepal")</f>
        <v>Nepal</v>
      </c>
      <c r="D11342">
        <f>IFERROR(__xludf.DUMMYFUNCTION("""COMPUTED_VALUE"""),2004.0)</f>
        <v>2004</v>
      </c>
      <c r="E11342">
        <f>IFERROR(__xludf.DUMMYFUNCTION("""COMPUTED_VALUE"""),2.5309449E7)</f>
        <v>25309449</v>
      </c>
    </row>
    <row r="11343">
      <c r="A11343" t="str">
        <f t="shared" si="1"/>
        <v>npl#2005</v>
      </c>
      <c r="B11343" t="str">
        <f>IFERROR(__xludf.DUMMYFUNCTION("""COMPUTED_VALUE"""),"npl")</f>
        <v>npl</v>
      </c>
      <c r="C11343" t="str">
        <f>IFERROR(__xludf.DUMMYFUNCTION("""COMPUTED_VALUE"""),"Nepal")</f>
        <v>Nepal</v>
      </c>
      <c r="D11343">
        <f>IFERROR(__xludf.DUMMYFUNCTION("""COMPUTED_VALUE"""),2005.0)</f>
        <v>2005</v>
      </c>
      <c r="E11343">
        <f>IFERROR(__xludf.DUMMYFUNCTION("""COMPUTED_VALUE"""),2.5640287E7)</f>
        <v>25640287</v>
      </c>
    </row>
    <row r="11344">
      <c r="A11344" t="str">
        <f t="shared" si="1"/>
        <v>npl#2006</v>
      </c>
      <c r="B11344" t="str">
        <f>IFERROR(__xludf.DUMMYFUNCTION("""COMPUTED_VALUE"""),"npl")</f>
        <v>npl</v>
      </c>
      <c r="C11344" t="str">
        <f>IFERROR(__xludf.DUMMYFUNCTION("""COMPUTED_VALUE"""),"Nepal")</f>
        <v>Nepal</v>
      </c>
      <c r="D11344">
        <f>IFERROR(__xludf.DUMMYFUNCTION("""COMPUTED_VALUE"""),2006.0)</f>
        <v>2006</v>
      </c>
      <c r="E11344">
        <f>IFERROR(__xludf.DUMMYFUNCTION("""COMPUTED_VALUE"""),2.5940618E7)</f>
        <v>25940618</v>
      </c>
    </row>
    <row r="11345">
      <c r="A11345" t="str">
        <f t="shared" si="1"/>
        <v>npl#2007</v>
      </c>
      <c r="B11345" t="str">
        <f>IFERROR(__xludf.DUMMYFUNCTION("""COMPUTED_VALUE"""),"npl")</f>
        <v>npl</v>
      </c>
      <c r="C11345" t="str">
        <f>IFERROR(__xludf.DUMMYFUNCTION("""COMPUTED_VALUE"""),"Nepal")</f>
        <v>Nepal</v>
      </c>
      <c r="D11345">
        <f>IFERROR(__xludf.DUMMYFUNCTION("""COMPUTED_VALUE"""),2007.0)</f>
        <v>2007</v>
      </c>
      <c r="E11345">
        <f>IFERROR(__xludf.DUMMYFUNCTION("""COMPUTED_VALUE"""),2.6214847E7)</f>
        <v>26214847</v>
      </c>
    </row>
    <row r="11346">
      <c r="A11346" t="str">
        <f t="shared" si="1"/>
        <v>npl#2008</v>
      </c>
      <c r="B11346" t="str">
        <f>IFERROR(__xludf.DUMMYFUNCTION("""COMPUTED_VALUE"""),"npl")</f>
        <v>npl</v>
      </c>
      <c r="C11346" t="str">
        <f>IFERROR(__xludf.DUMMYFUNCTION("""COMPUTED_VALUE"""),"Nepal")</f>
        <v>Nepal</v>
      </c>
      <c r="D11346">
        <f>IFERROR(__xludf.DUMMYFUNCTION("""COMPUTED_VALUE"""),2008.0)</f>
        <v>2008</v>
      </c>
      <c r="E11346">
        <f>IFERROR(__xludf.DUMMYFUNCTION("""COMPUTED_VALUE"""),2.6475859E7)</f>
        <v>26475859</v>
      </c>
    </row>
    <row r="11347">
      <c r="A11347" t="str">
        <f t="shared" si="1"/>
        <v>npl#2009</v>
      </c>
      <c r="B11347" t="str">
        <f>IFERROR(__xludf.DUMMYFUNCTION("""COMPUTED_VALUE"""),"npl")</f>
        <v>npl</v>
      </c>
      <c r="C11347" t="str">
        <f>IFERROR(__xludf.DUMMYFUNCTION("""COMPUTED_VALUE"""),"Nepal")</f>
        <v>Nepal</v>
      </c>
      <c r="D11347">
        <f>IFERROR(__xludf.DUMMYFUNCTION("""COMPUTED_VALUE"""),2009.0)</f>
        <v>2009</v>
      </c>
      <c r="E11347">
        <f>IFERROR(__xludf.DUMMYFUNCTION("""COMPUTED_VALUE"""),2.6741103E7)</f>
        <v>26741103</v>
      </c>
    </row>
    <row r="11348">
      <c r="A11348" t="str">
        <f t="shared" si="1"/>
        <v>npl#2010</v>
      </c>
      <c r="B11348" t="str">
        <f>IFERROR(__xludf.DUMMYFUNCTION("""COMPUTED_VALUE"""),"npl")</f>
        <v>npl</v>
      </c>
      <c r="C11348" t="str">
        <f>IFERROR(__xludf.DUMMYFUNCTION("""COMPUTED_VALUE"""),"Nepal")</f>
        <v>Nepal</v>
      </c>
      <c r="D11348">
        <f>IFERROR(__xludf.DUMMYFUNCTION("""COMPUTED_VALUE"""),2010.0)</f>
        <v>2010</v>
      </c>
      <c r="E11348">
        <f>IFERROR(__xludf.DUMMYFUNCTION("""COMPUTED_VALUE"""),2.7023137E7)</f>
        <v>27023137</v>
      </c>
    </row>
    <row r="11349">
      <c r="A11349" t="str">
        <f t="shared" si="1"/>
        <v>npl#2011</v>
      </c>
      <c r="B11349" t="str">
        <f>IFERROR(__xludf.DUMMYFUNCTION("""COMPUTED_VALUE"""),"npl")</f>
        <v>npl</v>
      </c>
      <c r="C11349" t="str">
        <f>IFERROR(__xludf.DUMMYFUNCTION("""COMPUTED_VALUE"""),"Nepal")</f>
        <v>Nepal</v>
      </c>
      <c r="D11349">
        <f>IFERROR(__xludf.DUMMYFUNCTION("""COMPUTED_VALUE"""),2011.0)</f>
        <v>2011</v>
      </c>
      <c r="E11349">
        <f>IFERROR(__xludf.DUMMYFUNCTION("""COMPUTED_VALUE"""),2.7327147E7)</f>
        <v>27327147</v>
      </c>
    </row>
    <row r="11350">
      <c r="A11350" t="str">
        <f t="shared" si="1"/>
        <v>npl#2012</v>
      </c>
      <c r="B11350" t="str">
        <f>IFERROR(__xludf.DUMMYFUNCTION("""COMPUTED_VALUE"""),"npl")</f>
        <v>npl</v>
      </c>
      <c r="C11350" t="str">
        <f>IFERROR(__xludf.DUMMYFUNCTION("""COMPUTED_VALUE"""),"Nepal")</f>
        <v>Nepal</v>
      </c>
      <c r="D11350">
        <f>IFERROR(__xludf.DUMMYFUNCTION("""COMPUTED_VALUE"""),2012.0)</f>
        <v>2012</v>
      </c>
      <c r="E11350">
        <f>IFERROR(__xludf.DUMMYFUNCTION("""COMPUTED_VALUE"""),2.7649925E7)</f>
        <v>27649925</v>
      </c>
    </row>
    <row r="11351">
      <c r="A11351" t="str">
        <f t="shared" si="1"/>
        <v>npl#2013</v>
      </c>
      <c r="B11351" t="str">
        <f>IFERROR(__xludf.DUMMYFUNCTION("""COMPUTED_VALUE"""),"npl")</f>
        <v>npl</v>
      </c>
      <c r="C11351" t="str">
        <f>IFERROR(__xludf.DUMMYFUNCTION("""COMPUTED_VALUE"""),"Nepal")</f>
        <v>Nepal</v>
      </c>
      <c r="D11351">
        <f>IFERROR(__xludf.DUMMYFUNCTION("""COMPUTED_VALUE"""),2013.0)</f>
        <v>2013</v>
      </c>
      <c r="E11351">
        <f>IFERROR(__xludf.DUMMYFUNCTION("""COMPUTED_VALUE"""),2.798531E7)</f>
        <v>27985310</v>
      </c>
    </row>
    <row r="11352">
      <c r="A11352" t="str">
        <f t="shared" si="1"/>
        <v>npl#2014</v>
      </c>
      <c r="B11352" t="str">
        <f>IFERROR(__xludf.DUMMYFUNCTION("""COMPUTED_VALUE"""),"npl")</f>
        <v>npl</v>
      </c>
      <c r="C11352" t="str">
        <f>IFERROR(__xludf.DUMMYFUNCTION("""COMPUTED_VALUE"""),"Nepal")</f>
        <v>Nepal</v>
      </c>
      <c r="D11352">
        <f>IFERROR(__xludf.DUMMYFUNCTION("""COMPUTED_VALUE"""),2014.0)</f>
        <v>2014</v>
      </c>
      <c r="E11352">
        <f>IFERROR(__xludf.DUMMYFUNCTION("""COMPUTED_VALUE"""),2.8323241E7)</f>
        <v>28323241</v>
      </c>
    </row>
    <row r="11353">
      <c r="A11353" t="str">
        <f t="shared" si="1"/>
        <v>npl#2015</v>
      </c>
      <c r="B11353" t="str">
        <f>IFERROR(__xludf.DUMMYFUNCTION("""COMPUTED_VALUE"""),"npl")</f>
        <v>npl</v>
      </c>
      <c r="C11353" t="str">
        <f>IFERROR(__xludf.DUMMYFUNCTION("""COMPUTED_VALUE"""),"Nepal")</f>
        <v>Nepal</v>
      </c>
      <c r="D11353">
        <f>IFERROR(__xludf.DUMMYFUNCTION("""COMPUTED_VALUE"""),2015.0)</f>
        <v>2015</v>
      </c>
      <c r="E11353">
        <f>IFERROR(__xludf.DUMMYFUNCTION("""COMPUTED_VALUE"""),2.8656282E7)</f>
        <v>28656282</v>
      </c>
    </row>
    <row r="11354">
      <c r="A11354" t="str">
        <f t="shared" si="1"/>
        <v>npl#2016</v>
      </c>
      <c r="B11354" t="str">
        <f>IFERROR(__xludf.DUMMYFUNCTION("""COMPUTED_VALUE"""),"npl")</f>
        <v>npl</v>
      </c>
      <c r="C11354" t="str">
        <f>IFERROR(__xludf.DUMMYFUNCTION("""COMPUTED_VALUE"""),"Nepal")</f>
        <v>Nepal</v>
      </c>
      <c r="D11354">
        <f>IFERROR(__xludf.DUMMYFUNCTION("""COMPUTED_VALUE"""),2016.0)</f>
        <v>2016</v>
      </c>
      <c r="E11354">
        <f>IFERROR(__xludf.DUMMYFUNCTION("""COMPUTED_VALUE"""),2.8982771E7)</f>
        <v>28982771</v>
      </c>
    </row>
    <row r="11355">
      <c r="A11355" t="str">
        <f t="shared" si="1"/>
        <v>npl#2017</v>
      </c>
      <c r="B11355" t="str">
        <f>IFERROR(__xludf.DUMMYFUNCTION("""COMPUTED_VALUE"""),"npl")</f>
        <v>npl</v>
      </c>
      <c r="C11355" t="str">
        <f>IFERROR(__xludf.DUMMYFUNCTION("""COMPUTED_VALUE"""),"Nepal")</f>
        <v>Nepal</v>
      </c>
      <c r="D11355">
        <f>IFERROR(__xludf.DUMMYFUNCTION("""COMPUTED_VALUE"""),2017.0)</f>
        <v>2017</v>
      </c>
      <c r="E11355">
        <f>IFERROR(__xludf.DUMMYFUNCTION("""COMPUTED_VALUE"""),2.9304998E7)</f>
        <v>29304998</v>
      </c>
    </row>
    <row r="11356">
      <c r="A11356" t="str">
        <f t="shared" si="1"/>
        <v>npl#2018</v>
      </c>
      <c r="B11356" t="str">
        <f>IFERROR(__xludf.DUMMYFUNCTION("""COMPUTED_VALUE"""),"npl")</f>
        <v>npl</v>
      </c>
      <c r="C11356" t="str">
        <f>IFERROR(__xludf.DUMMYFUNCTION("""COMPUTED_VALUE"""),"Nepal")</f>
        <v>Nepal</v>
      </c>
      <c r="D11356">
        <f>IFERROR(__xludf.DUMMYFUNCTION("""COMPUTED_VALUE"""),2018.0)</f>
        <v>2018</v>
      </c>
      <c r="E11356">
        <f>IFERROR(__xludf.DUMMYFUNCTION("""COMPUTED_VALUE"""),2.9624035E7)</f>
        <v>29624035</v>
      </c>
    </row>
    <row r="11357">
      <c r="A11357" t="str">
        <f t="shared" si="1"/>
        <v>npl#2019</v>
      </c>
      <c r="B11357" t="str">
        <f>IFERROR(__xludf.DUMMYFUNCTION("""COMPUTED_VALUE"""),"npl")</f>
        <v>npl</v>
      </c>
      <c r="C11357" t="str">
        <f>IFERROR(__xludf.DUMMYFUNCTION("""COMPUTED_VALUE"""),"Nepal")</f>
        <v>Nepal</v>
      </c>
      <c r="D11357">
        <f>IFERROR(__xludf.DUMMYFUNCTION("""COMPUTED_VALUE"""),2019.0)</f>
        <v>2019</v>
      </c>
      <c r="E11357">
        <f>IFERROR(__xludf.DUMMYFUNCTION("""COMPUTED_VALUE"""),2.9942018E7)</f>
        <v>29942018</v>
      </c>
    </row>
    <row r="11358">
      <c r="A11358" t="str">
        <f t="shared" si="1"/>
        <v>npl#2020</v>
      </c>
      <c r="B11358" t="str">
        <f>IFERROR(__xludf.DUMMYFUNCTION("""COMPUTED_VALUE"""),"npl")</f>
        <v>npl</v>
      </c>
      <c r="C11358" t="str">
        <f>IFERROR(__xludf.DUMMYFUNCTION("""COMPUTED_VALUE"""),"Nepal")</f>
        <v>Nepal</v>
      </c>
      <c r="D11358">
        <f>IFERROR(__xludf.DUMMYFUNCTION("""COMPUTED_VALUE"""),2020.0)</f>
        <v>2020</v>
      </c>
      <c r="E11358">
        <f>IFERROR(__xludf.DUMMYFUNCTION("""COMPUTED_VALUE"""),3.0260244E7)</f>
        <v>30260244</v>
      </c>
    </row>
    <row r="11359">
      <c r="A11359" t="str">
        <f t="shared" si="1"/>
        <v>npl#2021</v>
      </c>
      <c r="B11359" t="str">
        <f>IFERROR(__xludf.DUMMYFUNCTION("""COMPUTED_VALUE"""),"npl")</f>
        <v>npl</v>
      </c>
      <c r="C11359" t="str">
        <f>IFERROR(__xludf.DUMMYFUNCTION("""COMPUTED_VALUE"""),"Nepal")</f>
        <v>Nepal</v>
      </c>
      <c r="D11359">
        <f>IFERROR(__xludf.DUMMYFUNCTION("""COMPUTED_VALUE"""),2021.0)</f>
        <v>2021</v>
      </c>
      <c r="E11359">
        <f>IFERROR(__xludf.DUMMYFUNCTION("""COMPUTED_VALUE"""),3.0578436E7)</f>
        <v>30578436</v>
      </c>
    </row>
    <row r="11360">
      <c r="A11360" t="str">
        <f t="shared" si="1"/>
        <v>npl#2022</v>
      </c>
      <c r="B11360" t="str">
        <f>IFERROR(__xludf.DUMMYFUNCTION("""COMPUTED_VALUE"""),"npl")</f>
        <v>npl</v>
      </c>
      <c r="C11360" t="str">
        <f>IFERROR(__xludf.DUMMYFUNCTION("""COMPUTED_VALUE"""),"Nepal")</f>
        <v>Nepal</v>
      </c>
      <c r="D11360">
        <f>IFERROR(__xludf.DUMMYFUNCTION("""COMPUTED_VALUE"""),2022.0)</f>
        <v>2022</v>
      </c>
      <c r="E11360">
        <f>IFERROR(__xludf.DUMMYFUNCTION("""COMPUTED_VALUE"""),3.089488E7)</f>
        <v>30894880</v>
      </c>
    </row>
    <row r="11361">
      <c r="A11361" t="str">
        <f t="shared" si="1"/>
        <v>npl#2023</v>
      </c>
      <c r="B11361" t="str">
        <f>IFERROR(__xludf.DUMMYFUNCTION("""COMPUTED_VALUE"""),"npl")</f>
        <v>npl</v>
      </c>
      <c r="C11361" t="str">
        <f>IFERROR(__xludf.DUMMYFUNCTION("""COMPUTED_VALUE"""),"Nepal")</f>
        <v>Nepal</v>
      </c>
      <c r="D11361">
        <f>IFERROR(__xludf.DUMMYFUNCTION("""COMPUTED_VALUE"""),2023.0)</f>
        <v>2023</v>
      </c>
      <c r="E11361">
        <f>IFERROR(__xludf.DUMMYFUNCTION("""COMPUTED_VALUE"""),3.1207746E7)</f>
        <v>31207746</v>
      </c>
    </row>
    <row r="11362">
      <c r="A11362" t="str">
        <f t="shared" si="1"/>
        <v>npl#2024</v>
      </c>
      <c r="B11362" t="str">
        <f>IFERROR(__xludf.DUMMYFUNCTION("""COMPUTED_VALUE"""),"npl")</f>
        <v>npl</v>
      </c>
      <c r="C11362" t="str">
        <f>IFERROR(__xludf.DUMMYFUNCTION("""COMPUTED_VALUE"""),"Nepal")</f>
        <v>Nepal</v>
      </c>
      <c r="D11362">
        <f>IFERROR(__xludf.DUMMYFUNCTION("""COMPUTED_VALUE"""),2024.0)</f>
        <v>2024</v>
      </c>
      <c r="E11362">
        <f>IFERROR(__xludf.DUMMYFUNCTION("""COMPUTED_VALUE"""),3.1514634E7)</f>
        <v>31514634</v>
      </c>
    </row>
    <row r="11363">
      <c r="A11363" t="str">
        <f t="shared" si="1"/>
        <v>npl#2025</v>
      </c>
      <c r="B11363" t="str">
        <f>IFERROR(__xludf.DUMMYFUNCTION("""COMPUTED_VALUE"""),"npl")</f>
        <v>npl</v>
      </c>
      <c r="C11363" t="str">
        <f>IFERROR(__xludf.DUMMYFUNCTION("""COMPUTED_VALUE"""),"Nepal")</f>
        <v>Nepal</v>
      </c>
      <c r="D11363">
        <f>IFERROR(__xludf.DUMMYFUNCTION("""COMPUTED_VALUE"""),2025.0)</f>
        <v>2025</v>
      </c>
      <c r="E11363">
        <f>IFERROR(__xludf.DUMMYFUNCTION("""COMPUTED_VALUE"""),3.1813598E7)</f>
        <v>31813598</v>
      </c>
    </row>
    <row r="11364">
      <c r="A11364" t="str">
        <f t="shared" si="1"/>
        <v>npl#2026</v>
      </c>
      <c r="B11364" t="str">
        <f>IFERROR(__xludf.DUMMYFUNCTION("""COMPUTED_VALUE"""),"npl")</f>
        <v>npl</v>
      </c>
      <c r="C11364" t="str">
        <f>IFERROR(__xludf.DUMMYFUNCTION("""COMPUTED_VALUE"""),"Nepal")</f>
        <v>Nepal</v>
      </c>
      <c r="D11364">
        <f>IFERROR(__xludf.DUMMYFUNCTION("""COMPUTED_VALUE"""),2026.0)</f>
        <v>2026</v>
      </c>
      <c r="E11364">
        <f>IFERROR(__xludf.DUMMYFUNCTION("""COMPUTED_VALUE"""),3.2103873E7)</f>
        <v>32103873</v>
      </c>
    </row>
    <row r="11365">
      <c r="A11365" t="str">
        <f t="shared" si="1"/>
        <v>npl#2027</v>
      </c>
      <c r="B11365" t="str">
        <f>IFERROR(__xludf.DUMMYFUNCTION("""COMPUTED_VALUE"""),"npl")</f>
        <v>npl</v>
      </c>
      <c r="C11365" t="str">
        <f>IFERROR(__xludf.DUMMYFUNCTION("""COMPUTED_VALUE"""),"Nepal")</f>
        <v>Nepal</v>
      </c>
      <c r="D11365">
        <f>IFERROR(__xludf.DUMMYFUNCTION("""COMPUTED_VALUE"""),2027.0)</f>
        <v>2027</v>
      </c>
      <c r="E11365">
        <f>IFERROR(__xludf.DUMMYFUNCTION("""COMPUTED_VALUE"""),3.2385155E7)</f>
        <v>32385155</v>
      </c>
    </row>
    <row r="11366">
      <c r="A11366" t="str">
        <f t="shared" si="1"/>
        <v>npl#2028</v>
      </c>
      <c r="B11366" t="str">
        <f>IFERROR(__xludf.DUMMYFUNCTION("""COMPUTED_VALUE"""),"npl")</f>
        <v>npl</v>
      </c>
      <c r="C11366" t="str">
        <f>IFERROR(__xludf.DUMMYFUNCTION("""COMPUTED_VALUE"""),"Nepal")</f>
        <v>Nepal</v>
      </c>
      <c r="D11366">
        <f>IFERROR(__xludf.DUMMYFUNCTION("""COMPUTED_VALUE"""),2028.0)</f>
        <v>2028</v>
      </c>
      <c r="E11366">
        <f>IFERROR(__xludf.DUMMYFUNCTION("""COMPUTED_VALUE"""),3.2656655E7)</f>
        <v>32656655</v>
      </c>
    </row>
    <row r="11367">
      <c r="A11367" t="str">
        <f t="shared" si="1"/>
        <v>npl#2029</v>
      </c>
      <c r="B11367" t="str">
        <f>IFERROR(__xludf.DUMMYFUNCTION("""COMPUTED_VALUE"""),"npl")</f>
        <v>npl</v>
      </c>
      <c r="C11367" t="str">
        <f>IFERROR(__xludf.DUMMYFUNCTION("""COMPUTED_VALUE"""),"Nepal")</f>
        <v>Nepal</v>
      </c>
      <c r="D11367">
        <f>IFERROR(__xludf.DUMMYFUNCTION("""COMPUTED_VALUE"""),2029.0)</f>
        <v>2029</v>
      </c>
      <c r="E11367">
        <f>IFERROR(__xludf.DUMMYFUNCTION("""COMPUTED_VALUE"""),3.2917661E7)</f>
        <v>32917661</v>
      </c>
    </row>
    <row r="11368">
      <c r="A11368" t="str">
        <f t="shared" si="1"/>
        <v>npl#2030</v>
      </c>
      <c r="B11368" t="str">
        <f>IFERROR(__xludf.DUMMYFUNCTION("""COMPUTED_VALUE"""),"npl")</f>
        <v>npl</v>
      </c>
      <c r="C11368" t="str">
        <f>IFERROR(__xludf.DUMMYFUNCTION("""COMPUTED_VALUE"""),"Nepal")</f>
        <v>Nepal</v>
      </c>
      <c r="D11368">
        <f>IFERROR(__xludf.DUMMYFUNCTION("""COMPUTED_VALUE"""),2030.0)</f>
        <v>2030</v>
      </c>
      <c r="E11368">
        <f>IFERROR(__xludf.DUMMYFUNCTION("""COMPUTED_VALUE"""),3.3167612E7)</f>
        <v>33167612</v>
      </c>
    </row>
    <row r="11369">
      <c r="A11369" t="str">
        <f t="shared" si="1"/>
        <v>npl#2031</v>
      </c>
      <c r="B11369" t="str">
        <f>IFERROR(__xludf.DUMMYFUNCTION("""COMPUTED_VALUE"""),"npl")</f>
        <v>npl</v>
      </c>
      <c r="C11369" t="str">
        <f>IFERROR(__xludf.DUMMYFUNCTION("""COMPUTED_VALUE"""),"Nepal")</f>
        <v>Nepal</v>
      </c>
      <c r="D11369">
        <f>IFERROR(__xludf.DUMMYFUNCTION("""COMPUTED_VALUE"""),2031.0)</f>
        <v>2031</v>
      </c>
      <c r="E11369">
        <f>IFERROR(__xludf.DUMMYFUNCTION("""COMPUTED_VALUE"""),3.340608E7)</f>
        <v>33406080</v>
      </c>
    </row>
    <row r="11370">
      <c r="A11370" t="str">
        <f t="shared" si="1"/>
        <v>npl#2032</v>
      </c>
      <c r="B11370" t="str">
        <f>IFERROR(__xludf.DUMMYFUNCTION("""COMPUTED_VALUE"""),"npl")</f>
        <v>npl</v>
      </c>
      <c r="C11370" t="str">
        <f>IFERROR(__xludf.DUMMYFUNCTION("""COMPUTED_VALUE"""),"Nepal")</f>
        <v>Nepal</v>
      </c>
      <c r="D11370">
        <f>IFERROR(__xludf.DUMMYFUNCTION("""COMPUTED_VALUE"""),2032.0)</f>
        <v>2032</v>
      </c>
      <c r="E11370">
        <f>IFERROR(__xludf.DUMMYFUNCTION("""COMPUTED_VALUE"""),3.3632919E7)</f>
        <v>33632919</v>
      </c>
    </row>
    <row r="11371">
      <c r="A11371" t="str">
        <f t="shared" si="1"/>
        <v>npl#2033</v>
      </c>
      <c r="B11371" t="str">
        <f>IFERROR(__xludf.DUMMYFUNCTION("""COMPUTED_VALUE"""),"npl")</f>
        <v>npl</v>
      </c>
      <c r="C11371" t="str">
        <f>IFERROR(__xludf.DUMMYFUNCTION("""COMPUTED_VALUE"""),"Nepal")</f>
        <v>Nepal</v>
      </c>
      <c r="D11371">
        <f>IFERROR(__xludf.DUMMYFUNCTION("""COMPUTED_VALUE"""),2033.0)</f>
        <v>2033</v>
      </c>
      <c r="E11371">
        <f>IFERROR(__xludf.DUMMYFUNCTION("""COMPUTED_VALUE"""),3.3848358E7)</f>
        <v>33848358</v>
      </c>
    </row>
    <row r="11372">
      <c r="A11372" t="str">
        <f t="shared" si="1"/>
        <v>npl#2034</v>
      </c>
      <c r="B11372" t="str">
        <f>IFERROR(__xludf.DUMMYFUNCTION("""COMPUTED_VALUE"""),"npl")</f>
        <v>npl</v>
      </c>
      <c r="C11372" t="str">
        <f>IFERROR(__xludf.DUMMYFUNCTION("""COMPUTED_VALUE"""),"Nepal")</f>
        <v>Nepal</v>
      </c>
      <c r="D11372">
        <f>IFERROR(__xludf.DUMMYFUNCTION("""COMPUTED_VALUE"""),2034.0)</f>
        <v>2034</v>
      </c>
      <c r="E11372">
        <f>IFERROR(__xludf.DUMMYFUNCTION("""COMPUTED_VALUE"""),3.4052872E7)</f>
        <v>34052872</v>
      </c>
    </row>
    <row r="11373">
      <c r="A11373" t="str">
        <f t="shared" si="1"/>
        <v>npl#2035</v>
      </c>
      <c r="B11373" t="str">
        <f>IFERROR(__xludf.DUMMYFUNCTION("""COMPUTED_VALUE"""),"npl")</f>
        <v>npl</v>
      </c>
      <c r="C11373" t="str">
        <f>IFERROR(__xludf.DUMMYFUNCTION("""COMPUTED_VALUE"""),"Nepal")</f>
        <v>Nepal</v>
      </c>
      <c r="D11373">
        <f>IFERROR(__xludf.DUMMYFUNCTION("""COMPUTED_VALUE"""),2035.0)</f>
        <v>2035</v>
      </c>
      <c r="E11373">
        <f>IFERROR(__xludf.DUMMYFUNCTION("""COMPUTED_VALUE"""),3.4246881E7)</f>
        <v>34246881</v>
      </c>
    </row>
    <row r="11374">
      <c r="A11374" t="str">
        <f t="shared" si="1"/>
        <v>npl#2036</v>
      </c>
      <c r="B11374" t="str">
        <f>IFERROR(__xludf.DUMMYFUNCTION("""COMPUTED_VALUE"""),"npl")</f>
        <v>npl</v>
      </c>
      <c r="C11374" t="str">
        <f>IFERROR(__xludf.DUMMYFUNCTION("""COMPUTED_VALUE"""),"Nepal")</f>
        <v>Nepal</v>
      </c>
      <c r="D11374">
        <f>IFERROR(__xludf.DUMMYFUNCTION("""COMPUTED_VALUE"""),2036.0)</f>
        <v>2036</v>
      </c>
      <c r="E11374">
        <f>IFERROR(__xludf.DUMMYFUNCTION("""COMPUTED_VALUE"""),3.4430403E7)</f>
        <v>34430403</v>
      </c>
    </row>
    <row r="11375">
      <c r="A11375" t="str">
        <f t="shared" si="1"/>
        <v>npl#2037</v>
      </c>
      <c r="B11375" t="str">
        <f>IFERROR(__xludf.DUMMYFUNCTION("""COMPUTED_VALUE"""),"npl")</f>
        <v>npl</v>
      </c>
      <c r="C11375" t="str">
        <f>IFERROR(__xludf.DUMMYFUNCTION("""COMPUTED_VALUE"""),"Nepal")</f>
        <v>Nepal</v>
      </c>
      <c r="D11375">
        <f>IFERROR(__xludf.DUMMYFUNCTION("""COMPUTED_VALUE"""),2037.0)</f>
        <v>2037</v>
      </c>
      <c r="E11375">
        <f>IFERROR(__xludf.DUMMYFUNCTION("""COMPUTED_VALUE"""),3.4603532E7)</f>
        <v>34603532</v>
      </c>
    </row>
    <row r="11376">
      <c r="A11376" t="str">
        <f t="shared" si="1"/>
        <v>npl#2038</v>
      </c>
      <c r="B11376" t="str">
        <f>IFERROR(__xludf.DUMMYFUNCTION("""COMPUTED_VALUE"""),"npl")</f>
        <v>npl</v>
      </c>
      <c r="C11376" t="str">
        <f>IFERROR(__xludf.DUMMYFUNCTION("""COMPUTED_VALUE"""),"Nepal")</f>
        <v>Nepal</v>
      </c>
      <c r="D11376">
        <f>IFERROR(__xludf.DUMMYFUNCTION("""COMPUTED_VALUE"""),2038.0)</f>
        <v>2038</v>
      </c>
      <c r="E11376">
        <f>IFERROR(__xludf.DUMMYFUNCTION("""COMPUTED_VALUE"""),3.4767002E7)</f>
        <v>34767002</v>
      </c>
    </row>
    <row r="11377">
      <c r="A11377" t="str">
        <f t="shared" si="1"/>
        <v>npl#2039</v>
      </c>
      <c r="B11377" t="str">
        <f>IFERROR(__xludf.DUMMYFUNCTION("""COMPUTED_VALUE"""),"npl")</f>
        <v>npl</v>
      </c>
      <c r="C11377" t="str">
        <f>IFERROR(__xludf.DUMMYFUNCTION("""COMPUTED_VALUE"""),"Nepal")</f>
        <v>Nepal</v>
      </c>
      <c r="D11377">
        <f>IFERROR(__xludf.DUMMYFUNCTION("""COMPUTED_VALUE"""),2039.0)</f>
        <v>2039</v>
      </c>
      <c r="E11377">
        <f>IFERROR(__xludf.DUMMYFUNCTION("""COMPUTED_VALUE"""),3.4921735E7)</f>
        <v>34921735</v>
      </c>
    </row>
    <row r="11378">
      <c r="A11378" t="str">
        <f t="shared" si="1"/>
        <v>npl#2040</v>
      </c>
      <c r="B11378" t="str">
        <f>IFERROR(__xludf.DUMMYFUNCTION("""COMPUTED_VALUE"""),"npl")</f>
        <v>npl</v>
      </c>
      <c r="C11378" t="str">
        <f>IFERROR(__xludf.DUMMYFUNCTION("""COMPUTED_VALUE"""),"Nepal")</f>
        <v>Nepal</v>
      </c>
      <c r="D11378">
        <f>IFERROR(__xludf.DUMMYFUNCTION("""COMPUTED_VALUE"""),2040.0)</f>
        <v>2040</v>
      </c>
      <c r="E11378">
        <f>IFERROR(__xludf.DUMMYFUNCTION("""COMPUTED_VALUE"""),3.5068441E7)</f>
        <v>35068441</v>
      </c>
    </row>
    <row r="11379">
      <c r="A11379" t="str">
        <f t="shared" si="1"/>
        <v>nld#1950</v>
      </c>
      <c r="B11379" t="str">
        <f>IFERROR(__xludf.DUMMYFUNCTION("""COMPUTED_VALUE"""),"nld")</f>
        <v>nld</v>
      </c>
      <c r="C11379" t="str">
        <f>IFERROR(__xludf.DUMMYFUNCTION("""COMPUTED_VALUE"""),"Netherlands")</f>
        <v>Netherlands</v>
      </c>
      <c r="D11379">
        <f>IFERROR(__xludf.DUMMYFUNCTION("""COMPUTED_VALUE"""),1950.0)</f>
        <v>1950</v>
      </c>
      <c r="E11379">
        <f>IFERROR(__xludf.DUMMYFUNCTION("""COMPUTED_VALUE"""),1.0042043E7)</f>
        <v>10042043</v>
      </c>
    </row>
    <row r="11380">
      <c r="A11380" t="str">
        <f t="shared" si="1"/>
        <v>nld#1951</v>
      </c>
      <c r="B11380" t="str">
        <f>IFERROR(__xludf.DUMMYFUNCTION("""COMPUTED_VALUE"""),"nld")</f>
        <v>nld</v>
      </c>
      <c r="C11380" t="str">
        <f>IFERROR(__xludf.DUMMYFUNCTION("""COMPUTED_VALUE"""),"Netherlands")</f>
        <v>Netherlands</v>
      </c>
      <c r="D11380">
        <f>IFERROR(__xludf.DUMMYFUNCTION("""COMPUTED_VALUE"""),1951.0)</f>
        <v>1951</v>
      </c>
      <c r="E11380">
        <f>IFERROR(__xludf.DUMMYFUNCTION("""COMPUTED_VALUE"""),1.0167534E7)</f>
        <v>10167534</v>
      </c>
    </row>
    <row r="11381">
      <c r="A11381" t="str">
        <f t="shared" si="1"/>
        <v>nld#1952</v>
      </c>
      <c r="B11381" t="str">
        <f>IFERROR(__xludf.DUMMYFUNCTION("""COMPUTED_VALUE"""),"nld")</f>
        <v>nld</v>
      </c>
      <c r="C11381" t="str">
        <f>IFERROR(__xludf.DUMMYFUNCTION("""COMPUTED_VALUE"""),"Netherlands")</f>
        <v>Netherlands</v>
      </c>
      <c r="D11381">
        <f>IFERROR(__xludf.DUMMYFUNCTION("""COMPUTED_VALUE"""),1952.0)</f>
        <v>1952</v>
      </c>
      <c r="E11381">
        <f>IFERROR(__xludf.DUMMYFUNCTION("""COMPUTED_VALUE"""),1.0297984E7)</f>
        <v>10297984</v>
      </c>
    </row>
    <row r="11382">
      <c r="A11382" t="str">
        <f t="shared" si="1"/>
        <v>nld#1953</v>
      </c>
      <c r="B11382" t="str">
        <f>IFERROR(__xludf.DUMMYFUNCTION("""COMPUTED_VALUE"""),"nld")</f>
        <v>nld</v>
      </c>
      <c r="C11382" t="str">
        <f>IFERROR(__xludf.DUMMYFUNCTION("""COMPUTED_VALUE"""),"Netherlands")</f>
        <v>Netherlands</v>
      </c>
      <c r="D11382">
        <f>IFERROR(__xludf.DUMMYFUNCTION("""COMPUTED_VALUE"""),1953.0)</f>
        <v>1953</v>
      </c>
      <c r="E11382">
        <f>IFERROR(__xludf.DUMMYFUNCTION("""COMPUTED_VALUE"""),1.0432301E7)</f>
        <v>10432301</v>
      </c>
    </row>
    <row r="11383">
      <c r="A11383" t="str">
        <f t="shared" si="1"/>
        <v>nld#1954</v>
      </c>
      <c r="B11383" t="str">
        <f>IFERROR(__xludf.DUMMYFUNCTION("""COMPUTED_VALUE"""),"nld")</f>
        <v>nld</v>
      </c>
      <c r="C11383" t="str">
        <f>IFERROR(__xludf.DUMMYFUNCTION("""COMPUTED_VALUE"""),"Netherlands")</f>
        <v>Netherlands</v>
      </c>
      <c r="D11383">
        <f>IFERROR(__xludf.DUMMYFUNCTION("""COMPUTED_VALUE"""),1954.0)</f>
        <v>1954</v>
      </c>
      <c r="E11383">
        <f>IFERROR(__xludf.DUMMYFUNCTION("""COMPUTED_VALUE"""),1.0569688E7)</f>
        <v>10569688</v>
      </c>
    </row>
    <row r="11384">
      <c r="A11384" t="str">
        <f t="shared" si="1"/>
        <v>nld#1955</v>
      </c>
      <c r="B11384" t="str">
        <f>IFERROR(__xludf.DUMMYFUNCTION("""COMPUTED_VALUE"""),"nld")</f>
        <v>nld</v>
      </c>
      <c r="C11384" t="str">
        <f>IFERROR(__xludf.DUMMYFUNCTION("""COMPUTED_VALUE"""),"Netherlands")</f>
        <v>Netherlands</v>
      </c>
      <c r="D11384">
        <f>IFERROR(__xludf.DUMMYFUNCTION("""COMPUTED_VALUE"""),1955.0)</f>
        <v>1955</v>
      </c>
      <c r="E11384">
        <f>IFERROR(__xludf.DUMMYFUNCTION("""COMPUTED_VALUE"""),1.070963E7)</f>
        <v>10709630</v>
      </c>
    </row>
    <row r="11385">
      <c r="A11385" t="str">
        <f t="shared" si="1"/>
        <v>nld#1956</v>
      </c>
      <c r="B11385" t="str">
        <f>IFERROR(__xludf.DUMMYFUNCTION("""COMPUTED_VALUE"""),"nld")</f>
        <v>nld</v>
      </c>
      <c r="C11385" t="str">
        <f>IFERROR(__xludf.DUMMYFUNCTION("""COMPUTED_VALUE"""),"Netherlands")</f>
        <v>Netherlands</v>
      </c>
      <c r="D11385">
        <f>IFERROR(__xludf.DUMMYFUNCTION("""COMPUTED_VALUE"""),1956.0)</f>
        <v>1956</v>
      </c>
      <c r="E11385">
        <f>IFERROR(__xludf.DUMMYFUNCTION("""COMPUTED_VALUE"""),1.085192E7)</f>
        <v>10851920</v>
      </c>
    </row>
    <row r="11386">
      <c r="A11386" t="str">
        <f t="shared" si="1"/>
        <v>nld#1957</v>
      </c>
      <c r="B11386" t="str">
        <f>IFERROR(__xludf.DUMMYFUNCTION("""COMPUTED_VALUE"""),"nld")</f>
        <v>nld</v>
      </c>
      <c r="C11386" t="str">
        <f>IFERROR(__xludf.DUMMYFUNCTION("""COMPUTED_VALUE"""),"Netherlands")</f>
        <v>Netherlands</v>
      </c>
      <c r="D11386">
        <f>IFERROR(__xludf.DUMMYFUNCTION("""COMPUTED_VALUE"""),1957.0)</f>
        <v>1957</v>
      </c>
      <c r="E11386">
        <f>IFERROR(__xludf.DUMMYFUNCTION("""COMPUTED_VALUE"""),1.0996635E7)</f>
        <v>10996635</v>
      </c>
    </row>
    <row r="11387">
      <c r="A11387" t="str">
        <f t="shared" si="1"/>
        <v>nld#1958</v>
      </c>
      <c r="B11387" t="str">
        <f>IFERROR(__xludf.DUMMYFUNCTION("""COMPUTED_VALUE"""),"nld")</f>
        <v>nld</v>
      </c>
      <c r="C11387" t="str">
        <f>IFERROR(__xludf.DUMMYFUNCTION("""COMPUTED_VALUE"""),"Netherlands")</f>
        <v>Netherlands</v>
      </c>
      <c r="D11387">
        <f>IFERROR(__xludf.DUMMYFUNCTION("""COMPUTED_VALUE"""),1958.0)</f>
        <v>1958</v>
      </c>
      <c r="E11387">
        <f>IFERROR(__xludf.DUMMYFUNCTION("""COMPUTED_VALUE"""),1.114407E7)</f>
        <v>11144070</v>
      </c>
    </row>
    <row r="11388">
      <c r="A11388" t="str">
        <f t="shared" si="1"/>
        <v>nld#1959</v>
      </c>
      <c r="B11388" t="str">
        <f>IFERROR(__xludf.DUMMYFUNCTION("""COMPUTED_VALUE"""),"nld")</f>
        <v>nld</v>
      </c>
      <c r="C11388" t="str">
        <f>IFERROR(__xludf.DUMMYFUNCTION("""COMPUTED_VALUE"""),"Netherlands")</f>
        <v>Netherlands</v>
      </c>
      <c r="D11388">
        <f>IFERROR(__xludf.DUMMYFUNCTION("""COMPUTED_VALUE"""),1959.0)</f>
        <v>1959</v>
      </c>
      <c r="E11388">
        <f>IFERROR(__xludf.DUMMYFUNCTION("""COMPUTED_VALUE"""),1.1294689E7)</f>
        <v>11294689</v>
      </c>
    </row>
    <row r="11389">
      <c r="A11389" t="str">
        <f t="shared" si="1"/>
        <v>nld#1960</v>
      </c>
      <c r="B11389" t="str">
        <f>IFERROR(__xludf.DUMMYFUNCTION("""COMPUTED_VALUE"""),"nld")</f>
        <v>nld</v>
      </c>
      <c r="C11389" t="str">
        <f>IFERROR(__xludf.DUMMYFUNCTION("""COMPUTED_VALUE"""),"Netherlands")</f>
        <v>Netherlands</v>
      </c>
      <c r="D11389">
        <f>IFERROR(__xludf.DUMMYFUNCTION("""COMPUTED_VALUE"""),1960.0)</f>
        <v>1960</v>
      </c>
      <c r="E11389">
        <f>IFERROR(__xludf.DUMMYFUNCTION("""COMPUTED_VALUE"""),1.1448817E7)</f>
        <v>11448817</v>
      </c>
    </row>
    <row r="11390">
      <c r="A11390" t="str">
        <f t="shared" si="1"/>
        <v>nld#1961</v>
      </c>
      <c r="B11390" t="str">
        <f>IFERROR(__xludf.DUMMYFUNCTION("""COMPUTED_VALUE"""),"nld")</f>
        <v>nld</v>
      </c>
      <c r="C11390" t="str">
        <f>IFERROR(__xludf.DUMMYFUNCTION("""COMPUTED_VALUE"""),"Netherlands")</f>
        <v>Netherlands</v>
      </c>
      <c r="D11390">
        <f>IFERROR(__xludf.DUMMYFUNCTION("""COMPUTED_VALUE"""),1961.0)</f>
        <v>1961</v>
      </c>
      <c r="E11390">
        <f>IFERROR(__xludf.DUMMYFUNCTION("""COMPUTED_VALUE"""),1.1606402E7)</f>
        <v>11606402</v>
      </c>
    </row>
    <row r="11391">
      <c r="A11391" t="str">
        <f t="shared" si="1"/>
        <v>nld#1962</v>
      </c>
      <c r="B11391" t="str">
        <f>IFERROR(__xludf.DUMMYFUNCTION("""COMPUTED_VALUE"""),"nld")</f>
        <v>nld</v>
      </c>
      <c r="C11391" t="str">
        <f>IFERROR(__xludf.DUMMYFUNCTION("""COMPUTED_VALUE"""),"Netherlands")</f>
        <v>Netherlands</v>
      </c>
      <c r="D11391">
        <f>IFERROR(__xludf.DUMMYFUNCTION("""COMPUTED_VALUE"""),1962.0)</f>
        <v>1962</v>
      </c>
      <c r="E11391">
        <f>IFERROR(__xludf.DUMMYFUNCTION("""COMPUTED_VALUE"""),1.1766726E7)</f>
        <v>11766726</v>
      </c>
    </row>
    <row r="11392">
      <c r="A11392" t="str">
        <f t="shared" si="1"/>
        <v>nld#1963</v>
      </c>
      <c r="B11392" t="str">
        <f>IFERROR(__xludf.DUMMYFUNCTION("""COMPUTED_VALUE"""),"nld")</f>
        <v>nld</v>
      </c>
      <c r="C11392" t="str">
        <f>IFERROR(__xludf.DUMMYFUNCTION("""COMPUTED_VALUE"""),"Netherlands")</f>
        <v>Netherlands</v>
      </c>
      <c r="D11392">
        <f>IFERROR(__xludf.DUMMYFUNCTION("""COMPUTED_VALUE"""),1963.0)</f>
        <v>1963</v>
      </c>
      <c r="E11392">
        <f>IFERROR(__xludf.DUMMYFUNCTION("""COMPUTED_VALUE"""),1.1928361E7)</f>
        <v>11928361</v>
      </c>
    </row>
    <row r="11393">
      <c r="A11393" t="str">
        <f t="shared" si="1"/>
        <v>nld#1964</v>
      </c>
      <c r="B11393" t="str">
        <f>IFERROR(__xludf.DUMMYFUNCTION("""COMPUTED_VALUE"""),"nld")</f>
        <v>nld</v>
      </c>
      <c r="C11393" t="str">
        <f>IFERROR(__xludf.DUMMYFUNCTION("""COMPUTED_VALUE"""),"Netherlands")</f>
        <v>Netherlands</v>
      </c>
      <c r="D11393">
        <f>IFERROR(__xludf.DUMMYFUNCTION("""COMPUTED_VALUE"""),1964.0)</f>
        <v>1964</v>
      </c>
      <c r="E11393">
        <f>IFERROR(__xludf.DUMMYFUNCTION("""COMPUTED_VALUE"""),1.2089385E7)</f>
        <v>12089385</v>
      </c>
    </row>
    <row r="11394">
      <c r="A11394" t="str">
        <f t="shared" si="1"/>
        <v>nld#1965</v>
      </c>
      <c r="B11394" t="str">
        <f>IFERROR(__xludf.DUMMYFUNCTION("""COMPUTED_VALUE"""),"nld")</f>
        <v>nld</v>
      </c>
      <c r="C11394" t="str">
        <f>IFERROR(__xludf.DUMMYFUNCTION("""COMPUTED_VALUE"""),"Netherlands")</f>
        <v>Netherlands</v>
      </c>
      <c r="D11394">
        <f>IFERROR(__xludf.DUMMYFUNCTION("""COMPUTED_VALUE"""),1965.0)</f>
        <v>1965</v>
      </c>
      <c r="E11394">
        <f>IFERROR(__xludf.DUMMYFUNCTION("""COMPUTED_VALUE"""),1.2248344E7)</f>
        <v>12248344</v>
      </c>
    </row>
    <row r="11395">
      <c r="A11395" t="str">
        <f t="shared" si="1"/>
        <v>nld#1966</v>
      </c>
      <c r="B11395" t="str">
        <f>IFERROR(__xludf.DUMMYFUNCTION("""COMPUTED_VALUE"""),"nld")</f>
        <v>nld</v>
      </c>
      <c r="C11395" t="str">
        <f>IFERROR(__xludf.DUMMYFUNCTION("""COMPUTED_VALUE"""),"Netherlands")</f>
        <v>Netherlands</v>
      </c>
      <c r="D11395">
        <f>IFERROR(__xludf.DUMMYFUNCTION("""COMPUTED_VALUE"""),1966.0)</f>
        <v>1966</v>
      </c>
      <c r="E11395">
        <f>IFERROR(__xludf.DUMMYFUNCTION("""COMPUTED_VALUE"""),1.2404193E7)</f>
        <v>12404193</v>
      </c>
    </row>
    <row r="11396">
      <c r="A11396" t="str">
        <f t="shared" si="1"/>
        <v>nld#1967</v>
      </c>
      <c r="B11396" t="str">
        <f>IFERROR(__xludf.DUMMYFUNCTION("""COMPUTED_VALUE"""),"nld")</f>
        <v>nld</v>
      </c>
      <c r="C11396" t="str">
        <f>IFERROR(__xludf.DUMMYFUNCTION("""COMPUTED_VALUE"""),"Netherlands")</f>
        <v>Netherlands</v>
      </c>
      <c r="D11396">
        <f>IFERROR(__xludf.DUMMYFUNCTION("""COMPUTED_VALUE"""),1967.0)</f>
        <v>1967</v>
      </c>
      <c r="E11396">
        <f>IFERROR(__xludf.DUMMYFUNCTION("""COMPUTED_VALUE"""),1.2556839E7)</f>
        <v>12556839</v>
      </c>
    </row>
    <row r="11397">
      <c r="A11397" t="str">
        <f t="shared" si="1"/>
        <v>nld#1968</v>
      </c>
      <c r="B11397" t="str">
        <f>IFERROR(__xludf.DUMMYFUNCTION("""COMPUTED_VALUE"""),"nld")</f>
        <v>nld</v>
      </c>
      <c r="C11397" t="str">
        <f>IFERROR(__xludf.DUMMYFUNCTION("""COMPUTED_VALUE"""),"Netherlands")</f>
        <v>Netherlands</v>
      </c>
      <c r="D11397">
        <f>IFERROR(__xludf.DUMMYFUNCTION("""COMPUTED_VALUE"""),1968.0)</f>
        <v>1968</v>
      </c>
      <c r="E11397">
        <f>IFERROR(__xludf.DUMMYFUNCTION("""COMPUTED_VALUE"""),1.2706787E7)</f>
        <v>12706787</v>
      </c>
    </row>
    <row r="11398">
      <c r="A11398" t="str">
        <f t="shared" si="1"/>
        <v>nld#1969</v>
      </c>
      <c r="B11398" t="str">
        <f>IFERROR(__xludf.DUMMYFUNCTION("""COMPUTED_VALUE"""),"nld")</f>
        <v>nld</v>
      </c>
      <c r="C11398" t="str">
        <f>IFERROR(__xludf.DUMMYFUNCTION("""COMPUTED_VALUE"""),"Netherlands")</f>
        <v>Netherlands</v>
      </c>
      <c r="D11398">
        <f>IFERROR(__xludf.DUMMYFUNCTION("""COMPUTED_VALUE"""),1969.0)</f>
        <v>1969</v>
      </c>
      <c r="E11398">
        <f>IFERROR(__xludf.DUMMYFUNCTION("""COMPUTED_VALUE"""),1.2855007E7)</f>
        <v>12855007</v>
      </c>
    </row>
    <row r="11399">
      <c r="A11399" t="str">
        <f t="shared" si="1"/>
        <v>nld#1970</v>
      </c>
      <c r="B11399" t="str">
        <f>IFERROR(__xludf.DUMMYFUNCTION("""COMPUTED_VALUE"""),"nld")</f>
        <v>nld</v>
      </c>
      <c r="C11399" t="str">
        <f>IFERROR(__xludf.DUMMYFUNCTION("""COMPUTED_VALUE"""),"Netherlands")</f>
        <v>Netherlands</v>
      </c>
      <c r="D11399">
        <f>IFERROR(__xludf.DUMMYFUNCTION("""COMPUTED_VALUE"""),1970.0)</f>
        <v>1970</v>
      </c>
      <c r="E11399">
        <f>IFERROR(__xludf.DUMMYFUNCTION("""COMPUTED_VALUE"""),1.3001943E7)</f>
        <v>13001943</v>
      </c>
    </row>
    <row r="11400">
      <c r="A11400" t="str">
        <f t="shared" si="1"/>
        <v>nld#1971</v>
      </c>
      <c r="B11400" t="str">
        <f>IFERROR(__xludf.DUMMYFUNCTION("""COMPUTED_VALUE"""),"nld")</f>
        <v>nld</v>
      </c>
      <c r="C11400" t="str">
        <f>IFERROR(__xludf.DUMMYFUNCTION("""COMPUTED_VALUE"""),"Netherlands")</f>
        <v>Netherlands</v>
      </c>
      <c r="D11400">
        <f>IFERROR(__xludf.DUMMYFUNCTION("""COMPUTED_VALUE"""),1971.0)</f>
        <v>1971</v>
      </c>
      <c r="E11400">
        <f>IFERROR(__xludf.DUMMYFUNCTION("""COMPUTED_VALUE"""),1.3147932E7)</f>
        <v>13147932</v>
      </c>
    </row>
    <row r="11401">
      <c r="A11401" t="str">
        <f t="shared" si="1"/>
        <v>nld#1972</v>
      </c>
      <c r="B11401" t="str">
        <f>IFERROR(__xludf.DUMMYFUNCTION("""COMPUTED_VALUE"""),"nld")</f>
        <v>nld</v>
      </c>
      <c r="C11401" t="str">
        <f>IFERROR(__xludf.DUMMYFUNCTION("""COMPUTED_VALUE"""),"Netherlands")</f>
        <v>Netherlands</v>
      </c>
      <c r="D11401">
        <f>IFERROR(__xludf.DUMMYFUNCTION("""COMPUTED_VALUE"""),1972.0)</f>
        <v>1972</v>
      </c>
      <c r="E11401">
        <f>IFERROR(__xludf.DUMMYFUNCTION("""COMPUTED_VALUE"""),1.3291873E7)</f>
        <v>13291873</v>
      </c>
    </row>
    <row r="11402">
      <c r="A11402" t="str">
        <f t="shared" si="1"/>
        <v>nld#1973</v>
      </c>
      <c r="B11402" t="str">
        <f>IFERROR(__xludf.DUMMYFUNCTION("""COMPUTED_VALUE"""),"nld")</f>
        <v>nld</v>
      </c>
      <c r="C11402" t="str">
        <f>IFERROR(__xludf.DUMMYFUNCTION("""COMPUTED_VALUE"""),"Netherlands")</f>
        <v>Netherlands</v>
      </c>
      <c r="D11402">
        <f>IFERROR(__xludf.DUMMYFUNCTION("""COMPUTED_VALUE"""),1973.0)</f>
        <v>1973</v>
      </c>
      <c r="E11402">
        <f>IFERROR(__xludf.DUMMYFUNCTION("""COMPUTED_VALUE"""),1.3431182E7)</f>
        <v>13431182</v>
      </c>
    </row>
    <row r="11403">
      <c r="A11403" t="str">
        <f t="shared" si="1"/>
        <v>nld#1974</v>
      </c>
      <c r="B11403" t="str">
        <f>IFERROR(__xludf.DUMMYFUNCTION("""COMPUTED_VALUE"""),"nld")</f>
        <v>nld</v>
      </c>
      <c r="C11403" t="str">
        <f>IFERROR(__xludf.DUMMYFUNCTION("""COMPUTED_VALUE"""),"Netherlands")</f>
        <v>Netherlands</v>
      </c>
      <c r="D11403">
        <f>IFERROR(__xludf.DUMMYFUNCTION("""COMPUTED_VALUE"""),1974.0)</f>
        <v>1974</v>
      </c>
      <c r="E11403">
        <f>IFERROR(__xludf.DUMMYFUNCTION("""COMPUTED_VALUE"""),1.3562438E7)</f>
        <v>13562438</v>
      </c>
    </row>
    <row r="11404">
      <c r="A11404" t="str">
        <f t="shared" si="1"/>
        <v>nld#1975</v>
      </c>
      <c r="B11404" t="str">
        <f>IFERROR(__xludf.DUMMYFUNCTION("""COMPUTED_VALUE"""),"nld")</f>
        <v>nld</v>
      </c>
      <c r="C11404" t="str">
        <f>IFERROR(__xludf.DUMMYFUNCTION("""COMPUTED_VALUE"""),"Netherlands")</f>
        <v>Netherlands</v>
      </c>
      <c r="D11404">
        <f>IFERROR(__xludf.DUMMYFUNCTION("""COMPUTED_VALUE"""),1975.0)</f>
        <v>1975</v>
      </c>
      <c r="E11404">
        <f>IFERROR(__xludf.DUMMYFUNCTION("""COMPUTED_VALUE"""),1.3683291E7)</f>
        <v>13683291</v>
      </c>
    </row>
    <row r="11405">
      <c r="A11405" t="str">
        <f t="shared" si="1"/>
        <v>nld#1976</v>
      </c>
      <c r="B11405" t="str">
        <f>IFERROR(__xludf.DUMMYFUNCTION("""COMPUTED_VALUE"""),"nld")</f>
        <v>nld</v>
      </c>
      <c r="C11405" t="str">
        <f>IFERROR(__xludf.DUMMYFUNCTION("""COMPUTED_VALUE"""),"Netherlands")</f>
        <v>Netherlands</v>
      </c>
      <c r="D11405">
        <f>IFERROR(__xludf.DUMMYFUNCTION("""COMPUTED_VALUE"""),1976.0)</f>
        <v>1976</v>
      </c>
      <c r="E11405">
        <f>IFERROR(__xludf.DUMMYFUNCTION("""COMPUTED_VALUE"""),1.379311E7)</f>
        <v>13793110</v>
      </c>
    </row>
    <row r="11406">
      <c r="A11406" t="str">
        <f t="shared" si="1"/>
        <v>nld#1977</v>
      </c>
      <c r="B11406" t="str">
        <f>IFERROR(__xludf.DUMMYFUNCTION("""COMPUTED_VALUE"""),"nld")</f>
        <v>nld</v>
      </c>
      <c r="C11406" t="str">
        <f>IFERROR(__xludf.DUMMYFUNCTION("""COMPUTED_VALUE"""),"Netherlands")</f>
        <v>Netherlands</v>
      </c>
      <c r="D11406">
        <f>IFERROR(__xludf.DUMMYFUNCTION("""COMPUTED_VALUE"""),1977.0)</f>
        <v>1977</v>
      </c>
      <c r="E11406">
        <f>IFERROR(__xludf.DUMMYFUNCTION("""COMPUTED_VALUE"""),1.3892917E7)</f>
        <v>13892917</v>
      </c>
    </row>
    <row r="11407">
      <c r="A11407" t="str">
        <f t="shared" si="1"/>
        <v>nld#1978</v>
      </c>
      <c r="B11407" t="str">
        <f>IFERROR(__xludf.DUMMYFUNCTION("""COMPUTED_VALUE"""),"nld")</f>
        <v>nld</v>
      </c>
      <c r="C11407" t="str">
        <f>IFERROR(__xludf.DUMMYFUNCTION("""COMPUTED_VALUE"""),"Netherlands")</f>
        <v>Netherlands</v>
      </c>
      <c r="D11407">
        <f>IFERROR(__xludf.DUMMYFUNCTION("""COMPUTED_VALUE"""),1978.0)</f>
        <v>1978</v>
      </c>
      <c r="E11407">
        <f>IFERROR(__xludf.DUMMYFUNCTION("""COMPUTED_VALUE"""),1.398406E7)</f>
        <v>13984060</v>
      </c>
    </row>
    <row r="11408">
      <c r="A11408" t="str">
        <f t="shared" si="1"/>
        <v>nld#1979</v>
      </c>
      <c r="B11408" t="str">
        <f>IFERROR(__xludf.DUMMYFUNCTION("""COMPUTED_VALUE"""),"nld")</f>
        <v>nld</v>
      </c>
      <c r="C11408" t="str">
        <f>IFERROR(__xludf.DUMMYFUNCTION("""COMPUTED_VALUE"""),"Netherlands")</f>
        <v>Netherlands</v>
      </c>
      <c r="D11408">
        <f>IFERROR(__xludf.DUMMYFUNCTION("""COMPUTED_VALUE"""),1979.0)</f>
        <v>1979</v>
      </c>
      <c r="E11408">
        <f>IFERROR(__xludf.DUMMYFUNCTION("""COMPUTED_VALUE"""),1.4068593E7)</f>
        <v>14068593</v>
      </c>
    </row>
    <row r="11409">
      <c r="A11409" t="str">
        <f t="shared" si="1"/>
        <v>nld#1980</v>
      </c>
      <c r="B11409" t="str">
        <f>IFERROR(__xludf.DUMMYFUNCTION("""COMPUTED_VALUE"""),"nld")</f>
        <v>nld</v>
      </c>
      <c r="C11409" t="str">
        <f>IFERROR(__xludf.DUMMYFUNCTION("""COMPUTED_VALUE"""),"Netherlands")</f>
        <v>Netherlands</v>
      </c>
      <c r="D11409">
        <f>IFERROR(__xludf.DUMMYFUNCTION("""COMPUTED_VALUE"""),1980.0)</f>
        <v>1980</v>
      </c>
      <c r="E11409">
        <f>IFERROR(__xludf.DUMMYFUNCTION("""COMPUTED_VALUE"""),1.4148415E7)</f>
        <v>14148415</v>
      </c>
    </row>
    <row r="11410">
      <c r="A11410" t="str">
        <f t="shared" si="1"/>
        <v>nld#1981</v>
      </c>
      <c r="B11410" t="str">
        <f>IFERROR(__xludf.DUMMYFUNCTION("""COMPUTED_VALUE"""),"nld")</f>
        <v>nld</v>
      </c>
      <c r="C11410" t="str">
        <f>IFERROR(__xludf.DUMMYFUNCTION("""COMPUTED_VALUE"""),"Netherlands")</f>
        <v>Netherlands</v>
      </c>
      <c r="D11410">
        <f>IFERROR(__xludf.DUMMYFUNCTION("""COMPUTED_VALUE"""),1981.0)</f>
        <v>1981</v>
      </c>
      <c r="E11410">
        <f>IFERROR(__xludf.DUMMYFUNCTION("""COMPUTED_VALUE"""),1.4223763E7)</f>
        <v>14223763</v>
      </c>
    </row>
    <row r="11411">
      <c r="A11411" t="str">
        <f t="shared" si="1"/>
        <v>nld#1982</v>
      </c>
      <c r="B11411" t="str">
        <f>IFERROR(__xludf.DUMMYFUNCTION("""COMPUTED_VALUE"""),"nld")</f>
        <v>nld</v>
      </c>
      <c r="C11411" t="str">
        <f>IFERROR(__xludf.DUMMYFUNCTION("""COMPUTED_VALUE"""),"Netherlands")</f>
        <v>Netherlands</v>
      </c>
      <c r="D11411">
        <f>IFERROR(__xludf.DUMMYFUNCTION("""COMPUTED_VALUE"""),1982.0)</f>
        <v>1982</v>
      </c>
      <c r="E11411">
        <f>IFERROR(__xludf.DUMMYFUNCTION("""COMPUTED_VALUE"""),1.4295217E7)</f>
        <v>14295217</v>
      </c>
    </row>
    <row r="11412">
      <c r="A11412" t="str">
        <f t="shared" si="1"/>
        <v>nld#1983</v>
      </c>
      <c r="B11412" t="str">
        <f>IFERROR(__xludf.DUMMYFUNCTION("""COMPUTED_VALUE"""),"nld")</f>
        <v>nld</v>
      </c>
      <c r="C11412" t="str">
        <f>IFERROR(__xludf.DUMMYFUNCTION("""COMPUTED_VALUE"""),"Netherlands")</f>
        <v>Netherlands</v>
      </c>
      <c r="D11412">
        <f>IFERROR(__xludf.DUMMYFUNCTION("""COMPUTED_VALUE"""),1983.0)</f>
        <v>1983</v>
      </c>
      <c r="E11412">
        <f>IFERROR(__xludf.DUMMYFUNCTION("""COMPUTED_VALUE"""),1.4365385E7)</f>
        <v>14365385</v>
      </c>
    </row>
    <row r="11413">
      <c r="A11413" t="str">
        <f t="shared" si="1"/>
        <v>nld#1984</v>
      </c>
      <c r="B11413" t="str">
        <f>IFERROR(__xludf.DUMMYFUNCTION("""COMPUTED_VALUE"""),"nld")</f>
        <v>nld</v>
      </c>
      <c r="C11413" t="str">
        <f>IFERROR(__xludf.DUMMYFUNCTION("""COMPUTED_VALUE"""),"Netherlands")</f>
        <v>Netherlands</v>
      </c>
      <c r="D11413">
        <f>IFERROR(__xludf.DUMMYFUNCTION("""COMPUTED_VALUE"""),1984.0)</f>
        <v>1984</v>
      </c>
      <c r="E11413">
        <f>IFERROR(__xludf.DUMMYFUNCTION("""COMPUTED_VALUE"""),1.4437506E7)</f>
        <v>14437506</v>
      </c>
    </row>
    <row r="11414">
      <c r="A11414" t="str">
        <f t="shared" si="1"/>
        <v>nld#1985</v>
      </c>
      <c r="B11414" t="str">
        <f>IFERROR(__xludf.DUMMYFUNCTION("""COMPUTED_VALUE"""),"nld")</f>
        <v>nld</v>
      </c>
      <c r="C11414" t="str">
        <f>IFERROR(__xludf.DUMMYFUNCTION("""COMPUTED_VALUE"""),"Netherlands")</f>
        <v>Netherlands</v>
      </c>
      <c r="D11414">
        <f>IFERROR(__xludf.DUMMYFUNCTION("""COMPUTED_VALUE"""),1985.0)</f>
        <v>1985</v>
      </c>
      <c r="E11414">
        <f>IFERROR(__xludf.DUMMYFUNCTION("""COMPUTED_VALUE"""),1.4513949E7)</f>
        <v>14513949</v>
      </c>
    </row>
    <row r="11415">
      <c r="A11415" t="str">
        <f t="shared" si="1"/>
        <v>nld#1986</v>
      </c>
      <c r="B11415" t="str">
        <f>IFERROR(__xludf.DUMMYFUNCTION("""COMPUTED_VALUE"""),"nld")</f>
        <v>nld</v>
      </c>
      <c r="C11415" t="str">
        <f>IFERROR(__xludf.DUMMYFUNCTION("""COMPUTED_VALUE"""),"Netherlands")</f>
        <v>Netherlands</v>
      </c>
      <c r="D11415">
        <f>IFERROR(__xludf.DUMMYFUNCTION("""COMPUTED_VALUE"""),1986.0)</f>
        <v>1986</v>
      </c>
      <c r="E11415">
        <f>IFERROR(__xludf.DUMMYFUNCTION("""COMPUTED_VALUE"""),1.4595755E7)</f>
        <v>14595755</v>
      </c>
    </row>
    <row r="11416">
      <c r="A11416" t="str">
        <f t="shared" si="1"/>
        <v>nld#1987</v>
      </c>
      <c r="B11416" t="str">
        <f>IFERROR(__xludf.DUMMYFUNCTION("""COMPUTED_VALUE"""),"nld")</f>
        <v>nld</v>
      </c>
      <c r="C11416" t="str">
        <f>IFERROR(__xludf.DUMMYFUNCTION("""COMPUTED_VALUE"""),"Netherlands")</f>
        <v>Netherlands</v>
      </c>
      <c r="D11416">
        <f>IFERROR(__xludf.DUMMYFUNCTION("""COMPUTED_VALUE"""),1987.0)</f>
        <v>1987</v>
      </c>
      <c r="E11416">
        <f>IFERROR(__xludf.DUMMYFUNCTION("""COMPUTED_VALUE"""),1.4682649E7)</f>
        <v>14682649</v>
      </c>
    </row>
    <row r="11417">
      <c r="A11417" t="str">
        <f t="shared" si="1"/>
        <v>nld#1988</v>
      </c>
      <c r="B11417" t="str">
        <f>IFERROR(__xludf.DUMMYFUNCTION("""COMPUTED_VALUE"""),"nld")</f>
        <v>nld</v>
      </c>
      <c r="C11417" t="str">
        <f>IFERROR(__xludf.DUMMYFUNCTION("""COMPUTED_VALUE"""),"Netherlands")</f>
        <v>Netherlands</v>
      </c>
      <c r="D11417">
        <f>IFERROR(__xludf.DUMMYFUNCTION("""COMPUTED_VALUE"""),1988.0)</f>
        <v>1988</v>
      </c>
      <c r="E11417">
        <f>IFERROR(__xludf.DUMMYFUNCTION("""COMPUTED_VALUE"""),1.4774038E7)</f>
        <v>14774038</v>
      </c>
    </row>
    <row r="11418">
      <c r="A11418" t="str">
        <f t="shared" si="1"/>
        <v>nld#1989</v>
      </c>
      <c r="B11418" t="str">
        <f>IFERROR(__xludf.DUMMYFUNCTION("""COMPUTED_VALUE"""),"nld")</f>
        <v>nld</v>
      </c>
      <c r="C11418" t="str">
        <f>IFERROR(__xludf.DUMMYFUNCTION("""COMPUTED_VALUE"""),"Netherlands")</f>
        <v>Netherlands</v>
      </c>
      <c r="D11418">
        <f>IFERROR(__xludf.DUMMYFUNCTION("""COMPUTED_VALUE"""),1989.0)</f>
        <v>1989</v>
      </c>
      <c r="E11418">
        <f>IFERROR(__xludf.DUMMYFUNCTION("""COMPUTED_VALUE"""),1.4868655E7)</f>
        <v>14868655</v>
      </c>
    </row>
    <row r="11419">
      <c r="A11419" t="str">
        <f t="shared" si="1"/>
        <v>nld#1990</v>
      </c>
      <c r="B11419" t="str">
        <f>IFERROR(__xludf.DUMMYFUNCTION("""COMPUTED_VALUE"""),"nld")</f>
        <v>nld</v>
      </c>
      <c r="C11419" t="str">
        <f>IFERROR(__xludf.DUMMYFUNCTION("""COMPUTED_VALUE"""),"Netherlands")</f>
        <v>Netherlands</v>
      </c>
      <c r="D11419">
        <f>IFERROR(__xludf.DUMMYFUNCTION("""COMPUTED_VALUE"""),1990.0)</f>
        <v>1990</v>
      </c>
      <c r="E11419">
        <f>IFERROR(__xludf.DUMMYFUNCTION("""COMPUTED_VALUE"""),1.4965448E7)</f>
        <v>14965448</v>
      </c>
    </row>
    <row r="11420">
      <c r="A11420" t="str">
        <f t="shared" si="1"/>
        <v>nld#1991</v>
      </c>
      <c r="B11420" t="str">
        <f>IFERROR(__xludf.DUMMYFUNCTION("""COMPUTED_VALUE"""),"nld")</f>
        <v>nld</v>
      </c>
      <c r="C11420" t="str">
        <f>IFERROR(__xludf.DUMMYFUNCTION("""COMPUTED_VALUE"""),"Netherlands")</f>
        <v>Netherlands</v>
      </c>
      <c r="D11420">
        <f>IFERROR(__xludf.DUMMYFUNCTION("""COMPUTED_VALUE"""),1991.0)</f>
        <v>1991</v>
      </c>
      <c r="E11420">
        <f>IFERROR(__xludf.DUMMYFUNCTION("""COMPUTED_VALUE"""),1.5064519E7)</f>
        <v>15064519</v>
      </c>
    </row>
    <row r="11421">
      <c r="A11421" t="str">
        <f t="shared" si="1"/>
        <v>nld#1992</v>
      </c>
      <c r="B11421" t="str">
        <f>IFERROR(__xludf.DUMMYFUNCTION("""COMPUTED_VALUE"""),"nld")</f>
        <v>nld</v>
      </c>
      <c r="C11421" t="str">
        <f>IFERROR(__xludf.DUMMYFUNCTION("""COMPUTED_VALUE"""),"Netherlands")</f>
        <v>Netherlands</v>
      </c>
      <c r="D11421">
        <f>IFERROR(__xludf.DUMMYFUNCTION("""COMPUTED_VALUE"""),1992.0)</f>
        <v>1992</v>
      </c>
      <c r="E11421">
        <f>IFERROR(__xludf.DUMMYFUNCTION("""COMPUTED_VALUE"""),1.5165862E7)</f>
        <v>15165862</v>
      </c>
    </row>
    <row r="11422">
      <c r="A11422" t="str">
        <f t="shared" si="1"/>
        <v>nld#1993</v>
      </c>
      <c r="B11422" t="str">
        <f>IFERROR(__xludf.DUMMYFUNCTION("""COMPUTED_VALUE"""),"nld")</f>
        <v>nld</v>
      </c>
      <c r="C11422" t="str">
        <f>IFERROR(__xludf.DUMMYFUNCTION("""COMPUTED_VALUE"""),"Netherlands")</f>
        <v>Netherlands</v>
      </c>
      <c r="D11422">
        <f>IFERROR(__xludf.DUMMYFUNCTION("""COMPUTED_VALUE"""),1993.0)</f>
        <v>1993</v>
      </c>
      <c r="E11422">
        <f>IFERROR(__xludf.DUMMYFUNCTION("""COMPUTED_VALUE"""),1.5268006E7)</f>
        <v>15268006</v>
      </c>
    </row>
    <row r="11423">
      <c r="A11423" t="str">
        <f t="shared" si="1"/>
        <v>nld#1994</v>
      </c>
      <c r="B11423" t="str">
        <f>IFERROR(__xludf.DUMMYFUNCTION("""COMPUTED_VALUE"""),"nld")</f>
        <v>nld</v>
      </c>
      <c r="C11423" t="str">
        <f>IFERROR(__xludf.DUMMYFUNCTION("""COMPUTED_VALUE"""),"Netherlands")</f>
        <v>Netherlands</v>
      </c>
      <c r="D11423">
        <f>IFERROR(__xludf.DUMMYFUNCTION("""COMPUTED_VALUE"""),1994.0)</f>
        <v>1994</v>
      </c>
      <c r="E11423">
        <f>IFERROR(__xludf.DUMMYFUNCTION("""COMPUTED_VALUE"""),1.536912E7)</f>
        <v>15369120</v>
      </c>
    </row>
    <row r="11424">
      <c r="A11424" t="str">
        <f t="shared" si="1"/>
        <v>nld#1995</v>
      </c>
      <c r="B11424" t="str">
        <f>IFERROR(__xludf.DUMMYFUNCTION("""COMPUTED_VALUE"""),"nld")</f>
        <v>nld</v>
      </c>
      <c r="C11424" t="str">
        <f>IFERROR(__xludf.DUMMYFUNCTION("""COMPUTED_VALUE"""),"Netherlands")</f>
        <v>Netherlands</v>
      </c>
      <c r="D11424">
        <f>IFERROR(__xludf.DUMMYFUNCTION("""COMPUTED_VALUE"""),1995.0)</f>
        <v>1995</v>
      </c>
      <c r="E11424">
        <f>IFERROR(__xludf.DUMMYFUNCTION("""COMPUTED_VALUE"""),1.5467851E7)</f>
        <v>15467851</v>
      </c>
    </row>
    <row r="11425">
      <c r="A11425" t="str">
        <f t="shared" si="1"/>
        <v>nld#1996</v>
      </c>
      <c r="B11425" t="str">
        <f>IFERROR(__xludf.DUMMYFUNCTION("""COMPUTED_VALUE"""),"nld")</f>
        <v>nld</v>
      </c>
      <c r="C11425" t="str">
        <f>IFERROR(__xludf.DUMMYFUNCTION("""COMPUTED_VALUE"""),"Netherlands")</f>
        <v>Netherlands</v>
      </c>
      <c r="D11425">
        <f>IFERROR(__xludf.DUMMYFUNCTION("""COMPUTED_VALUE"""),1996.0)</f>
        <v>1996</v>
      </c>
      <c r="E11425">
        <f>IFERROR(__xludf.DUMMYFUNCTION("""COMPUTED_VALUE"""),1.5563255E7)</f>
        <v>15563255</v>
      </c>
    </row>
    <row r="11426">
      <c r="A11426" t="str">
        <f t="shared" si="1"/>
        <v>nld#1997</v>
      </c>
      <c r="B11426" t="str">
        <f>IFERROR(__xludf.DUMMYFUNCTION("""COMPUTED_VALUE"""),"nld")</f>
        <v>nld</v>
      </c>
      <c r="C11426" t="str">
        <f>IFERROR(__xludf.DUMMYFUNCTION("""COMPUTED_VALUE"""),"Netherlands")</f>
        <v>Netherlands</v>
      </c>
      <c r="D11426">
        <f>IFERROR(__xludf.DUMMYFUNCTION("""COMPUTED_VALUE"""),1997.0)</f>
        <v>1997</v>
      </c>
      <c r="E11426">
        <f>IFERROR(__xludf.DUMMYFUNCTION("""COMPUTED_VALUE"""),1.5655475E7)</f>
        <v>15655475</v>
      </c>
    </row>
    <row r="11427">
      <c r="A11427" t="str">
        <f t="shared" si="1"/>
        <v>nld#1998</v>
      </c>
      <c r="B11427" t="str">
        <f>IFERROR(__xludf.DUMMYFUNCTION("""COMPUTED_VALUE"""),"nld")</f>
        <v>nld</v>
      </c>
      <c r="C11427" t="str">
        <f>IFERROR(__xludf.DUMMYFUNCTION("""COMPUTED_VALUE"""),"Netherlands")</f>
        <v>Netherlands</v>
      </c>
      <c r="D11427">
        <f>IFERROR(__xludf.DUMMYFUNCTION("""COMPUTED_VALUE"""),1998.0)</f>
        <v>1998</v>
      </c>
      <c r="E11427">
        <f>IFERROR(__xludf.DUMMYFUNCTION("""COMPUTED_VALUE"""),1.5745647E7)</f>
        <v>15745647</v>
      </c>
    </row>
    <row r="11428">
      <c r="A11428" t="str">
        <f t="shared" si="1"/>
        <v>nld#1999</v>
      </c>
      <c r="B11428" t="str">
        <f>IFERROR(__xludf.DUMMYFUNCTION("""COMPUTED_VALUE"""),"nld")</f>
        <v>nld</v>
      </c>
      <c r="C11428" t="str">
        <f>IFERROR(__xludf.DUMMYFUNCTION("""COMPUTED_VALUE"""),"Netherlands")</f>
        <v>Netherlands</v>
      </c>
      <c r="D11428">
        <f>IFERROR(__xludf.DUMMYFUNCTION("""COMPUTED_VALUE"""),1999.0)</f>
        <v>1999</v>
      </c>
      <c r="E11428">
        <f>IFERROR(__xludf.DUMMYFUNCTION("""COMPUTED_VALUE"""),1.5835523E7)</f>
        <v>15835523</v>
      </c>
    </row>
    <row r="11429">
      <c r="A11429" t="str">
        <f t="shared" si="1"/>
        <v>nld#2000</v>
      </c>
      <c r="B11429" t="str">
        <f>IFERROR(__xludf.DUMMYFUNCTION("""COMPUTED_VALUE"""),"nld")</f>
        <v>nld</v>
      </c>
      <c r="C11429" t="str">
        <f>IFERROR(__xludf.DUMMYFUNCTION("""COMPUTED_VALUE"""),"Netherlands")</f>
        <v>Netherlands</v>
      </c>
      <c r="D11429">
        <f>IFERROR(__xludf.DUMMYFUNCTION("""COMPUTED_VALUE"""),2000.0)</f>
        <v>2000</v>
      </c>
      <c r="E11429">
        <f>IFERROR(__xludf.DUMMYFUNCTION("""COMPUTED_VALUE"""),1.5926188E7)</f>
        <v>15926188</v>
      </c>
    </row>
    <row r="11430">
      <c r="A11430" t="str">
        <f t="shared" si="1"/>
        <v>nld#2001</v>
      </c>
      <c r="B11430" t="str">
        <f>IFERROR(__xludf.DUMMYFUNCTION("""COMPUTED_VALUE"""),"nld")</f>
        <v>nld</v>
      </c>
      <c r="C11430" t="str">
        <f>IFERROR(__xludf.DUMMYFUNCTION("""COMPUTED_VALUE"""),"Netherlands")</f>
        <v>Netherlands</v>
      </c>
      <c r="D11430">
        <f>IFERROR(__xludf.DUMMYFUNCTION("""COMPUTED_VALUE"""),2001.0)</f>
        <v>2001</v>
      </c>
      <c r="E11430">
        <f>IFERROR(__xludf.DUMMYFUNCTION("""COMPUTED_VALUE"""),1.6018114E7)</f>
        <v>16018114</v>
      </c>
    </row>
    <row r="11431">
      <c r="A11431" t="str">
        <f t="shared" si="1"/>
        <v>nld#2002</v>
      </c>
      <c r="B11431" t="str">
        <f>IFERROR(__xludf.DUMMYFUNCTION("""COMPUTED_VALUE"""),"nld")</f>
        <v>nld</v>
      </c>
      <c r="C11431" t="str">
        <f>IFERROR(__xludf.DUMMYFUNCTION("""COMPUTED_VALUE"""),"Netherlands")</f>
        <v>Netherlands</v>
      </c>
      <c r="D11431">
        <f>IFERROR(__xludf.DUMMYFUNCTION("""COMPUTED_VALUE"""),2002.0)</f>
        <v>2002</v>
      </c>
      <c r="E11431">
        <f>IFERROR(__xludf.DUMMYFUNCTION("""COMPUTED_VALUE"""),1.6110355E7)</f>
        <v>16110355</v>
      </c>
    </row>
    <row r="11432">
      <c r="A11432" t="str">
        <f t="shared" si="1"/>
        <v>nld#2003</v>
      </c>
      <c r="B11432" t="str">
        <f>IFERROR(__xludf.DUMMYFUNCTION("""COMPUTED_VALUE"""),"nld")</f>
        <v>nld</v>
      </c>
      <c r="C11432" t="str">
        <f>IFERROR(__xludf.DUMMYFUNCTION("""COMPUTED_VALUE"""),"Netherlands")</f>
        <v>Netherlands</v>
      </c>
      <c r="D11432">
        <f>IFERROR(__xludf.DUMMYFUNCTION("""COMPUTED_VALUE"""),2003.0)</f>
        <v>2003</v>
      </c>
      <c r="E11432">
        <f>IFERROR(__xludf.DUMMYFUNCTION("""COMPUTED_VALUE"""),1.6200951E7)</f>
        <v>16200951</v>
      </c>
    </row>
    <row r="11433">
      <c r="A11433" t="str">
        <f t="shared" si="1"/>
        <v>nld#2004</v>
      </c>
      <c r="B11433" t="str">
        <f>IFERROR(__xludf.DUMMYFUNCTION("""COMPUTED_VALUE"""),"nld")</f>
        <v>nld</v>
      </c>
      <c r="C11433" t="str">
        <f>IFERROR(__xludf.DUMMYFUNCTION("""COMPUTED_VALUE"""),"Netherlands")</f>
        <v>Netherlands</v>
      </c>
      <c r="D11433">
        <f>IFERROR(__xludf.DUMMYFUNCTION("""COMPUTED_VALUE"""),2004.0)</f>
        <v>2004</v>
      </c>
      <c r="E11433">
        <f>IFERROR(__xludf.DUMMYFUNCTION("""COMPUTED_VALUE"""),1.6287182E7)</f>
        <v>16287182</v>
      </c>
    </row>
    <row r="11434">
      <c r="A11434" t="str">
        <f t="shared" si="1"/>
        <v>nld#2005</v>
      </c>
      <c r="B11434" t="str">
        <f>IFERROR(__xludf.DUMMYFUNCTION("""COMPUTED_VALUE"""),"nld")</f>
        <v>nld</v>
      </c>
      <c r="C11434" t="str">
        <f>IFERROR(__xludf.DUMMYFUNCTION("""COMPUTED_VALUE"""),"Netherlands")</f>
        <v>Netherlands</v>
      </c>
      <c r="D11434">
        <f>IFERROR(__xludf.DUMMYFUNCTION("""COMPUTED_VALUE"""),2005.0)</f>
        <v>2005</v>
      </c>
      <c r="E11434">
        <f>IFERROR(__xludf.DUMMYFUNCTION("""COMPUTED_VALUE"""),1.6367158E7)</f>
        <v>16367158</v>
      </c>
    </row>
    <row r="11435">
      <c r="A11435" t="str">
        <f t="shared" si="1"/>
        <v>nld#2006</v>
      </c>
      <c r="B11435" t="str">
        <f>IFERROR(__xludf.DUMMYFUNCTION("""COMPUTED_VALUE"""),"nld")</f>
        <v>nld</v>
      </c>
      <c r="C11435" t="str">
        <f>IFERROR(__xludf.DUMMYFUNCTION("""COMPUTED_VALUE"""),"Netherlands")</f>
        <v>Netherlands</v>
      </c>
      <c r="D11435">
        <f>IFERROR(__xludf.DUMMYFUNCTION("""COMPUTED_VALUE"""),2006.0)</f>
        <v>2006</v>
      </c>
      <c r="E11435">
        <f>IFERROR(__xludf.DUMMYFUNCTION("""COMPUTED_VALUE"""),1.6440222E7)</f>
        <v>16440222</v>
      </c>
    </row>
    <row r="11436">
      <c r="A11436" t="str">
        <f t="shared" si="1"/>
        <v>nld#2007</v>
      </c>
      <c r="B11436" t="str">
        <f>IFERROR(__xludf.DUMMYFUNCTION("""COMPUTED_VALUE"""),"nld")</f>
        <v>nld</v>
      </c>
      <c r="C11436" t="str">
        <f>IFERROR(__xludf.DUMMYFUNCTION("""COMPUTED_VALUE"""),"Netherlands")</f>
        <v>Netherlands</v>
      </c>
      <c r="D11436">
        <f>IFERROR(__xludf.DUMMYFUNCTION("""COMPUTED_VALUE"""),2007.0)</f>
        <v>2007</v>
      </c>
      <c r="E11436">
        <f>IFERROR(__xludf.DUMMYFUNCTION("""COMPUTED_VALUE"""),1.6507056E7)</f>
        <v>16507056</v>
      </c>
    </row>
    <row r="11437">
      <c r="A11437" t="str">
        <f t="shared" si="1"/>
        <v>nld#2008</v>
      </c>
      <c r="B11437" t="str">
        <f>IFERROR(__xludf.DUMMYFUNCTION("""COMPUTED_VALUE"""),"nld")</f>
        <v>nld</v>
      </c>
      <c r="C11437" t="str">
        <f>IFERROR(__xludf.DUMMYFUNCTION("""COMPUTED_VALUE"""),"Netherlands")</f>
        <v>Netherlands</v>
      </c>
      <c r="D11437">
        <f>IFERROR(__xludf.DUMMYFUNCTION("""COMPUTED_VALUE"""),2008.0)</f>
        <v>2008</v>
      </c>
      <c r="E11437">
        <f>IFERROR(__xludf.DUMMYFUNCTION("""COMPUTED_VALUE"""),1.6568734E7)</f>
        <v>16568734</v>
      </c>
    </row>
    <row r="11438">
      <c r="A11438" t="str">
        <f t="shared" si="1"/>
        <v>nld#2009</v>
      </c>
      <c r="B11438" t="str">
        <f>IFERROR(__xludf.DUMMYFUNCTION("""COMPUTED_VALUE"""),"nld")</f>
        <v>nld</v>
      </c>
      <c r="C11438" t="str">
        <f>IFERROR(__xludf.DUMMYFUNCTION("""COMPUTED_VALUE"""),"Netherlands")</f>
        <v>Netherlands</v>
      </c>
      <c r="D11438">
        <f>IFERROR(__xludf.DUMMYFUNCTION("""COMPUTED_VALUE"""),2009.0)</f>
        <v>2009</v>
      </c>
      <c r="E11438">
        <f>IFERROR(__xludf.DUMMYFUNCTION("""COMPUTED_VALUE"""),1.6626926E7)</f>
        <v>16626926</v>
      </c>
    </row>
    <row r="11439">
      <c r="A11439" t="str">
        <f t="shared" si="1"/>
        <v>nld#2010</v>
      </c>
      <c r="B11439" t="str">
        <f>IFERROR(__xludf.DUMMYFUNCTION("""COMPUTED_VALUE"""),"nld")</f>
        <v>nld</v>
      </c>
      <c r="C11439" t="str">
        <f>IFERROR(__xludf.DUMMYFUNCTION("""COMPUTED_VALUE"""),"Netherlands")</f>
        <v>Netherlands</v>
      </c>
      <c r="D11439">
        <f>IFERROR(__xludf.DUMMYFUNCTION("""COMPUTED_VALUE"""),2010.0)</f>
        <v>2010</v>
      </c>
      <c r="E11439">
        <f>IFERROR(__xludf.DUMMYFUNCTION("""COMPUTED_VALUE"""),1.6682917E7)</f>
        <v>16682917</v>
      </c>
    </row>
    <row r="11440">
      <c r="A11440" t="str">
        <f t="shared" si="1"/>
        <v>nld#2011</v>
      </c>
      <c r="B11440" t="str">
        <f>IFERROR(__xludf.DUMMYFUNCTION("""COMPUTED_VALUE"""),"nld")</f>
        <v>nld</v>
      </c>
      <c r="C11440" t="str">
        <f>IFERROR(__xludf.DUMMYFUNCTION("""COMPUTED_VALUE"""),"Netherlands")</f>
        <v>Netherlands</v>
      </c>
      <c r="D11440">
        <f>IFERROR(__xludf.DUMMYFUNCTION("""COMPUTED_VALUE"""),2011.0)</f>
        <v>2011</v>
      </c>
      <c r="E11440">
        <f>IFERROR(__xludf.DUMMYFUNCTION("""COMPUTED_VALUE"""),1.6737002E7)</f>
        <v>16737002</v>
      </c>
    </row>
    <row r="11441">
      <c r="A11441" t="str">
        <f t="shared" si="1"/>
        <v>nld#2012</v>
      </c>
      <c r="B11441" t="str">
        <f>IFERROR(__xludf.DUMMYFUNCTION("""COMPUTED_VALUE"""),"nld")</f>
        <v>nld</v>
      </c>
      <c r="C11441" t="str">
        <f>IFERROR(__xludf.DUMMYFUNCTION("""COMPUTED_VALUE"""),"Netherlands")</f>
        <v>Netherlands</v>
      </c>
      <c r="D11441">
        <f>IFERROR(__xludf.DUMMYFUNCTION("""COMPUTED_VALUE"""),2012.0)</f>
        <v>2012</v>
      </c>
      <c r="E11441">
        <f>IFERROR(__xludf.DUMMYFUNCTION("""COMPUTED_VALUE"""),1.6789095E7)</f>
        <v>16789095</v>
      </c>
    </row>
    <row r="11442">
      <c r="A11442" t="str">
        <f t="shared" si="1"/>
        <v>nld#2013</v>
      </c>
      <c r="B11442" t="str">
        <f>IFERROR(__xludf.DUMMYFUNCTION("""COMPUTED_VALUE"""),"nld")</f>
        <v>nld</v>
      </c>
      <c r="C11442" t="str">
        <f>IFERROR(__xludf.DUMMYFUNCTION("""COMPUTED_VALUE"""),"Netherlands")</f>
        <v>Netherlands</v>
      </c>
      <c r="D11442">
        <f>IFERROR(__xludf.DUMMYFUNCTION("""COMPUTED_VALUE"""),2013.0)</f>
        <v>2013</v>
      </c>
      <c r="E11442">
        <f>IFERROR(__xludf.DUMMYFUNCTION("""COMPUTED_VALUE"""),1.6839699E7)</f>
        <v>16839699</v>
      </c>
    </row>
    <row r="11443">
      <c r="A11443" t="str">
        <f t="shared" si="1"/>
        <v>nld#2014</v>
      </c>
      <c r="B11443" t="str">
        <f>IFERROR(__xludf.DUMMYFUNCTION("""COMPUTED_VALUE"""),"nld")</f>
        <v>nld</v>
      </c>
      <c r="C11443" t="str">
        <f>IFERROR(__xludf.DUMMYFUNCTION("""COMPUTED_VALUE"""),"Netherlands")</f>
        <v>Netherlands</v>
      </c>
      <c r="D11443">
        <f>IFERROR(__xludf.DUMMYFUNCTION("""COMPUTED_VALUE"""),2014.0)</f>
        <v>2014</v>
      </c>
      <c r="E11443">
        <f>IFERROR(__xludf.DUMMYFUNCTION("""COMPUTED_VALUE"""),1.6889356E7)</f>
        <v>16889356</v>
      </c>
    </row>
    <row r="11444">
      <c r="A11444" t="str">
        <f t="shared" si="1"/>
        <v>nld#2015</v>
      </c>
      <c r="B11444" t="str">
        <f>IFERROR(__xludf.DUMMYFUNCTION("""COMPUTED_VALUE"""),"nld")</f>
        <v>nld</v>
      </c>
      <c r="C11444" t="str">
        <f>IFERROR(__xludf.DUMMYFUNCTION("""COMPUTED_VALUE"""),"Netherlands")</f>
        <v>Netherlands</v>
      </c>
      <c r="D11444">
        <f>IFERROR(__xludf.DUMMYFUNCTION("""COMPUTED_VALUE"""),2015.0)</f>
        <v>2015</v>
      </c>
      <c r="E11444">
        <f>IFERROR(__xludf.DUMMYFUNCTION("""COMPUTED_VALUE"""),1.6938499E7)</f>
        <v>16938499</v>
      </c>
    </row>
    <row r="11445">
      <c r="A11445" t="str">
        <f t="shared" si="1"/>
        <v>nld#2016</v>
      </c>
      <c r="B11445" t="str">
        <f>IFERROR(__xludf.DUMMYFUNCTION("""COMPUTED_VALUE"""),"nld")</f>
        <v>nld</v>
      </c>
      <c r="C11445" t="str">
        <f>IFERROR(__xludf.DUMMYFUNCTION("""COMPUTED_VALUE"""),"Netherlands")</f>
        <v>Netherlands</v>
      </c>
      <c r="D11445">
        <f>IFERROR(__xludf.DUMMYFUNCTION("""COMPUTED_VALUE"""),2016.0)</f>
        <v>2016</v>
      </c>
      <c r="E11445">
        <f>IFERROR(__xludf.DUMMYFUNCTION("""COMPUTED_VALUE"""),1.698733E7)</f>
        <v>16987330</v>
      </c>
    </row>
    <row r="11446">
      <c r="A11446" t="str">
        <f t="shared" si="1"/>
        <v>nld#2017</v>
      </c>
      <c r="B11446" t="str">
        <f>IFERROR(__xludf.DUMMYFUNCTION("""COMPUTED_VALUE"""),"nld")</f>
        <v>nld</v>
      </c>
      <c r="C11446" t="str">
        <f>IFERROR(__xludf.DUMMYFUNCTION("""COMPUTED_VALUE"""),"Netherlands")</f>
        <v>Netherlands</v>
      </c>
      <c r="D11446">
        <f>IFERROR(__xludf.DUMMYFUNCTION("""COMPUTED_VALUE"""),2017.0)</f>
        <v>2017</v>
      </c>
      <c r="E11446">
        <f>IFERROR(__xludf.DUMMYFUNCTION("""COMPUTED_VALUE"""),1.7035938E7)</f>
        <v>17035938</v>
      </c>
    </row>
    <row r="11447">
      <c r="A11447" t="str">
        <f t="shared" si="1"/>
        <v>nld#2018</v>
      </c>
      <c r="B11447" t="str">
        <f>IFERROR(__xludf.DUMMYFUNCTION("""COMPUTED_VALUE"""),"nld")</f>
        <v>nld</v>
      </c>
      <c r="C11447" t="str">
        <f>IFERROR(__xludf.DUMMYFUNCTION("""COMPUTED_VALUE"""),"Netherlands")</f>
        <v>Netherlands</v>
      </c>
      <c r="D11447">
        <f>IFERROR(__xludf.DUMMYFUNCTION("""COMPUTED_VALUE"""),2018.0)</f>
        <v>2018</v>
      </c>
      <c r="E11447">
        <f>IFERROR(__xludf.DUMMYFUNCTION("""COMPUTED_VALUE"""),1.7084459E7)</f>
        <v>17084459</v>
      </c>
    </row>
    <row r="11448">
      <c r="A11448" t="str">
        <f t="shared" si="1"/>
        <v>nld#2019</v>
      </c>
      <c r="B11448" t="str">
        <f>IFERROR(__xludf.DUMMYFUNCTION("""COMPUTED_VALUE"""),"nld")</f>
        <v>nld</v>
      </c>
      <c r="C11448" t="str">
        <f>IFERROR(__xludf.DUMMYFUNCTION("""COMPUTED_VALUE"""),"Netherlands")</f>
        <v>Netherlands</v>
      </c>
      <c r="D11448">
        <f>IFERROR(__xludf.DUMMYFUNCTION("""COMPUTED_VALUE"""),2019.0)</f>
        <v>2019</v>
      </c>
      <c r="E11448">
        <f>IFERROR(__xludf.DUMMYFUNCTION("""COMPUTED_VALUE"""),1.7132908E7)</f>
        <v>17132908</v>
      </c>
    </row>
    <row r="11449">
      <c r="A11449" t="str">
        <f t="shared" si="1"/>
        <v>nld#2020</v>
      </c>
      <c r="B11449" t="str">
        <f>IFERROR(__xludf.DUMMYFUNCTION("""COMPUTED_VALUE"""),"nld")</f>
        <v>nld</v>
      </c>
      <c r="C11449" t="str">
        <f>IFERROR(__xludf.DUMMYFUNCTION("""COMPUTED_VALUE"""),"Netherlands")</f>
        <v>Netherlands</v>
      </c>
      <c r="D11449">
        <f>IFERROR(__xludf.DUMMYFUNCTION("""COMPUTED_VALUE"""),2020.0)</f>
        <v>2020</v>
      </c>
      <c r="E11449">
        <f>IFERROR(__xludf.DUMMYFUNCTION("""COMPUTED_VALUE"""),1.7181248E7)</f>
        <v>17181248</v>
      </c>
    </row>
    <row r="11450">
      <c r="A11450" t="str">
        <f t="shared" si="1"/>
        <v>nld#2021</v>
      </c>
      <c r="B11450" t="str">
        <f>IFERROR(__xludf.DUMMYFUNCTION("""COMPUTED_VALUE"""),"nld")</f>
        <v>nld</v>
      </c>
      <c r="C11450" t="str">
        <f>IFERROR(__xludf.DUMMYFUNCTION("""COMPUTED_VALUE"""),"Netherlands")</f>
        <v>Netherlands</v>
      </c>
      <c r="D11450">
        <f>IFERROR(__xludf.DUMMYFUNCTION("""COMPUTED_VALUE"""),2021.0)</f>
        <v>2021</v>
      </c>
      <c r="E11450">
        <f>IFERROR(__xludf.DUMMYFUNCTION("""COMPUTED_VALUE"""),1.7229539E7)</f>
        <v>17229539</v>
      </c>
    </row>
    <row r="11451">
      <c r="A11451" t="str">
        <f t="shared" si="1"/>
        <v>nld#2022</v>
      </c>
      <c r="B11451" t="str">
        <f>IFERROR(__xludf.DUMMYFUNCTION("""COMPUTED_VALUE"""),"nld")</f>
        <v>nld</v>
      </c>
      <c r="C11451" t="str">
        <f>IFERROR(__xludf.DUMMYFUNCTION("""COMPUTED_VALUE"""),"Netherlands")</f>
        <v>Netherlands</v>
      </c>
      <c r="D11451">
        <f>IFERROR(__xludf.DUMMYFUNCTION("""COMPUTED_VALUE"""),2022.0)</f>
        <v>2022</v>
      </c>
      <c r="E11451">
        <f>IFERROR(__xludf.DUMMYFUNCTION("""COMPUTED_VALUE"""),1.7277608E7)</f>
        <v>17277608</v>
      </c>
    </row>
    <row r="11452">
      <c r="A11452" t="str">
        <f t="shared" si="1"/>
        <v>nld#2023</v>
      </c>
      <c r="B11452" t="str">
        <f>IFERROR(__xludf.DUMMYFUNCTION("""COMPUTED_VALUE"""),"nld")</f>
        <v>nld</v>
      </c>
      <c r="C11452" t="str">
        <f>IFERROR(__xludf.DUMMYFUNCTION("""COMPUTED_VALUE"""),"Netherlands")</f>
        <v>Netherlands</v>
      </c>
      <c r="D11452">
        <f>IFERROR(__xludf.DUMMYFUNCTION("""COMPUTED_VALUE"""),2023.0)</f>
        <v>2023</v>
      </c>
      <c r="E11452">
        <f>IFERROR(__xludf.DUMMYFUNCTION("""COMPUTED_VALUE"""),1.7324898E7)</f>
        <v>17324898</v>
      </c>
    </row>
    <row r="11453">
      <c r="A11453" t="str">
        <f t="shared" si="1"/>
        <v>nld#2024</v>
      </c>
      <c r="B11453" t="str">
        <f>IFERROR(__xludf.DUMMYFUNCTION("""COMPUTED_VALUE"""),"nld")</f>
        <v>nld</v>
      </c>
      <c r="C11453" t="str">
        <f>IFERROR(__xludf.DUMMYFUNCTION("""COMPUTED_VALUE"""),"Netherlands")</f>
        <v>Netherlands</v>
      </c>
      <c r="D11453">
        <f>IFERROR(__xludf.DUMMYFUNCTION("""COMPUTED_VALUE"""),2024.0)</f>
        <v>2024</v>
      </c>
      <c r="E11453">
        <f>IFERROR(__xludf.DUMMYFUNCTION("""COMPUTED_VALUE"""),1.7370682E7)</f>
        <v>17370682</v>
      </c>
    </row>
    <row r="11454">
      <c r="A11454" t="str">
        <f t="shared" si="1"/>
        <v>nld#2025</v>
      </c>
      <c r="B11454" t="str">
        <f>IFERROR(__xludf.DUMMYFUNCTION("""COMPUTED_VALUE"""),"nld")</f>
        <v>nld</v>
      </c>
      <c r="C11454" t="str">
        <f>IFERROR(__xludf.DUMMYFUNCTION("""COMPUTED_VALUE"""),"Netherlands")</f>
        <v>Netherlands</v>
      </c>
      <c r="D11454">
        <f>IFERROR(__xludf.DUMMYFUNCTION("""COMPUTED_VALUE"""),2025.0)</f>
        <v>2025</v>
      </c>
      <c r="E11454">
        <f>IFERROR(__xludf.DUMMYFUNCTION("""COMPUTED_VALUE"""),1.7414354E7)</f>
        <v>17414354</v>
      </c>
    </row>
    <row r="11455">
      <c r="A11455" t="str">
        <f t="shared" si="1"/>
        <v>nld#2026</v>
      </c>
      <c r="B11455" t="str">
        <f>IFERROR(__xludf.DUMMYFUNCTION("""COMPUTED_VALUE"""),"nld")</f>
        <v>nld</v>
      </c>
      <c r="C11455" t="str">
        <f>IFERROR(__xludf.DUMMYFUNCTION("""COMPUTED_VALUE"""),"Netherlands")</f>
        <v>Netherlands</v>
      </c>
      <c r="D11455">
        <f>IFERROR(__xludf.DUMMYFUNCTION("""COMPUTED_VALUE"""),2026.0)</f>
        <v>2026</v>
      </c>
      <c r="E11455">
        <f>IFERROR(__xludf.DUMMYFUNCTION("""COMPUTED_VALUE"""),1.7455642E7)</f>
        <v>17455642</v>
      </c>
    </row>
    <row r="11456">
      <c r="A11456" t="str">
        <f t="shared" si="1"/>
        <v>nld#2027</v>
      </c>
      <c r="B11456" t="str">
        <f>IFERROR(__xludf.DUMMYFUNCTION("""COMPUTED_VALUE"""),"nld")</f>
        <v>nld</v>
      </c>
      <c r="C11456" t="str">
        <f>IFERROR(__xludf.DUMMYFUNCTION("""COMPUTED_VALUE"""),"Netherlands")</f>
        <v>Netherlands</v>
      </c>
      <c r="D11456">
        <f>IFERROR(__xludf.DUMMYFUNCTION("""COMPUTED_VALUE"""),2027.0)</f>
        <v>2027</v>
      </c>
      <c r="E11456">
        <f>IFERROR(__xludf.DUMMYFUNCTION("""COMPUTED_VALUE"""),1.7494467E7)</f>
        <v>17494467</v>
      </c>
    </row>
    <row r="11457">
      <c r="A11457" t="str">
        <f t="shared" si="1"/>
        <v>nld#2028</v>
      </c>
      <c r="B11457" t="str">
        <f>IFERROR(__xludf.DUMMYFUNCTION("""COMPUTED_VALUE"""),"nld")</f>
        <v>nld</v>
      </c>
      <c r="C11457" t="str">
        <f>IFERROR(__xludf.DUMMYFUNCTION("""COMPUTED_VALUE"""),"Netherlands")</f>
        <v>Netherlands</v>
      </c>
      <c r="D11457">
        <f>IFERROR(__xludf.DUMMYFUNCTION("""COMPUTED_VALUE"""),2028.0)</f>
        <v>2028</v>
      </c>
      <c r="E11457">
        <f>IFERROR(__xludf.DUMMYFUNCTION("""COMPUTED_VALUE"""),1.75306E7)</f>
        <v>17530600</v>
      </c>
    </row>
    <row r="11458">
      <c r="A11458" t="str">
        <f t="shared" si="1"/>
        <v>nld#2029</v>
      </c>
      <c r="B11458" t="str">
        <f>IFERROR(__xludf.DUMMYFUNCTION("""COMPUTED_VALUE"""),"nld")</f>
        <v>nld</v>
      </c>
      <c r="C11458" t="str">
        <f>IFERROR(__xludf.DUMMYFUNCTION("""COMPUTED_VALUE"""),"Netherlands")</f>
        <v>Netherlands</v>
      </c>
      <c r="D11458">
        <f>IFERROR(__xludf.DUMMYFUNCTION("""COMPUTED_VALUE"""),2029.0)</f>
        <v>2029</v>
      </c>
      <c r="E11458">
        <f>IFERROR(__xludf.DUMMYFUNCTION("""COMPUTED_VALUE"""),1.756386E7)</f>
        <v>17563860</v>
      </c>
    </row>
    <row r="11459">
      <c r="A11459" t="str">
        <f t="shared" si="1"/>
        <v>nld#2030</v>
      </c>
      <c r="B11459" t="str">
        <f>IFERROR(__xludf.DUMMYFUNCTION("""COMPUTED_VALUE"""),"nld")</f>
        <v>nld</v>
      </c>
      <c r="C11459" t="str">
        <f>IFERROR(__xludf.DUMMYFUNCTION("""COMPUTED_VALUE"""),"Netherlands")</f>
        <v>Netherlands</v>
      </c>
      <c r="D11459">
        <f>IFERROR(__xludf.DUMMYFUNCTION("""COMPUTED_VALUE"""),2030.0)</f>
        <v>2030</v>
      </c>
      <c r="E11459">
        <f>IFERROR(__xludf.DUMMYFUNCTION("""COMPUTED_VALUE"""),1.7594086E7)</f>
        <v>17594086</v>
      </c>
    </row>
    <row r="11460">
      <c r="A11460" t="str">
        <f t="shared" si="1"/>
        <v>nld#2031</v>
      </c>
      <c r="B11460" t="str">
        <f>IFERROR(__xludf.DUMMYFUNCTION("""COMPUTED_VALUE"""),"nld")</f>
        <v>nld</v>
      </c>
      <c r="C11460" t="str">
        <f>IFERROR(__xludf.DUMMYFUNCTION("""COMPUTED_VALUE"""),"Netherlands")</f>
        <v>Netherlands</v>
      </c>
      <c r="D11460">
        <f>IFERROR(__xludf.DUMMYFUNCTION("""COMPUTED_VALUE"""),2031.0)</f>
        <v>2031</v>
      </c>
      <c r="E11460">
        <f>IFERROR(__xludf.DUMMYFUNCTION("""COMPUTED_VALUE"""),1.7621144E7)</f>
        <v>17621144</v>
      </c>
    </row>
    <row r="11461">
      <c r="A11461" t="str">
        <f t="shared" si="1"/>
        <v>nld#2032</v>
      </c>
      <c r="B11461" t="str">
        <f>IFERROR(__xludf.DUMMYFUNCTION("""COMPUTED_VALUE"""),"nld")</f>
        <v>nld</v>
      </c>
      <c r="C11461" t="str">
        <f>IFERROR(__xludf.DUMMYFUNCTION("""COMPUTED_VALUE"""),"Netherlands")</f>
        <v>Netherlands</v>
      </c>
      <c r="D11461">
        <f>IFERROR(__xludf.DUMMYFUNCTION("""COMPUTED_VALUE"""),2032.0)</f>
        <v>2032</v>
      </c>
      <c r="E11461">
        <f>IFERROR(__xludf.DUMMYFUNCTION("""COMPUTED_VALUE"""),1.7644902E7)</f>
        <v>17644902</v>
      </c>
    </row>
    <row r="11462">
      <c r="A11462" t="str">
        <f t="shared" si="1"/>
        <v>nld#2033</v>
      </c>
      <c r="B11462" t="str">
        <f>IFERROR(__xludf.DUMMYFUNCTION("""COMPUTED_VALUE"""),"nld")</f>
        <v>nld</v>
      </c>
      <c r="C11462" t="str">
        <f>IFERROR(__xludf.DUMMYFUNCTION("""COMPUTED_VALUE"""),"Netherlands")</f>
        <v>Netherlands</v>
      </c>
      <c r="D11462">
        <f>IFERROR(__xludf.DUMMYFUNCTION("""COMPUTED_VALUE"""),2033.0)</f>
        <v>2033</v>
      </c>
      <c r="E11462">
        <f>IFERROR(__xludf.DUMMYFUNCTION("""COMPUTED_VALUE"""),1.7665116E7)</f>
        <v>17665116</v>
      </c>
    </row>
    <row r="11463">
      <c r="A11463" t="str">
        <f t="shared" si="1"/>
        <v>nld#2034</v>
      </c>
      <c r="B11463" t="str">
        <f>IFERROR(__xludf.DUMMYFUNCTION("""COMPUTED_VALUE"""),"nld")</f>
        <v>nld</v>
      </c>
      <c r="C11463" t="str">
        <f>IFERROR(__xludf.DUMMYFUNCTION("""COMPUTED_VALUE"""),"Netherlands")</f>
        <v>Netherlands</v>
      </c>
      <c r="D11463">
        <f>IFERROR(__xludf.DUMMYFUNCTION("""COMPUTED_VALUE"""),2034.0)</f>
        <v>2034</v>
      </c>
      <c r="E11463">
        <f>IFERROR(__xludf.DUMMYFUNCTION("""COMPUTED_VALUE"""),1.7681583E7)</f>
        <v>17681583</v>
      </c>
    </row>
    <row r="11464">
      <c r="A11464" t="str">
        <f t="shared" si="1"/>
        <v>nld#2035</v>
      </c>
      <c r="B11464" t="str">
        <f>IFERROR(__xludf.DUMMYFUNCTION("""COMPUTED_VALUE"""),"nld")</f>
        <v>nld</v>
      </c>
      <c r="C11464" t="str">
        <f>IFERROR(__xludf.DUMMYFUNCTION("""COMPUTED_VALUE"""),"Netherlands")</f>
        <v>Netherlands</v>
      </c>
      <c r="D11464">
        <f>IFERROR(__xludf.DUMMYFUNCTION("""COMPUTED_VALUE"""),2035.0)</f>
        <v>2035</v>
      </c>
      <c r="E11464">
        <f>IFERROR(__xludf.DUMMYFUNCTION("""COMPUTED_VALUE"""),1.7694135E7)</f>
        <v>17694135</v>
      </c>
    </row>
    <row r="11465">
      <c r="A11465" t="str">
        <f t="shared" si="1"/>
        <v>nld#2036</v>
      </c>
      <c r="B11465" t="str">
        <f>IFERROR(__xludf.DUMMYFUNCTION("""COMPUTED_VALUE"""),"nld")</f>
        <v>nld</v>
      </c>
      <c r="C11465" t="str">
        <f>IFERROR(__xludf.DUMMYFUNCTION("""COMPUTED_VALUE"""),"Netherlands")</f>
        <v>Netherlands</v>
      </c>
      <c r="D11465">
        <f>IFERROR(__xludf.DUMMYFUNCTION("""COMPUTED_VALUE"""),2036.0)</f>
        <v>2036</v>
      </c>
      <c r="E11465">
        <f>IFERROR(__xludf.DUMMYFUNCTION("""COMPUTED_VALUE"""),1.7702746E7)</f>
        <v>17702746</v>
      </c>
    </row>
    <row r="11466">
      <c r="A11466" t="str">
        <f t="shared" si="1"/>
        <v>nld#2037</v>
      </c>
      <c r="B11466" t="str">
        <f>IFERROR(__xludf.DUMMYFUNCTION("""COMPUTED_VALUE"""),"nld")</f>
        <v>nld</v>
      </c>
      <c r="C11466" t="str">
        <f>IFERROR(__xludf.DUMMYFUNCTION("""COMPUTED_VALUE"""),"Netherlands")</f>
        <v>Netherlands</v>
      </c>
      <c r="D11466">
        <f>IFERROR(__xludf.DUMMYFUNCTION("""COMPUTED_VALUE"""),2037.0)</f>
        <v>2037</v>
      </c>
      <c r="E11466">
        <f>IFERROR(__xludf.DUMMYFUNCTION("""COMPUTED_VALUE"""),1.7707499E7)</f>
        <v>17707499</v>
      </c>
    </row>
    <row r="11467">
      <c r="A11467" t="str">
        <f t="shared" si="1"/>
        <v>nld#2038</v>
      </c>
      <c r="B11467" t="str">
        <f>IFERROR(__xludf.DUMMYFUNCTION("""COMPUTED_VALUE"""),"nld")</f>
        <v>nld</v>
      </c>
      <c r="C11467" t="str">
        <f>IFERROR(__xludf.DUMMYFUNCTION("""COMPUTED_VALUE"""),"Netherlands")</f>
        <v>Netherlands</v>
      </c>
      <c r="D11467">
        <f>IFERROR(__xludf.DUMMYFUNCTION("""COMPUTED_VALUE"""),2038.0)</f>
        <v>2038</v>
      </c>
      <c r="E11467">
        <f>IFERROR(__xludf.DUMMYFUNCTION("""COMPUTED_VALUE"""),1.7708529E7)</f>
        <v>17708529</v>
      </c>
    </row>
    <row r="11468">
      <c r="A11468" t="str">
        <f t="shared" si="1"/>
        <v>nld#2039</v>
      </c>
      <c r="B11468" t="str">
        <f>IFERROR(__xludf.DUMMYFUNCTION("""COMPUTED_VALUE"""),"nld")</f>
        <v>nld</v>
      </c>
      <c r="C11468" t="str">
        <f>IFERROR(__xludf.DUMMYFUNCTION("""COMPUTED_VALUE"""),"Netherlands")</f>
        <v>Netherlands</v>
      </c>
      <c r="D11468">
        <f>IFERROR(__xludf.DUMMYFUNCTION("""COMPUTED_VALUE"""),2039.0)</f>
        <v>2039</v>
      </c>
      <c r="E11468">
        <f>IFERROR(__xludf.DUMMYFUNCTION("""COMPUTED_VALUE"""),1.770605E7)</f>
        <v>17706050</v>
      </c>
    </row>
    <row r="11469">
      <c r="A11469" t="str">
        <f t="shared" si="1"/>
        <v>nld#2040</v>
      </c>
      <c r="B11469" t="str">
        <f>IFERROR(__xludf.DUMMYFUNCTION("""COMPUTED_VALUE"""),"nld")</f>
        <v>nld</v>
      </c>
      <c r="C11469" t="str">
        <f>IFERROR(__xludf.DUMMYFUNCTION("""COMPUTED_VALUE"""),"Netherlands")</f>
        <v>Netherlands</v>
      </c>
      <c r="D11469">
        <f>IFERROR(__xludf.DUMMYFUNCTION("""COMPUTED_VALUE"""),2040.0)</f>
        <v>2040</v>
      </c>
      <c r="E11469">
        <f>IFERROR(__xludf.DUMMYFUNCTION("""COMPUTED_VALUE"""),1.7700286E7)</f>
        <v>17700286</v>
      </c>
    </row>
    <row r="11470">
      <c r="A11470" t="str">
        <f t="shared" si="1"/>
        <v>nzl#1950</v>
      </c>
      <c r="B11470" t="str">
        <f>IFERROR(__xludf.DUMMYFUNCTION("""COMPUTED_VALUE"""),"nzl")</f>
        <v>nzl</v>
      </c>
      <c r="C11470" t="str">
        <f>IFERROR(__xludf.DUMMYFUNCTION("""COMPUTED_VALUE"""),"New Zealand")</f>
        <v>New Zealand</v>
      </c>
      <c r="D11470">
        <f>IFERROR(__xludf.DUMMYFUNCTION("""COMPUTED_VALUE"""),1950.0)</f>
        <v>1950</v>
      </c>
      <c r="E11470">
        <f>IFERROR(__xludf.DUMMYFUNCTION("""COMPUTED_VALUE"""),1908000.0)</f>
        <v>1908000</v>
      </c>
    </row>
    <row r="11471">
      <c r="A11471" t="str">
        <f t="shared" si="1"/>
        <v>nzl#1951</v>
      </c>
      <c r="B11471" t="str">
        <f>IFERROR(__xludf.DUMMYFUNCTION("""COMPUTED_VALUE"""),"nzl")</f>
        <v>nzl</v>
      </c>
      <c r="C11471" t="str">
        <f>IFERROR(__xludf.DUMMYFUNCTION("""COMPUTED_VALUE"""),"New Zealand")</f>
        <v>New Zealand</v>
      </c>
      <c r="D11471">
        <f>IFERROR(__xludf.DUMMYFUNCTION("""COMPUTED_VALUE"""),1951.0)</f>
        <v>1951</v>
      </c>
      <c r="E11471">
        <f>IFERROR(__xludf.DUMMYFUNCTION("""COMPUTED_VALUE"""),1947931.0)</f>
        <v>1947931</v>
      </c>
    </row>
    <row r="11472">
      <c r="A11472" t="str">
        <f t="shared" si="1"/>
        <v>nzl#1952</v>
      </c>
      <c r="B11472" t="str">
        <f>IFERROR(__xludf.DUMMYFUNCTION("""COMPUTED_VALUE"""),"nzl")</f>
        <v>nzl</v>
      </c>
      <c r="C11472" t="str">
        <f>IFERROR(__xludf.DUMMYFUNCTION("""COMPUTED_VALUE"""),"New Zealand")</f>
        <v>New Zealand</v>
      </c>
      <c r="D11472">
        <f>IFERROR(__xludf.DUMMYFUNCTION("""COMPUTED_VALUE"""),1952.0)</f>
        <v>1952</v>
      </c>
      <c r="E11472">
        <f>IFERROR(__xludf.DUMMYFUNCTION("""COMPUTED_VALUE"""),1992798.0)</f>
        <v>1992798</v>
      </c>
    </row>
    <row r="11473">
      <c r="A11473" t="str">
        <f t="shared" si="1"/>
        <v>nzl#1953</v>
      </c>
      <c r="B11473" t="str">
        <f>IFERROR(__xludf.DUMMYFUNCTION("""COMPUTED_VALUE"""),"nzl")</f>
        <v>nzl</v>
      </c>
      <c r="C11473" t="str">
        <f>IFERROR(__xludf.DUMMYFUNCTION("""COMPUTED_VALUE"""),"New Zealand")</f>
        <v>New Zealand</v>
      </c>
      <c r="D11473">
        <f>IFERROR(__xludf.DUMMYFUNCTION("""COMPUTED_VALUE"""),1953.0)</f>
        <v>1953</v>
      </c>
      <c r="E11473">
        <f>IFERROR(__xludf.DUMMYFUNCTION("""COMPUTED_VALUE"""),2040232.0)</f>
        <v>2040232</v>
      </c>
    </row>
    <row r="11474">
      <c r="A11474" t="str">
        <f t="shared" si="1"/>
        <v>nzl#1954</v>
      </c>
      <c r="B11474" t="str">
        <f>IFERROR(__xludf.DUMMYFUNCTION("""COMPUTED_VALUE"""),"nzl")</f>
        <v>nzl</v>
      </c>
      <c r="C11474" t="str">
        <f>IFERROR(__xludf.DUMMYFUNCTION("""COMPUTED_VALUE"""),"New Zealand")</f>
        <v>New Zealand</v>
      </c>
      <c r="D11474">
        <f>IFERROR(__xludf.DUMMYFUNCTION("""COMPUTED_VALUE"""),1954.0)</f>
        <v>1954</v>
      </c>
      <c r="E11474">
        <f>IFERROR(__xludf.DUMMYFUNCTION("""COMPUTED_VALUE"""),2088483.0)</f>
        <v>2088483</v>
      </c>
    </row>
    <row r="11475">
      <c r="A11475" t="str">
        <f t="shared" si="1"/>
        <v>nzl#1955</v>
      </c>
      <c r="B11475" t="str">
        <f>IFERROR(__xludf.DUMMYFUNCTION("""COMPUTED_VALUE"""),"nzl")</f>
        <v>nzl</v>
      </c>
      <c r="C11475" t="str">
        <f>IFERROR(__xludf.DUMMYFUNCTION("""COMPUTED_VALUE"""),"New Zealand")</f>
        <v>New Zealand</v>
      </c>
      <c r="D11475">
        <f>IFERROR(__xludf.DUMMYFUNCTION("""COMPUTED_VALUE"""),1955.0)</f>
        <v>1955</v>
      </c>
      <c r="E11475">
        <f>IFERROR(__xludf.DUMMYFUNCTION("""COMPUTED_VALUE"""),2136391.0)</f>
        <v>2136391</v>
      </c>
    </row>
    <row r="11476">
      <c r="A11476" t="str">
        <f t="shared" si="1"/>
        <v>nzl#1956</v>
      </c>
      <c r="B11476" t="str">
        <f>IFERROR(__xludf.DUMMYFUNCTION("""COMPUTED_VALUE"""),"nzl")</f>
        <v>nzl</v>
      </c>
      <c r="C11476" t="str">
        <f>IFERROR(__xludf.DUMMYFUNCTION("""COMPUTED_VALUE"""),"New Zealand")</f>
        <v>New Zealand</v>
      </c>
      <c r="D11476">
        <f>IFERROR(__xludf.DUMMYFUNCTION("""COMPUTED_VALUE"""),1956.0)</f>
        <v>1956</v>
      </c>
      <c r="E11476">
        <f>IFERROR(__xludf.DUMMYFUNCTION("""COMPUTED_VALUE"""),2183462.0)</f>
        <v>2183462</v>
      </c>
    </row>
    <row r="11477">
      <c r="A11477" t="str">
        <f t="shared" si="1"/>
        <v>nzl#1957</v>
      </c>
      <c r="B11477" t="str">
        <f>IFERROR(__xludf.DUMMYFUNCTION("""COMPUTED_VALUE"""),"nzl")</f>
        <v>nzl</v>
      </c>
      <c r="C11477" t="str">
        <f>IFERROR(__xludf.DUMMYFUNCTION("""COMPUTED_VALUE"""),"New Zealand")</f>
        <v>New Zealand</v>
      </c>
      <c r="D11477">
        <f>IFERROR(__xludf.DUMMYFUNCTION("""COMPUTED_VALUE"""),1957.0)</f>
        <v>1957</v>
      </c>
      <c r="E11477">
        <f>IFERROR(__xludf.DUMMYFUNCTION("""COMPUTED_VALUE"""),2229826.0)</f>
        <v>2229826</v>
      </c>
    </row>
    <row r="11478">
      <c r="A11478" t="str">
        <f t="shared" si="1"/>
        <v>nzl#1958</v>
      </c>
      <c r="B11478" t="str">
        <f>IFERROR(__xludf.DUMMYFUNCTION("""COMPUTED_VALUE"""),"nzl")</f>
        <v>nzl</v>
      </c>
      <c r="C11478" t="str">
        <f>IFERROR(__xludf.DUMMYFUNCTION("""COMPUTED_VALUE"""),"New Zealand")</f>
        <v>New Zealand</v>
      </c>
      <c r="D11478">
        <f>IFERROR(__xludf.DUMMYFUNCTION("""COMPUTED_VALUE"""),1958.0)</f>
        <v>1958</v>
      </c>
      <c r="E11478">
        <f>IFERROR(__xludf.DUMMYFUNCTION("""COMPUTED_VALUE"""),2276133.0)</f>
        <v>2276133</v>
      </c>
    </row>
    <row r="11479">
      <c r="A11479" t="str">
        <f t="shared" si="1"/>
        <v>nzl#1959</v>
      </c>
      <c r="B11479" t="str">
        <f>IFERROR(__xludf.DUMMYFUNCTION("""COMPUTED_VALUE"""),"nzl")</f>
        <v>nzl</v>
      </c>
      <c r="C11479" t="str">
        <f>IFERROR(__xludf.DUMMYFUNCTION("""COMPUTED_VALUE"""),"New Zealand")</f>
        <v>New Zealand</v>
      </c>
      <c r="D11479">
        <f>IFERROR(__xludf.DUMMYFUNCTION("""COMPUTED_VALUE"""),1959.0)</f>
        <v>1959</v>
      </c>
      <c r="E11479">
        <f>IFERROR(__xludf.DUMMYFUNCTION("""COMPUTED_VALUE"""),2323413.0)</f>
        <v>2323413</v>
      </c>
    </row>
    <row r="11480">
      <c r="A11480" t="str">
        <f t="shared" si="1"/>
        <v>nzl#1960</v>
      </c>
      <c r="B11480" t="str">
        <f>IFERROR(__xludf.DUMMYFUNCTION("""COMPUTED_VALUE"""),"nzl")</f>
        <v>nzl</v>
      </c>
      <c r="C11480" t="str">
        <f>IFERROR(__xludf.DUMMYFUNCTION("""COMPUTED_VALUE"""),"New Zealand")</f>
        <v>New Zealand</v>
      </c>
      <c r="D11480">
        <f>IFERROR(__xludf.DUMMYFUNCTION("""COMPUTED_VALUE"""),1960.0)</f>
        <v>1960</v>
      </c>
      <c r="E11480">
        <f>IFERROR(__xludf.DUMMYFUNCTION("""COMPUTED_VALUE"""),2372594.0)</f>
        <v>2372594</v>
      </c>
    </row>
    <row r="11481">
      <c r="A11481" t="str">
        <f t="shared" si="1"/>
        <v>nzl#1961</v>
      </c>
      <c r="B11481" t="str">
        <f>IFERROR(__xludf.DUMMYFUNCTION("""COMPUTED_VALUE"""),"nzl")</f>
        <v>nzl</v>
      </c>
      <c r="C11481" t="str">
        <f>IFERROR(__xludf.DUMMYFUNCTION("""COMPUTED_VALUE"""),"New Zealand")</f>
        <v>New Zealand</v>
      </c>
      <c r="D11481">
        <f>IFERROR(__xludf.DUMMYFUNCTION("""COMPUTED_VALUE"""),1961.0)</f>
        <v>1961</v>
      </c>
      <c r="E11481">
        <f>IFERROR(__xludf.DUMMYFUNCTION("""COMPUTED_VALUE"""),2424066.0)</f>
        <v>2424066</v>
      </c>
    </row>
    <row r="11482">
      <c r="A11482" t="str">
        <f t="shared" si="1"/>
        <v>nzl#1962</v>
      </c>
      <c r="B11482" t="str">
        <f>IFERROR(__xludf.DUMMYFUNCTION("""COMPUTED_VALUE"""),"nzl")</f>
        <v>nzl</v>
      </c>
      <c r="C11482" t="str">
        <f>IFERROR(__xludf.DUMMYFUNCTION("""COMPUTED_VALUE"""),"New Zealand")</f>
        <v>New Zealand</v>
      </c>
      <c r="D11482">
        <f>IFERROR(__xludf.DUMMYFUNCTION("""COMPUTED_VALUE"""),1962.0)</f>
        <v>1962</v>
      </c>
      <c r="E11482">
        <f>IFERROR(__xludf.DUMMYFUNCTION("""COMPUTED_VALUE"""),2477199.0)</f>
        <v>2477199</v>
      </c>
    </row>
    <row r="11483">
      <c r="A11483" t="str">
        <f t="shared" si="1"/>
        <v>nzl#1963</v>
      </c>
      <c r="B11483" t="str">
        <f>IFERROR(__xludf.DUMMYFUNCTION("""COMPUTED_VALUE"""),"nzl")</f>
        <v>nzl</v>
      </c>
      <c r="C11483" t="str">
        <f>IFERROR(__xludf.DUMMYFUNCTION("""COMPUTED_VALUE"""),"New Zealand")</f>
        <v>New Zealand</v>
      </c>
      <c r="D11483">
        <f>IFERROR(__xludf.DUMMYFUNCTION("""COMPUTED_VALUE"""),1963.0)</f>
        <v>1963</v>
      </c>
      <c r="E11483">
        <f>IFERROR(__xludf.DUMMYFUNCTION("""COMPUTED_VALUE"""),2530173.0)</f>
        <v>2530173</v>
      </c>
    </row>
    <row r="11484">
      <c r="A11484" t="str">
        <f t="shared" si="1"/>
        <v>nzl#1964</v>
      </c>
      <c r="B11484" t="str">
        <f>IFERROR(__xludf.DUMMYFUNCTION("""COMPUTED_VALUE"""),"nzl")</f>
        <v>nzl</v>
      </c>
      <c r="C11484" t="str">
        <f>IFERROR(__xludf.DUMMYFUNCTION("""COMPUTED_VALUE"""),"New Zealand")</f>
        <v>New Zealand</v>
      </c>
      <c r="D11484">
        <f>IFERROR(__xludf.DUMMYFUNCTION("""COMPUTED_VALUE"""),1964.0)</f>
        <v>1964</v>
      </c>
      <c r="E11484">
        <f>IFERROR(__xludf.DUMMYFUNCTION("""COMPUTED_VALUE"""),2580530.0)</f>
        <v>2580530</v>
      </c>
    </row>
    <row r="11485">
      <c r="A11485" t="str">
        <f t="shared" si="1"/>
        <v>nzl#1965</v>
      </c>
      <c r="B11485" t="str">
        <f>IFERROR(__xludf.DUMMYFUNCTION("""COMPUTED_VALUE"""),"nzl")</f>
        <v>nzl</v>
      </c>
      <c r="C11485" t="str">
        <f>IFERROR(__xludf.DUMMYFUNCTION("""COMPUTED_VALUE"""),"New Zealand")</f>
        <v>New Zealand</v>
      </c>
      <c r="D11485">
        <f>IFERROR(__xludf.DUMMYFUNCTION("""COMPUTED_VALUE"""),1965.0)</f>
        <v>1965</v>
      </c>
      <c r="E11485">
        <f>IFERROR(__xludf.DUMMYFUNCTION("""COMPUTED_VALUE"""),2626645.0)</f>
        <v>2626645</v>
      </c>
    </row>
    <row r="11486">
      <c r="A11486" t="str">
        <f t="shared" si="1"/>
        <v>nzl#1966</v>
      </c>
      <c r="B11486" t="str">
        <f>IFERROR(__xludf.DUMMYFUNCTION("""COMPUTED_VALUE"""),"nzl")</f>
        <v>nzl</v>
      </c>
      <c r="C11486" t="str">
        <f>IFERROR(__xludf.DUMMYFUNCTION("""COMPUTED_VALUE"""),"New Zealand")</f>
        <v>New Zealand</v>
      </c>
      <c r="D11486">
        <f>IFERROR(__xludf.DUMMYFUNCTION("""COMPUTED_VALUE"""),1966.0)</f>
        <v>1966</v>
      </c>
      <c r="E11486">
        <f>IFERROR(__xludf.DUMMYFUNCTION("""COMPUTED_VALUE"""),2667082.0)</f>
        <v>2667082</v>
      </c>
    </row>
    <row r="11487">
      <c r="A11487" t="str">
        <f t="shared" si="1"/>
        <v>nzl#1967</v>
      </c>
      <c r="B11487" t="str">
        <f>IFERROR(__xludf.DUMMYFUNCTION("""COMPUTED_VALUE"""),"nzl")</f>
        <v>nzl</v>
      </c>
      <c r="C11487" t="str">
        <f>IFERROR(__xludf.DUMMYFUNCTION("""COMPUTED_VALUE"""),"New Zealand")</f>
        <v>New Zealand</v>
      </c>
      <c r="D11487">
        <f>IFERROR(__xludf.DUMMYFUNCTION("""COMPUTED_VALUE"""),1967.0)</f>
        <v>1967</v>
      </c>
      <c r="E11487">
        <f>IFERROR(__xludf.DUMMYFUNCTION("""COMPUTED_VALUE"""),2702676.0)</f>
        <v>2702676</v>
      </c>
    </row>
    <row r="11488">
      <c r="A11488" t="str">
        <f t="shared" si="1"/>
        <v>nzl#1968</v>
      </c>
      <c r="B11488" t="str">
        <f>IFERROR(__xludf.DUMMYFUNCTION("""COMPUTED_VALUE"""),"nzl")</f>
        <v>nzl</v>
      </c>
      <c r="C11488" t="str">
        <f>IFERROR(__xludf.DUMMYFUNCTION("""COMPUTED_VALUE"""),"New Zealand")</f>
        <v>New Zealand</v>
      </c>
      <c r="D11488">
        <f>IFERROR(__xludf.DUMMYFUNCTION("""COMPUTED_VALUE"""),1968.0)</f>
        <v>1968</v>
      </c>
      <c r="E11488">
        <f>IFERROR(__xludf.DUMMYFUNCTION("""COMPUTED_VALUE"""),2736827.0)</f>
        <v>2736827</v>
      </c>
    </row>
    <row r="11489">
      <c r="A11489" t="str">
        <f t="shared" si="1"/>
        <v>nzl#1969</v>
      </c>
      <c r="B11489" t="str">
        <f>IFERROR(__xludf.DUMMYFUNCTION("""COMPUTED_VALUE"""),"nzl")</f>
        <v>nzl</v>
      </c>
      <c r="C11489" t="str">
        <f>IFERROR(__xludf.DUMMYFUNCTION("""COMPUTED_VALUE"""),"New Zealand")</f>
        <v>New Zealand</v>
      </c>
      <c r="D11489">
        <f>IFERROR(__xludf.DUMMYFUNCTION("""COMPUTED_VALUE"""),1969.0)</f>
        <v>1969</v>
      </c>
      <c r="E11489">
        <f>IFERROR(__xludf.DUMMYFUNCTION("""COMPUTED_VALUE"""),2774367.0)</f>
        <v>2774367</v>
      </c>
    </row>
    <row r="11490">
      <c r="A11490" t="str">
        <f t="shared" si="1"/>
        <v>nzl#1970</v>
      </c>
      <c r="B11490" t="str">
        <f>IFERROR(__xludf.DUMMYFUNCTION("""COMPUTED_VALUE"""),"nzl")</f>
        <v>nzl</v>
      </c>
      <c r="C11490" t="str">
        <f>IFERROR(__xludf.DUMMYFUNCTION("""COMPUTED_VALUE"""),"New Zealand")</f>
        <v>New Zealand</v>
      </c>
      <c r="D11490">
        <f>IFERROR(__xludf.DUMMYFUNCTION("""COMPUTED_VALUE"""),1970.0)</f>
        <v>1970</v>
      </c>
      <c r="E11490">
        <f>IFERROR(__xludf.DUMMYFUNCTION("""COMPUTED_VALUE"""),2818387.0)</f>
        <v>2818387</v>
      </c>
    </row>
    <row r="11491">
      <c r="A11491" t="str">
        <f t="shared" si="1"/>
        <v>nzl#1971</v>
      </c>
      <c r="B11491" t="str">
        <f>IFERROR(__xludf.DUMMYFUNCTION("""COMPUTED_VALUE"""),"nzl")</f>
        <v>nzl</v>
      </c>
      <c r="C11491" t="str">
        <f>IFERROR(__xludf.DUMMYFUNCTION("""COMPUTED_VALUE"""),"New Zealand")</f>
        <v>New Zealand</v>
      </c>
      <c r="D11491">
        <f>IFERROR(__xludf.DUMMYFUNCTION("""COMPUTED_VALUE"""),1971.0)</f>
        <v>1971</v>
      </c>
      <c r="E11491">
        <f>IFERROR(__xludf.DUMMYFUNCTION("""COMPUTED_VALUE"""),2870822.0)</f>
        <v>2870822</v>
      </c>
    </row>
    <row r="11492">
      <c r="A11492" t="str">
        <f t="shared" si="1"/>
        <v>nzl#1972</v>
      </c>
      <c r="B11492" t="str">
        <f>IFERROR(__xludf.DUMMYFUNCTION("""COMPUTED_VALUE"""),"nzl")</f>
        <v>nzl</v>
      </c>
      <c r="C11492" t="str">
        <f>IFERROR(__xludf.DUMMYFUNCTION("""COMPUTED_VALUE"""),"New Zealand")</f>
        <v>New Zealand</v>
      </c>
      <c r="D11492">
        <f>IFERROR(__xludf.DUMMYFUNCTION("""COMPUTED_VALUE"""),1972.0)</f>
        <v>1972</v>
      </c>
      <c r="E11492">
        <f>IFERROR(__xludf.DUMMYFUNCTION("""COMPUTED_VALUE"""),2929686.0)</f>
        <v>2929686</v>
      </c>
    </row>
    <row r="11493">
      <c r="A11493" t="str">
        <f t="shared" si="1"/>
        <v>nzl#1973</v>
      </c>
      <c r="B11493" t="str">
        <f>IFERROR(__xludf.DUMMYFUNCTION("""COMPUTED_VALUE"""),"nzl")</f>
        <v>nzl</v>
      </c>
      <c r="C11493" t="str">
        <f>IFERROR(__xludf.DUMMYFUNCTION("""COMPUTED_VALUE"""),"New Zealand")</f>
        <v>New Zealand</v>
      </c>
      <c r="D11493">
        <f>IFERROR(__xludf.DUMMYFUNCTION("""COMPUTED_VALUE"""),1973.0)</f>
        <v>1973</v>
      </c>
      <c r="E11493">
        <f>IFERROR(__xludf.DUMMYFUNCTION("""COMPUTED_VALUE"""),2989409.0)</f>
        <v>2989409</v>
      </c>
    </row>
    <row r="11494">
      <c r="A11494" t="str">
        <f t="shared" si="1"/>
        <v>nzl#1974</v>
      </c>
      <c r="B11494" t="str">
        <f>IFERROR(__xludf.DUMMYFUNCTION("""COMPUTED_VALUE"""),"nzl")</f>
        <v>nzl</v>
      </c>
      <c r="C11494" t="str">
        <f>IFERROR(__xludf.DUMMYFUNCTION("""COMPUTED_VALUE"""),"New Zealand")</f>
        <v>New Zealand</v>
      </c>
      <c r="D11494">
        <f>IFERROR(__xludf.DUMMYFUNCTION("""COMPUTED_VALUE"""),1974.0)</f>
        <v>1974</v>
      </c>
      <c r="E11494">
        <f>IFERROR(__xludf.DUMMYFUNCTION("""COMPUTED_VALUE"""),3042177.0)</f>
        <v>3042177</v>
      </c>
    </row>
    <row r="11495">
      <c r="A11495" t="str">
        <f t="shared" si="1"/>
        <v>nzl#1975</v>
      </c>
      <c r="B11495" t="str">
        <f>IFERROR(__xludf.DUMMYFUNCTION("""COMPUTED_VALUE"""),"nzl")</f>
        <v>nzl</v>
      </c>
      <c r="C11495" t="str">
        <f>IFERROR(__xludf.DUMMYFUNCTION("""COMPUTED_VALUE"""),"New Zealand")</f>
        <v>New Zealand</v>
      </c>
      <c r="D11495">
        <f>IFERROR(__xludf.DUMMYFUNCTION("""COMPUTED_VALUE"""),1975.0)</f>
        <v>1975</v>
      </c>
      <c r="E11495">
        <f>IFERROR(__xludf.DUMMYFUNCTION("""COMPUTED_VALUE"""),3082633.0)</f>
        <v>3082633</v>
      </c>
    </row>
    <row r="11496">
      <c r="A11496" t="str">
        <f t="shared" si="1"/>
        <v>nzl#1976</v>
      </c>
      <c r="B11496" t="str">
        <f>IFERROR(__xludf.DUMMYFUNCTION("""COMPUTED_VALUE"""),"nzl")</f>
        <v>nzl</v>
      </c>
      <c r="C11496" t="str">
        <f>IFERROR(__xludf.DUMMYFUNCTION("""COMPUTED_VALUE"""),"New Zealand")</f>
        <v>New Zealand</v>
      </c>
      <c r="D11496">
        <f>IFERROR(__xludf.DUMMYFUNCTION("""COMPUTED_VALUE"""),1976.0)</f>
        <v>1976</v>
      </c>
      <c r="E11496">
        <f>IFERROR(__xludf.DUMMYFUNCTION("""COMPUTED_VALUE"""),3108570.0)</f>
        <v>3108570</v>
      </c>
    </row>
    <row r="11497">
      <c r="A11497" t="str">
        <f t="shared" si="1"/>
        <v>nzl#1977</v>
      </c>
      <c r="B11497" t="str">
        <f>IFERROR(__xludf.DUMMYFUNCTION("""COMPUTED_VALUE"""),"nzl")</f>
        <v>nzl</v>
      </c>
      <c r="C11497" t="str">
        <f>IFERROR(__xludf.DUMMYFUNCTION("""COMPUTED_VALUE"""),"New Zealand")</f>
        <v>New Zealand</v>
      </c>
      <c r="D11497">
        <f>IFERROR(__xludf.DUMMYFUNCTION("""COMPUTED_VALUE"""),1977.0)</f>
        <v>1977</v>
      </c>
      <c r="E11497">
        <f>IFERROR(__xludf.DUMMYFUNCTION("""COMPUTED_VALUE"""),3122406.0)</f>
        <v>3122406</v>
      </c>
    </row>
    <row r="11498">
      <c r="A11498" t="str">
        <f t="shared" si="1"/>
        <v>nzl#1978</v>
      </c>
      <c r="B11498" t="str">
        <f>IFERROR(__xludf.DUMMYFUNCTION("""COMPUTED_VALUE"""),"nzl")</f>
        <v>nzl</v>
      </c>
      <c r="C11498" t="str">
        <f>IFERROR(__xludf.DUMMYFUNCTION("""COMPUTED_VALUE"""),"New Zealand")</f>
        <v>New Zealand</v>
      </c>
      <c r="D11498">
        <f>IFERROR(__xludf.DUMMYFUNCTION("""COMPUTED_VALUE"""),1978.0)</f>
        <v>1978</v>
      </c>
      <c r="E11498">
        <f>IFERROR(__xludf.DUMMYFUNCTION("""COMPUTED_VALUE"""),3128956.0)</f>
        <v>3128956</v>
      </c>
    </row>
    <row r="11499">
      <c r="A11499" t="str">
        <f t="shared" si="1"/>
        <v>nzl#1979</v>
      </c>
      <c r="B11499" t="str">
        <f>IFERROR(__xludf.DUMMYFUNCTION("""COMPUTED_VALUE"""),"nzl")</f>
        <v>nzl</v>
      </c>
      <c r="C11499" t="str">
        <f>IFERROR(__xludf.DUMMYFUNCTION("""COMPUTED_VALUE"""),"New Zealand")</f>
        <v>New Zealand</v>
      </c>
      <c r="D11499">
        <f>IFERROR(__xludf.DUMMYFUNCTION("""COMPUTED_VALUE"""),1979.0)</f>
        <v>1979</v>
      </c>
      <c r="E11499">
        <f>IFERROR(__xludf.DUMMYFUNCTION("""COMPUTED_VALUE"""),3135297.0)</f>
        <v>3135297</v>
      </c>
    </row>
    <row r="11500">
      <c r="A11500" t="str">
        <f t="shared" si="1"/>
        <v>nzl#1980</v>
      </c>
      <c r="B11500" t="str">
        <f>IFERROR(__xludf.DUMMYFUNCTION("""COMPUTED_VALUE"""),"nzl")</f>
        <v>nzl</v>
      </c>
      <c r="C11500" t="str">
        <f>IFERROR(__xludf.DUMMYFUNCTION("""COMPUTED_VALUE"""),"New Zealand")</f>
        <v>New Zealand</v>
      </c>
      <c r="D11500">
        <f>IFERROR(__xludf.DUMMYFUNCTION("""COMPUTED_VALUE"""),1980.0)</f>
        <v>1980</v>
      </c>
      <c r="E11500">
        <f>IFERROR(__xludf.DUMMYFUNCTION("""COMPUTED_VALUE"""),3146619.0)</f>
        <v>3146619</v>
      </c>
    </row>
    <row r="11501">
      <c r="A11501" t="str">
        <f t="shared" si="1"/>
        <v>nzl#1981</v>
      </c>
      <c r="B11501" t="str">
        <f>IFERROR(__xludf.DUMMYFUNCTION("""COMPUTED_VALUE"""),"nzl")</f>
        <v>nzl</v>
      </c>
      <c r="C11501" t="str">
        <f>IFERROR(__xludf.DUMMYFUNCTION("""COMPUTED_VALUE"""),"New Zealand")</f>
        <v>New Zealand</v>
      </c>
      <c r="D11501">
        <f>IFERROR(__xludf.DUMMYFUNCTION("""COMPUTED_VALUE"""),1981.0)</f>
        <v>1981</v>
      </c>
      <c r="E11501">
        <f>IFERROR(__xludf.DUMMYFUNCTION("""COMPUTED_VALUE"""),3164828.0)</f>
        <v>3164828</v>
      </c>
    </row>
    <row r="11502">
      <c r="A11502" t="str">
        <f t="shared" si="1"/>
        <v>nzl#1982</v>
      </c>
      <c r="B11502" t="str">
        <f>IFERROR(__xludf.DUMMYFUNCTION("""COMPUTED_VALUE"""),"nzl")</f>
        <v>nzl</v>
      </c>
      <c r="C11502" t="str">
        <f>IFERROR(__xludf.DUMMYFUNCTION("""COMPUTED_VALUE"""),"New Zealand")</f>
        <v>New Zealand</v>
      </c>
      <c r="D11502">
        <f>IFERROR(__xludf.DUMMYFUNCTION("""COMPUTED_VALUE"""),1982.0)</f>
        <v>1982</v>
      </c>
      <c r="E11502">
        <f>IFERROR(__xludf.DUMMYFUNCTION("""COMPUTED_VALUE"""),3188539.0)</f>
        <v>3188539</v>
      </c>
    </row>
    <row r="11503">
      <c r="A11503" t="str">
        <f t="shared" si="1"/>
        <v>nzl#1983</v>
      </c>
      <c r="B11503" t="str">
        <f>IFERROR(__xludf.DUMMYFUNCTION("""COMPUTED_VALUE"""),"nzl")</f>
        <v>nzl</v>
      </c>
      <c r="C11503" t="str">
        <f>IFERROR(__xludf.DUMMYFUNCTION("""COMPUTED_VALUE"""),"New Zealand")</f>
        <v>New Zealand</v>
      </c>
      <c r="D11503">
        <f>IFERROR(__xludf.DUMMYFUNCTION("""COMPUTED_VALUE"""),1983.0)</f>
        <v>1983</v>
      </c>
      <c r="E11503">
        <f>IFERROR(__xludf.DUMMYFUNCTION("""COMPUTED_VALUE"""),3215729.0)</f>
        <v>3215729</v>
      </c>
    </row>
    <row r="11504">
      <c r="A11504" t="str">
        <f t="shared" si="1"/>
        <v>nzl#1984</v>
      </c>
      <c r="B11504" t="str">
        <f>IFERROR(__xludf.DUMMYFUNCTION("""COMPUTED_VALUE"""),"nzl")</f>
        <v>nzl</v>
      </c>
      <c r="C11504" t="str">
        <f>IFERROR(__xludf.DUMMYFUNCTION("""COMPUTED_VALUE"""),"New Zealand")</f>
        <v>New Zealand</v>
      </c>
      <c r="D11504">
        <f>IFERROR(__xludf.DUMMYFUNCTION("""COMPUTED_VALUE"""),1984.0)</f>
        <v>1984</v>
      </c>
      <c r="E11504">
        <f>IFERROR(__xludf.DUMMYFUNCTION("""COMPUTED_VALUE"""),3243036.0)</f>
        <v>3243036</v>
      </c>
    </row>
    <row r="11505">
      <c r="A11505" t="str">
        <f t="shared" si="1"/>
        <v>nzl#1985</v>
      </c>
      <c r="B11505" t="str">
        <f>IFERROR(__xludf.DUMMYFUNCTION("""COMPUTED_VALUE"""),"nzl")</f>
        <v>nzl</v>
      </c>
      <c r="C11505" t="str">
        <f>IFERROR(__xludf.DUMMYFUNCTION("""COMPUTED_VALUE"""),"New Zealand")</f>
        <v>New Zealand</v>
      </c>
      <c r="D11505">
        <f>IFERROR(__xludf.DUMMYFUNCTION("""COMPUTED_VALUE"""),1985.0)</f>
        <v>1985</v>
      </c>
      <c r="E11505">
        <f>IFERROR(__xludf.DUMMYFUNCTION("""COMPUTED_VALUE"""),3268236.0)</f>
        <v>3268236</v>
      </c>
    </row>
    <row r="11506">
      <c r="A11506" t="str">
        <f t="shared" si="1"/>
        <v>nzl#1986</v>
      </c>
      <c r="B11506" t="str">
        <f>IFERROR(__xludf.DUMMYFUNCTION("""COMPUTED_VALUE"""),"nzl")</f>
        <v>nzl</v>
      </c>
      <c r="C11506" t="str">
        <f>IFERROR(__xludf.DUMMYFUNCTION("""COMPUTED_VALUE"""),"New Zealand")</f>
        <v>New Zealand</v>
      </c>
      <c r="D11506">
        <f>IFERROR(__xludf.DUMMYFUNCTION("""COMPUTED_VALUE"""),1986.0)</f>
        <v>1986</v>
      </c>
      <c r="E11506">
        <f>IFERROR(__xludf.DUMMYFUNCTION("""COMPUTED_VALUE"""),3290304.0)</f>
        <v>3290304</v>
      </c>
    </row>
    <row r="11507">
      <c r="A11507" t="str">
        <f t="shared" si="1"/>
        <v>nzl#1987</v>
      </c>
      <c r="B11507" t="str">
        <f>IFERROR(__xludf.DUMMYFUNCTION("""COMPUTED_VALUE"""),"nzl")</f>
        <v>nzl</v>
      </c>
      <c r="C11507" t="str">
        <f>IFERROR(__xludf.DUMMYFUNCTION("""COMPUTED_VALUE"""),"New Zealand")</f>
        <v>New Zealand</v>
      </c>
      <c r="D11507">
        <f>IFERROR(__xludf.DUMMYFUNCTION("""COMPUTED_VALUE"""),1987.0)</f>
        <v>1987</v>
      </c>
      <c r="E11507">
        <f>IFERROR(__xludf.DUMMYFUNCTION("""COMPUTED_VALUE"""),3310743.0)</f>
        <v>3310743</v>
      </c>
    </row>
    <row r="11508">
      <c r="A11508" t="str">
        <f t="shared" si="1"/>
        <v>nzl#1988</v>
      </c>
      <c r="B11508" t="str">
        <f>IFERROR(__xludf.DUMMYFUNCTION("""COMPUTED_VALUE"""),"nzl")</f>
        <v>nzl</v>
      </c>
      <c r="C11508" t="str">
        <f>IFERROR(__xludf.DUMMYFUNCTION("""COMPUTED_VALUE"""),"New Zealand")</f>
        <v>New Zealand</v>
      </c>
      <c r="D11508">
        <f>IFERROR(__xludf.DUMMYFUNCTION("""COMPUTED_VALUE"""),1988.0)</f>
        <v>1988</v>
      </c>
      <c r="E11508">
        <f>IFERROR(__xludf.DUMMYFUNCTION("""COMPUTED_VALUE"""),3332792.0)</f>
        <v>3332792</v>
      </c>
    </row>
    <row r="11509">
      <c r="A11509" t="str">
        <f t="shared" si="1"/>
        <v>nzl#1989</v>
      </c>
      <c r="B11509" t="str">
        <f>IFERROR(__xludf.DUMMYFUNCTION("""COMPUTED_VALUE"""),"nzl")</f>
        <v>nzl</v>
      </c>
      <c r="C11509" t="str">
        <f>IFERROR(__xludf.DUMMYFUNCTION("""COMPUTED_VALUE"""),"New Zealand")</f>
        <v>New Zealand</v>
      </c>
      <c r="D11509">
        <f>IFERROR(__xludf.DUMMYFUNCTION("""COMPUTED_VALUE"""),1989.0)</f>
        <v>1989</v>
      </c>
      <c r="E11509">
        <f>IFERROR(__xludf.DUMMYFUNCTION("""COMPUTED_VALUE"""),3360957.0)</f>
        <v>3360957</v>
      </c>
    </row>
    <row r="11510">
      <c r="A11510" t="str">
        <f t="shared" si="1"/>
        <v>nzl#1990</v>
      </c>
      <c r="B11510" t="str">
        <f>IFERROR(__xludf.DUMMYFUNCTION("""COMPUTED_VALUE"""),"nzl")</f>
        <v>nzl</v>
      </c>
      <c r="C11510" t="str">
        <f>IFERROR(__xludf.DUMMYFUNCTION("""COMPUTED_VALUE"""),"New Zealand")</f>
        <v>New Zealand</v>
      </c>
      <c r="D11510">
        <f>IFERROR(__xludf.DUMMYFUNCTION("""COMPUTED_VALUE"""),1990.0)</f>
        <v>1990</v>
      </c>
      <c r="E11510">
        <f>IFERROR(__xludf.DUMMYFUNCTION("""COMPUTED_VALUE"""),3398172.0)</f>
        <v>3398172</v>
      </c>
    </row>
    <row r="11511">
      <c r="A11511" t="str">
        <f t="shared" si="1"/>
        <v>nzl#1991</v>
      </c>
      <c r="B11511" t="str">
        <f>IFERROR(__xludf.DUMMYFUNCTION("""COMPUTED_VALUE"""),"nzl")</f>
        <v>nzl</v>
      </c>
      <c r="C11511" t="str">
        <f>IFERROR(__xludf.DUMMYFUNCTION("""COMPUTED_VALUE"""),"New Zealand")</f>
        <v>New Zealand</v>
      </c>
      <c r="D11511">
        <f>IFERROR(__xludf.DUMMYFUNCTION("""COMPUTED_VALUE"""),1991.0)</f>
        <v>1991</v>
      </c>
      <c r="E11511">
        <f>IFERROR(__xludf.DUMMYFUNCTION("""COMPUTED_VALUE"""),3446170.0)</f>
        <v>3446170</v>
      </c>
    </row>
    <row r="11512">
      <c r="A11512" t="str">
        <f t="shared" si="1"/>
        <v>nzl#1992</v>
      </c>
      <c r="B11512" t="str">
        <f>IFERROR(__xludf.DUMMYFUNCTION("""COMPUTED_VALUE"""),"nzl")</f>
        <v>nzl</v>
      </c>
      <c r="C11512" t="str">
        <f>IFERROR(__xludf.DUMMYFUNCTION("""COMPUTED_VALUE"""),"New Zealand")</f>
        <v>New Zealand</v>
      </c>
      <c r="D11512">
        <f>IFERROR(__xludf.DUMMYFUNCTION("""COMPUTED_VALUE"""),1992.0)</f>
        <v>1992</v>
      </c>
      <c r="E11512">
        <f>IFERROR(__xludf.DUMMYFUNCTION("""COMPUTED_VALUE"""),3503181.0)</f>
        <v>3503181</v>
      </c>
    </row>
    <row r="11513">
      <c r="A11513" t="str">
        <f t="shared" si="1"/>
        <v>nzl#1993</v>
      </c>
      <c r="B11513" t="str">
        <f>IFERROR(__xludf.DUMMYFUNCTION("""COMPUTED_VALUE"""),"nzl")</f>
        <v>nzl</v>
      </c>
      <c r="C11513" t="str">
        <f>IFERROR(__xludf.DUMMYFUNCTION("""COMPUTED_VALUE"""),"New Zealand")</f>
        <v>New Zealand</v>
      </c>
      <c r="D11513">
        <f>IFERROR(__xludf.DUMMYFUNCTION("""COMPUTED_VALUE"""),1993.0)</f>
        <v>1993</v>
      </c>
      <c r="E11513">
        <f>IFERROR(__xludf.DUMMYFUNCTION("""COMPUTED_VALUE"""),3564464.0)</f>
        <v>3564464</v>
      </c>
    </row>
    <row r="11514">
      <c r="A11514" t="str">
        <f t="shared" si="1"/>
        <v>nzl#1994</v>
      </c>
      <c r="B11514" t="str">
        <f>IFERROR(__xludf.DUMMYFUNCTION("""COMPUTED_VALUE"""),"nzl")</f>
        <v>nzl</v>
      </c>
      <c r="C11514" t="str">
        <f>IFERROR(__xludf.DUMMYFUNCTION("""COMPUTED_VALUE"""),"New Zealand")</f>
        <v>New Zealand</v>
      </c>
      <c r="D11514">
        <f>IFERROR(__xludf.DUMMYFUNCTION("""COMPUTED_VALUE"""),1994.0)</f>
        <v>1994</v>
      </c>
      <c r="E11514">
        <f>IFERROR(__xludf.DUMMYFUNCTION("""COMPUTED_VALUE"""),3623279.0)</f>
        <v>3623279</v>
      </c>
    </row>
    <row r="11515">
      <c r="A11515" t="str">
        <f t="shared" si="1"/>
        <v>nzl#1995</v>
      </c>
      <c r="B11515" t="str">
        <f>IFERROR(__xludf.DUMMYFUNCTION("""COMPUTED_VALUE"""),"nzl")</f>
        <v>nzl</v>
      </c>
      <c r="C11515" t="str">
        <f>IFERROR(__xludf.DUMMYFUNCTION("""COMPUTED_VALUE"""),"New Zealand")</f>
        <v>New Zealand</v>
      </c>
      <c r="D11515">
        <f>IFERROR(__xludf.DUMMYFUNCTION("""COMPUTED_VALUE"""),1995.0)</f>
        <v>1995</v>
      </c>
      <c r="E11515">
        <f>IFERROR(__xludf.DUMMYFUNCTION("""COMPUTED_VALUE"""),3674936.0)</f>
        <v>3674936</v>
      </c>
    </row>
    <row r="11516">
      <c r="A11516" t="str">
        <f t="shared" si="1"/>
        <v>nzl#1996</v>
      </c>
      <c r="B11516" t="str">
        <f>IFERROR(__xludf.DUMMYFUNCTION("""COMPUTED_VALUE"""),"nzl")</f>
        <v>nzl</v>
      </c>
      <c r="C11516" t="str">
        <f>IFERROR(__xludf.DUMMYFUNCTION("""COMPUTED_VALUE"""),"New Zealand")</f>
        <v>New Zealand</v>
      </c>
      <c r="D11516">
        <f>IFERROR(__xludf.DUMMYFUNCTION("""COMPUTED_VALUE"""),1996.0)</f>
        <v>1996</v>
      </c>
      <c r="E11516">
        <f>IFERROR(__xludf.DUMMYFUNCTION("""COMPUTED_VALUE"""),3717349.0)</f>
        <v>3717349</v>
      </c>
    </row>
    <row r="11517">
      <c r="A11517" t="str">
        <f t="shared" si="1"/>
        <v>nzl#1997</v>
      </c>
      <c r="B11517" t="str">
        <f>IFERROR(__xludf.DUMMYFUNCTION("""COMPUTED_VALUE"""),"nzl")</f>
        <v>nzl</v>
      </c>
      <c r="C11517" t="str">
        <f>IFERROR(__xludf.DUMMYFUNCTION("""COMPUTED_VALUE"""),"New Zealand")</f>
        <v>New Zealand</v>
      </c>
      <c r="D11517">
        <f>IFERROR(__xludf.DUMMYFUNCTION("""COMPUTED_VALUE"""),1997.0)</f>
        <v>1997</v>
      </c>
      <c r="E11517">
        <f>IFERROR(__xludf.DUMMYFUNCTION("""COMPUTED_VALUE"""),3752362.0)</f>
        <v>3752362</v>
      </c>
    </row>
    <row r="11518">
      <c r="A11518" t="str">
        <f t="shared" si="1"/>
        <v>nzl#1998</v>
      </c>
      <c r="B11518" t="str">
        <f>IFERROR(__xludf.DUMMYFUNCTION("""COMPUTED_VALUE"""),"nzl")</f>
        <v>nzl</v>
      </c>
      <c r="C11518" t="str">
        <f>IFERROR(__xludf.DUMMYFUNCTION("""COMPUTED_VALUE"""),"New Zealand")</f>
        <v>New Zealand</v>
      </c>
      <c r="D11518">
        <f>IFERROR(__xludf.DUMMYFUNCTION("""COMPUTED_VALUE"""),1998.0)</f>
        <v>1998</v>
      </c>
      <c r="E11518">
        <f>IFERROR(__xludf.DUMMYFUNCTION("""COMPUTED_VALUE"""),3783974.0)</f>
        <v>3783974</v>
      </c>
    </row>
    <row r="11519">
      <c r="A11519" t="str">
        <f t="shared" si="1"/>
        <v>nzl#1999</v>
      </c>
      <c r="B11519" t="str">
        <f>IFERROR(__xludf.DUMMYFUNCTION("""COMPUTED_VALUE"""),"nzl")</f>
        <v>nzl</v>
      </c>
      <c r="C11519" t="str">
        <f>IFERROR(__xludf.DUMMYFUNCTION("""COMPUTED_VALUE"""),"New Zealand")</f>
        <v>New Zealand</v>
      </c>
      <c r="D11519">
        <f>IFERROR(__xludf.DUMMYFUNCTION("""COMPUTED_VALUE"""),1999.0)</f>
        <v>1999</v>
      </c>
      <c r="E11519">
        <f>IFERROR(__xludf.DUMMYFUNCTION("""COMPUTED_VALUE"""),3818131.0)</f>
        <v>3818131</v>
      </c>
    </row>
    <row r="11520">
      <c r="A11520" t="str">
        <f t="shared" si="1"/>
        <v>nzl#2000</v>
      </c>
      <c r="B11520" t="str">
        <f>IFERROR(__xludf.DUMMYFUNCTION("""COMPUTED_VALUE"""),"nzl")</f>
        <v>nzl</v>
      </c>
      <c r="C11520" t="str">
        <f>IFERROR(__xludf.DUMMYFUNCTION("""COMPUTED_VALUE"""),"New Zealand")</f>
        <v>New Zealand</v>
      </c>
      <c r="D11520">
        <f>IFERROR(__xludf.DUMMYFUNCTION("""COMPUTED_VALUE"""),2000.0)</f>
        <v>2000</v>
      </c>
      <c r="E11520">
        <f>IFERROR(__xludf.DUMMYFUNCTION("""COMPUTED_VALUE"""),3858999.0)</f>
        <v>3858999</v>
      </c>
    </row>
    <row r="11521">
      <c r="A11521" t="str">
        <f t="shared" si="1"/>
        <v>nzl#2001</v>
      </c>
      <c r="B11521" t="str">
        <f>IFERROR(__xludf.DUMMYFUNCTION("""COMPUTED_VALUE"""),"nzl")</f>
        <v>nzl</v>
      </c>
      <c r="C11521" t="str">
        <f>IFERROR(__xludf.DUMMYFUNCTION("""COMPUTED_VALUE"""),"New Zealand")</f>
        <v>New Zealand</v>
      </c>
      <c r="D11521">
        <f>IFERROR(__xludf.DUMMYFUNCTION("""COMPUTED_VALUE"""),2001.0)</f>
        <v>2001</v>
      </c>
      <c r="E11521">
        <f>IFERROR(__xludf.DUMMYFUNCTION("""COMPUTED_VALUE"""),3907933.0)</f>
        <v>3907933</v>
      </c>
    </row>
    <row r="11522">
      <c r="A11522" t="str">
        <f t="shared" si="1"/>
        <v>nzl#2002</v>
      </c>
      <c r="B11522" t="str">
        <f>IFERROR(__xludf.DUMMYFUNCTION("""COMPUTED_VALUE"""),"nzl")</f>
        <v>nzl</v>
      </c>
      <c r="C11522" t="str">
        <f>IFERROR(__xludf.DUMMYFUNCTION("""COMPUTED_VALUE"""),"New Zealand")</f>
        <v>New Zealand</v>
      </c>
      <c r="D11522">
        <f>IFERROR(__xludf.DUMMYFUNCTION("""COMPUTED_VALUE"""),2002.0)</f>
        <v>2002</v>
      </c>
      <c r="E11522">
        <f>IFERROR(__xludf.DUMMYFUNCTION("""COMPUTED_VALUE"""),3963206.0)</f>
        <v>3963206</v>
      </c>
    </row>
    <row r="11523">
      <c r="A11523" t="str">
        <f t="shared" si="1"/>
        <v>nzl#2003</v>
      </c>
      <c r="B11523" t="str">
        <f>IFERROR(__xludf.DUMMYFUNCTION("""COMPUTED_VALUE"""),"nzl")</f>
        <v>nzl</v>
      </c>
      <c r="C11523" t="str">
        <f>IFERROR(__xludf.DUMMYFUNCTION("""COMPUTED_VALUE"""),"New Zealand")</f>
        <v>New Zealand</v>
      </c>
      <c r="D11523">
        <f>IFERROR(__xludf.DUMMYFUNCTION("""COMPUTED_VALUE"""),2003.0)</f>
        <v>2003</v>
      </c>
      <c r="E11523">
        <f>IFERROR(__xludf.DUMMYFUNCTION("""COMPUTED_VALUE"""),4022069.0)</f>
        <v>4022069</v>
      </c>
    </row>
    <row r="11524">
      <c r="A11524" t="str">
        <f t="shared" si="1"/>
        <v>nzl#2004</v>
      </c>
      <c r="B11524" t="str">
        <f>IFERROR(__xludf.DUMMYFUNCTION("""COMPUTED_VALUE"""),"nzl")</f>
        <v>nzl</v>
      </c>
      <c r="C11524" t="str">
        <f>IFERROR(__xludf.DUMMYFUNCTION("""COMPUTED_VALUE"""),"New Zealand")</f>
        <v>New Zealand</v>
      </c>
      <c r="D11524">
        <f>IFERROR(__xludf.DUMMYFUNCTION("""COMPUTED_VALUE"""),2004.0)</f>
        <v>2004</v>
      </c>
      <c r="E11524">
        <f>IFERROR(__xludf.DUMMYFUNCTION("""COMPUTED_VALUE"""),4080438.0)</f>
        <v>4080438</v>
      </c>
    </row>
    <row r="11525">
      <c r="A11525" t="str">
        <f t="shared" si="1"/>
        <v>nzl#2005</v>
      </c>
      <c r="B11525" t="str">
        <f>IFERROR(__xludf.DUMMYFUNCTION("""COMPUTED_VALUE"""),"nzl")</f>
        <v>nzl</v>
      </c>
      <c r="C11525" t="str">
        <f>IFERROR(__xludf.DUMMYFUNCTION("""COMPUTED_VALUE"""),"New Zealand")</f>
        <v>New Zealand</v>
      </c>
      <c r="D11525">
        <f>IFERROR(__xludf.DUMMYFUNCTION("""COMPUTED_VALUE"""),2005.0)</f>
        <v>2005</v>
      </c>
      <c r="E11525">
        <f>IFERROR(__xludf.DUMMYFUNCTION("""COMPUTED_VALUE"""),4135355.0)</f>
        <v>4135355</v>
      </c>
    </row>
    <row r="11526">
      <c r="A11526" t="str">
        <f t="shared" si="1"/>
        <v>nzl#2006</v>
      </c>
      <c r="B11526" t="str">
        <f>IFERROR(__xludf.DUMMYFUNCTION("""COMPUTED_VALUE"""),"nzl")</f>
        <v>nzl</v>
      </c>
      <c r="C11526" t="str">
        <f>IFERROR(__xludf.DUMMYFUNCTION("""COMPUTED_VALUE"""),"New Zealand")</f>
        <v>New Zealand</v>
      </c>
      <c r="D11526">
        <f>IFERROR(__xludf.DUMMYFUNCTION("""COMPUTED_VALUE"""),2006.0)</f>
        <v>2006</v>
      </c>
      <c r="E11526">
        <f>IFERROR(__xludf.DUMMYFUNCTION("""COMPUTED_VALUE"""),4185917.0)</f>
        <v>4185917</v>
      </c>
    </row>
    <row r="11527">
      <c r="A11527" t="str">
        <f t="shared" si="1"/>
        <v>nzl#2007</v>
      </c>
      <c r="B11527" t="str">
        <f>IFERROR(__xludf.DUMMYFUNCTION("""COMPUTED_VALUE"""),"nzl")</f>
        <v>nzl</v>
      </c>
      <c r="C11527" t="str">
        <f>IFERROR(__xludf.DUMMYFUNCTION("""COMPUTED_VALUE"""),"New Zealand")</f>
        <v>New Zealand</v>
      </c>
      <c r="D11527">
        <f>IFERROR(__xludf.DUMMYFUNCTION("""COMPUTED_VALUE"""),2007.0)</f>
        <v>2007</v>
      </c>
      <c r="E11527">
        <f>IFERROR(__xludf.DUMMYFUNCTION("""COMPUTED_VALUE"""),4233151.0)</f>
        <v>4233151</v>
      </c>
    </row>
    <row r="11528">
      <c r="A11528" t="str">
        <f t="shared" si="1"/>
        <v>nzl#2008</v>
      </c>
      <c r="B11528" t="str">
        <f>IFERROR(__xludf.DUMMYFUNCTION("""COMPUTED_VALUE"""),"nzl")</f>
        <v>nzl</v>
      </c>
      <c r="C11528" t="str">
        <f>IFERROR(__xludf.DUMMYFUNCTION("""COMPUTED_VALUE"""),"New Zealand")</f>
        <v>New Zealand</v>
      </c>
      <c r="D11528">
        <f>IFERROR(__xludf.DUMMYFUNCTION("""COMPUTED_VALUE"""),2008.0)</f>
        <v>2008</v>
      </c>
      <c r="E11528">
        <f>IFERROR(__xludf.DUMMYFUNCTION("""COMPUTED_VALUE"""),4278325.0)</f>
        <v>4278325</v>
      </c>
    </row>
    <row r="11529">
      <c r="A11529" t="str">
        <f t="shared" si="1"/>
        <v>nzl#2009</v>
      </c>
      <c r="B11529" t="str">
        <f>IFERROR(__xludf.DUMMYFUNCTION("""COMPUTED_VALUE"""),"nzl")</f>
        <v>nzl</v>
      </c>
      <c r="C11529" t="str">
        <f>IFERROR(__xludf.DUMMYFUNCTION("""COMPUTED_VALUE"""),"New Zealand")</f>
        <v>New Zealand</v>
      </c>
      <c r="D11529">
        <f>IFERROR(__xludf.DUMMYFUNCTION("""COMPUTED_VALUE"""),2009.0)</f>
        <v>2009</v>
      </c>
      <c r="E11529">
        <f>IFERROR(__xludf.DUMMYFUNCTION("""COMPUTED_VALUE"""),4323482.0)</f>
        <v>4323482</v>
      </c>
    </row>
    <row r="11530">
      <c r="A11530" t="str">
        <f t="shared" si="1"/>
        <v>nzl#2010</v>
      </c>
      <c r="B11530" t="str">
        <f>IFERROR(__xludf.DUMMYFUNCTION("""COMPUTED_VALUE"""),"nzl")</f>
        <v>nzl</v>
      </c>
      <c r="C11530" t="str">
        <f>IFERROR(__xludf.DUMMYFUNCTION("""COMPUTED_VALUE"""),"New Zealand")</f>
        <v>New Zealand</v>
      </c>
      <c r="D11530">
        <f>IFERROR(__xludf.DUMMYFUNCTION("""COMPUTED_VALUE"""),2010.0)</f>
        <v>2010</v>
      </c>
      <c r="E11530">
        <f>IFERROR(__xludf.DUMMYFUNCTION("""COMPUTED_VALUE"""),4370062.0)</f>
        <v>4370062</v>
      </c>
    </row>
    <row r="11531">
      <c r="A11531" t="str">
        <f t="shared" si="1"/>
        <v>nzl#2011</v>
      </c>
      <c r="B11531" t="str">
        <f>IFERROR(__xludf.DUMMYFUNCTION("""COMPUTED_VALUE"""),"nzl")</f>
        <v>nzl</v>
      </c>
      <c r="C11531" t="str">
        <f>IFERROR(__xludf.DUMMYFUNCTION("""COMPUTED_VALUE"""),"New Zealand")</f>
        <v>New Zealand</v>
      </c>
      <c r="D11531">
        <f>IFERROR(__xludf.DUMMYFUNCTION("""COMPUTED_VALUE"""),2011.0)</f>
        <v>2011</v>
      </c>
      <c r="E11531">
        <f>IFERROR(__xludf.DUMMYFUNCTION("""COMPUTED_VALUE"""),4418365.0)</f>
        <v>4418365</v>
      </c>
    </row>
    <row r="11532">
      <c r="A11532" t="str">
        <f t="shared" si="1"/>
        <v>nzl#2012</v>
      </c>
      <c r="B11532" t="str">
        <f>IFERROR(__xludf.DUMMYFUNCTION("""COMPUTED_VALUE"""),"nzl")</f>
        <v>nzl</v>
      </c>
      <c r="C11532" t="str">
        <f>IFERROR(__xludf.DUMMYFUNCTION("""COMPUTED_VALUE"""),"New Zealand")</f>
        <v>New Zealand</v>
      </c>
      <c r="D11532">
        <f>IFERROR(__xludf.DUMMYFUNCTION("""COMPUTED_VALUE"""),2012.0)</f>
        <v>2012</v>
      </c>
      <c r="E11532">
        <f>IFERROR(__xludf.DUMMYFUNCTION("""COMPUTED_VALUE"""),4467743.0)</f>
        <v>4467743</v>
      </c>
    </row>
    <row r="11533">
      <c r="A11533" t="str">
        <f t="shared" si="1"/>
        <v>nzl#2013</v>
      </c>
      <c r="B11533" t="str">
        <f>IFERROR(__xludf.DUMMYFUNCTION("""COMPUTED_VALUE"""),"nzl")</f>
        <v>nzl</v>
      </c>
      <c r="C11533" t="str">
        <f>IFERROR(__xludf.DUMMYFUNCTION("""COMPUTED_VALUE"""),"New Zealand")</f>
        <v>New Zealand</v>
      </c>
      <c r="D11533">
        <f>IFERROR(__xludf.DUMMYFUNCTION("""COMPUTED_VALUE"""),2013.0)</f>
        <v>2013</v>
      </c>
      <c r="E11533">
        <f>IFERROR(__xludf.DUMMYFUNCTION("""COMPUTED_VALUE"""),4517527.0)</f>
        <v>4517527</v>
      </c>
    </row>
    <row r="11534">
      <c r="A11534" t="str">
        <f t="shared" si="1"/>
        <v>nzl#2014</v>
      </c>
      <c r="B11534" t="str">
        <f>IFERROR(__xludf.DUMMYFUNCTION("""COMPUTED_VALUE"""),"nzl")</f>
        <v>nzl</v>
      </c>
      <c r="C11534" t="str">
        <f>IFERROR(__xludf.DUMMYFUNCTION("""COMPUTED_VALUE"""),"New Zealand")</f>
        <v>New Zealand</v>
      </c>
      <c r="D11534">
        <f>IFERROR(__xludf.DUMMYFUNCTION("""COMPUTED_VALUE"""),2014.0)</f>
        <v>2014</v>
      </c>
      <c r="E11534">
        <f>IFERROR(__xludf.DUMMYFUNCTION("""COMPUTED_VALUE"""),4566700.0)</f>
        <v>4566700</v>
      </c>
    </row>
    <row r="11535">
      <c r="A11535" t="str">
        <f t="shared" si="1"/>
        <v>nzl#2015</v>
      </c>
      <c r="B11535" t="str">
        <f>IFERROR(__xludf.DUMMYFUNCTION("""COMPUTED_VALUE"""),"nzl")</f>
        <v>nzl</v>
      </c>
      <c r="C11535" t="str">
        <f>IFERROR(__xludf.DUMMYFUNCTION("""COMPUTED_VALUE"""),"New Zealand")</f>
        <v>New Zealand</v>
      </c>
      <c r="D11535">
        <f>IFERROR(__xludf.DUMMYFUNCTION("""COMPUTED_VALUE"""),2015.0)</f>
        <v>2015</v>
      </c>
      <c r="E11535">
        <f>IFERROR(__xludf.DUMMYFUNCTION("""COMPUTED_VALUE"""),4614532.0)</f>
        <v>4614532</v>
      </c>
    </row>
    <row r="11536">
      <c r="A11536" t="str">
        <f t="shared" si="1"/>
        <v>nzl#2016</v>
      </c>
      <c r="B11536" t="str">
        <f>IFERROR(__xludf.DUMMYFUNCTION("""COMPUTED_VALUE"""),"nzl")</f>
        <v>nzl</v>
      </c>
      <c r="C11536" t="str">
        <f>IFERROR(__xludf.DUMMYFUNCTION("""COMPUTED_VALUE"""),"New Zealand")</f>
        <v>New Zealand</v>
      </c>
      <c r="D11536">
        <f>IFERROR(__xludf.DUMMYFUNCTION("""COMPUTED_VALUE"""),2016.0)</f>
        <v>2016</v>
      </c>
      <c r="E11536">
        <f>IFERROR(__xludf.DUMMYFUNCTION("""COMPUTED_VALUE"""),4660833.0)</f>
        <v>4660833</v>
      </c>
    </row>
    <row r="11537">
      <c r="A11537" t="str">
        <f t="shared" si="1"/>
        <v>nzl#2017</v>
      </c>
      <c r="B11537" t="str">
        <f>IFERROR(__xludf.DUMMYFUNCTION("""COMPUTED_VALUE"""),"nzl")</f>
        <v>nzl</v>
      </c>
      <c r="C11537" t="str">
        <f>IFERROR(__xludf.DUMMYFUNCTION("""COMPUTED_VALUE"""),"New Zealand")</f>
        <v>New Zealand</v>
      </c>
      <c r="D11537">
        <f>IFERROR(__xludf.DUMMYFUNCTION("""COMPUTED_VALUE"""),2017.0)</f>
        <v>2017</v>
      </c>
      <c r="E11537">
        <f>IFERROR(__xludf.DUMMYFUNCTION("""COMPUTED_VALUE"""),4705818.0)</f>
        <v>4705818</v>
      </c>
    </row>
    <row r="11538">
      <c r="A11538" t="str">
        <f t="shared" si="1"/>
        <v>nzl#2018</v>
      </c>
      <c r="B11538" t="str">
        <f>IFERROR(__xludf.DUMMYFUNCTION("""COMPUTED_VALUE"""),"nzl")</f>
        <v>nzl</v>
      </c>
      <c r="C11538" t="str">
        <f>IFERROR(__xludf.DUMMYFUNCTION("""COMPUTED_VALUE"""),"New Zealand")</f>
        <v>New Zealand</v>
      </c>
      <c r="D11538">
        <f>IFERROR(__xludf.DUMMYFUNCTION("""COMPUTED_VALUE"""),2018.0)</f>
        <v>2018</v>
      </c>
      <c r="E11538">
        <f>IFERROR(__xludf.DUMMYFUNCTION("""COMPUTED_VALUE"""),4749598.0)</f>
        <v>4749598</v>
      </c>
    </row>
    <row r="11539">
      <c r="A11539" t="str">
        <f t="shared" si="1"/>
        <v>nzl#2019</v>
      </c>
      <c r="B11539" t="str">
        <f>IFERROR(__xludf.DUMMYFUNCTION("""COMPUTED_VALUE"""),"nzl")</f>
        <v>nzl</v>
      </c>
      <c r="C11539" t="str">
        <f>IFERROR(__xludf.DUMMYFUNCTION("""COMPUTED_VALUE"""),"New Zealand")</f>
        <v>New Zealand</v>
      </c>
      <c r="D11539">
        <f>IFERROR(__xludf.DUMMYFUNCTION("""COMPUTED_VALUE"""),2019.0)</f>
        <v>2019</v>
      </c>
      <c r="E11539">
        <f>IFERROR(__xludf.DUMMYFUNCTION("""COMPUTED_VALUE"""),4792409.0)</f>
        <v>4792409</v>
      </c>
    </row>
    <row r="11540">
      <c r="A11540" t="str">
        <f t="shared" si="1"/>
        <v>nzl#2020</v>
      </c>
      <c r="B11540" t="str">
        <f>IFERROR(__xludf.DUMMYFUNCTION("""COMPUTED_VALUE"""),"nzl")</f>
        <v>nzl</v>
      </c>
      <c r="C11540" t="str">
        <f>IFERROR(__xludf.DUMMYFUNCTION("""COMPUTED_VALUE"""),"New Zealand")</f>
        <v>New Zealand</v>
      </c>
      <c r="D11540">
        <f>IFERROR(__xludf.DUMMYFUNCTION("""COMPUTED_VALUE"""),2020.0)</f>
        <v>2020</v>
      </c>
      <c r="E11540">
        <f>IFERROR(__xludf.DUMMYFUNCTION("""COMPUTED_VALUE"""),4834420.0)</f>
        <v>4834420</v>
      </c>
    </row>
    <row r="11541">
      <c r="A11541" t="str">
        <f t="shared" si="1"/>
        <v>nzl#2021</v>
      </c>
      <c r="B11541" t="str">
        <f>IFERROR(__xludf.DUMMYFUNCTION("""COMPUTED_VALUE"""),"nzl")</f>
        <v>nzl</v>
      </c>
      <c r="C11541" t="str">
        <f>IFERROR(__xludf.DUMMYFUNCTION("""COMPUTED_VALUE"""),"New Zealand")</f>
        <v>New Zealand</v>
      </c>
      <c r="D11541">
        <f>IFERROR(__xludf.DUMMYFUNCTION("""COMPUTED_VALUE"""),2021.0)</f>
        <v>2021</v>
      </c>
      <c r="E11541">
        <f>IFERROR(__xludf.DUMMYFUNCTION("""COMPUTED_VALUE"""),4875597.0)</f>
        <v>4875597</v>
      </c>
    </row>
    <row r="11542">
      <c r="A11542" t="str">
        <f t="shared" si="1"/>
        <v>nzl#2022</v>
      </c>
      <c r="B11542" t="str">
        <f>IFERROR(__xludf.DUMMYFUNCTION("""COMPUTED_VALUE"""),"nzl")</f>
        <v>nzl</v>
      </c>
      <c r="C11542" t="str">
        <f>IFERROR(__xludf.DUMMYFUNCTION("""COMPUTED_VALUE"""),"New Zealand")</f>
        <v>New Zealand</v>
      </c>
      <c r="D11542">
        <f>IFERROR(__xludf.DUMMYFUNCTION("""COMPUTED_VALUE"""),2022.0)</f>
        <v>2022</v>
      </c>
      <c r="E11542">
        <f>IFERROR(__xludf.DUMMYFUNCTION("""COMPUTED_VALUE"""),4915867.0)</f>
        <v>4915867</v>
      </c>
    </row>
    <row r="11543">
      <c r="A11543" t="str">
        <f t="shared" si="1"/>
        <v>nzl#2023</v>
      </c>
      <c r="B11543" t="str">
        <f>IFERROR(__xludf.DUMMYFUNCTION("""COMPUTED_VALUE"""),"nzl")</f>
        <v>nzl</v>
      </c>
      <c r="C11543" t="str">
        <f>IFERROR(__xludf.DUMMYFUNCTION("""COMPUTED_VALUE"""),"New Zealand")</f>
        <v>New Zealand</v>
      </c>
      <c r="D11543">
        <f>IFERROR(__xludf.DUMMYFUNCTION("""COMPUTED_VALUE"""),2023.0)</f>
        <v>2023</v>
      </c>
      <c r="E11543">
        <f>IFERROR(__xludf.DUMMYFUNCTION("""COMPUTED_VALUE"""),4955332.0)</f>
        <v>4955332</v>
      </c>
    </row>
    <row r="11544">
      <c r="A11544" t="str">
        <f t="shared" si="1"/>
        <v>nzl#2024</v>
      </c>
      <c r="B11544" t="str">
        <f>IFERROR(__xludf.DUMMYFUNCTION("""COMPUTED_VALUE"""),"nzl")</f>
        <v>nzl</v>
      </c>
      <c r="C11544" t="str">
        <f>IFERROR(__xludf.DUMMYFUNCTION("""COMPUTED_VALUE"""),"New Zealand")</f>
        <v>New Zealand</v>
      </c>
      <c r="D11544">
        <f>IFERROR(__xludf.DUMMYFUNCTION("""COMPUTED_VALUE"""),2024.0)</f>
        <v>2024</v>
      </c>
      <c r="E11544">
        <f>IFERROR(__xludf.DUMMYFUNCTION("""COMPUTED_VALUE"""),4994118.0)</f>
        <v>4994118</v>
      </c>
    </row>
    <row r="11545">
      <c r="A11545" t="str">
        <f t="shared" si="1"/>
        <v>nzl#2025</v>
      </c>
      <c r="B11545" t="str">
        <f>IFERROR(__xludf.DUMMYFUNCTION("""COMPUTED_VALUE"""),"nzl")</f>
        <v>nzl</v>
      </c>
      <c r="C11545" t="str">
        <f>IFERROR(__xludf.DUMMYFUNCTION("""COMPUTED_VALUE"""),"New Zealand")</f>
        <v>New Zealand</v>
      </c>
      <c r="D11545">
        <f>IFERROR(__xludf.DUMMYFUNCTION("""COMPUTED_VALUE"""),2025.0)</f>
        <v>2025</v>
      </c>
      <c r="E11545">
        <f>IFERROR(__xludf.DUMMYFUNCTION("""COMPUTED_VALUE"""),5032308.0)</f>
        <v>5032308</v>
      </c>
    </row>
    <row r="11546">
      <c r="A11546" t="str">
        <f t="shared" si="1"/>
        <v>nzl#2026</v>
      </c>
      <c r="B11546" t="str">
        <f>IFERROR(__xludf.DUMMYFUNCTION("""COMPUTED_VALUE"""),"nzl")</f>
        <v>nzl</v>
      </c>
      <c r="C11546" t="str">
        <f>IFERROR(__xludf.DUMMYFUNCTION("""COMPUTED_VALUE"""),"New Zealand")</f>
        <v>New Zealand</v>
      </c>
      <c r="D11546">
        <f>IFERROR(__xludf.DUMMYFUNCTION("""COMPUTED_VALUE"""),2026.0)</f>
        <v>2026</v>
      </c>
      <c r="E11546">
        <f>IFERROR(__xludf.DUMMYFUNCTION("""COMPUTED_VALUE"""),5069935.0)</f>
        <v>5069935</v>
      </c>
    </row>
    <row r="11547">
      <c r="A11547" t="str">
        <f t="shared" si="1"/>
        <v>nzl#2027</v>
      </c>
      <c r="B11547" t="str">
        <f>IFERROR(__xludf.DUMMYFUNCTION("""COMPUTED_VALUE"""),"nzl")</f>
        <v>nzl</v>
      </c>
      <c r="C11547" t="str">
        <f>IFERROR(__xludf.DUMMYFUNCTION("""COMPUTED_VALUE"""),"New Zealand")</f>
        <v>New Zealand</v>
      </c>
      <c r="D11547">
        <f>IFERROR(__xludf.DUMMYFUNCTION("""COMPUTED_VALUE"""),2027.0)</f>
        <v>2027</v>
      </c>
      <c r="E11547">
        <f>IFERROR(__xludf.DUMMYFUNCTION("""COMPUTED_VALUE"""),5106966.0)</f>
        <v>5106966</v>
      </c>
    </row>
    <row r="11548">
      <c r="A11548" t="str">
        <f t="shared" si="1"/>
        <v>nzl#2028</v>
      </c>
      <c r="B11548" t="str">
        <f>IFERROR(__xludf.DUMMYFUNCTION("""COMPUTED_VALUE"""),"nzl")</f>
        <v>nzl</v>
      </c>
      <c r="C11548" t="str">
        <f>IFERROR(__xludf.DUMMYFUNCTION("""COMPUTED_VALUE"""),"New Zealand")</f>
        <v>New Zealand</v>
      </c>
      <c r="D11548">
        <f>IFERROR(__xludf.DUMMYFUNCTION("""COMPUTED_VALUE"""),2028.0)</f>
        <v>2028</v>
      </c>
      <c r="E11548">
        <f>IFERROR(__xludf.DUMMYFUNCTION("""COMPUTED_VALUE"""),5143276.0)</f>
        <v>5143276</v>
      </c>
    </row>
    <row r="11549">
      <c r="A11549" t="str">
        <f t="shared" si="1"/>
        <v>nzl#2029</v>
      </c>
      <c r="B11549" t="str">
        <f>IFERROR(__xludf.DUMMYFUNCTION("""COMPUTED_VALUE"""),"nzl")</f>
        <v>nzl</v>
      </c>
      <c r="C11549" t="str">
        <f>IFERROR(__xludf.DUMMYFUNCTION("""COMPUTED_VALUE"""),"New Zealand")</f>
        <v>New Zealand</v>
      </c>
      <c r="D11549">
        <f>IFERROR(__xludf.DUMMYFUNCTION("""COMPUTED_VALUE"""),2029.0)</f>
        <v>2029</v>
      </c>
      <c r="E11549">
        <f>IFERROR(__xludf.DUMMYFUNCTION("""COMPUTED_VALUE"""),5178697.0)</f>
        <v>5178697</v>
      </c>
    </row>
    <row r="11550">
      <c r="A11550" t="str">
        <f t="shared" si="1"/>
        <v>nzl#2030</v>
      </c>
      <c r="B11550" t="str">
        <f>IFERROR(__xludf.DUMMYFUNCTION("""COMPUTED_VALUE"""),"nzl")</f>
        <v>nzl</v>
      </c>
      <c r="C11550" t="str">
        <f>IFERROR(__xludf.DUMMYFUNCTION("""COMPUTED_VALUE"""),"New Zealand")</f>
        <v>New Zealand</v>
      </c>
      <c r="D11550">
        <f>IFERROR(__xludf.DUMMYFUNCTION("""COMPUTED_VALUE"""),2030.0)</f>
        <v>2030</v>
      </c>
      <c r="E11550">
        <f>IFERROR(__xludf.DUMMYFUNCTION("""COMPUTED_VALUE"""),5213103.0)</f>
        <v>5213103</v>
      </c>
    </row>
    <row r="11551">
      <c r="A11551" t="str">
        <f t="shared" si="1"/>
        <v>nzl#2031</v>
      </c>
      <c r="B11551" t="str">
        <f>IFERROR(__xludf.DUMMYFUNCTION("""COMPUTED_VALUE"""),"nzl")</f>
        <v>nzl</v>
      </c>
      <c r="C11551" t="str">
        <f>IFERROR(__xludf.DUMMYFUNCTION("""COMPUTED_VALUE"""),"New Zealand")</f>
        <v>New Zealand</v>
      </c>
      <c r="D11551">
        <f>IFERROR(__xludf.DUMMYFUNCTION("""COMPUTED_VALUE"""),2031.0)</f>
        <v>2031</v>
      </c>
      <c r="E11551">
        <f>IFERROR(__xludf.DUMMYFUNCTION("""COMPUTED_VALUE"""),5246463.0)</f>
        <v>5246463</v>
      </c>
    </row>
    <row r="11552">
      <c r="A11552" t="str">
        <f t="shared" si="1"/>
        <v>nzl#2032</v>
      </c>
      <c r="B11552" t="str">
        <f>IFERROR(__xludf.DUMMYFUNCTION("""COMPUTED_VALUE"""),"nzl")</f>
        <v>nzl</v>
      </c>
      <c r="C11552" t="str">
        <f>IFERROR(__xludf.DUMMYFUNCTION("""COMPUTED_VALUE"""),"New Zealand")</f>
        <v>New Zealand</v>
      </c>
      <c r="D11552">
        <f>IFERROR(__xludf.DUMMYFUNCTION("""COMPUTED_VALUE"""),2032.0)</f>
        <v>2032</v>
      </c>
      <c r="E11552">
        <f>IFERROR(__xludf.DUMMYFUNCTION("""COMPUTED_VALUE"""),5278812.0)</f>
        <v>5278812</v>
      </c>
    </row>
    <row r="11553">
      <c r="A11553" t="str">
        <f t="shared" si="1"/>
        <v>nzl#2033</v>
      </c>
      <c r="B11553" t="str">
        <f>IFERROR(__xludf.DUMMYFUNCTION("""COMPUTED_VALUE"""),"nzl")</f>
        <v>nzl</v>
      </c>
      <c r="C11553" t="str">
        <f>IFERROR(__xludf.DUMMYFUNCTION("""COMPUTED_VALUE"""),"New Zealand")</f>
        <v>New Zealand</v>
      </c>
      <c r="D11553">
        <f>IFERROR(__xludf.DUMMYFUNCTION("""COMPUTED_VALUE"""),2033.0)</f>
        <v>2033</v>
      </c>
      <c r="E11553">
        <f>IFERROR(__xludf.DUMMYFUNCTION("""COMPUTED_VALUE"""),5310141.0)</f>
        <v>5310141</v>
      </c>
    </row>
    <row r="11554">
      <c r="A11554" t="str">
        <f t="shared" si="1"/>
        <v>nzl#2034</v>
      </c>
      <c r="B11554" t="str">
        <f>IFERROR(__xludf.DUMMYFUNCTION("""COMPUTED_VALUE"""),"nzl")</f>
        <v>nzl</v>
      </c>
      <c r="C11554" t="str">
        <f>IFERROR(__xludf.DUMMYFUNCTION("""COMPUTED_VALUE"""),"New Zealand")</f>
        <v>New Zealand</v>
      </c>
      <c r="D11554">
        <f>IFERROR(__xludf.DUMMYFUNCTION("""COMPUTED_VALUE"""),2034.0)</f>
        <v>2034</v>
      </c>
      <c r="E11554">
        <f>IFERROR(__xludf.DUMMYFUNCTION("""COMPUTED_VALUE"""),5340456.0)</f>
        <v>5340456</v>
      </c>
    </row>
    <row r="11555">
      <c r="A11555" t="str">
        <f t="shared" si="1"/>
        <v>nzl#2035</v>
      </c>
      <c r="B11555" t="str">
        <f>IFERROR(__xludf.DUMMYFUNCTION("""COMPUTED_VALUE"""),"nzl")</f>
        <v>nzl</v>
      </c>
      <c r="C11555" t="str">
        <f>IFERROR(__xludf.DUMMYFUNCTION("""COMPUTED_VALUE"""),"New Zealand")</f>
        <v>New Zealand</v>
      </c>
      <c r="D11555">
        <f>IFERROR(__xludf.DUMMYFUNCTION("""COMPUTED_VALUE"""),2035.0)</f>
        <v>2035</v>
      </c>
      <c r="E11555">
        <f>IFERROR(__xludf.DUMMYFUNCTION("""COMPUTED_VALUE"""),5369785.0)</f>
        <v>5369785</v>
      </c>
    </row>
    <row r="11556">
      <c r="A11556" t="str">
        <f t="shared" si="1"/>
        <v>nzl#2036</v>
      </c>
      <c r="B11556" t="str">
        <f>IFERROR(__xludf.DUMMYFUNCTION("""COMPUTED_VALUE"""),"nzl")</f>
        <v>nzl</v>
      </c>
      <c r="C11556" t="str">
        <f>IFERROR(__xludf.DUMMYFUNCTION("""COMPUTED_VALUE"""),"New Zealand")</f>
        <v>New Zealand</v>
      </c>
      <c r="D11556">
        <f>IFERROR(__xludf.DUMMYFUNCTION("""COMPUTED_VALUE"""),2036.0)</f>
        <v>2036</v>
      </c>
      <c r="E11556">
        <f>IFERROR(__xludf.DUMMYFUNCTION("""COMPUTED_VALUE"""),5398105.0)</f>
        <v>5398105</v>
      </c>
    </row>
    <row r="11557">
      <c r="A11557" t="str">
        <f t="shared" si="1"/>
        <v>nzl#2037</v>
      </c>
      <c r="B11557" t="str">
        <f>IFERROR(__xludf.DUMMYFUNCTION("""COMPUTED_VALUE"""),"nzl")</f>
        <v>nzl</v>
      </c>
      <c r="C11557" t="str">
        <f>IFERROR(__xludf.DUMMYFUNCTION("""COMPUTED_VALUE"""),"New Zealand")</f>
        <v>New Zealand</v>
      </c>
      <c r="D11557">
        <f>IFERROR(__xludf.DUMMYFUNCTION("""COMPUTED_VALUE"""),2037.0)</f>
        <v>2037</v>
      </c>
      <c r="E11557">
        <f>IFERROR(__xludf.DUMMYFUNCTION("""COMPUTED_VALUE"""),5425446.0)</f>
        <v>5425446</v>
      </c>
    </row>
    <row r="11558">
      <c r="A11558" t="str">
        <f t="shared" si="1"/>
        <v>nzl#2038</v>
      </c>
      <c r="B11558" t="str">
        <f>IFERROR(__xludf.DUMMYFUNCTION("""COMPUTED_VALUE"""),"nzl")</f>
        <v>nzl</v>
      </c>
      <c r="C11558" t="str">
        <f>IFERROR(__xludf.DUMMYFUNCTION("""COMPUTED_VALUE"""),"New Zealand")</f>
        <v>New Zealand</v>
      </c>
      <c r="D11558">
        <f>IFERROR(__xludf.DUMMYFUNCTION("""COMPUTED_VALUE"""),2038.0)</f>
        <v>2038</v>
      </c>
      <c r="E11558">
        <f>IFERROR(__xludf.DUMMYFUNCTION("""COMPUTED_VALUE"""),5451869.0)</f>
        <v>5451869</v>
      </c>
    </row>
    <row r="11559">
      <c r="A11559" t="str">
        <f t="shared" si="1"/>
        <v>nzl#2039</v>
      </c>
      <c r="B11559" t="str">
        <f>IFERROR(__xludf.DUMMYFUNCTION("""COMPUTED_VALUE"""),"nzl")</f>
        <v>nzl</v>
      </c>
      <c r="C11559" t="str">
        <f>IFERROR(__xludf.DUMMYFUNCTION("""COMPUTED_VALUE"""),"New Zealand")</f>
        <v>New Zealand</v>
      </c>
      <c r="D11559">
        <f>IFERROR(__xludf.DUMMYFUNCTION("""COMPUTED_VALUE"""),2039.0)</f>
        <v>2039</v>
      </c>
      <c r="E11559">
        <f>IFERROR(__xludf.DUMMYFUNCTION("""COMPUTED_VALUE"""),5477418.0)</f>
        <v>5477418</v>
      </c>
    </row>
    <row r="11560">
      <c r="A11560" t="str">
        <f t="shared" si="1"/>
        <v>nzl#2040</v>
      </c>
      <c r="B11560" t="str">
        <f>IFERROR(__xludf.DUMMYFUNCTION("""COMPUTED_VALUE"""),"nzl")</f>
        <v>nzl</v>
      </c>
      <c r="C11560" t="str">
        <f>IFERROR(__xludf.DUMMYFUNCTION("""COMPUTED_VALUE"""),"New Zealand")</f>
        <v>New Zealand</v>
      </c>
      <c r="D11560">
        <f>IFERROR(__xludf.DUMMYFUNCTION("""COMPUTED_VALUE"""),2040.0)</f>
        <v>2040</v>
      </c>
      <c r="E11560">
        <f>IFERROR(__xludf.DUMMYFUNCTION("""COMPUTED_VALUE"""),5502172.0)</f>
        <v>5502172</v>
      </c>
    </row>
    <row r="11561">
      <c r="A11561" t="str">
        <f t="shared" si="1"/>
        <v>nic#1950</v>
      </c>
      <c r="B11561" t="str">
        <f>IFERROR(__xludf.DUMMYFUNCTION("""COMPUTED_VALUE"""),"nic")</f>
        <v>nic</v>
      </c>
      <c r="C11561" t="str">
        <f>IFERROR(__xludf.DUMMYFUNCTION("""COMPUTED_VALUE"""),"Nicaragua")</f>
        <v>Nicaragua</v>
      </c>
      <c r="D11561">
        <f>IFERROR(__xludf.DUMMYFUNCTION("""COMPUTED_VALUE"""),1950.0)</f>
        <v>1950</v>
      </c>
      <c r="E11561">
        <f>IFERROR(__xludf.DUMMYFUNCTION("""COMPUTED_VALUE"""),1294992.0)</f>
        <v>1294992</v>
      </c>
    </row>
    <row r="11562">
      <c r="A11562" t="str">
        <f t="shared" si="1"/>
        <v>nic#1951</v>
      </c>
      <c r="B11562" t="str">
        <f>IFERROR(__xludf.DUMMYFUNCTION("""COMPUTED_VALUE"""),"nic")</f>
        <v>nic</v>
      </c>
      <c r="C11562" t="str">
        <f>IFERROR(__xludf.DUMMYFUNCTION("""COMPUTED_VALUE"""),"Nicaragua")</f>
        <v>Nicaragua</v>
      </c>
      <c r="D11562">
        <f>IFERROR(__xludf.DUMMYFUNCTION("""COMPUTED_VALUE"""),1951.0)</f>
        <v>1951</v>
      </c>
      <c r="E11562">
        <f>IFERROR(__xludf.DUMMYFUNCTION("""COMPUTED_VALUE"""),1331745.0)</f>
        <v>1331745</v>
      </c>
    </row>
    <row r="11563">
      <c r="A11563" t="str">
        <f t="shared" si="1"/>
        <v>nic#1952</v>
      </c>
      <c r="B11563" t="str">
        <f>IFERROR(__xludf.DUMMYFUNCTION("""COMPUTED_VALUE"""),"nic")</f>
        <v>nic</v>
      </c>
      <c r="C11563" t="str">
        <f>IFERROR(__xludf.DUMMYFUNCTION("""COMPUTED_VALUE"""),"Nicaragua")</f>
        <v>Nicaragua</v>
      </c>
      <c r="D11563">
        <f>IFERROR(__xludf.DUMMYFUNCTION("""COMPUTED_VALUE"""),1952.0)</f>
        <v>1952</v>
      </c>
      <c r="E11563">
        <f>IFERROR(__xludf.DUMMYFUNCTION("""COMPUTED_VALUE"""),1371518.0)</f>
        <v>1371518</v>
      </c>
    </row>
    <row r="11564">
      <c r="A11564" t="str">
        <f t="shared" si="1"/>
        <v>nic#1953</v>
      </c>
      <c r="B11564" t="str">
        <f>IFERROR(__xludf.DUMMYFUNCTION("""COMPUTED_VALUE"""),"nic")</f>
        <v>nic</v>
      </c>
      <c r="C11564" t="str">
        <f>IFERROR(__xludf.DUMMYFUNCTION("""COMPUTED_VALUE"""),"Nicaragua")</f>
        <v>Nicaragua</v>
      </c>
      <c r="D11564">
        <f>IFERROR(__xludf.DUMMYFUNCTION("""COMPUTED_VALUE"""),1953.0)</f>
        <v>1953</v>
      </c>
      <c r="E11564">
        <f>IFERROR(__xludf.DUMMYFUNCTION("""COMPUTED_VALUE"""),1414276.0)</f>
        <v>1414276</v>
      </c>
    </row>
    <row r="11565">
      <c r="A11565" t="str">
        <f t="shared" si="1"/>
        <v>nic#1954</v>
      </c>
      <c r="B11565" t="str">
        <f>IFERROR(__xludf.DUMMYFUNCTION("""COMPUTED_VALUE"""),"nic")</f>
        <v>nic</v>
      </c>
      <c r="C11565" t="str">
        <f>IFERROR(__xludf.DUMMYFUNCTION("""COMPUTED_VALUE"""),"Nicaragua")</f>
        <v>Nicaragua</v>
      </c>
      <c r="D11565">
        <f>IFERROR(__xludf.DUMMYFUNCTION("""COMPUTED_VALUE"""),1954.0)</f>
        <v>1954</v>
      </c>
      <c r="E11565">
        <f>IFERROR(__xludf.DUMMYFUNCTION("""COMPUTED_VALUE"""),1459854.0)</f>
        <v>1459854</v>
      </c>
    </row>
    <row r="11566">
      <c r="A11566" t="str">
        <f t="shared" si="1"/>
        <v>nic#1955</v>
      </c>
      <c r="B11566" t="str">
        <f>IFERROR(__xludf.DUMMYFUNCTION("""COMPUTED_VALUE"""),"nic")</f>
        <v>nic</v>
      </c>
      <c r="C11566" t="str">
        <f>IFERROR(__xludf.DUMMYFUNCTION("""COMPUTED_VALUE"""),"Nicaragua")</f>
        <v>Nicaragua</v>
      </c>
      <c r="D11566">
        <f>IFERROR(__xludf.DUMMYFUNCTION("""COMPUTED_VALUE"""),1955.0)</f>
        <v>1955</v>
      </c>
      <c r="E11566">
        <f>IFERROR(__xludf.DUMMYFUNCTION("""COMPUTED_VALUE"""),1508025.0)</f>
        <v>1508025</v>
      </c>
    </row>
    <row r="11567">
      <c r="A11567" t="str">
        <f t="shared" si="1"/>
        <v>nic#1956</v>
      </c>
      <c r="B11567" t="str">
        <f>IFERROR(__xludf.DUMMYFUNCTION("""COMPUTED_VALUE"""),"nic")</f>
        <v>nic</v>
      </c>
      <c r="C11567" t="str">
        <f>IFERROR(__xludf.DUMMYFUNCTION("""COMPUTED_VALUE"""),"Nicaragua")</f>
        <v>Nicaragua</v>
      </c>
      <c r="D11567">
        <f>IFERROR(__xludf.DUMMYFUNCTION("""COMPUTED_VALUE"""),1956.0)</f>
        <v>1956</v>
      </c>
      <c r="E11567">
        <f>IFERROR(__xludf.DUMMYFUNCTION("""COMPUTED_VALUE"""),1558474.0)</f>
        <v>1558474</v>
      </c>
    </row>
    <row r="11568">
      <c r="A11568" t="str">
        <f t="shared" si="1"/>
        <v>nic#1957</v>
      </c>
      <c r="B11568" t="str">
        <f>IFERROR(__xludf.DUMMYFUNCTION("""COMPUTED_VALUE"""),"nic")</f>
        <v>nic</v>
      </c>
      <c r="C11568" t="str">
        <f>IFERROR(__xludf.DUMMYFUNCTION("""COMPUTED_VALUE"""),"Nicaragua")</f>
        <v>Nicaragua</v>
      </c>
      <c r="D11568">
        <f>IFERROR(__xludf.DUMMYFUNCTION("""COMPUTED_VALUE"""),1957.0)</f>
        <v>1957</v>
      </c>
      <c r="E11568">
        <f>IFERROR(__xludf.DUMMYFUNCTION("""COMPUTED_VALUE"""),1610818.0)</f>
        <v>1610818</v>
      </c>
    </row>
    <row r="11569">
      <c r="A11569" t="str">
        <f t="shared" si="1"/>
        <v>nic#1958</v>
      </c>
      <c r="B11569" t="str">
        <f>IFERROR(__xludf.DUMMYFUNCTION("""COMPUTED_VALUE"""),"nic")</f>
        <v>nic</v>
      </c>
      <c r="C11569" t="str">
        <f>IFERROR(__xludf.DUMMYFUNCTION("""COMPUTED_VALUE"""),"Nicaragua")</f>
        <v>Nicaragua</v>
      </c>
      <c r="D11569">
        <f>IFERROR(__xludf.DUMMYFUNCTION("""COMPUTED_VALUE"""),1958.0)</f>
        <v>1958</v>
      </c>
      <c r="E11569">
        <f>IFERROR(__xludf.DUMMYFUNCTION("""COMPUTED_VALUE"""),1664605.0)</f>
        <v>1664605</v>
      </c>
    </row>
    <row r="11570">
      <c r="A11570" t="str">
        <f t="shared" si="1"/>
        <v>nic#1959</v>
      </c>
      <c r="B11570" t="str">
        <f>IFERROR(__xludf.DUMMYFUNCTION("""COMPUTED_VALUE"""),"nic")</f>
        <v>nic</v>
      </c>
      <c r="C11570" t="str">
        <f>IFERROR(__xludf.DUMMYFUNCTION("""COMPUTED_VALUE"""),"Nicaragua")</f>
        <v>Nicaragua</v>
      </c>
      <c r="D11570">
        <f>IFERROR(__xludf.DUMMYFUNCTION("""COMPUTED_VALUE"""),1959.0)</f>
        <v>1959</v>
      </c>
      <c r="E11570">
        <f>IFERROR(__xludf.DUMMYFUNCTION("""COMPUTED_VALUE"""),1719365.0)</f>
        <v>1719365</v>
      </c>
    </row>
    <row r="11571">
      <c r="A11571" t="str">
        <f t="shared" si="1"/>
        <v>nic#1960</v>
      </c>
      <c r="B11571" t="str">
        <f>IFERROR(__xludf.DUMMYFUNCTION("""COMPUTED_VALUE"""),"nic")</f>
        <v>nic</v>
      </c>
      <c r="C11571" t="str">
        <f>IFERROR(__xludf.DUMMYFUNCTION("""COMPUTED_VALUE"""),"Nicaragua")</f>
        <v>Nicaragua</v>
      </c>
      <c r="D11571">
        <f>IFERROR(__xludf.DUMMYFUNCTION("""COMPUTED_VALUE"""),1960.0)</f>
        <v>1960</v>
      </c>
      <c r="E11571">
        <f>IFERROR(__xludf.DUMMYFUNCTION("""COMPUTED_VALUE"""),1774699.0)</f>
        <v>1774699</v>
      </c>
    </row>
    <row r="11572">
      <c r="A11572" t="str">
        <f t="shared" si="1"/>
        <v>nic#1961</v>
      </c>
      <c r="B11572" t="str">
        <f>IFERROR(__xludf.DUMMYFUNCTION("""COMPUTED_VALUE"""),"nic")</f>
        <v>nic</v>
      </c>
      <c r="C11572" t="str">
        <f>IFERROR(__xludf.DUMMYFUNCTION("""COMPUTED_VALUE"""),"Nicaragua")</f>
        <v>Nicaragua</v>
      </c>
      <c r="D11572">
        <f>IFERROR(__xludf.DUMMYFUNCTION("""COMPUTED_VALUE"""),1961.0)</f>
        <v>1961</v>
      </c>
      <c r="E11572">
        <f>IFERROR(__xludf.DUMMYFUNCTION("""COMPUTED_VALUE"""),1830400.0)</f>
        <v>1830400</v>
      </c>
    </row>
    <row r="11573">
      <c r="A11573" t="str">
        <f t="shared" si="1"/>
        <v>nic#1962</v>
      </c>
      <c r="B11573" t="str">
        <f>IFERROR(__xludf.DUMMYFUNCTION("""COMPUTED_VALUE"""),"nic")</f>
        <v>nic</v>
      </c>
      <c r="C11573" t="str">
        <f>IFERROR(__xludf.DUMMYFUNCTION("""COMPUTED_VALUE"""),"Nicaragua")</f>
        <v>Nicaragua</v>
      </c>
      <c r="D11573">
        <f>IFERROR(__xludf.DUMMYFUNCTION("""COMPUTED_VALUE"""),1962.0)</f>
        <v>1962</v>
      </c>
      <c r="E11573">
        <f>IFERROR(__xludf.DUMMYFUNCTION("""COMPUTED_VALUE"""),1886562.0)</f>
        <v>1886562</v>
      </c>
    </row>
    <row r="11574">
      <c r="A11574" t="str">
        <f t="shared" si="1"/>
        <v>nic#1963</v>
      </c>
      <c r="B11574" t="str">
        <f>IFERROR(__xludf.DUMMYFUNCTION("""COMPUTED_VALUE"""),"nic")</f>
        <v>nic</v>
      </c>
      <c r="C11574" t="str">
        <f>IFERROR(__xludf.DUMMYFUNCTION("""COMPUTED_VALUE"""),"Nicaragua")</f>
        <v>Nicaragua</v>
      </c>
      <c r="D11574">
        <f>IFERROR(__xludf.DUMMYFUNCTION("""COMPUTED_VALUE"""),1963.0)</f>
        <v>1963</v>
      </c>
      <c r="E11574">
        <f>IFERROR(__xludf.DUMMYFUNCTION("""COMPUTED_VALUE"""),1943590.0)</f>
        <v>1943590</v>
      </c>
    </row>
    <row r="11575">
      <c r="A11575" t="str">
        <f t="shared" si="1"/>
        <v>nic#1964</v>
      </c>
      <c r="B11575" t="str">
        <f>IFERROR(__xludf.DUMMYFUNCTION("""COMPUTED_VALUE"""),"nic")</f>
        <v>nic</v>
      </c>
      <c r="C11575" t="str">
        <f>IFERROR(__xludf.DUMMYFUNCTION("""COMPUTED_VALUE"""),"Nicaragua")</f>
        <v>Nicaragua</v>
      </c>
      <c r="D11575">
        <f>IFERROR(__xludf.DUMMYFUNCTION("""COMPUTED_VALUE"""),1964.0)</f>
        <v>1964</v>
      </c>
      <c r="E11575">
        <f>IFERROR(__xludf.DUMMYFUNCTION("""COMPUTED_VALUE"""),2002119.0)</f>
        <v>2002119</v>
      </c>
    </row>
    <row r="11576">
      <c r="A11576" t="str">
        <f t="shared" si="1"/>
        <v>nic#1965</v>
      </c>
      <c r="B11576" t="str">
        <f>IFERROR(__xludf.DUMMYFUNCTION("""COMPUTED_VALUE"""),"nic")</f>
        <v>nic</v>
      </c>
      <c r="C11576" t="str">
        <f>IFERROR(__xludf.DUMMYFUNCTION("""COMPUTED_VALUE"""),"Nicaragua")</f>
        <v>Nicaragua</v>
      </c>
      <c r="D11576">
        <f>IFERROR(__xludf.DUMMYFUNCTION("""COMPUTED_VALUE"""),1965.0)</f>
        <v>1965</v>
      </c>
      <c r="E11576">
        <f>IFERROR(__xludf.DUMMYFUNCTION("""COMPUTED_VALUE"""),2062630.0)</f>
        <v>2062630</v>
      </c>
    </row>
    <row r="11577">
      <c r="A11577" t="str">
        <f t="shared" si="1"/>
        <v>nic#1966</v>
      </c>
      <c r="B11577" t="str">
        <f>IFERROR(__xludf.DUMMYFUNCTION("""COMPUTED_VALUE"""),"nic")</f>
        <v>nic</v>
      </c>
      <c r="C11577" t="str">
        <f>IFERROR(__xludf.DUMMYFUNCTION("""COMPUTED_VALUE"""),"Nicaragua")</f>
        <v>Nicaragua</v>
      </c>
      <c r="D11577">
        <f>IFERROR(__xludf.DUMMYFUNCTION("""COMPUTED_VALUE"""),1966.0)</f>
        <v>1966</v>
      </c>
      <c r="E11577">
        <f>IFERROR(__xludf.DUMMYFUNCTION("""COMPUTED_VALUE"""),2125240.0)</f>
        <v>2125240</v>
      </c>
    </row>
    <row r="11578">
      <c r="A11578" t="str">
        <f t="shared" si="1"/>
        <v>nic#1967</v>
      </c>
      <c r="B11578" t="str">
        <f>IFERROR(__xludf.DUMMYFUNCTION("""COMPUTED_VALUE"""),"nic")</f>
        <v>nic</v>
      </c>
      <c r="C11578" t="str">
        <f>IFERROR(__xludf.DUMMYFUNCTION("""COMPUTED_VALUE"""),"Nicaragua")</f>
        <v>Nicaragua</v>
      </c>
      <c r="D11578">
        <f>IFERROR(__xludf.DUMMYFUNCTION("""COMPUTED_VALUE"""),1967.0)</f>
        <v>1967</v>
      </c>
      <c r="E11578">
        <f>IFERROR(__xludf.DUMMYFUNCTION("""COMPUTED_VALUE"""),2189882.0)</f>
        <v>2189882</v>
      </c>
    </row>
    <row r="11579">
      <c r="A11579" t="str">
        <f t="shared" si="1"/>
        <v>nic#1968</v>
      </c>
      <c r="B11579" t="str">
        <f>IFERROR(__xludf.DUMMYFUNCTION("""COMPUTED_VALUE"""),"nic")</f>
        <v>nic</v>
      </c>
      <c r="C11579" t="str">
        <f>IFERROR(__xludf.DUMMYFUNCTION("""COMPUTED_VALUE"""),"Nicaragua")</f>
        <v>Nicaragua</v>
      </c>
      <c r="D11579">
        <f>IFERROR(__xludf.DUMMYFUNCTION("""COMPUTED_VALUE"""),1968.0)</f>
        <v>1968</v>
      </c>
      <c r="E11579">
        <f>IFERROR(__xludf.DUMMYFUNCTION("""COMPUTED_VALUE"""),2256782.0)</f>
        <v>2256782</v>
      </c>
    </row>
    <row r="11580">
      <c r="A11580" t="str">
        <f t="shared" si="1"/>
        <v>nic#1969</v>
      </c>
      <c r="B11580" t="str">
        <f>IFERROR(__xludf.DUMMYFUNCTION("""COMPUTED_VALUE"""),"nic")</f>
        <v>nic</v>
      </c>
      <c r="C11580" t="str">
        <f>IFERROR(__xludf.DUMMYFUNCTION("""COMPUTED_VALUE"""),"Nicaragua")</f>
        <v>Nicaragua</v>
      </c>
      <c r="D11580">
        <f>IFERROR(__xludf.DUMMYFUNCTION("""COMPUTED_VALUE"""),1969.0)</f>
        <v>1969</v>
      </c>
      <c r="E11580">
        <f>IFERROR(__xludf.DUMMYFUNCTION("""COMPUTED_VALUE"""),2326139.0)</f>
        <v>2326139</v>
      </c>
    </row>
    <row r="11581">
      <c r="A11581" t="str">
        <f t="shared" si="1"/>
        <v>nic#1970</v>
      </c>
      <c r="B11581" t="str">
        <f>IFERROR(__xludf.DUMMYFUNCTION("""COMPUTED_VALUE"""),"nic")</f>
        <v>nic</v>
      </c>
      <c r="C11581" t="str">
        <f>IFERROR(__xludf.DUMMYFUNCTION("""COMPUTED_VALUE"""),"Nicaragua")</f>
        <v>Nicaragua</v>
      </c>
      <c r="D11581">
        <f>IFERROR(__xludf.DUMMYFUNCTION("""COMPUTED_VALUE"""),1970.0)</f>
        <v>1970</v>
      </c>
      <c r="E11581">
        <f>IFERROR(__xludf.DUMMYFUNCTION("""COMPUTED_VALUE"""),2398096.0)</f>
        <v>2398096</v>
      </c>
    </row>
    <row r="11582">
      <c r="A11582" t="str">
        <f t="shared" si="1"/>
        <v>nic#1971</v>
      </c>
      <c r="B11582" t="str">
        <f>IFERROR(__xludf.DUMMYFUNCTION("""COMPUTED_VALUE"""),"nic")</f>
        <v>nic</v>
      </c>
      <c r="C11582" t="str">
        <f>IFERROR(__xludf.DUMMYFUNCTION("""COMPUTED_VALUE"""),"Nicaragua")</f>
        <v>Nicaragua</v>
      </c>
      <c r="D11582">
        <f>IFERROR(__xludf.DUMMYFUNCTION("""COMPUTED_VALUE"""),1971.0)</f>
        <v>1971</v>
      </c>
      <c r="E11582">
        <f>IFERROR(__xludf.DUMMYFUNCTION("""COMPUTED_VALUE"""),2472656.0)</f>
        <v>2472656</v>
      </c>
    </row>
    <row r="11583">
      <c r="A11583" t="str">
        <f t="shared" si="1"/>
        <v>nic#1972</v>
      </c>
      <c r="B11583" t="str">
        <f>IFERROR(__xludf.DUMMYFUNCTION("""COMPUTED_VALUE"""),"nic")</f>
        <v>nic</v>
      </c>
      <c r="C11583" t="str">
        <f>IFERROR(__xludf.DUMMYFUNCTION("""COMPUTED_VALUE"""),"Nicaragua")</f>
        <v>Nicaragua</v>
      </c>
      <c r="D11583">
        <f>IFERROR(__xludf.DUMMYFUNCTION("""COMPUTED_VALUE"""),1972.0)</f>
        <v>1972</v>
      </c>
      <c r="E11583">
        <f>IFERROR(__xludf.DUMMYFUNCTION("""COMPUTED_VALUE"""),2549774.0)</f>
        <v>2549774</v>
      </c>
    </row>
    <row r="11584">
      <c r="A11584" t="str">
        <f t="shared" si="1"/>
        <v>nic#1973</v>
      </c>
      <c r="B11584" t="str">
        <f>IFERROR(__xludf.DUMMYFUNCTION("""COMPUTED_VALUE"""),"nic")</f>
        <v>nic</v>
      </c>
      <c r="C11584" t="str">
        <f>IFERROR(__xludf.DUMMYFUNCTION("""COMPUTED_VALUE"""),"Nicaragua")</f>
        <v>Nicaragua</v>
      </c>
      <c r="D11584">
        <f>IFERROR(__xludf.DUMMYFUNCTION("""COMPUTED_VALUE"""),1973.0)</f>
        <v>1973</v>
      </c>
      <c r="E11584">
        <f>IFERROR(__xludf.DUMMYFUNCTION("""COMPUTED_VALUE"""),2629505.0)</f>
        <v>2629505</v>
      </c>
    </row>
    <row r="11585">
      <c r="A11585" t="str">
        <f t="shared" si="1"/>
        <v>nic#1974</v>
      </c>
      <c r="B11585" t="str">
        <f>IFERROR(__xludf.DUMMYFUNCTION("""COMPUTED_VALUE"""),"nic")</f>
        <v>nic</v>
      </c>
      <c r="C11585" t="str">
        <f>IFERROR(__xludf.DUMMYFUNCTION("""COMPUTED_VALUE"""),"Nicaragua")</f>
        <v>Nicaragua</v>
      </c>
      <c r="D11585">
        <f>IFERROR(__xludf.DUMMYFUNCTION("""COMPUTED_VALUE"""),1974.0)</f>
        <v>1974</v>
      </c>
      <c r="E11585">
        <f>IFERROR(__xludf.DUMMYFUNCTION("""COMPUTED_VALUE"""),2711848.0)</f>
        <v>2711848</v>
      </c>
    </row>
    <row r="11586">
      <c r="A11586" t="str">
        <f t="shared" si="1"/>
        <v>nic#1975</v>
      </c>
      <c r="B11586" t="str">
        <f>IFERROR(__xludf.DUMMYFUNCTION("""COMPUTED_VALUE"""),"nic")</f>
        <v>nic</v>
      </c>
      <c r="C11586" t="str">
        <f>IFERROR(__xludf.DUMMYFUNCTION("""COMPUTED_VALUE"""),"Nicaragua")</f>
        <v>Nicaragua</v>
      </c>
      <c r="D11586">
        <f>IFERROR(__xludf.DUMMYFUNCTION("""COMPUTED_VALUE"""),1975.0)</f>
        <v>1975</v>
      </c>
      <c r="E11586">
        <f>IFERROR(__xludf.DUMMYFUNCTION("""COMPUTED_VALUE"""),2796746.0)</f>
        <v>2796746</v>
      </c>
    </row>
    <row r="11587">
      <c r="A11587" t="str">
        <f t="shared" si="1"/>
        <v>nic#1976</v>
      </c>
      <c r="B11587" t="str">
        <f>IFERROR(__xludf.DUMMYFUNCTION("""COMPUTED_VALUE"""),"nic")</f>
        <v>nic</v>
      </c>
      <c r="C11587" t="str">
        <f>IFERROR(__xludf.DUMMYFUNCTION("""COMPUTED_VALUE"""),"Nicaragua")</f>
        <v>Nicaragua</v>
      </c>
      <c r="D11587">
        <f>IFERROR(__xludf.DUMMYFUNCTION("""COMPUTED_VALUE"""),1976.0)</f>
        <v>1976</v>
      </c>
      <c r="E11587">
        <f>IFERROR(__xludf.DUMMYFUNCTION("""COMPUTED_VALUE"""),2884155.0)</f>
        <v>2884155</v>
      </c>
    </row>
    <row r="11588">
      <c r="A11588" t="str">
        <f t="shared" si="1"/>
        <v>nic#1977</v>
      </c>
      <c r="B11588" t="str">
        <f>IFERROR(__xludf.DUMMYFUNCTION("""COMPUTED_VALUE"""),"nic")</f>
        <v>nic</v>
      </c>
      <c r="C11588" t="str">
        <f>IFERROR(__xludf.DUMMYFUNCTION("""COMPUTED_VALUE"""),"Nicaragua")</f>
        <v>Nicaragua</v>
      </c>
      <c r="D11588">
        <f>IFERROR(__xludf.DUMMYFUNCTION("""COMPUTED_VALUE"""),1977.0)</f>
        <v>1977</v>
      </c>
      <c r="E11588">
        <f>IFERROR(__xludf.DUMMYFUNCTION("""COMPUTED_VALUE"""),2973806.0)</f>
        <v>2973806</v>
      </c>
    </row>
    <row r="11589">
      <c r="A11589" t="str">
        <f t="shared" si="1"/>
        <v>nic#1978</v>
      </c>
      <c r="B11589" t="str">
        <f>IFERROR(__xludf.DUMMYFUNCTION("""COMPUTED_VALUE"""),"nic")</f>
        <v>nic</v>
      </c>
      <c r="C11589" t="str">
        <f>IFERROR(__xludf.DUMMYFUNCTION("""COMPUTED_VALUE"""),"Nicaragua")</f>
        <v>Nicaragua</v>
      </c>
      <c r="D11589">
        <f>IFERROR(__xludf.DUMMYFUNCTION("""COMPUTED_VALUE"""),1978.0)</f>
        <v>1978</v>
      </c>
      <c r="E11589">
        <f>IFERROR(__xludf.DUMMYFUNCTION("""COMPUTED_VALUE"""),3065117.0)</f>
        <v>3065117</v>
      </c>
    </row>
    <row r="11590">
      <c r="A11590" t="str">
        <f t="shared" si="1"/>
        <v>nic#1979</v>
      </c>
      <c r="B11590" t="str">
        <f>IFERROR(__xludf.DUMMYFUNCTION("""COMPUTED_VALUE"""),"nic")</f>
        <v>nic</v>
      </c>
      <c r="C11590" t="str">
        <f>IFERROR(__xludf.DUMMYFUNCTION("""COMPUTED_VALUE"""),"Nicaragua")</f>
        <v>Nicaragua</v>
      </c>
      <c r="D11590">
        <f>IFERROR(__xludf.DUMMYFUNCTION("""COMPUTED_VALUE"""),1979.0)</f>
        <v>1979</v>
      </c>
      <c r="E11590">
        <f>IFERROR(__xludf.DUMMYFUNCTION("""COMPUTED_VALUE"""),3157355.0)</f>
        <v>3157355</v>
      </c>
    </row>
    <row r="11591">
      <c r="A11591" t="str">
        <f t="shared" si="1"/>
        <v>nic#1980</v>
      </c>
      <c r="B11591" t="str">
        <f>IFERROR(__xludf.DUMMYFUNCTION("""COMPUTED_VALUE"""),"nic")</f>
        <v>nic</v>
      </c>
      <c r="C11591" t="str">
        <f>IFERROR(__xludf.DUMMYFUNCTION("""COMPUTED_VALUE"""),"Nicaragua")</f>
        <v>Nicaragua</v>
      </c>
      <c r="D11591">
        <f>IFERROR(__xludf.DUMMYFUNCTION("""COMPUTED_VALUE"""),1980.0)</f>
        <v>1980</v>
      </c>
      <c r="E11591">
        <f>IFERROR(__xludf.DUMMYFUNCTION("""COMPUTED_VALUE"""),3249910.0)</f>
        <v>3249910</v>
      </c>
    </row>
    <row r="11592">
      <c r="A11592" t="str">
        <f t="shared" si="1"/>
        <v>nic#1981</v>
      </c>
      <c r="B11592" t="str">
        <f>IFERROR(__xludf.DUMMYFUNCTION("""COMPUTED_VALUE"""),"nic")</f>
        <v>nic</v>
      </c>
      <c r="C11592" t="str">
        <f>IFERROR(__xludf.DUMMYFUNCTION("""COMPUTED_VALUE"""),"Nicaragua")</f>
        <v>Nicaragua</v>
      </c>
      <c r="D11592">
        <f>IFERROR(__xludf.DUMMYFUNCTION("""COMPUTED_VALUE"""),1981.0)</f>
        <v>1981</v>
      </c>
      <c r="E11592">
        <f>IFERROR(__xludf.DUMMYFUNCTION("""COMPUTED_VALUE"""),3342669.0)</f>
        <v>3342669</v>
      </c>
    </row>
    <row r="11593">
      <c r="A11593" t="str">
        <f t="shared" si="1"/>
        <v>nic#1982</v>
      </c>
      <c r="B11593" t="str">
        <f>IFERROR(__xludf.DUMMYFUNCTION("""COMPUTED_VALUE"""),"nic")</f>
        <v>nic</v>
      </c>
      <c r="C11593" t="str">
        <f>IFERROR(__xludf.DUMMYFUNCTION("""COMPUTED_VALUE"""),"Nicaragua")</f>
        <v>Nicaragua</v>
      </c>
      <c r="D11593">
        <f>IFERROR(__xludf.DUMMYFUNCTION("""COMPUTED_VALUE"""),1982.0)</f>
        <v>1982</v>
      </c>
      <c r="E11593">
        <f>IFERROR(__xludf.DUMMYFUNCTION("""COMPUTED_VALUE"""),3435525.0)</f>
        <v>3435525</v>
      </c>
    </row>
    <row r="11594">
      <c r="A11594" t="str">
        <f t="shared" si="1"/>
        <v>nic#1983</v>
      </c>
      <c r="B11594" t="str">
        <f>IFERROR(__xludf.DUMMYFUNCTION("""COMPUTED_VALUE"""),"nic")</f>
        <v>nic</v>
      </c>
      <c r="C11594" t="str">
        <f>IFERROR(__xludf.DUMMYFUNCTION("""COMPUTED_VALUE"""),"Nicaragua")</f>
        <v>Nicaragua</v>
      </c>
      <c r="D11594">
        <f>IFERROR(__xludf.DUMMYFUNCTION("""COMPUTED_VALUE"""),1983.0)</f>
        <v>1983</v>
      </c>
      <c r="E11594">
        <f>IFERROR(__xludf.DUMMYFUNCTION("""COMPUTED_VALUE"""),3527939.0)</f>
        <v>3527939</v>
      </c>
    </row>
    <row r="11595">
      <c r="A11595" t="str">
        <f t="shared" si="1"/>
        <v>nic#1984</v>
      </c>
      <c r="B11595" t="str">
        <f>IFERROR(__xludf.DUMMYFUNCTION("""COMPUTED_VALUE"""),"nic")</f>
        <v>nic</v>
      </c>
      <c r="C11595" t="str">
        <f>IFERROR(__xludf.DUMMYFUNCTION("""COMPUTED_VALUE"""),"Nicaragua")</f>
        <v>Nicaragua</v>
      </c>
      <c r="D11595">
        <f>IFERROR(__xludf.DUMMYFUNCTION("""COMPUTED_VALUE"""),1984.0)</f>
        <v>1984</v>
      </c>
      <c r="E11595">
        <f>IFERROR(__xludf.DUMMYFUNCTION("""COMPUTED_VALUE"""),3619253.0)</f>
        <v>3619253</v>
      </c>
    </row>
    <row r="11596">
      <c r="A11596" t="str">
        <f t="shared" si="1"/>
        <v>nic#1985</v>
      </c>
      <c r="B11596" t="str">
        <f>IFERROR(__xludf.DUMMYFUNCTION("""COMPUTED_VALUE"""),"nic")</f>
        <v>nic</v>
      </c>
      <c r="C11596" t="str">
        <f>IFERROR(__xludf.DUMMYFUNCTION("""COMPUTED_VALUE"""),"Nicaragua")</f>
        <v>Nicaragua</v>
      </c>
      <c r="D11596">
        <f>IFERROR(__xludf.DUMMYFUNCTION("""COMPUTED_VALUE"""),1985.0)</f>
        <v>1985</v>
      </c>
      <c r="E11596">
        <f>IFERROR(__xludf.DUMMYFUNCTION("""COMPUTED_VALUE"""),3709091.0)</f>
        <v>3709091</v>
      </c>
    </row>
    <row r="11597">
      <c r="A11597" t="str">
        <f t="shared" si="1"/>
        <v>nic#1986</v>
      </c>
      <c r="B11597" t="str">
        <f>IFERROR(__xludf.DUMMYFUNCTION("""COMPUTED_VALUE"""),"nic")</f>
        <v>nic</v>
      </c>
      <c r="C11597" t="str">
        <f>IFERROR(__xludf.DUMMYFUNCTION("""COMPUTED_VALUE"""),"Nicaragua")</f>
        <v>Nicaragua</v>
      </c>
      <c r="D11597">
        <f>IFERROR(__xludf.DUMMYFUNCTION("""COMPUTED_VALUE"""),1986.0)</f>
        <v>1986</v>
      </c>
      <c r="E11597">
        <f>IFERROR(__xludf.DUMMYFUNCTION("""COMPUTED_VALUE"""),3796917.0)</f>
        <v>3796917</v>
      </c>
    </row>
    <row r="11598">
      <c r="A11598" t="str">
        <f t="shared" si="1"/>
        <v>nic#1987</v>
      </c>
      <c r="B11598" t="str">
        <f>IFERROR(__xludf.DUMMYFUNCTION("""COMPUTED_VALUE"""),"nic")</f>
        <v>nic</v>
      </c>
      <c r="C11598" t="str">
        <f>IFERROR(__xludf.DUMMYFUNCTION("""COMPUTED_VALUE"""),"Nicaragua")</f>
        <v>Nicaragua</v>
      </c>
      <c r="D11598">
        <f>IFERROR(__xludf.DUMMYFUNCTION("""COMPUTED_VALUE"""),1987.0)</f>
        <v>1987</v>
      </c>
      <c r="E11598">
        <f>IFERROR(__xludf.DUMMYFUNCTION("""COMPUTED_VALUE"""),3882943.0)</f>
        <v>3882943</v>
      </c>
    </row>
    <row r="11599">
      <c r="A11599" t="str">
        <f t="shared" si="1"/>
        <v>nic#1988</v>
      </c>
      <c r="B11599" t="str">
        <f>IFERROR(__xludf.DUMMYFUNCTION("""COMPUTED_VALUE"""),"nic")</f>
        <v>nic</v>
      </c>
      <c r="C11599" t="str">
        <f>IFERROR(__xludf.DUMMYFUNCTION("""COMPUTED_VALUE"""),"Nicaragua")</f>
        <v>Nicaragua</v>
      </c>
      <c r="D11599">
        <f>IFERROR(__xludf.DUMMYFUNCTION("""COMPUTED_VALUE"""),1988.0)</f>
        <v>1988</v>
      </c>
      <c r="E11599">
        <f>IFERROR(__xludf.DUMMYFUNCTION("""COMPUTED_VALUE"""),3968454.0)</f>
        <v>3968454</v>
      </c>
    </row>
    <row r="11600">
      <c r="A11600" t="str">
        <f t="shared" si="1"/>
        <v>nic#1989</v>
      </c>
      <c r="B11600" t="str">
        <f>IFERROR(__xludf.DUMMYFUNCTION("""COMPUTED_VALUE"""),"nic")</f>
        <v>nic</v>
      </c>
      <c r="C11600" t="str">
        <f>IFERROR(__xludf.DUMMYFUNCTION("""COMPUTED_VALUE"""),"Nicaragua")</f>
        <v>Nicaragua</v>
      </c>
      <c r="D11600">
        <f>IFERROR(__xludf.DUMMYFUNCTION("""COMPUTED_VALUE"""),1989.0)</f>
        <v>1989</v>
      </c>
      <c r="E11600">
        <f>IFERROR(__xludf.DUMMYFUNCTION("""COMPUTED_VALUE"""),4055265.0)</f>
        <v>4055265</v>
      </c>
    </row>
    <row r="11601">
      <c r="A11601" t="str">
        <f t="shared" si="1"/>
        <v>nic#1990</v>
      </c>
      <c r="B11601" t="str">
        <f>IFERROR(__xludf.DUMMYFUNCTION("""COMPUTED_VALUE"""),"nic")</f>
        <v>nic</v>
      </c>
      <c r="C11601" t="str">
        <f>IFERROR(__xludf.DUMMYFUNCTION("""COMPUTED_VALUE"""),"Nicaragua")</f>
        <v>Nicaragua</v>
      </c>
      <c r="D11601">
        <f>IFERROR(__xludf.DUMMYFUNCTION("""COMPUTED_VALUE"""),1990.0)</f>
        <v>1990</v>
      </c>
      <c r="E11601">
        <f>IFERROR(__xludf.DUMMYFUNCTION("""COMPUTED_VALUE"""),4144565.0)</f>
        <v>4144565</v>
      </c>
    </row>
    <row r="11602">
      <c r="A11602" t="str">
        <f t="shared" si="1"/>
        <v>nic#1991</v>
      </c>
      <c r="B11602" t="str">
        <f>IFERROR(__xludf.DUMMYFUNCTION("""COMPUTED_VALUE"""),"nic")</f>
        <v>nic</v>
      </c>
      <c r="C11602" t="str">
        <f>IFERROR(__xludf.DUMMYFUNCTION("""COMPUTED_VALUE"""),"Nicaragua")</f>
        <v>Nicaragua</v>
      </c>
      <c r="D11602">
        <f>IFERROR(__xludf.DUMMYFUNCTION("""COMPUTED_VALUE"""),1991.0)</f>
        <v>1991</v>
      </c>
      <c r="E11602">
        <f>IFERROR(__xludf.DUMMYFUNCTION("""COMPUTED_VALUE"""),4236801.0)</f>
        <v>4236801</v>
      </c>
    </row>
    <row r="11603">
      <c r="A11603" t="str">
        <f t="shared" si="1"/>
        <v>nic#1992</v>
      </c>
      <c r="B11603" t="str">
        <f>IFERROR(__xludf.DUMMYFUNCTION("""COMPUTED_VALUE"""),"nic")</f>
        <v>nic</v>
      </c>
      <c r="C11603" t="str">
        <f>IFERROR(__xludf.DUMMYFUNCTION("""COMPUTED_VALUE"""),"Nicaragua")</f>
        <v>Nicaragua</v>
      </c>
      <c r="D11603">
        <f>IFERROR(__xludf.DUMMYFUNCTION("""COMPUTED_VALUE"""),1992.0)</f>
        <v>1992</v>
      </c>
      <c r="E11603">
        <f>IFERROR(__xludf.DUMMYFUNCTION("""COMPUTED_VALUE"""),4331277.0)</f>
        <v>4331277</v>
      </c>
    </row>
    <row r="11604">
      <c r="A11604" t="str">
        <f t="shared" si="1"/>
        <v>nic#1993</v>
      </c>
      <c r="B11604" t="str">
        <f>IFERROR(__xludf.DUMMYFUNCTION("""COMPUTED_VALUE"""),"nic")</f>
        <v>nic</v>
      </c>
      <c r="C11604" t="str">
        <f>IFERROR(__xludf.DUMMYFUNCTION("""COMPUTED_VALUE"""),"Nicaragua")</f>
        <v>Nicaragua</v>
      </c>
      <c r="D11604">
        <f>IFERROR(__xludf.DUMMYFUNCTION("""COMPUTED_VALUE"""),1993.0)</f>
        <v>1993</v>
      </c>
      <c r="E11604">
        <f>IFERROR(__xludf.DUMMYFUNCTION("""COMPUTED_VALUE"""),4426580.0)</f>
        <v>4426580</v>
      </c>
    </row>
    <row r="11605">
      <c r="A11605" t="str">
        <f t="shared" si="1"/>
        <v>nic#1994</v>
      </c>
      <c r="B11605" t="str">
        <f>IFERROR(__xludf.DUMMYFUNCTION("""COMPUTED_VALUE"""),"nic")</f>
        <v>nic</v>
      </c>
      <c r="C11605" t="str">
        <f>IFERROR(__xludf.DUMMYFUNCTION("""COMPUTED_VALUE"""),"Nicaragua")</f>
        <v>Nicaragua</v>
      </c>
      <c r="D11605">
        <f>IFERROR(__xludf.DUMMYFUNCTION("""COMPUTED_VALUE"""),1994.0)</f>
        <v>1994</v>
      </c>
      <c r="E11605">
        <f>IFERROR(__xludf.DUMMYFUNCTION("""COMPUTED_VALUE"""),4520725.0)</f>
        <v>4520725</v>
      </c>
    </row>
    <row r="11606">
      <c r="A11606" t="str">
        <f t="shared" si="1"/>
        <v>nic#1995</v>
      </c>
      <c r="B11606" t="str">
        <f>IFERROR(__xludf.DUMMYFUNCTION("""COMPUTED_VALUE"""),"nic")</f>
        <v>nic</v>
      </c>
      <c r="C11606" t="str">
        <f>IFERROR(__xludf.DUMMYFUNCTION("""COMPUTED_VALUE"""),"Nicaragua")</f>
        <v>Nicaragua</v>
      </c>
      <c r="D11606">
        <f>IFERROR(__xludf.DUMMYFUNCTION("""COMPUTED_VALUE"""),1995.0)</f>
        <v>1995</v>
      </c>
      <c r="E11606">
        <f>IFERROR(__xludf.DUMMYFUNCTION("""COMPUTED_VALUE"""),4612228.0)</f>
        <v>4612228</v>
      </c>
    </row>
    <row r="11607">
      <c r="A11607" t="str">
        <f t="shared" si="1"/>
        <v>nic#1996</v>
      </c>
      <c r="B11607" t="str">
        <f>IFERROR(__xludf.DUMMYFUNCTION("""COMPUTED_VALUE"""),"nic")</f>
        <v>nic</v>
      </c>
      <c r="C11607" t="str">
        <f>IFERROR(__xludf.DUMMYFUNCTION("""COMPUTED_VALUE"""),"Nicaragua")</f>
        <v>Nicaragua</v>
      </c>
      <c r="D11607">
        <f>IFERROR(__xludf.DUMMYFUNCTION("""COMPUTED_VALUE"""),1996.0)</f>
        <v>1996</v>
      </c>
      <c r="E11607">
        <f>IFERROR(__xludf.DUMMYFUNCTION("""COMPUTED_VALUE"""),4700779.0)</f>
        <v>4700779</v>
      </c>
    </row>
    <row r="11608">
      <c r="A11608" t="str">
        <f t="shared" si="1"/>
        <v>nic#1997</v>
      </c>
      <c r="B11608" t="str">
        <f>IFERROR(__xludf.DUMMYFUNCTION("""COMPUTED_VALUE"""),"nic")</f>
        <v>nic</v>
      </c>
      <c r="C11608" t="str">
        <f>IFERROR(__xludf.DUMMYFUNCTION("""COMPUTED_VALUE"""),"Nicaragua")</f>
        <v>Nicaragua</v>
      </c>
      <c r="D11608">
        <f>IFERROR(__xludf.DUMMYFUNCTION("""COMPUTED_VALUE"""),1997.0)</f>
        <v>1997</v>
      </c>
      <c r="E11608">
        <f>IFERROR(__xludf.DUMMYFUNCTION("""COMPUTED_VALUE"""),4786640.0)</f>
        <v>4786640</v>
      </c>
    </row>
    <row r="11609">
      <c r="A11609" t="str">
        <f t="shared" si="1"/>
        <v>nic#1998</v>
      </c>
      <c r="B11609" t="str">
        <f>IFERROR(__xludf.DUMMYFUNCTION("""COMPUTED_VALUE"""),"nic")</f>
        <v>nic</v>
      </c>
      <c r="C11609" t="str">
        <f>IFERROR(__xludf.DUMMYFUNCTION("""COMPUTED_VALUE"""),"Nicaragua")</f>
        <v>Nicaragua</v>
      </c>
      <c r="D11609">
        <f>IFERROR(__xludf.DUMMYFUNCTION("""COMPUTED_VALUE"""),1998.0)</f>
        <v>1998</v>
      </c>
      <c r="E11609">
        <f>IFERROR(__xludf.DUMMYFUNCTION("""COMPUTED_VALUE"""),4869626.0)</f>
        <v>4869626</v>
      </c>
    </row>
    <row r="11610">
      <c r="A11610" t="str">
        <f t="shared" si="1"/>
        <v>nic#1999</v>
      </c>
      <c r="B11610" t="str">
        <f>IFERROR(__xludf.DUMMYFUNCTION("""COMPUTED_VALUE"""),"nic")</f>
        <v>nic</v>
      </c>
      <c r="C11610" t="str">
        <f>IFERROR(__xludf.DUMMYFUNCTION("""COMPUTED_VALUE"""),"Nicaragua")</f>
        <v>Nicaragua</v>
      </c>
      <c r="D11610">
        <f>IFERROR(__xludf.DUMMYFUNCTION("""COMPUTED_VALUE"""),1999.0)</f>
        <v>1999</v>
      </c>
      <c r="E11610">
        <f>IFERROR(__xludf.DUMMYFUNCTION("""COMPUTED_VALUE"""),4949660.0)</f>
        <v>4949660</v>
      </c>
    </row>
    <row r="11611">
      <c r="A11611" t="str">
        <f t="shared" si="1"/>
        <v>nic#2000</v>
      </c>
      <c r="B11611" t="str">
        <f>IFERROR(__xludf.DUMMYFUNCTION("""COMPUTED_VALUE"""),"nic")</f>
        <v>nic</v>
      </c>
      <c r="C11611" t="str">
        <f>IFERROR(__xludf.DUMMYFUNCTION("""COMPUTED_VALUE"""),"Nicaragua")</f>
        <v>Nicaragua</v>
      </c>
      <c r="D11611">
        <f>IFERROR(__xludf.DUMMYFUNCTION("""COMPUTED_VALUE"""),2000.0)</f>
        <v>2000</v>
      </c>
      <c r="E11611">
        <f>IFERROR(__xludf.DUMMYFUNCTION("""COMPUTED_VALUE"""),5026796.0)</f>
        <v>5026796</v>
      </c>
    </row>
    <row r="11612">
      <c r="A11612" t="str">
        <f t="shared" si="1"/>
        <v>nic#2001</v>
      </c>
      <c r="B11612" t="str">
        <f>IFERROR(__xludf.DUMMYFUNCTION("""COMPUTED_VALUE"""),"nic")</f>
        <v>nic</v>
      </c>
      <c r="C11612" t="str">
        <f>IFERROR(__xludf.DUMMYFUNCTION("""COMPUTED_VALUE"""),"Nicaragua")</f>
        <v>Nicaragua</v>
      </c>
      <c r="D11612">
        <f>IFERROR(__xludf.DUMMYFUNCTION("""COMPUTED_VALUE"""),2001.0)</f>
        <v>2001</v>
      </c>
      <c r="E11612">
        <f>IFERROR(__xludf.DUMMYFUNCTION("""COMPUTED_VALUE"""),5100750.0)</f>
        <v>5100750</v>
      </c>
    </row>
    <row r="11613">
      <c r="A11613" t="str">
        <f t="shared" si="1"/>
        <v>nic#2002</v>
      </c>
      <c r="B11613" t="str">
        <f>IFERROR(__xludf.DUMMYFUNCTION("""COMPUTED_VALUE"""),"nic")</f>
        <v>nic</v>
      </c>
      <c r="C11613" t="str">
        <f>IFERROR(__xludf.DUMMYFUNCTION("""COMPUTED_VALUE"""),"Nicaragua")</f>
        <v>Nicaragua</v>
      </c>
      <c r="D11613">
        <f>IFERROR(__xludf.DUMMYFUNCTION("""COMPUTED_VALUE"""),2002.0)</f>
        <v>2002</v>
      </c>
      <c r="E11613">
        <f>IFERROR(__xludf.DUMMYFUNCTION("""COMPUTED_VALUE"""),5171734.0)</f>
        <v>5171734</v>
      </c>
    </row>
    <row r="11614">
      <c r="A11614" t="str">
        <f t="shared" si="1"/>
        <v>nic#2003</v>
      </c>
      <c r="B11614" t="str">
        <f>IFERROR(__xludf.DUMMYFUNCTION("""COMPUTED_VALUE"""),"nic")</f>
        <v>nic</v>
      </c>
      <c r="C11614" t="str">
        <f>IFERROR(__xludf.DUMMYFUNCTION("""COMPUTED_VALUE"""),"Nicaragua")</f>
        <v>Nicaragua</v>
      </c>
      <c r="D11614">
        <f>IFERROR(__xludf.DUMMYFUNCTION("""COMPUTED_VALUE"""),2003.0)</f>
        <v>2003</v>
      </c>
      <c r="E11614">
        <f>IFERROR(__xludf.DUMMYFUNCTION("""COMPUTED_VALUE"""),5240879.0)</f>
        <v>5240879</v>
      </c>
    </row>
    <row r="11615">
      <c r="A11615" t="str">
        <f t="shared" si="1"/>
        <v>nic#2004</v>
      </c>
      <c r="B11615" t="str">
        <f>IFERROR(__xludf.DUMMYFUNCTION("""COMPUTED_VALUE"""),"nic")</f>
        <v>nic</v>
      </c>
      <c r="C11615" t="str">
        <f>IFERROR(__xludf.DUMMYFUNCTION("""COMPUTED_VALUE"""),"Nicaragua")</f>
        <v>Nicaragua</v>
      </c>
      <c r="D11615">
        <f>IFERROR(__xludf.DUMMYFUNCTION("""COMPUTED_VALUE"""),2004.0)</f>
        <v>2004</v>
      </c>
      <c r="E11615">
        <f>IFERROR(__xludf.DUMMYFUNCTION("""COMPUTED_VALUE"""),5309703.0)</f>
        <v>5309703</v>
      </c>
    </row>
    <row r="11616">
      <c r="A11616" t="str">
        <f t="shared" si="1"/>
        <v>nic#2005</v>
      </c>
      <c r="B11616" t="str">
        <f>IFERROR(__xludf.DUMMYFUNCTION("""COMPUTED_VALUE"""),"nic")</f>
        <v>nic</v>
      </c>
      <c r="C11616" t="str">
        <f>IFERROR(__xludf.DUMMYFUNCTION("""COMPUTED_VALUE"""),"Nicaragua")</f>
        <v>Nicaragua</v>
      </c>
      <c r="D11616">
        <f>IFERROR(__xludf.DUMMYFUNCTION("""COMPUTED_VALUE"""),2005.0)</f>
        <v>2005</v>
      </c>
      <c r="E11616">
        <f>IFERROR(__xludf.DUMMYFUNCTION("""COMPUTED_VALUE"""),5379328.0)</f>
        <v>5379328</v>
      </c>
    </row>
    <row r="11617">
      <c r="A11617" t="str">
        <f t="shared" si="1"/>
        <v>nic#2006</v>
      </c>
      <c r="B11617" t="str">
        <f>IFERROR(__xludf.DUMMYFUNCTION("""COMPUTED_VALUE"""),"nic")</f>
        <v>nic</v>
      </c>
      <c r="C11617" t="str">
        <f>IFERROR(__xludf.DUMMYFUNCTION("""COMPUTED_VALUE"""),"Nicaragua")</f>
        <v>Nicaragua</v>
      </c>
      <c r="D11617">
        <f>IFERROR(__xludf.DUMMYFUNCTION("""COMPUTED_VALUE"""),2006.0)</f>
        <v>2006</v>
      </c>
      <c r="E11617">
        <f>IFERROR(__xludf.DUMMYFUNCTION("""COMPUTED_VALUE"""),5450211.0)</f>
        <v>5450211</v>
      </c>
    </row>
    <row r="11618">
      <c r="A11618" t="str">
        <f t="shared" si="1"/>
        <v>nic#2007</v>
      </c>
      <c r="B11618" t="str">
        <f>IFERROR(__xludf.DUMMYFUNCTION("""COMPUTED_VALUE"""),"nic")</f>
        <v>nic</v>
      </c>
      <c r="C11618" t="str">
        <f>IFERROR(__xludf.DUMMYFUNCTION("""COMPUTED_VALUE"""),"Nicaragua")</f>
        <v>Nicaragua</v>
      </c>
      <c r="D11618">
        <f>IFERROR(__xludf.DUMMYFUNCTION("""COMPUTED_VALUE"""),2007.0)</f>
        <v>2007</v>
      </c>
      <c r="E11618">
        <f>IFERROR(__xludf.DUMMYFUNCTION("""COMPUTED_VALUE"""),5522106.0)</f>
        <v>5522106</v>
      </c>
    </row>
    <row r="11619">
      <c r="A11619" t="str">
        <f t="shared" si="1"/>
        <v>nic#2008</v>
      </c>
      <c r="B11619" t="str">
        <f>IFERROR(__xludf.DUMMYFUNCTION("""COMPUTED_VALUE"""),"nic")</f>
        <v>nic</v>
      </c>
      <c r="C11619" t="str">
        <f>IFERROR(__xludf.DUMMYFUNCTION("""COMPUTED_VALUE"""),"Nicaragua")</f>
        <v>Nicaragua</v>
      </c>
      <c r="D11619">
        <f>IFERROR(__xludf.DUMMYFUNCTION("""COMPUTED_VALUE"""),2008.0)</f>
        <v>2008</v>
      </c>
      <c r="E11619">
        <f>IFERROR(__xludf.DUMMYFUNCTION("""COMPUTED_VALUE"""),5594506.0)</f>
        <v>5594506</v>
      </c>
    </row>
    <row r="11620">
      <c r="A11620" t="str">
        <f t="shared" si="1"/>
        <v>nic#2009</v>
      </c>
      <c r="B11620" t="str">
        <f>IFERROR(__xludf.DUMMYFUNCTION("""COMPUTED_VALUE"""),"nic")</f>
        <v>nic</v>
      </c>
      <c r="C11620" t="str">
        <f>IFERROR(__xludf.DUMMYFUNCTION("""COMPUTED_VALUE"""),"Nicaragua")</f>
        <v>Nicaragua</v>
      </c>
      <c r="D11620">
        <f>IFERROR(__xludf.DUMMYFUNCTION("""COMPUTED_VALUE"""),2009.0)</f>
        <v>2009</v>
      </c>
      <c r="E11620">
        <f>IFERROR(__xludf.DUMMYFUNCTION("""COMPUTED_VALUE"""),5666581.0)</f>
        <v>5666581</v>
      </c>
    </row>
    <row r="11621">
      <c r="A11621" t="str">
        <f t="shared" si="1"/>
        <v>nic#2010</v>
      </c>
      <c r="B11621" t="str">
        <f>IFERROR(__xludf.DUMMYFUNCTION("""COMPUTED_VALUE"""),"nic")</f>
        <v>nic</v>
      </c>
      <c r="C11621" t="str">
        <f>IFERROR(__xludf.DUMMYFUNCTION("""COMPUTED_VALUE"""),"Nicaragua")</f>
        <v>Nicaragua</v>
      </c>
      <c r="D11621">
        <f>IFERROR(__xludf.DUMMYFUNCTION("""COMPUTED_VALUE"""),2010.0)</f>
        <v>2010</v>
      </c>
      <c r="E11621">
        <f>IFERROR(__xludf.DUMMYFUNCTION("""COMPUTED_VALUE"""),5737723.0)</f>
        <v>5737723</v>
      </c>
    </row>
    <row r="11622">
      <c r="A11622" t="str">
        <f t="shared" si="1"/>
        <v>nic#2011</v>
      </c>
      <c r="B11622" t="str">
        <f>IFERROR(__xludf.DUMMYFUNCTION("""COMPUTED_VALUE"""),"nic")</f>
        <v>nic</v>
      </c>
      <c r="C11622" t="str">
        <f>IFERROR(__xludf.DUMMYFUNCTION("""COMPUTED_VALUE"""),"Nicaragua")</f>
        <v>Nicaragua</v>
      </c>
      <c r="D11622">
        <f>IFERROR(__xludf.DUMMYFUNCTION("""COMPUTED_VALUE"""),2011.0)</f>
        <v>2011</v>
      </c>
      <c r="E11622">
        <f>IFERROR(__xludf.DUMMYFUNCTION("""COMPUTED_VALUE"""),5807820.0)</f>
        <v>5807820</v>
      </c>
    </row>
    <row r="11623">
      <c r="A11623" t="str">
        <f t="shared" si="1"/>
        <v>nic#2012</v>
      </c>
      <c r="B11623" t="str">
        <f>IFERROR(__xludf.DUMMYFUNCTION("""COMPUTED_VALUE"""),"nic")</f>
        <v>nic</v>
      </c>
      <c r="C11623" t="str">
        <f>IFERROR(__xludf.DUMMYFUNCTION("""COMPUTED_VALUE"""),"Nicaragua")</f>
        <v>Nicaragua</v>
      </c>
      <c r="D11623">
        <f>IFERROR(__xludf.DUMMYFUNCTION("""COMPUTED_VALUE"""),2012.0)</f>
        <v>2012</v>
      </c>
      <c r="E11623">
        <f>IFERROR(__xludf.DUMMYFUNCTION("""COMPUTED_VALUE"""),5877108.0)</f>
        <v>5877108</v>
      </c>
    </row>
    <row r="11624">
      <c r="A11624" t="str">
        <f t="shared" si="1"/>
        <v>nic#2013</v>
      </c>
      <c r="B11624" t="str">
        <f>IFERROR(__xludf.DUMMYFUNCTION("""COMPUTED_VALUE"""),"nic")</f>
        <v>nic</v>
      </c>
      <c r="C11624" t="str">
        <f>IFERROR(__xludf.DUMMYFUNCTION("""COMPUTED_VALUE"""),"Nicaragua")</f>
        <v>Nicaragua</v>
      </c>
      <c r="D11624">
        <f>IFERROR(__xludf.DUMMYFUNCTION("""COMPUTED_VALUE"""),2013.0)</f>
        <v>2013</v>
      </c>
      <c r="E11624">
        <f>IFERROR(__xludf.DUMMYFUNCTION("""COMPUTED_VALUE"""),5945747.0)</f>
        <v>5945747</v>
      </c>
    </row>
    <row r="11625">
      <c r="A11625" t="str">
        <f t="shared" si="1"/>
        <v>nic#2014</v>
      </c>
      <c r="B11625" t="str">
        <f>IFERROR(__xludf.DUMMYFUNCTION("""COMPUTED_VALUE"""),"nic")</f>
        <v>nic</v>
      </c>
      <c r="C11625" t="str">
        <f>IFERROR(__xludf.DUMMYFUNCTION("""COMPUTED_VALUE"""),"Nicaragua")</f>
        <v>Nicaragua</v>
      </c>
      <c r="D11625">
        <f>IFERROR(__xludf.DUMMYFUNCTION("""COMPUTED_VALUE"""),2014.0)</f>
        <v>2014</v>
      </c>
      <c r="E11625">
        <f>IFERROR(__xludf.DUMMYFUNCTION("""COMPUTED_VALUE"""),6013997.0)</f>
        <v>6013997</v>
      </c>
    </row>
    <row r="11626">
      <c r="A11626" t="str">
        <f t="shared" si="1"/>
        <v>nic#2015</v>
      </c>
      <c r="B11626" t="str">
        <f>IFERROR(__xludf.DUMMYFUNCTION("""COMPUTED_VALUE"""),"nic")</f>
        <v>nic</v>
      </c>
      <c r="C11626" t="str">
        <f>IFERROR(__xludf.DUMMYFUNCTION("""COMPUTED_VALUE"""),"Nicaragua")</f>
        <v>Nicaragua</v>
      </c>
      <c r="D11626">
        <f>IFERROR(__xludf.DUMMYFUNCTION("""COMPUTED_VALUE"""),2015.0)</f>
        <v>2015</v>
      </c>
      <c r="E11626">
        <f>IFERROR(__xludf.DUMMYFUNCTION("""COMPUTED_VALUE"""),6082035.0)</f>
        <v>6082035</v>
      </c>
    </row>
    <row r="11627">
      <c r="A11627" t="str">
        <f t="shared" si="1"/>
        <v>nic#2016</v>
      </c>
      <c r="B11627" t="str">
        <f>IFERROR(__xludf.DUMMYFUNCTION("""COMPUTED_VALUE"""),"nic")</f>
        <v>nic</v>
      </c>
      <c r="C11627" t="str">
        <f>IFERROR(__xludf.DUMMYFUNCTION("""COMPUTED_VALUE"""),"Nicaragua")</f>
        <v>Nicaragua</v>
      </c>
      <c r="D11627">
        <f>IFERROR(__xludf.DUMMYFUNCTION("""COMPUTED_VALUE"""),2016.0)</f>
        <v>2016</v>
      </c>
      <c r="E11627">
        <f>IFERROR(__xludf.DUMMYFUNCTION("""COMPUTED_VALUE"""),6149928.0)</f>
        <v>6149928</v>
      </c>
    </row>
    <row r="11628">
      <c r="A11628" t="str">
        <f t="shared" si="1"/>
        <v>nic#2017</v>
      </c>
      <c r="B11628" t="str">
        <f>IFERROR(__xludf.DUMMYFUNCTION("""COMPUTED_VALUE"""),"nic")</f>
        <v>nic</v>
      </c>
      <c r="C11628" t="str">
        <f>IFERROR(__xludf.DUMMYFUNCTION("""COMPUTED_VALUE"""),"Nicaragua")</f>
        <v>Nicaragua</v>
      </c>
      <c r="D11628">
        <f>IFERROR(__xludf.DUMMYFUNCTION("""COMPUTED_VALUE"""),2017.0)</f>
        <v>2017</v>
      </c>
      <c r="E11628">
        <f>IFERROR(__xludf.DUMMYFUNCTION("""COMPUTED_VALUE"""),6217581.0)</f>
        <v>6217581</v>
      </c>
    </row>
    <row r="11629">
      <c r="A11629" t="str">
        <f t="shared" si="1"/>
        <v>nic#2018</v>
      </c>
      <c r="B11629" t="str">
        <f>IFERROR(__xludf.DUMMYFUNCTION("""COMPUTED_VALUE"""),"nic")</f>
        <v>nic</v>
      </c>
      <c r="C11629" t="str">
        <f>IFERROR(__xludf.DUMMYFUNCTION("""COMPUTED_VALUE"""),"Nicaragua")</f>
        <v>Nicaragua</v>
      </c>
      <c r="D11629">
        <f>IFERROR(__xludf.DUMMYFUNCTION("""COMPUTED_VALUE"""),2018.0)</f>
        <v>2018</v>
      </c>
      <c r="E11629">
        <f>IFERROR(__xludf.DUMMYFUNCTION("""COMPUTED_VALUE"""),6284757.0)</f>
        <v>6284757</v>
      </c>
    </row>
    <row r="11630">
      <c r="A11630" t="str">
        <f t="shared" si="1"/>
        <v>nic#2019</v>
      </c>
      <c r="B11630" t="str">
        <f>IFERROR(__xludf.DUMMYFUNCTION("""COMPUTED_VALUE"""),"nic")</f>
        <v>nic</v>
      </c>
      <c r="C11630" t="str">
        <f>IFERROR(__xludf.DUMMYFUNCTION("""COMPUTED_VALUE"""),"Nicaragua")</f>
        <v>Nicaragua</v>
      </c>
      <c r="D11630">
        <f>IFERROR(__xludf.DUMMYFUNCTION("""COMPUTED_VALUE"""),2019.0)</f>
        <v>2019</v>
      </c>
      <c r="E11630">
        <f>IFERROR(__xludf.DUMMYFUNCTION("""COMPUTED_VALUE"""),6351157.0)</f>
        <v>6351157</v>
      </c>
    </row>
    <row r="11631">
      <c r="A11631" t="str">
        <f t="shared" si="1"/>
        <v>nic#2020</v>
      </c>
      <c r="B11631" t="str">
        <f>IFERROR(__xludf.DUMMYFUNCTION("""COMPUTED_VALUE"""),"nic")</f>
        <v>nic</v>
      </c>
      <c r="C11631" t="str">
        <f>IFERROR(__xludf.DUMMYFUNCTION("""COMPUTED_VALUE"""),"Nicaragua")</f>
        <v>Nicaragua</v>
      </c>
      <c r="D11631">
        <f>IFERROR(__xludf.DUMMYFUNCTION("""COMPUTED_VALUE"""),2020.0)</f>
        <v>2020</v>
      </c>
      <c r="E11631">
        <f>IFERROR(__xludf.DUMMYFUNCTION("""COMPUTED_VALUE"""),6416568.0)</f>
        <v>6416568</v>
      </c>
    </row>
    <row r="11632">
      <c r="A11632" t="str">
        <f t="shared" si="1"/>
        <v>nic#2021</v>
      </c>
      <c r="B11632" t="str">
        <f>IFERROR(__xludf.DUMMYFUNCTION("""COMPUTED_VALUE"""),"nic")</f>
        <v>nic</v>
      </c>
      <c r="C11632" t="str">
        <f>IFERROR(__xludf.DUMMYFUNCTION("""COMPUTED_VALUE"""),"Nicaragua")</f>
        <v>Nicaragua</v>
      </c>
      <c r="D11632">
        <f>IFERROR(__xludf.DUMMYFUNCTION("""COMPUTED_VALUE"""),2021.0)</f>
        <v>2021</v>
      </c>
      <c r="E11632">
        <f>IFERROR(__xludf.DUMMYFUNCTION("""COMPUTED_VALUE"""),6480807.0)</f>
        <v>6480807</v>
      </c>
    </row>
    <row r="11633">
      <c r="A11633" t="str">
        <f t="shared" si="1"/>
        <v>nic#2022</v>
      </c>
      <c r="B11633" t="str">
        <f>IFERROR(__xludf.DUMMYFUNCTION("""COMPUTED_VALUE"""),"nic")</f>
        <v>nic</v>
      </c>
      <c r="C11633" t="str">
        <f>IFERROR(__xludf.DUMMYFUNCTION("""COMPUTED_VALUE"""),"Nicaragua")</f>
        <v>Nicaragua</v>
      </c>
      <c r="D11633">
        <f>IFERROR(__xludf.DUMMYFUNCTION("""COMPUTED_VALUE"""),2022.0)</f>
        <v>2022</v>
      </c>
      <c r="E11633">
        <f>IFERROR(__xludf.DUMMYFUNCTION("""COMPUTED_VALUE"""),6543976.0)</f>
        <v>6543976</v>
      </c>
    </row>
    <row r="11634">
      <c r="A11634" t="str">
        <f t="shared" si="1"/>
        <v>nic#2023</v>
      </c>
      <c r="B11634" t="str">
        <f>IFERROR(__xludf.DUMMYFUNCTION("""COMPUTED_VALUE"""),"nic")</f>
        <v>nic</v>
      </c>
      <c r="C11634" t="str">
        <f>IFERROR(__xludf.DUMMYFUNCTION("""COMPUTED_VALUE"""),"Nicaragua")</f>
        <v>Nicaragua</v>
      </c>
      <c r="D11634">
        <f>IFERROR(__xludf.DUMMYFUNCTION("""COMPUTED_VALUE"""),2023.0)</f>
        <v>2023</v>
      </c>
      <c r="E11634">
        <f>IFERROR(__xludf.DUMMYFUNCTION("""COMPUTED_VALUE"""),6606538.0)</f>
        <v>6606538</v>
      </c>
    </row>
    <row r="11635">
      <c r="A11635" t="str">
        <f t="shared" si="1"/>
        <v>nic#2024</v>
      </c>
      <c r="B11635" t="str">
        <f>IFERROR(__xludf.DUMMYFUNCTION("""COMPUTED_VALUE"""),"nic")</f>
        <v>nic</v>
      </c>
      <c r="C11635" t="str">
        <f>IFERROR(__xludf.DUMMYFUNCTION("""COMPUTED_VALUE"""),"Nicaragua")</f>
        <v>Nicaragua</v>
      </c>
      <c r="D11635">
        <f>IFERROR(__xludf.DUMMYFUNCTION("""COMPUTED_VALUE"""),2024.0)</f>
        <v>2024</v>
      </c>
      <c r="E11635">
        <f>IFERROR(__xludf.DUMMYFUNCTION("""COMPUTED_VALUE"""),6669148.0)</f>
        <v>6669148</v>
      </c>
    </row>
    <row r="11636">
      <c r="A11636" t="str">
        <f t="shared" si="1"/>
        <v>nic#2025</v>
      </c>
      <c r="B11636" t="str">
        <f>IFERROR(__xludf.DUMMYFUNCTION("""COMPUTED_VALUE"""),"nic")</f>
        <v>nic</v>
      </c>
      <c r="C11636" t="str">
        <f>IFERROR(__xludf.DUMMYFUNCTION("""COMPUTED_VALUE"""),"Nicaragua")</f>
        <v>Nicaragua</v>
      </c>
      <c r="D11636">
        <f>IFERROR(__xludf.DUMMYFUNCTION("""COMPUTED_VALUE"""),2025.0)</f>
        <v>2025</v>
      </c>
      <c r="E11636">
        <f>IFERROR(__xludf.DUMMYFUNCTION("""COMPUTED_VALUE"""),6732197.0)</f>
        <v>6732197</v>
      </c>
    </row>
    <row r="11637">
      <c r="A11637" t="str">
        <f t="shared" si="1"/>
        <v>nic#2026</v>
      </c>
      <c r="B11637" t="str">
        <f>IFERROR(__xludf.DUMMYFUNCTION("""COMPUTED_VALUE"""),"nic")</f>
        <v>nic</v>
      </c>
      <c r="C11637" t="str">
        <f>IFERROR(__xludf.DUMMYFUNCTION("""COMPUTED_VALUE"""),"Nicaragua")</f>
        <v>Nicaragua</v>
      </c>
      <c r="D11637">
        <f>IFERROR(__xludf.DUMMYFUNCTION("""COMPUTED_VALUE"""),2026.0)</f>
        <v>2026</v>
      </c>
      <c r="E11637">
        <f>IFERROR(__xludf.DUMMYFUNCTION("""COMPUTED_VALUE"""),6795865.0)</f>
        <v>6795865</v>
      </c>
    </row>
    <row r="11638">
      <c r="A11638" t="str">
        <f t="shared" si="1"/>
        <v>nic#2027</v>
      </c>
      <c r="B11638" t="str">
        <f>IFERROR(__xludf.DUMMYFUNCTION("""COMPUTED_VALUE"""),"nic")</f>
        <v>nic</v>
      </c>
      <c r="C11638" t="str">
        <f>IFERROR(__xludf.DUMMYFUNCTION("""COMPUTED_VALUE"""),"Nicaragua")</f>
        <v>Nicaragua</v>
      </c>
      <c r="D11638">
        <f>IFERROR(__xludf.DUMMYFUNCTION("""COMPUTED_VALUE"""),2027.0)</f>
        <v>2027</v>
      </c>
      <c r="E11638">
        <f>IFERROR(__xludf.DUMMYFUNCTION("""COMPUTED_VALUE"""),6859844.0)</f>
        <v>6859844</v>
      </c>
    </row>
    <row r="11639">
      <c r="A11639" t="str">
        <f t="shared" si="1"/>
        <v>nic#2028</v>
      </c>
      <c r="B11639" t="str">
        <f>IFERROR(__xludf.DUMMYFUNCTION("""COMPUTED_VALUE"""),"nic")</f>
        <v>nic</v>
      </c>
      <c r="C11639" t="str">
        <f>IFERROR(__xludf.DUMMYFUNCTION("""COMPUTED_VALUE"""),"Nicaragua")</f>
        <v>Nicaragua</v>
      </c>
      <c r="D11639">
        <f>IFERROR(__xludf.DUMMYFUNCTION("""COMPUTED_VALUE"""),2028.0)</f>
        <v>2028</v>
      </c>
      <c r="E11639">
        <f>IFERROR(__xludf.DUMMYFUNCTION("""COMPUTED_VALUE"""),6923479.0)</f>
        <v>6923479</v>
      </c>
    </row>
    <row r="11640">
      <c r="A11640" t="str">
        <f t="shared" si="1"/>
        <v>nic#2029</v>
      </c>
      <c r="B11640" t="str">
        <f>IFERROR(__xludf.DUMMYFUNCTION("""COMPUTED_VALUE"""),"nic")</f>
        <v>nic</v>
      </c>
      <c r="C11640" t="str">
        <f>IFERROR(__xludf.DUMMYFUNCTION("""COMPUTED_VALUE"""),"Nicaragua")</f>
        <v>Nicaragua</v>
      </c>
      <c r="D11640">
        <f>IFERROR(__xludf.DUMMYFUNCTION("""COMPUTED_VALUE"""),2029.0)</f>
        <v>2029</v>
      </c>
      <c r="E11640">
        <f>IFERROR(__xludf.DUMMYFUNCTION("""COMPUTED_VALUE"""),6985855.0)</f>
        <v>6985855</v>
      </c>
    </row>
    <row r="11641">
      <c r="A11641" t="str">
        <f t="shared" si="1"/>
        <v>nic#2030</v>
      </c>
      <c r="B11641" t="str">
        <f>IFERROR(__xludf.DUMMYFUNCTION("""COMPUTED_VALUE"""),"nic")</f>
        <v>nic</v>
      </c>
      <c r="C11641" t="str">
        <f>IFERROR(__xludf.DUMMYFUNCTION("""COMPUTED_VALUE"""),"Nicaragua")</f>
        <v>Nicaragua</v>
      </c>
      <c r="D11641">
        <f>IFERROR(__xludf.DUMMYFUNCTION("""COMPUTED_VALUE"""),2030.0)</f>
        <v>2030</v>
      </c>
      <c r="E11641">
        <f>IFERROR(__xludf.DUMMYFUNCTION("""COMPUTED_VALUE"""),7046293.0)</f>
        <v>7046293</v>
      </c>
    </row>
    <row r="11642">
      <c r="A11642" t="str">
        <f t="shared" si="1"/>
        <v>nic#2031</v>
      </c>
      <c r="B11642" t="str">
        <f>IFERROR(__xludf.DUMMYFUNCTION("""COMPUTED_VALUE"""),"nic")</f>
        <v>nic</v>
      </c>
      <c r="C11642" t="str">
        <f>IFERROR(__xludf.DUMMYFUNCTION("""COMPUTED_VALUE"""),"Nicaragua")</f>
        <v>Nicaragua</v>
      </c>
      <c r="D11642">
        <f>IFERROR(__xludf.DUMMYFUNCTION("""COMPUTED_VALUE"""),2031.0)</f>
        <v>2031</v>
      </c>
      <c r="E11642">
        <f>IFERROR(__xludf.DUMMYFUNCTION("""COMPUTED_VALUE"""),7104547.0)</f>
        <v>7104547</v>
      </c>
    </row>
    <row r="11643">
      <c r="A11643" t="str">
        <f t="shared" si="1"/>
        <v>nic#2032</v>
      </c>
      <c r="B11643" t="str">
        <f>IFERROR(__xludf.DUMMYFUNCTION("""COMPUTED_VALUE"""),"nic")</f>
        <v>nic</v>
      </c>
      <c r="C11643" t="str">
        <f>IFERROR(__xludf.DUMMYFUNCTION("""COMPUTED_VALUE"""),"Nicaragua")</f>
        <v>Nicaragua</v>
      </c>
      <c r="D11643">
        <f>IFERROR(__xludf.DUMMYFUNCTION("""COMPUTED_VALUE"""),2032.0)</f>
        <v>2032</v>
      </c>
      <c r="E11643">
        <f>IFERROR(__xludf.DUMMYFUNCTION("""COMPUTED_VALUE"""),7160711.0)</f>
        <v>7160711</v>
      </c>
    </row>
    <row r="11644">
      <c r="A11644" t="str">
        <f t="shared" si="1"/>
        <v>nic#2033</v>
      </c>
      <c r="B11644" t="str">
        <f>IFERROR(__xludf.DUMMYFUNCTION("""COMPUTED_VALUE"""),"nic")</f>
        <v>nic</v>
      </c>
      <c r="C11644" t="str">
        <f>IFERROR(__xludf.DUMMYFUNCTION("""COMPUTED_VALUE"""),"Nicaragua")</f>
        <v>Nicaragua</v>
      </c>
      <c r="D11644">
        <f>IFERROR(__xludf.DUMMYFUNCTION("""COMPUTED_VALUE"""),2033.0)</f>
        <v>2033</v>
      </c>
      <c r="E11644">
        <f>IFERROR(__xludf.DUMMYFUNCTION("""COMPUTED_VALUE"""),7214922.0)</f>
        <v>7214922</v>
      </c>
    </row>
    <row r="11645">
      <c r="A11645" t="str">
        <f t="shared" si="1"/>
        <v>nic#2034</v>
      </c>
      <c r="B11645" t="str">
        <f>IFERROR(__xludf.DUMMYFUNCTION("""COMPUTED_VALUE"""),"nic")</f>
        <v>nic</v>
      </c>
      <c r="C11645" t="str">
        <f>IFERROR(__xludf.DUMMYFUNCTION("""COMPUTED_VALUE"""),"Nicaragua")</f>
        <v>Nicaragua</v>
      </c>
      <c r="D11645">
        <f>IFERROR(__xludf.DUMMYFUNCTION("""COMPUTED_VALUE"""),2034.0)</f>
        <v>2034</v>
      </c>
      <c r="E11645">
        <f>IFERROR(__xludf.DUMMYFUNCTION("""COMPUTED_VALUE"""),7267426.0)</f>
        <v>7267426</v>
      </c>
    </row>
    <row r="11646">
      <c r="A11646" t="str">
        <f t="shared" si="1"/>
        <v>nic#2035</v>
      </c>
      <c r="B11646" t="str">
        <f>IFERROR(__xludf.DUMMYFUNCTION("""COMPUTED_VALUE"""),"nic")</f>
        <v>nic</v>
      </c>
      <c r="C11646" t="str">
        <f>IFERROR(__xludf.DUMMYFUNCTION("""COMPUTED_VALUE"""),"Nicaragua")</f>
        <v>Nicaragua</v>
      </c>
      <c r="D11646">
        <f>IFERROR(__xludf.DUMMYFUNCTION("""COMPUTED_VALUE"""),2035.0)</f>
        <v>2035</v>
      </c>
      <c r="E11646">
        <f>IFERROR(__xludf.DUMMYFUNCTION("""COMPUTED_VALUE"""),7318402.0)</f>
        <v>7318402</v>
      </c>
    </row>
    <row r="11647">
      <c r="A11647" t="str">
        <f t="shared" si="1"/>
        <v>nic#2036</v>
      </c>
      <c r="B11647" t="str">
        <f>IFERROR(__xludf.DUMMYFUNCTION("""COMPUTED_VALUE"""),"nic")</f>
        <v>nic</v>
      </c>
      <c r="C11647" t="str">
        <f>IFERROR(__xludf.DUMMYFUNCTION("""COMPUTED_VALUE"""),"Nicaragua")</f>
        <v>Nicaragua</v>
      </c>
      <c r="D11647">
        <f>IFERROR(__xludf.DUMMYFUNCTION("""COMPUTED_VALUE"""),2036.0)</f>
        <v>2036</v>
      </c>
      <c r="E11647">
        <f>IFERROR(__xludf.DUMMYFUNCTION("""COMPUTED_VALUE"""),7367826.0)</f>
        <v>7367826</v>
      </c>
    </row>
    <row r="11648">
      <c r="A11648" t="str">
        <f t="shared" si="1"/>
        <v>nic#2037</v>
      </c>
      <c r="B11648" t="str">
        <f>IFERROR(__xludf.DUMMYFUNCTION("""COMPUTED_VALUE"""),"nic")</f>
        <v>nic</v>
      </c>
      <c r="C11648" t="str">
        <f>IFERROR(__xludf.DUMMYFUNCTION("""COMPUTED_VALUE"""),"Nicaragua")</f>
        <v>Nicaragua</v>
      </c>
      <c r="D11648">
        <f>IFERROR(__xludf.DUMMYFUNCTION("""COMPUTED_VALUE"""),2037.0)</f>
        <v>2037</v>
      </c>
      <c r="E11648">
        <f>IFERROR(__xludf.DUMMYFUNCTION("""COMPUTED_VALUE"""),7415579.0)</f>
        <v>7415579</v>
      </c>
    </row>
    <row r="11649">
      <c r="A11649" t="str">
        <f t="shared" si="1"/>
        <v>nic#2038</v>
      </c>
      <c r="B11649" t="str">
        <f>IFERROR(__xludf.DUMMYFUNCTION("""COMPUTED_VALUE"""),"nic")</f>
        <v>nic</v>
      </c>
      <c r="C11649" t="str">
        <f>IFERROR(__xludf.DUMMYFUNCTION("""COMPUTED_VALUE"""),"Nicaragua")</f>
        <v>Nicaragua</v>
      </c>
      <c r="D11649">
        <f>IFERROR(__xludf.DUMMYFUNCTION("""COMPUTED_VALUE"""),2038.0)</f>
        <v>2038</v>
      </c>
      <c r="E11649">
        <f>IFERROR(__xludf.DUMMYFUNCTION("""COMPUTED_VALUE"""),7461640.0)</f>
        <v>7461640</v>
      </c>
    </row>
    <row r="11650">
      <c r="A11650" t="str">
        <f t="shared" si="1"/>
        <v>nic#2039</v>
      </c>
      <c r="B11650" t="str">
        <f>IFERROR(__xludf.DUMMYFUNCTION("""COMPUTED_VALUE"""),"nic")</f>
        <v>nic</v>
      </c>
      <c r="C11650" t="str">
        <f>IFERROR(__xludf.DUMMYFUNCTION("""COMPUTED_VALUE"""),"Nicaragua")</f>
        <v>Nicaragua</v>
      </c>
      <c r="D11650">
        <f>IFERROR(__xludf.DUMMYFUNCTION("""COMPUTED_VALUE"""),2039.0)</f>
        <v>2039</v>
      </c>
      <c r="E11650">
        <f>IFERROR(__xludf.DUMMYFUNCTION("""COMPUTED_VALUE"""),7505967.0)</f>
        <v>7505967</v>
      </c>
    </row>
    <row r="11651">
      <c r="A11651" t="str">
        <f t="shared" si="1"/>
        <v>nic#2040</v>
      </c>
      <c r="B11651" t="str">
        <f>IFERROR(__xludf.DUMMYFUNCTION("""COMPUTED_VALUE"""),"nic")</f>
        <v>nic</v>
      </c>
      <c r="C11651" t="str">
        <f>IFERROR(__xludf.DUMMYFUNCTION("""COMPUTED_VALUE"""),"Nicaragua")</f>
        <v>Nicaragua</v>
      </c>
      <c r="D11651">
        <f>IFERROR(__xludf.DUMMYFUNCTION("""COMPUTED_VALUE"""),2040.0)</f>
        <v>2040</v>
      </c>
      <c r="E11651">
        <f>IFERROR(__xludf.DUMMYFUNCTION("""COMPUTED_VALUE"""),7548564.0)</f>
        <v>7548564</v>
      </c>
    </row>
    <row r="11652">
      <c r="A11652" t="str">
        <f t="shared" si="1"/>
        <v>ner#1950</v>
      </c>
      <c r="B11652" t="str">
        <f>IFERROR(__xludf.DUMMYFUNCTION("""COMPUTED_VALUE"""),"ner")</f>
        <v>ner</v>
      </c>
      <c r="C11652" t="str">
        <f>IFERROR(__xludf.DUMMYFUNCTION("""COMPUTED_VALUE"""),"Niger")</f>
        <v>Niger</v>
      </c>
      <c r="D11652">
        <f>IFERROR(__xludf.DUMMYFUNCTION("""COMPUTED_VALUE"""),1950.0)</f>
        <v>1950</v>
      </c>
      <c r="E11652">
        <f>IFERROR(__xludf.DUMMYFUNCTION("""COMPUTED_VALUE"""),2559703.0)</f>
        <v>2559703</v>
      </c>
    </row>
    <row r="11653">
      <c r="A11653" t="str">
        <f t="shared" si="1"/>
        <v>ner#1951</v>
      </c>
      <c r="B11653" t="str">
        <f>IFERROR(__xludf.DUMMYFUNCTION("""COMPUTED_VALUE"""),"ner")</f>
        <v>ner</v>
      </c>
      <c r="C11653" t="str">
        <f>IFERROR(__xludf.DUMMYFUNCTION("""COMPUTED_VALUE"""),"Niger")</f>
        <v>Niger</v>
      </c>
      <c r="D11653">
        <f>IFERROR(__xludf.DUMMYFUNCTION("""COMPUTED_VALUE"""),1951.0)</f>
        <v>1951</v>
      </c>
      <c r="E11653">
        <f>IFERROR(__xludf.DUMMYFUNCTION("""COMPUTED_VALUE"""),2638137.0)</f>
        <v>2638137</v>
      </c>
    </row>
    <row r="11654">
      <c r="A11654" t="str">
        <f t="shared" si="1"/>
        <v>ner#1952</v>
      </c>
      <c r="B11654" t="str">
        <f>IFERROR(__xludf.DUMMYFUNCTION("""COMPUTED_VALUE"""),"ner")</f>
        <v>ner</v>
      </c>
      <c r="C11654" t="str">
        <f>IFERROR(__xludf.DUMMYFUNCTION("""COMPUTED_VALUE"""),"Niger")</f>
        <v>Niger</v>
      </c>
      <c r="D11654">
        <f>IFERROR(__xludf.DUMMYFUNCTION("""COMPUTED_VALUE"""),1952.0)</f>
        <v>1952</v>
      </c>
      <c r="E11654">
        <f>IFERROR(__xludf.DUMMYFUNCTION("""COMPUTED_VALUE"""),2716818.0)</f>
        <v>2716818</v>
      </c>
    </row>
    <row r="11655">
      <c r="A11655" t="str">
        <f t="shared" si="1"/>
        <v>ner#1953</v>
      </c>
      <c r="B11655" t="str">
        <f>IFERROR(__xludf.DUMMYFUNCTION("""COMPUTED_VALUE"""),"ner")</f>
        <v>ner</v>
      </c>
      <c r="C11655" t="str">
        <f>IFERROR(__xludf.DUMMYFUNCTION("""COMPUTED_VALUE"""),"Niger")</f>
        <v>Niger</v>
      </c>
      <c r="D11655">
        <f>IFERROR(__xludf.DUMMYFUNCTION("""COMPUTED_VALUE"""),1953.0)</f>
        <v>1953</v>
      </c>
      <c r="E11655">
        <f>IFERROR(__xludf.DUMMYFUNCTION("""COMPUTED_VALUE"""),2795806.0)</f>
        <v>2795806</v>
      </c>
    </row>
    <row r="11656">
      <c r="A11656" t="str">
        <f t="shared" si="1"/>
        <v>ner#1954</v>
      </c>
      <c r="B11656" t="str">
        <f>IFERROR(__xludf.DUMMYFUNCTION("""COMPUTED_VALUE"""),"ner")</f>
        <v>ner</v>
      </c>
      <c r="C11656" t="str">
        <f>IFERROR(__xludf.DUMMYFUNCTION("""COMPUTED_VALUE"""),"Niger")</f>
        <v>Niger</v>
      </c>
      <c r="D11656">
        <f>IFERROR(__xludf.DUMMYFUNCTION("""COMPUTED_VALUE"""),1954.0)</f>
        <v>1954</v>
      </c>
      <c r="E11656">
        <f>IFERROR(__xludf.DUMMYFUNCTION("""COMPUTED_VALUE"""),2875274.0)</f>
        <v>2875274</v>
      </c>
    </row>
    <row r="11657">
      <c r="A11657" t="str">
        <f t="shared" si="1"/>
        <v>ner#1955</v>
      </c>
      <c r="B11657" t="str">
        <f>IFERROR(__xludf.DUMMYFUNCTION("""COMPUTED_VALUE"""),"ner")</f>
        <v>ner</v>
      </c>
      <c r="C11657" t="str">
        <f>IFERROR(__xludf.DUMMYFUNCTION("""COMPUTED_VALUE"""),"Niger")</f>
        <v>Niger</v>
      </c>
      <c r="D11657">
        <f>IFERROR(__xludf.DUMMYFUNCTION("""COMPUTED_VALUE"""),1955.0)</f>
        <v>1955</v>
      </c>
      <c r="E11657">
        <f>IFERROR(__xludf.DUMMYFUNCTION("""COMPUTED_VALUE"""),2955541.0)</f>
        <v>2955541</v>
      </c>
    </row>
    <row r="11658">
      <c r="A11658" t="str">
        <f t="shared" si="1"/>
        <v>ner#1956</v>
      </c>
      <c r="B11658" t="str">
        <f>IFERROR(__xludf.DUMMYFUNCTION("""COMPUTED_VALUE"""),"ner")</f>
        <v>ner</v>
      </c>
      <c r="C11658" t="str">
        <f>IFERROR(__xludf.DUMMYFUNCTION("""COMPUTED_VALUE"""),"Niger")</f>
        <v>Niger</v>
      </c>
      <c r="D11658">
        <f>IFERROR(__xludf.DUMMYFUNCTION("""COMPUTED_VALUE"""),1956.0)</f>
        <v>1956</v>
      </c>
      <c r="E11658">
        <f>IFERROR(__xludf.DUMMYFUNCTION("""COMPUTED_VALUE"""),3037059.0)</f>
        <v>3037059</v>
      </c>
    </row>
    <row r="11659">
      <c r="A11659" t="str">
        <f t="shared" si="1"/>
        <v>ner#1957</v>
      </c>
      <c r="B11659" t="str">
        <f>IFERROR(__xludf.DUMMYFUNCTION("""COMPUTED_VALUE"""),"ner")</f>
        <v>ner</v>
      </c>
      <c r="C11659" t="str">
        <f>IFERROR(__xludf.DUMMYFUNCTION("""COMPUTED_VALUE"""),"Niger")</f>
        <v>Niger</v>
      </c>
      <c r="D11659">
        <f>IFERROR(__xludf.DUMMYFUNCTION("""COMPUTED_VALUE"""),1957.0)</f>
        <v>1957</v>
      </c>
      <c r="E11659">
        <f>IFERROR(__xludf.DUMMYFUNCTION("""COMPUTED_VALUE"""),3120437.0)</f>
        <v>3120437</v>
      </c>
    </row>
    <row r="11660">
      <c r="A11660" t="str">
        <f t="shared" si="1"/>
        <v>ner#1958</v>
      </c>
      <c r="B11660" t="str">
        <f>IFERROR(__xludf.DUMMYFUNCTION("""COMPUTED_VALUE"""),"ner")</f>
        <v>ner</v>
      </c>
      <c r="C11660" t="str">
        <f>IFERROR(__xludf.DUMMYFUNCTION("""COMPUTED_VALUE"""),"Niger")</f>
        <v>Niger</v>
      </c>
      <c r="D11660">
        <f>IFERROR(__xludf.DUMMYFUNCTION("""COMPUTED_VALUE"""),1958.0)</f>
        <v>1958</v>
      </c>
      <c r="E11660">
        <f>IFERROR(__xludf.DUMMYFUNCTION("""COMPUTED_VALUE"""),3206360.0)</f>
        <v>3206360</v>
      </c>
    </row>
    <row r="11661">
      <c r="A11661" t="str">
        <f t="shared" si="1"/>
        <v>ner#1959</v>
      </c>
      <c r="B11661" t="str">
        <f>IFERROR(__xludf.DUMMYFUNCTION("""COMPUTED_VALUE"""),"ner")</f>
        <v>ner</v>
      </c>
      <c r="C11661" t="str">
        <f>IFERROR(__xludf.DUMMYFUNCTION("""COMPUTED_VALUE"""),"Niger")</f>
        <v>Niger</v>
      </c>
      <c r="D11661">
        <f>IFERROR(__xludf.DUMMYFUNCTION("""COMPUTED_VALUE"""),1959.0)</f>
        <v>1959</v>
      </c>
      <c r="E11661">
        <f>IFERROR(__xludf.DUMMYFUNCTION("""COMPUTED_VALUE"""),3295583.0)</f>
        <v>3295583</v>
      </c>
    </row>
    <row r="11662">
      <c r="A11662" t="str">
        <f t="shared" si="1"/>
        <v>ner#1960</v>
      </c>
      <c r="B11662" t="str">
        <f>IFERROR(__xludf.DUMMYFUNCTION("""COMPUTED_VALUE"""),"ner")</f>
        <v>ner</v>
      </c>
      <c r="C11662" t="str">
        <f>IFERROR(__xludf.DUMMYFUNCTION("""COMPUTED_VALUE"""),"Niger")</f>
        <v>Niger</v>
      </c>
      <c r="D11662">
        <f>IFERROR(__xludf.DUMMYFUNCTION("""COMPUTED_VALUE"""),1960.0)</f>
        <v>1960</v>
      </c>
      <c r="E11662">
        <f>IFERROR(__xludf.DUMMYFUNCTION("""COMPUTED_VALUE"""),3388764.0)</f>
        <v>3388764</v>
      </c>
    </row>
    <row r="11663">
      <c r="A11663" t="str">
        <f t="shared" si="1"/>
        <v>ner#1961</v>
      </c>
      <c r="B11663" t="str">
        <f>IFERROR(__xludf.DUMMYFUNCTION("""COMPUTED_VALUE"""),"ner")</f>
        <v>ner</v>
      </c>
      <c r="C11663" t="str">
        <f>IFERROR(__xludf.DUMMYFUNCTION("""COMPUTED_VALUE"""),"Niger")</f>
        <v>Niger</v>
      </c>
      <c r="D11663">
        <f>IFERROR(__xludf.DUMMYFUNCTION("""COMPUTED_VALUE"""),1961.0)</f>
        <v>1961</v>
      </c>
      <c r="E11663">
        <f>IFERROR(__xludf.DUMMYFUNCTION("""COMPUTED_VALUE"""),3486295.0)</f>
        <v>3486295</v>
      </c>
    </row>
    <row r="11664">
      <c r="A11664" t="str">
        <f t="shared" si="1"/>
        <v>ner#1962</v>
      </c>
      <c r="B11664" t="str">
        <f>IFERROR(__xludf.DUMMYFUNCTION("""COMPUTED_VALUE"""),"ner")</f>
        <v>ner</v>
      </c>
      <c r="C11664" t="str">
        <f>IFERROR(__xludf.DUMMYFUNCTION("""COMPUTED_VALUE"""),"Niger")</f>
        <v>Niger</v>
      </c>
      <c r="D11664">
        <f>IFERROR(__xludf.DUMMYFUNCTION("""COMPUTED_VALUE"""),1962.0)</f>
        <v>1962</v>
      </c>
      <c r="E11664">
        <f>IFERROR(__xludf.DUMMYFUNCTION("""COMPUTED_VALUE"""),3588156.0)</f>
        <v>3588156</v>
      </c>
    </row>
    <row r="11665">
      <c r="A11665" t="str">
        <f t="shared" si="1"/>
        <v>ner#1963</v>
      </c>
      <c r="B11665" t="str">
        <f>IFERROR(__xludf.DUMMYFUNCTION("""COMPUTED_VALUE"""),"ner")</f>
        <v>ner</v>
      </c>
      <c r="C11665" t="str">
        <f>IFERROR(__xludf.DUMMYFUNCTION("""COMPUTED_VALUE"""),"Niger")</f>
        <v>Niger</v>
      </c>
      <c r="D11665">
        <f>IFERROR(__xludf.DUMMYFUNCTION("""COMPUTED_VALUE"""),1963.0)</f>
        <v>1963</v>
      </c>
      <c r="E11665">
        <f>IFERROR(__xludf.DUMMYFUNCTION("""COMPUTED_VALUE"""),3693866.0)</f>
        <v>3693866</v>
      </c>
    </row>
    <row r="11666">
      <c r="A11666" t="str">
        <f t="shared" si="1"/>
        <v>ner#1964</v>
      </c>
      <c r="B11666" t="str">
        <f>IFERROR(__xludf.DUMMYFUNCTION("""COMPUTED_VALUE"""),"ner")</f>
        <v>ner</v>
      </c>
      <c r="C11666" t="str">
        <f>IFERROR(__xludf.DUMMYFUNCTION("""COMPUTED_VALUE"""),"Niger")</f>
        <v>Niger</v>
      </c>
      <c r="D11666">
        <f>IFERROR(__xludf.DUMMYFUNCTION("""COMPUTED_VALUE"""),1964.0)</f>
        <v>1964</v>
      </c>
      <c r="E11666">
        <f>IFERROR(__xludf.DUMMYFUNCTION("""COMPUTED_VALUE"""),3802640.0)</f>
        <v>3802640</v>
      </c>
    </row>
    <row r="11667">
      <c r="A11667" t="str">
        <f t="shared" si="1"/>
        <v>ner#1965</v>
      </c>
      <c r="B11667" t="str">
        <f>IFERROR(__xludf.DUMMYFUNCTION("""COMPUTED_VALUE"""),"ner")</f>
        <v>ner</v>
      </c>
      <c r="C11667" t="str">
        <f>IFERROR(__xludf.DUMMYFUNCTION("""COMPUTED_VALUE"""),"Niger")</f>
        <v>Niger</v>
      </c>
      <c r="D11667">
        <f>IFERROR(__xludf.DUMMYFUNCTION("""COMPUTED_VALUE"""),1965.0)</f>
        <v>1965</v>
      </c>
      <c r="E11667">
        <f>IFERROR(__xludf.DUMMYFUNCTION("""COMPUTED_VALUE"""),3913934.0)</f>
        <v>3913934</v>
      </c>
    </row>
    <row r="11668">
      <c r="A11668" t="str">
        <f t="shared" si="1"/>
        <v>ner#1966</v>
      </c>
      <c r="B11668" t="str">
        <f>IFERROR(__xludf.DUMMYFUNCTION("""COMPUTED_VALUE"""),"ner")</f>
        <v>ner</v>
      </c>
      <c r="C11668" t="str">
        <f>IFERROR(__xludf.DUMMYFUNCTION("""COMPUTED_VALUE"""),"Niger")</f>
        <v>Niger</v>
      </c>
      <c r="D11668">
        <f>IFERROR(__xludf.DUMMYFUNCTION("""COMPUTED_VALUE"""),1966.0)</f>
        <v>1966</v>
      </c>
      <c r="E11668">
        <f>IFERROR(__xludf.DUMMYFUNCTION("""COMPUTED_VALUE"""),4027758.0)</f>
        <v>4027758</v>
      </c>
    </row>
    <row r="11669">
      <c r="A11669" t="str">
        <f t="shared" si="1"/>
        <v>ner#1967</v>
      </c>
      <c r="B11669" t="str">
        <f>IFERROR(__xludf.DUMMYFUNCTION("""COMPUTED_VALUE"""),"ner")</f>
        <v>ner</v>
      </c>
      <c r="C11669" t="str">
        <f>IFERROR(__xludf.DUMMYFUNCTION("""COMPUTED_VALUE"""),"Niger")</f>
        <v>Niger</v>
      </c>
      <c r="D11669">
        <f>IFERROR(__xludf.DUMMYFUNCTION("""COMPUTED_VALUE"""),1967.0)</f>
        <v>1967</v>
      </c>
      <c r="E11669">
        <f>IFERROR(__xludf.DUMMYFUNCTION("""COMPUTED_VALUE"""),4144395.0)</f>
        <v>4144395</v>
      </c>
    </row>
    <row r="11670">
      <c r="A11670" t="str">
        <f t="shared" si="1"/>
        <v>ner#1968</v>
      </c>
      <c r="B11670" t="str">
        <f>IFERROR(__xludf.DUMMYFUNCTION("""COMPUTED_VALUE"""),"ner")</f>
        <v>ner</v>
      </c>
      <c r="C11670" t="str">
        <f>IFERROR(__xludf.DUMMYFUNCTION("""COMPUTED_VALUE"""),"Niger")</f>
        <v>Niger</v>
      </c>
      <c r="D11670">
        <f>IFERROR(__xludf.DUMMYFUNCTION("""COMPUTED_VALUE"""),1968.0)</f>
        <v>1968</v>
      </c>
      <c r="E11670">
        <f>IFERROR(__xludf.DUMMYFUNCTION("""COMPUTED_VALUE"""),4263745.0)</f>
        <v>4263745</v>
      </c>
    </row>
    <row r="11671">
      <c r="A11671" t="str">
        <f t="shared" si="1"/>
        <v>ner#1969</v>
      </c>
      <c r="B11671" t="str">
        <f>IFERROR(__xludf.DUMMYFUNCTION("""COMPUTED_VALUE"""),"ner")</f>
        <v>ner</v>
      </c>
      <c r="C11671" t="str">
        <f>IFERROR(__xludf.DUMMYFUNCTION("""COMPUTED_VALUE"""),"Niger")</f>
        <v>Niger</v>
      </c>
      <c r="D11671">
        <f>IFERROR(__xludf.DUMMYFUNCTION("""COMPUTED_VALUE"""),1969.0)</f>
        <v>1969</v>
      </c>
      <c r="E11671">
        <f>IFERROR(__xludf.DUMMYFUNCTION("""COMPUTED_VALUE"""),4385758.0)</f>
        <v>4385758</v>
      </c>
    </row>
    <row r="11672">
      <c r="A11672" t="str">
        <f t="shared" si="1"/>
        <v>ner#1970</v>
      </c>
      <c r="B11672" t="str">
        <f>IFERROR(__xludf.DUMMYFUNCTION("""COMPUTED_VALUE"""),"ner")</f>
        <v>ner</v>
      </c>
      <c r="C11672" t="str">
        <f>IFERROR(__xludf.DUMMYFUNCTION("""COMPUTED_VALUE"""),"Niger")</f>
        <v>Niger</v>
      </c>
      <c r="D11672">
        <f>IFERROR(__xludf.DUMMYFUNCTION("""COMPUTED_VALUE"""),1970.0)</f>
        <v>1970</v>
      </c>
      <c r="E11672">
        <f>IFERROR(__xludf.DUMMYFUNCTION("""COMPUTED_VALUE"""),4510479.0)</f>
        <v>4510479</v>
      </c>
    </row>
    <row r="11673">
      <c r="A11673" t="str">
        <f t="shared" si="1"/>
        <v>ner#1971</v>
      </c>
      <c r="B11673" t="str">
        <f>IFERROR(__xludf.DUMMYFUNCTION("""COMPUTED_VALUE"""),"ner")</f>
        <v>ner</v>
      </c>
      <c r="C11673" t="str">
        <f>IFERROR(__xludf.DUMMYFUNCTION("""COMPUTED_VALUE"""),"Niger")</f>
        <v>Niger</v>
      </c>
      <c r="D11673">
        <f>IFERROR(__xludf.DUMMYFUNCTION("""COMPUTED_VALUE"""),1971.0)</f>
        <v>1971</v>
      </c>
      <c r="E11673">
        <f>IFERROR(__xludf.DUMMYFUNCTION("""COMPUTED_VALUE"""),4637829.0)</f>
        <v>4637829</v>
      </c>
    </row>
    <row r="11674">
      <c r="A11674" t="str">
        <f t="shared" si="1"/>
        <v>ner#1972</v>
      </c>
      <c r="B11674" t="str">
        <f>IFERROR(__xludf.DUMMYFUNCTION("""COMPUTED_VALUE"""),"ner")</f>
        <v>ner</v>
      </c>
      <c r="C11674" t="str">
        <f>IFERROR(__xludf.DUMMYFUNCTION("""COMPUTED_VALUE"""),"Niger")</f>
        <v>Niger</v>
      </c>
      <c r="D11674">
        <f>IFERROR(__xludf.DUMMYFUNCTION("""COMPUTED_VALUE"""),1972.0)</f>
        <v>1972</v>
      </c>
      <c r="E11674">
        <f>IFERROR(__xludf.DUMMYFUNCTION("""COMPUTED_VALUE"""),4768078.0)</f>
        <v>4768078</v>
      </c>
    </row>
    <row r="11675">
      <c r="A11675" t="str">
        <f t="shared" si="1"/>
        <v>ner#1973</v>
      </c>
      <c r="B11675" t="str">
        <f>IFERROR(__xludf.DUMMYFUNCTION("""COMPUTED_VALUE"""),"ner")</f>
        <v>ner</v>
      </c>
      <c r="C11675" t="str">
        <f>IFERROR(__xludf.DUMMYFUNCTION("""COMPUTED_VALUE"""),"Niger")</f>
        <v>Niger</v>
      </c>
      <c r="D11675">
        <f>IFERROR(__xludf.DUMMYFUNCTION("""COMPUTED_VALUE"""),1973.0)</f>
        <v>1973</v>
      </c>
      <c r="E11675">
        <f>IFERROR(__xludf.DUMMYFUNCTION("""COMPUTED_VALUE"""),4902006.0)</f>
        <v>4902006</v>
      </c>
    </row>
    <row r="11676">
      <c r="A11676" t="str">
        <f t="shared" si="1"/>
        <v>ner#1974</v>
      </c>
      <c r="B11676" t="str">
        <f>IFERROR(__xludf.DUMMYFUNCTION("""COMPUTED_VALUE"""),"ner")</f>
        <v>ner</v>
      </c>
      <c r="C11676" t="str">
        <f>IFERROR(__xludf.DUMMYFUNCTION("""COMPUTED_VALUE"""),"Niger")</f>
        <v>Niger</v>
      </c>
      <c r="D11676">
        <f>IFERROR(__xludf.DUMMYFUNCTION("""COMPUTED_VALUE"""),1974.0)</f>
        <v>1974</v>
      </c>
      <c r="E11676">
        <f>IFERROR(__xludf.DUMMYFUNCTION("""COMPUTED_VALUE"""),5040656.0)</f>
        <v>5040656</v>
      </c>
    </row>
    <row r="11677">
      <c r="A11677" t="str">
        <f t="shared" si="1"/>
        <v>ner#1975</v>
      </c>
      <c r="B11677" t="str">
        <f>IFERROR(__xludf.DUMMYFUNCTION("""COMPUTED_VALUE"""),"ner")</f>
        <v>ner</v>
      </c>
      <c r="C11677" t="str">
        <f>IFERROR(__xludf.DUMMYFUNCTION("""COMPUTED_VALUE"""),"Niger")</f>
        <v>Niger</v>
      </c>
      <c r="D11677">
        <f>IFERROR(__xludf.DUMMYFUNCTION("""COMPUTED_VALUE"""),1975.0)</f>
        <v>1975</v>
      </c>
      <c r="E11677">
        <f>IFERROR(__xludf.DUMMYFUNCTION("""COMPUTED_VALUE"""),5184811.0)</f>
        <v>5184811</v>
      </c>
    </row>
    <row r="11678">
      <c r="A11678" t="str">
        <f t="shared" si="1"/>
        <v>ner#1976</v>
      </c>
      <c r="B11678" t="str">
        <f>IFERROR(__xludf.DUMMYFUNCTION("""COMPUTED_VALUE"""),"ner")</f>
        <v>ner</v>
      </c>
      <c r="C11678" t="str">
        <f>IFERROR(__xludf.DUMMYFUNCTION("""COMPUTED_VALUE"""),"Niger")</f>
        <v>Niger</v>
      </c>
      <c r="D11678">
        <f>IFERROR(__xludf.DUMMYFUNCTION("""COMPUTED_VALUE"""),1976.0)</f>
        <v>1976</v>
      </c>
      <c r="E11678">
        <f>IFERROR(__xludf.DUMMYFUNCTION("""COMPUTED_VALUE"""),5334918.0)</f>
        <v>5334918</v>
      </c>
    </row>
    <row r="11679">
      <c r="A11679" t="str">
        <f t="shared" si="1"/>
        <v>ner#1977</v>
      </c>
      <c r="B11679" t="str">
        <f>IFERROR(__xludf.DUMMYFUNCTION("""COMPUTED_VALUE"""),"ner")</f>
        <v>ner</v>
      </c>
      <c r="C11679" t="str">
        <f>IFERROR(__xludf.DUMMYFUNCTION("""COMPUTED_VALUE"""),"Niger")</f>
        <v>Niger</v>
      </c>
      <c r="D11679">
        <f>IFERROR(__xludf.DUMMYFUNCTION("""COMPUTED_VALUE"""),1977.0)</f>
        <v>1977</v>
      </c>
      <c r="E11679">
        <f>IFERROR(__xludf.DUMMYFUNCTION("""COMPUTED_VALUE"""),5490921.0)</f>
        <v>5490921</v>
      </c>
    </row>
    <row r="11680">
      <c r="A11680" t="str">
        <f t="shared" si="1"/>
        <v>ner#1978</v>
      </c>
      <c r="B11680" t="str">
        <f>IFERROR(__xludf.DUMMYFUNCTION("""COMPUTED_VALUE"""),"ner")</f>
        <v>ner</v>
      </c>
      <c r="C11680" t="str">
        <f>IFERROR(__xludf.DUMMYFUNCTION("""COMPUTED_VALUE"""),"Niger")</f>
        <v>Niger</v>
      </c>
      <c r="D11680">
        <f>IFERROR(__xludf.DUMMYFUNCTION("""COMPUTED_VALUE"""),1978.0)</f>
        <v>1978</v>
      </c>
      <c r="E11680">
        <f>IFERROR(__xludf.DUMMYFUNCTION("""COMPUTED_VALUE"""),5652355.0)</f>
        <v>5652355</v>
      </c>
    </row>
    <row r="11681">
      <c r="A11681" t="str">
        <f t="shared" si="1"/>
        <v>ner#1979</v>
      </c>
      <c r="B11681" t="str">
        <f>IFERROR(__xludf.DUMMYFUNCTION("""COMPUTED_VALUE"""),"ner")</f>
        <v>ner</v>
      </c>
      <c r="C11681" t="str">
        <f>IFERROR(__xludf.DUMMYFUNCTION("""COMPUTED_VALUE"""),"Niger")</f>
        <v>Niger</v>
      </c>
      <c r="D11681">
        <f>IFERROR(__xludf.DUMMYFUNCTION("""COMPUTED_VALUE"""),1979.0)</f>
        <v>1979</v>
      </c>
      <c r="E11681">
        <f>IFERROR(__xludf.DUMMYFUNCTION("""COMPUTED_VALUE"""),5818506.0)</f>
        <v>5818506</v>
      </c>
    </row>
    <row r="11682">
      <c r="A11682" t="str">
        <f t="shared" si="1"/>
        <v>ner#1980</v>
      </c>
      <c r="B11682" t="str">
        <f>IFERROR(__xludf.DUMMYFUNCTION("""COMPUTED_VALUE"""),"ner")</f>
        <v>ner</v>
      </c>
      <c r="C11682" t="str">
        <f>IFERROR(__xludf.DUMMYFUNCTION("""COMPUTED_VALUE"""),"Niger")</f>
        <v>Niger</v>
      </c>
      <c r="D11682">
        <f>IFERROR(__xludf.DUMMYFUNCTION("""COMPUTED_VALUE"""),1980.0)</f>
        <v>1980</v>
      </c>
      <c r="E11682">
        <f>IFERROR(__xludf.DUMMYFUNCTION("""COMPUTED_VALUE"""),5988904.0)</f>
        <v>5988904</v>
      </c>
    </row>
    <row r="11683">
      <c r="A11683" t="str">
        <f t="shared" si="1"/>
        <v>ner#1981</v>
      </c>
      <c r="B11683" t="str">
        <f>IFERROR(__xludf.DUMMYFUNCTION("""COMPUTED_VALUE"""),"ner")</f>
        <v>ner</v>
      </c>
      <c r="C11683" t="str">
        <f>IFERROR(__xludf.DUMMYFUNCTION("""COMPUTED_VALUE"""),"Niger")</f>
        <v>Niger</v>
      </c>
      <c r="D11683">
        <f>IFERROR(__xludf.DUMMYFUNCTION("""COMPUTED_VALUE"""),1981.0)</f>
        <v>1981</v>
      </c>
      <c r="E11683">
        <f>IFERROR(__xludf.DUMMYFUNCTION("""COMPUTED_VALUE"""),6164006.0)</f>
        <v>6164006</v>
      </c>
    </row>
    <row r="11684">
      <c r="A11684" t="str">
        <f t="shared" si="1"/>
        <v>ner#1982</v>
      </c>
      <c r="B11684" t="str">
        <f>IFERROR(__xludf.DUMMYFUNCTION("""COMPUTED_VALUE"""),"ner")</f>
        <v>ner</v>
      </c>
      <c r="C11684" t="str">
        <f>IFERROR(__xludf.DUMMYFUNCTION("""COMPUTED_VALUE"""),"Niger")</f>
        <v>Niger</v>
      </c>
      <c r="D11684">
        <f>IFERROR(__xludf.DUMMYFUNCTION("""COMPUTED_VALUE"""),1982.0)</f>
        <v>1982</v>
      </c>
      <c r="E11684">
        <f>IFERROR(__xludf.DUMMYFUNCTION("""COMPUTED_VALUE"""),6344382.0)</f>
        <v>6344382</v>
      </c>
    </row>
    <row r="11685">
      <c r="A11685" t="str">
        <f t="shared" si="1"/>
        <v>ner#1983</v>
      </c>
      <c r="B11685" t="str">
        <f>IFERROR(__xludf.DUMMYFUNCTION("""COMPUTED_VALUE"""),"ner")</f>
        <v>ner</v>
      </c>
      <c r="C11685" t="str">
        <f>IFERROR(__xludf.DUMMYFUNCTION("""COMPUTED_VALUE"""),"Niger")</f>
        <v>Niger</v>
      </c>
      <c r="D11685">
        <f>IFERROR(__xludf.DUMMYFUNCTION("""COMPUTED_VALUE"""),1983.0)</f>
        <v>1983</v>
      </c>
      <c r="E11685">
        <f>IFERROR(__xludf.DUMMYFUNCTION("""COMPUTED_VALUE"""),6529894.0)</f>
        <v>6529894</v>
      </c>
    </row>
    <row r="11686">
      <c r="A11686" t="str">
        <f t="shared" si="1"/>
        <v>ner#1984</v>
      </c>
      <c r="B11686" t="str">
        <f>IFERROR(__xludf.DUMMYFUNCTION("""COMPUTED_VALUE"""),"ner")</f>
        <v>ner</v>
      </c>
      <c r="C11686" t="str">
        <f>IFERROR(__xludf.DUMMYFUNCTION("""COMPUTED_VALUE"""),"Niger")</f>
        <v>Niger</v>
      </c>
      <c r="D11686">
        <f>IFERROR(__xludf.DUMMYFUNCTION("""COMPUTED_VALUE"""),1984.0)</f>
        <v>1984</v>
      </c>
      <c r="E11686">
        <f>IFERROR(__xludf.DUMMYFUNCTION("""COMPUTED_VALUE"""),6720344.0)</f>
        <v>6720344</v>
      </c>
    </row>
    <row r="11687">
      <c r="A11687" t="str">
        <f t="shared" si="1"/>
        <v>ner#1985</v>
      </c>
      <c r="B11687" t="str">
        <f>IFERROR(__xludf.DUMMYFUNCTION("""COMPUTED_VALUE"""),"ner")</f>
        <v>ner</v>
      </c>
      <c r="C11687" t="str">
        <f>IFERROR(__xludf.DUMMYFUNCTION("""COMPUTED_VALUE"""),"Niger")</f>
        <v>Niger</v>
      </c>
      <c r="D11687">
        <f>IFERROR(__xludf.DUMMYFUNCTION("""COMPUTED_VALUE"""),1985.0)</f>
        <v>1985</v>
      </c>
      <c r="E11687">
        <f>IFERROR(__xludf.DUMMYFUNCTION("""COMPUTED_VALUE"""),6915927.0)</f>
        <v>6915927</v>
      </c>
    </row>
    <row r="11688">
      <c r="A11688" t="str">
        <f t="shared" si="1"/>
        <v>ner#1986</v>
      </c>
      <c r="B11688" t="str">
        <f>IFERROR(__xludf.DUMMYFUNCTION("""COMPUTED_VALUE"""),"ner")</f>
        <v>ner</v>
      </c>
      <c r="C11688" t="str">
        <f>IFERROR(__xludf.DUMMYFUNCTION("""COMPUTED_VALUE"""),"Niger")</f>
        <v>Niger</v>
      </c>
      <c r="D11688">
        <f>IFERROR(__xludf.DUMMYFUNCTION("""COMPUTED_VALUE"""),1986.0)</f>
        <v>1986</v>
      </c>
      <c r="E11688">
        <f>IFERROR(__xludf.DUMMYFUNCTION("""COMPUTED_VALUE"""),7116744.0)</f>
        <v>7116744</v>
      </c>
    </row>
    <row r="11689">
      <c r="A11689" t="str">
        <f t="shared" si="1"/>
        <v>ner#1987</v>
      </c>
      <c r="B11689" t="str">
        <f>IFERROR(__xludf.DUMMYFUNCTION("""COMPUTED_VALUE"""),"ner")</f>
        <v>ner</v>
      </c>
      <c r="C11689" t="str">
        <f>IFERROR(__xludf.DUMMYFUNCTION("""COMPUTED_VALUE"""),"Niger")</f>
        <v>Niger</v>
      </c>
      <c r="D11689">
        <f>IFERROR(__xludf.DUMMYFUNCTION("""COMPUTED_VALUE"""),1987.0)</f>
        <v>1987</v>
      </c>
      <c r="E11689">
        <f>IFERROR(__xludf.DUMMYFUNCTION("""COMPUTED_VALUE"""),7323969.0)</f>
        <v>7323969</v>
      </c>
    </row>
    <row r="11690">
      <c r="A11690" t="str">
        <f t="shared" si="1"/>
        <v>ner#1988</v>
      </c>
      <c r="B11690" t="str">
        <f>IFERROR(__xludf.DUMMYFUNCTION("""COMPUTED_VALUE"""),"ner")</f>
        <v>ner</v>
      </c>
      <c r="C11690" t="str">
        <f>IFERROR(__xludf.DUMMYFUNCTION("""COMPUTED_VALUE"""),"Niger")</f>
        <v>Niger</v>
      </c>
      <c r="D11690">
        <f>IFERROR(__xludf.DUMMYFUNCTION("""COMPUTED_VALUE"""),1988.0)</f>
        <v>1988</v>
      </c>
      <c r="E11690">
        <f>IFERROR(__xludf.DUMMYFUNCTION("""COMPUTED_VALUE"""),7540253.0)</f>
        <v>7540253</v>
      </c>
    </row>
    <row r="11691">
      <c r="A11691" t="str">
        <f t="shared" si="1"/>
        <v>ner#1989</v>
      </c>
      <c r="B11691" t="str">
        <f>IFERROR(__xludf.DUMMYFUNCTION("""COMPUTED_VALUE"""),"ner")</f>
        <v>ner</v>
      </c>
      <c r="C11691" t="str">
        <f>IFERROR(__xludf.DUMMYFUNCTION("""COMPUTED_VALUE"""),"Niger")</f>
        <v>Niger</v>
      </c>
      <c r="D11691">
        <f>IFERROR(__xludf.DUMMYFUNCTION("""COMPUTED_VALUE"""),1989.0)</f>
        <v>1989</v>
      </c>
      <c r="E11691">
        <f>IFERROR(__xludf.DUMMYFUNCTION("""COMPUTED_VALUE"""),7768995.0)</f>
        <v>7768995</v>
      </c>
    </row>
    <row r="11692">
      <c r="A11692" t="str">
        <f t="shared" si="1"/>
        <v>ner#1990</v>
      </c>
      <c r="B11692" t="str">
        <f>IFERROR(__xludf.DUMMYFUNCTION("""COMPUTED_VALUE"""),"ner")</f>
        <v>ner</v>
      </c>
      <c r="C11692" t="str">
        <f>IFERROR(__xludf.DUMMYFUNCTION("""COMPUTED_VALUE"""),"Niger")</f>
        <v>Niger</v>
      </c>
      <c r="D11692">
        <f>IFERROR(__xludf.DUMMYFUNCTION("""COMPUTED_VALUE"""),1990.0)</f>
        <v>1990</v>
      </c>
      <c r="E11692">
        <f>IFERROR(__xludf.DUMMYFUNCTION("""COMPUTED_VALUE"""),8012861.0)</f>
        <v>8012861</v>
      </c>
    </row>
    <row r="11693">
      <c r="A11693" t="str">
        <f t="shared" si="1"/>
        <v>ner#1991</v>
      </c>
      <c r="B11693" t="str">
        <f>IFERROR(__xludf.DUMMYFUNCTION("""COMPUTED_VALUE"""),"ner")</f>
        <v>ner</v>
      </c>
      <c r="C11693" t="str">
        <f>IFERROR(__xludf.DUMMYFUNCTION("""COMPUTED_VALUE"""),"Niger")</f>
        <v>Niger</v>
      </c>
      <c r="D11693">
        <f>IFERROR(__xludf.DUMMYFUNCTION("""COMPUTED_VALUE"""),1991.0)</f>
        <v>1991</v>
      </c>
      <c r="E11693">
        <f>IFERROR(__xludf.DUMMYFUNCTION("""COMPUTED_VALUE"""),8272976.0)</f>
        <v>8272976</v>
      </c>
    </row>
    <row r="11694">
      <c r="A11694" t="str">
        <f t="shared" si="1"/>
        <v>ner#1992</v>
      </c>
      <c r="B11694" t="str">
        <f>IFERROR(__xludf.DUMMYFUNCTION("""COMPUTED_VALUE"""),"ner")</f>
        <v>ner</v>
      </c>
      <c r="C11694" t="str">
        <f>IFERROR(__xludf.DUMMYFUNCTION("""COMPUTED_VALUE"""),"Niger")</f>
        <v>Niger</v>
      </c>
      <c r="D11694">
        <f>IFERROR(__xludf.DUMMYFUNCTION("""COMPUTED_VALUE"""),1992.0)</f>
        <v>1992</v>
      </c>
      <c r="E11694">
        <f>IFERROR(__xludf.DUMMYFUNCTION("""COMPUTED_VALUE"""),8549424.0)</f>
        <v>8549424</v>
      </c>
    </row>
    <row r="11695">
      <c r="A11695" t="str">
        <f t="shared" si="1"/>
        <v>ner#1993</v>
      </c>
      <c r="B11695" t="str">
        <f>IFERROR(__xludf.DUMMYFUNCTION("""COMPUTED_VALUE"""),"ner")</f>
        <v>ner</v>
      </c>
      <c r="C11695" t="str">
        <f>IFERROR(__xludf.DUMMYFUNCTION("""COMPUTED_VALUE"""),"Niger")</f>
        <v>Niger</v>
      </c>
      <c r="D11695">
        <f>IFERROR(__xludf.DUMMYFUNCTION("""COMPUTED_VALUE"""),1993.0)</f>
        <v>1993</v>
      </c>
      <c r="E11695">
        <f>IFERROR(__xludf.DUMMYFUNCTION("""COMPUTED_VALUE"""),8842415.0)</f>
        <v>8842415</v>
      </c>
    </row>
    <row r="11696">
      <c r="A11696" t="str">
        <f t="shared" si="1"/>
        <v>ner#1994</v>
      </c>
      <c r="B11696" t="str">
        <f>IFERROR(__xludf.DUMMYFUNCTION("""COMPUTED_VALUE"""),"ner")</f>
        <v>ner</v>
      </c>
      <c r="C11696" t="str">
        <f>IFERROR(__xludf.DUMMYFUNCTION("""COMPUTED_VALUE"""),"Niger")</f>
        <v>Niger</v>
      </c>
      <c r="D11696">
        <f>IFERROR(__xludf.DUMMYFUNCTION("""COMPUTED_VALUE"""),1994.0)</f>
        <v>1994</v>
      </c>
      <c r="E11696">
        <f>IFERROR(__xludf.DUMMYFUNCTION("""COMPUTED_VALUE"""),9151763.0)</f>
        <v>9151763</v>
      </c>
    </row>
    <row r="11697">
      <c r="A11697" t="str">
        <f t="shared" si="1"/>
        <v>ner#1995</v>
      </c>
      <c r="B11697" t="str">
        <f>IFERROR(__xludf.DUMMYFUNCTION("""COMPUTED_VALUE"""),"ner")</f>
        <v>ner</v>
      </c>
      <c r="C11697" t="str">
        <f>IFERROR(__xludf.DUMMYFUNCTION("""COMPUTED_VALUE"""),"Niger")</f>
        <v>Niger</v>
      </c>
      <c r="D11697">
        <f>IFERROR(__xludf.DUMMYFUNCTION("""COMPUTED_VALUE"""),1995.0)</f>
        <v>1995</v>
      </c>
      <c r="E11697">
        <f>IFERROR(__xludf.DUMMYFUNCTION("""COMPUTED_VALUE"""),9477333.0)</f>
        <v>9477333</v>
      </c>
    </row>
    <row r="11698">
      <c r="A11698" t="str">
        <f t="shared" si="1"/>
        <v>ner#1996</v>
      </c>
      <c r="B11698" t="str">
        <f>IFERROR(__xludf.DUMMYFUNCTION("""COMPUTED_VALUE"""),"ner")</f>
        <v>ner</v>
      </c>
      <c r="C11698" t="str">
        <f>IFERROR(__xludf.DUMMYFUNCTION("""COMPUTED_VALUE"""),"Niger")</f>
        <v>Niger</v>
      </c>
      <c r="D11698">
        <f>IFERROR(__xludf.DUMMYFUNCTION("""COMPUTED_VALUE"""),1996.0)</f>
        <v>1996</v>
      </c>
      <c r="E11698">
        <f>IFERROR(__xludf.DUMMYFUNCTION("""COMPUTED_VALUE"""),9819964.0)</f>
        <v>9819964</v>
      </c>
    </row>
    <row r="11699">
      <c r="A11699" t="str">
        <f t="shared" si="1"/>
        <v>ner#1997</v>
      </c>
      <c r="B11699" t="str">
        <f>IFERROR(__xludf.DUMMYFUNCTION("""COMPUTED_VALUE"""),"ner")</f>
        <v>ner</v>
      </c>
      <c r="C11699" t="str">
        <f>IFERROR(__xludf.DUMMYFUNCTION("""COMPUTED_VALUE"""),"Niger")</f>
        <v>Niger</v>
      </c>
      <c r="D11699">
        <f>IFERROR(__xludf.DUMMYFUNCTION("""COMPUTED_VALUE"""),1997.0)</f>
        <v>1997</v>
      </c>
      <c r="E11699">
        <f>IFERROR(__xludf.DUMMYFUNCTION("""COMPUTED_VALUE"""),1.0180061E7)</f>
        <v>10180061</v>
      </c>
    </row>
    <row r="11700">
      <c r="A11700" t="str">
        <f t="shared" si="1"/>
        <v>ner#1998</v>
      </c>
      <c r="B11700" t="str">
        <f>IFERROR(__xludf.DUMMYFUNCTION("""COMPUTED_VALUE"""),"ner")</f>
        <v>ner</v>
      </c>
      <c r="C11700" t="str">
        <f>IFERROR(__xludf.DUMMYFUNCTION("""COMPUTED_VALUE"""),"Niger")</f>
        <v>Niger</v>
      </c>
      <c r="D11700">
        <f>IFERROR(__xludf.DUMMYFUNCTION("""COMPUTED_VALUE"""),1998.0)</f>
        <v>1998</v>
      </c>
      <c r="E11700">
        <f>IFERROR(__xludf.DUMMYFUNCTION("""COMPUTED_VALUE"""),1.0556549E7)</f>
        <v>10556549</v>
      </c>
    </row>
    <row r="11701">
      <c r="A11701" t="str">
        <f t="shared" si="1"/>
        <v>ner#1999</v>
      </c>
      <c r="B11701" t="str">
        <f>IFERROR(__xludf.DUMMYFUNCTION("""COMPUTED_VALUE"""),"ner")</f>
        <v>ner</v>
      </c>
      <c r="C11701" t="str">
        <f>IFERROR(__xludf.DUMMYFUNCTION("""COMPUTED_VALUE"""),"Niger")</f>
        <v>Niger</v>
      </c>
      <c r="D11701">
        <f>IFERROR(__xludf.DUMMYFUNCTION("""COMPUTED_VALUE"""),1999.0)</f>
        <v>1999</v>
      </c>
      <c r="E11701">
        <f>IFERROR(__xludf.DUMMYFUNCTION("""COMPUTED_VALUE"""),1.0947829E7)</f>
        <v>10947829</v>
      </c>
    </row>
    <row r="11702">
      <c r="A11702" t="str">
        <f t="shared" si="1"/>
        <v>ner#2000</v>
      </c>
      <c r="B11702" t="str">
        <f>IFERROR(__xludf.DUMMYFUNCTION("""COMPUTED_VALUE"""),"ner")</f>
        <v>ner</v>
      </c>
      <c r="C11702" t="str">
        <f>IFERROR(__xludf.DUMMYFUNCTION("""COMPUTED_VALUE"""),"Niger")</f>
        <v>Niger</v>
      </c>
      <c r="D11702">
        <f>IFERROR(__xludf.DUMMYFUNCTION("""COMPUTED_VALUE"""),2000.0)</f>
        <v>2000</v>
      </c>
      <c r="E11702">
        <f>IFERROR(__xludf.DUMMYFUNCTION("""COMPUTED_VALUE"""),1.1352973E7)</f>
        <v>11352973</v>
      </c>
    </row>
    <row r="11703">
      <c r="A11703" t="str">
        <f t="shared" si="1"/>
        <v>ner#2001</v>
      </c>
      <c r="B11703" t="str">
        <f>IFERROR(__xludf.DUMMYFUNCTION("""COMPUTED_VALUE"""),"ner")</f>
        <v>ner</v>
      </c>
      <c r="C11703" t="str">
        <f>IFERROR(__xludf.DUMMYFUNCTION("""COMPUTED_VALUE"""),"Niger")</f>
        <v>Niger</v>
      </c>
      <c r="D11703">
        <f>IFERROR(__xludf.DUMMYFUNCTION("""COMPUTED_VALUE"""),2001.0)</f>
        <v>2001</v>
      </c>
      <c r="E11703">
        <f>IFERROR(__xludf.DUMMYFUNCTION("""COMPUTED_VALUE"""),1.1771976E7)</f>
        <v>11771976</v>
      </c>
    </row>
    <row r="11704">
      <c r="A11704" t="str">
        <f t="shared" si="1"/>
        <v>ner#2002</v>
      </c>
      <c r="B11704" t="str">
        <f>IFERROR(__xludf.DUMMYFUNCTION("""COMPUTED_VALUE"""),"ner")</f>
        <v>ner</v>
      </c>
      <c r="C11704" t="str">
        <f>IFERROR(__xludf.DUMMYFUNCTION("""COMPUTED_VALUE"""),"Niger")</f>
        <v>Niger</v>
      </c>
      <c r="D11704">
        <f>IFERROR(__xludf.DUMMYFUNCTION("""COMPUTED_VALUE"""),2002.0)</f>
        <v>2002</v>
      </c>
      <c r="E11704">
        <f>IFERROR(__xludf.DUMMYFUNCTION("""COMPUTED_VALUE"""),1.2206002E7)</f>
        <v>12206002</v>
      </c>
    </row>
    <row r="11705">
      <c r="A11705" t="str">
        <f t="shared" si="1"/>
        <v>ner#2003</v>
      </c>
      <c r="B11705" t="str">
        <f>IFERROR(__xludf.DUMMYFUNCTION("""COMPUTED_VALUE"""),"ner")</f>
        <v>ner</v>
      </c>
      <c r="C11705" t="str">
        <f>IFERROR(__xludf.DUMMYFUNCTION("""COMPUTED_VALUE"""),"Niger")</f>
        <v>Niger</v>
      </c>
      <c r="D11705">
        <f>IFERROR(__xludf.DUMMYFUNCTION("""COMPUTED_VALUE"""),2003.0)</f>
        <v>2003</v>
      </c>
      <c r="E11705">
        <f>IFERROR(__xludf.DUMMYFUNCTION("""COMPUTED_VALUE"""),1.265687E7)</f>
        <v>12656870</v>
      </c>
    </row>
    <row r="11706">
      <c r="A11706" t="str">
        <f t="shared" si="1"/>
        <v>ner#2004</v>
      </c>
      <c r="B11706" t="str">
        <f>IFERROR(__xludf.DUMMYFUNCTION("""COMPUTED_VALUE"""),"ner")</f>
        <v>ner</v>
      </c>
      <c r="C11706" t="str">
        <f>IFERROR(__xludf.DUMMYFUNCTION("""COMPUTED_VALUE"""),"Niger")</f>
        <v>Niger</v>
      </c>
      <c r="D11706">
        <f>IFERROR(__xludf.DUMMYFUNCTION("""COMPUTED_VALUE"""),2004.0)</f>
        <v>2004</v>
      </c>
      <c r="E11706">
        <f>IFERROR(__xludf.DUMMYFUNCTION("""COMPUTED_VALUE"""),1.3127012E7)</f>
        <v>13127012</v>
      </c>
    </row>
    <row r="11707">
      <c r="A11707" t="str">
        <f t="shared" si="1"/>
        <v>ner#2005</v>
      </c>
      <c r="B11707" t="str">
        <f>IFERROR(__xludf.DUMMYFUNCTION("""COMPUTED_VALUE"""),"ner")</f>
        <v>ner</v>
      </c>
      <c r="C11707" t="str">
        <f>IFERROR(__xludf.DUMMYFUNCTION("""COMPUTED_VALUE"""),"Niger")</f>
        <v>Niger</v>
      </c>
      <c r="D11707">
        <f>IFERROR(__xludf.DUMMYFUNCTION("""COMPUTED_VALUE"""),2005.0)</f>
        <v>2005</v>
      </c>
      <c r="E11707">
        <f>IFERROR(__xludf.DUMMYFUNCTION("""COMPUTED_VALUE"""),1.3618449E7)</f>
        <v>13618449</v>
      </c>
    </row>
    <row r="11708">
      <c r="A11708" t="str">
        <f t="shared" si="1"/>
        <v>ner#2006</v>
      </c>
      <c r="B11708" t="str">
        <f>IFERROR(__xludf.DUMMYFUNCTION("""COMPUTED_VALUE"""),"ner")</f>
        <v>ner</v>
      </c>
      <c r="C11708" t="str">
        <f>IFERROR(__xludf.DUMMYFUNCTION("""COMPUTED_VALUE"""),"Niger")</f>
        <v>Niger</v>
      </c>
      <c r="D11708">
        <f>IFERROR(__xludf.DUMMYFUNCTION("""COMPUTED_VALUE"""),2006.0)</f>
        <v>2006</v>
      </c>
      <c r="E11708">
        <f>IFERROR(__xludf.DUMMYFUNCTION("""COMPUTED_VALUE"""),1.4132064E7)</f>
        <v>14132064</v>
      </c>
    </row>
    <row r="11709">
      <c r="A11709" t="str">
        <f t="shared" si="1"/>
        <v>ner#2007</v>
      </c>
      <c r="B11709" t="str">
        <f>IFERROR(__xludf.DUMMYFUNCTION("""COMPUTED_VALUE"""),"ner")</f>
        <v>ner</v>
      </c>
      <c r="C11709" t="str">
        <f>IFERROR(__xludf.DUMMYFUNCTION("""COMPUTED_VALUE"""),"Niger")</f>
        <v>Niger</v>
      </c>
      <c r="D11709">
        <f>IFERROR(__xludf.DUMMYFUNCTION("""COMPUTED_VALUE"""),2007.0)</f>
        <v>2007</v>
      </c>
      <c r="E11709">
        <f>IFERROR(__xludf.DUMMYFUNCTION("""COMPUTED_VALUE"""),1.4668338E7)</f>
        <v>14668338</v>
      </c>
    </row>
    <row r="11710">
      <c r="A11710" t="str">
        <f t="shared" si="1"/>
        <v>ner#2008</v>
      </c>
      <c r="B11710" t="str">
        <f>IFERROR(__xludf.DUMMYFUNCTION("""COMPUTED_VALUE"""),"ner")</f>
        <v>ner</v>
      </c>
      <c r="C11710" t="str">
        <f>IFERROR(__xludf.DUMMYFUNCTION("""COMPUTED_VALUE"""),"Niger")</f>
        <v>Niger</v>
      </c>
      <c r="D11710">
        <f>IFERROR(__xludf.DUMMYFUNCTION("""COMPUTED_VALUE"""),2008.0)</f>
        <v>2008</v>
      </c>
      <c r="E11710">
        <f>IFERROR(__xludf.DUMMYFUNCTION("""COMPUTED_VALUE"""),1.5228525E7)</f>
        <v>15228525</v>
      </c>
    </row>
    <row r="11711">
      <c r="A11711" t="str">
        <f t="shared" si="1"/>
        <v>ner#2009</v>
      </c>
      <c r="B11711" t="str">
        <f>IFERROR(__xludf.DUMMYFUNCTION("""COMPUTED_VALUE"""),"ner")</f>
        <v>ner</v>
      </c>
      <c r="C11711" t="str">
        <f>IFERROR(__xludf.DUMMYFUNCTION("""COMPUTED_VALUE"""),"Niger")</f>
        <v>Niger</v>
      </c>
      <c r="D11711">
        <f>IFERROR(__xludf.DUMMYFUNCTION("""COMPUTED_VALUE"""),2009.0)</f>
        <v>2009</v>
      </c>
      <c r="E11711">
        <f>IFERROR(__xludf.DUMMYFUNCTION("""COMPUTED_VALUE"""),1.5813913E7)</f>
        <v>15813913</v>
      </c>
    </row>
    <row r="11712">
      <c r="A11712" t="str">
        <f t="shared" si="1"/>
        <v>ner#2010</v>
      </c>
      <c r="B11712" t="str">
        <f>IFERROR(__xludf.DUMMYFUNCTION("""COMPUTED_VALUE"""),"ner")</f>
        <v>ner</v>
      </c>
      <c r="C11712" t="str">
        <f>IFERROR(__xludf.DUMMYFUNCTION("""COMPUTED_VALUE"""),"Niger")</f>
        <v>Niger</v>
      </c>
      <c r="D11712">
        <f>IFERROR(__xludf.DUMMYFUNCTION("""COMPUTED_VALUE"""),2010.0)</f>
        <v>2010</v>
      </c>
      <c r="E11712">
        <f>IFERROR(__xludf.DUMMYFUNCTION("""COMPUTED_VALUE"""),1.6425578E7)</f>
        <v>16425578</v>
      </c>
    </row>
    <row r="11713">
      <c r="A11713" t="str">
        <f t="shared" si="1"/>
        <v>ner#2011</v>
      </c>
      <c r="B11713" t="str">
        <f>IFERROR(__xludf.DUMMYFUNCTION("""COMPUTED_VALUE"""),"ner")</f>
        <v>ner</v>
      </c>
      <c r="C11713" t="str">
        <f>IFERROR(__xludf.DUMMYFUNCTION("""COMPUTED_VALUE"""),"Niger")</f>
        <v>Niger</v>
      </c>
      <c r="D11713">
        <f>IFERROR(__xludf.DUMMYFUNCTION("""COMPUTED_VALUE"""),2011.0)</f>
        <v>2011</v>
      </c>
      <c r="E11713">
        <f>IFERROR(__xludf.DUMMYFUNCTION("""COMPUTED_VALUE"""),1.7064636E7)</f>
        <v>17064636</v>
      </c>
    </row>
    <row r="11714">
      <c r="A11714" t="str">
        <f t="shared" si="1"/>
        <v>ner#2012</v>
      </c>
      <c r="B11714" t="str">
        <f>IFERROR(__xludf.DUMMYFUNCTION("""COMPUTED_VALUE"""),"ner")</f>
        <v>ner</v>
      </c>
      <c r="C11714" t="str">
        <f>IFERROR(__xludf.DUMMYFUNCTION("""COMPUTED_VALUE"""),"Niger")</f>
        <v>Niger</v>
      </c>
      <c r="D11714">
        <f>IFERROR(__xludf.DUMMYFUNCTION("""COMPUTED_VALUE"""),2012.0)</f>
        <v>2012</v>
      </c>
      <c r="E11714">
        <f>IFERROR(__xludf.DUMMYFUNCTION("""COMPUTED_VALUE"""),1.7731634E7)</f>
        <v>17731634</v>
      </c>
    </row>
    <row r="11715">
      <c r="A11715" t="str">
        <f t="shared" si="1"/>
        <v>ner#2013</v>
      </c>
      <c r="B11715" t="str">
        <f>IFERROR(__xludf.DUMMYFUNCTION("""COMPUTED_VALUE"""),"ner")</f>
        <v>ner</v>
      </c>
      <c r="C11715" t="str">
        <f>IFERROR(__xludf.DUMMYFUNCTION("""COMPUTED_VALUE"""),"Niger")</f>
        <v>Niger</v>
      </c>
      <c r="D11715">
        <f>IFERROR(__xludf.DUMMYFUNCTION("""COMPUTED_VALUE"""),2013.0)</f>
        <v>2013</v>
      </c>
      <c r="E11715">
        <f>IFERROR(__xludf.DUMMYFUNCTION("""COMPUTED_VALUE"""),1.8426372E7)</f>
        <v>18426372</v>
      </c>
    </row>
    <row r="11716">
      <c r="A11716" t="str">
        <f t="shared" si="1"/>
        <v>ner#2014</v>
      </c>
      <c r="B11716" t="str">
        <f>IFERROR(__xludf.DUMMYFUNCTION("""COMPUTED_VALUE"""),"ner")</f>
        <v>ner</v>
      </c>
      <c r="C11716" t="str">
        <f>IFERROR(__xludf.DUMMYFUNCTION("""COMPUTED_VALUE"""),"Niger")</f>
        <v>Niger</v>
      </c>
      <c r="D11716">
        <f>IFERROR(__xludf.DUMMYFUNCTION("""COMPUTED_VALUE"""),2014.0)</f>
        <v>2014</v>
      </c>
      <c r="E11716">
        <f>IFERROR(__xludf.DUMMYFUNCTION("""COMPUTED_VALUE"""),1.9148219E7)</f>
        <v>19148219</v>
      </c>
    </row>
    <row r="11717">
      <c r="A11717" t="str">
        <f t="shared" si="1"/>
        <v>ner#2015</v>
      </c>
      <c r="B11717" t="str">
        <f>IFERROR(__xludf.DUMMYFUNCTION("""COMPUTED_VALUE"""),"ner")</f>
        <v>ner</v>
      </c>
      <c r="C11717" t="str">
        <f>IFERROR(__xludf.DUMMYFUNCTION("""COMPUTED_VALUE"""),"Niger")</f>
        <v>Niger</v>
      </c>
      <c r="D11717">
        <f>IFERROR(__xludf.DUMMYFUNCTION("""COMPUTED_VALUE"""),2015.0)</f>
        <v>2015</v>
      </c>
      <c r="E11717">
        <f>IFERROR(__xludf.DUMMYFUNCTION("""COMPUTED_VALUE"""),1.9896965E7)</f>
        <v>19896965</v>
      </c>
    </row>
    <row r="11718">
      <c r="A11718" t="str">
        <f t="shared" si="1"/>
        <v>ner#2016</v>
      </c>
      <c r="B11718" t="str">
        <f>IFERROR(__xludf.DUMMYFUNCTION("""COMPUTED_VALUE"""),"ner")</f>
        <v>ner</v>
      </c>
      <c r="C11718" t="str">
        <f>IFERROR(__xludf.DUMMYFUNCTION("""COMPUTED_VALUE"""),"Niger")</f>
        <v>Niger</v>
      </c>
      <c r="D11718">
        <f>IFERROR(__xludf.DUMMYFUNCTION("""COMPUTED_VALUE"""),2016.0)</f>
        <v>2016</v>
      </c>
      <c r="E11718">
        <f>IFERROR(__xludf.DUMMYFUNCTION("""COMPUTED_VALUE"""),2.0672987E7)</f>
        <v>20672987</v>
      </c>
    </row>
    <row r="11719">
      <c r="A11719" t="str">
        <f t="shared" si="1"/>
        <v>ner#2017</v>
      </c>
      <c r="B11719" t="str">
        <f>IFERROR(__xludf.DUMMYFUNCTION("""COMPUTED_VALUE"""),"ner")</f>
        <v>ner</v>
      </c>
      <c r="C11719" t="str">
        <f>IFERROR(__xludf.DUMMYFUNCTION("""COMPUTED_VALUE"""),"Niger")</f>
        <v>Niger</v>
      </c>
      <c r="D11719">
        <f>IFERROR(__xludf.DUMMYFUNCTION("""COMPUTED_VALUE"""),2017.0)</f>
        <v>2017</v>
      </c>
      <c r="E11719">
        <f>IFERROR(__xludf.DUMMYFUNCTION("""COMPUTED_VALUE"""),2.1477348E7)</f>
        <v>21477348</v>
      </c>
    </row>
    <row r="11720">
      <c r="A11720" t="str">
        <f t="shared" si="1"/>
        <v>ner#2018</v>
      </c>
      <c r="B11720" t="str">
        <f>IFERROR(__xludf.DUMMYFUNCTION("""COMPUTED_VALUE"""),"ner")</f>
        <v>ner</v>
      </c>
      <c r="C11720" t="str">
        <f>IFERROR(__xludf.DUMMYFUNCTION("""COMPUTED_VALUE"""),"Niger")</f>
        <v>Niger</v>
      </c>
      <c r="D11720">
        <f>IFERROR(__xludf.DUMMYFUNCTION("""COMPUTED_VALUE"""),2018.0)</f>
        <v>2018</v>
      </c>
      <c r="E11720">
        <f>IFERROR(__xludf.DUMMYFUNCTION("""COMPUTED_VALUE"""),2.2311375E7)</f>
        <v>22311375</v>
      </c>
    </row>
    <row r="11721">
      <c r="A11721" t="str">
        <f t="shared" si="1"/>
        <v>ner#2019</v>
      </c>
      <c r="B11721" t="str">
        <f>IFERROR(__xludf.DUMMYFUNCTION("""COMPUTED_VALUE"""),"ner")</f>
        <v>ner</v>
      </c>
      <c r="C11721" t="str">
        <f>IFERROR(__xludf.DUMMYFUNCTION("""COMPUTED_VALUE"""),"Niger")</f>
        <v>Niger</v>
      </c>
      <c r="D11721">
        <f>IFERROR(__xludf.DUMMYFUNCTION("""COMPUTED_VALUE"""),2019.0)</f>
        <v>2019</v>
      </c>
      <c r="E11721">
        <f>IFERROR(__xludf.DUMMYFUNCTION("""COMPUTED_VALUE"""),2.3176691E7)</f>
        <v>23176691</v>
      </c>
    </row>
    <row r="11722">
      <c r="A11722" t="str">
        <f t="shared" si="1"/>
        <v>ner#2020</v>
      </c>
      <c r="B11722" t="str">
        <f>IFERROR(__xludf.DUMMYFUNCTION("""COMPUTED_VALUE"""),"ner")</f>
        <v>ner</v>
      </c>
      <c r="C11722" t="str">
        <f>IFERROR(__xludf.DUMMYFUNCTION("""COMPUTED_VALUE"""),"Niger")</f>
        <v>Niger</v>
      </c>
      <c r="D11722">
        <f>IFERROR(__xludf.DUMMYFUNCTION("""COMPUTED_VALUE"""),2020.0)</f>
        <v>2020</v>
      </c>
      <c r="E11722">
        <f>IFERROR(__xludf.DUMMYFUNCTION("""COMPUTED_VALUE"""),2.4074693E7)</f>
        <v>24074693</v>
      </c>
    </row>
    <row r="11723">
      <c r="A11723" t="str">
        <f t="shared" si="1"/>
        <v>ner#2021</v>
      </c>
      <c r="B11723" t="str">
        <f>IFERROR(__xludf.DUMMYFUNCTION("""COMPUTED_VALUE"""),"ner")</f>
        <v>ner</v>
      </c>
      <c r="C11723" t="str">
        <f>IFERROR(__xludf.DUMMYFUNCTION("""COMPUTED_VALUE"""),"Niger")</f>
        <v>Niger</v>
      </c>
      <c r="D11723">
        <f>IFERROR(__xludf.DUMMYFUNCTION("""COMPUTED_VALUE"""),2021.0)</f>
        <v>2021</v>
      </c>
      <c r="E11723">
        <f>IFERROR(__xludf.DUMMYFUNCTION("""COMPUTED_VALUE"""),2.5006169E7)</f>
        <v>25006169</v>
      </c>
    </row>
    <row r="11724">
      <c r="A11724" t="str">
        <f t="shared" si="1"/>
        <v>ner#2022</v>
      </c>
      <c r="B11724" t="str">
        <f>IFERROR(__xludf.DUMMYFUNCTION("""COMPUTED_VALUE"""),"ner")</f>
        <v>ner</v>
      </c>
      <c r="C11724" t="str">
        <f>IFERROR(__xludf.DUMMYFUNCTION("""COMPUTED_VALUE"""),"Niger")</f>
        <v>Niger</v>
      </c>
      <c r="D11724">
        <f>IFERROR(__xludf.DUMMYFUNCTION("""COMPUTED_VALUE"""),2022.0)</f>
        <v>2022</v>
      </c>
      <c r="E11724">
        <f>IFERROR(__xludf.DUMMYFUNCTION("""COMPUTED_VALUE"""),2.597163E7)</f>
        <v>25971630</v>
      </c>
    </row>
    <row r="11725">
      <c r="A11725" t="str">
        <f t="shared" si="1"/>
        <v>ner#2023</v>
      </c>
      <c r="B11725" t="str">
        <f>IFERROR(__xludf.DUMMYFUNCTION("""COMPUTED_VALUE"""),"ner")</f>
        <v>ner</v>
      </c>
      <c r="C11725" t="str">
        <f>IFERROR(__xludf.DUMMYFUNCTION("""COMPUTED_VALUE"""),"Niger")</f>
        <v>Niger</v>
      </c>
      <c r="D11725">
        <f>IFERROR(__xludf.DUMMYFUNCTION("""COMPUTED_VALUE"""),2023.0)</f>
        <v>2023</v>
      </c>
      <c r="E11725">
        <f>IFERROR(__xludf.DUMMYFUNCTION("""COMPUTED_VALUE"""),2.6971755E7)</f>
        <v>26971755</v>
      </c>
    </row>
    <row r="11726">
      <c r="A11726" t="str">
        <f t="shared" si="1"/>
        <v>ner#2024</v>
      </c>
      <c r="B11726" t="str">
        <f>IFERROR(__xludf.DUMMYFUNCTION("""COMPUTED_VALUE"""),"ner")</f>
        <v>ner</v>
      </c>
      <c r="C11726" t="str">
        <f>IFERROR(__xludf.DUMMYFUNCTION("""COMPUTED_VALUE"""),"Niger")</f>
        <v>Niger</v>
      </c>
      <c r="D11726">
        <f>IFERROR(__xludf.DUMMYFUNCTION("""COMPUTED_VALUE"""),2024.0)</f>
        <v>2024</v>
      </c>
      <c r="E11726">
        <f>IFERROR(__xludf.DUMMYFUNCTION("""COMPUTED_VALUE"""),2.8007201E7)</f>
        <v>28007201</v>
      </c>
    </row>
    <row r="11727">
      <c r="A11727" t="str">
        <f t="shared" si="1"/>
        <v>ner#2025</v>
      </c>
      <c r="B11727" t="str">
        <f>IFERROR(__xludf.DUMMYFUNCTION("""COMPUTED_VALUE"""),"ner")</f>
        <v>ner</v>
      </c>
      <c r="C11727" t="str">
        <f>IFERROR(__xludf.DUMMYFUNCTION("""COMPUTED_VALUE"""),"Niger")</f>
        <v>Niger</v>
      </c>
      <c r="D11727">
        <f>IFERROR(__xludf.DUMMYFUNCTION("""COMPUTED_VALUE"""),2025.0)</f>
        <v>2025</v>
      </c>
      <c r="E11727">
        <f>IFERROR(__xludf.DUMMYFUNCTION("""COMPUTED_VALUE"""),2.907859E7)</f>
        <v>29078590</v>
      </c>
    </row>
    <row r="11728">
      <c r="A11728" t="str">
        <f t="shared" si="1"/>
        <v>ner#2026</v>
      </c>
      <c r="B11728" t="str">
        <f>IFERROR(__xludf.DUMMYFUNCTION("""COMPUTED_VALUE"""),"ner")</f>
        <v>ner</v>
      </c>
      <c r="C11728" t="str">
        <f>IFERROR(__xludf.DUMMYFUNCTION("""COMPUTED_VALUE"""),"Niger")</f>
        <v>Niger</v>
      </c>
      <c r="D11728">
        <f>IFERROR(__xludf.DUMMYFUNCTION("""COMPUTED_VALUE"""),2026.0)</f>
        <v>2026</v>
      </c>
      <c r="E11728">
        <f>IFERROR(__xludf.DUMMYFUNCTION("""COMPUTED_VALUE"""),3.0186498E7)</f>
        <v>30186498</v>
      </c>
    </row>
    <row r="11729">
      <c r="A11729" t="str">
        <f t="shared" si="1"/>
        <v>ner#2027</v>
      </c>
      <c r="B11729" t="str">
        <f>IFERROR(__xludf.DUMMYFUNCTION("""COMPUTED_VALUE"""),"ner")</f>
        <v>ner</v>
      </c>
      <c r="C11729" t="str">
        <f>IFERROR(__xludf.DUMMYFUNCTION("""COMPUTED_VALUE"""),"Niger")</f>
        <v>Niger</v>
      </c>
      <c r="D11729">
        <f>IFERROR(__xludf.DUMMYFUNCTION("""COMPUTED_VALUE"""),2027.0)</f>
        <v>2027</v>
      </c>
      <c r="E11729">
        <f>IFERROR(__xludf.DUMMYFUNCTION("""COMPUTED_VALUE"""),3.1331492E7)</f>
        <v>31331492</v>
      </c>
    </row>
    <row r="11730">
      <c r="A11730" t="str">
        <f t="shared" si="1"/>
        <v>ner#2028</v>
      </c>
      <c r="B11730" t="str">
        <f>IFERROR(__xludf.DUMMYFUNCTION("""COMPUTED_VALUE"""),"ner")</f>
        <v>ner</v>
      </c>
      <c r="C11730" t="str">
        <f>IFERROR(__xludf.DUMMYFUNCTION("""COMPUTED_VALUE"""),"Niger")</f>
        <v>Niger</v>
      </c>
      <c r="D11730">
        <f>IFERROR(__xludf.DUMMYFUNCTION("""COMPUTED_VALUE"""),2028.0)</f>
        <v>2028</v>
      </c>
      <c r="E11730">
        <f>IFERROR(__xludf.DUMMYFUNCTION("""COMPUTED_VALUE"""),3.251405E7)</f>
        <v>32514050</v>
      </c>
    </row>
    <row r="11731">
      <c r="A11731" t="str">
        <f t="shared" si="1"/>
        <v>ner#2029</v>
      </c>
      <c r="B11731" t="str">
        <f>IFERROR(__xludf.DUMMYFUNCTION("""COMPUTED_VALUE"""),"ner")</f>
        <v>ner</v>
      </c>
      <c r="C11731" t="str">
        <f>IFERROR(__xludf.DUMMYFUNCTION("""COMPUTED_VALUE"""),"Niger")</f>
        <v>Niger</v>
      </c>
      <c r="D11731">
        <f>IFERROR(__xludf.DUMMYFUNCTION("""COMPUTED_VALUE"""),2029.0)</f>
        <v>2029</v>
      </c>
      <c r="E11731">
        <f>IFERROR(__xludf.DUMMYFUNCTION("""COMPUTED_VALUE"""),3.3734605E7)</f>
        <v>33734605</v>
      </c>
    </row>
    <row r="11732">
      <c r="A11732" t="str">
        <f t="shared" si="1"/>
        <v>ner#2030</v>
      </c>
      <c r="B11732" t="str">
        <f>IFERROR(__xludf.DUMMYFUNCTION("""COMPUTED_VALUE"""),"ner")</f>
        <v>ner</v>
      </c>
      <c r="C11732" t="str">
        <f>IFERROR(__xludf.DUMMYFUNCTION("""COMPUTED_VALUE"""),"Niger")</f>
        <v>Niger</v>
      </c>
      <c r="D11732">
        <f>IFERROR(__xludf.DUMMYFUNCTION("""COMPUTED_VALUE"""),2030.0)</f>
        <v>2030</v>
      </c>
      <c r="E11732">
        <f>IFERROR(__xludf.DUMMYFUNCTION("""COMPUTED_VALUE"""),3.499354E7)</f>
        <v>34993540</v>
      </c>
    </row>
    <row r="11733">
      <c r="A11733" t="str">
        <f t="shared" si="1"/>
        <v>ner#2031</v>
      </c>
      <c r="B11733" t="str">
        <f>IFERROR(__xludf.DUMMYFUNCTION("""COMPUTED_VALUE"""),"ner")</f>
        <v>ner</v>
      </c>
      <c r="C11733" t="str">
        <f>IFERROR(__xludf.DUMMYFUNCTION("""COMPUTED_VALUE"""),"Niger")</f>
        <v>Niger</v>
      </c>
      <c r="D11733">
        <f>IFERROR(__xludf.DUMMYFUNCTION("""COMPUTED_VALUE"""),2031.0)</f>
        <v>2031</v>
      </c>
      <c r="E11733">
        <f>IFERROR(__xludf.DUMMYFUNCTION("""COMPUTED_VALUE"""),3.6291212E7)</f>
        <v>36291212</v>
      </c>
    </row>
    <row r="11734">
      <c r="A11734" t="str">
        <f t="shared" si="1"/>
        <v>ner#2032</v>
      </c>
      <c r="B11734" t="str">
        <f>IFERROR(__xludf.DUMMYFUNCTION("""COMPUTED_VALUE"""),"ner")</f>
        <v>ner</v>
      </c>
      <c r="C11734" t="str">
        <f>IFERROR(__xludf.DUMMYFUNCTION("""COMPUTED_VALUE"""),"Niger")</f>
        <v>Niger</v>
      </c>
      <c r="D11734">
        <f>IFERROR(__xludf.DUMMYFUNCTION("""COMPUTED_VALUE"""),2032.0)</f>
        <v>2032</v>
      </c>
      <c r="E11734">
        <f>IFERROR(__xludf.DUMMYFUNCTION("""COMPUTED_VALUE"""),3.7627934E7)</f>
        <v>37627934</v>
      </c>
    </row>
    <row r="11735">
      <c r="A11735" t="str">
        <f t="shared" si="1"/>
        <v>ner#2033</v>
      </c>
      <c r="B11735" t="str">
        <f>IFERROR(__xludf.DUMMYFUNCTION("""COMPUTED_VALUE"""),"ner")</f>
        <v>ner</v>
      </c>
      <c r="C11735" t="str">
        <f>IFERROR(__xludf.DUMMYFUNCTION("""COMPUTED_VALUE"""),"Niger")</f>
        <v>Niger</v>
      </c>
      <c r="D11735">
        <f>IFERROR(__xludf.DUMMYFUNCTION("""COMPUTED_VALUE"""),2033.0)</f>
        <v>2033</v>
      </c>
      <c r="E11735">
        <f>IFERROR(__xludf.DUMMYFUNCTION("""COMPUTED_VALUE"""),3.9004045E7)</f>
        <v>39004045</v>
      </c>
    </row>
    <row r="11736">
      <c r="A11736" t="str">
        <f t="shared" si="1"/>
        <v>ner#2034</v>
      </c>
      <c r="B11736" t="str">
        <f>IFERROR(__xludf.DUMMYFUNCTION("""COMPUTED_VALUE"""),"ner")</f>
        <v>ner</v>
      </c>
      <c r="C11736" t="str">
        <f>IFERROR(__xludf.DUMMYFUNCTION("""COMPUTED_VALUE"""),"Niger")</f>
        <v>Niger</v>
      </c>
      <c r="D11736">
        <f>IFERROR(__xludf.DUMMYFUNCTION("""COMPUTED_VALUE"""),2034.0)</f>
        <v>2034</v>
      </c>
      <c r="E11736">
        <f>IFERROR(__xludf.DUMMYFUNCTION("""COMPUTED_VALUE"""),4.0419822E7)</f>
        <v>40419822</v>
      </c>
    </row>
    <row r="11737">
      <c r="A11737" t="str">
        <f t="shared" si="1"/>
        <v>ner#2035</v>
      </c>
      <c r="B11737" t="str">
        <f>IFERROR(__xludf.DUMMYFUNCTION("""COMPUTED_VALUE"""),"ner")</f>
        <v>ner</v>
      </c>
      <c r="C11737" t="str">
        <f>IFERROR(__xludf.DUMMYFUNCTION("""COMPUTED_VALUE"""),"Niger")</f>
        <v>Niger</v>
      </c>
      <c r="D11737">
        <f>IFERROR(__xludf.DUMMYFUNCTION("""COMPUTED_VALUE"""),2035.0)</f>
        <v>2035</v>
      </c>
      <c r="E11737">
        <f>IFERROR(__xludf.DUMMYFUNCTION("""COMPUTED_VALUE"""),4.1875504E7)</f>
        <v>41875504</v>
      </c>
    </row>
    <row r="11738">
      <c r="A11738" t="str">
        <f t="shared" si="1"/>
        <v>ner#2036</v>
      </c>
      <c r="B11738" t="str">
        <f>IFERROR(__xludf.DUMMYFUNCTION("""COMPUTED_VALUE"""),"ner")</f>
        <v>ner</v>
      </c>
      <c r="C11738" t="str">
        <f>IFERROR(__xludf.DUMMYFUNCTION("""COMPUTED_VALUE"""),"Niger")</f>
        <v>Niger</v>
      </c>
      <c r="D11738">
        <f>IFERROR(__xludf.DUMMYFUNCTION("""COMPUTED_VALUE"""),2036.0)</f>
        <v>2036</v>
      </c>
      <c r="E11738">
        <f>IFERROR(__xludf.DUMMYFUNCTION("""COMPUTED_VALUE"""),4.3371196E7)</f>
        <v>43371196</v>
      </c>
    </row>
    <row r="11739">
      <c r="A11739" t="str">
        <f t="shared" si="1"/>
        <v>ner#2037</v>
      </c>
      <c r="B11739" t="str">
        <f>IFERROR(__xludf.DUMMYFUNCTION("""COMPUTED_VALUE"""),"ner")</f>
        <v>ner</v>
      </c>
      <c r="C11739" t="str">
        <f>IFERROR(__xludf.DUMMYFUNCTION("""COMPUTED_VALUE"""),"Niger")</f>
        <v>Niger</v>
      </c>
      <c r="D11739">
        <f>IFERROR(__xludf.DUMMYFUNCTION("""COMPUTED_VALUE"""),2037.0)</f>
        <v>2037</v>
      </c>
      <c r="E11739">
        <f>IFERROR(__xludf.DUMMYFUNCTION("""COMPUTED_VALUE"""),4.4906971E7)</f>
        <v>44906971</v>
      </c>
    </row>
    <row r="11740">
      <c r="A11740" t="str">
        <f t="shared" si="1"/>
        <v>ner#2038</v>
      </c>
      <c r="B11740" t="str">
        <f>IFERROR(__xludf.DUMMYFUNCTION("""COMPUTED_VALUE"""),"ner")</f>
        <v>ner</v>
      </c>
      <c r="C11740" t="str">
        <f>IFERROR(__xludf.DUMMYFUNCTION("""COMPUTED_VALUE"""),"Niger")</f>
        <v>Niger</v>
      </c>
      <c r="D11740">
        <f>IFERROR(__xludf.DUMMYFUNCTION("""COMPUTED_VALUE"""),2038.0)</f>
        <v>2038</v>
      </c>
      <c r="E11740">
        <f>IFERROR(__xludf.DUMMYFUNCTION("""COMPUTED_VALUE"""),4.6482854E7)</f>
        <v>46482854</v>
      </c>
    </row>
    <row r="11741">
      <c r="A11741" t="str">
        <f t="shared" si="1"/>
        <v>ner#2039</v>
      </c>
      <c r="B11741" t="str">
        <f>IFERROR(__xludf.DUMMYFUNCTION("""COMPUTED_VALUE"""),"ner")</f>
        <v>ner</v>
      </c>
      <c r="C11741" t="str">
        <f>IFERROR(__xludf.DUMMYFUNCTION("""COMPUTED_VALUE"""),"Niger")</f>
        <v>Niger</v>
      </c>
      <c r="D11741">
        <f>IFERROR(__xludf.DUMMYFUNCTION("""COMPUTED_VALUE"""),2039.0)</f>
        <v>2039</v>
      </c>
      <c r="E11741">
        <f>IFERROR(__xludf.DUMMYFUNCTION("""COMPUTED_VALUE"""),4.8098857E7)</f>
        <v>48098857</v>
      </c>
    </row>
    <row r="11742">
      <c r="A11742" t="str">
        <f t="shared" si="1"/>
        <v>ner#2040</v>
      </c>
      <c r="B11742" t="str">
        <f>IFERROR(__xludf.DUMMYFUNCTION("""COMPUTED_VALUE"""),"ner")</f>
        <v>ner</v>
      </c>
      <c r="C11742" t="str">
        <f>IFERROR(__xludf.DUMMYFUNCTION("""COMPUTED_VALUE"""),"Niger")</f>
        <v>Niger</v>
      </c>
      <c r="D11742">
        <f>IFERROR(__xludf.DUMMYFUNCTION("""COMPUTED_VALUE"""),2040.0)</f>
        <v>2040</v>
      </c>
      <c r="E11742">
        <f>IFERROR(__xludf.DUMMYFUNCTION("""COMPUTED_VALUE"""),4.975492E7)</f>
        <v>49754920</v>
      </c>
    </row>
    <row r="11743">
      <c r="A11743" t="str">
        <f t="shared" si="1"/>
        <v>nga#1950</v>
      </c>
      <c r="B11743" t="str">
        <f>IFERROR(__xludf.DUMMYFUNCTION("""COMPUTED_VALUE"""),"nga")</f>
        <v>nga</v>
      </c>
      <c r="C11743" t="str">
        <f>IFERROR(__xludf.DUMMYFUNCTION("""COMPUTED_VALUE"""),"Nigeria")</f>
        <v>Nigeria</v>
      </c>
      <c r="D11743">
        <f>IFERROR(__xludf.DUMMYFUNCTION("""COMPUTED_VALUE"""),1950.0)</f>
        <v>1950</v>
      </c>
      <c r="E11743">
        <f>IFERROR(__xludf.DUMMYFUNCTION("""COMPUTED_VALUE"""),3.7859744E7)</f>
        <v>37859744</v>
      </c>
    </row>
    <row r="11744">
      <c r="A11744" t="str">
        <f t="shared" si="1"/>
        <v>nga#1951</v>
      </c>
      <c r="B11744" t="str">
        <f>IFERROR(__xludf.DUMMYFUNCTION("""COMPUTED_VALUE"""),"nga")</f>
        <v>nga</v>
      </c>
      <c r="C11744" t="str">
        <f>IFERROR(__xludf.DUMMYFUNCTION("""COMPUTED_VALUE"""),"Nigeria")</f>
        <v>Nigeria</v>
      </c>
      <c r="D11744">
        <f>IFERROR(__xludf.DUMMYFUNCTION("""COMPUTED_VALUE"""),1951.0)</f>
        <v>1951</v>
      </c>
      <c r="E11744">
        <f>IFERROR(__xludf.DUMMYFUNCTION("""COMPUTED_VALUE"""),3.8423978E7)</f>
        <v>38423978</v>
      </c>
    </row>
    <row r="11745">
      <c r="A11745" t="str">
        <f t="shared" si="1"/>
        <v>nga#1952</v>
      </c>
      <c r="B11745" t="str">
        <f>IFERROR(__xludf.DUMMYFUNCTION("""COMPUTED_VALUE"""),"nga")</f>
        <v>nga</v>
      </c>
      <c r="C11745" t="str">
        <f>IFERROR(__xludf.DUMMYFUNCTION("""COMPUTED_VALUE"""),"Nigeria")</f>
        <v>Nigeria</v>
      </c>
      <c r="D11745">
        <f>IFERROR(__xludf.DUMMYFUNCTION("""COMPUTED_VALUE"""),1952.0)</f>
        <v>1952</v>
      </c>
      <c r="E11745">
        <f>IFERROR(__xludf.DUMMYFUNCTION("""COMPUTED_VALUE"""),3.9035145E7)</f>
        <v>39035145</v>
      </c>
    </row>
    <row r="11746">
      <c r="A11746" t="str">
        <f t="shared" si="1"/>
        <v>nga#1953</v>
      </c>
      <c r="B11746" t="str">
        <f>IFERROR(__xludf.DUMMYFUNCTION("""COMPUTED_VALUE"""),"nga")</f>
        <v>nga</v>
      </c>
      <c r="C11746" t="str">
        <f>IFERROR(__xludf.DUMMYFUNCTION("""COMPUTED_VALUE"""),"Nigeria")</f>
        <v>Nigeria</v>
      </c>
      <c r="D11746">
        <f>IFERROR(__xludf.DUMMYFUNCTION("""COMPUTED_VALUE"""),1953.0)</f>
        <v>1953</v>
      </c>
      <c r="E11746">
        <f>IFERROR(__xludf.DUMMYFUNCTION("""COMPUTED_VALUE"""),3.9685757E7)</f>
        <v>39685757</v>
      </c>
    </row>
    <row r="11747">
      <c r="A11747" t="str">
        <f t="shared" si="1"/>
        <v>nga#1954</v>
      </c>
      <c r="B11747" t="str">
        <f>IFERROR(__xludf.DUMMYFUNCTION("""COMPUTED_VALUE"""),"nga")</f>
        <v>nga</v>
      </c>
      <c r="C11747" t="str">
        <f>IFERROR(__xludf.DUMMYFUNCTION("""COMPUTED_VALUE"""),"Nigeria")</f>
        <v>Nigeria</v>
      </c>
      <c r="D11747">
        <f>IFERROR(__xludf.DUMMYFUNCTION("""COMPUTED_VALUE"""),1954.0)</f>
        <v>1954</v>
      </c>
      <c r="E11747">
        <f>IFERROR(__xludf.DUMMYFUNCTION("""COMPUTED_VALUE"""),4.0370373E7)</f>
        <v>40370373</v>
      </c>
    </row>
    <row r="11748">
      <c r="A11748" t="str">
        <f t="shared" si="1"/>
        <v>nga#1955</v>
      </c>
      <c r="B11748" t="str">
        <f>IFERROR(__xludf.DUMMYFUNCTION("""COMPUTED_VALUE"""),"nga")</f>
        <v>nga</v>
      </c>
      <c r="C11748" t="str">
        <f>IFERROR(__xludf.DUMMYFUNCTION("""COMPUTED_VALUE"""),"Nigeria")</f>
        <v>Nigeria</v>
      </c>
      <c r="D11748">
        <f>IFERROR(__xludf.DUMMYFUNCTION("""COMPUTED_VALUE"""),1955.0)</f>
        <v>1955</v>
      </c>
      <c r="E11748">
        <f>IFERROR(__xludf.DUMMYFUNCTION("""COMPUTED_VALUE"""),4.1085563E7)</f>
        <v>41085563</v>
      </c>
    </row>
    <row r="11749">
      <c r="A11749" t="str">
        <f t="shared" si="1"/>
        <v>nga#1956</v>
      </c>
      <c r="B11749" t="str">
        <f>IFERROR(__xludf.DUMMYFUNCTION("""COMPUTED_VALUE"""),"nga")</f>
        <v>nga</v>
      </c>
      <c r="C11749" t="str">
        <f>IFERROR(__xludf.DUMMYFUNCTION("""COMPUTED_VALUE"""),"Nigeria")</f>
        <v>Nigeria</v>
      </c>
      <c r="D11749">
        <f>IFERROR(__xludf.DUMMYFUNCTION("""COMPUTED_VALUE"""),1956.0)</f>
        <v>1956</v>
      </c>
      <c r="E11749">
        <f>IFERROR(__xludf.DUMMYFUNCTION("""COMPUTED_VALUE"""),4.1830031E7)</f>
        <v>41830031</v>
      </c>
    </row>
    <row r="11750">
      <c r="A11750" t="str">
        <f t="shared" si="1"/>
        <v>nga#1957</v>
      </c>
      <c r="B11750" t="str">
        <f>IFERROR(__xludf.DUMMYFUNCTION("""COMPUTED_VALUE"""),"nga")</f>
        <v>nga</v>
      </c>
      <c r="C11750" t="str">
        <f>IFERROR(__xludf.DUMMYFUNCTION("""COMPUTED_VALUE"""),"Nigeria")</f>
        <v>Nigeria</v>
      </c>
      <c r="D11750">
        <f>IFERROR(__xludf.DUMMYFUNCTION("""COMPUTED_VALUE"""),1957.0)</f>
        <v>1957</v>
      </c>
      <c r="E11750">
        <f>IFERROR(__xludf.DUMMYFUNCTION("""COMPUTED_VALUE"""),4.2604508E7)</f>
        <v>42604508</v>
      </c>
    </row>
    <row r="11751">
      <c r="A11751" t="str">
        <f t="shared" si="1"/>
        <v>nga#1958</v>
      </c>
      <c r="B11751" t="str">
        <f>IFERROR(__xludf.DUMMYFUNCTION("""COMPUTED_VALUE"""),"nga")</f>
        <v>nga</v>
      </c>
      <c r="C11751" t="str">
        <f>IFERROR(__xludf.DUMMYFUNCTION("""COMPUTED_VALUE"""),"Nigeria")</f>
        <v>Nigeria</v>
      </c>
      <c r="D11751">
        <f>IFERROR(__xludf.DUMMYFUNCTION("""COMPUTED_VALUE"""),1958.0)</f>
        <v>1958</v>
      </c>
      <c r="E11751">
        <f>IFERROR(__xludf.DUMMYFUNCTION("""COMPUTED_VALUE"""),4.3411475E7)</f>
        <v>43411475</v>
      </c>
    </row>
    <row r="11752">
      <c r="A11752" t="str">
        <f t="shared" si="1"/>
        <v>nga#1959</v>
      </c>
      <c r="B11752" t="str">
        <f>IFERROR(__xludf.DUMMYFUNCTION("""COMPUTED_VALUE"""),"nga")</f>
        <v>nga</v>
      </c>
      <c r="C11752" t="str">
        <f>IFERROR(__xludf.DUMMYFUNCTION("""COMPUTED_VALUE"""),"Nigeria")</f>
        <v>Nigeria</v>
      </c>
      <c r="D11752">
        <f>IFERROR(__xludf.DUMMYFUNCTION("""COMPUTED_VALUE"""),1959.0)</f>
        <v>1959</v>
      </c>
      <c r="E11752">
        <f>IFERROR(__xludf.DUMMYFUNCTION("""COMPUTED_VALUE"""),4.4254686E7)</f>
        <v>44254686</v>
      </c>
    </row>
    <row r="11753">
      <c r="A11753" t="str">
        <f t="shared" si="1"/>
        <v>nga#1960</v>
      </c>
      <c r="B11753" t="str">
        <f>IFERROR(__xludf.DUMMYFUNCTION("""COMPUTED_VALUE"""),"nga")</f>
        <v>nga</v>
      </c>
      <c r="C11753" t="str">
        <f>IFERROR(__xludf.DUMMYFUNCTION("""COMPUTED_VALUE"""),"Nigeria")</f>
        <v>Nigeria</v>
      </c>
      <c r="D11753">
        <f>IFERROR(__xludf.DUMMYFUNCTION("""COMPUTED_VALUE"""),1960.0)</f>
        <v>1960</v>
      </c>
      <c r="E11753">
        <f>IFERROR(__xludf.DUMMYFUNCTION("""COMPUTED_VALUE"""),4.5137812E7)</f>
        <v>45137812</v>
      </c>
    </row>
    <row r="11754">
      <c r="A11754" t="str">
        <f t="shared" si="1"/>
        <v>nga#1961</v>
      </c>
      <c r="B11754" t="str">
        <f>IFERROR(__xludf.DUMMYFUNCTION("""COMPUTED_VALUE"""),"nga")</f>
        <v>nga</v>
      </c>
      <c r="C11754" t="str">
        <f>IFERROR(__xludf.DUMMYFUNCTION("""COMPUTED_VALUE"""),"Nigeria")</f>
        <v>Nigeria</v>
      </c>
      <c r="D11754">
        <f>IFERROR(__xludf.DUMMYFUNCTION("""COMPUTED_VALUE"""),1961.0)</f>
        <v>1961</v>
      </c>
      <c r="E11754">
        <f>IFERROR(__xludf.DUMMYFUNCTION("""COMPUTED_VALUE"""),4.6062905E7)</f>
        <v>46062905</v>
      </c>
    </row>
    <row r="11755">
      <c r="A11755" t="str">
        <f t="shared" si="1"/>
        <v>nga#1962</v>
      </c>
      <c r="B11755" t="str">
        <f>IFERROR(__xludf.DUMMYFUNCTION("""COMPUTED_VALUE"""),"nga")</f>
        <v>nga</v>
      </c>
      <c r="C11755" t="str">
        <f>IFERROR(__xludf.DUMMYFUNCTION("""COMPUTED_VALUE"""),"Nigeria")</f>
        <v>Nigeria</v>
      </c>
      <c r="D11755">
        <f>IFERROR(__xludf.DUMMYFUNCTION("""COMPUTED_VALUE"""),1962.0)</f>
        <v>1962</v>
      </c>
      <c r="E11755">
        <f>IFERROR(__xludf.DUMMYFUNCTION("""COMPUTED_VALUE"""),4.702914E7)</f>
        <v>47029140</v>
      </c>
    </row>
    <row r="11756">
      <c r="A11756" t="str">
        <f t="shared" si="1"/>
        <v>nga#1963</v>
      </c>
      <c r="B11756" t="str">
        <f>IFERROR(__xludf.DUMMYFUNCTION("""COMPUTED_VALUE"""),"nga")</f>
        <v>nga</v>
      </c>
      <c r="C11756" t="str">
        <f>IFERROR(__xludf.DUMMYFUNCTION("""COMPUTED_VALUE"""),"Nigeria")</f>
        <v>Nigeria</v>
      </c>
      <c r="D11756">
        <f>IFERROR(__xludf.DUMMYFUNCTION("""COMPUTED_VALUE"""),1963.0)</f>
        <v>1963</v>
      </c>
      <c r="E11756">
        <f>IFERROR(__xludf.DUMMYFUNCTION("""COMPUTED_VALUE"""),4.8032246E7)</f>
        <v>48032246</v>
      </c>
    </row>
    <row r="11757">
      <c r="A11757" t="str">
        <f t="shared" si="1"/>
        <v>nga#1964</v>
      </c>
      <c r="B11757" t="str">
        <f>IFERROR(__xludf.DUMMYFUNCTION("""COMPUTED_VALUE"""),"nga")</f>
        <v>nga</v>
      </c>
      <c r="C11757" t="str">
        <f>IFERROR(__xludf.DUMMYFUNCTION("""COMPUTED_VALUE"""),"Nigeria")</f>
        <v>Nigeria</v>
      </c>
      <c r="D11757">
        <f>IFERROR(__xludf.DUMMYFUNCTION("""COMPUTED_VALUE"""),1964.0)</f>
        <v>1964</v>
      </c>
      <c r="E11757">
        <f>IFERROR(__xludf.DUMMYFUNCTION("""COMPUTED_VALUE"""),4.9066059E7)</f>
        <v>49066059</v>
      </c>
    </row>
    <row r="11758">
      <c r="A11758" t="str">
        <f t="shared" si="1"/>
        <v>nga#1965</v>
      </c>
      <c r="B11758" t="str">
        <f>IFERROR(__xludf.DUMMYFUNCTION("""COMPUTED_VALUE"""),"nga")</f>
        <v>nga</v>
      </c>
      <c r="C11758" t="str">
        <f>IFERROR(__xludf.DUMMYFUNCTION("""COMPUTED_VALUE"""),"Nigeria")</f>
        <v>Nigeria</v>
      </c>
      <c r="D11758">
        <f>IFERROR(__xludf.DUMMYFUNCTION("""COMPUTED_VALUE"""),1965.0)</f>
        <v>1965</v>
      </c>
      <c r="E11758">
        <f>IFERROR(__xludf.DUMMYFUNCTION("""COMPUTED_VALUE"""),5.0127214E7)</f>
        <v>50127214</v>
      </c>
    </row>
    <row r="11759">
      <c r="A11759" t="str">
        <f t="shared" si="1"/>
        <v>nga#1966</v>
      </c>
      <c r="B11759" t="str">
        <f>IFERROR(__xludf.DUMMYFUNCTION("""COMPUTED_VALUE"""),"nga")</f>
        <v>nga</v>
      </c>
      <c r="C11759" t="str">
        <f>IFERROR(__xludf.DUMMYFUNCTION("""COMPUTED_VALUE"""),"Nigeria")</f>
        <v>Nigeria</v>
      </c>
      <c r="D11759">
        <f>IFERROR(__xludf.DUMMYFUNCTION("""COMPUTED_VALUE"""),1966.0)</f>
        <v>1966</v>
      </c>
      <c r="E11759">
        <f>IFERROR(__xludf.DUMMYFUNCTION("""COMPUTED_VALUE"""),5.1217359E7)</f>
        <v>51217359</v>
      </c>
    </row>
    <row r="11760">
      <c r="A11760" t="str">
        <f t="shared" si="1"/>
        <v>nga#1967</v>
      </c>
      <c r="B11760" t="str">
        <f>IFERROR(__xludf.DUMMYFUNCTION("""COMPUTED_VALUE"""),"nga")</f>
        <v>nga</v>
      </c>
      <c r="C11760" t="str">
        <f>IFERROR(__xludf.DUMMYFUNCTION("""COMPUTED_VALUE"""),"Nigeria")</f>
        <v>Nigeria</v>
      </c>
      <c r="D11760">
        <f>IFERROR(__xludf.DUMMYFUNCTION("""COMPUTED_VALUE"""),1967.0)</f>
        <v>1967</v>
      </c>
      <c r="E11760">
        <f>IFERROR(__xludf.DUMMYFUNCTION("""COMPUTED_VALUE"""),5.2341834E7)</f>
        <v>52341834</v>
      </c>
    </row>
    <row r="11761">
      <c r="A11761" t="str">
        <f t="shared" si="1"/>
        <v>nga#1968</v>
      </c>
      <c r="B11761" t="str">
        <f>IFERROR(__xludf.DUMMYFUNCTION("""COMPUTED_VALUE"""),"nga")</f>
        <v>nga</v>
      </c>
      <c r="C11761" t="str">
        <f>IFERROR(__xludf.DUMMYFUNCTION("""COMPUTED_VALUE"""),"Nigeria")</f>
        <v>Nigeria</v>
      </c>
      <c r="D11761">
        <f>IFERROR(__xludf.DUMMYFUNCTION("""COMPUTED_VALUE"""),1968.0)</f>
        <v>1968</v>
      </c>
      <c r="E11761">
        <f>IFERROR(__xludf.DUMMYFUNCTION("""COMPUTED_VALUE"""),5.3505978E7)</f>
        <v>53505978</v>
      </c>
    </row>
    <row r="11762">
      <c r="A11762" t="str">
        <f t="shared" si="1"/>
        <v>nga#1969</v>
      </c>
      <c r="B11762" t="str">
        <f>IFERROR(__xludf.DUMMYFUNCTION("""COMPUTED_VALUE"""),"nga")</f>
        <v>nga</v>
      </c>
      <c r="C11762" t="str">
        <f>IFERROR(__xludf.DUMMYFUNCTION("""COMPUTED_VALUE"""),"Nigeria")</f>
        <v>Nigeria</v>
      </c>
      <c r="D11762">
        <f>IFERROR(__xludf.DUMMYFUNCTION("""COMPUTED_VALUE"""),1969.0)</f>
        <v>1969</v>
      </c>
      <c r="E11762">
        <f>IFERROR(__xludf.DUMMYFUNCTION("""COMPUTED_VALUE"""),5.4716735E7)</f>
        <v>54716735</v>
      </c>
    </row>
    <row r="11763">
      <c r="A11763" t="str">
        <f t="shared" si="1"/>
        <v>nga#1970</v>
      </c>
      <c r="B11763" t="str">
        <f>IFERROR(__xludf.DUMMYFUNCTION("""COMPUTED_VALUE"""),"nga")</f>
        <v>nga</v>
      </c>
      <c r="C11763" t="str">
        <f>IFERROR(__xludf.DUMMYFUNCTION("""COMPUTED_VALUE"""),"Nigeria")</f>
        <v>Nigeria</v>
      </c>
      <c r="D11763">
        <f>IFERROR(__xludf.DUMMYFUNCTION("""COMPUTED_VALUE"""),1970.0)</f>
        <v>1970</v>
      </c>
      <c r="E11763">
        <f>IFERROR(__xludf.DUMMYFUNCTION("""COMPUTED_VALUE"""),5.59814E7)</f>
        <v>55981400</v>
      </c>
    </row>
    <row r="11764">
      <c r="A11764" t="str">
        <f t="shared" si="1"/>
        <v>nga#1971</v>
      </c>
      <c r="B11764" t="str">
        <f>IFERROR(__xludf.DUMMYFUNCTION("""COMPUTED_VALUE"""),"nga")</f>
        <v>nga</v>
      </c>
      <c r="C11764" t="str">
        <f>IFERROR(__xludf.DUMMYFUNCTION("""COMPUTED_VALUE"""),"Nigeria")</f>
        <v>Nigeria</v>
      </c>
      <c r="D11764">
        <f>IFERROR(__xludf.DUMMYFUNCTION("""COMPUTED_VALUE"""),1971.0)</f>
        <v>1971</v>
      </c>
      <c r="E11764">
        <f>IFERROR(__xludf.DUMMYFUNCTION("""COMPUTED_VALUE"""),5.729521E7)</f>
        <v>57295210</v>
      </c>
    </row>
    <row r="11765">
      <c r="A11765" t="str">
        <f t="shared" si="1"/>
        <v>nga#1972</v>
      </c>
      <c r="B11765" t="str">
        <f>IFERROR(__xludf.DUMMYFUNCTION("""COMPUTED_VALUE"""),"nga")</f>
        <v>nga</v>
      </c>
      <c r="C11765" t="str">
        <f>IFERROR(__xludf.DUMMYFUNCTION("""COMPUTED_VALUE"""),"Nigeria")</f>
        <v>Nigeria</v>
      </c>
      <c r="D11765">
        <f>IFERROR(__xludf.DUMMYFUNCTION("""COMPUTED_VALUE"""),1972.0)</f>
        <v>1972</v>
      </c>
      <c r="E11765">
        <f>IFERROR(__xludf.DUMMYFUNCTION("""COMPUTED_VALUE"""),5.8662603E7)</f>
        <v>58662603</v>
      </c>
    </row>
    <row r="11766">
      <c r="A11766" t="str">
        <f t="shared" si="1"/>
        <v>nga#1973</v>
      </c>
      <c r="B11766" t="str">
        <f>IFERROR(__xludf.DUMMYFUNCTION("""COMPUTED_VALUE"""),"nga")</f>
        <v>nga</v>
      </c>
      <c r="C11766" t="str">
        <f>IFERROR(__xludf.DUMMYFUNCTION("""COMPUTED_VALUE"""),"Nigeria")</f>
        <v>Nigeria</v>
      </c>
      <c r="D11766">
        <f>IFERROR(__xludf.DUMMYFUNCTION("""COMPUTED_VALUE"""),1973.0)</f>
        <v>1973</v>
      </c>
      <c r="E11766">
        <f>IFERROR(__xludf.DUMMYFUNCTION("""COMPUTED_VALUE"""),6.0110433E7)</f>
        <v>60110433</v>
      </c>
    </row>
    <row r="11767">
      <c r="A11767" t="str">
        <f t="shared" si="1"/>
        <v>nga#1974</v>
      </c>
      <c r="B11767" t="str">
        <f>IFERROR(__xludf.DUMMYFUNCTION("""COMPUTED_VALUE"""),"nga")</f>
        <v>nga</v>
      </c>
      <c r="C11767" t="str">
        <f>IFERROR(__xludf.DUMMYFUNCTION("""COMPUTED_VALUE"""),"Nigeria")</f>
        <v>Nigeria</v>
      </c>
      <c r="D11767">
        <f>IFERROR(__xludf.DUMMYFUNCTION("""COMPUTED_VALUE"""),1974.0)</f>
        <v>1974</v>
      </c>
      <c r="E11767">
        <f>IFERROR(__xludf.DUMMYFUNCTION("""COMPUTED_VALUE"""),6.1673559E7)</f>
        <v>61673559</v>
      </c>
    </row>
    <row r="11768">
      <c r="A11768" t="str">
        <f t="shared" si="1"/>
        <v>nga#1975</v>
      </c>
      <c r="B11768" t="str">
        <f>IFERROR(__xludf.DUMMYFUNCTION("""COMPUTED_VALUE"""),"nga")</f>
        <v>nga</v>
      </c>
      <c r="C11768" t="str">
        <f>IFERROR(__xludf.DUMMYFUNCTION("""COMPUTED_VALUE"""),"Nigeria")</f>
        <v>Nigeria</v>
      </c>
      <c r="D11768">
        <f>IFERROR(__xludf.DUMMYFUNCTION("""COMPUTED_VALUE"""),1975.0)</f>
        <v>1975</v>
      </c>
      <c r="E11768">
        <f>IFERROR(__xludf.DUMMYFUNCTION("""COMPUTED_VALUE"""),6.3373572E7)</f>
        <v>63373572</v>
      </c>
    </row>
    <row r="11769">
      <c r="A11769" t="str">
        <f t="shared" si="1"/>
        <v>nga#1976</v>
      </c>
      <c r="B11769" t="str">
        <f>IFERROR(__xludf.DUMMYFUNCTION("""COMPUTED_VALUE"""),"nga")</f>
        <v>nga</v>
      </c>
      <c r="C11769" t="str">
        <f>IFERROR(__xludf.DUMMYFUNCTION("""COMPUTED_VALUE"""),"Nigeria")</f>
        <v>Nigeria</v>
      </c>
      <c r="D11769">
        <f>IFERROR(__xludf.DUMMYFUNCTION("""COMPUTED_VALUE"""),1976.0)</f>
        <v>1976</v>
      </c>
      <c r="E11769">
        <f>IFERROR(__xludf.DUMMYFUNCTION("""COMPUTED_VALUE"""),6.5226229E7)</f>
        <v>65226229</v>
      </c>
    </row>
    <row r="11770">
      <c r="A11770" t="str">
        <f t="shared" si="1"/>
        <v>nga#1977</v>
      </c>
      <c r="B11770" t="str">
        <f>IFERROR(__xludf.DUMMYFUNCTION("""COMPUTED_VALUE"""),"nga")</f>
        <v>nga</v>
      </c>
      <c r="C11770" t="str">
        <f>IFERROR(__xludf.DUMMYFUNCTION("""COMPUTED_VALUE"""),"Nigeria")</f>
        <v>Nigeria</v>
      </c>
      <c r="D11770">
        <f>IFERROR(__xludf.DUMMYFUNCTION("""COMPUTED_VALUE"""),1977.0)</f>
        <v>1977</v>
      </c>
      <c r="E11770">
        <f>IFERROR(__xludf.DUMMYFUNCTION("""COMPUTED_VALUE"""),6.7215805E7)</f>
        <v>67215805</v>
      </c>
    </row>
    <row r="11771">
      <c r="A11771" t="str">
        <f t="shared" si="1"/>
        <v>nga#1978</v>
      </c>
      <c r="B11771" t="str">
        <f>IFERROR(__xludf.DUMMYFUNCTION("""COMPUTED_VALUE"""),"nga")</f>
        <v>nga</v>
      </c>
      <c r="C11771" t="str">
        <f>IFERROR(__xludf.DUMMYFUNCTION("""COMPUTED_VALUE"""),"Nigeria")</f>
        <v>Nigeria</v>
      </c>
      <c r="D11771">
        <f>IFERROR(__xludf.DUMMYFUNCTION("""COMPUTED_VALUE"""),1978.0)</f>
        <v>1978</v>
      </c>
      <c r="E11771">
        <f>IFERROR(__xludf.DUMMYFUNCTION("""COMPUTED_VALUE"""),6.929355E7)</f>
        <v>69293550</v>
      </c>
    </row>
    <row r="11772">
      <c r="A11772" t="str">
        <f t="shared" si="1"/>
        <v>nga#1979</v>
      </c>
      <c r="B11772" t="str">
        <f>IFERROR(__xludf.DUMMYFUNCTION("""COMPUTED_VALUE"""),"nga")</f>
        <v>nga</v>
      </c>
      <c r="C11772" t="str">
        <f>IFERROR(__xludf.DUMMYFUNCTION("""COMPUTED_VALUE"""),"Nigeria")</f>
        <v>Nigeria</v>
      </c>
      <c r="D11772">
        <f>IFERROR(__xludf.DUMMYFUNCTION("""COMPUTED_VALUE"""),1979.0)</f>
        <v>1979</v>
      </c>
      <c r="E11772">
        <f>IFERROR(__xludf.DUMMYFUNCTION("""COMPUTED_VALUE"""),7.139129E7)</f>
        <v>71391290</v>
      </c>
    </row>
    <row r="11773">
      <c r="A11773" t="str">
        <f t="shared" si="1"/>
        <v>nga#1980</v>
      </c>
      <c r="B11773" t="str">
        <f>IFERROR(__xludf.DUMMYFUNCTION("""COMPUTED_VALUE"""),"nga")</f>
        <v>nga</v>
      </c>
      <c r="C11773" t="str">
        <f>IFERROR(__xludf.DUMMYFUNCTION("""COMPUTED_VALUE"""),"Nigeria")</f>
        <v>Nigeria</v>
      </c>
      <c r="D11773">
        <f>IFERROR(__xludf.DUMMYFUNCTION("""COMPUTED_VALUE"""),1980.0)</f>
        <v>1980</v>
      </c>
      <c r="E11773">
        <f>IFERROR(__xludf.DUMMYFUNCTION("""COMPUTED_VALUE"""),7.3460724E7)</f>
        <v>73460724</v>
      </c>
    </row>
    <row r="11774">
      <c r="A11774" t="str">
        <f t="shared" si="1"/>
        <v>nga#1981</v>
      </c>
      <c r="B11774" t="str">
        <f>IFERROR(__xludf.DUMMYFUNCTION("""COMPUTED_VALUE"""),"nga")</f>
        <v>nga</v>
      </c>
      <c r="C11774" t="str">
        <f>IFERROR(__xludf.DUMMYFUNCTION("""COMPUTED_VALUE"""),"Nigeria")</f>
        <v>Nigeria</v>
      </c>
      <c r="D11774">
        <f>IFERROR(__xludf.DUMMYFUNCTION("""COMPUTED_VALUE"""),1981.0)</f>
        <v>1981</v>
      </c>
      <c r="E11774">
        <f>IFERROR(__xludf.DUMMYFUNCTION("""COMPUTED_VALUE"""),7.5482552E7)</f>
        <v>75482552</v>
      </c>
    </row>
    <row r="11775">
      <c r="A11775" t="str">
        <f t="shared" si="1"/>
        <v>nga#1982</v>
      </c>
      <c r="B11775" t="str">
        <f>IFERROR(__xludf.DUMMYFUNCTION("""COMPUTED_VALUE"""),"nga")</f>
        <v>nga</v>
      </c>
      <c r="C11775" t="str">
        <f>IFERROR(__xludf.DUMMYFUNCTION("""COMPUTED_VALUE"""),"Nigeria")</f>
        <v>Nigeria</v>
      </c>
      <c r="D11775">
        <f>IFERROR(__xludf.DUMMYFUNCTION("""COMPUTED_VALUE"""),1982.0)</f>
        <v>1982</v>
      </c>
      <c r="E11775">
        <f>IFERROR(__xludf.DUMMYFUNCTION("""COMPUTED_VALUE"""),7.7472907E7)</f>
        <v>77472907</v>
      </c>
    </row>
    <row r="11776">
      <c r="A11776" t="str">
        <f t="shared" si="1"/>
        <v>nga#1983</v>
      </c>
      <c r="B11776" t="str">
        <f>IFERROR(__xludf.DUMMYFUNCTION("""COMPUTED_VALUE"""),"nga")</f>
        <v>nga</v>
      </c>
      <c r="C11776" t="str">
        <f>IFERROR(__xludf.DUMMYFUNCTION("""COMPUTED_VALUE"""),"Nigeria")</f>
        <v>Nigeria</v>
      </c>
      <c r="D11776">
        <f>IFERROR(__xludf.DUMMYFUNCTION("""COMPUTED_VALUE"""),1983.0)</f>
        <v>1983</v>
      </c>
      <c r="E11776">
        <f>IFERROR(__xludf.DUMMYFUNCTION("""COMPUTED_VALUE"""),7.9462277E7)</f>
        <v>79462277</v>
      </c>
    </row>
    <row r="11777">
      <c r="A11777" t="str">
        <f t="shared" si="1"/>
        <v>nga#1984</v>
      </c>
      <c r="B11777" t="str">
        <f>IFERROR(__xludf.DUMMYFUNCTION("""COMPUTED_VALUE"""),"nga")</f>
        <v>nga</v>
      </c>
      <c r="C11777" t="str">
        <f>IFERROR(__xludf.DUMMYFUNCTION("""COMPUTED_VALUE"""),"Nigeria")</f>
        <v>Nigeria</v>
      </c>
      <c r="D11777">
        <f>IFERROR(__xludf.DUMMYFUNCTION("""COMPUTED_VALUE"""),1984.0)</f>
        <v>1984</v>
      </c>
      <c r="E11777">
        <f>IFERROR(__xludf.DUMMYFUNCTION("""COMPUTED_VALUE"""),8.1497739E7)</f>
        <v>81497739</v>
      </c>
    </row>
    <row r="11778">
      <c r="A11778" t="str">
        <f t="shared" si="1"/>
        <v>nga#1985</v>
      </c>
      <c r="B11778" t="str">
        <f>IFERROR(__xludf.DUMMYFUNCTION("""COMPUTED_VALUE"""),"nga")</f>
        <v>nga</v>
      </c>
      <c r="C11778" t="str">
        <f>IFERROR(__xludf.DUMMYFUNCTION("""COMPUTED_VALUE"""),"Nigeria")</f>
        <v>Nigeria</v>
      </c>
      <c r="D11778">
        <f>IFERROR(__xludf.DUMMYFUNCTION("""COMPUTED_VALUE"""),1985.0)</f>
        <v>1985</v>
      </c>
      <c r="E11778">
        <f>IFERROR(__xludf.DUMMYFUNCTION("""COMPUTED_VALUE"""),8.36133E7)</f>
        <v>83613300</v>
      </c>
    </row>
    <row r="11779">
      <c r="A11779" t="str">
        <f t="shared" si="1"/>
        <v>nga#1986</v>
      </c>
      <c r="B11779" t="str">
        <f>IFERROR(__xludf.DUMMYFUNCTION("""COMPUTED_VALUE"""),"nga")</f>
        <v>nga</v>
      </c>
      <c r="C11779" t="str">
        <f>IFERROR(__xludf.DUMMYFUNCTION("""COMPUTED_VALUE"""),"Nigeria")</f>
        <v>Nigeria</v>
      </c>
      <c r="D11779">
        <f>IFERROR(__xludf.DUMMYFUNCTION("""COMPUTED_VALUE"""),1986.0)</f>
        <v>1986</v>
      </c>
      <c r="E11779">
        <f>IFERROR(__xludf.DUMMYFUNCTION("""COMPUTED_VALUE"""),8.5818502E7)</f>
        <v>85818502</v>
      </c>
    </row>
    <row r="11780">
      <c r="A11780" t="str">
        <f t="shared" si="1"/>
        <v>nga#1987</v>
      </c>
      <c r="B11780" t="str">
        <f>IFERROR(__xludf.DUMMYFUNCTION("""COMPUTED_VALUE"""),"nga")</f>
        <v>nga</v>
      </c>
      <c r="C11780" t="str">
        <f>IFERROR(__xludf.DUMMYFUNCTION("""COMPUTED_VALUE"""),"Nigeria")</f>
        <v>Nigeria</v>
      </c>
      <c r="D11780">
        <f>IFERROR(__xludf.DUMMYFUNCTION("""COMPUTED_VALUE"""),1987.0)</f>
        <v>1987</v>
      </c>
      <c r="E11780">
        <f>IFERROR(__xludf.DUMMYFUNCTION("""COMPUTED_VALUE"""),8.8101628E7)</f>
        <v>88101628</v>
      </c>
    </row>
    <row r="11781">
      <c r="A11781" t="str">
        <f t="shared" si="1"/>
        <v>nga#1988</v>
      </c>
      <c r="B11781" t="str">
        <f>IFERROR(__xludf.DUMMYFUNCTION("""COMPUTED_VALUE"""),"nga")</f>
        <v>nga</v>
      </c>
      <c r="C11781" t="str">
        <f>IFERROR(__xludf.DUMMYFUNCTION("""COMPUTED_VALUE"""),"Nigeria")</f>
        <v>Nigeria</v>
      </c>
      <c r="D11781">
        <f>IFERROR(__xludf.DUMMYFUNCTION("""COMPUTED_VALUE"""),1988.0)</f>
        <v>1988</v>
      </c>
      <c r="E11781">
        <f>IFERROR(__xludf.DUMMYFUNCTION("""COMPUTED_VALUE"""),9.0450281E7)</f>
        <v>90450281</v>
      </c>
    </row>
    <row r="11782">
      <c r="A11782" t="str">
        <f t="shared" si="1"/>
        <v>nga#1989</v>
      </c>
      <c r="B11782" t="str">
        <f>IFERROR(__xludf.DUMMYFUNCTION("""COMPUTED_VALUE"""),"nga")</f>
        <v>nga</v>
      </c>
      <c r="C11782" t="str">
        <f>IFERROR(__xludf.DUMMYFUNCTION("""COMPUTED_VALUE"""),"Nigeria")</f>
        <v>Nigeria</v>
      </c>
      <c r="D11782">
        <f>IFERROR(__xludf.DUMMYFUNCTION("""COMPUTED_VALUE"""),1989.0)</f>
        <v>1989</v>
      </c>
      <c r="E11782">
        <f>IFERROR(__xludf.DUMMYFUNCTION("""COMPUTED_VALUE"""),9.2844353E7)</f>
        <v>92844353</v>
      </c>
    </row>
    <row r="11783">
      <c r="A11783" t="str">
        <f t="shared" si="1"/>
        <v>nga#1990</v>
      </c>
      <c r="B11783" t="str">
        <f>IFERROR(__xludf.DUMMYFUNCTION("""COMPUTED_VALUE"""),"nga")</f>
        <v>nga</v>
      </c>
      <c r="C11783" t="str">
        <f>IFERROR(__xludf.DUMMYFUNCTION("""COMPUTED_VALUE"""),"Nigeria")</f>
        <v>Nigeria</v>
      </c>
      <c r="D11783">
        <f>IFERROR(__xludf.DUMMYFUNCTION("""COMPUTED_VALUE"""),1990.0)</f>
        <v>1990</v>
      </c>
      <c r="E11783">
        <f>IFERROR(__xludf.DUMMYFUNCTION("""COMPUTED_VALUE"""),9.5269988E7)</f>
        <v>95269988</v>
      </c>
    </row>
    <row r="11784">
      <c r="A11784" t="str">
        <f t="shared" si="1"/>
        <v>nga#1991</v>
      </c>
      <c r="B11784" t="str">
        <f>IFERROR(__xludf.DUMMYFUNCTION("""COMPUTED_VALUE"""),"nga")</f>
        <v>nga</v>
      </c>
      <c r="C11784" t="str">
        <f>IFERROR(__xludf.DUMMYFUNCTION("""COMPUTED_VALUE"""),"Nigeria")</f>
        <v>Nigeria</v>
      </c>
      <c r="D11784">
        <f>IFERROR(__xludf.DUMMYFUNCTION("""COMPUTED_VALUE"""),1991.0)</f>
        <v>1991</v>
      </c>
      <c r="E11784">
        <f>IFERROR(__xludf.DUMMYFUNCTION("""COMPUTED_VALUE"""),9.7726323E7)</f>
        <v>97726323</v>
      </c>
    </row>
    <row r="11785">
      <c r="A11785" t="str">
        <f t="shared" si="1"/>
        <v>nga#1992</v>
      </c>
      <c r="B11785" t="str">
        <f>IFERROR(__xludf.DUMMYFUNCTION("""COMPUTED_VALUE"""),"nga")</f>
        <v>nga</v>
      </c>
      <c r="C11785" t="str">
        <f>IFERROR(__xludf.DUMMYFUNCTION("""COMPUTED_VALUE"""),"Nigeria")</f>
        <v>Nigeria</v>
      </c>
      <c r="D11785">
        <f>IFERROR(__xludf.DUMMYFUNCTION("""COMPUTED_VALUE"""),1992.0)</f>
        <v>1992</v>
      </c>
      <c r="E11785">
        <f>IFERROR(__xludf.DUMMYFUNCTION("""COMPUTED_VALUE"""),1.00221563E8)</f>
        <v>100221563</v>
      </c>
    </row>
    <row r="11786">
      <c r="A11786" t="str">
        <f t="shared" si="1"/>
        <v>nga#1993</v>
      </c>
      <c r="B11786" t="str">
        <f>IFERROR(__xludf.DUMMYFUNCTION("""COMPUTED_VALUE"""),"nga")</f>
        <v>nga</v>
      </c>
      <c r="C11786" t="str">
        <f>IFERROR(__xludf.DUMMYFUNCTION("""COMPUTED_VALUE"""),"Nigeria")</f>
        <v>Nigeria</v>
      </c>
      <c r="D11786">
        <f>IFERROR(__xludf.DUMMYFUNCTION("""COMPUTED_VALUE"""),1993.0)</f>
        <v>1993</v>
      </c>
      <c r="E11786">
        <f>IFERROR(__xludf.DUMMYFUNCTION("""COMPUTED_VALUE"""),1.02761737E8)</f>
        <v>102761737</v>
      </c>
    </row>
    <row r="11787">
      <c r="A11787" t="str">
        <f t="shared" si="1"/>
        <v>nga#1994</v>
      </c>
      <c r="B11787" t="str">
        <f>IFERROR(__xludf.DUMMYFUNCTION("""COMPUTED_VALUE"""),"nga")</f>
        <v>nga</v>
      </c>
      <c r="C11787" t="str">
        <f>IFERROR(__xludf.DUMMYFUNCTION("""COMPUTED_VALUE"""),"Nigeria")</f>
        <v>Nigeria</v>
      </c>
      <c r="D11787">
        <f>IFERROR(__xludf.DUMMYFUNCTION("""COMPUTED_VALUE"""),1994.0)</f>
        <v>1994</v>
      </c>
      <c r="E11787">
        <f>IFERROR(__xludf.DUMMYFUNCTION("""COMPUTED_VALUE"""),1.05355783E8)</f>
        <v>105355783</v>
      </c>
    </row>
    <row r="11788">
      <c r="A11788" t="str">
        <f t="shared" si="1"/>
        <v>nga#1995</v>
      </c>
      <c r="B11788" t="str">
        <f>IFERROR(__xludf.DUMMYFUNCTION("""COMPUTED_VALUE"""),"nga")</f>
        <v>nga</v>
      </c>
      <c r="C11788" t="str">
        <f>IFERROR(__xludf.DUMMYFUNCTION("""COMPUTED_VALUE"""),"Nigeria")</f>
        <v>Nigeria</v>
      </c>
      <c r="D11788">
        <f>IFERROR(__xludf.DUMMYFUNCTION("""COMPUTED_VALUE"""),1995.0)</f>
        <v>1995</v>
      </c>
      <c r="E11788">
        <f>IFERROR(__xludf.DUMMYFUNCTION("""COMPUTED_VALUE"""),1.08011465E8)</f>
        <v>108011465</v>
      </c>
    </row>
    <row r="11789">
      <c r="A11789" t="str">
        <f t="shared" si="1"/>
        <v>nga#1996</v>
      </c>
      <c r="B11789" t="str">
        <f>IFERROR(__xludf.DUMMYFUNCTION("""COMPUTED_VALUE"""),"nga")</f>
        <v>nga</v>
      </c>
      <c r="C11789" t="str">
        <f>IFERROR(__xludf.DUMMYFUNCTION("""COMPUTED_VALUE"""),"Nigeria")</f>
        <v>Nigeria</v>
      </c>
      <c r="D11789">
        <f>IFERROR(__xludf.DUMMYFUNCTION("""COMPUTED_VALUE"""),1996.0)</f>
        <v>1996</v>
      </c>
      <c r="E11789">
        <f>IFERROR(__xludf.DUMMYFUNCTION("""COMPUTED_VALUE"""),1.10732904E8)</f>
        <v>110732904</v>
      </c>
    </row>
    <row r="11790">
      <c r="A11790" t="str">
        <f t="shared" si="1"/>
        <v>nga#1997</v>
      </c>
      <c r="B11790" t="str">
        <f>IFERROR(__xludf.DUMMYFUNCTION("""COMPUTED_VALUE"""),"nga")</f>
        <v>nga</v>
      </c>
      <c r="C11790" t="str">
        <f>IFERROR(__xludf.DUMMYFUNCTION("""COMPUTED_VALUE"""),"Nigeria")</f>
        <v>Nigeria</v>
      </c>
      <c r="D11790">
        <f>IFERROR(__xludf.DUMMYFUNCTION("""COMPUTED_VALUE"""),1997.0)</f>
        <v>1997</v>
      </c>
      <c r="E11790">
        <f>IFERROR(__xludf.DUMMYFUNCTION("""COMPUTED_VALUE"""),1.13522705E8)</f>
        <v>113522705</v>
      </c>
    </row>
    <row r="11791">
      <c r="A11791" t="str">
        <f t="shared" si="1"/>
        <v>nga#1998</v>
      </c>
      <c r="B11791" t="str">
        <f>IFERROR(__xludf.DUMMYFUNCTION("""COMPUTED_VALUE"""),"nga")</f>
        <v>nga</v>
      </c>
      <c r="C11791" t="str">
        <f>IFERROR(__xludf.DUMMYFUNCTION("""COMPUTED_VALUE"""),"Nigeria")</f>
        <v>Nigeria</v>
      </c>
      <c r="D11791">
        <f>IFERROR(__xludf.DUMMYFUNCTION("""COMPUTED_VALUE"""),1998.0)</f>
        <v>1998</v>
      </c>
      <c r="E11791">
        <f>IFERROR(__xludf.DUMMYFUNCTION("""COMPUTED_VALUE"""),1.1638575E8)</f>
        <v>116385750</v>
      </c>
    </row>
    <row r="11792">
      <c r="A11792" t="str">
        <f t="shared" si="1"/>
        <v>nga#1999</v>
      </c>
      <c r="B11792" t="str">
        <f>IFERROR(__xludf.DUMMYFUNCTION("""COMPUTED_VALUE"""),"nga")</f>
        <v>nga</v>
      </c>
      <c r="C11792" t="str">
        <f>IFERROR(__xludf.DUMMYFUNCTION("""COMPUTED_VALUE"""),"Nigeria")</f>
        <v>Nigeria</v>
      </c>
      <c r="D11792">
        <f>IFERROR(__xludf.DUMMYFUNCTION("""COMPUTED_VALUE"""),1999.0)</f>
        <v>1999</v>
      </c>
      <c r="E11792">
        <f>IFERROR(__xludf.DUMMYFUNCTION("""COMPUTED_VALUE"""),1.19327073E8)</f>
        <v>119327073</v>
      </c>
    </row>
    <row r="11793">
      <c r="A11793" t="str">
        <f t="shared" si="1"/>
        <v>nga#2000</v>
      </c>
      <c r="B11793" t="str">
        <f>IFERROR(__xludf.DUMMYFUNCTION("""COMPUTED_VALUE"""),"nga")</f>
        <v>nga</v>
      </c>
      <c r="C11793" t="str">
        <f>IFERROR(__xludf.DUMMYFUNCTION("""COMPUTED_VALUE"""),"Nigeria")</f>
        <v>Nigeria</v>
      </c>
      <c r="D11793">
        <f>IFERROR(__xludf.DUMMYFUNCTION("""COMPUTED_VALUE"""),2000.0)</f>
        <v>2000</v>
      </c>
      <c r="E11793">
        <f>IFERROR(__xludf.DUMMYFUNCTION("""COMPUTED_VALUE"""),1.22352009E8)</f>
        <v>122352009</v>
      </c>
    </row>
    <row r="11794">
      <c r="A11794" t="str">
        <f t="shared" si="1"/>
        <v>nga#2001</v>
      </c>
      <c r="B11794" t="str">
        <f>IFERROR(__xludf.DUMMYFUNCTION("""COMPUTED_VALUE"""),"nga")</f>
        <v>nga</v>
      </c>
      <c r="C11794" t="str">
        <f>IFERROR(__xludf.DUMMYFUNCTION("""COMPUTED_VALUE"""),"Nigeria")</f>
        <v>Nigeria</v>
      </c>
      <c r="D11794">
        <f>IFERROR(__xludf.DUMMYFUNCTION("""COMPUTED_VALUE"""),2001.0)</f>
        <v>2001</v>
      </c>
      <c r="E11794">
        <f>IFERROR(__xludf.DUMMYFUNCTION("""COMPUTED_VALUE"""),1.25463434E8)</f>
        <v>125463434</v>
      </c>
    </row>
    <row r="11795">
      <c r="A11795" t="str">
        <f t="shared" si="1"/>
        <v>nga#2002</v>
      </c>
      <c r="B11795" t="str">
        <f>IFERROR(__xludf.DUMMYFUNCTION("""COMPUTED_VALUE"""),"nga")</f>
        <v>nga</v>
      </c>
      <c r="C11795" t="str">
        <f>IFERROR(__xludf.DUMMYFUNCTION("""COMPUTED_VALUE"""),"Nigeria")</f>
        <v>Nigeria</v>
      </c>
      <c r="D11795">
        <f>IFERROR(__xludf.DUMMYFUNCTION("""COMPUTED_VALUE"""),2002.0)</f>
        <v>2002</v>
      </c>
      <c r="E11795">
        <f>IFERROR(__xludf.DUMMYFUNCTION("""COMPUTED_VALUE"""),1.2866671E8)</f>
        <v>128666710</v>
      </c>
    </row>
    <row r="11796">
      <c r="A11796" t="str">
        <f t="shared" si="1"/>
        <v>nga#2003</v>
      </c>
      <c r="B11796" t="str">
        <f>IFERROR(__xludf.DUMMYFUNCTION("""COMPUTED_VALUE"""),"nga")</f>
        <v>nga</v>
      </c>
      <c r="C11796" t="str">
        <f>IFERROR(__xludf.DUMMYFUNCTION("""COMPUTED_VALUE"""),"Nigeria")</f>
        <v>Nigeria</v>
      </c>
      <c r="D11796">
        <f>IFERROR(__xludf.DUMMYFUNCTION("""COMPUTED_VALUE"""),2003.0)</f>
        <v>2003</v>
      </c>
      <c r="E11796">
        <f>IFERROR(__xludf.DUMMYFUNCTION("""COMPUTED_VALUE"""),1.31972533E8)</f>
        <v>131972533</v>
      </c>
    </row>
    <row r="11797">
      <c r="A11797" t="str">
        <f t="shared" si="1"/>
        <v>nga#2004</v>
      </c>
      <c r="B11797" t="str">
        <f>IFERROR(__xludf.DUMMYFUNCTION("""COMPUTED_VALUE"""),"nga")</f>
        <v>nga</v>
      </c>
      <c r="C11797" t="str">
        <f>IFERROR(__xludf.DUMMYFUNCTION("""COMPUTED_VALUE"""),"Nigeria")</f>
        <v>Nigeria</v>
      </c>
      <c r="D11797">
        <f>IFERROR(__xludf.DUMMYFUNCTION("""COMPUTED_VALUE"""),2004.0)</f>
        <v>2004</v>
      </c>
      <c r="E11797">
        <f>IFERROR(__xludf.DUMMYFUNCTION("""COMPUTED_VALUE"""),1.35393616E8)</f>
        <v>135393616</v>
      </c>
    </row>
    <row r="11798">
      <c r="A11798" t="str">
        <f t="shared" si="1"/>
        <v>nga#2005</v>
      </c>
      <c r="B11798" t="str">
        <f>IFERROR(__xludf.DUMMYFUNCTION("""COMPUTED_VALUE"""),"nga")</f>
        <v>nga</v>
      </c>
      <c r="C11798" t="str">
        <f>IFERROR(__xludf.DUMMYFUNCTION("""COMPUTED_VALUE"""),"Nigeria")</f>
        <v>Nigeria</v>
      </c>
      <c r="D11798">
        <f>IFERROR(__xludf.DUMMYFUNCTION("""COMPUTED_VALUE"""),2005.0)</f>
        <v>2005</v>
      </c>
      <c r="E11798">
        <f>IFERROR(__xludf.DUMMYFUNCTION("""COMPUTED_VALUE"""),1.38939478E8)</f>
        <v>138939478</v>
      </c>
    </row>
    <row r="11799">
      <c r="A11799" t="str">
        <f t="shared" si="1"/>
        <v>nga#2006</v>
      </c>
      <c r="B11799" t="str">
        <f>IFERROR(__xludf.DUMMYFUNCTION("""COMPUTED_VALUE"""),"nga")</f>
        <v>nga</v>
      </c>
      <c r="C11799" t="str">
        <f>IFERROR(__xludf.DUMMYFUNCTION("""COMPUTED_VALUE"""),"Nigeria")</f>
        <v>Nigeria</v>
      </c>
      <c r="D11799">
        <f>IFERROR(__xludf.DUMMYFUNCTION("""COMPUTED_VALUE"""),2006.0)</f>
        <v>2006</v>
      </c>
      <c r="E11799">
        <f>IFERROR(__xludf.DUMMYFUNCTION("""COMPUTED_VALUE"""),1.42614094E8)</f>
        <v>142614094</v>
      </c>
    </row>
    <row r="11800">
      <c r="A11800" t="str">
        <f t="shared" si="1"/>
        <v>nga#2007</v>
      </c>
      <c r="B11800" t="str">
        <f>IFERROR(__xludf.DUMMYFUNCTION("""COMPUTED_VALUE"""),"nga")</f>
        <v>nga</v>
      </c>
      <c r="C11800" t="str">
        <f>IFERROR(__xludf.DUMMYFUNCTION("""COMPUTED_VALUE"""),"Nigeria")</f>
        <v>Nigeria</v>
      </c>
      <c r="D11800">
        <f>IFERROR(__xludf.DUMMYFUNCTION("""COMPUTED_VALUE"""),2007.0)</f>
        <v>2007</v>
      </c>
      <c r="E11800">
        <f>IFERROR(__xludf.DUMMYFUNCTION("""COMPUTED_VALUE"""),1.46417024E8)</f>
        <v>146417024</v>
      </c>
    </row>
    <row r="11801">
      <c r="A11801" t="str">
        <f t="shared" si="1"/>
        <v>nga#2008</v>
      </c>
      <c r="B11801" t="str">
        <f>IFERROR(__xludf.DUMMYFUNCTION("""COMPUTED_VALUE"""),"nga")</f>
        <v>nga</v>
      </c>
      <c r="C11801" t="str">
        <f>IFERROR(__xludf.DUMMYFUNCTION("""COMPUTED_VALUE"""),"Nigeria")</f>
        <v>Nigeria</v>
      </c>
      <c r="D11801">
        <f>IFERROR(__xludf.DUMMYFUNCTION("""COMPUTED_VALUE"""),2008.0)</f>
        <v>2008</v>
      </c>
      <c r="E11801">
        <f>IFERROR(__xludf.DUMMYFUNCTION("""COMPUTED_VALUE"""),1.5034739E8)</f>
        <v>150347390</v>
      </c>
    </row>
    <row r="11802">
      <c r="A11802" t="str">
        <f t="shared" si="1"/>
        <v>nga#2009</v>
      </c>
      <c r="B11802" t="str">
        <f>IFERROR(__xludf.DUMMYFUNCTION("""COMPUTED_VALUE"""),"nga")</f>
        <v>nga</v>
      </c>
      <c r="C11802" t="str">
        <f>IFERROR(__xludf.DUMMYFUNCTION("""COMPUTED_VALUE"""),"Nigeria")</f>
        <v>Nigeria</v>
      </c>
      <c r="D11802">
        <f>IFERROR(__xludf.DUMMYFUNCTION("""COMPUTED_VALUE"""),2009.0)</f>
        <v>2009</v>
      </c>
      <c r="E11802">
        <f>IFERROR(__xludf.DUMMYFUNCTION("""COMPUTED_VALUE"""),1.54402181E8)</f>
        <v>154402181</v>
      </c>
    </row>
    <row r="11803">
      <c r="A11803" t="str">
        <f t="shared" si="1"/>
        <v>nga#2010</v>
      </c>
      <c r="B11803" t="str">
        <f>IFERROR(__xludf.DUMMYFUNCTION("""COMPUTED_VALUE"""),"nga")</f>
        <v>nga</v>
      </c>
      <c r="C11803" t="str">
        <f>IFERROR(__xludf.DUMMYFUNCTION("""COMPUTED_VALUE"""),"Nigeria")</f>
        <v>Nigeria</v>
      </c>
      <c r="D11803">
        <f>IFERROR(__xludf.DUMMYFUNCTION("""COMPUTED_VALUE"""),2010.0)</f>
        <v>2010</v>
      </c>
      <c r="E11803">
        <f>IFERROR(__xludf.DUMMYFUNCTION("""COMPUTED_VALUE"""),1.58578261E8)</f>
        <v>158578261</v>
      </c>
    </row>
    <row r="11804">
      <c r="A11804" t="str">
        <f t="shared" si="1"/>
        <v>nga#2011</v>
      </c>
      <c r="B11804" t="str">
        <f>IFERROR(__xludf.DUMMYFUNCTION("""COMPUTED_VALUE"""),"nga")</f>
        <v>nga</v>
      </c>
      <c r="C11804" t="str">
        <f>IFERROR(__xludf.DUMMYFUNCTION("""COMPUTED_VALUE"""),"Nigeria")</f>
        <v>Nigeria</v>
      </c>
      <c r="D11804">
        <f>IFERROR(__xludf.DUMMYFUNCTION("""COMPUTED_VALUE"""),2011.0)</f>
        <v>2011</v>
      </c>
      <c r="E11804">
        <f>IFERROR(__xludf.DUMMYFUNCTION("""COMPUTED_VALUE"""),1.62877076E8)</f>
        <v>162877076</v>
      </c>
    </row>
    <row r="11805">
      <c r="A11805" t="str">
        <f t="shared" si="1"/>
        <v>nga#2012</v>
      </c>
      <c r="B11805" t="str">
        <f>IFERROR(__xludf.DUMMYFUNCTION("""COMPUTED_VALUE"""),"nga")</f>
        <v>nga</v>
      </c>
      <c r="C11805" t="str">
        <f>IFERROR(__xludf.DUMMYFUNCTION("""COMPUTED_VALUE"""),"Nigeria")</f>
        <v>Nigeria</v>
      </c>
      <c r="D11805">
        <f>IFERROR(__xludf.DUMMYFUNCTION("""COMPUTED_VALUE"""),2012.0)</f>
        <v>2012</v>
      </c>
      <c r="E11805">
        <f>IFERROR(__xludf.DUMMYFUNCTION("""COMPUTED_VALUE"""),1.67297284E8)</f>
        <v>167297284</v>
      </c>
    </row>
    <row r="11806">
      <c r="A11806" t="str">
        <f t="shared" si="1"/>
        <v>nga#2013</v>
      </c>
      <c r="B11806" t="str">
        <f>IFERROR(__xludf.DUMMYFUNCTION("""COMPUTED_VALUE"""),"nga")</f>
        <v>nga</v>
      </c>
      <c r="C11806" t="str">
        <f>IFERROR(__xludf.DUMMYFUNCTION("""COMPUTED_VALUE"""),"Nigeria")</f>
        <v>Nigeria</v>
      </c>
      <c r="D11806">
        <f>IFERROR(__xludf.DUMMYFUNCTION("""COMPUTED_VALUE"""),2013.0)</f>
        <v>2013</v>
      </c>
      <c r="E11806">
        <f>IFERROR(__xludf.DUMMYFUNCTION("""COMPUTED_VALUE"""),1.71829303E8)</f>
        <v>171829303</v>
      </c>
    </row>
    <row r="11807">
      <c r="A11807" t="str">
        <f t="shared" si="1"/>
        <v>nga#2014</v>
      </c>
      <c r="B11807" t="str">
        <f>IFERROR(__xludf.DUMMYFUNCTION("""COMPUTED_VALUE"""),"nga")</f>
        <v>nga</v>
      </c>
      <c r="C11807" t="str">
        <f>IFERROR(__xludf.DUMMYFUNCTION("""COMPUTED_VALUE"""),"Nigeria")</f>
        <v>Nigeria</v>
      </c>
      <c r="D11807">
        <f>IFERROR(__xludf.DUMMYFUNCTION("""COMPUTED_VALUE"""),2014.0)</f>
        <v>2014</v>
      </c>
      <c r="E11807">
        <f>IFERROR(__xludf.DUMMYFUNCTION("""COMPUTED_VALUE"""),1.76460502E8)</f>
        <v>176460502</v>
      </c>
    </row>
    <row r="11808">
      <c r="A11808" t="str">
        <f t="shared" si="1"/>
        <v>nga#2015</v>
      </c>
      <c r="B11808" t="str">
        <f>IFERROR(__xludf.DUMMYFUNCTION("""COMPUTED_VALUE"""),"nga")</f>
        <v>nga</v>
      </c>
      <c r="C11808" t="str">
        <f>IFERROR(__xludf.DUMMYFUNCTION("""COMPUTED_VALUE"""),"Nigeria")</f>
        <v>Nigeria</v>
      </c>
      <c r="D11808">
        <f>IFERROR(__xludf.DUMMYFUNCTION("""COMPUTED_VALUE"""),2015.0)</f>
        <v>2015</v>
      </c>
      <c r="E11808">
        <f>IFERROR(__xludf.DUMMYFUNCTION("""COMPUTED_VALUE"""),1.81181744E8)</f>
        <v>181181744</v>
      </c>
    </row>
    <row r="11809">
      <c r="A11809" t="str">
        <f t="shared" si="1"/>
        <v>nga#2016</v>
      </c>
      <c r="B11809" t="str">
        <f>IFERROR(__xludf.DUMMYFUNCTION("""COMPUTED_VALUE"""),"nga")</f>
        <v>nga</v>
      </c>
      <c r="C11809" t="str">
        <f>IFERROR(__xludf.DUMMYFUNCTION("""COMPUTED_VALUE"""),"Nigeria")</f>
        <v>Nigeria</v>
      </c>
      <c r="D11809">
        <f>IFERROR(__xludf.DUMMYFUNCTION("""COMPUTED_VALUE"""),2016.0)</f>
        <v>2016</v>
      </c>
      <c r="E11809">
        <f>IFERROR(__xludf.DUMMYFUNCTION("""COMPUTED_VALUE"""),1.8598964E8)</f>
        <v>185989640</v>
      </c>
    </row>
    <row r="11810">
      <c r="A11810" t="str">
        <f t="shared" si="1"/>
        <v>nga#2017</v>
      </c>
      <c r="B11810" t="str">
        <f>IFERROR(__xludf.DUMMYFUNCTION("""COMPUTED_VALUE"""),"nga")</f>
        <v>nga</v>
      </c>
      <c r="C11810" t="str">
        <f>IFERROR(__xludf.DUMMYFUNCTION("""COMPUTED_VALUE"""),"Nigeria")</f>
        <v>Nigeria</v>
      </c>
      <c r="D11810">
        <f>IFERROR(__xludf.DUMMYFUNCTION("""COMPUTED_VALUE"""),2017.0)</f>
        <v>2017</v>
      </c>
      <c r="E11810">
        <f>IFERROR(__xludf.DUMMYFUNCTION("""COMPUTED_VALUE"""),1.90886311E8)</f>
        <v>190886311</v>
      </c>
    </row>
    <row r="11811">
      <c r="A11811" t="str">
        <f t="shared" si="1"/>
        <v>nga#2018</v>
      </c>
      <c r="B11811" t="str">
        <f>IFERROR(__xludf.DUMMYFUNCTION("""COMPUTED_VALUE"""),"nga")</f>
        <v>nga</v>
      </c>
      <c r="C11811" t="str">
        <f>IFERROR(__xludf.DUMMYFUNCTION("""COMPUTED_VALUE"""),"Nigeria")</f>
        <v>Nigeria</v>
      </c>
      <c r="D11811">
        <f>IFERROR(__xludf.DUMMYFUNCTION("""COMPUTED_VALUE"""),2018.0)</f>
        <v>2018</v>
      </c>
      <c r="E11811">
        <f>IFERROR(__xludf.DUMMYFUNCTION("""COMPUTED_VALUE"""),1.95875237E8)</f>
        <v>195875237</v>
      </c>
    </row>
    <row r="11812">
      <c r="A11812" t="str">
        <f t="shared" si="1"/>
        <v>nga#2019</v>
      </c>
      <c r="B11812" t="str">
        <f>IFERROR(__xludf.DUMMYFUNCTION("""COMPUTED_VALUE"""),"nga")</f>
        <v>nga</v>
      </c>
      <c r="C11812" t="str">
        <f>IFERROR(__xludf.DUMMYFUNCTION("""COMPUTED_VALUE"""),"Nigeria")</f>
        <v>Nigeria</v>
      </c>
      <c r="D11812">
        <f>IFERROR(__xludf.DUMMYFUNCTION("""COMPUTED_VALUE"""),2019.0)</f>
        <v>2019</v>
      </c>
      <c r="E11812">
        <f>IFERROR(__xludf.DUMMYFUNCTION("""COMPUTED_VALUE"""),2.00962417E8)</f>
        <v>200962417</v>
      </c>
    </row>
    <row r="11813">
      <c r="A11813" t="str">
        <f t="shared" si="1"/>
        <v>nga#2020</v>
      </c>
      <c r="B11813" t="str">
        <f>IFERROR(__xludf.DUMMYFUNCTION("""COMPUTED_VALUE"""),"nga")</f>
        <v>nga</v>
      </c>
      <c r="C11813" t="str">
        <f>IFERROR(__xludf.DUMMYFUNCTION("""COMPUTED_VALUE"""),"Nigeria")</f>
        <v>Nigeria</v>
      </c>
      <c r="D11813">
        <f>IFERROR(__xludf.DUMMYFUNCTION("""COMPUTED_VALUE"""),2020.0)</f>
        <v>2020</v>
      </c>
      <c r="E11813">
        <f>IFERROR(__xludf.DUMMYFUNCTION("""COMPUTED_VALUE"""),2.06152701E8)</f>
        <v>206152701</v>
      </c>
    </row>
    <row r="11814">
      <c r="A11814" t="str">
        <f t="shared" si="1"/>
        <v>nga#2021</v>
      </c>
      <c r="B11814" t="str">
        <f>IFERROR(__xludf.DUMMYFUNCTION("""COMPUTED_VALUE"""),"nga")</f>
        <v>nga</v>
      </c>
      <c r="C11814" t="str">
        <f>IFERROR(__xludf.DUMMYFUNCTION("""COMPUTED_VALUE"""),"Nigeria")</f>
        <v>Nigeria</v>
      </c>
      <c r="D11814">
        <f>IFERROR(__xludf.DUMMYFUNCTION("""COMPUTED_VALUE"""),2021.0)</f>
        <v>2021</v>
      </c>
      <c r="E11814">
        <f>IFERROR(__xludf.DUMMYFUNCTION("""COMPUTED_VALUE"""),2.11446673E8)</f>
        <v>211446673</v>
      </c>
    </row>
    <row r="11815">
      <c r="A11815" t="str">
        <f t="shared" si="1"/>
        <v>nga#2022</v>
      </c>
      <c r="B11815" t="str">
        <f>IFERROR(__xludf.DUMMYFUNCTION("""COMPUTED_VALUE"""),"nga")</f>
        <v>nga</v>
      </c>
      <c r="C11815" t="str">
        <f>IFERROR(__xludf.DUMMYFUNCTION("""COMPUTED_VALUE"""),"Nigeria")</f>
        <v>Nigeria</v>
      </c>
      <c r="D11815">
        <f>IFERROR(__xludf.DUMMYFUNCTION("""COMPUTED_VALUE"""),2022.0)</f>
        <v>2022</v>
      </c>
      <c r="E11815">
        <f>IFERROR(__xludf.DUMMYFUNCTION("""COMPUTED_VALUE"""),2.16844136E8)</f>
        <v>216844136</v>
      </c>
    </row>
    <row r="11816">
      <c r="A11816" t="str">
        <f t="shared" si="1"/>
        <v>nga#2023</v>
      </c>
      <c r="B11816" t="str">
        <f>IFERROR(__xludf.DUMMYFUNCTION("""COMPUTED_VALUE"""),"nga")</f>
        <v>nga</v>
      </c>
      <c r="C11816" t="str">
        <f>IFERROR(__xludf.DUMMYFUNCTION("""COMPUTED_VALUE"""),"Nigeria")</f>
        <v>Nigeria</v>
      </c>
      <c r="D11816">
        <f>IFERROR(__xludf.DUMMYFUNCTION("""COMPUTED_VALUE"""),2023.0)</f>
        <v>2023</v>
      </c>
      <c r="E11816">
        <f>IFERROR(__xludf.DUMMYFUNCTION("""COMPUTED_VALUE"""),2.22348372E8)</f>
        <v>222348372</v>
      </c>
    </row>
    <row r="11817">
      <c r="A11817" t="str">
        <f t="shared" si="1"/>
        <v>nga#2024</v>
      </c>
      <c r="B11817" t="str">
        <f>IFERROR(__xludf.DUMMYFUNCTION("""COMPUTED_VALUE"""),"nga")</f>
        <v>nga</v>
      </c>
      <c r="C11817" t="str">
        <f>IFERROR(__xludf.DUMMYFUNCTION("""COMPUTED_VALUE"""),"Nigeria")</f>
        <v>Nigeria</v>
      </c>
      <c r="D11817">
        <f>IFERROR(__xludf.DUMMYFUNCTION("""COMPUTED_VALUE"""),2024.0)</f>
        <v>2024</v>
      </c>
      <c r="E11817">
        <f>IFERROR(__xludf.DUMMYFUNCTION("""COMPUTED_VALUE"""),2.27963272E8)</f>
        <v>227963272</v>
      </c>
    </row>
    <row r="11818">
      <c r="A11818" t="str">
        <f t="shared" si="1"/>
        <v>nga#2025</v>
      </c>
      <c r="B11818" t="str">
        <f>IFERROR(__xludf.DUMMYFUNCTION("""COMPUTED_VALUE"""),"nga")</f>
        <v>nga</v>
      </c>
      <c r="C11818" t="str">
        <f>IFERROR(__xludf.DUMMYFUNCTION("""COMPUTED_VALUE"""),"Nigeria")</f>
        <v>Nigeria</v>
      </c>
      <c r="D11818">
        <f>IFERROR(__xludf.DUMMYFUNCTION("""COMPUTED_VALUE"""),2025.0)</f>
        <v>2025</v>
      </c>
      <c r="E11818">
        <f>IFERROR(__xludf.DUMMYFUNCTION("""COMPUTED_VALUE"""),2.33691888E8)</f>
        <v>233691888</v>
      </c>
    </row>
    <row r="11819">
      <c r="A11819" t="str">
        <f t="shared" si="1"/>
        <v>nga#2026</v>
      </c>
      <c r="B11819" t="str">
        <f>IFERROR(__xludf.DUMMYFUNCTION("""COMPUTED_VALUE"""),"nga")</f>
        <v>nga</v>
      </c>
      <c r="C11819" t="str">
        <f>IFERROR(__xludf.DUMMYFUNCTION("""COMPUTED_VALUE"""),"Nigeria")</f>
        <v>Nigeria</v>
      </c>
      <c r="D11819">
        <f>IFERROR(__xludf.DUMMYFUNCTION("""COMPUTED_VALUE"""),2026.0)</f>
        <v>2026</v>
      </c>
      <c r="E11819">
        <f>IFERROR(__xludf.DUMMYFUNCTION("""COMPUTED_VALUE"""),2.39535182E8)</f>
        <v>239535182</v>
      </c>
    </row>
    <row r="11820">
      <c r="A11820" t="str">
        <f t="shared" si="1"/>
        <v>nga#2027</v>
      </c>
      <c r="B11820" t="str">
        <f>IFERROR(__xludf.DUMMYFUNCTION("""COMPUTED_VALUE"""),"nga")</f>
        <v>nga</v>
      </c>
      <c r="C11820" t="str">
        <f>IFERROR(__xludf.DUMMYFUNCTION("""COMPUTED_VALUE"""),"Nigeria")</f>
        <v>Nigeria</v>
      </c>
      <c r="D11820">
        <f>IFERROR(__xludf.DUMMYFUNCTION("""COMPUTED_VALUE"""),2027.0)</f>
        <v>2027</v>
      </c>
      <c r="E11820">
        <f>IFERROR(__xludf.DUMMYFUNCTION("""COMPUTED_VALUE"""),2.45493375E8)</f>
        <v>245493375</v>
      </c>
    </row>
    <row r="11821">
      <c r="A11821" t="str">
        <f t="shared" si="1"/>
        <v>nga#2028</v>
      </c>
      <c r="B11821" t="str">
        <f>IFERROR(__xludf.DUMMYFUNCTION("""COMPUTED_VALUE"""),"nga")</f>
        <v>nga</v>
      </c>
      <c r="C11821" t="str">
        <f>IFERROR(__xludf.DUMMYFUNCTION("""COMPUTED_VALUE"""),"Nigeria")</f>
        <v>Nigeria</v>
      </c>
      <c r="D11821">
        <f>IFERROR(__xludf.DUMMYFUNCTION("""COMPUTED_VALUE"""),2028.0)</f>
        <v>2028</v>
      </c>
      <c r="E11821">
        <f>IFERROR(__xludf.DUMMYFUNCTION("""COMPUTED_VALUE"""),2.5156763E8)</f>
        <v>251567630</v>
      </c>
    </row>
    <row r="11822">
      <c r="A11822" t="str">
        <f t="shared" si="1"/>
        <v>nga#2029</v>
      </c>
      <c r="B11822" t="str">
        <f>IFERROR(__xludf.DUMMYFUNCTION("""COMPUTED_VALUE"""),"nga")</f>
        <v>nga</v>
      </c>
      <c r="C11822" t="str">
        <f>IFERROR(__xludf.DUMMYFUNCTION("""COMPUTED_VALUE"""),"Nigeria")</f>
        <v>Nigeria</v>
      </c>
      <c r="D11822">
        <f>IFERROR(__xludf.DUMMYFUNCTION("""COMPUTED_VALUE"""),2029.0)</f>
        <v>2029</v>
      </c>
      <c r="E11822">
        <f>IFERROR(__xludf.DUMMYFUNCTION("""COMPUTED_VALUE"""),2.57758923E8)</f>
        <v>257758923</v>
      </c>
    </row>
    <row r="11823">
      <c r="A11823" t="str">
        <f t="shared" si="1"/>
        <v>nga#2030</v>
      </c>
      <c r="B11823" t="str">
        <f>IFERROR(__xludf.DUMMYFUNCTION("""COMPUTED_VALUE"""),"nga")</f>
        <v>nga</v>
      </c>
      <c r="C11823" t="str">
        <f>IFERROR(__xludf.DUMMYFUNCTION("""COMPUTED_VALUE"""),"Nigeria")</f>
        <v>Nigeria</v>
      </c>
      <c r="D11823">
        <f>IFERROR(__xludf.DUMMYFUNCTION("""COMPUTED_VALUE"""),2030.0)</f>
        <v>2030</v>
      </c>
      <c r="E11823">
        <f>IFERROR(__xludf.DUMMYFUNCTION("""COMPUTED_VALUE"""),2.64067527E8)</f>
        <v>264067527</v>
      </c>
    </row>
    <row r="11824">
      <c r="A11824" t="str">
        <f t="shared" si="1"/>
        <v>nga#2031</v>
      </c>
      <c r="B11824" t="str">
        <f>IFERROR(__xludf.DUMMYFUNCTION("""COMPUTED_VALUE"""),"nga")</f>
        <v>nga</v>
      </c>
      <c r="C11824" t="str">
        <f>IFERROR(__xludf.DUMMYFUNCTION("""COMPUTED_VALUE"""),"Nigeria")</f>
        <v>Nigeria</v>
      </c>
      <c r="D11824">
        <f>IFERROR(__xludf.DUMMYFUNCTION("""COMPUTED_VALUE"""),2031.0)</f>
        <v>2031</v>
      </c>
      <c r="E11824">
        <f>IFERROR(__xludf.DUMMYFUNCTION("""COMPUTED_VALUE"""),2.70493005E8)</f>
        <v>270493005</v>
      </c>
    </row>
    <row r="11825">
      <c r="A11825" t="str">
        <f t="shared" si="1"/>
        <v>nga#2032</v>
      </c>
      <c r="B11825" t="str">
        <f>IFERROR(__xludf.DUMMYFUNCTION("""COMPUTED_VALUE"""),"nga")</f>
        <v>nga</v>
      </c>
      <c r="C11825" t="str">
        <f>IFERROR(__xludf.DUMMYFUNCTION("""COMPUTED_VALUE"""),"Nigeria")</f>
        <v>Nigeria</v>
      </c>
      <c r="D11825">
        <f>IFERROR(__xludf.DUMMYFUNCTION("""COMPUTED_VALUE"""),2032.0)</f>
        <v>2032</v>
      </c>
      <c r="E11825">
        <f>IFERROR(__xludf.DUMMYFUNCTION("""COMPUTED_VALUE"""),2.77033906E8)</f>
        <v>277033906</v>
      </c>
    </row>
    <row r="11826">
      <c r="A11826" t="str">
        <f t="shared" si="1"/>
        <v>nga#2033</v>
      </c>
      <c r="B11826" t="str">
        <f>IFERROR(__xludf.DUMMYFUNCTION("""COMPUTED_VALUE"""),"nga")</f>
        <v>nga</v>
      </c>
      <c r="C11826" t="str">
        <f>IFERROR(__xludf.DUMMYFUNCTION("""COMPUTED_VALUE"""),"Nigeria")</f>
        <v>Nigeria</v>
      </c>
      <c r="D11826">
        <f>IFERROR(__xludf.DUMMYFUNCTION("""COMPUTED_VALUE"""),2033.0)</f>
        <v>2033</v>
      </c>
      <c r="E11826">
        <f>IFERROR(__xludf.DUMMYFUNCTION("""COMPUTED_VALUE"""),2.83687937E8)</f>
        <v>283687937</v>
      </c>
    </row>
    <row r="11827">
      <c r="A11827" t="str">
        <f t="shared" si="1"/>
        <v>nga#2034</v>
      </c>
      <c r="B11827" t="str">
        <f>IFERROR(__xludf.DUMMYFUNCTION("""COMPUTED_VALUE"""),"nga")</f>
        <v>nga</v>
      </c>
      <c r="C11827" t="str">
        <f>IFERROR(__xludf.DUMMYFUNCTION("""COMPUTED_VALUE"""),"Nigeria")</f>
        <v>Nigeria</v>
      </c>
      <c r="D11827">
        <f>IFERROR(__xludf.DUMMYFUNCTION("""COMPUTED_VALUE"""),2034.0)</f>
        <v>2034</v>
      </c>
      <c r="E11827">
        <f>IFERROR(__xludf.DUMMYFUNCTION("""COMPUTED_VALUE"""),2.90452075E8)</f>
        <v>290452075</v>
      </c>
    </row>
    <row r="11828">
      <c r="A11828" t="str">
        <f t="shared" si="1"/>
        <v>nga#2035</v>
      </c>
      <c r="B11828" t="str">
        <f>IFERROR(__xludf.DUMMYFUNCTION("""COMPUTED_VALUE"""),"nga")</f>
        <v>nga</v>
      </c>
      <c r="C11828" t="str">
        <f>IFERROR(__xludf.DUMMYFUNCTION("""COMPUTED_VALUE"""),"Nigeria")</f>
        <v>Nigeria</v>
      </c>
      <c r="D11828">
        <f>IFERROR(__xludf.DUMMYFUNCTION("""COMPUTED_VALUE"""),2035.0)</f>
        <v>2035</v>
      </c>
      <c r="E11828">
        <f>IFERROR(__xludf.DUMMYFUNCTION("""COMPUTED_VALUE"""),2.97323173E8)</f>
        <v>297323173</v>
      </c>
    </row>
    <row r="11829">
      <c r="A11829" t="str">
        <f t="shared" si="1"/>
        <v>nga#2036</v>
      </c>
      <c r="B11829" t="str">
        <f>IFERROR(__xludf.DUMMYFUNCTION("""COMPUTED_VALUE"""),"nga")</f>
        <v>nga</v>
      </c>
      <c r="C11829" t="str">
        <f>IFERROR(__xludf.DUMMYFUNCTION("""COMPUTED_VALUE"""),"Nigeria")</f>
        <v>Nigeria</v>
      </c>
      <c r="D11829">
        <f>IFERROR(__xludf.DUMMYFUNCTION("""COMPUTED_VALUE"""),2036.0)</f>
        <v>2036</v>
      </c>
      <c r="E11829">
        <f>IFERROR(__xludf.DUMMYFUNCTION("""COMPUTED_VALUE"""),3.04298813E8)</f>
        <v>304298813</v>
      </c>
    </row>
    <row r="11830">
      <c r="A11830" t="str">
        <f t="shared" si="1"/>
        <v>nga#2037</v>
      </c>
      <c r="B11830" t="str">
        <f>IFERROR(__xludf.DUMMYFUNCTION("""COMPUTED_VALUE"""),"nga")</f>
        <v>nga</v>
      </c>
      <c r="C11830" t="str">
        <f>IFERROR(__xludf.DUMMYFUNCTION("""COMPUTED_VALUE"""),"Nigeria")</f>
        <v>Nigeria</v>
      </c>
      <c r="D11830">
        <f>IFERROR(__xludf.DUMMYFUNCTION("""COMPUTED_VALUE"""),2037.0)</f>
        <v>2037</v>
      </c>
      <c r="E11830">
        <f>IFERROR(__xludf.DUMMYFUNCTION("""COMPUTED_VALUE"""),3.1137613E8)</f>
        <v>311376130</v>
      </c>
    </row>
    <row r="11831">
      <c r="A11831" t="str">
        <f t="shared" si="1"/>
        <v>nga#2038</v>
      </c>
      <c r="B11831" t="str">
        <f>IFERROR(__xludf.DUMMYFUNCTION("""COMPUTED_VALUE"""),"nga")</f>
        <v>nga</v>
      </c>
      <c r="C11831" t="str">
        <f>IFERROR(__xludf.DUMMYFUNCTION("""COMPUTED_VALUE"""),"Nigeria")</f>
        <v>Nigeria</v>
      </c>
      <c r="D11831">
        <f>IFERROR(__xludf.DUMMYFUNCTION("""COMPUTED_VALUE"""),2038.0)</f>
        <v>2038</v>
      </c>
      <c r="E11831">
        <f>IFERROR(__xludf.DUMMYFUNCTION("""COMPUTED_VALUE"""),3.18550761E8)</f>
        <v>318550761</v>
      </c>
    </row>
    <row r="11832">
      <c r="A11832" t="str">
        <f t="shared" si="1"/>
        <v>nga#2039</v>
      </c>
      <c r="B11832" t="str">
        <f>IFERROR(__xludf.DUMMYFUNCTION("""COMPUTED_VALUE"""),"nga")</f>
        <v>nga</v>
      </c>
      <c r="C11832" t="str">
        <f>IFERROR(__xludf.DUMMYFUNCTION("""COMPUTED_VALUE"""),"Nigeria")</f>
        <v>Nigeria</v>
      </c>
      <c r="D11832">
        <f>IFERROR(__xludf.DUMMYFUNCTION("""COMPUTED_VALUE"""),2039.0)</f>
        <v>2039</v>
      </c>
      <c r="E11832">
        <f>IFERROR(__xludf.DUMMYFUNCTION("""COMPUTED_VALUE"""),3.25817659E8)</f>
        <v>325817659</v>
      </c>
    </row>
    <row r="11833">
      <c r="A11833" t="str">
        <f t="shared" si="1"/>
        <v>nga#2040</v>
      </c>
      <c r="B11833" t="str">
        <f>IFERROR(__xludf.DUMMYFUNCTION("""COMPUTED_VALUE"""),"nga")</f>
        <v>nga</v>
      </c>
      <c r="C11833" t="str">
        <f>IFERROR(__xludf.DUMMYFUNCTION("""COMPUTED_VALUE"""),"Nigeria")</f>
        <v>Nigeria</v>
      </c>
      <c r="D11833">
        <f>IFERROR(__xludf.DUMMYFUNCTION("""COMPUTED_VALUE"""),2040.0)</f>
        <v>2040</v>
      </c>
      <c r="E11833">
        <f>IFERROR(__xludf.DUMMYFUNCTION("""COMPUTED_VALUE"""),3.33172092E8)</f>
        <v>333172092</v>
      </c>
    </row>
    <row r="11834">
      <c r="A11834" t="str">
        <f t="shared" si="1"/>
        <v>nor#1950</v>
      </c>
      <c r="B11834" t="str">
        <f>IFERROR(__xludf.DUMMYFUNCTION("""COMPUTED_VALUE"""),"nor")</f>
        <v>nor</v>
      </c>
      <c r="C11834" t="str">
        <f>IFERROR(__xludf.DUMMYFUNCTION("""COMPUTED_VALUE"""),"Norway")</f>
        <v>Norway</v>
      </c>
      <c r="D11834">
        <f>IFERROR(__xludf.DUMMYFUNCTION("""COMPUTED_VALUE"""),1950.0)</f>
        <v>1950</v>
      </c>
      <c r="E11834">
        <f>IFERROR(__xludf.DUMMYFUNCTION("""COMPUTED_VALUE"""),3265273.0)</f>
        <v>3265273</v>
      </c>
    </row>
    <row r="11835">
      <c r="A11835" t="str">
        <f t="shared" si="1"/>
        <v>nor#1951</v>
      </c>
      <c r="B11835" t="str">
        <f>IFERROR(__xludf.DUMMYFUNCTION("""COMPUTED_VALUE"""),"nor")</f>
        <v>nor</v>
      </c>
      <c r="C11835" t="str">
        <f>IFERROR(__xludf.DUMMYFUNCTION("""COMPUTED_VALUE"""),"Norway")</f>
        <v>Norway</v>
      </c>
      <c r="D11835">
        <f>IFERROR(__xludf.DUMMYFUNCTION("""COMPUTED_VALUE"""),1951.0)</f>
        <v>1951</v>
      </c>
      <c r="E11835">
        <f>IFERROR(__xludf.DUMMYFUNCTION("""COMPUTED_VALUE"""),3300752.0)</f>
        <v>3300752</v>
      </c>
    </row>
    <row r="11836">
      <c r="A11836" t="str">
        <f t="shared" si="1"/>
        <v>nor#1952</v>
      </c>
      <c r="B11836" t="str">
        <f>IFERROR(__xludf.DUMMYFUNCTION("""COMPUTED_VALUE"""),"nor")</f>
        <v>nor</v>
      </c>
      <c r="C11836" t="str">
        <f>IFERROR(__xludf.DUMMYFUNCTION("""COMPUTED_VALUE"""),"Norway")</f>
        <v>Norway</v>
      </c>
      <c r="D11836">
        <f>IFERROR(__xludf.DUMMYFUNCTION("""COMPUTED_VALUE"""),1952.0)</f>
        <v>1952</v>
      </c>
      <c r="E11836">
        <f>IFERROR(__xludf.DUMMYFUNCTION("""COMPUTED_VALUE"""),3334478.0)</f>
        <v>3334478</v>
      </c>
    </row>
    <row r="11837">
      <c r="A11837" t="str">
        <f t="shared" si="1"/>
        <v>nor#1953</v>
      </c>
      <c r="B11837" t="str">
        <f>IFERROR(__xludf.DUMMYFUNCTION("""COMPUTED_VALUE"""),"nor")</f>
        <v>nor</v>
      </c>
      <c r="C11837" t="str">
        <f>IFERROR(__xludf.DUMMYFUNCTION("""COMPUTED_VALUE"""),"Norway")</f>
        <v>Norway</v>
      </c>
      <c r="D11837">
        <f>IFERROR(__xludf.DUMMYFUNCTION("""COMPUTED_VALUE"""),1953.0)</f>
        <v>1953</v>
      </c>
      <c r="E11837">
        <f>IFERROR(__xludf.DUMMYFUNCTION("""COMPUTED_VALUE"""),3367055.0)</f>
        <v>3367055</v>
      </c>
    </row>
    <row r="11838">
      <c r="A11838" t="str">
        <f t="shared" si="1"/>
        <v>nor#1954</v>
      </c>
      <c r="B11838" t="str">
        <f>IFERROR(__xludf.DUMMYFUNCTION("""COMPUTED_VALUE"""),"nor")</f>
        <v>nor</v>
      </c>
      <c r="C11838" t="str">
        <f>IFERROR(__xludf.DUMMYFUNCTION("""COMPUTED_VALUE"""),"Norway")</f>
        <v>Norway</v>
      </c>
      <c r="D11838">
        <f>IFERROR(__xludf.DUMMYFUNCTION("""COMPUTED_VALUE"""),1954.0)</f>
        <v>1954</v>
      </c>
      <c r="E11838">
        <f>IFERROR(__xludf.DUMMYFUNCTION("""COMPUTED_VALUE"""),3398905.0)</f>
        <v>3398905</v>
      </c>
    </row>
    <row r="11839">
      <c r="A11839" t="str">
        <f t="shared" si="1"/>
        <v>nor#1955</v>
      </c>
      <c r="B11839" t="str">
        <f>IFERROR(__xludf.DUMMYFUNCTION("""COMPUTED_VALUE"""),"nor")</f>
        <v>nor</v>
      </c>
      <c r="C11839" t="str">
        <f>IFERROR(__xludf.DUMMYFUNCTION("""COMPUTED_VALUE"""),"Norway")</f>
        <v>Norway</v>
      </c>
      <c r="D11839">
        <f>IFERROR(__xludf.DUMMYFUNCTION("""COMPUTED_VALUE"""),1955.0)</f>
        <v>1955</v>
      </c>
      <c r="E11839">
        <f>IFERROR(__xludf.DUMMYFUNCTION("""COMPUTED_VALUE"""),3430340.0)</f>
        <v>3430340</v>
      </c>
    </row>
    <row r="11840">
      <c r="A11840" t="str">
        <f t="shared" si="1"/>
        <v>nor#1956</v>
      </c>
      <c r="B11840" t="str">
        <f>IFERROR(__xludf.DUMMYFUNCTION("""COMPUTED_VALUE"""),"nor")</f>
        <v>nor</v>
      </c>
      <c r="C11840" t="str">
        <f>IFERROR(__xludf.DUMMYFUNCTION("""COMPUTED_VALUE"""),"Norway")</f>
        <v>Norway</v>
      </c>
      <c r="D11840">
        <f>IFERROR(__xludf.DUMMYFUNCTION("""COMPUTED_VALUE"""),1956.0)</f>
        <v>1956</v>
      </c>
      <c r="E11840">
        <f>IFERROR(__xludf.DUMMYFUNCTION("""COMPUTED_VALUE"""),3461510.0)</f>
        <v>3461510</v>
      </c>
    </row>
    <row r="11841">
      <c r="A11841" t="str">
        <f t="shared" si="1"/>
        <v>nor#1957</v>
      </c>
      <c r="B11841" t="str">
        <f>IFERROR(__xludf.DUMMYFUNCTION("""COMPUTED_VALUE"""),"nor")</f>
        <v>nor</v>
      </c>
      <c r="C11841" t="str">
        <f>IFERROR(__xludf.DUMMYFUNCTION("""COMPUTED_VALUE"""),"Norway")</f>
        <v>Norway</v>
      </c>
      <c r="D11841">
        <f>IFERROR(__xludf.DUMMYFUNCTION("""COMPUTED_VALUE"""),1957.0)</f>
        <v>1957</v>
      </c>
      <c r="E11841">
        <f>IFERROR(__xludf.DUMMYFUNCTION("""COMPUTED_VALUE"""),3492447.0)</f>
        <v>3492447</v>
      </c>
    </row>
    <row r="11842">
      <c r="A11842" t="str">
        <f t="shared" si="1"/>
        <v>nor#1958</v>
      </c>
      <c r="B11842" t="str">
        <f>IFERROR(__xludf.DUMMYFUNCTION("""COMPUTED_VALUE"""),"nor")</f>
        <v>nor</v>
      </c>
      <c r="C11842" t="str">
        <f>IFERROR(__xludf.DUMMYFUNCTION("""COMPUTED_VALUE"""),"Norway")</f>
        <v>Norway</v>
      </c>
      <c r="D11842">
        <f>IFERROR(__xludf.DUMMYFUNCTION("""COMPUTED_VALUE"""),1958.0)</f>
        <v>1958</v>
      </c>
      <c r="E11842">
        <f>IFERROR(__xludf.DUMMYFUNCTION("""COMPUTED_VALUE"""),3523048.0)</f>
        <v>3523048</v>
      </c>
    </row>
    <row r="11843">
      <c r="A11843" t="str">
        <f t="shared" si="1"/>
        <v>nor#1959</v>
      </c>
      <c r="B11843" t="str">
        <f>IFERROR(__xludf.DUMMYFUNCTION("""COMPUTED_VALUE"""),"nor")</f>
        <v>nor</v>
      </c>
      <c r="C11843" t="str">
        <f>IFERROR(__xludf.DUMMYFUNCTION("""COMPUTED_VALUE"""),"Norway")</f>
        <v>Norway</v>
      </c>
      <c r="D11843">
        <f>IFERROR(__xludf.DUMMYFUNCTION("""COMPUTED_VALUE"""),1959.0)</f>
        <v>1959</v>
      </c>
      <c r="E11843">
        <f>IFERROR(__xludf.DUMMYFUNCTION("""COMPUTED_VALUE"""),3553129.0)</f>
        <v>3553129</v>
      </c>
    </row>
    <row r="11844">
      <c r="A11844" t="str">
        <f t="shared" si="1"/>
        <v>nor#1960</v>
      </c>
      <c r="B11844" t="str">
        <f>IFERROR(__xludf.DUMMYFUNCTION("""COMPUTED_VALUE"""),"nor")</f>
        <v>nor</v>
      </c>
      <c r="C11844" t="str">
        <f>IFERROR(__xludf.DUMMYFUNCTION("""COMPUTED_VALUE"""),"Norway")</f>
        <v>Norway</v>
      </c>
      <c r="D11844">
        <f>IFERROR(__xludf.DUMMYFUNCTION("""COMPUTED_VALUE"""),1960.0)</f>
        <v>1960</v>
      </c>
      <c r="E11844">
        <f>IFERROR(__xludf.DUMMYFUNCTION("""COMPUTED_VALUE"""),3582507.0)</f>
        <v>3582507</v>
      </c>
    </row>
    <row r="11845">
      <c r="A11845" t="str">
        <f t="shared" si="1"/>
        <v>nor#1961</v>
      </c>
      <c r="B11845" t="str">
        <f>IFERROR(__xludf.DUMMYFUNCTION("""COMPUTED_VALUE"""),"nor")</f>
        <v>nor</v>
      </c>
      <c r="C11845" t="str">
        <f>IFERROR(__xludf.DUMMYFUNCTION("""COMPUTED_VALUE"""),"Norway")</f>
        <v>Norway</v>
      </c>
      <c r="D11845">
        <f>IFERROR(__xludf.DUMMYFUNCTION("""COMPUTED_VALUE"""),1961.0)</f>
        <v>1961</v>
      </c>
      <c r="E11845">
        <f>IFERROR(__xludf.DUMMYFUNCTION("""COMPUTED_VALUE"""),3611146.0)</f>
        <v>3611146</v>
      </c>
    </row>
    <row r="11846">
      <c r="A11846" t="str">
        <f t="shared" si="1"/>
        <v>nor#1962</v>
      </c>
      <c r="B11846" t="str">
        <f>IFERROR(__xludf.DUMMYFUNCTION("""COMPUTED_VALUE"""),"nor")</f>
        <v>nor</v>
      </c>
      <c r="C11846" t="str">
        <f>IFERROR(__xludf.DUMMYFUNCTION("""COMPUTED_VALUE"""),"Norway")</f>
        <v>Norway</v>
      </c>
      <c r="D11846">
        <f>IFERROR(__xludf.DUMMYFUNCTION("""COMPUTED_VALUE"""),1962.0)</f>
        <v>1962</v>
      </c>
      <c r="E11846">
        <f>IFERROR(__xludf.DUMMYFUNCTION("""COMPUTED_VALUE"""),3639210.0)</f>
        <v>3639210</v>
      </c>
    </row>
    <row r="11847">
      <c r="A11847" t="str">
        <f t="shared" si="1"/>
        <v>nor#1963</v>
      </c>
      <c r="B11847" t="str">
        <f>IFERROR(__xludf.DUMMYFUNCTION("""COMPUTED_VALUE"""),"nor")</f>
        <v>nor</v>
      </c>
      <c r="C11847" t="str">
        <f>IFERROR(__xludf.DUMMYFUNCTION("""COMPUTED_VALUE"""),"Norway")</f>
        <v>Norway</v>
      </c>
      <c r="D11847">
        <f>IFERROR(__xludf.DUMMYFUNCTION("""COMPUTED_VALUE"""),1963.0)</f>
        <v>1963</v>
      </c>
      <c r="E11847">
        <f>IFERROR(__xludf.DUMMYFUNCTION("""COMPUTED_VALUE"""),3667113.0)</f>
        <v>3667113</v>
      </c>
    </row>
    <row r="11848">
      <c r="A11848" t="str">
        <f t="shared" si="1"/>
        <v>nor#1964</v>
      </c>
      <c r="B11848" t="str">
        <f>IFERROR(__xludf.DUMMYFUNCTION("""COMPUTED_VALUE"""),"nor")</f>
        <v>nor</v>
      </c>
      <c r="C11848" t="str">
        <f>IFERROR(__xludf.DUMMYFUNCTION("""COMPUTED_VALUE"""),"Norway")</f>
        <v>Norway</v>
      </c>
      <c r="D11848">
        <f>IFERROR(__xludf.DUMMYFUNCTION("""COMPUTED_VALUE"""),1964.0)</f>
        <v>1964</v>
      </c>
      <c r="E11848">
        <f>IFERROR(__xludf.DUMMYFUNCTION("""COMPUTED_VALUE"""),3695408.0)</f>
        <v>3695408</v>
      </c>
    </row>
    <row r="11849">
      <c r="A11849" t="str">
        <f t="shared" si="1"/>
        <v>nor#1965</v>
      </c>
      <c r="B11849" t="str">
        <f>IFERROR(__xludf.DUMMYFUNCTION("""COMPUTED_VALUE"""),"nor")</f>
        <v>nor</v>
      </c>
      <c r="C11849" t="str">
        <f>IFERROR(__xludf.DUMMYFUNCTION("""COMPUTED_VALUE"""),"Norway")</f>
        <v>Norway</v>
      </c>
      <c r="D11849">
        <f>IFERROR(__xludf.DUMMYFUNCTION("""COMPUTED_VALUE"""),1965.0)</f>
        <v>1965</v>
      </c>
      <c r="E11849">
        <f>IFERROR(__xludf.DUMMYFUNCTION("""COMPUTED_VALUE"""),3724463.0)</f>
        <v>3724463</v>
      </c>
    </row>
    <row r="11850">
      <c r="A11850" t="str">
        <f t="shared" si="1"/>
        <v>nor#1966</v>
      </c>
      <c r="B11850" t="str">
        <f>IFERROR(__xludf.DUMMYFUNCTION("""COMPUTED_VALUE"""),"nor")</f>
        <v>nor</v>
      </c>
      <c r="C11850" t="str">
        <f>IFERROR(__xludf.DUMMYFUNCTION("""COMPUTED_VALUE"""),"Norway")</f>
        <v>Norway</v>
      </c>
      <c r="D11850">
        <f>IFERROR(__xludf.DUMMYFUNCTION("""COMPUTED_VALUE"""),1966.0)</f>
        <v>1966</v>
      </c>
      <c r="E11850">
        <f>IFERROR(__xludf.DUMMYFUNCTION("""COMPUTED_VALUE"""),3754362.0)</f>
        <v>3754362</v>
      </c>
    </row>
    <row r="11851">
      <c r="A11851" t="str">
        <f t="shared" si="1"/>
        <v>nor#1967</v>
      </c>
      <c r="B11851" t="str">
        <f>IFERROR(__xludf.DUMMYFUNCTION("""COMPUTED_VALUE"""),"nor")</f>
        <v>nor</v>
      </c>
      <c r="C11851" t="str">
        <f>IFERROR(__xludf.DUMMYFUNCTION("""COMPUTED_VALUE"""),"Norway")</f>
        <v>Norway</v>
      </c>
      <c r="D11851">
        <f>IFERROR(__xludf.DUMMYFUNCTION("""COMPUTED_VALUE"""),1967.0)</f>
        <v>1967</v>
      </c>
      <c r="E11851">
        <f>IFERROR(__xludf.DUMMYFUNCTION("""COMPUTED_VALUE"""),3784868.0)</f>
        <v>3784868</v>
      </c>
    </row>
    <row r="11852">
      <c r="A11852" t="str">
        <f t="shared" si="1"/>
        <v>nor#1968</v>
      </c>
      <c r="B11852" t="str">
        <f>IFERROR(__xludf.DUMMYFUNCTION("""COMPUTED_VALUE"""),"nor")</f>
        <v>nor</v>
      </c>
      <c r="C11852" t="str">
        <f>IFERROR(__xludf.DUMMYFUNCTION("""COMPUTED_VALUE"""),"Norway")</f>
        <v>Norway</v>
      </c>
      <c r="D11852">
        <f>IFERROR(__xludf.DUMMYFUNCTION("""COMPUTED_VALUE"""),1968.0)</f>
        <v>1968</v>
      </c>
      <c r="E11852">
        <f>IFERROR(__xludf.DUMMYFUNCTION("""COMPUTED_VALUE"""),3815637.0)</f>
        <v>3815637</v>
      </c>
    </row>
    <row r="11853">
      <c r="A11853" t="str">
        <f t="shared" si="1"/>
        <v>nor#1969</v>
      </c>
      <c r="B11853" t="str">
        <f>IFERROR(__xludf.DUMMYFUNCTION("""COMPUTED_VALUE"""),"nor")</f>
        <v>nor</v>
      </c>
      <c r="C11853" t="str">
        <f>IFERROR(__xludf.DUMMYFUNCTION("""COMPUTED_VALUE"""),"Norway")</f>
        <v>Norway</v>
      </c>
      <c r="D11853">
        <f>IFERROR(__xludf.DUMMYFUNCTION("""COMPUTED_VALUE"""),1969.0)</f>
        <v>1969</v>
      </c>
      <c r="E11853">
        <f>IFERROR(__xludf.DUMMYFUNCTION("""COMPUTED_VALUE"""),3846184.0)</f>
        <v>3846184</v>
      </c>
    </row>
    <row r="11854">
      <c r="A11854" t="str">
        <f t="shared" si="1"/>
        <v>nor#1970</v>
      </c>
      <c r="B11854" t="str">
        <f>IFERROR(__xludf.DUMMYFUNCTION("""COMPUTED_VALUE"""),"nor")</f>
        <v>nor</v>
      </c>
      <c r="C11854" t="str">
        <f>IFERROR(__xludf.DUMMYFUNCTION("""COMPUTED_VALUE"""),"Norway")</f>
        <v>Norway</v>
      </c>
      <c r="D11854">
        <f>IFERROR(__xludf.DUMMYFUNCTION("""COMPUTED_VALUE"""),1970.0)</f>
        <v>1970</v>
      </c>
      <c r="E11854">
        <f>IFERROR(__xludf.DUMMYFUNCTION("""COMPUTED_VALUE"""),3876060.0)</f>
        <v>3876060</v>
      </c>
    </row>
    <row r="11855">
      <c r="A11855" t="str">
        <f t="shared" si="1"/>
        <v>nor#1971</v>
      </c>
      <c r="B11855" t="str">
        <f>IFERROR(__xludf.DUMMYFUNCTION("""COMPUTED_VALUE"""),"nor")</f>
        <v>nor</v>
      </c>
      <c r="C11855" t="str">
        <f>IFERROR(__xludf.DUMMYFUNCTION("""COMPUTED_VALUE"""),"Norway")</f>
        <v>Norway</v>
      </c>
      <c r="D11855">
        <f>IFERROR(__xludf.DUMMYFUNCTION("""COMPUTED_VALUE"""),1971.0)</f>
        <v>1971</v>
      </c>
      <c r="E11855">
        <f>IFERROR(__xludf.DUMMYFUNCTION("""COMPUTED_VALUE"""),3905269.0)</f>
        <v>3905269</v>
      </c>
    </row>
    <row r="11856">
      <c r="A11856" t="str">
        <f t="shared" si="1"/>
        <v>nor#1972</v>
      </c>
      <c r="B11856" t="str">
        <f>IFERROR(__xludf.DUMMYFUNCTION("""COMPUTED_VALUE"""),"nor")</f>
        <v>nor</v>
      </c>
      <c r="C11856" t="str">
        <f>IFERROR(__xludf.DUMMYFUNCTION("""COMPUTED_VALUE"""),"Norway")</f>
        <v>Norway</v>
      </c>
      <c r="D11856">
        <f>IFERROR(__xludf.DUMMYFUNCTION("""COMPUTED_VALUE"""),1972.0)</f>
        <v>1972</v>
      </c>
      <c r="E11856">
        <f>IFERROR(__xludf.DUMMYFUNCTION("""COMPUTED_VALUE"""),3933725.0)</f>
        <v>3933725</v>
      </c>
    </row>
    <row r="11857">
      <c r="A11857" t="str">
        <f t="shared" si="1"/>
        <v>nor#1973</v>
      </c>
      <c r="B11857" t="str">
        <f>IFERROR(__xludf.DUMMYFUNCTION("""COMPUTED_VALUE"""),"nor")</f>
        <v>nor</v>
      </c>
      <c r="C11857" t="str">
        <f>IFERROR(__xludf.DUMMYFUNCTION("""COMPUTED_VALUE"""),"Norway")</f>
        <v>Norway</v>
      </c>
      <c r="D11857">
        <f>IFERROR(__xludf.DUMMYFUNCTION("""COMPUTED_VALUE"""),1973.0)</f>
        <v>1973</v>
      </c>
      <c r="E11857">
        <f>IFERROR(__xludf.DUMMYFUNCTION("""COMPUTED_VALUE"""),3960802.0)</f>
        <v>3960802</v>
      </c>
    </row>
    <row r="11858">
      <c r="A11858" t="str">
        <f t="shared" si="1"/>
        <v>nor#1974</v>
      </c>
      <c r="B11858" t="str">
        <f>IFERROR(__xludf.DUMMYFUNCTION("""COMPUTED_VALUE"""),"nor")</f>
        <v>nor</v>
      </c>
      <c r="C11858" t="str">
        <f>IFERROR(__xludf.DUMMYFUNCTION("""COMPUTED_VALUE"""),"Norway")</f>
        <v>Norway</v>
      </c>
      <c r="D11858">
        <f>IFERROR(__xludf.DUMMYFUNCTION("""COMPUTED_VALUE"""),1974.0)</f>
        <v>1974</v>
      </c>
      <c r="E11858">
        <f>IFERROR(__xludf.DUMMYFUNCTION("""COMPUTED_VALUE"""),3985741.0)</f>
        <v>3985741</v>
      </c>
    </row>
    <row r="11859">
      <c r="A11859" t="str">
        <f t="shared" si="1"/>
        <v>nor#1975</v>
      </c>
      <c r="B11859" t="str">
        <f>IFERROR(__xludf.DUMMYFUNCTION("""COMPUTED_VALUE"""),"nor")</f>
        <v>nor</v>
      </c>
      <c r="C11859" t="str">
        <f>IFERROR(__xludf.DUMMYFUNCTION("""COMPUTED_VALUE"""),"Norway")</f>
        <v>Norway</v>
      </c>
      <c r="D11859">
        <f>IFERROR(__xludf.DUMMYFUNCTION("""COMPUTED_VALUE"""),1975.0)</f>
        <v>1975</v>
      </c>
      <c r="E11859">
        <f>IFERROR(__xludf.DUMMYFUNCTION("""COMPUTED_VALUE"""),4008031.0)</f>
        <v>4008031</v>
      </c>
    </row>
    <row r="11860">
      <c r="A11860" t="str">
        <f t="shared" si="1"/>
        <v>nor#1976</v>
      </c>
      <c r="B11860" t="str">
        <f>IFERROR(__xludf.DUMMYFUNCTION("""COMPUTED_VALUE"""),"nor")</f>
        <v>nor</v>
      </c>
      <c r="C11860" t="str">
        <f>IFERROR(__xludf.DUMMYFUNCTION("""COMPUTED_VALUE"""),"Norway")</f>
        <v>Norway</v>
      </c>
      <c r="D11860">
        <f>IFERROR(__xludf.DUMMYFUNCTION("""COMPUTED_VALUE"""),1976.0)</f>
        <v>1976</v>
      </c>
      <c r="E11860">
        <f>IFERROR(__xludf.DUMMYFUNCTION("""COMPUTED_VALUE"""),4027475.0)</f>
        <v>4027475</v>
      </c>
    </row>
    <row r="11861">
      <c r="A11861" t="str">
        <f t="shared" si="1"/>
        <v>nor#1977</v>
      </c>
      <c r="B11861" t="str">
        <f>IFERROR(__xludf.DUMMYFUNCTION("""COMPUTED_VALUE"""),"nor")</f>
        <v>nor</v>
      </c>
      <c r="C11861" t="str">
        <f>IFERROR(__xludf.DUMMYFUNCTION("""COMPUTED_VALUE"""),"Norway")</f>
        <v>Norway</v>
      </c>
      <c r="D11861">
        <f>IFERROR(__xludf.DUMMYFUNCTION("""COMPUTED_VALUE"""),1977.0)</f>
        <v>1977</v>
      </c>
      <c r="E11861">
        <f>IFERROR(__xludf.DUMMYFUNCTION("""COMPUTED_VALUE"""),4044330.0)</f>
        <v>4044330</v>
      </c>
    </row>
    <row r="11862">
      <c r="A11862" t="str">
        <f t="shared" si="1"/>
        <v>nor#1978</v>
      </c>
      <c r="B11862" t="str">
        <f>IFERROR(__xludf.DUMMYFUNCTION("""COMPUTED_VALUE"""),"nor")</f>
        <v>nor</v>
      </c>
      <c r="C11862" t="str">
        <f>IFERROR(__xludf.DUMMYFUNCTION("""COMPUTED_VALUE"""),"Norway")</f>
        <v>Norway</v>
      </c>
      <c r="D11862">
        <f>IFERROR(__xludf.DUMMYFUNCTION("""COMPUTED_VALUE"""),1978.0)</f>
        <v>1978</v>
      </c>
      <c r="E11862">
        <f>IFERROR(__xludf.DUMMYFUNCTION("""COMPUTED_VALUE"""),4059183.0)</f>
        <v>4059183</v>
      </c>
    </row>
    <row r="11863">
      <c r="A11863" t="str">
        <f t="shared" si="1"/>
        <v>nor#1979</v>
      </c>
      <c r="B11863" t="str">
        <f>IFERROR(__xludf.DUMMYFUNCTION("""COMPUTED_VALUE"""),"nor")</f>
        <v>nor</v>
      </c>
      <c r="C11863" t="str">
        <f>IFERROR(__xludf.DUMMYFUNCTION("""COMPUTED_VALUE"""),"Norway")</f>
        <v>Norway</v>
      </c>
      <c r="D11863">
        <f>IFERROR(__xludf.DUMMYFUNCTION("""COMPUTED_VALUE"""),1979.0)</f>
        <v>1979</v>
      </c>
      <c r="E11863">
        <f>IFERROR(__xludf.DUMMYFUNCTION("""COMPUTED_VALUE"""),4072868.0)</f>
        <v>4072868</v>
      </c>
    </row>
    <row r="11864">
      <c r="A11864" t="str">
        <f t="shared" si="1"/>
        <v>nor#1980</v>
      </c>
      <c r="B11864" t="str">
        <f>IFERROR(__xludf.DUMMYFUNCTION("""COMPUTED_VALUE"""),"nor")</f>
        <v>nor</v>
      </c>
      <c r="C11864" t="str">
        <f>IFERROR(__xludf.DUMMYFUNCTION("""COMPUTED_VALUE"""),"Norway")</f>
        <v>Norway</v>
      </c>
      <c r="D11864">
        <f>IFERROR(__xludf.DUMMYFUNCTION("""COMPUTED_VALUE"""),1980.0)</f>
        <v>1980</v>
      </c>
      <c r="E11864">
        <f>IFERROR(__xludf.DUMMYFUNCTION("""COMPUTED_VALUE"""),4086076.0)</f>
        <v>4086076</v>
      </c>
    </row>
    <row r="11865">
      <c r="A11865" t="str">
        <f t="shared" si="1"/>
        <v>nor#1981</v>
      </c>
      <c r="B11865" t="str">
        <f>IFERROR(__xludf.DUMMYFUNCTION("""COMPUTED_VALUE"""),"nor")</f>
        <v>nor</v>
      </c>
      <c r="C11865" t="str">
        <f>IFERROR(__xludf.DUMMYFUNCTION("""COMPUTED_VALUE"""),"Norway")</f>
        <v>Norway</v>
      </c>
      <c r="D11865">
        <f>IFERROR(__xludf.DUMMYFUNCTION("""COMPUTED_VALUE"""),1981.0)</f>
        <v>1981</v>
      </c>
      <c r="E11865">
        <f>IFERROR(__xludf.DUMMYFUNCTION("""COMPUTED_VALUE"""),4098973.0)</f>
        <v>4098973</v>
      </c>
    </row>
    <row r="11866">
      <c r="A11866" t="str">
        <f t="shared" si="1"/>
        <v>nor#1982</v>
      </c>
      <c r="B11866" t="str">
        <f>IFERROR(__xludf.DUMMYFUNCTION("""COMPUTED_VALUE"""),"nor")</f>
        <v>nor</v>
      </c>
      <c r="C11866" t="str">
        <f>IFERROR(__xludf.DUMMYFUNCTION("""COMPUTED_VALUE"""),"Norway")</f>
        <v>Norway</v>
      </c>
      <c r="D11866">
        <f>IFERROR(__xludf.DUMMYFUNCTION("""COMPUTED_VALUE"""),1982.0)</f>
        <v>1982</v>
      </c>
      <c r="E11866">
        <f>IFERROR(__xludf.DUMMYFUNCTION("""COMPUTED_VALUE"""),4111657.0)</f>
        <v>4111657</v>
      </c>
    </row>
    <row r="11867">
      <c r="A11867" t="str">
        <f t="shared" si="1"/>
        <v>nor#1983</v>
      </c>
      <c r="B11867" t="str">
        <f>IFERROR(__xludf.DUMMYFUNCTION("""COMPUTED_VALUE"""),"nor")</f>
        <v>nor</v>
      </c>
      <c r="C11867" t="str">
        <f>IFERROR(__xludf.DUMMYFUNCTION("""COMPUTED_VALUE"""),"Norway")</f>
        <v>Norway</v>
      </c>
      <c r="D11867">
        <f>IFERROR(__xludf.DUMMYFUNCTION("""COMPUTED_VALUE"""),1983.0)</f>
        <v>1983</v>
      </c>
      <c r="E11867">
        <f>IFERROR(__xludf.DUMMYFUNCTION("""COMPUTED_VALUE"""),4124585.0)</f>
        <v>4124585</v>
      </c>
    </row>
    <row r="11868">
      <c r="A11868" t="str">
        <f t="shared" si="1"/>
        <v>nor#1984</v>
      </c>
      <c r="B11868" t="str">
        <f>IFERROR(__xludf.DUMMYFUNCTION("""COMPUTED_VALUE"""),"nor")</f>
        <v>nor</v>
      </c>
      <c r="C11868" t="str">
        <f>IFERROR(__xludf.DUMMYFUNCTION("""COMPUTED_VALUE"""),"Norway")</f>
        <v>Norway</v>
      </c>
      <c r="D11868">
        <f>IFERROR(__xludf.DUMMYFUNCTION("""COMPUTED_VALUE"""),1984.0)</f>
        <v>1984</v>
      </c>
      <c r="E11868">
        <f>IFERROR(__xludf.DUMMYFUNCTION("""COMPUTED_VALUE"""),4138268.0)</f>
        <v>4138268</v>
      </c>
    </row>
    <row r="11869">
      <c r="A11869" t="str">
        <f t="shared" si="1"/>
        <v>nor#1985</v>
      </c>
      <c r="B11869" t="str">
        <f>IFERROR(__xludf.DUMMYFUNCTION("""COMPUTED_VALUE"""),"nor")</f>
        <v>nor</v>
      </c>
      <c r="C11869" t="str">
        <f>IFERROR(__xludf.DUMMYFUNCTION("""COMPUTED_VALUE"""),"Norway")</f>
        <v>Norway</v>
      </c>
      <c r="D11869">
        <f>IFERROR(__xludf.DUMMYFUNCTION("""COMPUTED_VALUE"""),1985.0)</f>
        <v>1985</v>
      </c>
      <c r="E11869">
        <f>IFERROR(__xludf.DUMMYFUNCTION("""COMPUTED_VALUE"""),4153105.0)</f>
        <v>4153105</v>
      </c>
    </row>
    <row r="11870">
      <c r="A11870" t="str">
        <f t="shared" si="1"/>
        <v>nor#1986</v>
      </c>
      <c r="B11870" t="str">
        <f>IFERROR(__xludf.DUMMYFUNCTION("""COMPUTED_VALUE"""),"nor")</f>
        <v>nor</v>
      </c>
      <c r="C11870" t="str">
        <f>IFERROR(__xludf.DUMMYFUNCTION("""COMPUTED_VALUE"""),"Norway")</f>
        <v>Norway</v>
      </c>
      <c r="D11870">
        <f>IFERROR(__xludf.DUMMYFUNCTION("""COMPUTED_VALUE"""),1986.0)</f>
        <v>1986</v>
      </c>
      <c r="E11870">
        <f>IFERROR(__xludf.DUMMYFUNCTION("""COMPUTED_VALUE"""),4169322.0)</f>
        <v>4169322</v>
      </c>
    </row>
    <row r="11871">
      <c r="A11871" t="str">
        <f t="shared" si="1"/>
        <v>nor#1987</v>
      </c>
      <c r="B11871" t="str">
        <f>IFERROR(__xludf.DUMMYFUNCTION("""COMPUTED_VALUE"""),"nor")</f>
        <v>nor</v>
      </c>
      <c r="C11871" t="str">
        <f>IFERROR(__xludf.DUMMYFUNCTION("""COMPUTED_VALUE"""),"Norway")</f>
        <v>Norway</v>
      </c>
      <c r="D11871">
        <f>IFERROR(__xludf.DUMMYFUNCTION("""COMPUTED_VALUE"""),1987.0)</f>
        <v>1987</v>
      </c>
      <c r="E11871">
        <f>IFERROR(__xludf.DUMMYFUNCTION("""COMPUTED_VALUE"""),4186968.0)</f>
        <v>4186968</v>
      </c>
    </row>
    <row r="11872">
      <c r="A11872" t="str">
        <f t="shared" si="1"/>
        <v>nor#1988</v>
      </c>
      <c r="B11872" t="str">
        <f>IFERROR(__xludf.DUMMYFUNCTION("""COMPUTED_VALUE"""),"nor")</f>
        <v>nor</v>
      </c>
      <c r="C11872" t="str">
        <f>IFERROR(__xludf.DUMMYFUNCTION("""COMPUTED_VALUE"""),"Norway")</f>
        <v>Norway</v>
      </c>
      <c r="D11872">
        <f>IFERROR(__xludf.DUMMYFUNCTION("""COMPUTED_VALUE"""),1988.0)</f>
        <v>1988</v>
      </c>
      <c r="E11872">
        <f>IFERROR(__xludf.DUMMYFUNCTION("""COMPUTED_VALUE"""),4205966.0)</f>
        <v>4205966</v>
      </c>
    </row>
    <row r="11873">
      <c r="A11873" t="str">
        <f t="shared" si="1"/>
        <v>nor#1989</v>
      </c>
      <c r="B11873" t="str">
        <f>IFERROR(__xludf.DUMMYFUNCTION("""COMPUTED_VALUE"""),"nor")</f>
        <v>nor</v>
      </c>
      <c r="C11873" t="str">
        <f>IFERROR(__xludf.DUMMYFUNCTION("""COMPUTED_VALUE"""),"Norway")</f>
        <v>Norway</v>
      </c>
      <c r="D11873">
        <f>IFERROR(__xludf.DUMMYFUNCTION("""COMPUTED_VALUE"""),1989.0)</f>
        <v>1989</v>
      </c>
      <c r="E11873">
        <f>IFERROR(__xludf.DUMMYFUNCTION("""COMPUTED_VALUE"""),4226122.0)</f>
        <v>4226122</v>
      </c>
    </row>
    <row r="11874">
      <c r="A11874" t="str">
        <f t="shared" si="1"/>
        <v>nor#1990</v>
      </c>
      <c r="B11874" t="str">
        <f>IFERROR(__xludf.DUMMYFUNCTION("""COMPUTED_VALUE"""),"nor")</f>
        <v>nor</v>
      </c>
      <c r="C11874" t="str">
        <f>IFERROR(__xludf.DUMMYFUNCTION("""COMPUTED_VALUE"""),"Norway")</f>
        <v>Norway</v>
      </c>
      <c r="D11874">
        <f>IFERROR(__xludf.DUMMYFUNCTION("""COMPUTED_VALUE"""),1990.0)</f>
        <v>1990</v>
      </c>
      <c r="E11874">
        <f>IFERROR(__xludf.DUMMYFUNCTION("""COMPUTED_VALUE"""),4247285.0)</f>
        <v>4247285</v>
      </c>
    </row>
    <row r="11875">
      <c r="A11875" t="str">
        <f t="shared" si="1"/>
        <v>nor#1991</v>
      </c>
      <c r="B11875" t="str">
        <f>IFERROR(__xludf.DUMMYFUNCTION("""COMPUTED_VALUE"""),"nor")</f>
        <v>nor</v>
      </c>
      <c r="C11875" t="str">
        <f>IFERROR(__xludf.DUMMYFUNCTION("""COMPUTED_VALUE"""),"Norway")</f>
        <v>Norway</v>
      </c>
      <c r="D11875">
        <f>IFERROR(__xludf.DUMMYFUNCTION("""COMPUTED_VALUE"""),1991.0)</f>
        <v>1991</v>
      </c>
      <c r="E11875">
        <f>IFERROR(__xludf.DUMMYFUNCTION("""COMPUTED_VALUE"""),4269471.0)</f>
        <v>4269471</v>
      </c>
    </row>
    <row r="11876">
      <c r="A11876" t="str">
        <f t="shared" si="1"/>
        <v>nor#1992</v>
      </c>
      <c r="B11876" t="str">
        <f>IFERROR(__xludf.DUMMYFUNCTION("""COMPUTED_VALUE"""),"nor")</f>
        <v>nor</v>
      </c>
      <c r="C11876" t="str">
        <f>IFERROR(__xludf.DUMMYFUNCTION("""COMPUTED_VALUE"""),"Norway")</f>
        <v>Norway</v>
      </c>
      <c r="D11876">
        <f>IFERROR(__xludf.DUMMYFUNCTION("""COMPUTED_VALUE"""),1992.0)</f>
        <v>1992</v>
      </c>
      <c r="E11876">
        <f>IFERROR(__xludf.DUMMYFUNCTION("""COMPUTED_VALUE"""),4292683.0)</f>
        <v>4292683</v>
      </c>
    </row>
    <row r="11877">
      <c r="A11877" t="str">
        <f t="shared" si="1"/>
        <v>nor#1993</v>
      </c>
      <c r="B11877" t="str">
        <f>IFERROR(__xludf.DUMMYFUNCTION("""COMPUTED_VALUE"""),"nor")</f>
        <v>nor</v>
      </c>
      <c r="C11877" t="str">
        <f>IFERROR(__xludf.DUMMYFUNCTION("""COMPUTED_VALUE"""),"Norway")</f>
        <v>Norway</v>
      </c>
      <c r="D11877">
        <f>IFERROR(__xludf.DUMMYFUNCTION("""COMPUTED_VALUE"""),1993.0)</f>
        <v>1993</v>
      </c>
      <c r="E11877">
        <f>IFERROR(__xludf.DUMMYFUNCTION("""COMPUTED_VALUE"""),4316788.0)</f>
        <v>4316788</v>
      </c>
    </row>
    <row r="11878">
      <c r="A11878" t="str">
        <f t="shared" si="1"/>
        <v>nor#1994</v>
      </c>
      <c r="B11878" t="str">
        <f>IFERROR(__xludf.DUMMYFUNCTION("""COMPUTED_VALUE"""),"nor")</f>
        <v>nor</v>
      </c>
      <c r="C11878" t="str">
        <f>IFERROR(__xludf.DUMMYFUNCTION("""COMPUTED_VALUE"""),"Norway")</f>
        <v>Norway</v>
      </c>
      <c r="D11878">
        <f>IFERROR(__xludf.DUMMYFUNCTION("""COMPUTED_VALUE"""),1994.0)</f>
        <v>1994</v>
      </c>
      <c r="E11878">
        <f>IFERROR(__xludf.DUMMYFUNCTION("""COMPUTED_VALUE"""),4341615.0)</f>
        <v>4341615</v>
      </c>
    </row>
    <row r="11879">
      <c r="A11879" t="str">
        <f t="shared" si="1"/>
        <v>nor#1995</v>
      </c>
      <c r="B11879" t="str">
        <f>IFERROR(__xludf.DUMMYFUNCTION("""COMPUTED_VALUE"""),"nor")</f>
        <v>nor</v>
      </c>
      <c r="C11879" t="str">
        <f>IFERROR(__xludf.DUMMYFUNCTION("""COMPUTED_VALUE"""),"Norway")</f>
        <v>Norway</v>
      </c>
      <c r="D11879">
        <f>IFERROR(__xludf.DUMMYFUNCTION("""COMPUTED_VALUE"""),1995.0)</f>
        <v>1995</v>
      </c>
      <c r="E11879">
        <f>IFERROR(__xludf.DUMMYFUNCTION("""COMPUTED_VALUE"""),4366995.0)</f>
        <v>4366995</v>
      </c>
    </row>
    <row r="11880">
      <c r="A11880" t="str">
        <f t="shared" si="1"/>
        <v>nor#1996</v>
      </c>
      <c r="B11880" t="str">
        <f>IFERROR(__xludf.DUMMYFUNCTION("""COMPUTED_VALUE"""),"nor")</f>
        <v>nor</v>
      </c>
      <c r="C11880" t="str">
        <f>IFERROR(__xludf.DUMMYFUNCTION("""COMPUTED_VALUE"""),"Norway")</f>
        <v>Norway</v>
      </c>
      <c r="D11880">
        <f>IFERROR(__xludf.DUMMYFUNCTION("""COMPUTED_VALUE"""),1996.0)</f>
        <v>1996</v>
      </c>
      <c r="E11880">
        <f>IFERROR(__xludf.DUMMYFUNCTION("""COMPUTED_VALUE"""),4393209.0)</f>
        <v>4393209</v>
      </c>
    </row>
    <row r="11881">
      <c r="A11881" t="str">
        <f t="shared" si="1"/>
        <v>nor#1997</v>
      </c>
      <c r="B11881" t="str">
        <f>IFERROR(__xludf.DUMMYFUNCTION("""COMPUTED_VALUE"""),"nor")</f>
        <v>nor</v>
      </c>
      <c r="C11881" t="str">
        <f>IFERROR(__xludf.DUMMYFUNCTION("""COMPUTED_VALUE"""),"Norway")</f>
        <v>Norway</v>
      </c>
      <c r="D11881">
        <f>IFERROR(__xludf.DUMMYFUNCTION("""COMPUTED_VALUE"""),1997.0)</f>
        <v>1997</v>
      </c>
      <c r="E11881">
        <f>IFERROR(__xludf.DUMMYFUNCTION("""COMPUTED_VALUE"""),4420262.0)</f>
        <v>4420262</v>
      </c>
    </row>
    <row r="11882">
      <c r="A11882" t="str">
        <f t="shared" si="1"/>
        <v>nor#1998</v>
      </c>
      <c r="B11882" t="str">
        <f>IFERROR(__xludf.DUMMYFUNCTION("""COMPUTED_VALUE"""),"nor")</f>
        <v>nor</v>
      </c>
      <c r="C11882" t="str">
        <f>IFERROR(__xludf.DUMMYFUNCTION("""COMPUTED_VALUE"""),"Norway")</f>
        <v>Norway</v>
      </c>
      <c r="D11882">
        <f>IFERROR(__xludf.DUMMYFUNCTION("""COMPUTED_VALUE"""),1998.0)</f>
        <v>1998</v>
      </c>
      <c r="E11882">
        <f>IFERROR(__xludf.DUMMYFUNCTION("""COMPUTED_VALUE"""),4447486.0)</f>
        <v>4447486</v>
      </c>
    </row>
    <row r="11883">
      <c r="A11883" t="str">
        <f t="shared" si="1"/>
        <v>nor#1999</v>
      </c>
      <c r="B11883" t="str">
        <f>IFERROR(__xludf.DUMMYFUNCTION("""COMPUTED_VALUE"""),"nor")</f>
        <v>nor</v>
      </c>
      <c r="C11883" t="str">
        <f>IFERROR(__xludf.DUMMYFUNCTION("""COMPUTED_VALUE"""),"Norway")</f>
        <v>Norway</v>
      </c>
      <c r="D11883">
        <f>IFERROR(__xludf.DUMMYFUNCTION("""COMPUTED_VALUE"""),1999.0)</f>
        <v>1999</v>
      </c>
      <c r="E11883">
        <f>IFERROR(__xludf.DUMMYFUNCTION("""COMPUTED_VALUE"""),4474004.0)</f>
        <v>4474004</v>
      </c>
    </row>
    <row r="11884">
      <c r="A11884" t="str">
        <f t="shared" si="1"/>
        <v>nor#2000</v>
      </c>
      <c r="B11884" t="str">
        <f>IFERROR(__xludf.DUMMYFUNCTION("""COMPUTED_VALUE"""),"nor")</f>
        <v>nor</v>
      </c>
      <c r="C11884" t="str">
        <f>IFERROR(__xludf.DUMMYFUNCTION("""COMPUTED_VALUE"""),"Norway")</f>
        <v>Norway</v>
      </c>
      <c r="D11884">
        <f>IFERROR(__xludf.DUMMYFUNCTION("""COMPUTED_VALUE"""),2000.0)</f>
        <v>2000</v>
      </c>
      <c r="E11884">
        <f>IFERROR(__xludf.DUMMYFUNCTION("""COMPUTED_VALUE"""),4499367.0)</f>
        <v>4499367</v>
      </c>
    </row>
    <row r="11885">
      <c r="A11885" t="str">
        <f t="shared" si="1"/>
        <v>nor#2001</v>
      </c>
      <c r="B11885" t="str">
        <f>IFERROR(__xludf.DUMMYFUNCTION("""COMPUTED_VALUE"""),"nor")</f>
        <v>nor</v>
      </c>
      <c r="C11885" t="str">
        <f>IFERROR(__xludf.DUMMYFUNCTION("""COMPUTED_VALUE"""),"Norway")</f>
        <v>Norway</v>
      </c>
      <c r="D11885">
        <f>IFERROR(__xludf.DUMMYFUNCTION("""COMPUTED_VALUE"""),2001.0)</f>
        <v>2001</v>
      </c>
      <c r="E11885">
        <f>IFERROR(__xludf.DUMMYFUNCTION("""COMPUTED_VALUE"""),4523145.0)</f>
        <v>4523145</v>
      </c>
    </row>
    <row r="11886">
      <c r="A11886" t="str">
        <f t="shared" si="1"/>
        <v>nor#2002</v>
      </c>
      <c r="B11886" t="str">
        <f>IFERROR(__xludf.DUMMYFUNCTION("""COMPUTED_VALUE"""),"nor")</f>
        <v>nor</v>
      </c>
      <c r="C11886" t="str">
        <f>IFERROR(__xludf.DUMMYFUNCTION("""COMPUTED_VALUE"""),"Norway")</f>
        <v>Norway</v>
      </c>
      <c r="D11886">
        <f>IFERROR(__xludf.DUMMYFUNCTION("""COMPUTED_VALUE"""),2002.0)</f>
        <v>2002</v>
      </c>
      <c r="E11886">
        <f>IFERROR(__xludf.DUMMYFUNCTION("""COMPUTED_VALUE"""),4546019.0)</f>
        <v>4546019</v>
      </c>
    </row>
    <row r="11887">
      <c r="A11887" t="str">
        <f t="shared" si="1"/>
        <v>nor#2003</v>
      </c>
      <c r="B11887" t="str">
        <f>IFERROR(__xludf.DUMMYFUNCTION("""COMPUTED_VALUE"""),"nor")</f>
        <v>nor</v>
      </c>
      <c r="C11887" t="str">
        <f>IFERROR(__xludf.DUMMYFUNCTION("""COMPUTED_VALUE"""),"Norway")</f>
        <v>Norway</v>
      </c>
      <c r="D11887">
        <f>IFERROR(__xludf.DUMMYFUNCTION("""COMPUTED_VALUE"""),2003.0)</f>
        <v>2003</v>
      </c>
      <c r="E11887">
        <f>IFERROR(__xludf.DUMMYFUNCTION("""COMPUTED_VALUE"""),4570106.0)</f>
        <v>4570106</v>
      </c>
    </row>
    <row r="11888">
      <c r="A11888" t="str">
        <f t="shared" si="1"/>
        <v>nor#2004</v>
      </c>
      <c r="B11888" t="str">
        <f>IFERROR(__xludf.DUMMYFUNCTION("""COMPUTED_VALUE"""),"nor")</f>
        <v>nor</v>
      </c>
      <c r="C11888" t="str">
        <f>IFERROR(__xludf.DUMMYFUNCTION("""COMPUTED_VALUE"""),"Norway")</f>
        <v>Norway</v>
      </c>
      <c r="D11888">
        <f>IFERROR(__xludf.DUMMYFUNCTION("""COMPUTED_VALUE"""),2004.0)</f>
        <v>2004</v>
      </c>
      <c r="E11888">
        <f>IFERROR(__xludf.DUMMYFUNCTION("""COMPUTED_VALUE"""),4598214.0)</f>
        <v>4598214</v>
      </c>
    </row>
    <row r="11889">
      <c r="A11889" t="str">
        <f t="shared" si="1"/>
        <v>nor#2005</v>
      </c>
      <c r="B11889" t="str">
        <f>IFERROR(__xludf.DUMMYFUNCTION("""COMPUTED_VALUE"""),"nor")</f>
        <v>nor</v>
      </c>
      <c r="C11889" t="str">
        <f>IFERROR(__xludf.DUMMYFUNCTION("""COMPUTED_VALUE"""),"Norway")</f>
        <v>Norway</v>
      </c>
      <c r="D11889">
        <f>IFERROR(__xludf.DUMMYFUNCTION("""COMPUTED_VALUE"""),2005.0)</f>
        <v>2005</v>
      </c>
      <c r="E11889">
        <f>IFERROR(__xludf.DUMMYFUNCTION("""COMPUTED_VALUE"""),4632364.0)</f>
        <v>4632364</v>
      </c>
    </row>
    <row r="11890">
      <c r="A11890" t="str">
        <f t="shared" si="1"/>
        <v>nor#2006</v>
      </c>
      <c r="B11890" t="str">
        <f>IFERROR(__xludf.DUMMYFUNCTION("""COMPUTED_VALUE"""),"nor")</f>
        <v>nor</v>
      </c>
      <c r="C11890" t="str">
        <f>IFERROR(__xludf.DUMMYFUNCTION("""COMPUTED_VALUE"""),"Norway")</f>
        <v>Norway</v>
      </c>
      <c r="D11890">
        <f>IFERROR(__xludf.DUMMYFUNCTION("""COMPUTED_VALUE"""),2006.0)</f>
        <v>2006</v>
      </c>
      <c r="E11890">
        <f>IFERROR(__xludf.DUMMYFUNCTION("""COMPUTED_VALUE"""),4673070.0)</f>
        <v>4673070</v>
      </c>
    </row>
    <row r="11891">
      <c r="A11891" t="str">
        <f t="shared" si="1"/>
        <v>nor#2007</v>
      </c>
      <c r="B11891" t="str">
        <f>IFERROR(__xludf.DUMMYFUNCTION("""COMPUTED_VALUE"""),"nor")</f>
        <v>nor</v>
      </c>
      <c r="C11891" t="str">
        <f>IFERROR(__xludf.DUMMYFUNCTION("""COMPUTED_VALUE"""),"Norway")</f>
        <v>Norway</v>
      </c>
      <c r="D11891">
        <f>IFERROR(__xludf.DUMMYFUNCTION("""COMPUTED_VALUE"""),2007.0)</f>
        <v>2007</v>
      </c>
      <c r="E11891">
        <f>IFERROR(__xludf.DUMMYFUNCTION("""COMPUTED_VALUE"""),4719648.0)</f>
        <v>4719648</v>
      </c>
    </row>
    <row r="11892">
      <c r="A11892" t="str">
        <f t="shared" si="1"/>
        <v>nor#2008</v>
      </c>
      <c r="B11892" t="str">
        <f>IFERROR(__xludf.DUMMYFUNCTION("""COMPUTED_VALUE"""),"nor")</f>
        <v>nor</v>
      </c>
      <c r="C11892" t="str">
        <f>IFERROR(__xludf.DUMMYFUNCTION("""COMPUTED_VALUE"""),"Norway")</f>
        <v>Norway</v>
      </c>
      <c r="D11892">
        <f>IFERROR(__xludf.DUMMYFUNCTION("""COMPUTED_VALUE"""),2008.0)</f>
        <v>2008</v>
      </c>
      <c r="E11892">
        <f>IFERROR(__xludf.DUMMYFUNCTION("""COMPUTED_VALUE"""),4771409.0)</f>
        <v>4771409</v>
      </c>
    </row>
    <row r="11893">
      <c r="A11893" t="str">
        <f t="shared" si="1"/>
        <v>nor#2009</v>
      </c>
      <c r="B11893" t="str">
        <f>IFERROR(__xludf.DUMMYFUNCTION("""COMPUTED_VALUE"""),"nor")</f>
        <v>nor</v>
      </c>
      <c r="C11893" t="str">
        <f>IFERROR(__xludf.DUMMYFUNCTION("""COMPUTED_VALUE"""),"Norway")</f>
        <v>Norway</v>
      </c>
      <c r="D11893">
        <f>IFERROR(__xludf.DUMMYFUNCTION("""COMPUTED_VALUE"""),2009.0)</f>
        <v>2009</v>
      </c>
      <c r="E11893">
        <f>IFERROR(__xludf.DUMMYFUNCTION("""COMPUTED_VALUE"""),4827180.0)</f>
        <v>4827180</v>
      </c>
    </row>
    <row r="11894">
      <c r="A11894" t="str">
        <f t="shared" si="1"/>
        <v>nor#2010</v>
      </c>
      <c r="B11894" t="str">
        <f>IFERROR(__xludf.DUMMYFUNCTION("""COMPUTED_VALUE"""),"nor")</f>
        <v>nor</v>
      </c>
      <c r="C11894" t="str">
        <f>IFERROR(__xludf.DUMMYFUNCTION("""COMPUTED_VALUE"""),"Norway")</f>
        <v>Norway</v>
      </c>
      <c r="D11894">
        <f>IFERROR(__xludf.DUMMYFUNCTION("""COMPUTED_VALUE"""),2010.0)</f>
        <v>2010</v>
      </c>
      <c r="E11894">
        <f>IFERROR(__xludf.DUMMYFUNCTION("""COMPUTED_VALUE"""),4885878.0)</f>
        <v>4885878</v>
      </c>
    </row>
    <row r="11895">
      <c r="A11895" t="str">
        <f t="shared" si="1"/>
        <v>nor#2011</v>
      </c>
      <c r="B11895" t="str">
        <f>IFERROR(__xludf.DUMMYFUNCTION("""COMPUTED_VALUE"""),"nor")</f>
        <v>nor</v>
      </c>
      <c r="C11895" t="str">
        <f>IFERROR(__xludf.DUMMYFUNCTION("""COMPUTED_VALUE"""),"Norway")</f>
        <v>Norway</v>
      </c>
      <c r="D11895">
        <f>IFERROR(__xludf.DUMMYFUNCTION("""COMPUTED_VALUE"""),2011.0)</f>
        <v>2011</v>
      </c>
      <c r="E11895">
        <f>IFERROR(__xludf.DUMMYFUNCTION("""COMPUTED_VALUE"""),4947595.0)</f>
        <v>4947595</v>
      </c>
    </row>
    <row r="11896">
      <c r="A11896" t="str">
        <f t="shared" si="1"/>
        <v>nor#2012</v>
      </c>
      <c r="B11896" t="str">
        <f>IFERROR(__xludf.DUMMYFUNCTION("""COMPUTED_VALUE"""),"nor")</f>
        <v>nor</v>
      </c>
      <c r="C11896" t="str">
        <f>IFERROR(__xludf.DUMMYFUNCTION("""COMPUTED_VALUE"""),"Norway")</f>
        <v>Norway</v>
      </c>
      <c r="D11896">
        <f>IFERROR(__xludf.DUMMYFUNCTION("""COMPUTED_VALUE"""),2012.0)</f>
        <v>2012</v>
      </c>
      <c r="E11896">
        <f>IFERROR(__xludf.DUMMYFUNCTION("""COMPUTED_VALUE"""),5012007.0)</f>
        <v>5012007</v>
      </c>
    </row>
    <row r="11897">
      <c r="A11897" t="str">
        <f t="shared" si="1"/>
        <v>nor#2013</v>
      </c>
      <c r="B11897" t="str">
        <f>IFERROR(__xludf.DUMMYFUNCTION("""COMPUTED_VALUE"""),"nor")</f>
        <v>nor</v>
      </c>
      <c r="C11897" t="str">
        <f>IFERROR(__xludf.DUMMYFUNCTION("""COMPUTED_VALUE"""),"Norway")</f>
        <v>Norway</v>
      </c>
      <c r="D11897">
        <f>IFERROR(__xludf.DUMMYFUNCTION("""COMPUTED_VALUE"""),2013.0)</f>
        <v>2013</v>
      </c>
      <c r="E11897">
        <f>IFERROR(__xludf.DUMMYFUNCTION("""COMPUTED_VALUE"""),5077101.0)</f>
        <v>5077101</v>
      </c>
    </row>
    <row r="11898">
      <c r="A11898" t="str">
        <f t="shared" si="1"/>
        <v>nor#2014</v>
      </c>
      <c r="B11898" t="str">
        <f>IFERROR(__xludf.DUMMYFUNCTION("""COMPUTED_VALUE"""),"nor")</f>
        <v>nor</v>
      </c>
      <c r="C11898" t="str">
        <f>IFERROR(__xludf.DUMMYFUNCTION("""COMPUTED_VALUE"""),"Norway")</f>
        <v>Norway</v>
      </c>
      <c r="D11898">
        <f>IFERROR(__xludf.DUMMYFUNCTION("""COMPUTED_VALUE"""),2014.0)</f>
        <v>2014</v>
      </c>
      <c r="E11898">
        <f>IFERROR(__xludf.DUMMYFUNCTION("""COMPUTED_VALUE"""),5140311.0)</f>
        <v>5140311</v>
      </c>
    </row>
    <row r="11899">
      <c r="A11899" t="str">
        <f t="shared" si="1"/>
        <v>nor#2015</v>
      </c>
      <c r="B11899" t="str">
        <f>IFERROR(__xludf.DUMMYFUNCTION("""COMPUTED_VALUE"""),"nor")</f>
        <v>nor</v>
      </c>
      <c r="C11899" t="str">
        <f>IFERROR(__xludf.DUMMYFUNCTION("""COMPUTED_VALUE"""),"Norway")</f>
        <v>Norway</v>
      </c>
      <c r="D11899">
        <f>IFERROR(__xludf.DUMMYFUNCTION("""COMPUTED_VALUE"""),2015.0)</f>
        <v>2015</v>
      </c>
      <c r="E11899">
        <f>IFERROR(__xludf.DUMMYFUNCTION("""COMPUTED_VALUE"""),5199836.0)</f>
        <v>5199836</v>
      </c>
    </row>
    <row r="11900">
      <c r="A11900" t="str">
        <f t="shared" si="1"/>
        <v>nor#2016</v>
      </c>
      <c r="B11900" t="str">
        <f>IFERROR(__xludf.DUMMYFUNCTION("""COMPUTED_VALUE"""),"nor")</f>
        <v>nor</v>
      </c>
      <c r="C11900" t="str">
        <f>IFERROR(__xludf.DUMMYFUNCTION("""COMPUTED_VALUE"""),"Norway")</f>
        <v>Norway</v>
      </c>
      <c r="D11900">
        <f>IFERROR(__xludf.DUMMYFUNCTION("""COMPUTED_VALUE"""),2016.0)</f>
        <v>2016</v>
      </c>
      <c r="E11900">
        <f>IFERROR(__xludf.DUMMYFUNCTION("""COMPUTED_VALUE"""),5254694.0)</f>
        <v>5254694</v>
      </c>
    </row>
    <row r="11901">
      <c r="A11901" t="str">
        <f t="shared" si="1"/>
        <v>nor#2017</v>
      </c>
      <c r="B11901" t="str">
        <f>IFERROR(__xludf.DUMMYFUNCTION("""COMPUTED_VALUE"""),"nor")</f>
        <v>nor</v>
      </c>
      <c r="C11901" t="str">
        <f>IFERROR(__xludf.DUMMYFUNCTION("""COMPUTED_VALUE"""),"Norway")</f>
        <v>Norway</v>
      </c>
      <c r="D11901">
        <f>IFERROR(__xludf.DUMMYFUNCTION("""COMPUTED_VALUE"""),2017.0)</f>
        <v>2017</v>
      </c>
      <c r="E11901">
        <f>IFERROR(__xludf.DUMMYFUNCTION("""COMPUTED_VALUE"""),5305383.0)</f>
        <v>5305383</v>
      </c>
    </row>
    <row r="11902">
      <c r="A11902" t="str">
        <f t="shared" si="1"/>
        <v>nor#2018</v>
      </c>
      <c r="B11902" t="str">
        <f>IFERROR(__xludf.DUMMYFUNCTION("""COMPUTED_VALUE"""),"nor")</f>
        <v>nor</v>
      </c>
      <c r="C11902" t="str">
        <f>IFERROR(__xludf.DUMMYFUNCTION("""COMPUTED_VALUE"""),"Norway")</f>
        <v>Norway</v>
      </c>
      <c r="D11902">
        <f>IFERROR(__xludf.DUMMYFUNCTION("""COMPUTED_VALUE"""),2018.0)</f>
        <v>2018</v>
      </c>
      <c r="E11902">
        <f>IFERROR(__xludf.DUMMYFUNCTION("""COMPUTED_VALUE"""),5353363.0)</f>
        <v>5353363</v>
      </c>
    </row>
    <row r="11903">
      <c r="A11903" t="str">
        <f t="shared" si="1"/>
        <v>nor#2019</v>
      </c>
      <c r="B11903" t="str">
        <f>IFERROR(__xludf.DUMMYFUNCTION("""COMPUTED_VALUE"""),"nor")</f>
        <v>nor</v>
      </c>
      <c r="C11903" t="str">
        <f>IFERROR(__xludf.DUMMYFUNCTION("""COMPUTED_VALUE"""),"Norway")</f>
        <v>Norway</v>
      </c>
      <c r="D11903">
        <f>IFERROR(__xludf.DUMMYFUNCTION("""COMPUTED_VALUE"""),2019.0)</f>
        <v>2019</v>
      </c>
      <c r="E11903">
        <f>IFERROR(__xludf.DUMMYFUNCTION("""COMPUTED_VALUE"""),5400916.0)</f>
        <v>5400916</v>
      </c>
    </row>
    <row r="11904">
      <c r="A11904" t="str">
        <f t="shared" si="1"/>
        <v>nor#2020</v>
      </c>
      <c r="B11904" t="str">
        <f>IFERROR(__xludf.DUMMYFUNCTION("""COMPUTED_VALUE"""),"nor")</f>
        <v>nor</v>
      </c>
      <c r="C11904" t="str">
        <f>IFERROR(__xludf.DUMMYFUNCTION("""COMPUTED_VALUE"""),"Norway")</f>
        <v>Norway</v>
      </c>
      <c r="D11904">
        <f>IFERROR(__xludf.DUMMYFUNCTION("""COMPUTED_VALUE"""),2020.0)</f>
        <v>2020</v>
      </c>
      <c r="E11904">
        <f>IFERROR(__xludf.DUMMYFUNCTION("""COMPUTED_VALUE"""),5449693.0)</f>
        <v>5449693</v>
      </c>
    </row>
    <row r="11905">
      <c r="A11905" t="str">
        <f t="shared" si="1"/>
        <v>nor#2021</v>
      </c>
      <c r="B11905" t="str">
        <f>IFERROR(__xludf.DUMMYFUNCTION("""COMPUTED_VALUE"""),"nor")</f>
        <v>nor</v>
      </c>
      <c r="C11905" t="str">
        <f>IFERROR(__xludf.DUMMYFUNCTION("""COMPUTED_VALUE"""),"Norway")</f>
        <v>Norway</v>
      </c>
      <c r="D11905">
        <f>IFERROR(__xludf.DUMMYFUNCTION("""COMPUTED_VALUE"""),2021.0)</f>
        <v>2021</v>
      </c>
      <c r="E11905">
        <f>IFERROR(__xludf.DUMMYFUNCTION("""COMPUTED_VALUE"""),5500070.0)</f>
        <v>5500070</v>
      </c>
    </row>
    <row r="11906">
      <c r="A11906" t="str">
        <f t="shared" si="1"/>
        <v>nor#2022</v>
      </c>
      <c r="B11906" t="str">
        <f>IFERROR(__xludf.DUMMYFUNCTION("""COMPUTED_VALUE"""),"nor")</f>
        <v>nor</v>
      </c>
      <c r="C11906" t="str">
        <f>IFERROR(__xludf.DUMMYFUNCTION("""COMPUTED_VALUE"""),"Norway")</f>
        <v>Norway</v>
      </c>
      <c r="D11906">
        <f>IFERROR(__xludf.DUMMYFUNCTION("""COMPUTED_VALUE"""),2022.0)</f>
        <v>2022</v>
      </c>
      <c r="E11906">
        <f>IFERROR(__xludf.DUMMYFUNCTION("""COMPUTED_VALUE"""),5551483.0)</f>
        <v>5551483</v>
      </c>
    </row>
    <row r="11907">
      <c r="A11907" t="str">
        <f t="shared" si="1"/>
        <v>nor#2023</v>
      </c>
      <c r="B11907" t="str">
        <f>IFERROR(__xludf.DUMMYFUNCTION("""COMPUTED_VALUE"""),"nor")</f>
        <v>nor</v>
      </c>
      <c r="C11907" t="str">
        <f>IFERROR(__xludf.DUMMYFUNCTION("""COMPUTED_VALUE"""),"Norway")</f>
        <v>Norway</v>
      </c>
      <c r="D11907">
        <f>IFERROR(__xludf.DUMMYFUNCTION("""COMPUTED_VALUE"""),2023.0)</f>
        <v>2023</v>
      </c>
      <c r="E11907">
        <f>IFERROR(__xludf.DUMMYFUNCTION("""COMPUTED_VALUE"""),5603589.0)</f>
        <v>5603589</v>
      </c>
    </row>
    <row r="11908">
      <c r="A11908" t="str">
        <f t="shared" si="1"/>
        <v>nor#2024</v>
      </c>
      <c r="B11908" t="str">
        <f>IFERROR(__xludf.DUMMYFUNCTION("""COMPUTED_VALUE"""),"nor")</f>
        <v>nor</v>
      </c>
      <c r="C11908" t="str">
        <f>IFERROR(__xludf.DUMMYFUNCTION("""COMPUTED_VALUE"""),"Norway")</f>
        <v>Norway</v>
      </c>
      <c r="D11908">
        <f>IFERROR(__xludf.DUMMYFUNCTION("""COMPUTED_VALUE"""),2024.0)</f>
        <v>2024</v>
      </c>
      <c r="E11908">
        <f>IFERROR(__xludf.DUMMYFUNCTION("""COMPUTED_VALUE"""),5655754.0)</f>
        <v>5655754</v>
      </c>
    </row>
    <row r="11909">
      <c r="A11909" t="str">
        <f t="shared" si="1"/>
        <v>nor#2025</v>
      </c>
      <c r="B11909" t="str">
        <f>IFERROR(__xludf.DUMMYFUNCTION("""COMPUTED_VALUE"""),"nor")</f>
        <v>nor</v>
      </c>
      <c r="C11909" t="str">
        <f>IFERROR(__xludf.DUMMYFUNCTION("""COMPUTED_VALUE"""),"Norway")</f>
        <v>Norway</v>
      </c>
      <c r="D11909">
        <f>IFERROR(__xludf.DUMMYFUNCTION("""COMPUTED_VALUE"""),2025.0)</f>
        <v>2025</v>
      </c>
      <c r="E11909">
        <f>IFERROR(__xludf.DUMMYFUNCTION("""COMPUTED_VALUE"""),5707475.0)</f>
        <v>5707475</v>
      </c>
    </row>
    <row r="11910">
      <c r="A11910" t="str">
        <f t="shared" si="1"/>
        <v>nor#2026</v>
      </c>
      <c r="B11910" t="str">
        <f>IFERROR(__xludf.DUMMYFUNCTION("""COMPUTED_VALUE"""),"nor")</f>
        <v>nor</v>
      </c>
      <c r="C11910" t="str">
        <f>IFERROR(__xludf.DUMMYFUNCTION("""COMPUTED_VALUE"""),"Norway")</f>
        <v>Norway</v>
      </c>
      <c r="D11910">
        <f>IFERROR(__xludf.DUMMYFUNCTION("""COMPUTED_VALUE"""),2026.0)</f>
        <v>2026</v>
      </c>
      <c r="E11910">
        <f>IFERROR(__xludf.DUMMYFUNCTION("""COMPUTED_VALUE"""),5758737.0)</f>
        <v>5758737</v>
      </c>
    </row>
    <row r="11911">
      <c r="A11911" t="str">
        <f t="shared" si="1"/>
        <v>nor#2027</v>
      </c>
      <c r="B11911" t="str">
        <f>IFERROR(__xludf.DUMMYFUNCTION("""COMPUTED_VALUE"""),"nor")</f>
        <v>nor</v>
      </c>
      <c r="C11911" t="str">
        <f>IFERROR(__xludf.DUMMYFUNCTION("""COMPUTED_VALUE"""),"Norway")</f>
        <v>Norway</v>
      </c>
      <c r="D11911">
        <f>IFERROR(__xludf.DUMMYFUNCTION("""COMPUTED_VALUE"""),2027.0)</f>
        <v>2027</v>
      </c>
      <c r="E11911">
        <f>IFERROR(__xludf.DUMMYFUNCTION("""COMPUTED_VALUE"""),5809670.0)</f>
        <v>5809670</v>
      </c>
    </row>
    <row r="11912">
      <c r="A11912" t="str">
        <f t="shared" si="1"/>
        <v>nor#2028</v>
      </c>
      <c r="B11912" t="str">
        <f>IFERROR(__xludf.DUMMYFUNCTION("""COMPUTED_VALUE"""),"nor")</f>
        <v>nor</v>
      </c>
      <c r="C11912" t="str">
        <f>IFERROR(__xludf.DUMMYFUNCTION("""COMPUTED_VALUE"""),"Norway")</f>
        <v>Norway</v>
      </c>
      <c r="D11912">
        <f>IFERROR(__xludf.DUMMYFUNCTION("""COMPUTED_VALUE"""),2028.0)</f>
        <v>2028</v>
      </c>
      <c r="E11912">
        <f>IFERROR(__xludf.DUMMYFUNCTION("""COMPUTED_VALUE"""),5860145.0)</f>
        <v>5860145</v>
      </c>
    </row>
    <row r="11913">
      <c r="A11913" t="str">
        <f t="shared" si="1"/>
        <v>nor#2029</v>
      </c>
      <c r="B11913" t="str">
        <f>IFERROR(__xludf.DUMMYFUNCTION("""COMPUTED_VALUE"""),"nor")</f>
        <v>nor</v>
      </c>
      <c r="C11913" t="str">
        <f>IFERROR(__xludf.DUMMYFUNCTION("""COMPUTED_VALUE"""),"Norway")</f>
        <v>Norway</v>
      </c>
      <c r="D11913">
        <f>IFERROR(__xludf.DUMMYFUNCTION("""COMPUTED_VALUE"""),2029.0)</f>
        <v>2029</v>
      </c>
      <c r="E11913">
        <f>IFERROR(__xludf.DUMMYFUNCTION("""COMPUTED_VALUE"""),5910023.0)</f>
        <v>5910023</v>
      </c>
    </row>
    <row r="11914">
      <c r="A11914" t="str">
        <f t="shared" si="1"/>
        <v>nor#2030</v>
      </c>
      <c r="B11914" t="str">
        <f>IFERROR(__xludf.DUMMYFUNCTION("""COMPUTED_VALUE"""),"nor")</f>
        <v>nor</v>
      </c>
      <c r="C11914" t="str">
        <f>IFERROR(__xludf.DUMMYFUNCTION("""COMPUTED_VALUE"""),"Norway")</f>
        <v>Norway</v>
      </c>
      <c r="D11914">
        <f>IFERROR(__xludf.DUMMYFUNCTION("""COMPUTED_VALUE"""),2030.0)</f>
        <v>2030</v>
      </c>
      <c r="E11914">
        <f>IFERROR(__xludf.DUMMYFUNCTION("""COMPUTED_VALUE"""),5959215.0)</f>
        <v>5959215</v>
      </c>
    </row>
    <row r="11915">
      <c r="A11915" t="str">
        <f t="shared" si="1"/>
        <v>nor#2031</v>
      </c>
      <c r="B11915" t="str">
        <f>IFERROR(__xludf.DUMMYFUNCTION("""COMPUTED_VALUE"""),"nor")</f>
        <v>nor</v>
      </c>
      <c r="C11915" t="str">
        <f>IFERROR(__xludf.DUMMYFUNCTION("""COMPUTED_VALUE"""),"Norway")</f>
        <v>Norway</v>
      </c>
      <c r="D11915">
        <f>IFERROR(__xludf.DUMMYFUNCTION("""COMPUTED_VALUE"""),2031.0)</f>
        <v>2031</v>
      </c>
      <c r="E11915">
        <f>IFERROR(__xludf.DUMMYFUNCTION("""COMPUTED_VALUE"""),6007624.0)</f>
        <v>6007624</v>
      </c>
    </row>
    <row r="11916">
      <c r="A11916" t="str">
        <f t="shared" si="1"/>
        <v>nor#2032</v>
      </c>
      <c r="B11916" t="str">
        <f>IFERROR(__xludf.DUMMYFUNCTION("""COMPUTED_VALUE"""),"nor")</f>
        <v>nor</v>
      </c>
      <c r="C11916" t="str">
        <f>IFERROR(__xludf.DUMMYFUNCTION("""COMPUTED_VALUE"""),"Norway")</f>
        <v>Norway</v>
      </c>
      <c r="D11916">
        <f>IFERROR(__xludf.DUMMYFUNCTION("""COMPUTED_VALUE"""),2032.0)</f>
        <v>2032</v>
      </c>
      <c r="E11916">
        <f>IFERROR(__xludf.DUMMYFUNCTION("""COMPUTED_VALUE"""),6055253.0)</f>
        <v>6055253</v>
      </c>
    </row>
    <row r="11917">
      <c r="A11917" t="str">
        <f t="shared" si="1"/>
        <v>nor#2033</v>
      </c>
      <c r="B11917" t="str">
        <f>IFERROR(__xludf.DUMMYFUNCTION("""COMPUTED_VALUE"""),"nor")</f>
        <v>nor</v>
      </c>
      <c r="C11917" t="str">
        <f>IFERROR(__xludf.DUMMYFUNCTION("""COMPUTED_VALUE"""),"Norway")</f>
        <v>Norway</v>
      </c>
      <c r="D11917">
        <f>IFERROR(__xludf.DUMMYFUNCTION("""COMPUTED_VALUE"""),2033.0)</f>
        <v>2033</v>
      </c>
      <c r="E11917">
        <f>IFERROR(__xludf.DUMMYFUNCTION("""COMPUTED_VALUE"""),6102057.0)</f>
        <v>6102057</v>
      </c>
    </row>
    <row r="11918">
      <c r="A11918" t="str">
        <f t="shared" si="1"/>
        <v>nor#2034</v>
      </c>
      <c r="B11918" t="str">
        <f>IFERROR(__xludf.DUMMYFUNCTION("""COMPUTED_VALUE"""),"nor")</f>
        <v>nor</v>
      </c>
      <c r="C11918" t="str">
        <f>IFERROR(__xludf.DUMMYFUNCTION("""COMPUTED_VALUE"""),"Norway")</f>
        <v>Norway</v>
      </c>
      <c r="D11918">
        <f>IFERROR(__xludf.DUMMYFUNCTION("""COMPUTED_VALUE"""),2034.0)</f>
        <v>2034</v>
      </c>
      <c r="E11918">
        <f>IFERROR(__xludf.DUMMYFUNCTION("""COMPUTED_VALUE"""),6148017.0)</f>
        <v>6148017</v>
      </c>
    </row>
    <row r="11919">
      <c r="A11919" t="str">
        <f t="shared" si="1"/>
        <v>nor#2035</v>
      </c>
      <c r="B11919" t="str">
        <f>IFERROR(__xludf.DUMMYFUNCTION("""COMPUTED_VALUE"""),"nor")</f>
        <v>nor</v>
      </c>
      <c r="C11919" t="str">
        <f>IFERROR(__xludf.DUMMYFUNCTION("""COMPUTED_VALUE"""),"Norway")</f>
        <v>Norway</v>
      </c>
      <c r="D11919">
        <f>IFERROR(__xludf.DUMMYFUNCTION("""COMPUTED_VALUE"""),2035.0)</f>
        <v>2035</v>
      </c>
      <c r="E11919">
        <f>IFERROR(__xludf.DUMMYFUNCTION("""COMPUTED_VALUE"""),6193139.0)</f>
        <v>6193139</v>
      </c>
    </row>
    <row r="11920">
      <c r="A11920" t="str">
        <f t="shared" si="1"/>
        <v>nor#2036</v>
      </c>
      <c r="B11920" t="str">
        <f>IFERROR(__xludf.DUMMYFUNCTION("""COMPUTED_VALUE"""),"nor")</f>
        <v>nor</v>
      </c>
      <c r="C11920" t="str">
        <f>IFERROR(__xludf.DUMMYFUNCTION("""COMPUTED_VALUE"""),"Norway")</f>
        <v>Norway</v>
      </c>
      <c r="D11920">
        <f>IFERROR(__xludf.DUMMYFUNCTION("""COMPUTED_VALUE"""),2036.0)</f>
        <v>2036</v>
      </c>
      <c r="E11920">
        <f>IFERROR(__xludf.DUMMYFUNCTION("""COMPUTED_VALUE"""),6237411.0)</f>
        <v>6237411</v>
      </c>
    </row>
    <row r="11921">
      <c r="A11921" t="str">
        <f t="shared" si="1"/>
        <v>nor#2037</v>
      </c>
      <c r="B11921" t="str">
        <f>IFERROR(__xludf.DUMMYFUNCTION("""COMPUTED_VALUE"""),"nor")</f>
        <v>nor</v>
      </c>
      <c r="C11921" t="str">
        <f>IFERROR(__xludf.DUMMYFUNCTION("""COMPUTED_VALUE"""),"Norway")</f>
        <v>Norway</v>
      </c>
      <c r="D11921">
        <f>IFERROR(__xludf.DUMMYFUNCTION("""COMPUTED_VALUE"""),2037.0)</f>
        <v>2037</v>
      </c>
      <c r="E11921">
        <f>IFERROR(__xludf.DUMMYFUNCTION("""COMPUTED_VALUE"""),6280847.0)</f>
        <v>6280847</v>
      </c>
    </row>
    <row r="11922">
      <c r="A11922" t="str">
        <f t="shared" si="1"/>
        <v>nor#2038</v>
      </c>
      <c r="B11922" t="str">
        <f>IFERROR(__xludf.DUMMYFUNCTION("""COMPUTED_VALUE"""),"nor")</f>
        <v>nor</v>
      </c>
      <c r="C11922" t="str">
        <f>IFERROR(__xludf.DUMMYFUNCTION("""COMPUTED_VALUE"""),"Norway")</f>
        <v>Norway</v>
      </c>
      <c r="D11922">
        <f>IFERROR(__xludf.DUMMYFUNCTION("""COMPUTED_VALUE"""),2038.0)</f>
        <v>2038</v>
      </c>
      <c r="E11922">
        <f>IFERROR(__xludf.DUMMYFUNCTION("""COMPUTED_VALUE"""),6323523.0)</f>
        <v>6323523</v>
      </c>
    </row>
    <row r="11923">
      <c r="A11923" t="str">
        <f t="shared" si="1"/>
        <v>nor#2039</v>
      </c>
      <c r="B11923" t="str">
        <f>IFERROR(__xludf.DUMMYFUNCTION("""COMPUTED_VALUE"""),"nor")</f>
        <v>nor</v>
      </c>
      <c r="C11923" t="str">
        <f>IFERROR(__xludf.DUMMYFUNCTION("""COMPUTED_VALUE"""),"Norway")</f>
        <v>Norway</v>
      </c>
      <c r="D11923">
        <f>IFERROR(__xludf.DUMMYFUNCTION("""COMPUTED_VALUE"""),2039.0)</f>
        <v>2039</v>
      </c>
      <c r="E11923">
        <f>IFERROR(__xludf.DUMMYFUNCTION("""COMPUTED_VALUE"""),6365533.0)</f>
        <v>6365533</v>
      </c>
    </row>
    <row r="11924">
      <c r="A11924" t="str">
        <f t="shared" si="1"/>
        <v>nor#2040</v>
      </c>
      <c r="B11924" t="str">
        <f>IFERROR(__xludf.DUMMYFUNCTION("""COMPUTED_VALUE"""),"nor")</f>
        <v>nor</v>
      </c>
      <c r="C11924" t="str">
        <f>IFERROR(__xludf.DUMMYFUNCTION("""COMPUTED_VALUE"""),"Norway")</f>
        <v>Norway</v>
      </c>
      <c r="D11924">
        <f>IFERROR(__xludf.DUMMYFUNCTION("""COMPUTED_VALUE"""),2040.0)</f>
        <v>2040</v>
      </c>
      <c r="E11924">
        <f>IFERROR(__xludf.DUMMYFUNCTION("""COMPUTED_VALUE"""),6406959.0)</f>
        <v>6406959</v>
      </c>
    </row>
    <row r="11925">
      <c r="A11925" t="str">
        <f t="shared" si="1"/>
        <v>omn#1950</v>
      </c>
      <c r="B11925" t="str">
        <f>IFERROR(__xludf.DUMMYFUNCTION("""COMPUTED_VALUE"""),"omn")</f>
        <v>omn</v>
      </c>
      <c r="C11925" t="str">
        <f>IFERROR(__xludf.DUMMYFUNCTION("""COMPUTED_VALUE"""),"Oman")</f>
        <v>Oman</v>
      </c>
      <c r="D11925">
        <f>IFERROR(__xludf.DUMMYFUNCTION("""COMPUTED_VALUE"""),1950.0)</f>
        <v>1950</v>
      </c>
      <c r="E11925">
        <f>IFERROR(__xludf.DUMMYFUNCTION("""COMPUTED_VALUE"""),456419.0)</f>
        <v>456419</v>
      </c>
    </row>
    <row r="11926">
      <c r="A11926" t="str">
        <f t="shared" si="1"/>
        <v>omn#1951</v>
      </c>
      <c r="B11926" t="str">
        <f>IFERROR(__xludf.DUMMYFUNCTION("""COMPUTED_VALUE"""),"omn")</f>
        <v>omn</v>
      </c>
      <c r="C11926" t="str">
        <f>IFERROR(__xludf.DUMMYFUNCTION("""COMPUTED_VALUE"""),"Oman")</f>
        <v>Oman</v>
      </c>
      <c r="D11926">
        <f>IFERROR(__xludf.DUMMYFUNCTION("""COMPUTED_VALUE"""),1951.0)</f>
        <v>1951</v>
      </c>
      <c r="E11926">
        <f>IFERROR(__xludf.DUMMYFUNCTION("""COMPUTED_VALUE"""),462251.0)</f>
        <v>462251</v>
      </c>
    </row>
    <row r="11927">
      <c r="A11927" t="str">
        <f t="shared" si="1"/>
        <v>omn#1952</v>
      </c>
      <c r="B11927" t="str">
        <f>IFERROR(__xludf.DUMMYFUNCTION("""COMPUTED_VALUE"""),"omn")</f>
        <v>omn</v>
      </c>
      <c r="C11927" t="str">
        <f>IFERROR(__xludf.DUMMYFUNCTION("""COMPUTED_VALUE"""),"Oman")</f>
        <v>Oman</v>
      </c>
      <c r="D11927">
        <f>IFERROR(__xludf.DUMMYFUNCTION("""COMPUTED_VALUE"""),1952.0)</f>
        <v>1952</v>
      </c>
      <c r="E11927">
        <f>IFERROR(__xludf.DUMMYFUNCTION("""COMPUTED_VALUE"""),469350.0)</f>
        <v>469350</v>
      </c>
    </row>
    <row r="11928">
      <c r="A11928" t="str">
        <f t="shared" si="1"/>
        <v>omn#1953</v>
      </c>
      <c r="B11928" t="str">
        <f>IFERROR(__xludf.DUMMYFUNCTION("""COMPUTED_VALUE"""),"omn")</f>
        <v>omn</v>
      </c>
      <c r="C11928" t="str">
        <f>IFERROR(__xludf.DUMMYFUNCTION("""COMPUTED_VALUE"""),"Oman")</f>
        <v>Oman</v>
      </c>
      <c r="D11928">
        <f>IFERROR(__xludf.DUMMYFUNCTION("""COMPUTED_VALUE"""),1953.0)</f>
        <v>1953</v>
      </c>
      <c r="E11928">
        <f>IFERROR(__xludf.DUMMYFUNCTION("""COMPUTED_VALUE"""),477440.0)</f>
        <v>477440</v>
      </c>
    </row>
    <row r="11929">
      <c r="A11929" t="str">
        <f t="shared" si="1"/>
        <v>omn#1954</v>
      </c>
      <c r="B11929" t="str">
        <f>IFERROR(__xludf.DUMMYFUNCTION("""COMPUTED_VALUE"""),"omn")</f>
        <v>omn</v>
      </c>
      <c r="C11929" t="str">
        <f>IFERROR(__xludf.DUMMYFUNCTION("""COMPUTED_VALUE"""),"Oman")</f>
        <v>Oman</v>
      </c>
      <c r="D11929">
        <f>IFERROR(__xludf.DUMMYFUNCTION("""COMPUTED_VALUE"""),1954.0)</f>
        <v>1954</v>
      </c>
      <c r="E11929">
        <f>IFERROR(__xludf.DUMMYFUNCTION("""COMPUTED_VALUE"""),486312.0)</f>
        <v>486312</v>
      </c>
    </row>
    <row r="11930">
      <c r="A11930" t="str">
        <f t="shared" si="1"/>
        <v>omn#1955</v>
      </c>
      <c r="B11930" t="str">
        <f>IFERROR(__xludf.DUMMYFUNCTION("""COMPUTED_VALUE"""),"omn")</f>
        <v>omn</v>
      </c>
      <c r="C11930" t="str">
        <f>IFERROR(__xludf.DUMMYFUNCTION("""COMPUTED_VALUE"""),"Oman")</f>
        <v>Oman</v>
      </c>
      <c r="D11930">
        <f>IFERROR(__xludf.DUMMYFUNCTION("""COMPUTED_VALUE"""),1955.0)</f>
        <v>1955</v>
      </c>
      <c r="E11930">
        <f>IFERROR(__xludf.DUMMYFUNCTION("""COMPUTED_VALUE"""),495816.0)</f>
        <v>495816</v>
      </c>
    </row>
    <row r="11931">
      <c r="A11931" t="str">
        <f t="shared" si="1"/>
        <v>omn#1956</v>
      </c>
      <c r="B11931" t="str">
        <f>IFERROR(__xludf.DUMMYFUNCTION("""COMPUTED_VALUE"""),"omn")</f>
        <v>omn</v>
      </c>
      <c r="C11931" t="str">
        <f>IFERROR(__xludf.DUMMYFUNCTION("""COMPUTED_VALUE"""),"Oman")</f>
        <v>Oman</v>
      </c>
      <c r="D11931">
        <f>IFERROR(__xludf.DUMMYFUNCTION("""COMPUTED_VALUE"""),1956.0)</f>
        <v>1956</v>
      </c>
      <c r="E11931">
        <f>IFERROR(__xludf.DUMMYFUNCTION("""COMPUTED_VALUE"""),505892.0)</f>
        <v>505892</v>
      </c>
    </row>
    <row r="11932">
      <c r="A11932" t="str">
        <f t="shared" si="1"/>
        <v>omn#1957</v>
      </c>
      <c r="B11932" t="str">
        <f>IFERROR(__xludf.DUMMYFUNCTION("""COMPUTED_VALUE"""),"omn")</f>
        <v>omn</v>
      </c>
      <c r="C11932" t="str">
        <f>IFERROR(__xludf.DUMMYFUNCTION("""COMPUTED_VALUE"""),"Oman")</f>
        <v>Oman</v>
      </c>
      <c r="D11932">
        <f>IFERROR(__xludf.DUMMYFUNCTION("""COMPUTED_VALUE"""),1957.0)</f>
        <v>1957</v>
      </c>
      <c r="E11932">
        <f>IFERROR(__xludf.DUMMYFUNCTION("""COMPUTED_VALUE"""),516471.0)</f>
        <v>516471</v>
      </c>
    </row>
    <row r="11933">
      <c r="A11933" t="str">
        <f t="shared" si="1"/>
        <v>omn#1958</v>
      </c>
      <c r="B11933" t="str">
        <f>IFERROR(__xludf.DUMMYFUNCTION("""COMPUTED_VALUE"""),"omn")</f>
        <v>omn</v>
      </c>
      <c r="C11933" t="str">
        <f>IFERROR(__xludf.DUMMYFUNCTION("""COMPUTED_VALUE"""),"Oman")</f>
        <v>Oman</v>
      </c>
      <c r="D11933">
        <f>IFERROR(__xludf.DUMMYFUNCTION("""COMPUTED_VALUE"""),1958.0)</f>
        <v>1958</v>
      </c>
      <c r="E11933">
        <f>IFERROR(__xludf.DUMMYFUNCTION("""COMPUTED_VALUE"""),527598.0)</f>
        <v>527598</v>
      </c>
    </row>
    <row r="11934">
      <c r="A11934" t="str">
        <f t="shared" si="1"/>
        <v>omn#1959</v>
      </c>
      <c r="B11934" t="str">
        <f>IFERROR(__xludf.DUMMYFUNCTION("""COMPUTED_VALUE"""),"omn")</f>
        <v>omn</v>
      </c>
      <c r="C11934" t="str">
        <f>IFERROR(__xludf.DUMMYFUNCTION("""COMPUTED_VALUE"""),"Oman")</f>
        <v>Oman</v>
      </c>
      <c r="D11934">
        <f>IFERROR(__xludf.DUMMYFUNCTION("""COMPUTED_VALUE"""),1959.0)</f>
        <v>1959</v>
      </c>
      <c r="E11934">
        <f>IFERROR(__xludf.DUMMYFUNCTION("""COMPUTED_VALUE"""),539328.0)</f>
        <v>539328</v>
      </c>
    </row>
    <row r="11935">
      <c r="A11935" t="str">
        <f t="shared" si="1"/>
        <v>omn#1960</v>
      </c>
      <c r="B11935" t="str">
        <f>IFERROR(__xludf.DUMMYFUNCTION("""COMPUTED_VALUE"""),"omn")</f>
        <v>omn</v>
      </c>
      <c r="C11935" t="str">
        <f>IFERROR(__xludf.DUMMYFUNCTION("""COMPUTED_VALUE"""),"Oman")</f>
        <v>Oman</v>
      </c>
      <c r="D11935">
        <f>IFERROR(__xludf.DUMMYFUNCTION("""COMPUTED_VALUE"""),1960.0)</f>
        <v>1960</v>
      </c>
      <c r="E11935">
        <f>IFERROR(__xludf.DUMMYFUNCTION("""COMPUTED_VALUE"""),551740.0)</f>
        <v>551740</v>
      </c>
    </row>
    <row r="11936">
      <c r="A11936" t="str">
        <f t="shared" si="1"/>
        <v>omn#1961</v>
      </c>
      <c r="B11936" t="str">
        <f>IFERROR(__xludf.DUMMYFUNCTION("""COMPUTED_VALUE"""),"omn")</f>
        <v>omn</v>
      </c>
      <c r="C11936" t="str">
        <f>IFERROR(__xludf.DUMMYFUNCTION("""COMPUTED_VALUE"""),"Oman")</f>
        <v>Oman</v>
      </c>
      <c r="D11936">
        <f>IFERROR(__xludf.DUMMYFUNCTION("""COMPUTED_VALUE"""),1961.0)</f>
        <v>1961</v>
      </c>
      <c r="E11936">
        <f>IFERROR(__xludf.DUMMYFUNCTION("""COMPUTED_VALUE"""),564890.0)</f>
        <v>564890</v>
      </c>
    </row>
    <row r="11937">
      <c r="A11937" t="str">
        <f t="shared" si="1"/>
        <v>omn#1962</v>
      </c>
      <c r="B11937" t="str">
        <f>IFERROR(__xludf.DUMMYFUNCTION("""COMPUTED_VALUE"""),"omn")</f>
        <v>omn</v>
      </c>
      <c r="C11937" t="str">
        <f>IFERROR(__xludf.DUMMYFUNCTION("""COMPUTED_VALUE"""),"Oman")</f>
        <v>Oman</v>
      </c>
      <c r="D11937">
        <f>IFERROR(__xludf.DUMMYFUNCTION("""COMPUTED_VALUE"""),1962.0)</f>
        <v>1962</v>
      </c>
      <c r="E11937">
        <f>IFERROR(__xludf.DUMMYFUNCTION("""COMPUTED_VALUE"""),578824.0)</f>
        <v>578824</v>
      </c>
    </row>
    <row r="11938">
      <c r="A11938" t="str">
        <f t="shared" si="1"/>
        <v>omn#1963</v>
      </c>
      <c r="B11938" t="str">
        <f>IFERROR(__xludf.DUMMYFUNCTION("""COMPUTED_VALUE"""),"omn")</f>
        <v>omn</v>
      </c>
      <c r="C11938" t="str">
        <f>IFERROR(__xludf.DUMMYFUNCTION("""COMPUTED_VALUE"""),"Oman")</f>
        <v>Oman</v>
      </c>
      <c r="D11938">
        <f>IFERROR(__xludf.DUMMYFUNCTION("""COMPUTED_VALUE"""),1963.0)</f>
        <v>1963</v>
      </c>
      <c r="E11938">
        <f>IFERROR(__xludf.DUMMYFUNCTION("""COMPUTED_VALUE"""),593501.0)</f>
        <v>593501</v>
      </c>
    </row>
    <row r="11939">
      <c r="A11939" t="str">
        <f t="shared" si="1"/>
        <v>omn#1964</v>
      </c>
      <c r="B11939" t="str">
        <f>IFERROR(__xludf.DUMMYFUNCTION("""COMPUTED_VALUE"""),"omn")</f>
        <v>omn</v>
      </c>
      <c r="C11939" t="str">
        <f>IFERROR(__xludf.DUMMYFUNCTION("""COMPUTED_VALUE"""),"Oman")</f>
        <v>Oman</v>
      </c>
      <c r="D11939">
        <f>IFERROR(__xludf.DUMMYFUNCTION("""COMPUTED_VALUE"""),1964.0)</f>
        <v>1964</v>
      </c>
      <c r="E11939">
        <f>IFERROR(__xludf.DUMMYFUNCTION("""COMPUTED_VALUE"""),608887.0)</f>
        <v>608887</v>
      </c>
    </row>
    <row r="11940">
      <c r="A11940" t="str">
        <f t="shared" si="1"/>
        <v>omn#1965</v>
      </c>
      <c r="B11940" t="str">
        <f>IFERROR(__xludf.DUMMYFUNCTION("""COMPUTED_VALUE"""),"omn")</f>
        <v>omn</v>
      </c>
      <c r="C11940" t="str">
        <f>IFERROR(__xludf.DUMMYFUNCTION("""COMPUTED_VALUE"""),"Oman")</f>
        <v>Oman</v>
      </c>
      <c r="D11940">
        <f>IFERROR(__xludf.DUMMYFUNCTION("""COMPUTED_VALUE"""),1965.0)</f>
        <v>1965</v>
      </c>
      <c r="E11940">
        <f>IFERROR(__xludf.DUMMYFUNCTION("""COMPUTED_VALUE"""),625009.0)</f>
        <v>625009</v>
      </c>
    </row>
    <row r="11941">
      <c r="A11941" t="str">
        <f t="shared" si="1"/>
        <v>omn#1966</v>
      </c>
      <c r="B11941" t="str">
        <f>IFERROR(__xludf.DUMMYFUNCTION("""COMPUTED_VALUE"""),"omn")</f>
        <v>omn</v>
      </c>
      <c r="C11941" t="str">
        <f>IFERROR(__xludf.DUMMYFUNCTION("""COMPUTED_VALUE"""),"Oman")</f>
        <v>Oman</v>
      </c>
      <c r="D11941">
        <f>IFERROR(__xludf.DUMMYFUNCTION("""COMPUTED_VALUE"""),1966.0)</f>
        <v>1966</v>
      </c>
      <c r="E11941">
        <f>IFERROR(__xludf.DUMMYFUNCTION("""COMPUTED_VALUE"""),642003.0)</f>
        <v>642003</v>
      </c>
    </row>
    <row r="11942">
      <c r="A11942" t="str">
        <f t="shared" si="1"/>
        <v>omn#1967</v>
      </c>
      <c r="B11942" t="str">
        <f>IFERROR(__xludf.DUMMYFUNCTION("""COMPUTED_VALUE"""),"omn")</f>
        <v>omn</v>
      </c>
      <c r="C11942" t="str">
        <f>IFERROR(__xludf.DUMMYFUNCTION("""COMPUTED_VALUE"""),"Oman")</f>
        <v>Oman</v>
      </c>
      <c r="D11942">
        <f>IFERROR(__xludf.DUMMYFUNCTION("""COMPUTED_VALUE"""),1967.0)</f>
        <v>1967</v>
      </c>
      <c r="E11942">
        <f>IFERROR(__xludf.DUMMYFUNCTION("""COMPUTED_VALUE"""),660119.0)</f>
        <v>660119</v>
      </c>
    </row>
    <row r="11943">
      <c r="A11943" t="str">
        <f t="shared" si="1"/>
        <v>omn#1968</v>
      </c>
      <c r="B11943" t="str">
        <f>IFERROR(__xludf.DUMMYFUNCTION("""COMPUTED_VALUE"""),"omn")</f>
        <v>omn</v>
      </c>
      <c r="C11943" t="str">
        <f>IFERROR(__xludf.DUMMYFUNCTION("""COMPUTED_VALUE"""),"Oman")</f>
        <v>Oman</v>
      </c>
      <c r="D11943">
        <f>IFERROR(__xludf.DUMMYFUNCTION("""COMPUTED_VALUE"""),1968.0)</f>
        <v>1968</v>
      </c>
      <c r="E11943">
        <f>IFERROR(__xludf.DUMMYFUNCTION("""COMPUTED_VALUE"""),679597.0)</f>
        <v>679597</v>
      </c>
    </row>
    <row r="11944">
      <c r="A11944" t="str">
        <f t="shared" si="1"/>
        <v>omn#1969</v>
      </c>
      <c r="B11944" t="str">
        <f>IFERROR(__xludf.DUMMYFUNCTION("""COMPUTED_VALUE"""),"omn")</f>
        <v>omn</v>
      </c>
      <c r="C11944" t="str">
        <f>IFERROR(__xludf.DUMMYFUNCTION("""COMPUTED_VALUE"""),"Oman")</f>
        <v>Oman</v>
      </c>
      <c r="D11944">
        <f>IFERROR(__xludf.DUMMYFUNCTION("""COMPUTED_VALUE"""),1969.0)</f>
        <v>1969</v>
      </c>
      <c r="E11944">
        <f>IFERROR(__xludf.DUMMYFUNCTION("""COMPUTED_VALUE"""),700725.0)</f>
        <v>700725</v>
      </c>
    </row>
    <row r="11945">
      <c r="A11945" t="str">
        <f t="shared" si="1"/>
        <v>omn#1970</v>
      </c>
      <c r="B11945" t="str">
        <f>IFERROR(__xludf.DUMMYFUNCTION("""COMPUTED_VALUE"""),"omn")</f>
        <v>omn</v>
      </c>
      <c r="C11945" t="str">
        <f>IFERROR(__xludf.DUMMYFUNCTION("""COMPUTED_VALUE"""),"Oman")</f>
        <v>Oman</v>
      </c>
      <c r="D11945">
        <f>IFERROR(__xludf.DUMMYFUNCTION("""COMPUTED_VALUE"""),1970.0)</f>
        <v>1970</v>
      </c>
      <c r="E11945">
        <f>IFERROR(__xludf.DUMMYFUNCTION("""COMPUTED_VALUE"""),723852.0)</f>
        <v>723852</v>
      </c>
    </row>
    <row r="11946">
      <c r="A11946" t="str">
        <f t="shared" si="1"/>
        <v>omn#1971</v>
      </c>
      <c r="B11946" t="str">
        <f>IFERROR(__xludf.DUMMYFUNCTION("""COMPUTED_VALUE"""),"omn")</f>
        <v>omn</v>
      </c>
      <c r="C11946" t="str">
        <f>IFERROR(__xludf.DUMMYFUNCTION("""COMPUTED_VALUE"""),"Oman")</f>
        <v>Oman</v>
      </c>
      <c r="D11946">
        <f>IFERROR(__xludf.DUMMYFUNCTION("""COMPUTED_VALUE"""),1971.0)</f>
        <v>1971</v>
      </c>
      <c r="E11946">
        <f>IFERROR(__xludf.DUMMYFUNCTION("""COMPUTED_VALUE"""),748973.0)</f>
        <v>748973</v>
      </c>
    </row>
    <row r="11947">
      <c r="A11947" t="str">
        <f t="shared" si="1"/>
        <v>omn#1972</v>
      </c>
      <c r="B11947" t="str">
        <f>IFERROR(__xludf.DUMMYFUNCTION("""COMPUTED_VALUE"""),"omn")</f>
        <v>omn</v>
      </c>
      <c r="C11947" t="str">
        <f>IFERROR(__xludf.DUMMYFUNCTION("""COMPUTED_VALUE"""),"Oman")</f>
        <v>Oman</v>
      </c>
      <c r="D11947">
        <f>IFERROR(__xludf.DUMMYFUNCTION("""COMPUTED_VALUE"""),1972.0)</f>
        <v>1972</v>
      </c>
      <c r="E11947">
        <f>IFERROR(__xludf.DUMMYFUNCTION("""COMPUTED_VALUE"""),776383.0)</f>
        <v>776383</v>
      </c>
    </row>
    <row r="11948">
      <c r="A11948" t="str">
        <f t="shared" si="1"/>
        <v>omn#1973</v>
      </c>
      <c r="B11948" t="str">
        <f>IFERROR(__xludf.DUMMYFUNCTION("""COMPUTED_VALUE"""),"omn")</f>
        <v>omn</v>
      </c>
      <c r="C11948" t="str">
        <f>IFERROR(__xludf.DUMMYFUNCTION("""COMPUTED_VALUE"""),"Oman")</f>
        <v>Oman</v>
      </c>
      <c r="D11948">
        <f>IFERROR(__xludf.DUMMYFUNCTION("""COMPUTED_VALUE"""),1973.0)</f>
        <v>1973</v>
      </c>
      <c r="E11948">
        <f>IFERROR(__xludf.DUMMYFUNCTION("""COMPUTED_VALUE"""),806991.0)</f>
        <v>806991</v>
      </c>
    </row>
    <row r="11949">
      <c r="A11949" t="str">
        <f t="shared" si="1"/>
        <v>omn#1974</v>
      </c>
      <c r="B11949" t="str">
        <f>IFERROR(__xludf.DUMMYFUNCTION("""COMPUTED_VALUE"""),"omn")</f>
        <v>omn</v>
      </c>
      <c r="C11949" t="str">
        <f>IFERROR(__xludf.DUMMYFUNCTION("""COMPUTED_VALUE"""),"Oman")</f>
        <v>Oman</v>
      </c>
      <c r="D11949">
        <f>IFERROR(__xludf.DUMMYFUNCTION("""COMPUTED_VALUE"""),1974.0)</f>
        <v>1974</v>
      </c>
      <c r="E11949">
        <f>IFERROR(__xludf.DUMMYFUNCTION("""COMPUTED_VALUE"""),841948.0)</f>
        <v>841948</v>
      </c>
    </row>
    <row r="11950">
      <c r="A11950" t="str">
        <f t="shared" si="1"/>
        <v>omn#1975</v>
      </c>
      <c r="B11950" t="str">
        <f>IFERROR(__xludf.DUMMYFUNCTION("""COMPUTED_VALUE"""),"omn")</f>
        <v>omn</v>
      </c>
      <c r="C11950" t="str">
        <f>IFERROR(__xludf.DUMMYFUNCTION("""COMPUTED_VALUE"""),"Oman")</f>
        <v>Oman</v>
      </c>
      <c r="D11950">
        <f>IFERROR(__xludf.DUMMYFUNCTION("""COMPUTED_VALUE"""),1975.0)</f>
        <v>1975</v>
      </c>
      <c r="E11950">
        <f>IFERROR(__xludf.DUMMYFUNCTION("""COMPUTED_VALUE"""),882044.0)</f>
        <v>882044</v>
      </c>
    </row>
    <row r="11951">
      <c r="A11951" t="str">
        <f t="shared" si="1"/>
        <v>omn#1976</v>
      </c>
      <c r="B11951" t="str">
        <f>IFERROR(__xludf.DUMMYFUNCTION("""COMPUTED_VALUE"""),"omn")</f>
        <v>omn</v>
      </c>
      <c r="C11951" t="str">
        <f>IFERROR(__xludf.DUMMYFUNCTION("""COMPUTED_VALUE"""),"Oman")</f>
        <v>Oman</v>
      </c>
      <c r="D11951">
        <f>IFERROR(__xludf.DUMMYFUNCTION("""COMPUTED_VALUE"""),1976.0)</f>
        <v>1976</v>
      </c>
      <c r="E11951">
        <f>IFERROR(__xludf.DUMMYFUNCTION("""COMPUTED_VALUE"""),927439.0)</f>
        <v>927439</v>
      </c>
    </row>
    <row r="11952">
      <c r="A11952" t="str">
        <f t="shared" si="1"/>
        <v>omn#1977</v>
      </c>
      <c r="B11952" t="str">
        <f>IFERROR(__xludf.DUMMYFUNCTION("""COMPUTED_VALUE"""),"omn")</f>
        <v>omn</v>
      </c>
      <c r="C11952" t="str">
        <f>IFERROR(__xludf.DUMMYFUNCTION("""COMPUTED_VALUE"""),"Oman")</f>
        <v>Oman</v>
      </c>
      <c r="D11952">
        <f>IFERROR(__xludf.DUMMYFUNCTION("""COMPUTED_VALUE"""),1977.0)</f>
        <v>1977</v>
      </c>
      <c r="E11952">
        <f>IFERROR(__xludf.DUMMYFUNCTION("""COMPUTED_VALUE"""),977808.0)</f>
        <v>977808</v>
      </c>
    </row>
    <row r="11953">
      <c r="A11953" t="str">
        <f t="shared" si="1"/>
        <v>omn#1978</v>
      </c>
      <c r="B11953" t="str">
        <f>IFERROR(__xludf.DUMMYFUNCTION("""COMPUTED_VALUE"""),"omn")</f>
        <v>omn</v>
      </c>
      <c r="C11953" t="str">
        <f>IFERROR(__xludf.DUMMYFUNCTION("""COMPUTED_VALUE"""),"Oman")</f>
        <v>Oman</v>
      </c>
      <c r="D11953">
        <f>IFERROR(__xludf.DUMMYFUNCTION("""COMPUTED_VALUE"""),1978.0)</f>
        <v>1978</v>
      </c>
      <c r="E11953">
        <f>IFERROR(__xludf.DUMMYFUNCTION("""COMPUTED_VALUE"""),1032800.0)</f>
        <v>1032800</v>
      </c>
    </row>
    <row r="11954">
      <c r="A11954" t="str">
        <f t="shared" si="1"/>
        <v>omn#1979</v>
      </c>
      <c r="B11954" t="str">
        <f>IFERROR(__xludf.DUMMYFUNCTION("""COMPUTED_VALUE"""),"omn")</f>
        <v>omn</v>
      </c>
      <c r="C11954" t="str">
        <f>IFERROR(__xludf.DUMMYFUNCTION("""COMPUTED_VALUE"""),"Oman")</f>
        <v>Oman</v>
      </c>
      <c r="D11954">
        <f>IFERROR(__xludf.DUMMYFUNCTION("""COMPUTED_VALUE"""),1979.0)</f>
        <v>1979</v>
      </c>
      <c r="E11954">
        <f>IFERROR(__xludf.DUMMYFUNCTION("""COMPUTED_VALUE"""),1091853.0)</f>
        <v>1091853</v>
      </c>
    </row>
    <row r="11955">
      <c r="A11955" t="str">
        <f t="shared" si="1"/>
        <v>omn#1980</v>
      </c>
      <c r="B11955" t="str">
        <f>IFERROR(__xludf.DUMMYFUNCTION("""COMPUTED_VALUE"""),"omn")</f>
        <v>omn</v>
      </c>
      <c r="C11955" t="str">
        <f>IFERROR(__xludf.DUMMYFUNCTION("""COMPUTED_VALUE"""),"Oman")</f>
        <v>Oman</v>
      </c>
      <c r="D11955">
        <f>IFERROR(__xludf.DUMMYFUNCTION("""COMPUTED_VALUE"""),1980.0)</f>
        <v>1980</v>
      </c>
      <c r="E11955">
        <f>IFERROR(__xludf.DUMMYFUNCTION("""COMPUTED_VALUE"""),1154379.0)</f>
        <v>1154379</v>
      </c>
    </row>
    <row r="11956">
      <c r="A11956" t="str">
        <f t="shared" si="1"/>
        <v>omn#1981</v>
      </c>
      <c r="B11956" t="str">
        <f>IFERROR(__xludf.DUMMYFUNCTION("""COMPUTED_VALUE"""),"omn")</f>
        <v>omn</v>
      </c>
      <c r="C11956" t="str">
        <f>IFERROR(__xludf.DUMMYFUNCTION("""COMPUTED_VALUE"""),"Oman")</f>
        <v>Oman</v>
      </c>
      <c r="D11956">
        <f>IFERROR(__xludf.DUMMYFUNCTION("""COMPUTED_VALUE"""),1981.0)</f>
        <v>1981</v>
      </c>
      <c r="E11956">
        <f>IFERROR(__xludf.DUMMYFUNCTION("""COMPUTED_VALUE"""),1220587.0)</f>
        <v>1220587</v>
      </c>
    </row>
    <row r="11957">
      <c r="A11957" t="str">
        <f t="shared" si="1"/>
        <v>omn#1982</v>
      </c>
      <c r="B11957" t="str">
        <f>IFERROR(__xludf.DUMMYFUNCTION("""COMPUTED_VALUE"""),"omn")</f>
        <v>omn</v>
      </c>
      <c r="C11957" t="str">
        <f>IFERROR(__xludf.DUMMYFUNCTION("""COMPUTED_VALUE"""),"Oman")</f>
        <v>Oman</v>
      </c>
      <c r="D11957">
        <f>IFERROR(__xludf.DUMMYFUNCTION("""COMPUTED_VALUE"""),1982.0)</f>
        <v>1982</v>
      </c>
      <c r="E11957">
        <f>IFERROR(__xludf.DUMMYFUNCTION("""COMPUTED_VALUE"""),1290111.0)</f>
        <v>1290111</v>
      </c>
    </row>
    <row r="11958">
      <c r="A11958" t="str">
        <f t="shared" si="1"/>
        <v>omn#1983</v>
      </c>
      <c r="B11958" t="str">
        <f>IFERROR(__xludf.DUMMYFUNCTION("""COMPUTED_VALUE"""),"omn")</f>
        <v>omn</v>
      </c>
      <c r="C11958" t="str">
        <f>IFERROR(__xludf.DUMMYFUNCTION("""COMPUTED_VALUE"""),"Oman")</f>
        <v>Oman</v>
      </c>
      <c r="D11958">
        <f>IFERROR(__xludf.DUMMYFUNCTION("""COMPUTED_VALUE"""),1983.0)</f>
        <v>1983</v>
      </c>
      <c r="E11958">
        <f>IFERROR(__xludf.DUMMYFUNCTION("""COMPUTED_VALUE"""),1361097.0)</f>
        <v>1361097</v>
      </c>
    </row>
    <row r="11959">
      <c r="A11959" t="str">
        <f t="shared" si="1"/>
        <v>omn#1984</v>
      </c>
      <c r="B11959" t="str">
        <f>IFERROR(__xludf.DUMMYFUNCTION("""COMPUTED_VALUE"""),"omn")</f>
        <v>omn</v>
      </c>
      <c r="C11959" t="str">
        <f>IFERROR(__xludf.DUMMYFUNCTION("""COMPUTED_VALUE"""),"Oman")</f>
        <v>Oman</v>
      </c>
      <c r="D11959">
        <f>IFERROR(__xludf.DUMMYFUNCTION("""COMPUTED_VALUE"""),1984.0)</f>
        <v>1984</v>
      </c>
      <c r="E11959">
        <f>IFERROR(__xludf.DUMMYFUNCTION("""COMPUTED_VALUE"""),1431077.0)</f>
        <v>1431077</v>
      </c>
    </row>
    <row r="11960">
      <c r="A11960" t="str">
        <f t="shared" si="1"/>
        <v>omn#1985</v>
      </c>
      <c r="B11960" t="str">
        <f>IFERROR(__xludf.DUMMYFUNCTION("""COMPUTED_VALUE"""),"omn")</f>
        <v>omn</v>
      </c>
      <c r="C11960" t="str">
        <f>IFERROR(__xludf.DUMMYFUNCTION("""COMPUTED_VALUE"""),"Oman")</f>
        <v>Oman</v>
      </c>
      <c r="D11960">
        <f>IFERROR(__xludf.DUMMYFUNCTION("""COMPUTED_VALUE"""),1985.0)</f>
        <v>1985</v>
      </c>
      <c r="E11960">
        <f>IFERROR(__xludf.DUMMYFUNCTION("""COMPUTED_VALUE"""),1498417.0)</f>
        <v>1498417</v>
      </c>
    </row>
    <row r="11961">
      <c r="A11961" t="str">
        <f t="shared" si="1"/>
        <v>omn#1986</v>
      </c>
      <c r="B11961" t="str">
        <f>IFERROR(__xludf.DUMMYFUNCTION("""COMPUTED_VALUE"""),"omn")</f>
        <v>omn</v>
      </c>
      <c r="C11961" t="str">
        <f>IFERROR(__xludf.DUMMYFUNCTION("""COMPUTED_VALUE"""),"Oman")</f>
        <v>Oman</v>
      </c>
      <c r="D11961">
        <f>IFERROR(__xludf.DUMMYFUNCTION("""COMPUTED_VALUE"""),1986.0)</f>
        <v>1986</v>
      </c>
      <c r="E11961">
        <f>IFERROR(__xludf.DUMMYFUNCTION("""COMPUTED_VALUE"""),1561185.0)</f>
        <v>1561185</v>
      </c>
    </row>
    <row r="11962">
      <c r="A11962" t="str">
        <f t="shared" si="1"/>
        <v>omn#1987</v>
      </c>
      <c r="B11962" t="str">
        <f>IFERROR(__xludf.DUMMYFUNCTION("""COMPUTED_VALUE"""),"omn")</f>
        <v>omn</v>
      </c>
      <c r="C11962" t="str">
        <f>IFERROR(__xludf.DUMMYFUNCTION("""COMPUTED_VALUE"""),"Oman")</f>
        <v>Oman</v>
      </c>
      <c r="D11962">
        <f>IFERROR(__xludf.DUMMYFUNCTION("""COMPUTED_VALUE"""),1987.0)</f>
        <v>1987</v>
      </c>
      <c r="E11962">
        <f>IFERROR(__xludf.DUMMYFUNCTION("""COMPUTED_VALUE"""),1619864.0)</f>
        <v>1619864</v>
      </c>
    </row>
    <row r="11963">
      <c r="A11963" t="str">
        <f t="shared" si="1"/>
        <v>omn#1988</v>
      </c>
      <c r="B11963" t="str">
        <f>IFERROR(__xludf.DUMMYFUNCTION("""COMPUTED_VALUE"""),"omn")</f>
        <v>omn</v>
      </c>
      <c r="C11963" t="str">
        <f>IFERROR(__xludf.DUMMYFUNCTION("""COMPUTED_VALUE"""),"Oman")</f>
        <v>Oman</v>
      </c>
      <c r="D11963">
        <f>IFERROR(__xludf.DUMMYFUNCTION("""COMPUTED_VALUE"""),1988.0)</f>
        <v>1988</v>
      </c>
      <c r="E11963">
        <f>IFERROR(__xludf.DUMMYFUNCTION("""COMPUTED_VALUE"""),1678116.0)</f>
        <v>1678116</v>
      </c>
    </row>
    <row r="11964">
      <c r="A11964" t="str">
        <f t="shared" si="1"/>
        <v>omn#1989</v>
      </c>
      <c r="B11964" t="str">
        <f>IFERROR(__xludf.DUMMYFUNCTION("""COMPUTED_VALUE"""),"omn")</f>
        <v>omn</v>
      </c>
      <c r="C11964" t="str">
        <f>IFERROR(__xludf.DUMMYFUNCTION("""COMPUTED_VALUE"""),"Oman")</f>
        <v>Oman</v>
      </c>
      <c r="D11964">
        <f>IFERROR(__xludf.DUMMYFUNCTION("""COMPUTED_VALUE"""),1989.0)</f>
        <v>1989</v>
      </c>
      <c r="E11964">
        <f>IFERROR(__xludf.DUMMYFUNCTION("""COMPUTED_VALUE"""),1741160.0)</f>
        <v>1741160</v>
      </c>
    </row>
    <row r="11965">
      <c r="A11965" t="str">
        <f t="shared" si="1"/>
        <v>omn#1990</v>
      </c>
      <c r="B11965" t="str">
        <f>IFERROR(__xludf.DUMMYFUNCTION("""COMPUTED_VALUE"""),"omn")</f>
        <v>omn</v>
      </c>
      <c r="C11965" t="str">
        <f>IFERROR(__xludf.DUMMYFUNCTION("""COMPUTED_VALUE"""),"Oman")</f>
        <v>Oman</v>
      </c>
      <c r="D11965">
        <f>IFERROR(__xludf.DUMMYFUNCTION("""COMPUTED_VALUE"""),1990.0)</f>
        <v>1990</v>
      </c>
      <c r="E11965">
        <f>IFERROR(__xludf.DUMMYFUNCTION("""COMPUTED_VALUE"""),1812160.0)</f>
        <v>1812160</v>
      </c>
    </row>
    <row r="11966">
      <c r="A11966" t="str">
        <f t="shared" si="1"/>
        <v>omn#1991</v>
      </c>
      <c r="B11966" t="str">
        <f>IFERROR(__xludf.DUMMYFUNCTION("""COMPUTED_VALUE"""),"omn")</f>
        <v>omn</v>
      </c>
      <c r="C11966" t="str">
        <f>IFERROR(__xludf.DUMMYFUNCTION("""COMPUTED_VALUE"""),"Oman")</f>
        <v>Oman</v>
      </c>
      <c r="D11966">
        <f>IFERROR(__xludf.DUMMYFUNCTION("""COMPUTED_VALUE"""),1991.0)</f>
        <v>1991</v>
      </c>
      <c r="E11966">
        <f>IFERROR(__xludf.DUMMYFUNCTION("""COMPUTED_VALUE"""),1893771.0)</f>
        <v>1893771</v>
      </c>
    </row>
    <row r="11967">
      <c r="A11967" t="str">
        <f t="shared" si="1"/>
        <v>omn#1992</v>
      </c>
      <c r="B11967" t="str">
        <f>IFERROR(__xludf.DUMMYFUNCTION("""COMPUTED_VALUE"""),"omn")</f>
        <v>omn</v>
      </c>
      <c r="C11967" t="str">
        <f>IFERROR(__xludf.DUMMYFUNCTION("""COMPUTED_VALUE"""),"Oman")</f>
        <v>Oman</v>
      </c>
      <c r="D11967">
        <f>IFERROR(__xludf.DUMMYFUNCTION("""COMPUTED_VALUE"""),1992.0)</f>
        <v>1992</v>
      </c>
      <c r="E11967">
        <f>IFERROR(__xludf.DUMMYFUNCTION("""COMPUTED_VALUE"""),1983277.0)</f>
        <v>1983277</v>
      </c>
    </row>
    <row r="11968">
      <c r="A11968" t="str">
        <f t="shared" si="1"/>
        <v>omn#1993</v>
      </c>
      <c r="B11968" t="str">
        <f>IFERROR(__xludf.DUMMYFUNCTION("""COMPUTED_VALUE"""),"omn")</f>
        <v>omn</v>
      </c>
      <c r="C11968" t="str">
        <f>IFERROR(__xludf.DUMMYFUNCTION("""COMPUTED_VALUE"""),"Oman")</f>
        <v>Oman</v>
      </c>
      <c r="D11968">
        <f>IFERROR(__xludf.DUMMYFUNCTION("""COMPUTED_VALUE"""),1993.0)</f>
        <v>1993</v>
      </c>
      <c r="E11968">
        <f>IFERROR(__xludf.DUMMYFUNCTION("""COMPUTED_VALUE"""),2072111.0)</f>
        <v>2072111</v>
      </c>
    </row>
    <row r="11969">
      <c r="A11969" t="str">
        <f t="shared" si="1"/>
        <v>omn#1994</v>
      </c>
      <c r="B11969" t="str">
        <f>IFERROR(__xludf.DUMMYFUNCTION("""COMPUTED_VALUE"""),"omn")</f>
        <v>omn</v>
      </c>
      <c r="C11969" t="str">
        <f>IFERROR(__xludf.DUMMYFUNCTION("""COMPUTED_VALUE"""),"Oman")</f>
        <v>Oman</v>
      </c>
      <c r="D11969">
        <f>IFERROR(__xludf.DUMMYFUNCTION("""COMPUTED_VALUE"""),1994.0)</f>
        <v>1994</v>
      </c>
      <c r="E11969">
        <f>IFERROR(__xludf.DUMMYFUNCTION("""COMPUTED_VALUE"""),2148428.0)</f>
        <v>2148428</v>
      </c>
    </row>
    <row r="11970">
      <c r="A11970" t="str">
        <f t="shared" si="1"/>
        <v>omn#1995</v>
      </c>
      <c r="B11970" t="str">
        <f>IFERROR(__xludf.DUMMYFUNCTION("""COMPUTED_VALUE"""),"omn")</f>
        <v>omn</v>
      </c>
      <c r="C11970" t="str">
        <f>IFERROR(__xludf.DUMMYFUNCTION("""COMPUTED_VALUE"""),"Oman")</f>
        <v>Oman</v>
      </c>
      <c r="D11970">
        <f>IFERROR(__xludf.DUMMYFUNCTION("""COMPUTED_VALUE"""),1995.0)</f>
        <v>1995</v>
      </c>
      <c r="E11970">
        <f>IFERROR(__xludf.DUMMYFUNCTION("""COMPUTED_VALUE"""),2204283.0)</f>
        <v>2204283</v>
      </c>
    </row>
    <row r="11971">
      <c r="A11971" t="str">
        <f t="shared" si="1"/>
        <v>omn#1996</v>
      </c>
      <c r="B11971" t="str">
        <f>IFERROR(__xludf.DUMMYFUNCTION("""COMPUTED_VALUE"""),"omn")</f>
        <v>omn</v>
      </c>
      <c r="C11971" t="str">
        <f>IFERROR(__xludf.DUMMYFUNCTION("""COMPUTED_VALUE"""),"Oman")</f>
        <v>Oman</v>
      </c>
      <c r="D11971">
        <f>IFERROR(__xludf.DUMMYFUNCTION("""COMPUTED_VALUE"""),1996.0)</f>
        <v>1996</v>
      </c>
      <c r="E11971">
        <f>IFERROR(__xludf.DUMMYFUNCTION("""COMPUTED_VALUE"""),2236666.0)</f>
        <v>2236666</v>
      </c>
    </row>
    <row r="11972">
      <c r="A11972" t="str">
        <f t="shared" si="1"/>
        <v>omn#1997</v>
      </c>
      <c r="B11972" t="str">
        <f>IFERROR(__xludf.DUMMYFUNCTION("""COMPUTED_VALUE"""),"omn")</f>
        <v>omn</v>
      </c>
      <c r="C11972" t="str">
        <f>IFERROR(__xludf.DUMMYFUNCTION("""COMPUTED_VALUE"""),"Oman")</f>
        <v>Oman</v>
      </c>
      <c r="D11972">
        <f>IFERROR(__xludf.DUMMYFUNCTION("""COMPUTED_VALUE"""),1997.0)</f>
        <v>1997</v>
      </c>
      <c r="E11972">
        <f>IFERROR(__xludf.DUMMYFUNCTION("""COMPUTED_VALUE"""),2249773.0)</f>
        <v>2249773</v>
      </c>
    </row>
    <row r="11973">
      <c r="A11973" t="str">
        <f t="shared" si="1"/>
        <v>omn#1998</v>
      </c>
      <c r="B11973" t="str">
        <f>IFERROR(__xludf.DUMMYFUNCTION("""COMPUTED_VALUE"""),"omn")</f>
        <v>omn</v>
      </c>
      <c r="C11973" t="str">
        <f>IFERROR(__xludf.DUMMYFUNCTION("""COMPUTED_VALUE"""),"Oman")</f>
        <v>Oman</v>
      </c>
      <c r="D11973">
        <f>IFERROR(__xludf.DUMMYFUNCTION("""COMPUTED_VALUE"""),1998.0)</f>
        <v>1998</v>
      </c>
      <c r="E11973">
        <f>IFERROR(__xludf.DUMMYFUNCTION("""COMPUTED_VALUE"""),2251875.0)</f>
        <v>2251875</v>
      </c>
    </row>
    <row r="11974">
      <c r="A11974" t="str">
        <f t="shared" si="1"/>
        <v>omn#1999</v>
      </c>
      <c r="B11974" t="str">
        <f>IFERROR(__xludf.DUMMYFUNCTION("""COMPUTED_VALUE"""),"omn")</f>
        <v>omn</v>
      </c>
      <c r="C11974" t="str">
        <f>IFERROR(__xludf.DUMMYFUNCTION("""COMPUTED_VALUE"""),"Oman")</f>
        <v>Oman</v>
      </c>
      <c r="D11974">
        <f>IFERROR(__xludf.DUMMYFUNCTION("""COMPUTED_VALUE"""),1999.0)</f>
        <v>1999</v>
      </c>
      <c r="E11974">
        <f>IFERROR(__xludf.DUMMYFUNCTION("""COMPUTED_VALUE"""),2254918.0)</f>
        <v>2254918</v>
      </c>
    </row>
    <row r="11975">
      <c r="A11975" t="str">
        <f t="shared" si="1"/>
        <v>omn#2000</v>
      </c>
      <c r="B11975" t="str">
        <f>IFERROR(__xludf.DUMMYFUNCTION("""COMPUTED_VALUE"""),"omn")</f>
        <v>omn</v>
      </c>
      <c r="C11975" t="str">
        <f>IFERROR(__xludf.DUMMYFUNCTION("""COMPUTED_VALUE"""),"Oman")</f>
        <v>Oman</v>
      </c>
      <c r="D11975">
        <f>IFERROR(__xludf.DUMMYFUNCTION("""COMPUTED_VALUE"""),2000.0)</f>
        <v>2000</v>
      </c>
      <c r="E11975">
        <f>IFERROR(__xludf.DUMMYFUNCTION("""COMPUTED_VALUE"""),2267991.0)</f>
        <v>2267991</v>
      </c>
    </row>
    <row r="11976">
      <c r="A11976" t="str">
        <f t="shared" si="1"/>
        <v>omn#2001</v>
      </c>
      <c r="B11976" t="str">
        <f>IFERROR(__xludf.DUMMYFUNCTION("""COMPUTED_VALUE"""),"omn")</f>
        <v>omn</v>
      </c>
      <c r="C11976" t="str">
        <f>IFERROR(__xludf.DUMMYFUNCTION("""COMPUTED_VALUE"""),"Oman")</f>
        <v>Oman</v>
      </c>
      <c r="D11976">
        <f>IFERROR(__xludf.DUMMYFUNCTION("""COMPUTED_VALUE"""),2001.0)</f>
        <v>2001</v>
      </c>
      <c r="E11976">
        <f>IFERROR(__xludf.DUMMYFUNCTION("""COMPUTED_VALUE"""),2294787.0)</f>
        <v>2294787</v>
      </c>
    </row>
    <row r="11977">
      <c r="A11977" t="str">
        <f t="shared" si="1"/>
        <v>omn#2002</v>
      </c>
      <c r="B11977" t="str">
        <f>IFERROR(__xludf.DUMMYFUNCTION("""COMPUTED_VALUE"""),"omn")</f>
        <v>omn</v>
      </c>
      <c r="C11977" t="str">
        <f>IFERROR(__xludf.DUMMYFUNCTION("""COMPUTED_VALUE"""),"Oman")</f>
        <v>Oman</v>
      </c>
      <c r="D11977">
        <f>IFERROR(__xludf.DUMMYFUNCTION("""COMPUTED_VALUE"""),2002.0)</f>
        <v>2002</v>
      </c>
      <c r="E11977">
        <f>IFERROR(__xludf.DUMMYFUNCTION("""COMPUTED_VALUE"""),2334285.0)</f>
        <v>2334285</v>
      </c>
    </row>
    <row r="11978">
      <c r="A11978" t="str">
        <f t="shared" si="1"/>
        <v>omn#2003</v>
      </c>
      <c r="B11978" t="str">
        <f>IFERROR(__xludf.DUMMYFUNCTION("""COMPUTED_VALUE"""),"omn")</f>
        <v>omn</v>
      </c>
      <c r="C11978" t="str">
        <f>IFERROR(__xludf.DUMMYFUNCTION("""COMPUTED_VALUE"""),"Oman")</f>
        <v>Oman</v>
      </c>
      <c r="D11978">
        <f>IFERROR(__xludf.DUMMYFUNCTION("""COMPUTED_VALUE"""),2003.0)</f>
        <v>2003</v>
      </c>
      <c r="E11978">
        <f>IFERROR(__xludf.DUMMYFUNCTION("""COMPUTED_VALUE"""),2385255.0)</f>
        <v>2385255</v>
      </c>
    </row>
    <row r="11979">
      <c r="A11979" t="str">
        <f t="shared" si="1"/>
        <v>omn#2004</v>
      </c>
      <c r="B11979" t="str">
        <f>IFERROR(__xludf.DUMMYFUNCTION("""COMPUTED_VALUE"""),"omn")</f>
        <v>omn</v>
      </c>
      <c r="C11979" t="str">
        <f>IFERROR(__xludf.DUMMYFUNCTION("""COMPUTED_VALUE"""),"Oman")</f>
        <v>Oman</v>
      </c>
      <c r="D11979">
        <f>IFERROR(__xludf.DUMMYFUNCTION("""COMPUTED_VALUE"""),2004.0)</f>
        <v>2004</v>
      </c>
      <c r="E11979">
        <f>IFERROR(__xludf.DUMMYFUNCTION("""COMPUTED_VALUE"""),2444751.0)</f>
        <v>2444751</v>
      </c>
    </row>
    <row r="11980">
      <c r="A11980" t="str">
        <f t="shared" si="1"/>
        <v>omn#2005</v>
      </c>
      <c r="B11980" t="str">
        <f>IFERROR(__xludf.DUMMYFUNCTION("""COMPUTED_VALUE"""),"omn")</f>
        <v>omn</v>
      </c>
      <c r="C11980" t="str">
        <f>IFERROR(__xludf.DUMMYFUNCTION("""COMPUTED_VALUE"""),"Oman")</f>
        <v>Oman</v>
      </c>
      <c r="D11980">
        <f>IFERROR(__xludf.DUMMYFUNCTION("""COMPUTED_VALUE"""),2005.0)</f>
        <v>2005</v>
      </c>
      <c r="E11980">
        <f>IFERROR(__xludf.DUMMYFUNCTION("""COMPUTED_VALUE"""),2511269.0)</f>
        <v>2511269</v>
      </c>
    </row>
    <row r="11981">
      <c r="A11981" t="str">
        <f t="shared" si="1"/>
        <v>omn#2006</v>
      </c>
      <c r="B11981" t="str">
        <f>IFERROR(__xludf.DUMMYFUNCTION("""COMPUTED_VALUE"""),"omn")</f>
        <v>omn</v>
      </c>
      <c r="C11981" t="str">
        <f>IFERROR(__xludf.DUMMYFUNCTION("""COMPUTED_VALUE"""),"Oman")</f>
        <v>Oman</v>
      </c>
      <c r="D11981">
        <f>IFERROR(__xludf.DUMMYFUNCTION("""COMPUTED_VALUE"""),2006.0)</f>
        <v>2006</v>
      </c>
      <c r="E11981">
        <f>IFERROR(__xludf.DUMMYFUNCTION("""COMPUTED_VALUE"""),2582991.0)</f>
        <v>2582991</v>
      </c>
    </row>
    <row r="11982">
      <c r="A11982" t="str">
        <f t="shared" si="1"/>
        <v>omn#2007</v>
      </c>
      <c r="B11982" t="str">
        <f>IFERROR(__xludf.DUMMYFUNCTION("""COMPUTED_VALUE"""),"omn")</f>
        <v>omn</v>
      </c>
      <c r="C11982" t="str">
        <f>IFERROR(__xludf.DUMMYFUNCTION("""COMPUTED_VALUE"""),"Oman")</f>
        <v>Oman</v>
      </c>
      <c r="D11982">
        <f>IFERROR(__xludf.DUMMYFUNCTION("""COMPUTED_VALUE"""),2007.0)</f>
        <v>2007</v>
      </c>
      <c r="E11982">
        <f>IFERROR(__xludf.DUMMYFUNCTION("""COMPUTED_VALUE"""),2662762.0)</f>
        <v>2662762</v>
      </c>
    </row>
    <row r="11983">
      <c r="A11983" t="str">
        <f t="shared" si="1"/>
        <v>omn#2008</v>
      </c>
      <c r="B11983" t="str">
        <f>IFERROR(__xludf.DUMMYFUNCTION("""COMPUTED_VALUE"""),"omn")</f>
        <v>omn</v>
      </c>
      <c r="C11983" t="str">
        <f>IFERROR(__xludf.DUMMYFUNCTION("""COMPUTED_VALUE"""),"Oman")</f>
        <v>Oman</v>
      </c>
      <c r="D11983">
        <f>IFERROR(__xludf.DUMMYFUNCTION("""COMPUTED_VALUE"""),2008.0)</f>
        <v>2008</v>
      </c>
      <c r="E11983">
        <f>IFERROR(__xludf.DUMMYFUNCTION("""COMPUTED_VALUE"""),2759014.0)</f>
        <v>2759014</v>
      </c>
    </row>
    <row r="11984">
      <c r="A11984" t="str">
        <f t="shared" si="1"/>
        <v>omn#2009</v>
      </c>
      <c r="B11984" t="str">
        <f>IFERROR(__xludf.DUMMYFUNCTION("""COMPUTED_VALUE"""),"omn")</f>
        <v>omn</v>
      </c>
      <c r="C11984" t="str">
        <f>IFERROR(__xludf.DUMMYFUNCTION("""COMPUTED_VALUE"""),"Oman")</f>
        <v>Oman</v>
      </c>
      <c r="D11984">
        <f>IFERROR(__xludf.DUMMYFUNCTION("""COMPUTED_VALUE"""),2009.0)</f>
        <v>2009</v>
      </c>
      <c r="E11984">
        <f>IFERROR(__xludf.DUMMYFUNCTION("""COMPUTED_VALUE"""),2882942.0)</f>
        <v>2882942</v>
      </c>
    </row>
    <row r="11985">
      <c r="A11985" t="str">
        <f t="shared" si="1"/>
        <v>omn#2010</v>
      </c>
      <c r="B11985" t="str">
        <f>IFERROR(__xludf.DUMMYFUNCTION("""COMPUTED_VALUE"""),"omn")</f>
        <v>omn</v>
      </c>
      <c r="C11985" t="str">
        <f>IFERROR(__xludf.DUMMYFUNCTION("""COMPUTED_VALUE"""),"Oman")</f>
        <v>Oman</v>
      </c>
      <c r="D11985">
        <f>IFERROR(__xludf.DUMMYFUNCTION("""COMPUTED_VALUE"""),2010.0)</f>
        <v>2010</v>
      </c>
      <c r="E11985">
        <f>IFERROR(__xludf.DUMMYFUNCTION("""COMPUTED_VALUE"""),3041460.0)</f>
        <v>3041460</v>
      </c>
    </row>
    <row r="11986">
      <c r="A11986" t="str">
        <f t="shared" si="1"/>
        <v>omn#2011</v>
      </c>
      <c r="B11986" t="str">
        <f>IFERROR(__xludf.DUMMYFUNCTION("""COMPUTED_VALUE"""),"omn")</f>
        <v>omn</v>
      </c>
      <c r="C11986" t="str">
        <f>IFERROR(__xludf.DUMMYFUNCTION("""COMPUTED_VALUE"""),"Oman")</f>
        <v>Oman</v>
      </c>
      <c r="D11986">
        <f>IFERROR(__xludf.DUMMYFUNCTION("""COMPUTED_VALUE"""),2011.0)</f>
        <v>2011</v>
      </c>
      <c r="E11986">
        <f>IFERROR(__xludf.DUMMYFUNCTION("""COMPUTED_VALUE"""),3237268.0)</f>
        <v>3237268</v>
      </c>
    </row>
    <row r="11987">
      <c r="A11987" t="str">
        <f t="shared" si="1"/>
        <v>omn#2012</v>
      </c>
      <c r="B11987" t="str">
        <f>IFERROR(__xludf.DUMMYFUNCTION("""COMPUTED_VALUE"""),"omn")</f>
        <v>omn</v>
      </c>
      <c r="C11987" t="str">
        <f>IFERROR(__xludf.DUMMYFUNCTION("""COMPUTED_VALUE"""),"Oman")</f>
        <v>Oman</v>
      </c>
      <c r="D11987">
        <f>IFERROR(__xludf.DUMMYFUNCTION("""COMPUTED_VALUE"""),2012.0)</f>
        <v>2012</v>
      </c>
      <c r="E11987">
        <f>IFERROR(__xludf.DUMMYFUNCTION("""COMPUTED_VALUE"""),3464644.0)</f>
        <v>3464644</v>
      </c>
    </row>
    <row r="11988">
      <c r="A11988" t="str">
        <f t="shared" si="1"/>
        <v>omn#2013</v>
      </c>
      <c r="B11988" t="str">
        <f>IFERROR(__xludf.DUMMYFUNCTION("""COMPUTED_VALUE"""),"omn")</f>
        <v>omn</v>
      </c>
      <c r="C11988" t="str">
        <f>IFERROR(__xludf.DUMMYFUNCTION("""COMPUTED_VALUE"""),"Oman")</f>
        <v>Oman</v>
      </c>
      <c r="D11988">
        <f>IFERROR(__xludf.DUMMYFUNCTION("""COMPUTED_VALUE"""),2013.0)</f>
        <v>2013</v>
      </c>
      <c r="E11988">
        <f>IFERROR(__xludf.DUMMYFUNCTION("""COMPUTED_VALUE"""),3711481.0)</f>
        <v>3711481</v>
      </c>
    </row>
    <row r="11989">
      <c r="A11989" t="str">
        <f t="shared" si="1"/>
        <v>omn#2014</v>
      </c>
      <c r="B11989" t="str">
        <f>IFERROR(__xludf.DUMMYFUNCTION("""COMPUTED_VALUE"""),"omn")</f>
        <v>omn</v>
      </c>
      <c r="C11989" t="str">
        <f>IFERROR(__xludf.DUMMYFUNCTION("""COMPUTED_VALUE"""),"Oman")</f>
        <v>Oman</v>
      </c>
      <c r="D11989">
        <f>IFERROR(__xludf.DUMMYFUNCTION("""COMPUTED_VALUE"""),2014.0)</f>
        <v>2014</v>
      </c>
      <c r="E11989">
        <f>IFERROR(__xludf.DUMMYFUNCTION("""COMPUTED_VALUE"""),3960925.0)</f>
        <v>3960925</v>
      </c>
    </row>
    <row r="11990">
      <c r="A11990" t="str">
        <f t="shared" si="1"/>
        <v>omn#2015</v>
      </c>
      <c r="B11990" t="str">
        <f>IFERROR(__xludf.DUMMYFUNCTION("""COMPUTED_VALUE"""),"omn")</f>
        <v>omn</v>
      </c>
      <c r="C11990" t="str">
        <f>IFERROR(__xludf.DUMMYFUNCTION("""COMPUTED_VALUE"""),"Oman")</f>
        <v>Oman</v>
      </c>
      <c r="D11990">
        <f>IFERROR(__xludf.DUMMYFUNCTION("""COMPUTED_VALUE"""),2015.0)</f>
        <v>2015</v>
      </c>
      <c r="E11990">
        <f>IFERROR(__xludf.DUMMYFUNCTION("""COMPUTED_VALUE"""),4199810.0)</f>
        <v>4199810</v>
      </c>
    </row>
    <row r="11991">
      <c r="A11991" t="str">
        <f t="shared" si="1"/>
        <v>omn#2016</v>
      </c>
      <c r="B11991" t="str">
        <f>IFERROR(__xludf.DUMMYFUNCTION("""COMPUTED_VALUE"""),"omn")</f>
        <v>omn</v>
      </c>
      <c r="C11991" t="str">
        <f>IFERROR(__xludf.DUMMYFUNCTION("""COMPUTED_VALUE"""),"Oman")</f>
        <v>Oman</v>
      </c>
      <c r="D11991">
        <f>IFERROR(__xludf.DUMMYFUNCTION("""COMPUTED_VALUE"""),2016.0)</f>
        <v>2016</v>
      </c>
      <c r="E11991">
        <f>IFERROR(__xludf.DUMMYFUNCTION("""COMPUTED_VALUE"""),4424762.0)</f>
        <v>4424762</v>
      </c>
    </row>
    <row r="11992">
      <c r="A11992" t="str">
        <f t="shared" si="1"/>
        <v>omn#2017</v>
      </c>
      <c r="B11992" t="str">
        <f>IFERROR(__xludf.DUMMYFUNCTION("""COMPUTED_VALUE"""),"omn")</f>
        <v>omn</v>
      </c>
      <c r="C11992" t="str">
        <f>IFERROR(__xludf.DUMMYFUNCTION("""COMPUTED_VALUE"""),"Oman")</f>
        <v>Oman</v>
      </c>
      <c r="D11992">
        <f>IFERROR(__xludf.DUMMYFUNCTION("""COMPUTED_VALUE"""),2017.0)</f>
        <v>2017</v>
      </c>
      <c r="E11992">
        <f>IFERROR(__xludf.DUMMYFUNCTION("""COMPUTED_VALUE"""),4636262.0)</f>
        <v>4636262</v>
      </c>
    </row>
    <row r="11993">
      <c r="A11993" t="str">
        <f t="shared" si="1"/>
        <v>omn#2018</v>
      </c>
      <c r="B11993" t="str">
        <f>IFERROR(__xludf.DUMMYFUNCTION("""COMPUTED_VALUE"""),"omn")</f>
        <v>omn</v>
      </c>
      <c r="C11993" t="str">
        <f>IFERROR(__xludf.DUMMYFUNCTION("""COMPUTED_VALUE"""),"Oman")</f>
        <v>Oman</v>
      </c>
      <c r="D11993">
        <f>IFERROR(__xludf.DUMMYFUNCTION("""COMPUTED_VALUE"""),2018.0)</f>
        <v>2018</v>
      </c>
      <c r="E11993">
        <f>IFERROR(__xludf.DUMMYFUNCTION("""COMPUTED_VALUE"""),4829946.0)</f>
        <v>4829946</v>
      </c>
    </row>
    <row r="11994">
      <c r="A11994" t="str">
        <f t="shared" si="1"/>
        <v>omn#2019</v>
      </c>
      <c r="B11994" t="str">
        <f>IFERROR(__xludf.DUMMYFUNCTION("""COMPUTED_VALUE"""),"omn")</f>
        <v>omn</v>
      </c>
      <c r="C11994" t="str">
        <f>IFERROR(__xludf.DUMMYFUNCTION("""COMPUTED_VALUE"""),"Oman")</f>
        <v>Oman</v>
      </c>
      <c r="D11994">
        <f>IFERROR(__xludf.DUMMYFUNCTION("""COMPUTED_VALUE"""),2019.0)</f>
        <v>2019</v>
      </c>
      <c r="E11994">
        <f>IFERROR(__xludf.DUMMYFUNCTION("""COMPUTED_VALUE"""),5001875.0)</f>
        <v>5001875</v>
      </c>
    </row>
    <row r="11995">
      <c r="A11995" t="str">
        <f t="shared" si="1"/>
        <v>omn#2020</v>
      </c>
      <c r="B11995" t="str">
        <f>IFERROR(__xludf.DUMMYFUNCTION("""COMPUTED_VALUE"""),"omn")</f>
        <v>omn</v>
      </c>
      <c r="C11995" t="str">
        <f>IFERROR(__xludf.DUMMYFUNCTION("""COMPUTED_VALUE"""),"Oman")</f>
        <v>Oman</v>
      </c>
      <c r="D11995">
        <f>IFERROR(__xludf.DUMMYFUNCTION("""COMPUTED_VALUE"""),2020.0)</f>
        <v>2020</v>
      </c>
      <c r="E11995">
        <f>IFERROR(__xludf.DUMMYFUNCTION("""COMPUTED_VALUE"""),5149700.0)</f>
        <v>5149700</v>
      </c>
    </row>
    <row r="11996">
      <c r="A11996" t="str">
        <f t="shared" si="1"/>
        <v>omn#2021</v>
      </c>
      <c r="B11996" t="str">
        <f>IFERROR(__xludf.DUMMYFUNCTION("""COMPUTED_VALUE"""),"omn")</f>
        <v>omn</v>
      </c>
      <c r="C11996" t="str">
        <f>IFERROR(__xludf.DUMMYFUNCTION("""COMPUTED_VALUE"""),"Oman")</f>
        <v>Oman</v>
      </c>
      <c r="D11996">
        <f>IFERROR(__xludf.DUMMYFUNCTION("""COMPUTED_VALUE"""),2021.0)</f>
        <v>2021</v>
      </c>
      <c r="E11996">
        <f>IFERROR(__xludf.DUMMYFUNCTION("""COMPUTED_VALUE"""),5270227.0)</f>
        <v>5270227</v>
      </c>
    </row>
    <row r="11997">
      <c r="A11997" t="str">
        <f t="shared" si="1"/>
        <v>omn#2022</v>
      </c>
      <c r="B11997" t="str">
        <f>IFERROR(__xludf.DUMMYFUNCTION("""COMPUTED_VALUE"""),"omn")</f>
        <v>omn</v>
      </c>
      <c r="C11997" t="str">
        <f>IFERROR(__xludf.DUMMYFUNCTION("""COMPUTED_VALUE"""),"Oman")</f>
        <v>Oman</v>
      </c>
      <c r="D11997">
        <f>IFERROR(__xludf.DUMMYFUNCTION("""COMPUTED_VALUE"""),2022.0)</f>
        <v>2022</v>
      </c>
      <c r="E11997">
        <f>IFERROR(__xludf.DUMMYFUNCTION("""COMPUTED_VALUE"""),5364422.0)</f>
        <v>5364422</v>
      </c>
    </row>
    <row r="11998">
      <c r="A11998" t="str">
        <f t="shared" si="1"/>
        <v>omn#2023</v>
      </c>
      <c r="B11998" t="str">
        <f>IFERROR(__xludf.DUMMYFUNCTION("""COMPUTED_VALUE"""),"omn")</f>
        <v>omn</v>
      </c>
      <c r="C11998" t="str">
        <f>IFERROR(__xludf.DUMMYFUNCTION("""COMPUTED_VALUE"""),"Oman")</f>
        <v>Oman</v>
      </c>
      <c r="D11998">
        <f>IFERROR(__xludf.DUMMYFUNCTION("""COMPUTED_VALUE"""),2023.0)</f>
        <v>2023</v>
      </c>
      <c r="E11998">
        <f>IFERROR(__xludf.DUMMYFUNCTION("""COMPUTED_VALUE"""),5439587.0)</f>
        <v>5439587</v>
      </c>
    </row>
    <row r="11999">
      <c r="A11999" t="str">
        <f t="shared" si="1"/>
        <v>omn#2024</v>
      </c>
      <c r="B11999" t="str">
        <f>IFERROR(__xludf.DUMMYFUNCTION("""COMPUTED_VALUE"""),"omn")</f>
        <v>omn</v>
      </c>
      <c r="C11999" t="str">
        <f>IFERROR(__xludf.DUMMYFUNCTION("""COMPUTED_VALUE"""),"Oman")</f>
        <v>Oman</v>
      </c>
      <c r="D11999">
        <f>IFERROR(__xludf.DUMMYFUNCTION("""COMPUTED_VALUE"""),2024.0)</f>
        <v>2024</v>
      </c>
      <c r="E11999">
        <f>IFERROR(__xludf.DUMMYFUNCTION("""COMPUTED_VALUE"""),5506222.0)</f>
        <v>5506222</v>
      </c>
    </row>
    <row r="12000">
      <c r="A12000" t="str">
        <f t="shared" si="1"/>
        <v>omn#2025</v>
      </c>
      <c r="B12000" t="str">
        <f>IFERROR(__xludf.DUMMYFUNCTION("""COMPUTED_VALUE"""),"omn")</f>
        <v>omn</v>
      </c>
      <c r="C12000" t="str">
        <f>IFERROR(__xludf.DUMMYFUNCTION("""COMPUTED_VALUE"""),"Oman")</f>
        <v>Oman</v>
      </c>
      <c r="D12000">
        <f>IFERROR(__xludf.DUMMYFUNCTION("""COMPUTED_VALUE"""),2025.0)</f>
        <v>2025</v>
      </c>
      <c r="E12000">
        <f>IFERROR(__xludf.DUMMYFUNCTION("""COMPUTED_VALUE"""),5572149.0)</f>
        <v>5572149</v>
      </c>
    </row>
    <row r="12001">
      <c r="A12001" t="str">
        <f t="shared" si="1"/>
        <v>omn#2026</v>
      </c>
      <c r="B12001" t="str">
        <f>IFERROR(__xludf.DUMMYFUNCTION("""COMPUTED_VALUE"""),"omn")</f>
        <v>omn</v>
      </c>
      <c r="C12001" t="str">
        <f>IFERROR(__xludf.DUMMYFUNCTION("""COMPUTED_VALUE"""),"Oman")</f>
        <v>Oman</v>
      </c>
      <c r="D12001">
        <f>IFERROR(__xludf.DUMMYFUNCTION("""COMPUTED_VALUE"""),2026.0)</f>
        <v>2026</v>
      </c>
      <c r="E12001">
        <f>IFERROR(__xludf.DUMMYFUNCTION("""COMPUTED_VALUE"""),5640098.0)</f>
        <v>5640098</v>
      </c>
    </row>
    <row r="12002">
      <c r="A12002" t="str">
        <f t="shared" si="1"/>
        <v>omn#2027</v>
      </c>
      <c r="B12002" t="str">
        <f>IFERROR(__xludf.DUMMYFUNCTION("""COMPUTED_VALUE"""),"omn")</f>
        <v>omn</v>
      </c>
      <c r="C12002" t="str">
        <f>IFERROR(__xludf.DUMMYFUNCTION("""COMPUTED_VALUE"""),"Oman")</f>
        <v>Oman</v>
      </c>
      <c r="D12002">
        <f>IFERROR(__xludf.DUMMYFUNCTION("""COMPUTED_VALUE"""),2027.0)</f>
        <v>2027</v>
      </c>
      <c r="E12002">
        <f>IFERROR(__xludf.DUMMYFUNCTION("""COMPUTED_VALUE"""),5708566.0)</f>
        <v>5708566</v>
      </c>
    </row>
    <row r="12003">
      <c r="A12003" t="str">
        <f t="shared" si="1"/>
        <v>omn#2028</v>
      </c>
      <c r="B12003" t="str">
        <f>IFERROR(__xludf.DUMMYFUNCTION("""COMPUTED_VALUE"""),"omn")</f>
        <v>omn</v>
      </c>
      <c r="C12003" t="str">
        <f>IFERROR(__xludf.DUMMYFUNCTION("""COMPUTED_VALUE"""),"Oman")</f>
        <v>Oman</v>
      </c>
      <c r="D12003">
        <f>IFERROR(__xludf.DUMMYFUNCTION("""COMPUTED_VALUE"""),2028.0)</f>
        <v>2028</v>
      </c>
      <c r="E12003">
        <f>IFERROR(__xludf.DUMMYFUNCTION("""COMPUTED_VALUE"""),5776126.0)</f>
        <v>5776126</v>
      </c>
    </row>
    <row r="12004">
      <c r="A12004" t="str">
        <f t="shared" si="1"/>
        <v>omn#2029</v>
      </c>
      <c r="B12004" t="str">
        <f>IFERROR(__xludf.DUMMYFUNCTION("""COMPUTED_VALUE"""),"omn")</f>
        <v>omn</v>
      </c>
      <c r="C12004" t="str">
        <f>IFERROR(__xludf.DUMMYFUNCTION("""COMPUTED_VALUE"""),"Oman")</f>
        <v>Oman</v>
      </c>
      <c r="D12004">
        <f>IFERROR(__xludf.DUMMYFUNCTION("""COMPUTED_VALUE"""),2029.0)</f>
        <v>2029</v>
      </c>
      <c r="E12004">
        <f>IFERROR(__xludf.DUMMYFUNCTION("""COMPUTED_VALUE"""),5839765.0)</f>
        <v>5839765</v>
      </c>
    </row>
    <row r="12005">
      <c r="A12005" t="str">
        <f t="shared" si="1"/>
        <v>omn#2030</v>
      </c>
      <c r="B12005" t="str">
        <f>IFERROR(__xludf.DUMMYFUNCTION("""COMPUTED_VALUE"""),"omn")</f>
        <v>omn</v>
      </c>
      <c r="C12005" t="str">
        <f>IFERROR(__xludf.DUMMYFUNCTION("""COMPUTED_VALUE"""),"Oman")</f>
        <v>Oman</v>
      </c>
      <c r="D12005">
        <f>IFERROR(__xludf.DUMMYFUNCTION("""COMPUTED_VALUE"""),2030.0)</f>
        <v>2030</v>
      </c>
      <c r="E12005">
        <f>IFERROR(__xludf.DUMMYFUNCTION("""COMPUTED_VALUE"""),5897473.0)</f>
        <v>5897473</v>
      </c>
    </row>
    <row r="12006">
      <c r="A12006" t="str">
        <f t="shared" si="1"/>
        <v>omn#2031</v>
      </c>
      <c r="B12006" t="str">
        <f>IFERROR(__xludf.DUMMYFUNCTION("""COMPUTED_VALUE"""),"omn")</f>
        <v>omn</v>
      </c>
      <c r="C12006" t="str">
        <f>IFERROR(__xludf.DUMMYFUNCTION("""COMPUTED_VALUE"""),"Oman")</f>
        <v>Oman</v>
      </c>
      <c r="D12006">
        <f>IFERROR(__xludf.DUMMYFUNCTION("""COMPUTED_VALUE"""),2031.0)</f>
        <v>2031</v>
      </c>
      <c r="E12006">
        <f>IFERROR(__xludf.DUMMYFUNCTION("""COMPUTED_VALUE"""),5949427.0)</f>
        <v>5949427</v>
      </c>
    </row>
    <row r="12007">
      <c r="A12007" t="str">
        <f t="shared" si="1"/>
        <v>omn#2032</v>
      </c>
      <c r="B12007" t="str">
        <f>IFERROR(__xludf.DUMMYFUNCTION("""COMPUTED_VALUE"""),"omn")</f>
        <v>omn</v>
      </c>
      <c r="C12007" t="str">
        <f>IFERROR(__xludf.DUMMYFUNCTION("""COMPUTED_VALUE"""),"Oman")</f>
        <v>Oman</v>
      </c>
      <c r="D12007">
        <f>IFERROR(__xludf.DUMMYFUNCTION("""COMPUTED_VALUE"""),2032.0)</f>
        <v>2032</v>
      </c>
      <c r="E12007">
        <f>IFERROR(__xludf.DUMMYFUNCTION("""COMPUTED_VALUE"""),5997267.0)</f>
        <v>5997267</v>
      </c>
    </row>
    <row r="12008">
      <c r="A12008" t="str">
        <f t="shared" si="1"/>
        <v>omn#2033</v>
      </c>
      <c r="B12008" t="str">
        <f>IFERROR(__xludf.DUMMYFUNCTION("""COMPUTED_VALUE"""),"omn")</f>
        <v>omn</v>
      </c>
      <c r="C12008" t="str">
        <f>IFERROR(__xludf.DUMMYFUNCTION("""COMPUTED_VALUE"""),"Oman")</f>
        <v>Oman</v>
      </c>
      <c r="D12008">
        <f>IFERROR(__xludf.DUMMYFUNCTION("""COMPUTED_VALUE"""),2033.0)</f>
        <v>2033</v>
      </c>
      <c r="E12008">
        <f>IFERROR(__xludf.DUMMYFUNCTION("""COMPUTED_VALUE"""),6042138.0)</f>
        <v>6042138</v>
      </c>
    </row>
    <row r="12009">
      <c r="A12009" t="str">
        <f t="shared" si="1"/>
        <v>omn#2034</v>
      </c>
      <c r="B12009" t="str">
        <f>IFERROR(__xludf.DUMMYFUNCTION("""COMPUTED_VALUE"""),"omn")</f>
        <v>omn</v>
      </c>
      <c r="C12009" t="str">
        <f>IFERROR(__xludf.DUMMYFUNCTION("""COMPUTED_VALUE"""),"Oman")</f>
        <v>Oman</v>
      </c>
      <c r="D12009">
        <f>IFERROR(__xludf.DUMMYFUNCTION("""COMPUTED_VALUE"""),2034.0)</f>
        <v>2034</v>
      </c>
      <c r="E12009">
        <f>IFERROR(__xludf.DUMMYFUNCTION("""COMPUTED_VALUE"""),6085531.0)</f>
        <v>6085531</v>
      </c>
    </row>
    <row r="12010">
      <c r="A12010" t="str">
        <f t="shared" si="1"/>
        <v>omn#2035</v>
      </c>
      <c r="B12010" t="str">
        <f>IFERROR(__xludf.DUMMYFUNCTION("""COMPUTED_VALUE"""),"omn")</f>
        <v>omn</v>
      </c>
      <c r="C12010" t="str">
        <f>IFERROR(__xludf.DUMMYFUNCTION("""COMPUTED_VALUE"""),"Oman")</f>
        <v>Oman</v>
      </c>
      <c r="D12010">
        <f>IFERROR(__xludf.DUMMYFUNCTION("""COMPUTED_VALUE"""),2035.0)</f>
        <v>2035</v>
      </c>
      <c r="E12010">
        <f>IFERROR(__xludf.DUMMYFUNCTION("""COMPUTED_VALUE"""),6128590.0)</f>
        <v>6128590</v>
      </c>
    </row>
    <row r="12011">
      <c r="A12011" t="str">
        <f t="shared" si="1"/>
        <v>omn#2036</v>
      </c>
      <c r="B12011" t="str">
        <f>IFERROR(__xludf.DUMMYFUNCTION("""COMPUTED_VALUE"""),"omn")</f>
        <v>omn</v>
      </c>
      <c r="C12011" t="str">
        <f>IFERROR(__xludf.DUMMYFUNCTION("""COMPUTED_VALUE"""),"Oman")</f>
        <v>Oman</v>
      </c>
      <c r="D12011">
        <f>IFERROR(__xludf.DUMMYFUNCTION("""COMPUTED_VALUE"""),2036.0)</f>
        <v>2036</v>
      </c>
      <c r="E12011">
        <f>IFERROR(__xludf.DUMMYFUNCTION("""COMPUTED_VALUE"""),6171804.0)</f>
        <v>6171804</v>
      </c>
    </row>
    <row r="12012">
      <c r="A12012" t="str">
        <f t="shared" si="1"/>
        <v>omn#2037</v>
      </c>
      <c r="B12012" t="str">
        <f>IFERROR(__xludf.DUMMYFUNCTION("""COMPUTED_VALUE"""),"omn")</f>
        <v>omn</v>
      </c>
      <c r="C12012" t="str">
        <f>IFERROR(__xludf.DUMMYFUNCTION("""COMPUTED_VALUE"""),"Oman")</f>
        <v>Oman</v>
      </c>
      <c r="D12012">
        <f>IFERROR(__xludf.DUMMYFUNCTION("""COMPUTED_VALUE"""),2037.0)</f>
        <v>2037</v>
      </c>
      <c r="E12012">
        <f>IFERROR(__xludf.DUMMYFUNCTION("""COMPUTED_VALUE"""),6215120.0)</f>
        <v>6215120</v>
      </c>
    </row>
    <row r="12013">
      <c r="A12013" t="str">
        <f t="shared" si="1"/>
        <v>omn#2038</v>
      </c>
      <c r="B12013" t="str">
        <f>IFERROR(__xludf.DUMMYFUNCTION("""COMPUTED_VALUE"""),"omn")</f>
        <v>omn</v>
      </c>
      <c r="C12013" t="str">
        <f>IFERROR(__xludf.DUMMYFUNCTION("""COMPUTED_VALUE"""),"Oman")</f>
        <v>Oman</v>
      </c>
      <c r="D12013">
        <f>IFERROR(__xludf.DUMMYFUNCTION("""COMPUTED_VALUE"""),2038.0)</f>
        <v>2038</v>
      </c>
      <c r="E12013">
        <f>IFERROR(__xludf.DUMMYFUNCTION("""COMPUTED_VALUE"""),6258403.0)</f>
        <v>6258403</v>
      </c>
    </row>
    <row r="12014">
      <c r="A12014" t="str">
        <f t="shared" si="1"/>
        <v>omn#2039</v>
      </c>
      <c r="B12014" t="str">
        <f>IFERROR(__xludf.DUMMYFUNCTION("""COMPUTED_VALUE"""),"omn")</f>
        <v>omn</v>
      </c>
      <c r="C12014" t="str">
        <f>IFERROR(__xludf.DUMMYFUNCTION("""COMPUTED_VALUE"""),"Oman")</f>
        <v>Oman</v>
      </c>
      <c r="D12014">
        <f>IFERROR(__xludf.DUMMYFUNCTION("""COMPUTED_VALUE"""),2039.0)</f>
        <v>2039</v>
      </c>
      <c r="E12014">
        <f>IFERROR(__xludf.DUMMYFUNCTION("""COMPUTED_VALUE"""),6301293.0)</f>
        <v>6301293</v>
      </c>
    </row>
    <row r="12015">
      <c r="A12015" t="str">
        <f t="shared" si="1"/>
        <v>omn#2040</v>
      </c>
      <c r="B12015" t="str">
        <f>IFERROR(__xludf.DUMMYFUNCTION("""COMPUTED_VALUE"""),"omn")</f>
        <v>omn</v>
      </c>
      <c r="C12015" t="str">
        <f>IFERROR(__xludf.DUMMYFUNCTION("""COMPUTED_VALUE"""),"Oman")</f>
        <v>Oman</v>
      </c>
      <c r="D12015">
        <f>IFERROR(__xludf.DUMMYFUNCTION("""COMPUTED_VALUE"""),2040.0)</f>
        <v>2040</v>
      </c>
      <c r="E12015">
        <f>IFERROR(__xludf.DUMMYFUNCTION("""COMPUTED_VALUE"""),6343520.0)</f>
        <v>6343520</v>
      </c>
    </row>
    <row r="12016">
      <c r="A12016" t="str">
        <f t="shared" si="1"/>
        <v>pak#1950</v>
      </c>
      <c r="B12016" t="str">
        <f>IFERROR(__xludf.DUMMYFUNCTION("""COMPUTED_VALUE"""),"pak")</f>
        <v>pak</v>
      </c>
      <c r="C12016" t="str">
        <f>IFERROR(__xludf.DUMMYFUNCTION("""COMPUTED_VALUE"""),"Pakistan")</f>
        <v>Pakistan</v>
      </c>
      <c r="D12016">
        <f>IFERROR(__xludf.DUMMYFUNCTION("""COMPUTED_VALUE"""),1950.0)</f>
        <v>1950</v>
      </c>
      <c r="E12016">
        <f>IFERROR(__xludf.DUMMYFUNCTION("""COMPUTED_VALUE"""),3.7542376E7)</f>
        <v>37542376</v>
      </c>
    </row>
    <row r="12017">
      <c r="A12017" t="str">
        <f t="shared" si="1"/>
        <v>pak#1951</v>
      </c>
      <c r="B12017" t="str">
        <f>IFERROR(__xludf.DUMMYFUNCTION("""COMPUTED_VALUE"""),"pak")</f>
        <v>pak</v>
      </c>
      <c r="C12017" t="str">
        <f>IFERROR(__xludf.DUMMYFUNCTION("""COMPUTED_VALUE"""),"Pakistan")</f>
        <v>Pakistan</v>
      </c>
      <c r="D12017">
        <f>IFERROR(__xludf.DUMMYFUNCTION("""COMPUTED_VALUE"""),1951.0)</f>
        <v>1951</v>
      </c>
      <c r="E12017">
        <f>IFERROR(__xludf.DUMMYFUNCTION("""COMPUTED_VALUE"""),3.7975281E7)</f>
        <v>37975281</v>
      </c>
    </row>
    <row r="12018">
      <c r="A12018" t="str">
        <f t="shared" si="1"/>
        <v>pak#1952</v>
      </c>
      <c r="B12018" t="str">
        <f>IFERROR(__xludf.DUMMYFUNCTION("""COMPUTED_VALUE"""),"pak")</f>
        <v>pak</v>
      </c>
      <c r="C12018" t="str">
        <f>IFERROR(__xludf.DUMMYFUNCTION("""COMPUTED_VALUE"""),"Pakistan")</f>
        <v>Pakistan</v>
      </c>
      <c r="D12018">
        <f>IFERROR(__xludf.DUMMYFUNCTION("""COMPUTED_VALUE"""),1952.0)</f>
        <v>1952</v>
      </c>
      <c r="E12018">
        <f>IFERROR(__xludf.DUMMYFUNCTION("""COMPUTED_VALUE"""),3.8483891E7)</f>
        <v>38483891</v>
      </c>
    </row>
    <row r="12019">
      <c r="A12019" t="str">
        <f t="shared" si="1"/>
        <v>pak#1953</v>
      </c>
      <c r="B12019" t="str">
        <f>IFERROR(__xludf.DUMMYFUNCTION("""COMPUTED_VALUE"""),"pak")</f>
        <v>pak</v>
      </c>
      <c r="C12019" t="str">
        <f>IFERROR(__xludf.DUMMYFUNCTION("""COMPUTED_VALUE"""),"Pakistan")</f>
        <v>Pakistan</v>
      </c>
      <c r="D12019">
        <f>IFERROR(__xludf.DUMMYFUNCTION("""COMPUTED_VALUE"""),1953.0)</f>
        <v>1953</v>
      </c>
      <c r="E12019">
        <f>IFERROR(__xludf.DUMMYFUNCTION("""COMPUTED_VALUE"""),3.9063874E7)</f>
        <v>39063874</v>
      </c>
    </row>
    <row r="12020">
      <c r="A12020" t="str">
        <f t="shared" si="1"/>
        <v>pak#1954</v>
      </c>
      <c r="B12020" t="str">
        <f>IFERROR(__xludf.DUMMYFUNCTION("""COMPUTED_VALUE"""),"pak")</f>
        <v>pak</v>
      </c>
      <c r="C12020" t="str">
        <f>IFERROR(__xludf.DUMMYFUNCTION("""COMPUTED_VALUE"""),"Pakistan")</f>
        <v>Pakistan</v>
      </c>
      <c r="D12020">
        <f>IFERROR(__xludf.DUMMYFUNCTION("""COMPUTED_VALUE"""),1954.0)</f>
        <v>1954</v>
      </c>
      <c r="E12020">
        <f>IFERROR(__xludf.DUMMYFUNCTION("""COMPUTED_VALUE"""),3.9711643E7)</f>
        <v>39711643</v>
      </c>
    </row>
    <row r="12021">
      <c r="A12021" t="str">
        <f t="shared" si="1"/>
        <v>pak#1955</v>
      </c>
      <c r="B12021" t="str">
        <f>IFERROR(__xludf.DUMMYFUNCTION("""COMPUTED_VALUE"""),"pak")</f>
        <v>pak</v>
      </c>
      <c r="C12021" t="str">
        <f>IFERROR(__xludf.DUMMYFUNCTION("""COMPUTED_VALUE"""),"Pakistan")</f>
        <v>Pakistan</v>
      </c>
      <c r="D12021">
        <f>IFERROR(__xludf.DUMMYFUNCTION("""COMPUTED_VALUE"""),1955.0)</f>
        <v>1955</v>
      </c>
      <c r="E12021">
        <f>IFERROR(__xludf.DUMMYFUNCTION("""COMPUTED_VALUE"""),4.0424296E7)</f>
        <v>40424296</v>
      </c>
    </row>
    <row r="12022">
      <c r="A12022" t="str">
        <f t="shared" si="1"/>
        <v>pak#1956</v>
      </c>
      <c r="B12022" t="str">
        <f>IFERROR(__xludf.DUMMYFUNCTION("""COMPUTED_VALUE"""),"pak")</f>
        <v>pak</v>
      </c>
      <c r="C12022" t="str">
        <f>IFERROR(__xludf.DUMMYFUNCTION("""COMPUTED_VALUE"""),"Pakistan")</f>
        <v>Pakistan</v>
      </c>
      <c r="D12022">
        <f>IFERROR(__xludf.DUMMYFUNCTION("""COMPUTED_VALUE"""),1956.0)</f>
        <v>1956</v>
      </c>
      <c r="E12022">
        <f>IFERROR(__xludf.DUMMYFUNCTION("""COMPUTED_VALUE"""),4.1199696E7)</f>
        <v>41199696</v>
      </c>
    </row>
    <row r="12023">
      <c r="A12023" t="str">
        <f t="shared" si="1"/>
        <v>pak#1957</v>
      </c>
      <c r="B12023" t="str">
        <f>IFERROR(__xludf.DUMMYFUNCTION("""COMPUTED_VALUE"""),"pak")</f>
        <v>pak</v>
      </c>
      <c r="C12023" t="str">
        <f>IFERROR(__xludf.DUMMYFUNCTION("""COMPUTED_VALUE"""),"Pakistan")</f>
        <v>Pakistan</v>
      </c>
      <c r="D12023">
        <f>IFERROR(__xludf.DUMMYFUNCTION("""COMPUTED_VALUE"""),1957.0)</f>
        <v>1957</v>
      </c>
      <c r="E12023">
        <f>IFERROR(__xludf.DUMMYFUNCTION("""COMPUTED_VALUE"""),4.2036393E7)</f>
        <v>42036393</v>
      </c>
    </row>
    <row r="12024">
      <c r="A12024" t="str">
        <f t="shared" si="1"/>
        <v>pak#1958</v>
      </c>
      <c r="B12024" t="str">
        <f>IFERROR(__xludf.DUMMYFUNCTION("""COMPUTED_VALUE"""),"pak")</f>
        <v>pak</v>
      </c>
      <c r="C12024" t="str">
        <f>IFERROR(__xludf.DUMMYFUNCTION("""COMPUTED_VALUE"""),"Pakistan")</f>
        <v>Pakistan</v>
      </c>
      <c r="D12024">
        <f>IFERROR(__xludf.DUMMYFUNCTION("""COMPUTED_VALUE"""),1958.0)</f>
        <v>1958</v>
      </c>
      <c r="E12024">
        <f>IFERROR(__xludf.DUMMYFUNCTION("""COMPUTED_VALUE"""),4.2933593E7)</f>
        <v>42933593</v>
      </c>
    </row>
    <row r="12025">
      <c r="A12025" t="str">
        <f t="shared" si="1"/>
        <v>pak#1959</v>
      </c>
      <c r="B12025" t="str">
        <f>IFERROR(__xludf.DUMMYFUNCTION("""COMPUTED_VALUE"""),"pak")</f>
        <v>pak</v>
      </c>
      <c r="C12025" t="str">
        <f>IFERROR(__xludf.DUMMYFUNCTION("""COMPUTED_VALUE"""),"Pakistan")</f>
        <v>Pakistan</v>
      </c>
      <c r="D12025">
        <f>IFERROR(__xludf.DUMMYFUNCTION("""COMPUTED_VALUE"""),1959.0)</f>
        <v>1959</v>
      </c>
      <c r="E12025">
        <f>IFERROR(__xludf.DUMMYFUNCTION("""COMPUTED_VALUE"""),4.3890982E7)</f>
        <v>43890982</v>
      </c>
    </row>
    <row r="12026">
      <c r="A12026" t="str">
        <f t="shared" si="1"/>
        <v>pak#1960</v>
      </c>
      <c r="B12026" t="str">
        <f>IFERROR(__xludf.DUMMYFUNCTION("""COMPUTED_VALUE"""),"pak")</f>
        <v>pak</v>
      </c>
      <c r="C12026" t="str">
        <f>IFERROR(__xludf.DUMMYFUNCTION("""COMPUTED_VALUE"""),"Pakistan")</f>
        <v>Pakistan</v>
      </c>
      <c r="D12026">
        <f>IFERROR(__xludf.DUMMYFUNCTION("""COMPUTED_VALUE"""),1960.0)</f>
        <v>1960</v>
      </c>
      <c r="E12026">
        <f>IFERROR(__xludf.DUMMYFUNCTION("""COMPUTED_VALUE"""),4.4908293E7)</f>
        <v>44908293</v>
      </c>
    </row>
    <row r="12027">
      <c r="A12027" t="str">
        <f t="shared" si="1"/>
        <v>pak#1961</v>
      </c>
      <c r="B12027" t="str">
        <f>IFERROR(__xludf.DUMMYFUNCTION("""COMPUTED_VALUE"""),"pak")</f>
        <v>pak</v>
      </c>
      <c r="C12027" t="str">
        <f>IFERROR(__xludf.DUMMYFUNCTION("""COMPUTED_VALUE"""),"Pakistan")</f>
        <v>Pakistan</v>
      </c>
      <c r="D12027">
        <f>IFERROR(__xludf.DUMMYFUNCTION("""COMPUTED_VALUE"""),1961.0)</f>
        <v>1961</v>
      </c>
      <c r="E12027">
        <f>IFERROR(__xludf.DUMMYFUNCTION("""COMPUTED_VALUE"""),4.5984892E7)</f>
        <v>45984892</v>
      </c>
    </row>
    <row r="12028">
      <c r="A12028" t="str">
        <f t="shared" si="1"/>
        <v>pak#1962</v>
      </c>
      <c r="B12028" t="str">
        <f>IFERROR(__xludf.DUMMYFUNCTION("""COMPUTED_VALUE"""),"pak")</f>
        <v>pak</v>
      </c>
      <c r="C12028" t="str">
        <f>IFERROR(__xludf.DUMMYFUNCTION("""COMPUTED_VALUE"""),"Pakistan")</f>
        <v>Pakistan</v>
      </c>
      <c r="D12028">
        <f>IFERROR(__xludf.DUMMYFUNCTION("""COMPUTED_VALUE"""),1962.0)</f>
        <v>1962</v>
      </c>
      <c r="E12028">
        <f>IFERROR(__xludf.DUMMYFUNCTION("""COMPUTED_VALUE"""),4.7119361E7)</f>
        <v>47119361</v>
      </c>
    </row>
    <row r="12029">
      <c r="A12029" t="str">
        <f t="shared" si="1"/>
        <v>pak#1963</v>
      </c>
      <c r="B12029" t="str">
        <f>IFERROR(__xludf.DUMMYFUNCTION("""COMPUTED_VALUE"""),"pak")</f>
        <v>pak</v>
      </c>
      <c r="C12029" t="str">
        <f>IFERROR(__xludf.DUMMYFUNCTION("""COMPUTED_VALUE"""),"Pakistan")</f>
        <v>Pakistan</v>
      </c>
      <c r="D12029">
        <f>IFERROR(__xludf.DUMMYFUNCTION("""COMPUTED_VALUE"""),1963.0)</f>
        <v>1963</v>
      </c>
      <c r="E12029">
        <f>IFERROR(__xludf.DUMMYFUNCTION("""COMPUTED_VALUE"""),4.8309315E7)</f>
        <v>48309315</v>
      </c>
    </row>
    <row r="12030">
      <c r="A12030" t="str">
        <f t="shared" si="1"/>
        <v>pak#1964</v>
      </c>
      <c r="B12030" t="str">
        <f>IFERROR(__xludf.DUMMYFUNCTION("""COMPUTED_VALUE"""),"pak")</f>
        <v>pak</v>
      </c>
      <c r="C12030" t="str">
        <f>IFERROR(__xludf.DUMMYFUNCTION("""COMPUTED_VALUE"""),"Pakistan")</f>
        <v>Pakistan</v>
      </c>
      <c r="D12030">
        <f>IFERROR(__xludf.DUMMYFUNCTION("""COMPUTED_VALUE"""),1964.0)</f>
        <v>1964</v>
      </c>
      <c r="E12030">
        <f>IFERROR(__xludf.DUMMYFUNCTION("""COMPUTED_VALUE"""),4.9551904E7)</f>
        <v>49551904</v>
      </c>
    </row>
    <row r="12031">
      <c r="A12031" t="str">
        <f t="shared" si="1"/>
        <v>pak#1965</v>
      </c>
      <c r="B12031" t="str">
        <f>IFERROR(__xludf.DUMMYFUNCTION("""COMPUTED_VALUE"""),"pak")</f>
        <v>pak</v>
      </c>
      <c r="C12031" t="str">
        <f>IFERROR(__xludf.DUMMYFUNCTION("""COMPUTED_VALUE"""),"Pakistan")</f>
        <v>Pakistan</v>
      </c>
      <c r="D12031">
        <f>IFERROR(__xludf.DUMMYFUNCTION("""COMPUTED_VALUE"""),1965.0)</f>
        <v>1965</v>
      </c>
      <c r="E12031">
        <f>IFERROR(__xludf.DUMMYFUNCTION("""COMPUTED_VALUE"""),5.0845221E7)</f>
        <v>50845221</v>
      </c>
    </row>
    <row r="12032">
      <c r="A12032" t="str">
        <f t="shared" si="1"/>
        <v>pak#1966</v>
      </c>
      <c r="B12032" t="str">
        <f>IFERROR(__xludf.DUMMYFUNCTION("""COMPUTED_VALUE"""),"pak")</f>
        <v>pak</v>
      </c>
      <c r="C12032" t="str">
        <f>IFERROR(__xludf.DUMMYFUNCTION("""COMPUTED_VALUE"""),"Pakistan")</f>
        <v>Pakistan</v>
      </c>
      <c r="D12032">
        <f>IFERROR(__xludf.DUMMYFUNCTION("""COMPUTED_VALUE"""),1966.0)</f>
        <v>1966</v>
      </c>
      <c r="E12032">
        <f>IFERROR(__xludf.DUMMYFUNCTION("""COMPUTED_VALUE"""),5.2191095E7)</f>
        <v>52191095</v>
      </c>
    </row>
    <row r="12033">
      <c r="A12033" t="str">
        <f t="shared" si="1"/>
        <v>pak#1967</v>
      </c>
      <c r="B12033" t="str">
        <f>IFERROR(__xludf.DUMMYFUNCTION("""COMPUTED_VALUE"""),"pak")</f>
        <v>pak</v>
      </c>
      <c r="C12033" t="str">
        <f>IFERROR(__xludf.DUMMYFUNCTION("""COMPUTED_VALUE"""),"Pakistan")</f>
        <v>Pakistan</v>
      </c>
      <c r="D12033">
        <f>IFERROR(__xludf.DUMMYFUNCTION("""COMPUTED_VALUE"""),1967.0)</f>
        <v>1967</v>
      </c>
      <c r="E12033">
        <f>IFERROR(__xludf.DUMMYFUNCTION("""COMPUTED_VALUE"""),5.3590929E7)</f>
        <v>53590929</v>
      </c>
    </row>
    <row r="12034">
      <c r="A12034" t="str">
        <f t="shared" si="1"/>
        <v>pak#1968</v>
      </c>
      <c r="B12034" t="str">
        <f>IFERROR(__xludf.DUMMYFUNCTION("""COMPUTED_VALUE"""),"pak")</f>
        <v>pak</v>
      </c>
      <c r="C12034" t="str">
        <f>IFERROR(__xludf.DUMMYFUNCTION("""COMPUTED_VALUE"""),"Pakistan")</f>
        <v>Pakistan</v>
      </c>
      <c r="D12034">
        <f>IFERROR(__xludf.DUMMYFUNCTION("""COMPUTED_VALUE"""),1968.0)</f>
        <v>1968</v>
      </c>
      <c r="E12034">
        <f>IFERROR(__xludf.DUMMYFUNCTION("""COMPUTED_VALUE"""),5.5042397E7)</f>
        <v>55042397</v>
      </c>
    </row>
    <row r="12035">
      <c r="A12035" t="str">
        <f t="shared" si="1"/>
        <v>pak#1969</v>
      </c>
      <c r="B12035" t="str">
        <f>IFERROR(__xludf.DUMMYFUNCTION("""COMPUTED_VALUE"""),"pak")</f>
        <v>pak</v>
      </c>
      <c r="C12035" t="str">
        <f>IFERROR(__xludf.DUMMYFUNCTION("""COMPUTED_VALUE"""),"Pakistan")</f>
        <v>Pakistan</v>
      </c>
      <c r="D12035">
        <f>IFERROR(__xludf.DUMMYFUNCTION("""COMPUTED_VALUE"""),1969.0)</f>
        <v>1969</v>
      </c>
      <c r="E12035">
        <f>IFERROR(__xludf.DUMMYFUNCTION("""COMPUTED_VALUE"""),5.6542434E7)</f>
        <v>56542434</v>
      </c>
    </row>
    <row r="12036">
      <c r="A12036" t="str">
        <f t="shared" si="1"/>
        <v>pak#1970</v>
      </c>
      <c r="B12036" t="str">
        <f>IFERROR(__xludf.DUMMYFUNCTION("""COMPUTED_VALUE"""),"pak")</f>
        <v>pak</v>
      </c>
      <c r="C12036" t="str">
        <f>IFERROR(__xludf.DUMMYFUNCTION("""COMPUTED_VALUE"""),"Pakistan")</f>
        <v>Pakistan</v>
      </c>
      <c r="D12036">
        <f>IFERROR(__xludf.DUMMYFUNCTION("""COMPUTED_VALUE"""),1970.0)</f>
        <v>1970</v>
      </c>
      <c r="E12036">
        <f>IFERROR(__xludf.DUMMYFUNCTION("""COMPUTED_VALUE"""),5.8090759E7)</f>
        <v>58090759</v>
      </c>
    </row>
    <row r="12037">
      <c r="A12037" t="str">
        <f t="shared" si="1"/>
        <v>pak#1971</v>
      </c>
      <c r="B12037" t="str">
        <f>IFERROR(__xludf.DUMMYFUNCTION("""COMPUTED_VALUE"""),"pak")</f>
        <v>pak</v>
      </c>
      <c r="C12037" t="str">
        <f>IFERROR(__xludf.DUMMYFUNCTION("""COMPUTED_VALUE"""),"Pakistan")</f>
        <v>Pakistan</v>
      </c>
      <c r="D12037">
        <f>IFERROR(__xludf.DUMMYFUNCTION("""COMPUTED_VALUE"""),1971.0)</f>
        <v>1971</v>
      </c>
      <c r="E12037">
        <f>IFERROR(__xludf.DUMMYFUNCTION("""COMPUTED_VALUE"""),5.968714E7)</f>
        <v>59687140</v>
      </c>
    </row>
    <row r="12038">
      <c r="A12038" t="str">
        <f t="shared" si="1"/>
        <v>pak#1972</v>
      </c>
      <c r="B12038" t="str">
        <f>IFERROR(__xludf.DUMMYFUNCTION("""COMPUTED_VALUE"""),"pak")</f>
        <v>pak</v>
      </c>
      <c r="C12038" t="str">
        <f>IFERROR(__xludf.DUMMYFUNCTION("""COMPUTED_VALUE"""),"Pakistan")</f>
        <v>Pakistan</v>
      </c>
      <c r="D12038">
        <f>IFERROR(__xludf.DUMMYFUNCTION("""COMPUTED_VALUE"""),1972.0)</f>
        <v>1972</v>
      </c>
      <c r="E12038">
        <f>IFERROR(__xludf.DUMMYFUNCTION("""COMPUTED_VALUE"""),6.1338261E7)</f>
        <v>61338261</v>
      </c>
    </row>
    <row r="12039">
      <c r="A12039" t="str">
        <f t="shared" si="1"/>
        <v>pak#1973</v>
      </c>
      <c r="B12039" t="str">
        <f>IFERROR(__xludf.DUMMYFUNCTION("""COMPUTED_VALUE"""),"pak")</f>
        <v>pak</v>
      </c>
      <c r="C12039" t="str">
        <f>IFERROR(__xludf.DUMMYFUNCTION("""COMPUTED_VALUE"""),"Pakistan")</f>
        <v>Pakistan</v>
      </c>
      <c r="D12039">
        <f>IFERROR(__xludf.DUMMYFUNCTION("""COMPUTED_VALUE"""),1973.0)</f>
        <v>1973</v>
      </c>
      <c r="E12039">
        <f>IFERROR(__xludf.DUMMYFUNCTION("""COMPUTED_VALUE"""),6.3059481E7)</f>
        <v>63059481</v>
      </c>
    </row>
    <row r="12040">
      <c r="A12040" t="str">
        <f t="shared" si="1"/>
        <v>pak#1974</v>
      </c>
      <c r="B12040" t="str">
        <f>IFERROR(__xludf.DUMMYFUNCTION("""COMPUTED_VALUE"""),"pak")</f>
        <v>pak</v>
      </c>
      <c r="C12040" t="str">
        <f>IFERROR(__xludf.DUMMYFUNCTION("""COMPUTED_VALUE"""),"Pakistan")</f>
        <v>Pakistan</v>
      </c>
      <c r="D12040">
        <f>IFERROR(__xludf.DUMMYFUNCTION("""COMPUTED_VALUE"""),1974.0)</f>
        <v>1974</v>
      </c>
      <c r="E12040">
        <f>IFERROR(__xludf.DUMMYFUNCTION("""COMPUTED_VALUE"""),6.4870833E7)</f>
        <v>64870833</v>
      </c>
    </row>
    <row r="12041">
      <c r="A12041" t="str">
        <f t="shared" si="1"/>
        <v>pak#1975</v>
      </c>
      <c r="B12041" t="str">
        <f>IFERROR(__xludf.DUMMYFUNCTION("""COMPUTED_VALUE"""),"pak")</f>
        <v>pak</v>
      </c>
      <c r="C12041" t="str">
        <f>IFERROR(__xludf.DUMMYFUNCTION("""COMPUTED_VALUE"""),"Pakistan")</f>
        <v>Pakistan</v>
      </c>
      <c r="D12041">
        <f>IFERROR(__xludf.DUMMYFUNCTION("""COMPUTED_VALUE"""),1975.0)</f>
        <v>1975</v>
      </c>
      <c r="E12041">
        <f>IFERROR(__xludf.DUMMYFUNCTION("""COMPUTED_VALUE"""),6.6787901E7)</f>
        <v>66787901</v>
      </c>
    </row>
    <row r="12042">
      <c r="A12042" t="str">
        <f t="shared" si="1"/>
        <v>pak#1976</v>
      </c>
      <c r="B12042" t="str">
        <f>IFERROR(__xludf.DUMMYFUNCTION("""COMPUTED_VALUE"""),"pak")</f>
        <v>pak</v>
      </c>
      <c r="C12042" t="str">
        <f>IFERROR(__xludf.DUMMYFUNCTION("""COMPUTED_VALUE"""),"Pakistan")</f>
        <v>Pakistan</v>
      </c>
      <c r="D12042">
        <f>IFERROR(__xludf.DUMMYFUNCTION("""COMPUTED_VALUE"""),1976.0)</f>
        <v>1976</v>
      </c>
      <c r="E12042">
        <f>IFERROR(__xludf.DUMMYFUNCTION("""COMPUTED_VALUE"""),6.881322E7)</f>
        <v>68813220</v>
      </c>
    </row>
    <row r="12043">
      <c r="A12043" t="str">
        <f t="shared" si="1"/>
        <v>pak#1977</v>
      </c>
      <c r="B12043" t="str">
        <f>IFERROR(__xludf.DUMMYFUNCTION("""COMPUTED_VALUE"""),"pak")</f>
        <v>pak</v>
      </c>
      <c r="C12043" t="str">
        <f>IFERROR(__xludf.DUMMYFUNCTION("""COMPUTED_VALUE"""),"Pakistan")</f>
        <v>Pakistan</v>
      </c>
      <c r="D12043">
        <f>IFERROR(__xludf.DUMMYFUNCTION("""COMPUTED_VALUE"""),1977.0)</f>
        <v>1977</v>
      </c>
      <c r="E12043">
        <f>IFERROR(__xludf.DUMMYFUNCTION("""COMPUTED_VALUE"""),7.0946231E7)</f>
        <v>70946231</v>
      </c>
    </row>
    <row r="12044">
      <c r="A12044" t="str">
        <f t="shared" si="1"/>
        <v>pak#1978</v>
      </c>
      <c r="B12044" t="str">
        <f>IFERROR(__xludf.DUMMYFUNCTION("""COMPUTED_VALUE"""),"pak")</f>
        <v>pak</v>
      </c>
      <c r="C12044" t="str">
        <f>IFERROR(__xludf.DUMMYFUNCTION("""COMPUTED_VALUE"""),"Pakistan")</f>
        <v>Pakistan</v>
      </c>
      <c r="D12044">
        <f>IFERROR(__xludf.DUMMYFUNCTION("""COMPUTED_VALUE"""),1978.0)</f>
        <v>1978</v>
      </c>
      <c r="E12044">
        <f>IFERROR(__xludf.DUMMYFUNCTION("""COMPUTED_VALUE"""),7.3194937E7)</f>
        <v>73194937</v>
      </c>
    </row>
    <row r="12045">
      <c r="A12045" t="str">
        <f t="shared" si="1"/>
        <v>pak#1979</v>
      </c>
      <c r="B12045" t="str">
        <f>IFERROR(__xludf.DUMMYFUNCTION("""COMPUTED_VALUE"""),"pak")</f>
        <v>pak</v>
      </c>
      <c r="C12045" t="str">
        <f>IFERROR(__xludf.DUMMYFUNCTION("""COMPUTED_VALUE"""),"Pakistan")</f>
        <v>Pakistan</v>
      </c>
      <c r="D12045">
        <f>IFERROR(__xludf.DUMMYFUNCTION("""COMPUTED_VALUE"""),1979.0)</f>
        <v>1979</v>
      </c>
      <c r="E12045">
        <f>IFERROR(__xludf.DUMMYFUNCTION("""COMPUTED_VALUE"""),7.5567682E7)</f>
        <v>75567682</v>
      </c>
    </row>
    <row r="12046">
      <c r="A12046" t="str">
        <f t="shared" si="1"/>
        <v>pak#1980</v>
      </c>
      <c r="B12046" t="str">
        <f>IFERROR(__xludf.DUMMYFUNCTION("""COMPUTED_VALUE"""),"pak")</f>
        <v>pak</v>
      </c>
      <c r="C12046" t="str">
        <f>IFERROR(__xludf.DUMMYFUNCTION("""COMPUTED_VALUE"""),"Pakistan")</f>
        <v>Pakistan</v>
      </c>
      <c r="D12046">
        <f>IFERROR(__xludf.DUMMYFUNCTION("""COMPUTED_VALUE"""),1980.0)</f>
        <v>1980</v>
      </c>
      <c r="E12046">
        <f>IFERROR(__xludf.DUMMYFUNCTION("""COMPUTED_VALUE"""),7.8068144E7)</f>
        <v>78068144</v>
      </c>
    </row>
    <row r="12047">
      <c r="A12047" t="str">
        <f t="shared" si="1"/>
        <v>pak#1981</v>
      </c>
      <c r="B12047" t="str">
        <f>IFERROR(__xludf.DUMMYFUNCTION("""COMPUTED_VALUE"""),"pak")</f>
        <v>pak</v>
      </c>
      <c r="C12047" t="str">
        <f>IFERROR(__xludf.DUMMYFUNCTION("""COMPUTED_VALUE"""),"Pakistan")</f>
        <v>Pakistan</v>
      </c>
      <c r="D12047">
        <f>IFERROR(__xludf.DUMMYFUNCTION("""COMPUTED_VALUE"""),1981.0)</f>
        <v>1981</v>
      </c>
      <c r="E12047">
        <f>IFERROR(__xludf.DUMMYFUNCTION("""COMPUTED_VALUE"""),8.0696945E7)</f>
        <v>80696945</v>
      </c>
    </row>
    <row r="12048">
      <c r="A12048" t="str">
        <f t="shared" si="1"/>
        <v>pak#1982</v>
      </c>
      <c r="B12048" t="str">
        <f>IFERROR(__xludf.DUMMYFUNCTION("""COMPUTED_VALUE"""),"pak")</f>
        <v>pak</v>
      </c>
      <c r="C12048" t="str">
        <f>IFERROR(__xludf.DUMMYFUNCTION("""COMPUTED_VALUE"""),"Pakistan")</f>
        <v>Pakistan</v>
      </c>
      <c r="D12048">
        <f>IFERROR(__xludf.DUMMYFUNCTION("""COMPUTED_VALUE"""),1982.0)</f>
        <v>1982</v>
      </c>
      <c r="E12048">
        <f>IFERROR(__xludf.DUMMYFUNCTION("""COMPUTED_VALUE"""),8.3445863E7)</f>
        <v>83445863</v>
      </c>
    </row>
    <row r="12049">
      <c r="A12049" t="str">
        <f t="shared" si="1"/>
        <v>pak#1983</v>
      </c>
      <c r="B12049" t="str">
        <f>IFERROR(__xludf.DUMMYFUNCTION("""COMPUTED_VALUE"""),"pak")</f>
        <v>pak</v>
      </c>
      <c r="C12049" t="str">
        <f>IFERROR(__xludf.DUMMYFUNCTION("""COMPUTED_VALUE"""),"Pakistan")</f>
        <v>Pakistan</v>
      </c>
      <c r="D12049">
        <f>IFERROR(__xludf.DUMMYFUNCTION("""COMPUTED_VALUE"""),1983.0)</f>
        <v>1983</v>
      </c>
      <c r="E12049">
        <f>IFERROR(__xludf.DUMMYFUNCTION("""COMPUTED_VALUE"""),8.629764E7)</f>
        <v>86297640</v>
      </c>
    </row>
    <row r="12050">
      <c r="A12050" t="str">
        <f t="shared" si="1"/>
        <v>pak#1984</v>
      </c>
      <c r="B12050" t="str">
        <f>IFERROR(__xludf.DUMMYFUNCTION("""COMPUTED_VALUE"""),"pak")</f>
        <v>pak</v>
      </c>
      <c r="C12050" t="str">
        <f>IFERROR(__xludf.DUMMYFUNCTION("""COMPUTED_VALUE"""),"Pakistan")</f>
        <v>Pakistan</v>
      </c>
      <c r="D12050">
        <f>IFERROR(__xludf.DUMMYFUNCTION("""COMPUTED_VALUE"""),1984.0)</f>
        <v>1984</v>
      </c>
      <c r="E12050">
        <f>IFERROR(__xludf.DUMMYFUNCTION("""COMPUTED_VALUE"""),8.9228949E7)</f>
        <v>89228949</v>
      </c>
    </row>
    <row r="12051">
      <c r="A12051" t="str">
        <f t="shared" si="1"/>
        <v>pak#1985</v>
      </c>
      <c r="B12051" t="str">
        <f>IFERROR(__xludf.DUMMYFUNCTION("""COMPUTED_VALUE"""),"pak")</f>
        <v>pak</v>
      </c>
      <c r="C12051" t="str">
        <f>IFERROR(__xludf.DUMMYFUNCTION("""COMPUTED_VALUE"""),"Pakistan")</f>
        <v>Pakistan</v>
      </c>
      <c r="D12051">
        <f>IFERROR(__xludf.DUMMYFUNCTION("""COMPUTED_VALUE"""),1985.0)</f>
        <v>1985</v>
      </c>
      <c r="E12051">
        <f>IFERROR(__xludf.DUMMYFUNCTION("""COMPUTED_VALUE"""),9.2219488E7)</f>
        <v>92219488</v>
      </c>
    </row>
    <row r="12052">
      <c r="A12052" t="str">
        <f t="shared" si="1"/>
        <v>pak#1986</v>
      </c>
      <c r="B12052" t="str">
        <f>IFERROR(__xludf.DUMMYFUNCTION("""COMPUTED_VALUE"""),"pak")</f>
        <v>pak</v>
      </c>
      <c r="C12052" t="str">
        <f>IFERROR(__xludf.DUMMYFUNCTION("""COMPUTED_VALUE"""),"Pakistan")</f>
        <v>Pakistan</v>
      </c>
      <c r="D12052">
        <f>IFERROR(__xludf.DUMMYFUNCTION("""COMPUTED_VALUE"""),1986.0)</f>
        <v>1986</v>
      </c>
      <c r="E12052">
        <f>IFERROR(__xludf.DUMMYFUNCTION("""COMPUTED_VALUE"""),9.526446E7)</f>
        <v>95264460</v>
      </c>
    </row>
    <row r="12053">
      <c r="A12053" t="str">
        <f t="shared" si="1"/>
        <v>pak#1987</v>
      </c>
      <c r="B12053" t="str">
        <f>IFERROR(__xludf.DUMMYFUNCTION("""COMPUTED_VALUE"""),"pak")</f>
        <v>pak</v>
      </c>
      <c r="C12053" t="str">
        <f>IFERROR(__xludf.DUMMYFUNCTION("""COMPUTED_VALUE"""),"Pakistan")</f>
        <v>Pakistan</v>
      </c>
      <c r="D12053">
        <f>IFERROR(__xludf.DUMMYFUNCTION("""COMPUTED_VALUE"""),1987.0)</f>
        <v>1987</v>
      </c>
      <c r="E12053">
        <f>IFERROR(__xludf.DUMMYFUNCTION("""COMPUTED_VALUE"""),9.8357473E7)</f>
        <v>98357473</v>
      </c>
    </row>
    <row r="12054">
      <c r="A12054" t="str">
        <f t="shared" si="1"/>
        <v>pak#1988</v>
      </c>
      <c r="B12054" t="str">
        <f>IFERROR(__xludf.DUMMYFUNCTION("""COMPUTED_VALUE"""),"pak")</f>
        <v>pak</v>
      </c>
      <c r="C12054" t="str">
        <f>IFERROR(__xludf.DUMMYFUNCTION("""COMPUTED_VALUE"""),"Pakistan")</f>
        <v>Pakistan</v>
      </c>
      <c r="D12054">
        <f>IFERROR(__xludf.DUMMYFUNCTION("""COMPUTED_VALUE"""),1988.0)</f>
        <v>1988</v>
      </c>
      <c r="E12054">
        <f>IFERROR(__xludf.DUMMYFUNCTION("""COMPUTED_VALUE"""),1.01474835E8)</f>
        <v>101474835</v>
      </c>
    </row>
    <row r="12055">
      <c r="A12055" t="str">
        <f t="shared" si="1"/>
        <v>pak#1989</v>
      </c>
      <c r="B12055" t="str">
        <f>IFERROR(__xludf.DUMMYFUNCTION("""COMPUTED_VALUE"""),"pak")</f>
        <v>pak</v>
      </c>
      <c r="C12055" t="str">
        <f>IFERROR(__xludf.DUMMYFUNCTION("""COMPUTED_VALUE"""),"Pakistan")</f>
        <v>Pakistan</v>
      </c>
      <c r="D12055">
        <f>IFERROR(__xludf.DUMMYFUNCTION("""COMPUTED_VALUE"""),1989.0)</f>
        <v>1989</v>
      </c>
      <c r="E12055">
        <f>IFERROR(__xludf.DUMMYFUNCTION("""COMPUTED_VALUE"""),1.0458849E8)</f>
        <v>104588490</v>
      </c>
    </row>
    <row r="12056">
      <c r="A12056" t="str">
        <f t="shared" si="1"/>
        <v>pak#1990</v>
      </c>
      <c r="B12056" t="str">
        <f>IFERROR(__xludf.DUMMYFUNCTION("""COMPUTED_VALUE"""),"pak")</f>
        <v>pak</v>
      </c>
      <c r="C12056" t="str">
        <f>IFERROR(__xludf.DUMMYFUNCTION("""COMPUTED_VALUE"""),"Pakistan")</f>
        <v>Pakistan</v>
      </c>
      <c r="D12056">
        <f>IFERROR(__xludf.DUMMYFUNCTION("""COMPUTED_VALUE"""),1990.0)</f>
        <v>1990</v>
      </c>
      <c r="E12056">
        <f>IFERROR(__xludf.DUMMYFUNCTION("""COMPUTED_VALUE"""),1.07678614E8)</f>
        <v>107678614</v>
      </c>
    </row>
    <row r="12057">
      <c r="A12057" t="str">
        <f t="shared" si="1"/>
        <v>pak#1991</v>
      </c>
      <c r="B12057" t="str">
        <f>IFERROR(__xludf.DUMMYFUNCTION("""COMPUTED_VALUE"""),"pak")</f>
        <v>pak</v>
      </c>
      <c r="C12057" t="str">
        <f>IFERROR(__xludf.DUMMYFUNCTION("""COMPUTED_VALUE"""),"Pakistan")</f>
        <v>Pakistan</v>
      </c>
      <c r="D12057">
        <f>IFERROR(__xludf.DUMMYFUNCTION("""COMPUTED_VALUE"""),1991.0)</f>
        <v>1991</v>
      </c>
      <c r="E12057">
        <f>IFERROR(__xludf.DUMMYFUNCTION("""COMPUTED_VALUE"""),1.1073042E8)</f>
        <v>110730420</v>
      </c>
    </row>
    <row r="12058">
      <c r="A12058" t="str">
        <f t="shared" si="1"/>
        <v>pak#1992</v>
      </c>
      <c r="B12058" t="str">
        <f>IFERROR(__xludf.DUMMYFUNCTION("""COMPUTED_VALUE"""),"pak")</f>
        <v>pak</v>
      </c>
      <c r="C12058" t="str">
        <f>IFERROR(__xludf.DUMMYFUNCTION("""COMPUTED_VALUE"""),"Pakistan")</f>
        <v>Pakistan</v>
      </c>
      <c r="D12058">
        <f>IFERROR(__xludf.DUMMYFUNCTION("""COMPUTED_VALUE"""),1992.0)</f>
        <v>1992</v>
      </c>
      <c r="E12058">
        <f>IFERROR(__xludf.DUMMYFUNCTION("""COMPUTED_VALUE"""),1.13747135E8)</f>
        <v>113747135</v>
      </c>
    </row>
    <row r="12059">
      <c r="A12059" t="str">
        <f t="shared" si="1"/>
        <v>pak#1993</v>
      </c>
      <c r="B12059" t="str">
        <f>IFERROR(__xludf.DUMMYFUNCTION("""COMPUTED_VALUE"""),"pak")</f>
        <v>pak</v>
      </c>
      <c r="C12059" t="str">
        <f>IFERROR(__xludf.DUMMYFUNCTION("""COMPUTED_VALUE"""),"Pakistan")</f>
        <v>Pakistan</v>
      </c>
      <c r="D12059">
        <f>IFERROR(__xludf.DUMMYFUNCTION("""COMPUTED_VALUE"""),1993.0)</f>
        <v>1993</v>
      </c>
      <c r="E12059">
        <f>IFERROR(__xludf.DUMMYFUNCTION("""COMPUTED_VALUE"""),1.1674956E8)</f>
        <v>116749560</v>
      </c>
    </row>
    <row r="12060">
      <c r="A12060" t="str">
        <f t="shared" si="1"/>
        <v>pak#1994</v>
      </c>
      <c r="B12060" t="str">
        <f>IFERROR(__xludf.DUMMYFUNCTION("""COMPUTED_VALUE"""),"pak")</f>
        <v>pak</v>
      </c>
      <c r="C12060" t="str">
        <f>IFERROR(__xludf.DUMMYFUNCTION("""COMPUTED_VALUE"""),"Pakistan")</f>
        <v>Pakistan</v>
      </c>
      <c r="D12060">
        <f>IFERROR(__xludf.DUMMYFUNCTION("""COMPUTED_VALUE"""),1994.0)</f>
        <v>1994</v>
      </c>
      <c r="E12060">
        <f>IFERROR(__xludf.DUMMYFUNCTION("""COMPUTED_VALUE"""),1.19769556E8)</f>
        <v>119769556</v>
      </c>
    </row>
    <row r="12061">
      <c r="A12061" t="str">
        <f t="shared" si="1"/>
        <v>pak#1995</v>
      </c>
      <c r="B12061" t="str">
        <f>IFERROR(__xludf.DUMMYFUNCTION("""COMPUTED_VALUE"""),"pak")</f>
        <v>pak</v>
      </c>
      <c r="C12061" t="str">
        <f>IFERROR(__xludf.DUMMYFUNCTION("""COMPUTED_VALUE"""),"Pakistan")</f>
        <v>Pakistan</v>
      </c>
      <c r="D12061">
        <f>IFERROR(__xludf.DUMMYFUNCTION("""COMPUTED_VALUE"""),1995.0)</f>
        <v>1995</v>
      </c>
      <c r="E12061">
        <f>IFERROR(__xludf.DUMMYFUNCTION("""COMPUTED_VALUE"""),1.22829148E8)</f>
        <v>122829148</v>
      </c>
    </row>
    <row r="12062">
      <c r="A12062" t="str">
        <f t="shared" si="1"/>
        <v>pak#1996</v>
      </c>
      <c r="B12062" t="str">
        <f>IFERROR(__xludf.DUMMYFUNCTION("""COMPUTED_VALUE"""),"pak")</f>
        <v>pak</v>
      </c>
      <c r="C12062" t="str">
        <f>IFERROR(__xludf.DUMMYFUNCTION("""COMPUTED_VALUE"""),"Pakistan")</f>
        <v>Pakistan</v>
      </c>
      <c r="D12062">
        <f>IFERROR(__xludf.DUMMYFUNCTION("""COMPUTED_VALUE"""),1996.0)</f>
        <v>1996</v>
      </c>
      <c r="E12062">
        <f>IFERROR(__xludf.DUMMYFUNCTION("""COMPUTED_VALUE"""),1.25938339E8)</f>
        <v>125938339</v>
      </c>
    </row>
    <row r="12063">
      <c r="A12063" t="str">
        <f t="shared" si="1"/>
        <v>pak#1997</v>
      </c>
      <c r="B12063" t="str">
        <f>IFERROR(__xludf.DUMMYFUNCTION("""COMPUTED_VALUE"""),"pak")</f>
        <v>pak</v>
      </c>
      <c r="C12063" t="str">
        <f>IFERROR(__xludf.DUMMYFUNCTION("""COMPUTED_VALUE"""),"Pakistan")</f>
        <v>Pakistan</v>
      </c>
      <c r="D12063">
        <f>IFERROR(__xludf.DUMMYFUNCTION("""COMPUTED_VALUE"""),1997.0)</f>
        <v>1997</v>
      </c>
      <c r="E12063">
        <f>IFERROR(__xludf.DUMMYFUNCTION("""COMPUTED_VALUE"""),1.29086987E8)</f>
        <v>129086987</v>
      </c>
    </row>
    <row r="12064">
      <c r="A12064" t="str">
        <f t="shared" si="1"/>
        <v>pak#1998</v>
      </c>
      <c r="B12064" t="str">
        <f>IFERROR(__xludf.DUMMYFUNCTION("""COMPUTED_VALUE"""),"pak")</f>
        <v>pak</v>
      </c>
      <c r="C12064" t="str">
        <f>IFERROR(__xludf.DUMMYFUNCTION("""COMPUTED_VALUE"""),"Pakistan")</f>
        <v>Pakistan</v>
      </c>
      <c r="D12064">
        <f>IFERROR(__xludf.DUMMYFUNCTION("""COMPUTED_VALUE"""),1998.0)</f>
        <v>1998</v>
      </c>
      <c r="E12064">
        <f>IFERROR(__xludf.DUMMYFUNCTION("""COMPUTED_VALUE"""),1.32253264E8)</f>
        <v>132253264</v>
      </c>
    </row>
    <row r="12065">
      <c r="A12065" t="str">
        <f t="shared" si="1"/>
        <v>pak#1999</v>
      </c>
      <c r="B12065" t="str">
        <f>IFERROR(__xludf.DUMMYFUNCTION("""COMPUTED_VALUE"""),"pak")</f>
        <v>pak</v>
      </c>
      <c r="C12065" t="str">
        <f>IFERROR(__xludf.DUMMYFUNCTION("""COMPUTED_VALUE"""),"Pakistan")</f>
        <v>Pakistan</v>
      </c>
      <c r="D12065">
        <f>IFERROR(__xludf.DUMMYFUNCTION("""COMPUTED_VALUE"""),1999.0)</f>
        <v>1999</v>
      </c>
      <c r="E12065">
        <f>IFERROR(__xludf.DUMMYFUNCTION("""COMPUTED_VALUE"""),1.35405584E8)</f>
        <v>135405584</v>
      </c>
    </row>
    <row r="12066">
      <c r="A12066" t="str">
        <f t="shared" si="1"/>
        <v>pak#2000</v>
      </c>
      <c r="B12066" t="str">
        <f>IFERROR(__xludf.DUMMYFUNCTION("""COMPUTED_VALUE"""),"pak")</f>
        <v>pak</v>
      </c>
      <c r="C12066" t="str">
        <f>IFERROR(__xludf.DUMMYFUNCTION("""COMPUTED_VALUE"""),"Pakistan")</f>
        <v>Pakistan</v>
      </c>
      <c r="D12066">
        <f>IFERROR(__xludf.DUMMYFUNCTION("""COMPUTED_VALUE"""),2000.0)</f>
        <v>2000</v>
      </c>
      <c r="E12066">
        <f>IFERROR(__xludf.DUMMYFUNCTION("""COMPUTED_VALUE"""),1.38523285E8)</f>
        <v>138523285</v>
      </c>
    </row>
    <row r="12067">
      <c r="A12067" t="str">
        <f t="shared" si="1"/>
        <v>pak#2001</v>
      </c>
      <c r="B12067" t="str">
        <f>IFERROR(__xludf.DUMMYFUNCTION("""COMPUTED_VALUE"""),"pak")</f>
        <v>pak</v>
      </c>
      <c r="C12067" t="str">
        <f>IFERROR(__xludf.DUMMYFUNCTION("""COMPUTED_VALUE"""),"Pakistan")</f>
        <v>Pakistan</v>
      </c>
      <c r="D12067">
        <f>IFERROR(__xludf.DUMMYFUNCTION("""COMPUTED_VALUE"""),2001.0)</f>
        <v>2001</v>
      </c>
      <c r="E12067">
        <f>IFERROR(__xludf.DUMMYFUNCTION("""COMPUTED_VALUE"""),1.41601437E8)</f>
        <v>141601437</v>
      </c>
    </row>
    <row r="12068">
      <c r="A12068" t="str">
        <f t="shared" si="1"/>
        <v>pak#2002</v>
      </c>
      <c r="B12068" t="str">
        <f>IFERROR(__xludf.DUMMYFUNCTION("""COMPUTED_VALUE"""),"pak")</f>
        <v>pak</v>
      </c>
      <c r="C12068" t="str">
        <f>IFERROR(__xludf.DUMMYFUNCTION("""COMPUTED_VALUE"""),"Pakistan")</f>
        <v>Pakistan</v>
      </c>
      <c r="D12068">
        <f>IFERROR(__xludf.DUMMYFUNCTION("""COMPUTED_VALUE"""),2002.0)</f>
        <v>2002</v>
      </c>
      <c r="E12068">
        <f>IFERROR(__xludf.DUMMYFUNCTION("""COMPUTED_VALUE"""),1.44654143E8)</f>
        <v>144654143</v>
      </c>
    </row>
    <row r="12069">
      <c r="A12069" t="str">
        <f t="shared" si="1"/>
        <v>pak#2003</v>
      </c>
      <c r="B12069" t="str">
        <f>IFERROR(__xludf.DUMMYFUNCTION("""COMPUTED_VALUE"""),"pak")</f>
        <v>pak</v>
      </c>
      <c r="C12069" t="str">
        <f>IFERROR(__xludf.DUMMYFUNCTION("""COMPUTED_VALUE"""),"Pakistan")</f>
        <v>Pakistan</v>
      </c>
      <c r="D12069">
        <f>IFERROR(__xludf.DUMMYFUNCTION("""COMPUTED_VALUE"""),2003.0)</f>
        <v>2003</v>
      </c>
      <c r="E12069">
        <f>IFERROR(__xludf.DUMMYFUNCTION("""COMPUTED_VALUE"""),1.47703401E8)</f>
        <v>147703401</v>
      </c>
    </row>
    <row r="12070">
      <c r="A12070" t="str">
        <f t="shared" si="1"/>
        <v>pak#2004</v>
      </c>
      <c r="B12070" t="str">
        <f>IFERROR(__xludf.DUMMYFUNCTION("""COMPUTED_VALUE"""),"pak")</f>
        <v>pak</v>
      </c>
      <c r="C12070" t="str">
        <f>IFERROR(__xludf.DUMMYFUNCTION("""COMPUTED_VALUE"""),"Pakistan")</f>
        <v>Pakistan</v>
      </c>
      <c r="D12070">
        <f>IFERROR(__xludf.DUMMYFUNCTION("""COMPUTED_VALUE"""),2004.0)</f>
        <v>2004</v>
      </c>
      <c r="E12070">
        <f>IFERROR(__xludf.DUMMYFUNCTION("""COMPUTED_VALUE"""),1.507803E8)</f>
        <v>150780300</v>
      </c>
    </row>
    <row r="12071">
      <c r="A12071" t="str">
        <f t="shared" si="1"/>
        <v>pak#2005</v>
      </c>
      <c r="B12071" t="str">
        <f>IFERROR(__xludf.DUMMYFUNCTION("""COMPUTED_VALUE"""),"pak")</f>
        <v>pak</v>
      </c>
      <c r="C12071" t="str">
        <f>IFERROR(__xludf.DUMMYFUNCTION("""COMPUTED_VALUE"""),"Pakistan")</f>
        <v>Pakistan</v>
      </c>
      <c r="D12071">
        <f>IFERROR(__xludf.DUMMYFUNCTION("""COMPUTED_VALUE"""),2005.0)</f>
        <v>2005</v>
      </c>
      <c r="E12071">
        <f>IFERROR(__xludf.DUMMYFUNCTION("""COMPUTED_VALUE"""),1.53909667E8)</f>
        <v>153909667</v>
      </c>
    </row>
    <row r="12072">
      <c r="A12072" t="str">
        <f t="shared" si="1"/>
        <v>pak#2006</v>
      </c>
      <c r="B12072" t="str">
        <f>IFERROR(__xludf.DUMMYFUNCTION("""COMPUTED_VALUE"""),"pak")</f>
        <v>pak</v>
      </c>
      <c r="C12072" t="str">
        <f>IFERROR(__xludf.DUMMYFUNCTION("""COMPUTED_VALUE"""),"Pakistan")</f>
        <v>Pakistan</v>
      </c>
      <c r="D12072">
        <f>IFERROR(__xludf.DUMMYFUNCTION("""COMPUTED_VALUE"""),2006.0)</f>
        <v>2006</v>
      </c>
      <c r="E12072">
        <f>IFERROR(__xludf.DUMMYFUNCTION("""COMPUTED_VALUE"""),1.57093993E8)</f>
        <v>157093993</v>
      </c>
    </row>
    <row r="12073">
      <c r="A12073" t="str">
        <f t="shared" si="1"/>
        <v>pak#2007</v>
      </c>
      <c r="B12073" t="str">
        <f>IFERROR(__xludf.DUMMYFUNCTION("""COMPUTED_VALUE"""),"pak")</f>
        <v>pak</v>
      </c>
      <c r="C12073" t="str">
        <f>IFERROR(__xludf.DUMMYFUNCTION("""COMPUTED_VALUE"""),"Pakistan")</f>
        <v>Pakistan</v>
      </c>
      <c r="D12073">
        <f>IFERROR(__xludf.DUMMYFUNCTION("""COMPUTED_VALUE"""),2007.0)</f>
        <v>2007</v>
      </c>
      <c r="E12073">
        <f>IFERROR(__xludf.DUMMYFUNCTION("""COMPUTED_VALUE"""),1.60332974E8)</f>
        <v>160332974</v>
      </c>
    </row>
    <row r="12074">
      <c r="A12074" t="str">
        <f t="shared" si="1"/>
        <v>pak#2008</v>
      </c>
      <c r="B12074" t="str">
        <f>IFERROR(__xludf.DUMMYFUNCTION("""COMPUTED_VALUE"""),"pak")</f>
        <v>pak</v>
      </c>
      <c r="C12074" t="str">
        <f>IFERROR(__xludf.DUMMYFUNCTION("""COMPUTED_VALUE"""),"Pakistan")</f>
        <v>Pakistan</v>
      </c>
      <c r="D12074">
        <f>IFERROR(__xludf.DUMMYFUNCTION("""COMPUTED_VALUE"""),2008.0)</f>
        <v>2008</v>
      </c>
      <c r="E12074">
        <f>IFERROR(__xludf.DUMMYFUNCTION("""COMPUTED_VALUE"""),1.63644603E8)</f>
        <v>163644603</v>
      </c>
    </row>
    <row r="12075">
      <c r="A12075" t="str">
        <f t="shared" si="1"/>
        <v>pak#2009</v>
      </c>
      <c r="B12075" t="str">
        <f>IFERROR(__xludf.DUMMYFUNCTION("""COMPUTED_VALUE"""),"pak")</f>
        <v>pak</v>
      </c>
      <c r="C12075" t="str">
        <f>IFERROR(__xludf.DUMMYFUNCTION("""COMPUTED_VALUE"""),"Pakistan")</f>
        <v>Pakistan</v>
      </c>
      <c r="D12075">
        <f>IFERROR(__xludf.DUMMYFUNCTION("""COMPUTED_VALUE"""),2009.0)</f>
        <v>2009</v>
      </c>
      <c r="E12075">
        <f>IFERROR(__xludf.DUMMYFUNCTION("""COMPUTED_VALUE"""),1.6704958E8)</f>
        <v>167049580</v>
      </c>
    </row>
    <row r="12076">
      <c r="A12076" t="str">
        <f t="shared" si="1"/>
        <v>pak#2010</v>
      </c>
      <c r="B12076" t="str">
        <f>IFERROR(__xludf.DUMMYFUNCTION("""COMPUTED_VALUE"""),"pak")</f>
        <v>pak</v>
      </c>
      <c r="C12076" t="str">
        <f>IFERROR(__xludf.DUMMYFUNCTION("""COMPUTED_VALUE"""),"Pakistan")</f>
        <v>Pakistan</v>
      </c>
      <c r="D12076">
        <f>IFERROR(__xludf.DUMMYFUNCTION("""COMPUTED_VALUE"""),2010.0)</f>
        <v>2010</v>
      </c>
      <c r="E12076">
        <f>IFERROR(__xludf.DUMMYFUNCTION("""COMPUTED_VALUE"""),1.70560182E8)</f>
        <v>170560182</v>
      </c>
    </row>
    <row r="12077">
      <c r="A12077" t="str">
        <f t="shared" si="1"/>
        <v>pak#2011</v>
      </c>
      <c r="B12077" t="str">
        <f>IFERROR(__xludf.DUMMYFUNCTION("""COMPUTED_VALUE"""),"pak")</f>
        <v>pak</v>
      </c>
      <c r="C12077" t="str">
        <f>IFERROR(__xludf.DUMMYFUNCTION("""COMPUTED_VALUE"""),"Pakistan")</f>
        <v>Pakistan</v>
      </c>
      <c r="D12077">
        <f>IFERROR(__xludf.DUMMYFUNCTION("""COMPUTED_VALUE"""),2011.0)</f>
        <v>2011</v>
      </c>
      <c r="E12077">
        <f>IFERROR(__xludf.DUMMYFUNCTION("""COMPUTED_VALUE"""),1.74184265E8)</f>
        <v>174184265</v>
      </c>
    </row>
    <row r="12078">
      <c r="A12078" t="str">
        <f t="shared" si="1"/>
        <v>pak#2012</v>
      </c>
      <c r="B12078" t="str">
        <f>IFERROR(__xludf.DUMMYFUNCTION("""COMPUTED_VALUE"""),"pak")</f>
        <v>pak</v>
      </c>
      <c r="C12078" t="str">
        <f>IFERROR(__xludf.DUMMYFUNCTION("""COMPUTED_VALUE"""),"Pakistan")</f>
        <v>Pakistan</v>
      </c>
      <c r="D12078">
        <f>IFERROR(__xludf.DUMMYFUNCTION("""COMPUTED_VALUE"""),2012.0)</f>
        <v>2012</v>
      </c>
      <c r="E12078">
        <f>IFERROR(__xludf.DUMMYFUNCTION("""COMPUTED_VALUE"""),1.77911533E8)</f>
        <v>177911533</v>
      </c>
    </row>
    <row r="12079">
      <c r="A12079" t="str">
        <f t="shared" si="1"/>
        <v>pak#2013</v>
      </c>
      <c r="B12079" t="str">
        <f>IFERROR(__xludf.DUMMYFUNCTION("""COMPUTED_VALUE"""),"pak")</f>
        <v>pak</v>
      </c>
      <c r="C12079" t="str">
        <f>IFERROR(__xludf.DUMMYFUNCTION("""COMPUTED_VALUE"""),"Pakistan")</f>
        <v>Pakistan</v>
      </c>
      <c r="D12079">
        <f>IFERROR(__xludf.DUMMYFUNCTION("""COMPUTED_VALUE"""),2013.0)</f>
        <v>2013</v>
      </c>
      <c r="E12079">
        <f>IFERROR(__xludf.DUMMYFUNCTION("""COMPUTED_VALUE"""),1.81712595E8)</f>
        <v>181712595</v>
      </c>
    </row>
    <row r="12080">
      <c r="A12080" t="str">
        <f t="shared" si="1"/>
        <v>pak#2014</v>
      </c>
      <c r="B12080" t="str">
        <f>IFERROR(__xludf.DUMMYFUNCTION("""COMPUTED_VALUE"""),"pak")</f>
        <v>pak</v>
      </c>
      <c r="C12080" t="str">
        <f>IFERROR(__xludf.DUMMYFUNCTION("""COMPUTED_VALUE"""),"Pakistan")</f>
        <v>Pakistan</v>
      </c>
      <c r="D12080">
        <f>IFERROR(__xludf.DUMMYFUNCTION("""COMPUTED_VALUE"""),2014.0)</f>
        <v>2014</v>
      </c>
      <c r="E12080">
        <f>IFERROR(__xludf.DUMMYFUNCTION("""COMPUTED_VALUE"""),1.85546257E8)</f>
        <v>185546257</v>
      </c>
    </row>
    <row r="12081">
      <c r="A12081" t="str">
        <f t="shared" si="1"/>
        <v>pak#2015</v>
      </c>
      <c r="B12081" t="str">
        <f>IFERROR(__xludf.DUMMYFUNCTION("""COMPUTED_VALUE"""),"pak")</f>
        <v>pak</v>
      </c>
      <c r="C12081" t="str">
        <f>IFERROR(__xludf.DUMMYFUNCTION("""COMPUTED_VALUE"""),"Pakistan")</f>
        <v>Pakistan</v>
      </c>
      <c r="D12081">
        <f>IFERROR(__xludf.DUMMYFUNCTION("""COMPUTED_VALUE"""),2015.0)</f>
        <v>2015</v>
      </c>
      <c r="E12081">
        <f>IFERROR(__xludf.DUMMYFUNCTION("""COMPUTED_VALUE"""),1.89380513E8)</f>
        <v>189380513</v>
      </c>
    </row>
    <row r="12082">
      <c r="A12082" t="str">
        <f t="shared" si="1"/>
        <v>pak#2016</v>
      </c>
      <c r="B12082" t="str">
        <f>IFERROR(__xludf.DUMMYFUNCTION("""COMPUTED_VALUE"""),"pak")</f>
        <v>pak</v>
      </c>
      <c r="C12082" t="str">
        <f>IFERROR(__xludf.DUMMYFUNCTION("""COMPUTED_VALUE"""),"Pakistan")</f>
        <v>Pakistan</v>
      </c>
      <c r="D12082">
        <f>IFERROR(__xludf.DUMMYFUNCTION("""COMPUTED_VALUE"""),2016.0)</f>
        <v>2016</v>
      </c>
      <c r="E12082">
        <f>IFERROR(__xludf.DUMMYFUNCTION("""COMPUTED_VALUE"""),1.93203476E8)</f>
        <v>193203476</v>
      </c>
    </row>
    <row r="12083">
      <c r="A12083" t="str">
        <f t="shared" si="1"/>
        <v>pak#2017</v>
      </c>
      <c r="B12083" t="str">
        <f>IFERROR(__xludf.DUMMYFUNCTION("""COMPUTED_VALUE"""),"pak")</f>
        <v>pak</v>
      </c>
      <c r="C12083" t="str">
        <f>IFERROR(__xludf.DUMMYFUNCTION("""COMPUTED_VALUE"""),"Pakistan")</f>
        <v>Pakistan</v>
      </c>
      <c r="D12083">
        <f>IFERROR(__xludf.DUMMYFUNCTION("""COMPUTED_VALUE"""),2017.0)</f>
        <v>2017</v>
      </c>
      <c r="E12083">
        <f>IFERROR(__xludf.DUMMYFUNCTION("""COMPUTED_VALUE"""),1.97015955E8)</f>
        <v>197015955</v>
      </c>
    </row>
    <row r="12084">
      <c r="A12084" t="str">
        <f t="shared" si="1"/>
        <v>pak#2018</v>
      </c>
      <c r="B12084" t="str">
        <f>IFERROR(__xludf.DUMMYFUNCTION("""COMPUTED_VALUE"""),"pak")</f>
        <v>pak</v>
      </c>
      <c r="C12084" t="str">
        <f>IFERROR(__xludf.DUMMYFUNCTION("""COMPUTED_VALUE"""),"Pakistan")</f>
        <v>Pakistan</v>
      </c>
      <c r="D12084">
        <f>IFERROR(__xludf.DUMMYFUNCTION("""COMPUTED_VALUE"""),2018.0)</f>
        <v>2018</v>
      </c>
      <c r="E12084">
        <f>IFERROR(__xludf.DUMMYFUNCTION("""COMPUTED_VALUE"""),2.00813818E8)</f>
        <v>200813818</v>
      </c>
    </row>
    <row r="12085">
      <c r="A12085" t="str">
        <f t="shared" si="1"/>
        <v>pak#2019</v>
      </c>
      <c r="B12085" t="str">
        <f>IFERROR(__xludf.DUMMYFUNCTION("""COMPUTED_VALUE"""),"pak")</f>
        <v>pak</v>
      </c>
      <c r="C12085" t="str">
        <f>IFERROR(__xludf.DUMMYFUNCTION("""COMPUTED_VALUE"""),"Pakistan")</f>
        <v>Pakistan</v>
      </c>
      <c r="D12085">
        <f>IFERROR(__xludf.DUMMYFUNCTION("""COMPUTED_VALUE"""),2019.0)</f>
        <v>2019</v>
      </c>
      <c r="E12085">
        <f>IFERROR(__xludf.DUMMYFUNCTION("""COMPUTED_VALUE"""),2.04596442E8)</f>
        <v>204596442</v>
      </c>
    </row>
    <row r="12086">
      <c r="A12086" t="str">
        <f t="shared" si="1"/>
        <v>pak#2020</v>
      </c>
      <c r="B12086" t="str">
        <f>IFERROR(__xludf.DUMMYFUNCTION("""COMPUTED_VALUE"""),"pak")</f>
        <v>pak</v>
      </c>
      <c r="C12086" t="str">
        <f>IFERROR(__xludf.DUMMYFUNCTION("""COMPUTED_VALUE"""),"Pakistan")</f>
        <v>Pakistan</v>
      </c>
      <c r="D12086">
        <f>IFERROR(__xludf.DUMMYFUNCTION("""COMPUTED_VALUE"""),2020.0)</f>
        <v>2020</v>
      </c>
      <c r="E12086">
        <f>IFERROR(__xludf.DUMMYFUNCTION("""COMPUTED_VALUE"""),2.08362334E8)</f>
        <v>208362334</v>
      </c>
    </row>
    <row r="12087">
      <c r="A12087" t="str">
        <f t="shared" si="1"/>
        <v>pak#2021</v>
      </c>
      <c r="B12087" t="str">
        <f>IFERROR(__xludf.DUMMYFUNCTION("""COMPUTED_VALUE"""),"pak")</f>
        <v>pak</v>
      </c>
      <c r="C12087" t="str">
        <f>IFERROR(__xludf.DUMMYFUNCTION("""COMPUTED_VALUE"""),"Pakistan")</f>
        <v>Pakistan</v>
      </c>
      <c r="D12087">
        <f>IFERROR(__xludf.DUMMYFUNCTION("""COMPUTED_VALUE"""),2021.0)</f>
        <v>2021</v>
      </c>
      <c r="E12087">
        <f>IFERROR(__xludf.DUMMYFUNCTION("""COMPUTED_VALUE"""),2.12106995E8)</f>
        <v>212106995</v>
      </c>
    </row>
    <row r="12088">
      <c r="A12088" t="str">
        <f t="shared" si="1"/>
        <v>pak#2022</v>
      </c>
      <c r="B12088" t="str">
        <f>IFERROR(__xludf.DUMMYFUNCTION("""COMPUTED_VALUE"""),"pak")</f>
        <v>pak</v>
      </c>
      <c r="C12088" t="str">
        <f>IFERROR(__xludf.DUMMYFUNCTION("""COMPUTED_VALUE"""),"Pakistan")</f>
        <v>Pakistan</v>
      </c>
      <c r="D12088">
        <f>IFERROR(__xludf.DUMMYFUNCTION("""COMPUTED_VALUE"""),2022.0)</f>
        <v>2022</v>
      </c>
      <c r="E12088">
        <f>IFERROR(__xludf.DUMMYFUNCTION("""COMPUTED_VALUE"""),2.15824155E8)</f>
        <v>215824155</v>
      </c>
    </row>
    <row r="12089">
      <c r="A12089" t="str">
        <f t="shared" si="1"/>
        <v>pak#2023</v>
      </c>
      <c r="B12089" t="str">
        <f>IFERROR(__xludf.DUMMYFUNCTION("""COMPUTED_VALUE"""),"pak")</f>
        <v>pak</v>
      </c>
      <c r="C12089" t="str">
        <f>IFERROR(__xludf.DUMMYFUNCTION("""COMPUTED_VALUE"""),"Pakistan")</f>
        <v>Pakistan</v>
      </c>
      <c r="D12089">
        <f>IFERROR(__xludf.DUMMYFUNCTION("""COMPUTED_VALUE"""),2023.0)</f>
        <v>2023</v>
      </c>
      <c r="E12089">
        <f>IFERROR(__xludf.DUMMYFUNCTION("""COMPUTED_VALUE"""),2.19509316E8)</f>
        <v>219509316</v>
      </c>
    </row>
    <row r="12090">
      <c r="A12090" t="str">
        <f t="shared" si="1"/>
        <v>pak#2024</v>
      </c>
      <c r="B12090" t="str">
        <f>IFERROR(__xludf.DUMMYFUNCTION("""COMPUTED_VALUE"""),"pak")</f>
        <v>pak</v>
      </c>
      <c r="C12090" t="str">
        <f>IFERROR(__xludf.DUMMYFUNCTION("""COMPUTED_VALUE"""),"Pakistan")</f>
        <v>Pakistan</v>
      </c>
      <c r="D12090">
        <f>IFERROR(__xludf.DUMMYFUNCTION("""COMPUTED_VALUE"""),2024.0)</f>
        <v>2024</v>
      </c>
      <c r="E12090">
        <f>IFERROR(__xludf.DUMMYFUNCTION("""COMPUTED_VALUE"""),2.23158203E8)</f>
        <v>223158203</v>
      </c>
    </row>
    <row r="12091">
      <c r="A12091" t="str">
        <f t="shared" si="1"/>
        <v>pak#2025</v>
      </c>
      <c r="B12091" t="str">
        <f>IFERROR(__xludf.DUMMYFUNCTION("""COMPUTED_VALUE"""),"pak")</f>
        <v>pak</v>
      </c>
      <c r="C12091" t="str">
        <f>IFERROR(__xludf.DUMMYFUNCTION("""COMPUTED_VALUE"""),"Pakistan")</f>
        <v>Pakistan</v>
      </c>
      <c r="D12091">
        <f>IFERROR(__xludf.DUMMYFUNCTION("""COMPUTED_VALUE"""),2025.0)</f>
        <v>2025</v>
      </c>
      <c r="E12091">
        <f>IFERROR(__xludf.DUMMYFUNCTION("""COMPUTED_VALUE"""),2.26767952E8)</f>
        <v>226767952</v>
      </c>
    </row>
    <row r="12092">
      <c r="A12092" t="str">
        <f t="shared" si="1"/>
        <v>pak#2026</v>
      </c>
      <c r="B12092" t="str">
        <f>IFERROR(__xludf.DUMMYFUNCTION("""COMPUTED_VALUE"""),"pak")</f>
        <v>pak</v>
      </c>
      <c r="C12092" t="str">
        <f>IFERROR(__xludf.DUMMYFUNCTION("""COMPUTED_VALUE"""),"Pakistan")</f>
        <v>Pakistan</v>
      </c>
      <c r="D12092">
        <f>IFERROR(__xludf.DUMMYFUNCTION("""COMPUTED_VALUE"""),2026.0)</f>
        <v>2026</v>
      </c>
      <c r="E12092">
        <f>IFERROR(__xludf.DUMMYFUNCTION("""COMPUTED_VALUE"""),2.30335982E8)</f>
        <v>230335982</v>
      </c>
    </row>
    <row r="12093">
      <c r="A12093" t="str">
        <f t="shared" si="1"/>
        <v>pak#2027</v>
      </c>
      <c r="B12093" t="str">
        <f>IFERROR(__xludf.DUMMYFUNCTION("""COMPUTED_VALUE"""),"pak")</f>
        <v>pak</v>
      </c>
      <c r="C12093" t="str">
        <f>IFERROR(__xludf.DUMMYFUNCTION("""COMPUTED_VALUE"""),"Pakistan")</f>
        <v>Pakistan</v>
      </c>
      <c r="D12093">
        <f>IFERROR(__xludf.DUMMYFUNCTION("""COMPUTED_VALUE"""),2027.0)</f>
        <v>2027</v>
      </c>
      <c r="E12093">
        <f>IFERROR(__xludf.DUMMYFUNCTION("""COMPUTED_VALUE"""),2.33862814E8)</f>
        <v>233862814</v>
      </c>
    </row>
    <row r="12094">
      <c r="A12094" t="str">
        <f t="shared" si="1"/>
        <v>pak#2028</v>
      </c>
      <c r="B12094" t="str">
        <f>IFERROR(__xludf.DUMMYFUNCTION("""COMPUTED_VALUE"""),"pak")</f>
        <v>pak</v>
      </c>
      <c r="C12094" t="str">
        <f>IFERROR(__xludf.DUMMYFUNCTION("""COMPUTED_VALUE"""),"Pakistan")</f>
        <v>Pakistan</v>
      </c>
      <c r="D12094">
        <f>IFERROR(__xludf.DUMMYFUNCTION("""COMPUTED_VALUE"""),2028.0)</f>
        <v>2028</v>
      </c>
      <c r="E12094">
        <f>IFERROR(__xludf.DUMMYFUNCTION("""COMPUTED_VALUE"""),2.37352889E8)</f>
        <v>237352889</v>
      </c>
    </row>
    <row r="12095">
      <c r="A12095" t="str">
        <f t="shared" si="1"/>
        <v>pak#2029</v>
      </c>
      <c r="B12095" t="str">
        <f>IFERROR(__xludf.DUMMYFUNCTION("""COMPUTED_VALUE"""),"pak")</f>
        <v>pak</v>
      </c>
      <c r="C12095" t="str">
        <f>IFERROR(__xludf.DUMMYFUNCTION("""COMPUTED_VALUE"""),"Pakistan")</f>
        <v>Pakistan</v>
      </c>
      <c r="D12095">
        <f>IFERROR(__xludf.DUMMYFUNCTION("""COMPUTED_VALUE"""),2029.0)</f>
        <v>2029</v>
      </c>
      <c r="E12095">
        <f>IFERROR(__xludf.DUMMYFUNCTION("""COMPUTED_VALUE"""),2.40812968E8)</f>
        <v>240812968</v>
      </c>
    </row>
    <row r="12096">
      <c r="A12096" t="str">
        <f t="shared" si="1"/>
        <v>pak#2030</v>
      </c>
      <c r="B12096" t="str">
        <f>IFERROR(__xludf.DUMMYFUNCTION("""COMPUTED_VALUE"""),"pak")</f>
        <v>pak</v>
      </c>
      <c r="C12096" t="str">
        <f>IFERROR(__xludf.DUMMYFUNCTION("""COMPUTED_VALUE"""),"Pakistan")</f>
        <v>Pakistan</v>
      </c>
      <c r="D12096">
        <f>IFERROR(__xludf.DUMMYFUNCTION("""COMPUTED_VALUE"""),2030.0)</f>
        <v>2030</v>
      </c>
      <c r="E12096">
        <f>IFERROR(__xludf.DUMMYFUNCTION("""COMPUTED_VALUE"""),2.44248371E8)</f>
        <v>244248371</v>
      </c>
    </row>
    <row r="12097">
      <c r="A12097" t="str">
        <f t="shared" si="1"/>
        <v>pak#2031</v>
      </c>
      <c r="B12097" t="str">
        <f>IFERROR(__xludf.DUMMYFUNCTION("""COMPUTED_VALUE"""),"pak")</f>
        <v>pak</v>
      </c>
      <c r="C12097" t="str">
        <f>IFERROR(__xludf.DUMMYFUNCTION("""COMPUTED_VALUE"""),"Pakistan")</f>
        <v>Pakistan</v>
      </c>
      <c r="D12097">
        <f>IFERROR(__xludf.DUMMYFUNCTION("""COMPUTED_VALUE"""),2031.0)</f>
        <v>2031</v>
      </c>
      <c r="E12097">
        <f>IFERROR(__xludf.DUMMYFUNCTION("""COMPUTED_VALUE"""),2.47659208E8)</f>
        <v>247659208</v>
      </c>
    </row>
    <row r="12098">
      <c r="A12098" t="str">
        <f t="shared" si="1"/>
        <v>pak#2032</v>
      </c>
      <c r="B12098" t="str">
        <f>IFERROR(__xludf.DUMMYFUNCTION("""COMPUTED_VALUE"""),"pak")</f>
        <v>pak</v>
      </c>
      <c r="C12098" t="str">
        <f>IFERROR(__xludf.DUMMYFUNCTION("""COMPUTED_VALUE"""),"Pakistan")</f>
        <v>Pakistan</v>
      </c>
      <c r="D12098">
        <f>IFERROR(__xludf.DUMMYFUNCTION("""COMPUTED_VALUE"""),2032.0)</f>
        <v>2032</v>
      </c>
      <c r="E12098">
        <f>IFERROR(__xludf.DUMMYFUNCTION("""COMPUTED_VALUE"""),2.5104501E8)</f>
        <v>251045010</v>
      </c>
    </row>
    <row r="12099">
      <c r="A12099" t="str">
        <f t="shared" si="1"/>
        <v>pak#2033</v>
      </c>
      <c r="B12099" t="str">
        <f>IFERROR(__xludf.DUMMYFUNCTION("""COMPUTED_VALUE"""),"pak")</f>
        <v>pak</v>
      </c>
      <c r="C12099" t="str">
        <f>IFERROR(__xludf.DUMMYFUNCTION("""COMPUTED_VALUE"""),"Pakistan")</f>
        <v>Pakistan</v>
      </c>
      <c r="D12099">
        <f>IFERROR(__xludf.DUMMYFUNCTION("""COMPUTED_VALUE"""),2033.0)</f>
        <v>2033</v>
      </c>
      <c r="E12099">
        <f>IFERROR(__xludf.DUMMYFUNCTION("""COMPUTED_VALUE"""),2.54409778E8)</f>
        <v>254409778</v>
      </c>
    </row>
    <row r="12100">
      <c r="A12100" t="str">
        <f t="shared" si="1"/>
        <v>pak#2034</v>
      </c>
      <c r="B12100" t="str">
        <f>IFERROR(__xludf.DUMMYFUNCTION("""COMPUTED_VALUE"""),"pak")</f>
        <v>pak</v>
      </c>
      <c r="C12100" t="str">
        <f>IFERROR(__xludf.DUMMYFUNCTION("""COMPUTED_VALUE"""),"Pakistan")</f>
        <v>Pakistan</v>
      </c>
      <c r="D12100">
        <f>IFERROR(__xludf.DUMMYFUNCTION("""COMPUTED_VALUE"""),2034.0)</f>
        <v>2034</v>
      </c>
      <c r="E12100">
        <f>IFERROR(__xludf.DUMMYFUNCTION("""COMPUTED_VALUE"""),2.57758315E8)</f>
        <v>257758315</v>
      </c>
    </row>
    <row r="12101">
      <c r="A12101" t="str">
        <f t="shared" si="1"/>
        <v>pak#2035</v>
      </c>
      <c r="B12101" t="str">
        <f>IFERROR(__xludf.DUMMYFUNCTION("""COMPUTED_VALUE"""),"pak")</f>
        <v>pak</v>
      </c>
      <c r="C12101" t="str">
        <f>IFERROR(__xludf.DUMMYFUNCTION("""COMPUTED_VALUE"""),"Pakistan")</f>
        <v>Pakistan</v>
      </c>
      <c r="D12101">
        <f>IFERROR(__xludf.DUMMYFUNCTION("""COMPUTED_VALUE"""),2035.0)</f>
        <v>2035</v>
      </c>
      <c r="E12101">
        <f>IFERROR(__xludf.DUMMYFUNCTION("""COMPUTED_VALUE"""),2.61093438E8)</f>
        <v>261093438</v>
      </c>
    </row>
    <row r="12102">
      <c r="A12102" t="str">
        <f t="shared" si="1"/>
        <v>pak#2036</v>
      </c>
      <c r="B12102" t="str">
        <f>IFERROR(__xludf.DUMMYFUNCTION("""COMPUTED_VALUE"""),"pak")</f>
        <v>pak</v>
      </c>
      <c r="C12102" t="str">
        <f>IFERROR(__xludf.DUMMYFUNCTION("""COMPUTED_VALUE"""),"Pakistan")</f>
        <v>Pakistan</v>
      </c>
      <c r="D12102">
        <f>IFERROR(__xludf.DUMMYFUNCTION("""COMPUTED_VALUE"""),2036.0)</f>
        <v>2036</v>
      </c>
      <c r="E12102">
        <f>IFERROR(__xludf.DUMMYFUNCTION("""COMPUTED_VALUE"""),2.64415428E8)</f>
        <v>264415428</v>
      </c>
    </row>
    <row r="12103">
      <c r="A12103" t="str">
        <f t="shared" si="1"/>
        <v>pak#2037</v>
      </c>
      <c r="B12103" t="str">
        <f>IFERROR(__xludf.DUMMYFUNCTION("""COMPUTED_VALUE"""),"pak")</f>
        <v>pak</v>
      </c>
      <c r="C12103" t="str">
        <f>IFERROR(__xludf.DUMMYFUNCTION("""COMPUTED_VALUE"""),"Pakistan")</f>
        <v>Pakistan</v>
      </c>
      <c r="D12103">
        <f>IFERROR(__xludf.DUMMYFUNCTION("""COMPUTED_VALUE"""),2037.0)</f>
        <v>2037</v>
      </c>
      <c r="E12103">
        <f>IFERROR(__xludf.DUMMYFUNCTION("""COMPUTED_VALUE"""),2.67721522E8)</f>
        <v>267721522</v>
      </c>
    </row>
    <row r="12104">
      <c r="A12104" t="str">
        <f t="shared" si="1"/>
        <v>pak#2038</v>
      </c>
      <c r="B12104" t="str">
        <f>IFERROR(__xludf.DUMMYFUNCTION("""COMPUTED_VALUE"""),"pak")</f>
        <v>pak</v>
      </c>
      <c r="C12104" t="str">
        <f>IFERROR(__xludf.DUMMYFUNCTION("""COMPUTED_VALUE"""),"Pakistan")</f>
        <v>Pakistan</v>
      </c>
      <c r="D12104">
        <f>IFERROR(__xludf.DUMMYFUNCTION("""COMPUTED_VALUE"""),2038.0)</f>
        <v>2038</v>
      </c>
      <c r="E12104">
        <f>IFERROR(__xludf.DUMMYFUNCTION("""COMPUTED_VALUE"""),2.71007385E8)</f>
        <v>271007385</v>
      </c>
    </row>
    <row r="12105">
      <c r="A12105" t="str">
        <f t="shared" si="1"/>
        <v>pak#2039</v>
      </c>
      <c r="B12105" t="str">
        <f>IFERROR(__xludf.DUMMYFUNCTION("""COMPUTED_VALUE"""),"pak")</f>
        <v>pak</v>
      </c>
      <c r="C12105" t="str">
        <f>IFERROR(__xludf.DUMMYFUNCTION("""COMPUTED_VALUE"""),"Pakistan")</f>
        <v>Pakistan</v>
      </c>
      <c r="D12105">
        <f>IFERROR(__xludf.DUMMYFUNCTION("""COMPUTED_VALUE"""),2039.0)</f>
        <v>2039</v>
      </c>
      <c r="E12105">
        <f>IFERROR(__xludf.DUMMYFUNCTION("""COMPUTED_VALUE"""),2.74266975E8)</f>
        <v>274266975</v>
      </c>
    </row>
    <row r="12106">
      <c r="A12106" t="str">
        <f t="shared" si="1"/>
        <v>pak#2040</v>
      </c>
      <c r="B12106" t="str">
        <f>IFERROR(__xludf.DUMMYFUNCTION("""COMPUTED_VALUE"""),"pak")</f>
        <v>pak</v>
      </c>
      <c r="C12106" t="str">
        <f>IFERROR(__xludf.DUMMYFUNCTION("""COMPUTED_VALUE"""),"Pakistan")</f>
        <v>Pakistan</v>
      </c>
      <c r="D12106">
        <f>IFERROR(__xludf.DUMMYFUNCTION("""COMPUTED_VALUE"""),2040.0)</f>
        <v>2040</v>
      </c>
      <c r="E12106">
        <f>IFERROR(__xludf.DUMMYFUNCTION("""COMPUTED_VALUE"""),2.7749459E8)</f>
        <v>277494590</v>
      </c>
    </row>
    <row r="12107">
      <c r="A12107" t="str">
        <f t="shared" si="1"/>
        <v>plw#1950</v>
      </c>
      <c r="B12107" t="str">
        <f>IFERROR(__xludf.DUMMYFUNCTION("""COMPUTED_VALUE"""),"plw")</f>
        <v>plw</v>
      </c>
      <c r="C12107" t="str">
        <f>IFERROR(__xludf.DUMMYFUNCTION("""COMPUTED_VALUE"""),"Palau")</f>
        <v>Palau</v>
      </c>
      <c r="D12107">
        <f>IFERROR(__xludf.DUMMYFUNCTION("""COMPUTED_VALUE"""),1950.0)</f>
        <v>1950</v>
      </c>
      <c r="E12107">
        <f>IFERROR(__xludf.DUMMYFUNCTION("""COMPUTED_VALUE"""),7441.0)</f>
        <v>7441</v>
      </c>
    </row>
    <row r="12108">
      <c r="A12108" t="str">
        <f t="shared" si="1"/>
        <v>plw#1951</v>
      </c>
      <c r="B12108" t="str">
        <f>IFERROR(__xludf.DUMMYFUNCTION("""COMPUTED_VALUE"""),"plw")</f>
        <v>plw</v>
      </c>
      <c r="C12108" t="str">
        <f>IFERROR(__xludf.DUMMYFUNCTION("""COMPUTED_VALUE"""),"Palau")</f>
        <v>Palau</v>
      </c>
      <c r="D12108">
        <f>IFERROR(__xludf.DUMMYFUNCTION("""COMPUTED_VALUE"""),1951.0)</f>
        <v>1951</v>
      </c>
      <c r="E12108">
        <f>IFERROR(__xludf.DUMMYFUNCTION("""COMPUTED_VALUE"""),7497.0)</f>
        <v>7497</v>
      </c>
    </row>
    <row r="12109">
      <c r="A12109" t="str">
        <f t="shared" si="1"/>
        <v>plw#1952</v>
      </c>
      <c r="B12109" t="str">
        <f>IFERROR(__xludf.DUMMYFUNCTION("""COMPUTED_VALUE"""),"plw")</f>
        <v>plw</v>
      </c>
      <c r="C12109" t="str">
        <f>IFERROR(__xludf.DUMMYFUNCTION("""COMPUTED_VALUE"""),"Palau")</f>
        <v>Palau</v>
      </c>
      <c r="D12109">
        <f>IFERROR(__xludf.DUMMYFUNCTION("""COMPUTED_VALUE"""),1952.0)</f>
        <v>1952</v>
      </c>
      <c r="E12109">
        <f>IFERROR(__xludf.DUMMYFUNCTION("""COMPUTED_VALUE"""),7613.0)</f>
        <v>7613</v>
      </c>
    </row>
    <row r="12110">
      <c r="A12110" t="str">
        <f t="shared" si="1"/>
        <v>plw#1953</v>
      </c>
      <c r="B12110" t="str">
        <f>IFERROR(__xludf.DUMMYFUNCTION("""COMPUTED_VALUE"""),"plw")</f>
        <v>plw</v>
      </c>
      <c r="C12110" t="str">
        <f>IFERROR(__xludf.DUMMYFUNCTION("""COMPUTED_VALUE"""),"Palau")</f>
        <v>Palau</v>
      </c>
      <c r="D12110">
        <f>IFERROR(__xludf.DUMMYFUNCTION("""COMPUTED_VALUE"""),1953.0)</f>
        <v>1953</v>
      </c>
      <c r="E12110">
        <f>IFERROR(__xludf.DUMMYFUNCTION("""COMPUTED_VALUE"""),7791.0)</f>
        <v>7791</v>
      </c>
    </row>
    <row r="12111">
      <c r="A12111" t="str">
        <f t="shared" si="1"/>
        <v>plw#1954</v>
      </c>
      <c r="B12111" t="str">
        <f>IFERROR(__xludf.DUMMYFUNCTION("""COMPUTED_VALUE"""),"plw")</f>
        <v>plw</v>
      </c>
      <c r="C12111" t="str">
        <f>IFERROR(__xludf.DUMMYFUNCTION("""COMPUTED_VALUE"""),"Palau")</f>
        <v>Palau</v>
      </c>
      <c r="D12111">
        <f>IFERROR(__xludf.DUMMYFUNCTION("""COMPUTED_VALUE"""),1954.0)</f>
        <v>1954</v>
      </c>
      <c r="E12111">
        <f>IFERROR(__xludf.DUMMYFUNCTION("""COMPUTED_VALUE"""),8014.0)</f>
        <v>8014</v>
      </c>
    </row>
    <row r="12112">
      <c r="A12112" t="str">
        <f t="shared" si="1"/>
        <v>plw#1955</v>
      </c>
      <c r="B12112" t="str">
        <f>IFERROR(__xludf.DUMMYFUNCTION("""COMPUTED_VALUE"""),"plw")</f>
        <v>plw</v>
      </c>
      <c r="C12112" t="str">
        <f>IFERROR(__xludf.DUMMYFUNCTION("""COMPUTED_VALUE"""),"Palau")</f>
        <v>Palau</v>
      </c>
      <c r="D12112">
        <f>IFERROR(__xludf.DUMMYFUNCTION("""COMPUTED_VALUE"""),1955.0)</f>
        <v>1955</v>
      </c>
      <c r="E12112">
        <f>IFERROR(__xludf.DUMMYFUNCTION("""COMPUTED_VALUE"""),8255.0)</f>
        <v>8255</v>
      </c>
    </row>
    <row r="12113">
      <c r="A12113" t="str">
        <f t="shared" si="1"/>
        <v>plw#1956</v>
      </c>
      <c r="B12113" t="str">
        <f>IFERROR(__xludf.DUMMYFUNCTION("""COMPUTED_VALUE"""),"plw")</f>
        <v>plw</v>
      </c>
      <c r="C12113" t="str">
        <f>IFERROR(__xludf.DUMMYFUNCTION("""COMPUTED_VALUE"""),"Palau")</f>
        <v>Palau</v>
      </c>
      <c r="D12113">
        <f>IFERROR(__xludf.DUMMYFUNCTION("""COMPUTED_VALUE"""),1956.0)</f>
        <v>1956</v>
      </c>
      <c r="E12113">
        <f>IFERROR(__xludf.DUMMYFUNCTION("""COMPUTED_VALUE"""),8524.0)</f>
        <v>8524</v>
      </c>
    </row>
    <row r="12114">
      <c r="A12114" t="str">
        <f t="shared" si="1"/>
        <v>plw#1957</v>
      </c>
      <c r="B12114" t="str">
        <f>IFERROR(__xludf.DUMMYFUNCTION("""COMPUTED_VALUE"""),"plw")</f>
        <v>plw</v>
      </c>
      <c r="C12114" t="str">
        <f>IFERROR(__xludf.DUMMYFUNCTION("""COMPUTED_VALUE"""),"Palau")</f>
        <v>Palau</v>
      </c>
      <c r="D12114">
        <f>IFERROR(__xludf.DUMMYFUNCTION("""COMPUTED_VALUE"""),1957.0)</f>
        <v>1957</v>
      </c>
      <c r="E12114">
        <f>IFERROR(__xludf.DUMMYFUNCTION("""COMPUTED_VALUE"""),8802.0)</f>
        <v>8802</v>
      </c>
    </row>
    <row r="12115">
      <c r="A12115" t="str">
        <f t="shared" si="1"/>
        <v>plw#1958</v>
      </c>
      <c r="B12115" t="str">
        <f>IFERROR(__xludf.DUMMYFUNCTION("""COMPUTED_VALUE"""),"plw")</f>
        <v>plw</v>
      </c>
      <c r="C12115" t="str">
        <f>IFERROR(__xludf.DUMMYFUNCTION("""COMPUTED_VALUE"""),"Palau")</f>
        <v>Palau</v>
      </c>
      <c r="D12115">
        <f>IFERROR(__xludf.DUMMYFUNCTION("""COMPUTED_VALUE"""),1958.0)</f>
        <v>1958</v>
      </c>
      <c r="E12115">
        <f>IFERROR(__xludf.DUMMYFUNCTION("""COMPUTED_VALUE"""),9087.0)</f>
        <v>9087</v>
      </c>
    </row>
    <row r="12116">
      <c r="A12116" t="str">
        <f t="shared" si="1"/>
        <v>plw#1959</v>
      </c>
      <c r="B12116" t="str">
        <f>IFERROR(__xludf.DUMMYFUNCTION("""COMPUTED_VALUE"""),"plw")</f>
        <v>plw</v>
      </c>
      <c r="C12116" t="str">
        <f>IFERROR(__xludf.DUMMYFUNCTION("""COMPUTED_VALUE"""),"Palau")</f>
        <v>Palau</v>
      </c>
      <c r="D12116">
        <f>IFERROR(__xludf.DUMMYFUNCTION("""COMPUTED_VALUE"""),1959.0)</f>
        <v>1959</v>
      </c>
      <c r="E12116">
        <f>IFERROR(__xludf.DUMMYFUNCTION("""COMPUTED_VALUE"""),9359.0)</f>
        <v>9359</v>
      </c>
    </row>
    <row r="12117">
      <c r="A12117" t="str">
        <f t="shared" si="1"/>
        <v>plw#1960</v>
      </c>
      <c r="B12117" t="str">
        <f>IFERROR(__xludf.DUMMYFUNCTION("""COMPUTED_VALUE"""),"plw")</f>
        <v>plw</v>
      </c>
      <c r="C12117" t="str">
        <f>IFERROR(__xludf.DUMMYFUNCTION("""COMPUTED_VALUE"""),"Palau")</f>
        <v>Palau</v>
      </c>
      <c r="D12117">
        <f>IFERROR(__xludf.DUMMYFUNCTION("""COMPUTED_VALUE"""),1960.0)</f>
        <v>1960</v>
      </c>
      <c r="E12117">
        <f>IFERROR(__xludf.DUMMYFUNCTION("""COMPUTED_VALUE"""),9642.0)</f>
        <v>9642</v>
      </c>
    </row>
    <row r="12118">
      <c r="A12118" t="str">
        <f t="shared" si="1"/>
        <v>plw#1961</v>
      </c>
      <c r="B12118" t="str">
        <f>IFERROR(__xludf.DUMMYFUNCTION("""COMPUTED_VALUE"""),"plw")</f>
        <v>plw</v>
      </c>
      <c r="C12118" t="str">
        <f>IFERROR(__xludf.DUMMYFUNCTION("""COMPUTED_VALUE"""),"Palau")</f>
        <v>Palau</v>
      </c>
      <c r="D12118">
        <f>IFERROR(__xludf.DUMMYFUNCTION("""COMPUTED_VALUE"""),1961.0)</f>
        <v>1961</v>
      </c>
      <c r="E12118">
        <f>IFERROR(__xludf.DUMMYFUNCTION("""COMPUTED_VALUE"""),9900.0)</f>
        <v>9900</v>
      </c>
    </row>
    <row r="12119">
      <c r="A12119" t="str">
        <f t="shared" si="1"/>
        <v>plw#1962</v>
      </c>
      <c r="B12119" t="str">
        <f>IFERROR(__xludf.DUMMYFUNCTION("""COMPUTED_VALUE"""),"plw")</f>
        <v>plw</v>
      </c>
      <c r="C12119" t="str">
        <f>IFERROR(__xludf.DUMMYFUNCTION("""COMPUTED_VALUE"""),"Palau")</f>
        <v>Palau</v>
      </c>
      <c r="D12119">
        <f>IFERROR(__xludf.DUMMYFUNCTION("""COMPUTED_VALUE"""),1962.0)</f>
        <v>1962</v>
      </c>
      <c r="E12119">
        <f>IFERROR(__xludf.DUMMYFUNCTION("""COMPUTED_VALUE"""),10151.0)</f>
        <v>10151</v>
      </c>
    </row>
    <row r="12120">
      <c r="A12120" t="str">
        <f t="shared" si="1"/>
        <v>plw#1963</v>
      </c>
      <c r="B12120" t="str">
        <f>IFERROR(__xludf.DUMMYFUNCTION("""COMPUTED_VALUE"""),"plw")</f>
        <v>plw</v>
      </c>
      <c r="C12120" t="str">
        <f>IFERROR(__xludf.DUMMYFUNCTION("""COMPUTED_VALUE"""),"Palau")</f>
        <v>Palau</v>
      </c>
      <c r="D12120">
        <f>IFERROR(__xludf.DUMMYFUNCTION("""COMPUTED_VALUE"""),1963.0)</f>
        <v>1963</v>
      </c>
      <c r="E12120">
        <f>IFERROR(__xludf.DUMMYFUNCTION("""COMPUTED_VALUE"""),10378.0)</f>
        <v>10378</v>
      </c>
    </row>
    <row r="12121">
      <c r="A12121" t="str">
        <f t="shared" si="1"/>
        <v>plw#1964</v>
      </c>
      <c r="B12121" t="str">
        <f>IFERROR(__xludf.DUMMYFUNCTION("""COMPUTED_VALUE"""),"plw")</f>
        <v>plw</v>
      </c>
      <c r="C12121" t="str">
        <f>IFERROR(__xludf.DUMMYFUNCTION("""COMPUTED_VALUE"""),"Palau")</f>
        <v>Palau</v>
      </c>
      <c r="D12121">
        <f>IFERROR(__xludf.DUMMYFUNCTION("""COMPUTED_VALUE"""),1964.0)</f>
        <v>1964</v>
      </c>
      <c r="E12121">
        <f>IFERROR(__xludf.DUMMYFUNCTION("""COMPUTED_VALUE"""),10593.0)</f>
        <v>10593</v>
      </c>
    </row>
    <row r="12122">
      <c r="A12122" t="str">
        <f t="shared" si="1"/>
        <v>plw#1965</v>
      </c>
      <c r="B12122" t="str">
        <f>IFERROR(__xludf.DUMMYFUNCTION("""COMPUTED_VALUE"""),"plw")</f>
        <v>plw</v>
      </c>
      <c r="C12122" t="str">
        <f>IFERROR(__xludf.DUMMYFUNCTION("""COMPUTED_VALUE"""),"Palau")</f>
        <v>Palau</v>
      </c>
      <c r="D12122">
        <f>IFERROR(__xludf.DUMMYFUNCTION("""COMPUTED_VALUE"""),1965.0)</f>
        <v>1965</v>
      </c>
      <c r="E12122">
        <f>IFERROR(__xludf.DUMMYFUNCTION("""COMPUTED_VALUE"""),10782.0)</f>
        <v>10782</v>
      </c>
    </row>
    <row r="12123">
      <c r="A12123" t="str">
        <f t="shared" si="1"/>
        <v>plw#1966</v>
      </c>
      <c r="B12123" t="str">
        <f>IFERROR(__xludf.DUMMYFUNCTION("""COMPUTED_VALUE"""),"plw")</f>
        <v>plw</v>
      </c>
      <c r="C12123" t="str">
        <f>IFERROR(__xludf.DUMMYFUNCTION("""COMPUTED_VALUE"""),"Palau")</f>
        <v>Palau</v>
      </c>
      <c r="D12123">
        <f>IFERROR(__xludf.DUMMYFUNCTION("""COMPUTED_VALUE"""),1966.0)</f>
        <v>1966</v>
      </c>
      <c r="E12123">
        <f>IFERROR(__xludf.DUMMYFUNCTION("""COMPUTED_VALUE"""),10946.0)</f>
        <v>10946</v>
      </c>
    </row>
    <row r="12124">
      <c r="A12124" t="str">
        <f t="shared" si="1"/>
        <v>plw#1967</v>
      </c>
      <c r="B12124" t="str">
        <f>IFERROR(__xludf.DUMMYFUNCTION("""COMPUTED_VALUE"""),"plw")</f>
        <v>plw</v>
      </c>
      <c r="C12124" t="str">
        <f>IFERROR(__xludf.DUMMYFUNCTION("""COMPUTED_VALUE"""),"Palau")</f>
        <v>Palau</v>
      </c>
      <c r="D12124">
        <f>IFERROR(__xludf.DUMMYFUNCTION("""COMPUTED_VALUE"""),1967.0)</f>
        <v>1967</v>
      </c>
      <c r="E12124">
        <f>IFERROR(__xludf.DUMMYFUNCTION("""COMPUTED_VALUE"""),11080.0)</f>
        <v>11080</v>
      </c>
    </row>
    <row r="12125">
      <c r="A12125" t="str">
        <f t="shared" si="1"/>
        <v>plw#1968</v>
      </c>
      <c r="B12125" t="str">
        <f>IFERROR(__xludf.DUMMYFUNCTION("""COMPUTED_VALUE"""),"plw")</f>
        <v>plw</v>
      </c>
      <c r="C12125" t="str">
        <f>IFERROR(__xludf.DUMMYFUNCTION("""COMPUTED_VALUE"""),"Palau")</f>
        <v>Palau</v>
      </c>
      <c r="D12125">
        <f>IFERROR(__xludf.DUMMYFUNCTION("""COMPUTED_VALUE"""),1968.0)</f>
        <v>1968</v>
      </c>
      <c r="E12125">
        <f>IFERROR(__xludf.DUMMYFUNCTION("""COMPUTED_VALUE"""),11205.0)</f>
        <v>11205</v>
      </c>
    </row>
    <row r="12126">
      <c r="A12126" t="str">
        <f t="shared" si="1"/>
        <v>plw#1969</v>
      </c>
      <c r="B12126" t="str">
        <f>IFERROR(__xludf.DUMMYFUNCTION("""COMPUTED_VALUE"""),"plw")</f>
        <v>plw</v>
      </c>
      <c r="C12126" t="str">
        <f>IFERROR(__xludf.DUMMYFUNCTION("""COMPUTED_VALUE"""),"Palau")</f>
        <v>Palau</v>
      </c>
      <c r="D12126">
        <f>IFERROR(__xludf.DUMMYFUNCTION("""COMPUTED_VALUE"""),1969.0)</f>
        <v>1969</v>
      </c>
      <c r="E12126">
        <f>IFERROR(__xludf.DUMMYFUNCTION("""COMPUTED_VALUE"""),11331.0)</f>
        <v>11331</v>
      </c>
    </row>
    <row r="12127">
      <c r="A12127" t="str">
        <f t="shared" si="1"/>
        <v>plw#1970</v>
      </c>
      <c r="B12127" t="str">
        <f>IFERROR(__xludf.DUMMYFUNCTION("""COMPUTED_VALUE"""),"plw")</f>
        <v>plw</v>
      </c>
      <c r="C12127" t="str">
        <f>IFERROR(__xludf.DUMMYFUNCTION("""COMPUTED_VALUE"""),"Palau")</f>
        <v>Palau</v>
      </c>
      <c r="D12127">
        <f>IFERROR(__xludf.DUMMYFUNCTION("""COMPUTED_VALUE"""),1970.0)</f>
        <v>1970</v>
      </c>
      <c r="E12127">
        <f>IFERROR(__xludf.DUMMYFUNCTION("""COMPUTED_VALUE"""),11480.0)</f>
        <v>11480</v>
      </c>
    </row>
    <row r="12128">
      <c r="A12128" t="str">
        <f t="shared" si="1"/>
        <v>plw#1971</v>
      </c>
      <c r="B12128" t="str">
        <f>IFERROR(__xludf.DUMMYFUNCTION("""COMPUTED_VALUE"""),"plw")</f>
        <v>plw</v>
      </c>
      <c r="C12128" t="str">
        <f>IFERROR(__xludf.DUMMYFUNCTION("""COMPUTED_VALUE"""),"Palau")</f>
        <v>Palau</v>
      </c>
      <c r="D12128">
        <f>IFERROR(__xludf.DUMMYFUNCTION("""COMPUTED_VALUE"""),1971.0)</f>
        <v>1971</v>
      </c>
      <c r="E12128">
        <f>IFERROR(__xludf.DUMMYFUNCTION("""COMPUTED_VALUE"""),11654.0)</f>
        <v>11654</v>
      </c>
    </row>
    <row r="12129">
      <c r="A12129" t="str">
        <f t="shared" si="1"/>
        <v>plw#1972</v>
      </c>
      <c r="B12129" t="str">
        <f>IFERROR(__xludf.DUMMYFUNCTION("""COMPUTED_VALUE"""),"plw")</f>
        <v>plw</v>
      </c>
      <c r="C12129" t="str">
        <f>IFERROR(__xludf.DUMMYFUNCTION("""COMPUTED_VALUE"""),"Palau")</f>
        <v>Palau</v>
      </c>
      <c r="D12129">
        <f>IFERROR(__xludf.DUMMYFUNCTION("""COMPUTED_VALUE"""),1972.0)</f>
        <v>1972</v>
      </c>
      <c r="E12129">
        <f>IFERROR(__xludf.DUMMYFUNCTION("""COMPUTED_VALUE"""),11852.0)</f>
        <v>11852</v>
      </c>
    </row>
    <row r="12130">
      <c r="A12130" t="str">
        <f t="shared" si="1"/>
        <v>plw#1973</v>
      </c>
      <c r="B12130" t="str">
        <f>IFERROR(__xludf.DUMMYFUNCTION("""COMPUTED_VALUE"""),"plw")</f>
        <v>plw</v>
      </c>
      <c r="C12130" t="str">
        <f>IFERROR(__xludf.DUMMYFUNCTION("""COMPUTED_VALUE"""),"Palau")</f>
        <v>Palau</v>
      </c>
      <c r="D12130">
        <f>IFERROR(__xludf.DUMMYFUNCTION("""COMPUTED_VALUE"""),1973.0)</f>
        <v>1973</v>
      </c>
      <c r="E12130">
        <f>IFERROR(__xludf.DUMMYFUNCTION("""COMPUTED_VALUE"""),12046.0)</f>
        <v>12046</v>
      </c>
    </row>
    <row r="12131">
      <c r="A12131" t="str">
        <f t="shared" si="1"/>
        <v>plw#1974</v>
      </c>
      <c r="B12131" t="str">
        <f>IFERROR(__xludf.DUMMYFUNCTION("""COMPUTED_VALUE"""),"plw")</f>
        <v>plw</v>
      </c>
      <c r="C12131" t="str">
        <f>IFERROR(__xludf.DUMMYFUNCTION("""COMPUTED_VALUE"""),"Palau")</f>
        <v>Palau</v>
      </c>
      <c r="D12131">
        <f>IFERROR(__xludf.DUMMYFUNCTION("""COMPUTED_VALUE"""),1974.0)</f>
        <v>1974</v>
      </c>
      <c r="E12131">
        <f>IFERROR(__xludf.DUMMYFUNCTION("""COMPUTED_VALUE"""),12197.0)</f>
        <v>12197</v>
      </c>
    </row>
    <row r="12132">
      <c r="A12132" t="str">
        <f t="shared" si="1"/>
        <v>plw#1975</v>
      </c>
      <c r="B12132" t="str">
        <f>IFERROR(__xludf.DUMMYFUNCTION("""COMPUTED_VALUE"""),"plw")</f>
        <v>plw</v>
      </c>
      <c r="C12132" t="str">
        <f>IFERROR(__xludf.DUMMYFUNCTION("""COMPUTED_VALUE"""),"Palau")</f>
        <v>Palau</v>
      </c>
      <c r="D12132">
        <f>IFERROR(__xludf.DUMMYFUNCTION("""COMPUTED_VALUE"""),1975.0)</f>
        <v>1975</v>
      </c>
      <c r="E12132">
        <f>IFERROR(__xludf.DUMMYFUNCTION("""COMPUTED_VALUE"""),12278.0)</f>
        <v>12278</v>
      </c>
    </row>
    <row r="12133">
      <c r="A12133" t="str">
        <f t="shared" si="1"/>
        <v>plw#1976</v>
      </c>
      <c r="B12133" t="str">
        <f>IFERROR(__xludf.DUMMYFUNCTION("""COMPUTED_VALUE"""),"plw")</f>
        <v>plw</v>
      </c>
      <c r="C12133" t="str">
        <f>IFERROR(__xludf.DUMMYFUNCTION("""COMPUTED_VALUE"""),"Palau")</f>
        <v>Palau</v>
      </c>
      <c r="D12133">
        <f>IFERROR(__xludf.DUMMYFUNCTION("""COMPUTED_VALUE"""),1976.0)</f>
        <v>1976</v>
      </c>
      <c r="E12133">
        <f>IFERROR(__xludf.DUMMYFUNCTION("""COMPUTED_VALUE"""),12285.0)</f>
        <v>12285</v>
      </c>
    </row>
    <row r="12134">
      <c r="A12134" t="str">
        <f t="shared" si="1"/>
        <v>plw#1977</v>
      </c>
      <c r="B12134" t="str">
        <f>IFERROR(__xludf.DUMMYFUNCTION("""COMPUTED_VALUE"""),"plw")</f>
        <v>plw</v>
      </c>
      <c r="C12134" t="str">
        <f>IFERROR(__xludf.DUMMYFUNCTION("""COMPUTED_VALUE"""),"Palau")</f>
        <v>Palau</v>
      </c>
      <c r="D12134">
        <f>IFERROR(__xludf.DUMMYFUNCTION("""COMPUTED_VALUE"""),1977.0)</f>
        <v>1977</v>
      </c>
      <c r="E12134">
        <f>IFERROR(__xludf.DUMMYFUNCTION("""COMPUTED_VALUE"""),12225.0)</f>
        <v>12225</v>
      </c>
    </row>
    <row r="12135">
      <c r="A12135" t="str">
        <f t="shared" si="1"/>
        <v>plw#1978</v>
      </c>
      <c r="B12135" t="str">
        <f>IFERROR(__xludf.DUMMYFUNCTION("""COMPUTED_VALUE"""),"plw")</f>
        <v>plw</v>
      </c>
      <c r="C12135" t="str">
        <f>IFERROR(__xludf.DUMMYFUNCTION("""COMPUTED_VALUE"""),"Palau")</f>
        <v>Palau</v>
      </c>
      <c r="D12135">
        <f>IFERROR(__xludf.DUMMYFUNCTION("""COMPUTED_VALUE"""),1978.0)</f>
        <v>1978</v>
      </c>
      <c r="E12135">
        <f>IFERROR(__xludf.DUMMYFUNCTION("""COMPUTED_VALUE"""),12153.0)</f>
        <v>12153</v>
      </c>
    </row>
    <row r="12136">
      <c r="A12136" t="str">
        <f t="shared" si="1"/>
        <v>plw#1979</v>
      </c>
      <c r="B12136" t="str">
        <f>IFERROR(__xludf.DUMMYFUNCTION("""COMPUTED_VALUE"""),"plw")</f>
        <v>plw</v>
      </c>
      <c r="C12136" t="str">
        <f>IFERROR(__xludf.DUMMYFUNCTION("""COMPUTED_VALUE"""),"Palau")</f>
        <v>Palau</v>
      </c>
      <c r="D12136">
        <f>IFERROR(__xludf.DUMMYFUNCTION("""COMPUTED_VALUE"""),1979.0)</f>
        <v>1979</v>
      </c>
      <c r="E12136">
        <f>IFERROR(__xludf.DUMMYFUNCTION("""COMPUTED_VALUE"""),12124.0)</f>
        <v>12124</v>
      </c>
    </row>
    <row r="12137">
      <c r="A12137" t="str">
        <f t="shared" si="1"/>
        <v>plw#1980</v>
      </c>
      <c r="B12137" t="str">
        <f>IFERROR(__xludf.DUMMYFUNCTION("""COMPUTED_VALUE"""),"plw")</f>
        <v>plw</v>
      </c>
      <c r="C12137" t="str">
        <f>IFERROR(__xludf.DUMMYFUNCTION("""COMPUTED_VALUE"""),"Palau")</f>
        <v>Palau</v>
      </c>
      <c r="D12137">
        <f>IFERROR(__xludf.DUMMYFUNCTION("""COMPUTED_VALUE"""),1980.0)</f>
        <v>1980</v>
      </c>
      <c r="E12137">
        <f>IFERROR(__xludf.DUMMYFUNCTION("""COMPUTED_VALUE"""),12194.0)</f>
        <v>12194</v>
      </c>
    </row>
    <row r="12138">
      <c r="A12138" t="str">
        <f t="shared" si="1"/>
        <v>plw#1981</v>
      </c>
      <c r="B12138" t="str">
        <f>IFERROR(__xludf.DUMMYFUNCTION("""COMPUTED_VALUE"""),"plw")</f>
        <v>plw</v>
      </c>
      <c r="C12138" t="str">
        <f>IFERROR(__xludf.DUMMYFUNCTION("""COMPUTED_VALUE"""),"Palau")</f>
        <v>Palau</v>
      </c>
      <c r="D12138">
        <f>IFERROR(__xludf.DUMMYFUNCTION("""COMPUTED_VALUE"""),1981.0)</f>
        <v>1981</v>
      </c>
      <c r="E12138">
        <f>IFERROR(__xludf.DUMMYFUNCTION("""COMPUTED_VALUE"""),12387.0)</f>
        <v>12387</v>
      </c>
    </row>
    <row r="12139">
      <c r="A12139" t="str">
        <f t="shared" si="1"/>
        <v>plw#1982</v>
      </c>
      <c r="B12139" t="str">
        <f>IFERROR(__xludf.DUMMYFUNCTION("""COMPUTED_VALUE"""),"plw")</f>
        <v>plw</v>
      </c>
      <c r="C12139" t="str">
        <f>IFERROR(__xludf.DUMMYFUNCTION("""COMPUTED_VALUE"""),"Palau")</f>
        <v>Palau</v>
      </c>
      <c r="D12139">
        <f>IFERROR(__xludf.DUMMYFUNCTION("""COMPUTED_VALUE"""),1982.0)</f>
        <v>1982</v>
      </c>
      <c r="E12139">
        <f>IFERROR(__xludf.DUMMYFUNCTION("""COMPUTED_VALUE"""),12663.0)</f>
        <v>12663</v>
      </c>
    </row>
    <row r="12140">
      <c r="A12140" t="str">
        <f t="shared" si="1"/>
        <v>plw#1983</v>
      </c>
      <c r="B12140" t="str">
        <f>IFERROR(__xludf.DUMMYFUNCTION("""COMPUTED_VALUE"""),"plw")</f>
        <v>plw</v>
      </c>
      <c r="C12140" t="str">
        <f>IFERROR(__xludf.DUMMYFUNCTION("""COMPUTED_VALUE"""),"Palau")</f>
        <v>Palau</v>
      </c>
      <c r="D12140">
        <f>IFERROR(__xludf.DUMMYFUNCTION("""COMPUTED_VALUE"""),1983.0)</f>
        <v>1983</v>
      </c>
      <c r="E12140">
        <f>IFERROR(__xludf.DUMMYFUNCTION("""COMPUTED_VALUE"""),13012.0)</f>
        <v>13012</v>
      </c>
    </row>
    <row r="12141">
      <c r="A12141" t="str">
        <f t="shared" si="1"/>
        <v>plw#1984</v>
      </c>
      <c r="B12141" t="str">
        <f>IFERROR(__xludf.DUMMYFUNCTION("""COMPUTED_VALUE"""),"plw")</f>
        <v>plw</v>
      </c>
      <c r="C12141" t="str">
        <f>IFERROR(__xludf.DUMMYFUNCTION("""COMPUTED_VALUE"""),"Palau")</f>
        <v>Palau</v>
      </c>
      <c r="D12141">
        <f>IFERROR(__xludf.DUMMYFUNCTION("""COMPUTED_VALUE"""),1984.0)</f>
        <v>1984</v>
      </c>
      <c r="E12141">
        <f>IFERROR(__xludf.DUMMYFUNCTION("""COMPUTED_VALUE"""),13372.0)</f>
        <v>13372</v>
      </c>
    </row>
    <row r="12142">
      <c r="A12142" t="str">
        <f t="shared" si="1"/>
        <v>plw#1985</v>
      </c>
      <c r="B12142" t="str">
        <f>IFERROR(__xludf.DUMMYFUNCTION("""COMPUTED_VALUE"""),"plw")</f>
        <v>plw</v>
      </c>
      <c r="C12142" t="str">
        <f>IFERROR(__xludf.DUMMYFUNCTION("""COMPUTED_VALUE"""),"Palau")</f>
        <v>Palau</v>
      </c>
      <c r="D12142">
        <f>IFERROR(__xludf.DUMMYFUNCTION("""COMPUTED_VALUE"""),1985.0)</f>
        <v>1985</v>
      </c>
      <c r="E12142">
        <f>IFERROR(__xludf.DUMMYFUNCTION("""COMPUTED_VALUE"""),13696.0)</f>
        <v>13696</v>
      </c>
    </row>
    <row r="12143">
      <c r="A12143" t="str">
        <f t="shared" si="1"/>
        <v>plw#1986</v>
      </c>
      <c r="B12143" t="str">
        <f>IFERROR(__xludf.DUMMYFUNCTION("""COMPUTED_VALUE"""),"plw")</f>
        <v>plw</v>
      </c>
      <c r="C12143" t="str">
        <f>IFERROR(__xludf.DUMMYFUNCTION("""COMPUTED_VALUE"""),"Palau")</f>
        <v>Palau</v>
      </c>
      <c r="D12143">
        <f>IFERROR(__xludf.DUMMYFUNCTION("""COMPUTED_VALUE"""),1986.0)</f>
        <v>1986</v>
      </c>
      <c r="E12143">
        <f>IFERROR(__xludf.DUMMYFUNCTION("""COMPUTED_VALUE"""),13985.0)</f>
        <v>13985</v>
      </c>
    </row>
    <row r="12144">
      <c r="A12144" t="str">
        <f t="shared" si="1"/>
        <v>plw#1987</v>
      </c>
      <c r="B12144" t="str">
        <f>IFERROR(__xludf.DUMMYFUNCTION("""COMPUTED_VALUE"""),"plw")</f>
        <v>plw</v>
      </c>
      <c r="C12144" t="str">
        <f>IFERROR(__xludf.DUMMYFUNCTION("""COMPUTED_VALUE"""),"Palau")</f>
        <v>Palau</v>
      </c>
      <c r="D12144">
        <f>IFERROR(__xludf.DUMMYFUNCTION("""COMPUTED_VALUE"""),1987.0)</f>
        <v>1987</v>
      </c>
      <c r="E12144">
        <f>IFERROR(__xludf.DUMMYFUNCTION("""COMPUTED_VALUE"""),14240.0)</f>
        <v>14240</v>
      </c>
    </row>
    <row r="12145">
      <c r="A12145" t="str">
        <f t="shared" si="1"/>
        <v>plw#1988</v>
      </c>
      <c r="B12145" t="str">
        <f>IFERROR(__xludf.DUMMYFUNCTION("""COMPUTED_VALUE"""),"plw")</f>
        <v>plw</v>
      </c>
      <c r="C12145" t="str">
        <f>IFERROR(__xludf.DUMMYFUNCTION("""COMPUTED_VALUE"""),"Palau")</f>
        <v>Palau</v>
      </c>
      <c r="D12145">
        <f>IFERROR(__xludf.DUMMYFUNCTION("""COMPUTED_VALUE"""),1988.0)</f>
        <v>1988</v>
      </c>
      <c r="E12145">
        <f>IFERROR(__xludf.DUMMYFUNCTION("""COMPUTED_VALUE"""),14490.0)</f>
        <v>14490</v>
      </c>
    </row>
    <row r="12146">
      <c r="A12146" t="str">
        <f t="shared" si="1"/>
        <v>plw#1989</v>
      </c>
      <c r="B12146" t="str">
        <f>IFERROR(__xludf.DUMMYFUNCTION("""COMPUTED_VALUE"""),"plw")</f>
        <v>plw</v>
      </c>
      <c r="C12146" t="str">
        <f>IFERROR(__xludf.DUMMYFUNCTION("""COMPUTED_VALUE"""),"Palau")</f>
        <v>Palau</v>
      </c>
      <c r="D12146">
        <f>IFERROR(__xludf.DUMMYFUNCTION("""COMPUTED_VALUE"""),1989.0)</f>
        <v>1989</v>
      </c>
      <c r="E12146">
        <f>IFERROR(__xludf.DUMMYFUNCTION("""COMPUTED_VALUE"""),14757.0)</f>
        <v>14757</v>
      </c>
    </row>
    <row r="12147">
      <c r="A12147" t="str">
        <f t="shared" si="1"/>
        <v>plw#1990</v>
      </c>
      <c r="B12147" t="str">
        <f>IFERROR(__xludf.DUMMYFUNCTION("""COMPUTED_VALUE"""),"plw")</f>
        <v>plw</v>
      </c>
      <c r="C12147" t="str">
        <f>IFERROR(__xludf.DUMMYFUNCTION("""COMPUTED_VALUE"""),"Palau")</f>
        <v>Palau</v>
      </c>
      <c r="D12147">
        <f>IFERROR(__xludf.DUMMYFUNCTION("""COMPUTED_VALUE"""),1990.0)</f>
        <v>1990</v>
      </c>
      <c r="E12147">
        <f>IFERROR(__xludf.DUMMYFUNCTION("""COMPUTED_VALUE"""),15088.0)</f>
        <v>15088</v>
      </c>
    </row>
    <row r="12148">
      <c r="A12148" t="str">
        <f t="shared" si="1"/>
        <v>plw#1991</v>
      </c>
      <c r="B12148" t="str">
        <f>IFERROR(__xludf.DUMMYFUNCTION("""COMPUTED_VALUE"""),"plw")</f>
        <v>plw</v>
      </c>
      <c r="C12148" t="str">
        <f>IFERROR(__xludf.DUMMYFUNCTION("""COMPUTED_VALUE"""),"Palau")</f>
        <v>Palau</v>
      </c>
      <c r="D12148">
        <f>IFERROR(__xludf.DUMMYFUNCTION("""COMPUTED_VALUE"""),1991.0)</f>
        <v>1991</v>
      </c>
      <c r="E12148">
        <f>IFERROR(__xludf.DUMMYFUNCTION("""COMPUTED_VALUE"""),15474.0)</f>
        <v>15474</v>
      </c>
    </row>
    <row r="12149">
      <c r="A12149" t="str">
        <f t="shared" si="1"/>
        <v>plw#1992</v>
      </c>
      <c r="B12149" t="str">
        <f>IFERROR(__xludf.DUMMYFUNCTION("""COMPUTED_VALUE"""),"plw")</f>
        <v>plw</v>
      </c>
      <c r="C12149" t="str">
        <f>IFERROR(__xludf.DUMMYFUNCTION("""COMPUTED_VALUE"""),"Palau")</f>
        <v>Palau</v>
      </c>
      <c r="D12149">
        <f>IFERROR(__xludf.DUMMYFUNCTION("""COMPUTED_VALUE"""),1992.0)</f>
        <v>1992</v>
      </c>
      <c r="E12149">
        <f>IFERROR(__xludf.DUMMYFUNCTION("""COMPUTED_VALUE"""),15894.0)</f>
        <v>15894</v>
      </c>
    </row>
    <row r="12150">
      <c r="A12150" t="str">
        <f t="shared" si="1"/>
        <v>plw#1993</v>
      </c>
      <c r="B12150" t="str">
        <f>IFERROR(__xludf.DUMMYFUNCTION("""COMPUTED_VALUE"""),"plw")</f>
        <v>plw</v>
      </c>
      <c r="C12150" t="str">
        <f>IFERROR(__xludf.DUMMYFUNCTION("""COMPUTED_VALUE"""),"Palau")</f>
        <v>Palau</v>
      </c>
      <c r="D12150">
        <f>IFERROR(__xludf.DUMMYFUNCTION("""COMPUTED_VALUE"""),1993.0)</f>
        <v>1993</v>
      </c>
      <c r="E12150">
        <f>IFERROR(__xludf.DUMMYFUNCTION("""COMPUTED_VALUE"""),16342.0)</f>
        <v>16342</v>
      </c>
    </row>
    <row r="12151">
      <c r="A12151" t="str">
        <f t="shared" si="1"/>
        <v>plw#1994</v>
      </c>
      <c r="B12151" t="str">
        <f>IFERROR(__xludf.DUMMYFUNCTION("""COMPUTED_VALUE"""),"plw")</f>
        <v>plw</v>
      </c>
      <c r="C12151" t="str">
        <f>IFERROR(__xludf.DUMMYFUNCTION("""COMPUTED_VALUE"""),"Palau")</f>
        <v>Palau</v>
      </c>
      <c r="D12151">
        <f>IFERROR(__xludf.DUMMYFUNCTION("""COMPUTED_VALUE"""),1994.0)</f>
        <v>1994</v>
      </c>
      <c r="E12151">
        <f>IFERROR(__xludf.DUMMYFUNCTION("""COMPUTED_VALUE"""),16806.0)</f>
        <v>16806</v>
      </c>
    </row>
    <row r="12152">
      <c r="A12152" t="str">
        <f t="shared" si="1"/>
        <v>plw#1995</v>
      </c>
      <c r="B12152" t="str">
        <f>IFERROR(__xludf.DUMMYFUNCTION("""COMPUTED_VALUE"""),"plw")</f>
        <v>plw</v>
      </c>
      <c r="C12152" t="str">
        <f>IFERROR(__xludf.DUMMYFUNCTION("""COMPUTED_VALUE"""),"Palau")</f>
        <v>Palau</v>
      </c>
      <c r="D12152">
        <f>IFERROR(__xludf.DUMMYFUNCTION("""COMPUTED_VALUE"""),1995.0)</f>
        <v>1995</v>
      </c>
      <c r="E12152">
        <f>IFERROR(__xludf.DUMMYFUNCTION("""COMPUTED_VALUE"""),17253.0)</f>
        <v>17253</v>
      </c>
    </row>
    <row r="12153">
      <c r="A12153" t="str">
        <f t="shared" si="1"/>
        <v>plw#1996</v>
      </c>
      <c r="B12153" t="str">
        <f>IFERROR(__xludf.DUMMYFUNCTION("""COMPUTED_VALUE"""),"plw")</f>
        <v>plw</v>
      </c>
      <c r="C12153" t="str">
        <f>IFERROR(__xludf.DUMMYFUNCTION("""COMPUTED_VALUE"""),"Palau")</f>
        <v>Palau</v>
      </c>
      <c r="D12153">
        <f>IFERROR(__xludf.DUMMYFUNCTION("""COMPUTED_VALUE"""),1996.0)</f>
        <v>1996</v>
      </c>
      <c r="E12153">
        <f>IFERROR(__xludf.DUMMYFUNCTION("""COMPUTED_VALUE"""),17691.0)</f>
        <v>17691</v>
      </c>
    </row>
    <row r="12154">
      <c r="A12154" t="str">
        <f t="shared" si="1"/>
        <v>plw#1997</v>
      </c>
      <c r="B12154" t="str">
        <f>IFERROR(__xludf.DUMMYFUNCTION("""COMPUTED_VALUE"""),"plw")</f>
        <v>plw</v>
      </c>
      <c r="C12154" t="str">
        <f>IFERROR(__xludf.DUMMYFUNCTION("""COMPUTED_VALUE"""),"Palau")</f>
        <v>Palau</v>
      </c>
      <c r="D12154">
        <f>IFERROR(__xludf.DUMMYFUNCTION("""COMPUTED_VALUE"""),1997.0)</f>
        <v>1997</v>
      </c>
      <c r="E12154">
        <f>IFERROR(__xludf.DUMMYFUNCTION("""COMPUTED_VALUE"""),18123.0)</f>
        <v>18123</v>
      </c>
    </row>
    <row r="12155">
      <c r="A12155" t="str">
        <f t="shared" si="1"/>
        <v>plw#1998</v>
      </c>
      <c r="B12155" t="str">
        <f>IFERROR(__xludf.DUMMYFUNCTION("""COMPUTED_VALUE"""),"plw")</f>
        <v>plw</v>
      </c>
      <c r="C12155" t="str">
        <f>IFERROR(__xludf.DUMMYFUNCTION("""COMPUTED_VALUE"""),"Palau")</f>
        <v>Palau</v>
      </c>
      <c r="D12155">
        <f>IFERROR(__xludf.DUMMYFUNCTION("""COMPUTED_VALUE"""),1998.0)</f>
        <v>1998</v>
      </c>
      <c r="E12155">
        <f>IFERROR(__xludf.DUMMYFUNCTION("""COMPUTED_VALUE"""),18524.0)</f>
        <v>18524</v>
      </c>
    </row>
    <row r="12156">
      <c r="A12156" t="str">
        <f t="shared" si="1"/>
        <v>plw#1999</v>
      </c>
      <c r="B12156" t="str">
        <f>IFERROR(__xludf.DUMMYFUNCTION("""COMPUTED_VALUE"""),"plw")</f>
        <v>plw</v>
      </c>
      <c r="C12156" t="str">
        <f>IFERROR(__xludf.DUMMYFUNCTION("""COMPUTED_VALUE"""),"Palau")</f>
        <v>Palau</v>
      </c>
      <c r="D12156">
        <f>IFERROR(__xludf.DUMMYFUNCTION("""COMPUTED_VALUE"""),1999.0)</f>
        <v>1999</v>
      </c>
      <c r="E12156">
        <f>IFERROR(__xludf.DUMMYFUNCTION("""COMPUTED_VALUE"""),18879.0)</f>
        <v>18879</v>
      </c>
    </row>
    <row r="12157">
      <c r="A12157" t="str">
        <f t="shared" si="1"/>
        <v>plw#2000</v>
      </c>
      <c r="B12157" t="str">
        <f>IFERROR(__xludf.DUMMYFUNCTION("""COMPUTED_VALUE"""),"plw")</f>
        <v>plw</v>
      </c>
      <c r="C12157" t="str">
        <f>IFERROR(__xludf.DUMMYFUNCTION("""COMPUTED_VALUE"""),"Palau")</f>
        <v>Palau</v>
      </c>
      <c r="D12157">
        <f>IFERROR(__xludf.DUMMYFUNCTION("""COMPUTED_VALUE"""),2000.0)</f>
        <v>2000</v>
      </c>
      <c r="E12157">
        <f>IFERROR(__xludf.DUMMYFUNCTION("""COMPUTED_VALUE"""),19175.0)</f>
        <v>19175</v>
      </c>
    </row>
    <row r="12158">
      <c r="A12158" t="str">
        <f t="shared" si="1"/>
        <v>plw#2001</v>
      </c>
      <c r="B12158" t="str">
        <f>IFERROR(__xludf.DUMMYFUNCTION("""COMPUTED_VALUE"""),"plw")</f>
        <v>plw</v>
      </c>
      <c r="C12158" t="str">
        <f>IFERROR(__xludf.DUMMYFUNCTION("""COMPUTED_VALUE"""),"Palau")</f>
        <v>Palau</v>
      </c>
      <c r="D12158">
        <f>IFERROR(__xludf.DUMMYFUNCTION("""COMPUTED_VALUE"""),2001.0)</f>
        <v>2001</v>
      </c>
      <c r="E12158">
        <f>IFERROR(__xludf.DUMMYFUNCTION("""COMPUTED_VALUE"""),19404.0)</f>
        <v>19404</v>
      </c>
    </row>
    <row r="12159">
      <c r="A12159" t="str">
        <f t="shared" si="1"/>
        <v>plw#2002</v>
      </c>
      <c r="B12159" t="str">
        <f>IFERROR(__xludf.DUMMYFUNCTION("""COMPUTED_VALUE"""),"plw")</f>
        <v>plw</v>
      </c>
      <c r="C12159" t="str">
        <f>IFERROR(__xludf.DUMMYFUNCTION("""COMPUTED_VALUE"""),"Palau")</f>
        <v>Palau</v>
      </c>
      <c r="D12159">
        <f>IFERROR(__xludf.DUMMYFUNCTION("""COMPUTED_VALUE"""),2002.0)</f>
        <v>2002</v>
      </c>
      <c r="E12159">
        <f>IFERROR(__xludf.DUMMYFUNCTION("""COMPUTED_VALUE"""),19574.0)</f>
        <v>19574</v>
      </c>
    </row>
    <row r="12160">
      <c r="A12160" t="str">
        <f t="shared" si="1"/>
        <v>plw#2003</v>
      </c>
      <c r="B12160" t="str">
        <f>IFERROR(__xludf.DUMMYFUNCTION("""COMPUTED_VALUE"""),"plw")</f>
        <v>plw</v>
      </c>
      <c r="C12160" t="str">
        <f>IFERROR(__xludf.DUMMYFUNCTION("""COMPUTED_VALUE"""),"Palau")</f>
        <v>Palau</v>
      </c>
      <c r="D12160">
        <f>IFERROR(__xludf.DUMMYFUNCTION("""COMPUTED_VALUE"""),2003.0)</f>
        <v>2003</v>
      </c>
      <c r="E12160">
        <f>IFERROR(__xludf.DUMMYFUNCTION("""COMPUTED_VALUE"""),19700.0)</f>
        <v>19700</v>
      </c>
    </row>
    <row r="12161">
      <c r="A12161" t="str">
        <f t="shared" si="1"/>
        <v>plw#2004</v>
      </c>
      <c r="B12161" t="str">
        <f>IFERROR(__xludf.DUMMYFUNCTION("""COMPUTED_VALUE"""),"plw")</f>
        <v>plw</v>
      </c>
      <c r="C12161" t="str">
        <f>IFERROR(__xludf.DUMMYFUNCTION("""COMPUTED_VALUE"""),"Palau")</f>
        <v>Palau</v>
      </c>
      <c r="D12161">
        <f>IFERROR(__xludf.DUMMYFUNCTION("""COMPUTED_VALUE"""),2004.0)</f>
        <v>2004</v>
      </c>
      <c r="E12161">
        <f>IFERROR(__xludf.DUMMYFUNCTION("""COMPUTED_VALUE"""),19804.0)</f>
        <v>19804</v>
      </c>
    </row>
    <row r="12162">
      <c r="A12162" t="str">
        <f t="shared" si="1"/>
        <v>plw#2005</v>
      </c>
      <c r="B12162" t="str">
        <f>IFERROR(__xludf.DUMMYFUNCTION("""COMPUTED_VALUE"""),"plw")</f>
        <v>plw</v>
      </c>
      <c r="C12162" t="str">
        <f>IFERROR(__xludf.DUMMYFUNCTION("""COMPUTED_VALUE"""),"Palau")</f>
        <v>Palau</v>
      </c>
      <c r="D12162">
        <f>IFERROR(__xludf.DUMMYFUNCTION("""COMPUTED_VALUE"""),2005.0)</f>
        <v>2005</v>
      </c>
      <c r="E12162">
        <f>IFERROR(__xludf.DUMMYFUNCTION("""COMPUTED_VALUE"""),19906.0)</f>
        <v>19906</v>
      </c>
    </row>
    <row r="12163">
      <c r="A12163" t="str">
        <f t="shared" si="1"/>
        <v>plw#2006</v>
      </c>
      <c r="B12163" t="str">
        <f>IFERROR(__xludf.DUMMYFUNCTION("""COMPUTED_VALUE"""),"plw")</f>
        <v>plw</v>
      </c>
      <c r="C12163" t="str">
        <f>IFERROR(__xludf.DUMMYFUNCTION("""COMPUTED_VALUE"""),"Palau")</f>
        <v>Palau</v>
      </c>
      <c r="D12163">
        <f>IFERROR(__xludf.DUMMYFUNCTION("""COMPUTED_VALUE"""),2006.0)</f>
        <v>2006</v>
      </c>
      <c r="E12163">
        <f>IFERROR(__xludf.DUMMYFUNCTION("""COMPUTED_VALUE"""),20012.0)</f>
        <v>20012</v>
      </c>
    </row>
    <row r="12164">
      <c r="A12164" t="str">
        <f t="shared" si="1"/>
        <v>plw#2007</v>
      </c>
      <c r="B12164" t="str">
        <f>IFERROR(__xludf.DUMMYFUNCTION("""COMPUTED_VALUE"""),"plw")</f>
        <v>plw</v>
      </c>
      <c r="C12164" t="str">
        <f>IFERROR(__xludf.DUMMYFUNCTION("""COMPUTED_VALUE"""),"Palau")</f>
        <v>Palau</v>
      </c>
      <c r="D12164">
        <f>IFERROR(__xludf.DUMMYFUNCTION("""COMPUTED_VALUE"""),2007.0)</f>
        <v>2007</v>
      </c>
      <c r="E12164">
        <f>IFERROR(__xludf.DUMMYFUNCTION("""COMPUTED_VALUE"""),20116.0)</f>
        <v>20116</v>
      </c>
    </row>
    <row r="12165">
      <c r="A12165" t="str">
        <f t="shared" si="1"/>
        <v>plw#2008</v>
      </c>
      <c r="B12165" t="str">
        <f>IFERROR(__xludf.DUMMYFUNCTION("""COMPUTED_VALUE"""),"plw")</f>
        <v>plw</v>
      </c>
      <c r="C12165" t="str">
        <f>IFERROR(__xludf.DUMMYFUNCTION("""COMPUTED_VALUE"""),"Palau")</f>
        <v>Palau</v>
      </c>
      <c r="D12165">
        <f>IFERROR(__xludf.DUMMYFUNCTION("""COMPUTED_VALUE"""),2008.0)</f>
        <v>2008</v>
      </c>
      <c r="E12165">
        <f>IFERROR(__xludf.DUMMYFUNCTION("""COMPUTED_VALUE"""),20228.0)</f>
        <v>20228</v>
      </c>
    </row>
    <row r="12166">
      <c r="A12166" t="str">
        <f t="shared" si="1"/>
        <v>plw#2009</v>
      </c>
      <c r="B12166" t="str">
        <f>IFERROR(__xludf.DUMMYFUNCTION("""COMPUTED_VALUE"""),"plw")</f>
        <v>plw</v>
      </c>
      <c r="C12166" t="str">
        <f>IFERROR(__xludf.DUMMYFUNCTION("""COMPUTED_VALUE"""),"Palau")</f>
        <v>Palau</v>
      </c>
      <c r="D12166">
        <f>IFERROR(__xludf.DUMMYFUNCTION("""COMPUTED_VALUE"""),2009.0)</f>
        <v>2009</v>
      </c>
      <c r="E12166">
        <f>IFERROR(__xludf.DUMMYFUNCTION("""COMPUTED_VALUE"""),20342.0)</f>
        <v>20342</v>
      </c>
    </row>
    <row r="12167">
      <c r="A12167" t="str">
        <f t="shared" si="1"/>
        <v>plw#2010</v>
      </c>
      <c r="B12167" t="str">
        <f>IFERROR(__xludf.DUMMYFUNCTION("""COMPUTED_VALUE"""),"plw")</f>
        <v>plw</v>
      </c>
      <c r="C12167" t="str">
        <f>IFERROR(__xludf.DUMMYFUNCTION("""COMPUTED_VALUE"""),"Palau")</f>
        <v>Palau</v>
      </c>
      <c r="D12167">
        <f>IFERROR(__xludf.DUMMYFUNCTION("""COMPUTED_VALUE"""),2010.0)</f>
        <v>2010</v>
      </c>
      <c r="E12167">
        <f>IFERROR(__xludf.DUMMYFUNCTION("""COMPUTED_VALUE"""),20470.0)</f>
        <v>20470</v>
      </c>
    </row>
    <row r="12168">
      <c r="A12168" t="str">
        <f t="shared" si="1"/>
        <v>plw#2011</v>
      </c>
      <c r="B12168" t="str">
        <f>IFERROR(__xludf.DUMMYFUNCTION("""COMPUTED_VALUE"""),"plw")</f>
        <v>plw</v>
      </c>
      <c r="C12168" t="str">
        <f>IFERROR(__xludf.DUMMYFUNCTION("""COMPUTED_VALUE"""),"Palau")</f>
        <v>Palau</v>
      </c>
      <c r="D12168">
        <f>IFERROR(__xludf.DUMMYFUNCTION("""COMPUTED_VALUE"""),2011.0)</f>
        <v>2011</v>
      </c>
      <c r="E12168">
        <f>IFERROR(__xludf.DUMMYFUNCTION("""COMPUTED_VALUE"""),20599.0)</f>
        <v>20599</v>
      </c>
    </row>
    <row r="12169">
      <c r="A12169" t="str">
        <f t="shared" si="1"/>
        <v>plw#2012</v>
      </c>
      <c r="B12169" t="str">
        <f>IFERROR(__xludf.DUMMYFUNCTION("""COMPUTED_VALUE"""),"plw")</f>
        <v>plw</v>
      </c>
      <c r="C12169" t="str">
        <f>IFERROR(__xludf.DUMMYFUNCTION("""COMPUTED_VALUE"""),"Palau")</f>
        <v>Palau</v>
      </c>
      <c r="D12169">
        <f>IFERROR(__xludf.DUMMYFUNCTION("""COMPUTED_VALUE"""),2012.0)</f>
        <v>2012</v>
      </c>
      <c r="E12169">
        <f>IFERROR(__xludf.DUMMYFUNCTION("""COMPUTED_VALUE"""),20758.0)</f>
        <v>20758</v>
      </c>
    </row>
    <row r="12170">
      <c r="A12170" t="str">
        <f t="shared" si="1"/>
        <v>plw#2013</v>
      </c>
      <c r="B12170" t="str">
        <f>IFERROR(__xludf.DUMMYFUNCTION("""COMPUTED_VALUE"""),"plw")</f>
        <v>plw</v>
      </c>
      <c r="C12170" t="str">
        <f>IFERROR(__xludf.DUMMYFUNCTION("""COMPUTED_VALUE"""),"Palau")</f>
        <v>Palau</v>
      </c>
      <c r="D12170">
        <f>IFERROR(__xludf.DUMMYFUNCTION("""COMPUTED_VALUE"""),2013.0)</f>
        <v>2013</v>
      </c>
      <c r="E12170">
        <f>IFERROR(__xludf.DUMMYFUNCTION("""COMPUTED_VALUE"""),20920.0)</f>
        <v>20920</v>
      </c>
    </row>
    <row r="12171">
      <c r="A12171" t="str">
        <f t="shared" si="1"/>
        <v>plw#2014</v>
      </c>
      <c r="B12171" t="str">
        <f>IFERROR(__xludf.DUMMYFUNCTION("""COMPUTED_VALUE"""),"plw")</f>
        <v>plw</v>
      </c>
      <c r="C12171" t="str">
        <f>IFERROR(__xludf.DUMMYFUNCTION("""COMPUTED_VALUE"""),"Palau")</f>
        <v>Palau</v>
      </c>
      <c r="D12171">
        <f>IFERROR(__xludf.DUMMYFUNCTION("""COMPUTED_VALUE"""),2014.0)</f>
        <v>2014</v>
      </c>
      <c r="E12171">
        <f>IFERROR(__xludf.DUMMYFUNCTION("""COMPUTED_VALUE"""),21094.0)</f>
        <v>21094</v>
      </c>
    </row>
    <row r="12172">
      <c r="A12172" t="str">
        <f t="shared" si="1"/>
        <v>plw#2015</v>
      </c>
      <c r="B12172" t="str">
        <f>IFERROR(__xludf.DUMMYFUNCTION("""COMPUTED_VALUE"""),"plw")</f>
        <v>plw</v>
      </c>
      <c r="C12172" t="str">
        <f>IFERROR(__xludf.DUMMYFUNCTION("""COMPUTED_VALUE"""),"Palau")</f>
        <v>Palau</v>
      </c>
      <c r="D12172">
        <f>IFERROR(__xludf.DUMMYFUNCTION("""COMPUTED_VALUE"""),2015.0)</f>
        <v>2015</v>
      </c>
      <c r="E12172">
        <f>IFERROR(__xludf.DUMMYFUNCTION("""COMPUTED_VALUE"""),21288.0)</f>
        <v>21288</v>
      </c>
    </row>
    <row r="12173">
      <c r="A12173" t="str">
        <f t="shared" si="1"/>
        <v>plw#2016</v>
      </c>
      <c r="B12173" t="str">
        <f>IFERROR(__xludf.DUMMYFUNCTION("""COMPUTED_VALUE"""),"plw")</f>
        <v>plw</v>
      </c>
      <c r="C12173" t="str">
        <f>IFERROR(__xludf.DUMMYFUNCTION("""COMPUTED_VALUE"""),"Palau")</f>
        <v>Palau</v>
      </c>
      <c r="D12173">
        <f>IFERROR(__xludf.DUMMYFUNCTION("""COMPUTED_VALUE"""),2016.0)</f>
        <v>2016</v>
      </c>
      <c r="E12173">
        <f>IFERROR(__xludf.DUMMYFUNCTION("""COMPUTED_VALUE"""),21503.0)</f>
        <v>21503</v>
      </c>
    </row>
    <row r="12174">
      <c r="A12174" t="str">
        <f t="shared" si="1"/>
        <v>plw#2017</v>
      </c>
      <c r="B12174" t="str">
        <f>IFERROR(__xludf.DUMMYFUNCTION("""COMPUTED_VALUE"""),"plw")</f>
        <v>plw</v>
      </c>
      <c r="C12174" t="str">
        <f>IFERROR(__xludf.DUMMYFUNCTION("""COMPUTED_VALUE"""),"Palau")</f>
        <v>Palau</v>
      </c>
      <c r="D12174">
        <f>IFERROR(__xludf.DUMMYFUNCTION("""COMPUTED_VALUE"""),2017.0)</f>
        <v>2017</v>
      </c>
      <c r="E12174">
        <f>IFERROR(__xludf.DUMMYFUNCTION("""COMPUTED_VALUE"""),21729.0)</f>
        <v>21729</v>
      </c>
    </row>
    <row r="12175">
      <c r="A12175" t="str">
        <f t="shared" si="1"/>
        <v>plw#2018</v>
      </c>
      <c r="B12175" t="str">
        <f>IFERROR(__xludf.DUMMYFUNCTION("""COMPUTED_VALUE"""),"plw")</f>
        <v>plw</v>
      </c>
      <c r="C12175" t="str">
        <f>IFERROR(__xludf.DUMMYFUNCTION("""COMPUTED_VALUE"""),"Palau")</f>
        <v>Palau</v>
      </c>
      <c r="D12175">
        <f>IFERROR(__xludf.DUMMYFUNCTION("""COMPUTED_VALUE"""),2018.0)</f>
        <v>2018</v>
      </c>
      <c r="E12175">
        <f>IFERROR(__xludf.DUMMYFUNCTION("""COMPUTED_VALUE"""),21964.0)</f>
        <v>21964</v>
      </c>
    </row>
    <row r="12176">
      <c r="A12176" t="str">
        <f t="shared" si="1"/>
        <v>plw#2019</v>
      </c>
      <c r="B12176" t="str">
        <f>IFERROR(__xludf.DUMMYFUNCTION("""COMPUTED_VALUE"""),"plw")</f>
        <v>plw</v>
      </c>
      <c r="C12176" t="str">
        <f>IFERROR(__xludf.DUMMYFUNCTION("""COMPUTED_VALUE"""),"Palau")</f>
        <v>Palau</v>
      </c>
      <c r="D12176">
        <f>IFERROR(__xludf.DUMMYFUNCTION("""COMPUTED_VALUE"""),2019.0)</f>
        <v>2019</v>
      </c>
      <c r="E12176">
        <f>IFERROR(__xludf.DUMMYFUNCTION("""COMPUTED_VALUE"""),22206.0)</f>
        <v>22206</v>
      </c>
    </row>
    <row r="12177">
      <c r="A12177" t="str">
        <f t="shared" si="1"/>
        <v>plw#2020</v>
      </c>
      <c r="B12177" t="str">
        <f>IFERROR(__xludf.DUMMYFUNCTION("""COMPUTED_VALUE"""),"plw")</f>
        <v>plw</v>
      </c>
      <c r="C12177" t="str">
        <f>IFERROR(__xludf.DUMMYFUNCTION("""COMPUTED_VALUE"""),"Palau")</f>
        <v>Palau</v>
      </c>
      <c r="D12177">
        <f>IFERROR(__xludf.DUMMYFUNCTION("""COMPUTED_VALUE"""),2020.0)</f>
        <v>2020</v>
      </c>
      <c r="E12177">
        <f>IFERROR(__xludf.DUMMYFUNCTION("""COMPUTED_VALUE"""),22442.0)</f>
        <v>22442</v>
      </c>
    </row>
    <row r="12178">
      <c r="A12178" t="str">
        <f t="shared" si="1"/>
        <v>plw#2021</v>
      </c>
      <c r="B12178" t="str">
        <f>IFERROR(__xludf.DUMMYFUNCTION("""COMPUTED_VALUE"""),"plw")</f>
        <v>plw</v>
      </c>
      <c r="C12178" t="str">
        <f>IFERROR(__xludf.DUMMYFUNCTION("""COMPUTED_VALUE"""),"Palau")</f>
        <v>Palau</v>
      </c>
      <c r="D12178">
        <f>IFERROR(__xludf.DUMMYFUNCTION("""COMPUTED_VALUE"""),2021.0)</f>
        <v>2021</v>
      </c>
      <c r="E12178">
        <f>IFERROR(__xludf.DUMMYFUNCTION("""COMPUTED_VALUE"""),22682.0)</f>
        <v>22682</v>
      </c>
    </row>
    <row r="12179">
      <c r="A12179" t="str">
        <f t="shared" si="1"/>
        <v>plw#2022</v>
      </c>
      <c r="B12179" t="str">
        <f>IFERROR(__xludf.DUMMYFUNCTION("""COMPUTED_VALUE"""),"plw")</f>
        <v>plw</v>
      </c>
      <c r="C12179" t="str">
        <f>IFERROR(__xludf.DUMMYFUNCTION("""COMPUTED_VALUE"""),"Palau")</f>
        <v>Palau</v>
      </c>
      <c r="D12179">
        <f>IFERROR(__xludf.DUMMYFUNCTION("""COMPUTED_VALUE"""),2022.0)</f>
        <v>2022</v>
      </c>
      <c r="E12179">
        <f>IFERROR(__xludf.DUMMYFUNCTION("""COMPUTED_VALUE"""),22927.0)</f>
        <v>22927</v>
      </c>
    </row>
    <row r="12180">
      <c r="A12180" t="str">
        <f t="shared" si="1"/>
        <v>plw#2023</v>
      </c>
      <c r="B12180" t="str">
        <f>IFERROR(__xludf.DUMMYFUNCTION("""COMPUTED_VALUE"""),"plw")</f>
        <v>plw</v>
      </c>
      <c r="C12180" t="str">
        <f>IFERROR(__xludf.DUMMYFUNCTION("""COMPUTED_VALUE"""),"Palau")</f>
        <v>Palau</v>
      </c>
      <c r="D12180">
        <f>IFERROR(__xludf.DUMMYFUNCTION("""COMPUTED_VALUE"""),2023.0)</f>
        <v>2023</v>
      </c>
      <c r="E12180">
        <f>IFERROR(__xludf.DUMMYFUNCTION("""COMPUTED_VALUE"""),23164.0)</f>
        <v>23164</v>
      </c>
    </row>
    <row r="12181">
      <c r="A12181" t="str">
        <f t="shared" si="1"/>
        <v>plw#2024</v>
      </c>
      <c r="B12181" t="str">
        <f>IFERROR(__xludf.DUMMYFUNCTION("""COMPUTED_VALUE"""),"plw")</f>
        <v>plw</v>
      </c>
      <c r="C12181" t="str">
        <f>IFERROR(__xludf.DUMMYFUNCTION("""COMPUTED_VALUE"""),"Palau")</f>
        <v>Palau</v>
      </c>
      <c r="D12181">
        <f>IFERROR(__xludf.DUMMYFUNCTION("""COMPUTED_VALUE"""),2024.0)</f>
        <v>2024</v>
      </c>
      <c r="E12181">
        <f>IFERROR(__xludf.DUMMYFUNCTION("""COMPUTED_VALUE"""),23407.0)</f>
        <v>23407</v>
      </c>
    </row>
    <row r="12182">
      <c r="A12182" t="str">
        <f t="shared" si="1"/>
        <v>plw#2025</v>
      </c>
      <c r="B12182" t="str">
        <f>IFERROR(__xludf.DUMMYFUNCTION("""COMPUTED_VALUE"""),"plw")</f>
        <v>plw</v>
      </c>
      <c r="C12182" t="str">
        <f>IFERROR(__xludf.DUMMYFUNCTION("""COMPUTED_VALUE"""),"Palau")</f>
        <v>Palau</v>
      </c>
      <c r="D12182">
        <f>IFERROR(__xludf.DUMMYFUNCTION("""COMPUTED_VALUE"""),2025.0)</f>
        <v>2025</v>
      </c>
      <c r="E12182">
        <f>IFERROR(__xludf.DUMMYFUNCTION("""COMPUTED_VALUE"""),23635.0)</f>
        <v>23635</v>
      </c>
    </row>
    <row r="12183">
      <c r="A12183" t="str">
        <f t="shared" si="1"/>
        <v>plw#2026</v>
      </c>
      <c r="B12183" t="str">
        <f>IFERROR(__xludf.DUMMYFUNCTION("""COMPUTED_VALUE"""),"plw")</f>
        <v>plw</v>
      </c>
      <c r="C12183" t="str">
        <f>IFERROR(__xludf.DUMMYFUNCTION("""COMPUTED_VALUE"""),"Palau")</f>
        <v>Palau</v>
      </c>
      <c r="D12183">
        <f>IFERROR(__xludf.DUMMYFUNCTION("""COMPUTED_VALUE"""),2026.0)</f>
        <v>2026</v>
      </c>
      <c r="E12183">
        <f>IFERROR(__xludf.DUMMYFUNCTION("""COMPUTED_VALUE"""),23867.0)</f>
        <v>23867</v>
      </c>
    </row>
    <row r="12184">
      <c r="A12184" t="str">
        <f t="shared" si="1"/>
        <v>plw#2027</v>
      </c>
      <c r="B12184" t="str">
        <f>IFERROR(__xludf.DUMMYFUNCTION("""COMPUTED_VALUE"""),"plw")</f>
        <v>plw</v>
      </c>
      <c r="C12184" t="str">
        <f>IFERROR(__xludf.DUMMYFUNCTION("""COMPUTED_VALUE"""),"Palau")</f>
        <v>Palau</v>
      </c>
      <c r="D12184">
        <f>IFERROR(__xludf.DUMMYFUNCTION("""COMPUTED_VALUE"""),2027.0)</f>
        <v>2027</v>
      </c>
      <c r="E12184">
        <f>IFERROR(__xludf.DUMMYFUNCTION("""COMPUTED_VALUE"""),24105.0)</f>
        <v>24105</v>
      </c>
    </row>
    <row r="12185">
      <c r="A12185" t="str">
        <f t="shared" si="1"/>
        <v>plw#2028</v>
      </c>
      <c r="B12185" t="str">
        <f>IFERROR(__xludf.DUMMYFUNCTION("""COMPUTED_VALUE"""),"plw")</f>
        <v>plw</v>
      </c>
      <c r="C12185" t="str">
        <f>IFERROR(__xludf.DUMMYFUNCTION("""COMPUTED_VALUE"""),"Palau")</f>
        <v>Palau</v>
      </c>
      <c r="D12185">
        <f>IFERROR(__xludf.DUMMYFUNCTION("""COMPUTED_VALUE"""),2028.0)</f>
        <v>2028</v>
      </c>
      <c r="E12185">
        <f>IFERROR(__xludf.DUMMYFUNCTION("""COMPUTED_VALUE"""),24326.0)</f>
        <v>24326</v>
      </c>
    </row>
    <row r="12186">
      <c r="A12186" t="str">
        <f t="shared" si="1"/>
        <v>plw#2029</v>
      </c>
      <c r="B12186" t="str">
        <f>IFERROR(__xludf.DUMMYFUNCTION("""COMPUTED_VALUE"""),"plw")</f>
        <v>plw</v>
      </c>
      <c r="C12186" t="str">
        <f>IFERROR(__xludf.DUMMYFUNCTION("""COMPUTED_VALUE"""),"Palau")</f>
        <v>Palau</v>
      </c>
      <c r="D12186">
        <f>IFERROR(__xludf.DUMMYFUNCTION("""COMPUTED_VALUE"""),2029.0)</f>
        <v>2029</v>
      </c>
      <c r="E12186">
        <f>IFERROR(__xludf.DUMMYFUNCTION("""COMPUTED_VALUE"""),24548.0)</f>
        <v>24548</v>
      </c>
    </row>
    <row r="12187">
      <c r="A12187" t="str">
        <f t="shared" si="1"/>
        <v>plw#2030</v>
      </c>
      <c r="B12187" t="str">
        <f>IFERROR(__xludf.DUMMYFUNCTION("""COMPUTED_VALUE"""),"plw")</f>
        <v>plw</v>
      </c>
      <c r="C12187" t="str">
        <f>IFERROR(__xludf.DUMMYFUNCTION("""COMPUTED_VALUE"""),"Palau")</f>
        <v>Palau</v>
      </c>
      <c r="D12187">
        <f>IFERROR(__xludf.DUMMYFUNCTION("""COMPUTED_VALUE"""),2030.0)</f>
        <v>2030</v>
      </c>
      <c r="E12187">
        <f>IFERROR(__xludf.DUMMYFUNCTION("""COMPUTED_VALUE"""),24760.0)</f>
        <v>24760</v>
      </c>
    </row>
    <row r="12188">
      <c r="A12188" t="str">
        <f t="shared" si="1"/>
        <v>plw#2031</v>
      </c>
      <c r="B12188" t="str">
        <f>IFERROR(__xludf.DUMMYFUNCTION("""COMPUTED_VALUE"""),"plw")</f>
        <v>plw</v>
      </c>
      <c r="C12188" t="str">
        <f>IFERROR(__xludf.DUMMYFUNCTION("""COMPUTED_VALUE"""),"Palau")</f>
        <v>Palau</v>
      </c>
      <c r="D12188">
        <f>IFERROR(__xludf.DUMMYFUNCTION("""COMPUTED_VALUE"""),2031.0)</f>
        <v>2031</v>
      </c>
      <c r="E12188">
        <f>IFERROR(__xludf.DUMMYFUNCTION("""COMPUTED_VALUE"""),24964.0)</f>
        <v>24964</v>
      </c>
    </row>
    <row r="12189">
      <c r="A12189" t="str">
        <f t="shared" si="1"/>
        <v>plw#2032</v>
      </c>
      <c r="B12189" t="str">
        <f>IFERROR(__xludf.DUMMYFUNCTION("""COMPUTED_VALUE"""),"plw")</f>
        <v>plw</v>
      </c>
      <c r="C12189" t="str">
        <f>IFERROR(__xludf.DUMMYFUNCTION("""COMPUTED_VALUE"""),"Palau")</f>
        <v>Palau</v>
      </c>
      <c r="D12189">
        <f>IFERROR(__xludf.DUMMYFUNCTION("""COMPUTED_VALUE"""),2032.0)</f>
        <v>2032</v>
      </c>
      <c r="E12189">
        <f>IFERROR(__xludf.DUMMYFUNCTION("""COMPUTED_VALUE"""),25171.0)</f>
        <v>25171</v>
      </c>
    </row>
    <row r="12190">
      <c r="A12190" t="str">
        <f t="shared" si="1"/>
        <v>plw#2033</v>
      </c>
      <c r="B12190" t="str">
        <f>IFERROR(__xludf.DUMMYFUNCTION("""COMPUTED_VALUE"""),"plw")</f>
        <v>plw</v>
      </c>
      <c r="C12190" t="str">
        <f>IFERROR(__xludf.DUMMYFUNCTION("""COMPUTED_VALUE"""),"Palau")</f>
        <v>Palau</v>
      </c>
      <c r="D12190">
        <f>IFERROR(__xludf.DUMMYFUNCTION("""COMPUTED_VALUE"""),2033.0)</f>
        <v>2033</v>
      </c>
      <c r="E12190">
        <f>IFERROR(__xludf.DUMMYFUNCTION("""COMPUTED_VALUE"""),25362.0)</f>
        <v>25362</v>
      </c>
    </row>
    <row r="12191">
      <c r="A12191" t="str">
        <f t="shared" si="1"/>
        <v>plw#2034</v>
      </c>
      <c r="B12191" t="str">
        <f>IFERROR(__xludf.DUMMYFUNCTION("""COMPUTED_VALUE"""),"plw")</f>
        <v>plw</v>
      </c>
      <c r="C12191" t="str">
        <f>IFERROR(__xludf.DUMMYFUNCTION("""COMPUTED_VALUE"""),"Palau")</f>
        <v>Palau</v>
      </c>
      <c r="D12191">
        <f>IFERROR(__xludf.DUMMYFUNCTION("""COMPUTED_VALUE"""),2034.0)</f>
        <v>2034</v>
      </c>
      <c r="E12191">
        <f>IFERROR(__xludf.DUMMYFUNCTION("""COMPUTED_VALUE"""),25541.0)</f>
        <v>25541</v>
      </c>
    </row>
    <row r="12192">
      <c r="A12192" t="str">
        <f t="shared" si="1"/>
        <v>plw#2035</v>
      </c>
      <c r="B12192" t="str">
        <f>IFERROR(__xludf.DUMMYFUNCTION("""COMPUTED_VALUE"""),"plw")</f>
        <v>plw</v>
      </c>
      <c r="C12192" t="str">
        <f>IFERROR(__xludf.DUMMYFUNCTION("""COMPUTED_VALUE"""),"Palau")</f>
        <v>Palau</v>
      </c>
      <c r="D12192">
        <f>IFERROR(__xludf.DUMMYFUNCTION("""COMPUTED_VALUE"""),2035.0)</f>
        <v>2035</v>
      </c>
      <c r="E12192">
        <f>IFERROR(__xludf.DUMMYFUNCTION("""COMPUTED_VALUE"""),25715.0)</f>
        <v>25715</v>
      </c>
    </row>
    <row r="12193">
      <c r="A12193" t="str">
        <f t="shared" si="1"/>
        <v>plw#2036</v>
      </c>
      <c r="B12193" t="str">
        <f>IFERROR(__xludf.DUMMYFUNCTION("""COMPUTED_VALUE"""),"plw")</f>
        <v>plw</v>
      </c>
      <c r="C12193" t="str">
        <f>IFERROR(__xludf.DUMMYFUNCTION("""COMPUTED_VALUE"""),"Palau")</f>
        <v>Palau</v>
      </c>
      <c r="D12193">
        <f>IFERROR(__xludf.DUMMYFUNCTION("""COMPUTED_VALUE"""),2036.0)</f>
        <v>2036</v>
      </c>
      <c r="E12193">
        <f>IFERROR(__xludf.DUMMYFUNCTION("""COMPUTED_VALUE"""),25881.0)</f>
        <v>25881</v>
      </c>
    </row>
    <row r="12194">
      <c r="A12194" t="str">
        <f t="shared" si="1"/>
        <v>plw#2037</v>
      </c>
      <c r="B12194" t="str">
        <f>IFERROR(__xludf.DUMMYFUNCTION("""COMPUTED_VALUE"""),"plw")</f>
        <v>plw</v>
      </c>
      <c r="C12194" t="str">
        <f>IFERROR(__xludf.DUMMYFUNCTION("""COMPUTED_VALUE"""),"Palau")</f>
        <v>Palau</v>
      </c>
      <c r="D12194">
        <f>IFERROR(__xludf.DUMMYFUNCTION("""COMPUTED_VALUE"""),2037.0)</f>
        <v>2037</v>
      </c>
      <c r="E12194">
        <f>IFERROR(__xludf.DUMMYFUNCTION("""COMPUTED_VALUE"""),26033.0)</f>
        <v>26033</v>
      </c>
    </row>
    <row r="12195">
      <c r="A12195" t="str">
        <f t="shared" si="1"/>
        <v>plw#2038</v>
      </c>
      <c r="B12195" t="str">
        <f>IFERROR(__xludf.DUMMYFUNCTION("""COMPUTED_VALUE"""),"plw")</f>
        <v>plw</v>
      </c>
      <c r="C12195" t="str">
        <f>IFERROR(__xludf.DUMMYFUNCTION("""COMPUTED_VALUE"""),"Palau")</f>
        <v>Palau</v>
      </c>
      <c r="D12195">
        <f>IFERROR(__xludf.DUMMYFUNCTION("""COMPUTED_VALUE"""),2038.0)</f>
        <v>2038</v>
      </c>
      <c r="E12195">
        <f>IFERROR(__xludf.DUMMYFUNCTION("""COMPUTED_VALUE"""),26184.0)</f>
        <v>26184</v>
      </c>
    </row>
    <row r="12196">
      <c r="A12196" t="str">
        <f t="shared" si="1"/>
        <v>plw#2039</v>
      </c>
      <c r="B12196" t="str">
        <f>IFERROR(__xludf.DUMMYFUNCTION("""COMPUTED_VALUE"""),"plw")</f>
        <v>plw</v>
      </c>
      <c r="C12196" t="str">
        <f>IFERROR(__xludf.DUMMYFUNCTION("""COMPUTED_VALUE"""),"Palau")</f>
        <v>Palau</v>
      </c>
      <c r="D12196">
        <f>IFERROR(__xludf.DUMMYFUNCTION("""COMPUTED_VALUE"""),2039.0)</f>
        <v>2039</v>
      </c>
      <c r="E12196">
        <f>IFERROR(__xludf.DUMMYFUNCTION("""COMPUTED_VALUE"""),26329.0)</f>
        <v>26329</v>
      </c>
    </row>
    <row r="12197">
      <c r="A12197" t="str">
        <f t="shared" si="1"/>
        <v>plw#2040</v>
      </c>
      <c r="B12197" t="str">
        <f>IFERROR(__xludf.DUMMYFUNCTION("""COMPUTED_VALUE"""),"plw")</f>
        <v>plw</v>
      </c>
      <c r="C12197" t="str">
        <f>IFERROR(__xludf.DUMMYFUNCTION("""COMPUTED_VALUE"""),"Palau")</f>
        <v>Palau</v>
      </c>
      <c r="D12197">
        <f>IFERROR(__xludf.DUMMYFUNCTION("""COMPUTED_VALUE"""),2040.0)</f>
        <v>2040</v>
      </c>
      <c r="E12197">
        <f>IFERROR(__xludf.DUMMYFUNCTION("""COMPUTED_VALUE"""),26463.0)</f>
        <v>26463</v>
      </c>
    </row>
    <row r="12198">
      <c r="A12198" t="str">
        <f t="shared" si="1"/>
        <v>pan#1950</v>
      </c>
      <c r="B12198" t="str">
        <f>IFERROR(__xludf.DUMMYFUNCTION("""COMPUTED_VALUE"""),"pan")</f>
        <v>pan</v>
      </c>
      <c r="C12198" t="str">
        <f>IFERROR(__xludf.DUMMYFUNCTION("""COMPUTED_VALUE"""),"Panama")</f>
        <v>Panama</v>
      </c>
      <c r="D12198">
        <f>IFERROR(__xludf.DUMMYFUNCTION("""COMPUTED_VALUE"""),1950.0)</f>
        <v>1950</v>
      </c>
      <c r="E12198">
        <f>IFERROR(__xludf.DUMMYFUNCTION("""COMPUTED_VALUE"""),859659.0)</f>
        <v>859659</v>
      </c>
    </row>
    <row r="12199">
      <c r="A12199" t="str">
        <f t="shared" si="1"/>
        <v>pan#1951</v>
      </c>
      <c r="B12199" t="str">
        <f>IFERROR(__xludf.DUMMYFUNCTION("""COMPUTED_VALUE"""),"pan")</f>
        <v>pan</v>
      </c>
      <c r="C12199" t="str">
        <f>IFERROR(__xludf.DUMMYFUNCTION("""COMPUTED_VALUE"""),"Panama")</f>
        <v>Panama</v>
      </c>
      <c r="D12199">
        <f>IFERROR(__xludf.DUMMYFUNCTION("""COMPUTED_VALUE"""),1951.0)</f>
        <v>1951</v>
      </c>
      <c r="E12199">
        <f>IFERROR(__xludf.DUMMYFUNCTION("""COMPUTED_VALUE"""),881344.0)</f>
        <v>881344</v>
      </c>
    </row>
    <row r="12200">
      <c r="A12200" t="str">
        <f t="shared" si="1"/>
        <v>pan#1952</v>
      </c>
      <c r="B12200" t="str">
        <f>IFERROR(__xludf.DUMMYFUNCTION("""COMPUTED_VALUE"""),"pan")</f>
        <v>pan</v>
      </c>
      <c r="C12200" t="str">
        <f>IFERROR(__xludf.DUMMYFUNCTION("""COMPUTED_VALUE"""),"Panama")</f>
        <v>Panama</v>
      </c>
      <c r="D12200">
        <f>IFERROR(__xludf.DUMMYFUNCTION("""COMPUTED_VALUE"""),1952.0)</f>
        <v>1952</v>
      </c>
      <c r="E12200">
        <f>IFERROR(__xludf.DUMMYFUNCTION("""COMPUTED_VALUE"""),904386.0)</f>
        <v>904386</v>
      </c>
    </row>
    <row r="12201">
      <c r="A12201" t="str">
        <f t="shared" si="1"/>
        <v>pan#1953</v>
      </c>
      <c r="B12201" t="str">
        <f>IFERROR(__xludf.DUMMYFUNCTION("""COMPUTED_VALUE"""),"pan")</f>
        <v>pan</v>
      </c>
      <c r="C12201" t="str">
        <f>IFERROR(__xludf.DUMMYFUNCTION("""COMPUTED_VALUE"""),"Panama")</f>
        <v>Panama</v>
      </c>
      <c r="D12201">
        <f>IFERROR(__xludf.DUMMYFUNCTION("""COMPUTED_VALUE"""),1953.0)</f>
        <v>1953</v>
      </c>
      <c r="E12201">
        <f>IFERROR(__xludf.DUMMYFUNCTION("""COMPUTED_VALUE"""),928712.0)</f>
        <v>928712</v>
      </c>
    </row>
    <row r="12202">
      <c r="A12202" t="str">
        <f t="shared" si="1"/>
        <v>pan#1954</v>
      </c>
      <c r="B12202" t="str">
        <f>IFERROR(__xludf.DUMMYFUNCTION("""COMPUTED_VALUE"""),"pan")</f>
        <v>pan</v>
      </c>
      <c r="C12202" t="str">
        <f>IFERROR(__xludf.DUMMYFUNCTION("""COMPUTED_VALUE"""),"Panama")</f>
        <v>Panama</v>
      </c>
      <c r="D12202">
        <f>IFERROR(__xludf.DUMMYFUNCTION("""COMPUTED_VALUE"""),1954.0)</f>
        <v>1954</v>
      </c>
      <c r="E12202">
        <f>IFERROR(__xludf.DUMMYFUNCTION("""COMPUTED_VALUE"""),954268.0)</f>
        <v>954268</v>
      </c>
    </row>
    <row r="12203">
      <c r="A12203" t="str">
        <f t="shared" si="1"/>
        <v>pan#1955</v>
      </c>
      <c r="B12203" t="str">
        <f>IFERROR(__xludf.DUMMYFUNCTION("""COMPUTED_VALUE"""),"pan")</f>
        <v>pan</v>
      </c>
      <c r="C12203" t="str">
        <f>IFERROR(__xludf.DUMMYFUNCTION("""COMPUTED_VALUE"""),"Panama")</f>
        <v>Panama</v>
      </c>
      <c r="D12203">
        <f>IFERROR(__xludf.DUMMYFUNCTION("""COMPUTED_VALUE"""),1955.0)</f>
        <v>1955</v>
      </c>
      <c r="E12203">
        <f>IFERROR(__xludf.DUMMYFUNCTION("""COMPUTED_VALUE"""),981032.0)</f>
        <v>981032</v>
      </c>
    </row>
    <row r="12204">
      <c r="A12204" t="str">
        <f t="shared" si="1"/>
        <v>pan#1956</v>
      </c>
      <c r="B12204" t="str">
        <f>IFERROR(__xludf.DUMMYFUNCTION("""COMPUTED_VALUE"""),"pan")</f>
        <v>pan</v>
      </c>
      <c r="C12204" t="str">
        <f>IFERROR(__xludf.DUMMYFUNCTION("""COMPUTED_VALUE"""),"Panama")</f>
        <v>Panama</v>
      </c>
      <c r="D12204">
        <f>IFERROR(__xludf.DUMMYFUNCTION("""COMPUTED_VALUE"""),1956.0)</f>
        <v>1956</v>
      </c>
      <c r="E12204">
        <f>IFERROR(__xludf.DUMMYFUNCTION("""COMPUTED_VALUE"""),1008980.0)</f>
        <v>1008980</v>
      </c>
    </row>
    <row r="12205">
      <c r="A12205" t="str">
        <f t="shared" si="1"/>
        <v>pan#1957</v>
      </c>
      <c r="B12205" t="str">
        <f>IFERROR(__xludf.DUMMYFUNCTION("""COMPUTED_VALUE"""),"pan")</f>
        <v>pan</v>
      </c>
      <c r="C12205" t="str">
        <f>IFERROR(__xludf.DUMMYFUNCTION("""COMPUTED_VALUE"""),"Panama")</f>
        <v>Panama</v>
      </c>
      <c r="D12205">
        <f>IFERROR(__xludf.DUMMYFUNCTION("""COMPUTED_VALUE"""),1957.0)</f>
        <v>1957</v>
      </c>
      <c r="E12205">
        <f>IFERROR(__xludf.DUMMYFUNCTION("""COMPUTED_VALUE"""),1038127.0)</f>
        <v>1038127</v>
      </c>
    </row>
    <row r="12206">
      <c r="A12206" t="str">
        <f t="shared" si="1"/>
        <v>pan#1958</v>
      </c>
      <c r="B12206" t="str">
        <f>IFERROR(__xludf.DUMMYFUNCTION("""COMPUTED_VALUE"""),"pan")</f>
        <v>pan</v>
      </c>
      <c r="C12206" t="str">
        <f>IFERROR(__xludf.DUMMYFUNCTION("""COMPUTED_VALUE"""),"Panama")</f>
        <v>Panama</v>
      </c>
      <c r="D12206">
        <f>IFERROR(__xludf.DUMMYFUNCTION("""COMPUTED_VALUE"""),1958.0)</f>
        <v>1958</v>
      </c>
      <c r="E12206">
        <f>IFERROR(__xludf.DUMMYFUNCTION("""COMPUTED_VALUE"""),1068471.0)</f>
        <v>1068471</v>
      </c>
    </row>
    <row r="12207">
      <c r="A12207" t="str">
        <f t="shared" si="1"/>
        <v>pan#1959</v>
      </c>
      <c r="B12207" t="str">
        <f>IFERROR(__xludf.DUMMYFUNCTION("""COMPUTED_VALUE"""),"pan")</f>
        <v>pan</v>
      </c>
      <c r="C12207" t="str">
        <f>IFERROR(__xludf.DUMMYFUNCTION("""COMPUTED_VALUE"""),"Panama")</f>
        <v>Panama</v>
      </c>
      <c r="D12207">
        <f>IFERROR(__xludf.DUMMYFUNCTION("""COMPUTED_VALUE"""),1959.0)</f>
        <v>1959</v>
      </c>
      <c r="E12207">
        <f>IFERROR(__xludf.DUMMYFUNCTION("""COMPUTED_VALUE"""),1100067.0)</f>
        <v>1100067</v>
      </c>
    </row>
    <row r="12208">
      <c r="A12208" t="str">
        <f t="shared" si="1"/>
        <v>pan#1960</v>
      </c>
      <c r="B12208" t="str">
        <f>IFERROR(__xludf.DUMMYFUNCTION("""COMPUTED_VALUE"""),"pan")</f>
        <v>pan</v>
      </c>
      <c r="C12208" t="str">
        <f>IFERROR(__xludf.DUMMYFUNCTION("""COMPUTED_VALUE"""),"Panama")</f>
        <v>Panama</v>
      </c>
      <c r="D12208">
        <f>IFERROR(__xludf.DUMMYFUNCTION("""COMPUTED_VALUE"""),1960.0)</f>
        <v>1960</v>
      </c>
      <c r="E12208">
        <f>IFERROR(__xludf.DUMMYFUNCTION("""COMPUTED_VALUE"""),1132921.0)</f>
        <v>1132921</v>
      </c>
    </row>
    <row r="12209">
      <c r="A12209" t="str">
        <f t="shared" si="1"/>
        <v>pan#1961</v>
      </c>
      <c r="B12209" t="str">
        <f>IFERROR(__xludf.DUMMYFUNCTION("""COMPUTED_VALUE"""),"pan")</f>
        <v>pan</v>
      </c>
      <c r="C12209" t="str">
        <f>IFERROR(__xludf.DUMMYFUNCTION("""COMPUTED_VALUE"""),"Panama")</f>
        <v>Panama</v>
      </c>
      <c r="D12209">
        <f>IFERROR(__xludf.DUMMYFUNCTION("""COMPUTED_VALUE"""),1961.0)</f>
        <v>1961</v>
      </c>
      <c r="E12209">
        <f>IFERROR(__xludf.DUMMYFUNCTION("""COMPUTED_VALUE"""),1167035.0)</f>
        <v>1167035</v>
      </c>
    </row>
    <row r="12210">
      <c r="A12210" t="str">
        <f t="shared" si="1"/>
        <v>pan#1962</v>
      </c>
      <c r="B12210" t="str">
        <f>IFERROR(__xludf.DUMMYFUNCTION("""COMPUTED_VALUE"""),"pan")</f>
        <v>pan</v>
      </c>
      <c r="C12210" t="str">
        <f>IFERROR(__xludf.DUMMYFUNCTION("""COMPUTED_VALUE"""),"Panama")</f>
        <v>Panama</v>
      </c>
      <c r="D12210">
        <f>IFERROR(__xludf.DUMMYFUNCTION("""COMPUTED_VALUE"""),1962.0)</f>
        <v>1962</v>
      </c>
      <c r="E12210">
        <f>IFERROR(__xludf.DUMMYFUNCTION("""COMPUTED_VALUE"""),1202373.0)</f>
        <v>1202373</v>
      </c>
    </row>
    <row r="12211">
      <c r="A12211" t="str">
        <f t="shared" si="1"/>
        <v>pan#1963</v>
      </c>
      <c r="B12211" t="str">
        <f>IFERROR(__xludf.DUMMYFUNCTION("""COMPUTED_VALUE"""),"pan")</f>
        <v>pan</v>
      </c>
      <c r="C12211" t="str">
        <f>IFERROR(__xludf.DUMMYFUNCTION("""COMPUTED_VALUE"""),"Panama")</f>
        <v>Panama</v>
      </c>
      <c r="D12211">
        <f>IFERROR(__xludf.DUMMYFUNCTION("""COMPUTED_VALUE"""),1963.0)</f>
        <v>1963</v>
      </c>
      <c r="E12211">
        <f>IFERROR(__xludf.DUMMYFUNCTION("""COMPUTED_VALUE"""),1238823.0)</f>
        <v>1238823</v>
      </c>
    </row>
    <row r="12212">
      <c r="A12212" t="str">
        <f t="shared" si="1"/>
        <v>pan#1964</v>
      </c>
      <c r="B12212" t="str">
        <f>IFERROR(__xludf.DUMMYFUNCTION("""COMPUTED_VALUE"""),"pan")</f>
        <v>pan</v>
      </c>
      <c r="C12212" t="str">
        <f>IFERROR(__xludf.DUMMYFUNCTION("""COMPUTED_VALUE"""),"Panama")</f>
        <v>Panama</v>
      </c>
      <c r="D12212">
        <f>IFERROR(__xludf.DUMMYFUNCTION("""COMPUTED_VALUE"""),1964.0)</f>
        <v>1964</v>
      </c>
      <c r="E12212">
        <f>IFERROR(__xludf.DUMMYFUNCTION("""COMPUTED_VALUE"""),1276276.0)</f>
        <v>1276276</v>
      </c>
    </row>
    <row r="12213">
      <c r="A12213" t="str">
        <f t="shared" si="1"/>
        <v>pan#1965</v>
      </c>
      <c r="B12213" t="str">
        <f>IFERROR(__xludf.DUMMYFUNCTION("""COMPUTED_VALUE"""),"pan")</f>
        <v>pan</v>
      </c>
      <c r="C12213" t="str">
        <f>IFERROR(__xludf.DUMMYFUNCTION("""COMPUTED_VALUE"""),"Panama")</f>
        <v>Panama</v>
      </c>
      <c r="D12213">
        <f>IFERROR(__xludf.DUMMYFUNCTION("""COMPUTED_VALUE"""),1965.0)</f>
        <v>1965</v>
      </c>
      <c r="E12213">
        <f>IFERROR(__xludf.DUMMYFUNCTION("""COMPUTED_VALUE"""),1314626.0)</f>
        <v>1314626</v>
      </c>
    </row>
    <row r="12214">
      <c r="A12214" t="str">
        <f t="shared" si="1"/>
        <v>pan#1966</v>
      </c>
      <c r="B12214" t="str">
        <f>IFERROR(__xludf.DUMMYFUNCTION("""COMPUTED_VALUE"""),"pan")</f>
        <v>pan</v>
      </c>
      <c r="C12214" t="str">
        <f>IFERROR(__xludf.DUMMYFUNCTION("""COMPUTED_VALUE"""),"Panama")</f>
        <v>Panama</v>
      </c>
      <c r="D12214">
        <f>IFERROR(__xludf.DUMMYFUNCTION("""COMPUTED_VALUE"""),1966.0)</f>
        <v>1966</v>
      </c>
      <c r="E12214">
        <f>IFERROR(__xludf.DUMMYFUNCTION("""COMPUTED_VALUE"""),1353804.0)</f>
        <v>1353804</v>
      </c>
    </row>
    <row r="12215">
      <c r="A12215" t="str">
        <f t="shared" si="1"/>
        <v>pan#1967</v>
      </c>
      <c r="B12215" t="str">
        <f>IFERROR(__xludf.DUMMYFUNCTION("""COMPUTED_VALUE"""),"pan")</f>
        <v>pan</v>
      </c>
      <c r="C12215" t="str">
        <f>IFERROR(__xludf.DUMMYFUNCTION("""COMPUTED_VALUE"""),"Panama")</f>
        <v>Panama</v>
      </c>
      <c r="D12215">
        <f>IFERROR(__xludf.DUMMYFUNCTION("""COMPUTED_VALUE"""),1967.0)</f>
        <v>1967</v>
      </c>
      <c r="E12215">
        <f>IFERROR(__xludf.DUMMYFUNCTION("""COMPUTED_VALUE"""),1393799.0)</f>
        <v>1393799</v>
      </c>
    </row>
    <row r="12216">
      <c r="A12216" t="str">
        <f t="shared" si="1"/>
        <v>pan#1968</v>
      </c>
      <c r="B12216" t="str">
        <f>IFERROR(__xludf.DUMMYFUNCTION("""COMPUTED_VALUE"""),"pan")</f>
        <v>pan</v>
      </c>
      <c r="C12216" t="str">
        <f>IFERROR(__xludf.DUMMYFUNCTION("""COMPUTED_VALUE"""),"Panama")</f>
        <v>Panama</v>
      </c>
      <c r="D12216">
        <f>IFERROR(__xludf.DUMMYFUNCTION("""COMPUTED_VALUE"""),1968.0)</f>
        <v>1968</v>
      </c>
      <c r="E12216">
        <f>IFERROR(__xludf.DUMMYFUNCTION("""COMPUTED_VALUE"""),1434657.0)</f>
        <v>1434657</v>
      </c>
    </row>
    <row r="12217">
      <c r="A12217" t="str">
        <f t="shared" si="1"/>
        <v>pan#1969</v>
      </c>
      <c r="B12217" t="str">
        <f>IFERROR(__xludf.DUMMYFUNCTION("""COMPUTED_VALUE"""),"pan")</f>
        <v>pan</v>
      </c>
      <c r="C12217" t="str">
        <f>IFERROR(__xludf.DUMMYFUNCTION("""COMPUTED_VALUE"""),"Panama")</f>
        <v>Panama</v>
      </c>
      <c r="D12217">
        <f>IFERROR(__xludf.DUMMYFUNCTION("""COMPUTED_VALUE"""),1969.0)</f>
        <v>1969</v>
      </c>
      <c r="E12217">
        <f>IFERROR(__xludf.DUMMYFUNCTION("""COMPUTED_VALUE"""),1476479.0)</f>
        <v>1476479</v>
      </c>
    </row>
    <row r="12218">
      <c r="A12218" t="str">
        <f t="shared" si="1"/>
        <v>pan#1970</v>
      </c>
      <c r="B12218" t="str">
        <f>IFERROR(__xludf.DUMMYFUNCTION("""COMPUTED_VALUE"""),"pan")</f>
        <v>pan</v>
      </c>
      <c r="C12218" t="str">
        <f>IFERROR(__xludf.DUMMYFUNCTION("""COMPUTED_VALUE"""),"Panama")</f>
        <v>Panama</v>
      </c>
      <c r="D12218">
        <f>IFERROR(__xludf.DUMMYFUNCTION("""COMPUTED_VALUE"""),1970.0)</f>
        <v>1970</v>
      </c>
      <c r="E12218">
        <f>IFERROR(__xludf.DUMMYFUNCTION("""COMPUTED_VALUE"""),1519299.0)</f>
        <v>1519299</v>
      </c>
    </row>
    <row r="12219">
      <c r="A12219" t="str">
        <f t="shared" si="1"/>
        <v>pan#1971</v>
      </c>
      <c r="B12219" t="str">
        <f>IFERROR(__xludf.DUMMYFUNCTION("""COMPUTED_VALUE"""),"pan")</f>
        <v>pan</v>
      </c>
      <c r="C12219" t="str">
        <f>IFERROR(__xludf.DUMMYFUNCTION("""COMPUTED_VALUE"""),"Panama")</f>
        <v>Panama</v>
      </c>
      <c r="D12219">
        <f>IFERROR(__xludf.DUMMYFUNCTION("""COMPUTED_VALUE"""),1971.0)</f>
        <v>1971</v>
      </c>
      <c r="E12219">
        <f>IFERROR(__xludf.DUMMYFUNCTION("""COMPUTED_VALUE"""),1563115.0)</f>
        <v>1563115</v>
      </c>
    </row>
    <row r="12220">
      <c r="A12220" t="str">
        <f t="shared" si="1"/>
        <v>pan#1972</v>
      </c>
      <c r="B12220" t="str">
        <f>IFERROR(__xludf.DUMMYFUNCTION("""COMPUTED_VALUE"""),"pan")</f>
        <v>pan</v>
      </c>
      <c r="C12220" t="str">
        <f>IFERROR(__xludf.DUMMYFUNCTION("""COMPUTED_VALUE"""),"Panama")</f>
        <v>Panama</v>
      </c>
      <c r="D12220">
        <f>IFERROR(__xludf.DUMMYFUNCTION("""COMPUTED_VALUE"""),1972.0)</f>
        <v>1972</v>
      </c>
      <c r="E12220">
        <f>IFERROR(__xludf.DUMMYFUNCTION("""COMPUTED_VALUE"""),1607834.0)</f>
        <v>1607834</v>
      </c>
    </row>
    <row r="12221">
      <c r="A12221" t="str">
        <f t="shared" si="1"/>
        <v>pan#1973</v>
      </c>
      <c r="B12221" t="str">
        <f>IFERROR(__xludf.DUMMYFUNCTION("""COMPUTED_VALUE"""),"pan")</f>
        <v>pan</v>
      </c>
      <c r="C12221" t="str">
        <f>IFERROR(__xludf.DUMMYFUNCTION("""COMPUTED_VALUE"""),"Panama")</f>
        <v>Panama</v>
      </c>
      <c r="D12221">
        <f>IFERROR(__xludf.DUMMYFUNCTION("""COMPUTED_VALUE"""),1973.0)</f>
        <v>1973</v>
      </c>
      <c r="E12221">
        <f>IFERROR(__xludf.DUMMYFUNCTION("""COMPUTED_VALUE"""),1653256.0)</f>
        <v>1653256</v>
      </c>
    </row>
    <row r="12222">
      <c r="A12222" t="str">
        <f t="shared" si="1"/>
        <v>pan#1974</v>
      </c>
      <c r="B12222" t="str">
        <f>IFERROR(__xludf.DUMMYFUNCTION("""COMPUTED_VALUE"""),"pan")</f>
        <v>pan</v>
      </c>
      <c r="C12222" t="str">
        <f>IFERROR(__xludf.DUMMYFUNCTION("""COMPUTED_VALUE"""),"Panama")</f>
        <v>Panama</v>
      </c>
      <c r="D12222">
        <f>IFERROR(__xludf.DUMMYFUNCTION("""COMPUTED_VALUE"""),1974.0)</f>
        <v>1974</v>
      </c>
      <c r="E12222">
        <f>IFERROR(__xludf.DUMMYFUNCTION("""COMPUTED_VALUE"""),1699113.0)</f>
        <v>1699113</v>
      </c>
    </row>
    <row r="12223">
      <c r="A12223" t="str">
        <f t="shared" si="1"/>
        <v>pan#1975</v>
      </c>
      <c r="B12223" t="str">
        <f>IFERROR(__xludf.DUMMYFUNCTION("""COMPUTED_VALUE"""),"pan")</f>
        <v>pan</v>
      </c>
      <c r="C12223" t="str">
        <f>IFERROR(__xludf.DUMMYFUNCTION("""COMPUTED_VALUE"""),"Panama")</f>
        <v>Panama</v>
      </c>
      <c r="D12223">
        <f>IFERROR(__xludf.DUMMYFUNCTION("""COMPUTED_VALUE"""),1975.0)</f>
        <v>1975</v>
      </c>
      <c r="E12223">
        <f>IFERROR(__xludf.DUMMYFUNCTION("""COMPUTED_VALUE"""),1745205.0)</f>
        <v>1745205</v>
      </c>
    </row>
    <row r="12224">
      <c r="A12224" t="str">
        <f t="shared" si="1"/>
        <v>pan#1976</v>
      </c>
      <c r="B12224" t="str">
        <f>IFERROR(__xludf.DUMMYFUNCTION("""COMPUTED_VALUE"""),"pan")</f>
        <v>pan</v>
      </c>
      <c r="C12224" t="str">
        <f>IFERROR(__xludf.DUMMYFUNCTION("""COMPUTED_VALUE"""),"Panama")</f>
        <v>Panama</v>
      </c>
      <c r="D12224">
        <f>IFERROR(__xludf.DUMMYFUNCTION("""COMPUTED_VALUE"""),1976.0)</f>
        <v>1976</v>
      </c>
      <c r="E12224">
        <f>IFERROR(__xludf.DUMMYFUNCTION("""COMPUTED_VALUE"""),1791453.0)</f>
        <v>1791453</v>
      </c>
    </row>
    <row r="12225">
      <c r="A12225" t="str">
        <f t="shared" si="1"/>
        <v>pan#1977</v>
      </c>
      <c r="B12225" t="str">
        <f>IFERROR(__xludf.DUMMYFUNCTION("""COMPUTED_VALUE"""),"pan")</f>
        <v>pan</v>
      </c>
      <c r="C12225" t="str">
        <f>IFERROR(__xludf.DUMMYFUNCTION("""COMPUTED_VALUE"""),"Panama")</f>
        <v>Panama</v>
      </c>
      <c r="D12225">
        <f>IFERROR(__xludf.DUMMYFUNCTION("""COMPUTED_VALUE"""),1977.0)</f>
        <v>1977</v>
      </c>
      <c r="E12225">
        <f>IFERROR(__xludf.DUMMYFUNCTION("""COMPUTED_VALUE"""),1837890.0)</f>
        <v>1837890</v>
      </c>
    </row>
    <row r="12226">
      <c r="A12226" t="str">
        <f t="shared" si="1"/>
        <v>pan#1978</v>
      </c>
      <c r="B12226" t="str">
        <f>IFERROR(__xludf.DUMMYFUNCTION("""COMPUTED_VALUE"""),"pan")</f>
        <v>pan</v>
      </c>
      <c r="C12226" t="str">
        <f>IFERROR(__xludf.DUMMYFUNCTION("""COMPUTED_VALUE"""),"Panama")</f>
        <v>Panama</v>
      </c>
      <c r="D12226">
        <f>IFERROR(__xludf.DUMMYFUNCTION("""COMPUTED_VALUE"""),1978.0)</f>
        <v>1978</v>
      </c>
      <c r="E12226">
        <f>IFERROR(__xludf.DUMMYFUNCTION("""COMPUTED_VALUE"""),1884515.0)</f>
        <v>1884515</v>
      </c>
    </row>
    <row r="12227">
      <c r="A12227" t="str">
        <f t="shared" si="1"/>
        <v>pan#1979</v>
      </c>
      <c r="B12227" t="str">
        <f>IFERROR(__xludf.DUMMYFUNCTION("""COMPUTED_VALUE"""),"pan")</f>
        <v>pan</v>
      </c>
      <c r="C12227" t="str">
        <f>IFERROR(__xludf.DUMMYFUNCTION("""COMPUTED_VALUE"""),"Panama")</f>
        <v>Panama</v>
      </c>
      <c r="D12227">
        <f>IFERROR(__xludf.DUMMYFUNCTION("""COMPUTED_VALUE"""),1979.0)</f>
        <v>1979</v>
      </c>
      <c r="E12227">
        <f>IFERROR(__xludf.DUMMYFUNCTION("""COMPUTED_VALUE"""),1931389.0)</f>
        <v>1931389</v>
      </c>
    </row>
    <row r="12228">
      <c r="A12228" t="str">
        <f t="shared" si="1"/>
        <v>pan#1980</v>
      </c>
      <c r="B12228" t="str">
        <f>IFERROR(__xludf.DUMMYFUNCTION("""COMPUTED_VALUE"""),"pan")</f>
        <v>pan</v>
      </c>
      <c r="C12228" t="str">
        <f>IFERROR(__xludf.DUMMYFUNCTION("""COMPUTED_VALUE"""),"Panama")</f>
        <v>Panama</v>
      </c>
      <c r="D12228">
        <f>IFERROR(__xludf.DUMMYFUNCTION("""COMPUTED_VALUE"""),1980.0)</f>
        <v>1980</v>
      </c>
      <c r="E12228">
        <f>IFERROR(__xludf.DUMMYFUNCTION("""COMPUTED_VALUE"""),1978578.0)</f>
        <v>1978578</v>
      </c>
    </row>
    <row r="12229">
      <c r="A12229" t="str">
        <f t="shared" si="1"/>
        <v>pan#1981</v>
      </c>
      <c r="B12229" t="str">
        <f>IFERROR(__xludf.DUMMYFUNCTION("""COMPUTED_VALUE"""),"pan")</f>
        <v>pan</v>
      </c>
      <c r="C12229" t="str">
        <f>IFERROR(__xludf.DUMMYFUNCTION("""COMPUTED_VALUE"""),"Panama")</f>
        <v>Panama</v>
      </c>
      <c r="D12229">
        <f>IFERROR(__xludf.DUMMYFUNCTION("""COMPUTED_VALUE"""),1981.0)</f>
        <v>1981</v>
      </c>
      <c r="E12229">
        <f>IFERROR(__xludf.DUMMYFUNCTION("""COMPUTED_VALUE"""),2026065.0)</f>
        <v>2026065</v>
      </c>
    </row>
    <row r="12230">
      <c r="A12230" t="str">
        <f t="shared" si="1"/>
        <v>pan#1982</v>
      </c>
      <c r="B12230" t="str">
        <f>IFERROR(__xludf.DUMMYFUNCTION("""COMPUTED_VALUE"""),"pan")</f>
        <v>pan</v>
      </c>
      <c r="C12230" t="str">
        <f>IFERROR(__xludf.DUMMYFUNCTION("""COMPUTED_VALUE"""),"Panama")</f>
        <v>Panama</v>
      </c>
      <c r="D12230">
        <f>IFERROR(__xludf.DUMMYFUNCTION("""COMPUTED_VALUE"""),1982.0)</f>
        <v>1982</v>
      </c>
      <c r="E12230">
        <f>IFERROR(__xludf.DUMMYFUNCTION("""COMPUTED_VALUE"""),2073844.0)</f>
        <v>2073844</v>
      </c>
    </row>
    <row r="12231">
      <c r="A12231" t="str">
        <f t="shared" si="1"/>
        <v>pan#1983</v>
      </c>
      <c r="B12231" t="str">
        <f>IFERROR(__xludf.DUMMYFUNCTION("""COMPUTED_VALUE"""),"pan")</f>
        <v>pan</v>
      </c>
      <c r="C12231" t="str">
        <f>IFERROR(__xludf.DUMMYFUNCTION("""COMPUTED_VALUE"""),"Panama")</f>
        <v>Panama</v>
      </c>
      <c r="D12231">
        <f>IFERROR(__xludf.DUMMYFUNCTION("""COMPUTED_VALUE"""),1983.0)</f>
        <v>1983</v>
      </c>
      <c r="E12231">
        <f>IFERROR(__xludf.DUMMYFUNCTION("""COMPUTED_VALUE"""),2121939.0)</f>
        <v>2121939</v>
      </c>
    </row>
    <row r="12232">
      <c r="A12232" t="str">
        <f t="shared" si="1"/>
        <v>pan#1984</v>
      </c>
      <c r="B12232" t="str">
        <f>IFERROR(__xludf.DUMMYFUNCTION("""COMPUTED_VALUE"""),"pan")</f>
        <v>pan</v>
      </c>
      <c r="C12232" t="str">
        <f>IFERROR(__xludf.DUMMYFUNCTION("""COMPUTED_VALUE"""),"Panama")</f>
        <v>Panama</v>
      </c>
      <c r="D12232">
        <f>IFERROR(__xludf.DUMMYFUNCTION("""COMPUTED_VALUE"""),1984.0)</f>
        <v>1984</v>
      </c>
      <c r="E12232">
        <f>IFERROR(__xludf.DUMMYFUNCTION("""COMPUTED_VALUE"""),2170409.0)</f>
        <v>2170409</v>
      </c>
    </row>
    <row r="12233">
      <c r="A12233" t="str">
        <f t="shared" si="1"/>
        <v>pan#1985</v>
      </c>
      <c r="B12233" t="str">
        <f>IFERROR(__xludf.DUMMYFUNCTION("""COMPUTED_VALUE"""),"pan")</f>
        <v>pan</v>
      </c>
      <c r="C12233" t="str">
        <f>IFERROR(__xludf.DUMMYFUNCTION("""COMPUTED_VALUE"""),"Panama")</f>
        <v>Panama</v>
      </c>
      <c r="D12233">
        <f>IFERROR(__xludf.DUMMYFUNCTION("""COMPUTED_VALUE"""),1985.0)</f>
        <v>1985</v>
      </c>
      <c r="E12233">
        <f>IFERROR(__xludf.DUMMYFUNCTION("""COMPUTED_VALUE"""),2219276.0)</f>
        <v>2219276</v>
      </c>
    </row>
    <row r="12234">
      <c r="A12234" t="str">
        <f t="shared" si="1"/>
        <v>pan#1986</v>
      </c>
      <c r="B12234" t="str">
        <f>IFERROR(__xludf.DUMMYFUNCTION("""COMPUTED_VALUE"""),"pan")</f>
        <v>pan</v>
      </c>
      <c r="C12234" t="str">
        <f>IFERROR(__xludf.DUMMYFUNCTION("""COMPUTED_VALUE"""),"Panama")</f>
        <v>Panama</v>
      </c>
      <c r="D12234">
        <f>IFERROR(__xludf.DUMMYFUNCTION("""COMPUTED_VALUE"""),1986.0)</f>
        <v>1986</v>
      </c>
      <c r="E12234">
        <f>IFERROR(__xludf.DUMMYFUNCTION("""COMPUTED_VALUE"""),2268574.0)</f>
        <v>2268574</v>
      </c>
    </row>
    <row r="12235">
      <c r="A12235" t="str">
        <f t="shared" si="1"/>
        <v>pan#1987</v>
      </c>
      <c r="B12235" t="str">
        <f>IFERROR(__xludf.DUMMYFUNCTION("""COMPUTED_VALUE"""),"pan")</f>
        <v>pan</v>
      </c>
      <c r="C12235" t="str">
        <f>IFERROR(__xludf.DUMMYFUNCTION("""COMPUTED_VALUE"""),"Panama")</f>
        <v>Panama</v>
      </c>
      <c r="D12235">
        <f>IFERROR(__xludf.DUMMYFUNCTION("""COMPUTED_VALUE"""),1987.0)</f>
        <v>1987</v>
      </c>
      <c r="E12235">
        <f>IFERROR(__xludf.DUMMYFUNCTION("""COMPUTED_VALUE"""),2318332.0)</f>
        <v>2318332</v>
      </c>
    </row>
    <row r="12236">
      <c r="A12236" t="str">
        <f t="shared" si="1"/>
        <v>pan#1988</v>
      </c>
      <c r="B12236" t="str">
        <f>IFERROR(__xludf.DUMMYFUNCTION("""COMPUTED_VALUE"""),"pan")</f>
        <v>pan</v>
      </c>
      <c r="C12236" t="str">
        <f>IFERROR(__xludf.DUMMYFUNCTION("""COMPUTED_VALUE"""),"Panama")</f>
        <v>Panama</v>
      </c>
      <c r="D12236">
        <f>IFERROR(__xludf.DUMMYFUNCTION("""COMPUTED_VALUE"""),1988.0)</f>
        <v>1988</v>
      </c>
      <c r="E12236">
        <f>IFERROR(__xludf.DUMMYFUNCTION("""COMPUTED_VALUE"""),2368618.0)</f>
        <v>2368618</v>
      </c>
    </row>
    <row r="12237">
      <c r="A12237" t="str">
        <f t="shared" si="1"/>
        <v>pan#1989</v>
      </c>
      <c r="B12237" t="str">
        <f>IFERROR(__xludf.DUMMYFUNCTION("""COMPUTED_VALUE"""),"pan")</f>
        <v>pan</v>
      </c>
      <c r="C12237" t="str">
        <f>IFERROR(__xludf.DUMMYFUNCTION("""COMPUTED_VALUE"""),"Panama")</f>
        <v>Panama</v>
      </c>
      <c r="D12237">
        <f>IFERROR(__xludf.DUMMYFUNCTION("""COMPUTED_VALUE"""),1989.0)</f>
        <v>1989</v>
      </c>
      <c r="E12237">
        <f>IFERROR(__xludf.DUMMYFUNCTION("""COMPUTED_VALUE"""),2419491.0)</f>
        <v>2419491</v>
      </c>
    </row>
    <row r="12238">
      <c r="A12238" t="str">
        <f t="shared" si="1"/>
        <v>pan#1990</v>
      </c>
      <c r="B12238" t="str">
        <f>IFERROR(__xludf.DUMMYFUNCTION("""COMPUTED_VALUE"""),"pan")</f>
        <v>pan</v>
      </c>
      <c r="C12238" t="str">
        <f>IFERROR(__xludf.DUMMYFUNCTION("""COMPUTED_VALUE"""),"Panama")</f>
        <v>Panama</v>
      </c>
      <c r="D12238">
        <f>IFERROR(__xludf.DUMMYFUNCTION("""COMPUTED_VALUE"""),1990.0)</f>
        <v>1990</v>
      </c>
      <c r="E12238">
        <f>IFERROR(__xludf.DUMMYFUNCTION("""COMPUTED_VALUE"""),2471009.0)</f>
        <v>2471009</v>
      </c>
    </row>
    <row r="12239">
      <c r="A12239" t="str">
        <f t="shared" si="1"/>
        <v>pan#1991</v>
      </c>
      <c r="B12239" t="str">
        <f>IFERROR(__xludf.DUMMYFUNCTION("""COMPUTED_VALUE"""),"pan")</f>
        <v>pan</v>
      </c>
      <c r="C12239" t="str">
        <f>IFERROR(__xludf.DUMMYFUNCTION("""COMPUTED_VALUE"""),"Panama")</f>
        <v>Panama</v>
      </c>
      <c r="D12239">
        <f>IFERROR(__xludf.DUMMYFUNCTION("""COMPUTED_VALUE"""),1991.0)</f>
        <v>1991</v>
      </c>
      <c r="E12239">
        <f>IFERROR(__xludf.DUMMYFUNCTION("""COMPUTED_VALUE"""),2523181.0)</f>
        <v>2523181</v>
      </c>
    </row>
    <row r="12240">
      <c r="A12240" t="str">
        <f t="shared" si="1"/>
        <v>pan#1992</v>
      </c>
      <c r="B12240" t="str">
        <f>IFERROR(__xludf.DUMMYFUNCTION("""COMPUTED_VALUE"""),"pan")</f>
        <v>pan</v>
      </c>
      <c r="C12240" t="str">
        <f>IFERROR(__xludf.DUMMYFUNCTION("""COMPUTED_VALUE"""),"Panama")</f>
        <v>Panama</v>
      </c>
      <c r="D12240">
        <f>IFERROR(__xludf.DUMMYFUNCTION("""COMPUTED_VALUE"""),1992.0)</f>
        <v>1992</v>
      </c>
      <c r="E12240">
        <f>IFERROR(__xludf.DUMMYFUNCTION("""COMPUTED_VALUE"""),2576018.0)</f>
        <v>2576018</v>
      </c>
    </row>
    <row r="12241">
      <c r="A12241" t="str">
        <f t="shared" si="1"/>
        <v>pan#1993</v>
      </c>
      <c r="B12241" t="str">
        <f>IFERROR(__xludf.DUMMYFUNCTION("""COMPUTED_VALUE"""),"pan")</f>
        <v>pan</v>
      </c>
      <c r="C12241" t="str">
        <f>IFERROR(__xludf.DUMMYFUNCTION("""COMPUTED_VALUE"""),"Panama")</f>
        <v>Panama</v>
      </c>
      <c r="D12241">
        <f>IFERROR(__xludf.DUMMYFUNCTION("""COMPUTED_VALUE"""),1993.0)</f>
        <v>1993</v>
      </c>
      <c r="E12241">
        <f>IFERROR(__xludf.DUMMYFUNCTION("""COMPUTED_VALUE"""),2629644.0)</f>
        <v>2629644</v>
      </c>
    </row>
    <row r="12242">
      <c r="A12242" t="str">
        <f t="shared" si="1"/>
        <v>pan#1994</v>
      </c>
      <c r="B12242" t="str">
        <f>IFERROR(__xludf.DUMMYFUNCTION("""COMPUTED_VALUE"""),"pan")</f>
        <v>pan</v>
      </c>
      <c r="C12242" t="str">
        <f>IFERROR(__xludf.DUMMYFUNCTION("""COMPUTED_VALUE"""),"Panama")</f>
        <v>Panama</v>
      </c>
      <c r="D12242">
        <f>IFERROR(__xludf.DUMMYFUNCTION("""COMPUTED_VALUE"""),1994.0)</f>
        <v>1994</v>
      </c>
      <c r="E12242">
        <f>IFERROR(__xludf.DUMMYFUNCTION("""COMPUTED_VALUE"""),2684183.0)</f>
        <v>2684183</v>
      </c>
    </row>
    <row r="12243">
      <c r="A12243" t="str">
        <f t="shared" si="1"/>
        <v>pan#1995</v>
      </c>
      <c r="B12243" t="str">
        <f>IFERROR(__xludf.DUMMYFUNCTION("""COMPUTED_VALUE"""),"pan")</f>
        <v>pan</v>
      </c>
      <c r="C12243" t="str">
        <f>IFERROR(__xludf.DUMMYFUNCTION("""COMPUTED_VALUE"""),"Panama")</f>
        <v>Panama</v>
      </c>
      <c r="D12243">
        <f>IFERROR(__xludf.DUMMYFUNCTION("""COMPUTED_VALUE"""),1995.0)</f>
        <v>1995</v>
      </c>
      <c r="E12243">
        <f>IFERROR(__xludf.DUMMYFUNCTION("""COMPUTED_VALUE"""),2739730.0)</f>
        <v>2739730</v>
      </c>
    </row>
    <row r="12244">
      <c r="A12244" t="str">
        <f t="shared" si="1"/>
        <v>pan#1996</v>
      </c>
      <c r="B12244" t="str">
        <f>IFERROR(__xludf.DUMMYFUNCTION("""COMPUTED_VALUE"""),"pan")</f>
        <v>pan</v>
      </c>
      <c r="C12244" t="str">
        <f>IFERROR(__xludf.DUMMYFUNCTION("""COMPUTED_VALUE"""),"Panama")</f>
        <v>Panama</v>
      </c>
      <c r="D12244">
        <f>IFERROR(__xludf.DUMMYFUNCTION("""COMPUTED_VALUE"""),1996.0)</f>
        <v>1996</v>
      </c>
      <c r="E12244">
        <f>IFERROR(__xludf.DUMMYFUNCTION("""COMPUTED_VALUE"""),2796344.0)</f>
        <v>2796344</v>
      </c>
    </row>
    <row r="12245">
      <c r="A12245" t="str">
        <f t="shared" si="1"/>
        <v>pan#1997</v>
      </c>
      <c r="B12245" t="str">
        <f>IFERROR(__xludf.DUMMYFUNCTION("""COMPUTED_VALUE"""),"pan")</f>
        <v>pan</v>
      </c>
      <c r="C12245" t="str">
        <f>IFERROR(__xludf.DUMMYFUNCTION("""COMPUTED_VALUE"""),"Panama")</f>
        <v>Panama</v>
      </c>
      <c r="D12245">
        <f>IFERROR(__xludf.DUMMYFUNCTION("""COMPUTED_VALUE"""),1997.0)</f>
        <v>1997</v>
      </c>
      <c r="E12245">
        <f>IFERROR(__xludf.DUMMYFUNCTION("""COMPUTED_VALUE"""),2853941.0)</f>
        <v>2853941</v>
      </c>
    </row>
    <row r="12246">
      <c r="A12246" t="str">
        <f t="shared" si="1"/>
        <v>pan#1998</v>
      </c>
      <c r="B12246" t="str">
        <f>IFERROR(__xludf.DUMMYFUNCTION("""COMPUTED_VALUE"""),"pan")</f>
        <v>pan</v>
      </c>
      <c r="C12246" t="str">
        <f>IFERROR(__xludf.DUMMYFUNCTION("""COMPUTED_VALUE"""),"Panama")</f>
        <v>Panama</v>
      </c>
      <c r="D12246">
        <f>IFERROR(__xludf.DUMMYFUNCTION("""COMPUTED_VALUE"""),1998.0)</f>
        <v>1998</v>
      </c>
      <c r="E12246">
        <f>IFERROR(__xludf.DUMMYFUNCTION("""COMPUTED_VALUE"""),2912328.0)</f>
        <v>2912328</v>
      </c>
    </row>
    <row r="12247">
      <c r="A12247" t="str">
        <f t="shared" si="1"/>
        <v>pan#1999</v>
      </c>
      <c r="B12247" t="str">
        <f>IFERROR(__xludf.DUMMYFUNCTION("""COMPUTED_VALUE"""),"pan")</f>
        <v>pan</v>
      </c>
      <c r="C12247" t="str">
        <f>IFERROR(__xludf.DUMMYFUNCTION("""COMPUTED_VALUE"""),"Panama")</f>
        <v>Panama</v>
      </c>
      <c r="D12247">
        <f>IFERROR(__xludf.DUMMYFUNCTION("""COMPUTED_VALUE"""),1999.0)</f>
        <v>1999</v>
      </c>
      <c r="E12247">
        <f>IFERROR(__xludf.DUMMYFUNCTION("""COMPUTED_VALUE"""),2971197.0)</f>
        <v>2971197</v>
      </c>
    </row>
    <row r="12248">
      <c r="A12248" t="str">
        <f t="shared" si="1"/>
        <v>pan#2000</v>
      </c>
      <c r="B12248" t="str">
        <f>IFERROR(__xludf.DUMMYFUNCTION("""COMPUTED_VALUE"""),"pan")</f>
        <v>pan</v>
      </c>
      <c r="C12248" t="str">
        <f>IFERROR(__xludf.DUMMYFUNCTION("""COMPUTED_VALUE"""),"Panama")</f>
        <v>Panama</v>
      </c>
      <c r="D12248">
        <f>IFERROR(__xludf.DUMMYFUNCTION("""COMPUTED_VALUE"""),2000.0)</f>
        <v>2000</v>
      </c>
      <c r="E12248">
        <f>IFERROR(__xludf.DUMMYFUNCTION("""COMPUTED_VALUE"""),3030347.0)</f>
        <v>3030347</v>
      </c>
    </row>
    <row r="12249">
      <c r="A12249" t="str">
        <f t="shared" si="1"/>
        <v>pan#2001</v>
      </c>
      <c r="B12249" t="str">
        <f>IFERROR(__xludf.DUMMYFUNCTION("""COMPUTED_VALUE"""),"pan")</f>
        <v>pan</v>
      </c>
      <c r="C12249" t="str">
        <f>IFERROR(__xludf.DUMMYFUNCTION("""COMPUTED_VALUE"""),"Panama")</f>
        <v>Panama</v>
      </c>
      <c r="D12249">
        <f>IFERROR(__xludf.DUMMYFUNCTION("""COMPUTED_VALUE"""),2001.0)</f>
        <v>2001</v>
      </c>
      <c r="E12249">
        <f>IFERROR(__xludf.DUMMYFUNCTION("""COMPUTED_VALUE"""),3089684.0)</f>
        <v>3089684</v>
      </c>
    </row>
    <row r="12250">
      <c r="A12250" t="str">
        <f t="shared" si="1"/>
        <v>pan#2002</v>
      </c>
      <c r="B12250" t="str">
        <f>IFERROR(__xludf.DUMMYFUNCTION("""COMPUTED_VALUE"""),"pan")</f>
        <v>pan</v>
      </c>
      <c r="C12250" t="str">
        <f>IFERROR(__xludf.DUMMYFUNCTION("""COMPUTED_VALUE"""),"Panama")</f>
        <v>Panama</v>
      </c>
      <c r="D12250">
        <f>IFERROR(__xludf.DUMMYFUNCTION("""COMPUTED_VALUE"""),2002.0)</f>
        <v>2002</v>
      </c>
      <c r="E12250">
        <f>IFERROR(__xludf.DUMMYFUNCTION("""COMPUTED_VALUE"""),3149265.0)</f>
        <v>3149265</v>
      </c>
    </row>
    <row r="12251">
      <c r="A12251" t="str">
        <f t="shared" si="1"/>
        <v>pan#2003</v>
      </c>
      <c r="B12251" t="str">
        <f>IFERROR(__xludf.DUMMYFUNCTION("""COMPUTED_VALUE"""),"pan")</f>
        <v>pan</v>
      </c>
      <c r="C12251" t="str">
        <f>IFERROR(__xludf.DUMMYFUNCTION("""COMPUTED_VALUE"""),"Panama")</f>
        <v>Panama</v>
      </c>
      <c r="D12251">
        <f>IFERROR(__xludf.DUMMYFUNCTION("""COMPUTED_VALUE"""),2003.0)</f>
        <v>2003</v>
      </c>
      <c r="E12251">
        <f>IFERROR(__xludf.DUMMYFUNCTION("""COMPUTED_VALUE"""),3209174.0)</f>
        <v>3209174</v>
      </c>
    </row>
    <row r="12252">
      <c r="A12252" t="str">
        <f t="shared" si="1"/>
        <v>pan#2004</v>
      </c>
      <c r="B12252" t="str">
        <f>IFERROR(__xludf.DUMMYFUNCTION("""COMPUTED_VALUE"""),"pan")</f>
        <v>pan</v>
      </c>
      <c r="C12252" t="str">
        <f>IFERROR(__xludf.DUMMYFUNCTION("""COMPUTED_VALUE"""),"Panama")</f>
        <v>Panama</v>
      </c>
      <c r="D12252">
        <f>IFERROR(__xludf.DUMMYFUNCTION("""COMPUTED_VALUE"""),2004.0)</f>
        <v>2004</v>
      </c>
      <c r="E12252">
        <f>IFERROR(__xludf.DUMMYFUNCTION("""COMPUTED_VALUE"""),3269541.0)</f>
        <v>3269541</v>
      </c>
    </row>
    <row r="12253">
      <c r="A12253" t="str">
        <f t="shared" si="1"/>
        <v>pan#2005</v>
      </c>
      <c r="B12253" t="str">
        <f>IFERROR(__xludf.DUMMYFUNCTION("""COMPUTED_VALUE"""),"pan")</f>
        <v>pan</v>
      </c>
      <c r="C12253" t="str">
        <f>IFERROR(__xludf.DUMMYFUNCTION("""COMPUTED_VALUE"""),"Panama")</f>
        <v>Panama</v>
      </c>
      <c r="D12253">
        <f>IFERROR(__xludf.DUMMYFUNCTION("""COMPUTED_VALUE"""),2005.0)</f>
        <v>2005</v>
      </c>
      <c r="E12253">
        <f>IFERROR(__xludf.DUMMYFUNCTION("""COMPUTED_VALUE"""),3330465.0)</f>
        <v>3330465</v>
      </c>
    </row>
    <row r="12254">
      <c r="A12254" t="str">
        <f t="shared" si="1"/>
        <v>pan#2006</v>
      </c>
      <c r="B12254" t="str">
        <f>IFERROR(__xludf.DUMMYFUNCTION("""COMPUTED_VALUE"""),"pan")</f>
        <v>pan</v>
      </c>
      <c r="C12254" t="str">
        <f>IFERROR(__xludf.DUMMYFUNCTION("""COMPUTED_VALUE"""),"Panama")</f>
        <v>Panama</v>
      </c>
      <c r="D12254">
        <f>IFERROR(__xludf.DUMMYFUNCTION("""COMPUTED_VALUE"""),2006.0)</f>
        <v>2006</v>
      </c>
      <c r="E12254">
        <f>IFERROR(__xludf.DUMMYFUNCTION("""COMPUTED_VALUE"""),3391905.0)</f>
        <v>3391905</v>
      </c>
    </row>
    <row r="12255">
      <c r="A12255" t="str">
        <f t="shared" si="1"/>
        <v>pan#2007</v>
      </c>
      <c r="B12255" t="str">
        <f>IFERROR(__xludf.DUMMYFUNCTION("""COMPUTED_VALUE"""),"pan")</f>
        <v>pan</v>
      </c>
      <c r="C12255" t="str">
        <f>IFERROR(__xludf.DUMMYFUNCTION("""COMPUTED_VALUE"""),"Panama")</f>
        <v>Panama</v>
      </c>
      <c r="D12255">
        <f>IFERROR(__xludf.DUMMYFUNCTION("""COMPUTED_VALUE"""),2007.0)</f>
        <v>2007</v>
      </c>
      <c r="E12255">
        <f>IFERROR(__xludf.DUMMYFUNCTION("""COMPUTED_VALUE"""),3453807.0)</f>
        <v>3453807</v>
      </c>
    </row>
    <row r="12256">
      <c r="A12256" t="str">
        <f t="shared" si="1"/>
        <v>pan#2008</v>
      </c>
      <c r="B12256" t="str">
        <f>IFERROR(__xludf.DUMMYFUNCTION("""COMPUTED_VALUE"""),"pan")</f>
        <v>pan</v>
      </c>
      <c r="C12256" t="str">
        <f>IFERROR(__xludf.DUMMYFUNCTION("""COMPUTED_VALUE"""),"Panama")</f>
        <v>Panama</v>
      </c>
      <c r="D12256">
        <f>IFERROR(__xludf.DUMMYFUNCTION("""COMPUTED_VALUE"""),2008.0)</f>
        <v>2008</v>
      </c>
      <c r="E12256">
        <f>IFERROR(__xludf.DUMMYFUNCTION("""COMPUTED_VALUE"""),3516268.0)</f>
        <v>3516268</v>
      </c>
    </row>
    <row r="12257">
      <c r="A12257" t="str">
        <f t="shared" si="1"/>
        <v>pan#2009</v>
      </c>
      <c r="B12257" t="str">
        <f>IFERROR(__xludf.DUMMYFUNCTION("""COMPUTED_VALUE"""),"pan")</f>
        <v>pan</v>
      </c>
      <c r="C12257" t="str">
        <f>IFERROR(__xludf.DUMMYFUNCTION("""COMPUTED_VALUE"""),"Panama")</f>
        <v>Panama</v>
      </c>
      <c r="D12257">
        <f>IFERROR(__xludf.DUMMYFUNCTION("""COMPUTED_VALUE"""),2009.0)</f>
        <v>2009</v>
      </c>
      <c r="E12257">
        <f>IFERROR(__xludf.DUMMYFUNCTION("""COMPUTED_VALUE"""),3579385.0)</f>
        <v>3579385</v>
      </c>
    </row>
    <row r="12258">
      <c r="A12258" t="str">
        <f t="shared" si="1"/>
        <v>pan#2010</v>
      </c>
      <c r="B12258" t="str">
        <f>IFERROR(__xludf.DUMMYFUNCTION("""COMPUTED_VALUE"""),"pan")</f>
        <v>pan</v>
      </c>
      <c r="C12258" t="str">
        <f>IFERROR(__xludf.DUMMYFUNCTION("""COMPUTED_VALUE"""),"Panama")</f>
        <v>Panama</v>
      </c>
      <c r="D12258">
        <f>IFERROR(__xludf.DUMMYFUNCTION("""COMPUTED_VALUE"""),2010.0)</f>
        <v>2010</v>
      </c>
      <c r="E12258">
        <f>IFERROR(__xludf.DUMMYFUNCTION("""COMPUTED_VALUE"""),3643222.0)</f>
        <v>3643222</v>
      </c>
    </row>
    <row r="12259">
      <c r="A12259" t="str">
        <f t="shared" si="1"/>
        <v>pan#2011</v>
      </c>
      <c r="B12259" t="str">
        <f>IFERROR(__xludf.DUMMYFUNCTION("""COMPUTED_VALUE"""),"pan")</f>
        <v>pan</v>
      </c>
      <c r="C12259" t="str">
        <f>IFERROR(__xludf.DUMMYFUNCTION("""COMPUTED_VALUE"""),"Panama")</f>
        <v>Panama</v>
      </c>
      <c r="D12259">
        <f>IFERROR(__xludf.DUMMYFUNCTION("""COMPUTED_VALUE"""),2011.0)</f>
        <v>2011</v>
      </c>
      <c r="E12259">
        <f>IFERROR(__xludf.DUMMYFUNCTION("""COMPUTED_VALUE"""),3707782.0)</f>
        <v>3707782</v>
      </c>
    </row>
    <row r="12260">
      <c r="A12260" t="str">
        <f t="shared" si="1"/>
        <v>pan#2012</v>
      </c>
      <c r="B12260" t="str">
        <f>IFERROR(__xludf.DUMMYFUNCTION("""COMPUTED_VALUE"""),"pan")</f>
        <v>pan</v>
      </c>
      <c r="C12260" t="str">
        <f>IFERROR(__xludf.DUMMYFUNCTION("""COMPUTED_VALUE"""),"Panama")</f>
        <v>Panama</v>
      </c>
      <c r="D12260">
        <f>IFERROR(__xludf.DUMMYFUNCTION("""COMPUTED_VALUE"""),2012.0)</f>
        <v>2012</v>
      </c>
      <c r="E12260">
        <f>IFERROR(__xludf.DUMMYFUNCTION("""COMPUTED_VALUE"""),3772938.0)</f>
        <v>3772938</v>
      </c>
    </row>
    <row r="12261">
      <c r="A12261" t="str">
        <f t="shared" si="1"/>
        <v>pan#2013</v>
      </c>
      <c r="B12261" t="str">
        <f>IFERROR(__xludf.DUMMYFUNCTION("""COMPUTED_VALUE"""),"pan")</f>
        <v>pan</v>
      </c>
      <c r="C12261" t="str">
        <f>IFERROR(__xludf.DUMMYFUNCTION("""COMPUTED_VALUE"""),"Panama")</f>
        <v>Panama</v>
      </c>
      <c r="D12261">
        <f>IFERROR(__xludf.DUMMYFUNCTION("""COMPUTED_VALUE"""),2013.0)</f>
        <v>2013</v>
      </c>
      <c r="E12261">
        <f>IFERROR(__xludf.DUMMYFUNCTION("""COMPUTED_VALUE"""),3838462.0)</f>
        <v>3838462</v>
      </c>
    </row>
    <row r="12262">
      <c r="A12262" t="str">
        <f t="shared" si="1"/>
        <v>pan#2014</v>
      </c>
      <c r="B12262" t="str">
        <f>IFERROR(__xludf.DUMMYFUNCTION("""COMPUTED_VALUE"""),"pan")</f>
        <v>pan</v>
      </c>
      <c r="C12262" t="str">
        <f>IFERROR(__xludf.DUMMYFUNCTION("""COMPUTED_VALUE"""),"Panama")</f>
        <v>Panama</v>
      </c>
      <c r="D12262">
        <f>IFERROR(__xludf.DUMMYFUNCTION("""COMPUTED_VALUE"""),2014.0)</f>
        <v>2014</v>
      </c>
      <c r="E12262">
        <f>IFERROR(__xludf.DUMMYFUNCTION("""COMPUTED_VALUE"""),3903986.0)</f>
        <v>3903986</v>
      </c>
    </row>
    <row r="12263">
      <c r="A12263" t="str">
        <f t="shared" si="1"/>
        <v>pan#2015</v>
      </c>
      <c r="B12263" t="str">
        <f>IFERROR(__xludf.DUMMYFUNCTION("""COMPUTED_VALUE"""),"pan")</f>
        <v>pan</v>
      </c>
      <c r="C12263" t="str">
        <f>IFERROR(__xludf.DUMMYFUNCTION("""COMPUTED_VALUE"""),"Panama")</f>
        <v>Panama</v>
      </c>
      <c r="D12263">
        <f>IFERROR(__xludf.DUMMYFUNCTION("""COMPUTED_VALUE"""),2015.0)</f>
        <v>2015</v>
      </c>
      <c r="E12263">
        <f>IFERROR(__xludf.DUMMYFUNCTION("""COMPUTED_VALUE"""),3969249.0)</f>
        <v>3969249</v>
      </c>
    </row>
    <row r="12264">
      <c r="A12264" t="str">
        <f t="shared" si="1"/>
        <v>pan#2016</v>
      </c>
      <c r="B12264" t="str">
        <f>IFERROR(__xludf.DUMMYFUNCTION("""COMPUTED_VALUE"""),"pan")</f>
        <v>pan</v>
      </c>
      <c r="C12264" t="str">
        <f>IFERROR(__xludf.DUMMYFUNCTION("""COMPUTED_VALUE"""),"Panama")</f>
        <v>Panama</v>
      </c>
      <c r="D12264">
        <f>IFERROR(__xludf.DUMMYFUNCTION("""COMPUTED_VALUE"""),2016.0)</f>
        <v>2016</v>
      </c>
      <c r="E12264">
        <f>IFERROR(__xludf.DUMMYFUNCTION("""COMPUTED_VALUE"""),4034119.0)</f>
        <v>4034119</v>
      </c>
    </row>
    <row r="12265">
      <c r="A12265" t="str">
        <f t="shared" si="1"/>
        <v>pan#2017</v>
      </c>
      <c r="B12265" t="str">
        <f>IFERROR(__xludf.DUMMYFUNCTION("""COMPUTED_VALUE"""),"pan")</f>
        <v>pan</v>
      </c>
      <c r="C12265" t="str">
        <f>IFERROR(__xludf.DUMMYFUNCTION("""COMPUTED_VALUE"""),"Panama")</f>
        <v>Panama</v>
      </c>
      <c r="D12265">
        <f>IFERROR(__xludf.DUMMYFUNCTION("""COMPUTED_VALUE"""),2017.0)</f>
        <v>2017</v>
      </c>
      <c r="E12265">
        <f>IFERROR(__xludf.DUMMYFUNCTION("""COMPUTED_VALUE"""),4098587.0)</f>
        <v>4098587</v>
      </c>
    </row>
    <row r="12266">
      <c r="A12266" t="str">
        <f t="shared" si="1"/>
        <v>pan#2018</v>
      </c>
      <c r="B12266" t="str">
        <f>IFERROR(__xludf.DUMMYFUNCTION("""COMPUTED_VALUE"""),"pan")</f>
        <v>pan</v>
      </c>
      <c r="C12266" t="str">
        <f>IFERROR(__xludf.DUMMYFUNCTION("""COMPUTED_VALUE"""),"Panama")</f>
        <v>Panama</v>
      </c>
      <c r="D12266">
        <f>IFERROR(__xludf.DUMMYFUNCTION("""COMPUTED_VALUE"""),2018.0)</f>
        <v>2018</v>
      </c>
      <c r="E12266">
        <f>IFERROR(__xludf.DUMMYFUNCTION("""COMPUTED_VALUE"""),4162618.0)</f>
        <v>4162618</v>
      </c>
    </row>
    <row r="12267">
      <c r="A12267" t="str">
        <f t="shared" si="1"/>
        <v>pan#2019</v>
      </c>
      <c r="B12267" t="str">
        <f>IFERROR(__xludf.DUMMYFUNCTION("""COMPUTED_VALUE"""),"pan")</f>
        <v>pan</v>
      </c>
      <c r="C12267" t="str">
        <f>IFERROR(__xludf.DUMMYFUNCTION("""COMPUTED_VALUE"""),"Panama")</f>
        <v>Panama</v>
      </c>
      <c r="D12267">
        <f>IFERROR(__xludf.DUMMYFUNCTION("""COMPUTED_VALUE"""),2019.0)</f>
        <v>2019</v>
      </c>
      <c r="E12267">
        <f>IFERROR(__xludf.DUMMYFUNCTION("""COMPUTED_VALUE"""),4226197.0)</f>
        <v>4226197</v>
      </c>
    </row>
    <row r="12268">
      <c r="A12268" t="str">
        <f t="shared" si="1"/>
        <v>pan#2020</v>
      </c>
      <c r="B12268" t="str">
        <f>IFERROR(__xludf.DUMMYFUNCTION("""COMPUTED_VALUE"""),"pan")</f>
        <v>pan</v>
      </c>
      <c r="C12268" t="str">
        <f>IFERROR(__xludf.DUMMYFUNCTION("""COMPUTED_VALUE"""),"Panama")</f>
        <v>Panama</v>
      </c>
      <c r="D12268">
        <f>IFERROR(__xludf.DUMMYFUNCTION("""COMPUTED_VALUE"""),2020.0)</f>
        <v>2020</v>
      </c>
      <c r="E12268">
        <f>IFERROR(__xludf.DUMMYFUNCTION("""COMPUTED_VALUE"""),4289330.0)</f>
        <v>4289330</v>
      </c>
    </row>
    <row r="12269">
      <c r="A12269" t="str">
        <f t="shared" si="1"/>
        <v>pan#2021</v>
      </c>
      <c r="B12269" t="str">
        <f>IFERROR(__xludf.DUMMYFUNCTION("""COMPUTED_VALUE"""),"pan")</f>
        <v>pan</v>
      </c>
      <c r="C12269" t="str">
        <f>IFERROR(__xludf.DUMMYFUNCTION("""COMPUTED_VALUE"""),"Panama")</f>
        <v>Panama</v>
      </c>
      <c r="D12269">
        <f>IFERROR(__xludf.DUMMYFUNCTION("""COMPUTED_VALUE"""),2021.0)</f>
        <v>2021</v>
      </c>
      <c r="E12269">
        <f>IFERROR(__xludf.DUMMYFUNCTION("""COMPUTED_VALUE"""),4351945.0)</f>
        <v>4351945</v>
      </c>
    </row>
    <row r="12270">
      <c r="A12270" t="str">
        <f t="shared" si="1"/>
        <v>pan#2022</v>
      </c>
      <c r="B12270" t="str">
        <f>IFERROR(__xludf.DUMMYFUNCTION("""COMPUTED_VALUE"""),"pan")</f>
        <v>pan</v>
      </c>
      <c r="C12270" t="str">
        <f>IFERROR(__xludf.DUMMYFUNCTION("""COMPUTED_VALUE"""),"Panama")</f>
        <v>Panama</v>
      </c>
      <c r="D12270">
        <f>IFERROR(__xludf.DUMMYFUNCTION("""COMPUTED_VALUE"""),2022.0)</f>
        <v>2022</v>
      </c>
      <c r="E12270">
        <f>IFERROR(__xludf.DUMMYFUNCTION("""COMPUTED_VALUE"""),4413969.0)</f>
        <v>4413969</v>
      </c>
    </row>
    <row r="12271">
      <c r="A12271" t="str">
        <f t="shared" si="1"/>
        <v>pan#2023</v>
      </c>
      <c r="B12271" t="str">
        <f>IFERROR(__xludf.DUMMYFUNCTION("""COMPUTED_VALUE"""),"pan")</f>
        <v>pan</v>
      </c>
      <c r="C12271" t="str">
        <f>IFERROR(__xludf.DUMMYFUNCTION("""COMPUTED_VALUE"""),"Panama")</f>
        <v>Panama</v>
      </c>
      <c r="D12271">
        <f>IFERROR(__xludf.DUMMYFUNCTION("""COMPUTED_VALUE"""),2023.0)</f>
        <v>2023</v>
      </c>
      <c r="E12271">
        <f>IFERROR(__xludf.DUMMYFUNCTION("""COMPUTED_VALUE"""),4475356.0)</f>
        <v>4475356</v>
      </c>
    </row>
    <row r="12272">
      <c r="A12272" t="str">
        <f t="shared" si="1"/>
        <v>pan#2024</v>
      </c>
      <c r="B12272" t="str">
        <f>IFERROR(__xludf.DUMMYFUNCTION("""COMPUTED_VALUE"""),"pan")</f>
        <v>pan</v>
      </c>
      <c r="C12272" t="str">
        <f>IFERROR(__xludf.DUMMYFUNCTION("""COMPUTED_VALUE"""),"Panama")</f>
        <v>Panama</v>
      </c>
      <c r="D12272">
        <f>IFERROR(__xludf.DUMMYFUNCTION("""COMPUTED_VALUE"""),2024.0)</f>
        <v>2024</v>
      </c>
      <c r="E12272">
        <f>IFERROR(__xludf.DUMMYFUNCTION("""COMPUTED_VALUE"""),4536068.0)</f>
        <v>4536068</v>
      </c>
    </row>
    <row r="12273">
      <c r="A12273" t="str">
        <f t="shared" si="1"/>
        <v>pan#2025</v>
      </c>
      <c r="B12273" t="str">
        <f>IFERROR(__xludf.DUMMYFUNCTION("""COMPUTED_VALUE"""),"pan")</f>
        <v>pan</v>
      </c>
      <c r="C12273" t="str">
        <f>IFERROR(__xludf.DUMMYFUNCTION("""COMPUTED_VALUE"""),"Panama")</f>
        <v>Panama</v>
      </c>
      <c r="D12273">
        <f>IFERROR(__xludf.DUMMYFUNCTION("""COMPUTED_VALUE"""),2025.0)</f>
        <v>2025</v>
      </c>
      <c r="E12273">
        <f>IFERROR(__xludf.DUMMYFUNCTION("""COMPUTED_VALUE"""),4596066.0)</f>
        <v>4596066</v>
      </c>
    </row>
    <row r="12274">
      <c r="A12274" t="str">
        <f t="shared" si="1"/>
        <v>pan#2026</v>
      </c>
      <c r="B12274" t="str">
        <f>IFERROR(__xludf.DUMMYFUNCTION("""COMPUTED_VALUE"""),"pan")</f>
        <v>pan</v>
      </c>
      <c r="C12274" t="str">
        <f>IFERROR(__xludf.DUMMYFUNCTION("""COMPUTED_VALUE"""),"Panama")</f>
        <v>Panama</v>
      </c>
      <c r="D12274">
        <f>IFERROR(__xludf.DUMMYFUNCTION("""COMPUTED_VALUE"""),2026.0)</f>
        <v>2026</v>
      </c>
      <c r="E12274">
        <f>IFERROR(__xludf.DUMMYFUNCTION("""COMPUTED_VALUE"""),4655326.0)</f>
        <v>4655326</v>
      </c>
    </row>
    <row r="12275">
      <c r="A12275" t="str">
        <f t="shared" si="1"/>
        <v>pan#2027</v>
      </c>
      <c r="B12275" t="str">
        <f>IFERROR(__xludf.DUMMYFUNCTION("""COMPUTED_VALUE"""),"pan")</f>
        <v>pan</v>
      </c>
      <c r="C12275" t="str">
        <f>IFERROR(__xludf.DUMMYFUNCTION("""COMPUTED_VALUE"""),"Panama")</f>
        <v>Panama</v>
      </c>
      <c r="D12275">
        <f>IFERROR(__xludf.DUMMYFUNCTION("""COMPUTED_VALUE"""),2027.0)</f>
        <v>2027</v>
      </c>
      <c r="E12275">
        <f>IFERROR(__xludf.DUMMYFUNCTION("""COMPUTED_VALUE"""),4713809.0)</f>
        <v>4713809</v>
      </c>
    </row>
    <row r="12276">
      <c r="A12276" t="str">
        <f t="shared" si="1"/>
        <v>pan#2028</v>
      </c>
      <c r="B12276" t="str">
        <f>IFERROR(__xludf.DUMMYFUNCTION("""COMPUTED_VALUE"""),"pan")</f>
        <v>pan</v>
      </c>
      <c r="C12276" t="str">
        <f>IFERROR(__xludf.DUMMYFUNCTION("""COMPUTED_VALUE"""),"Panama")</f>
        <v>Panama</v>
      </c>
      <c r="D12276">
        <f>IFERROR(__xludf.DUMMYFUNCTION("""COMPUTED_VALUE"""),2028.0)</f>
        <v>2028</v>
      </c>
      <c r="E12276">
        <f>IFERROR(__xludf.DUMMYFUNCTION("""COMPUTED_VALUE"""),4771495.0)</f>
        <v>4771495</v>
      </c>
    </row>
    <row r="12277">
      <c r="A12277" t="str">
        <f t="shared" si="1"/>
        <v>pan#2029</v>
      </c>
      <c r="B12277" t="str">
        <f>IFERROR(__xludf.DUMMYFUNCTION("""COMPUTED_VALUE"""),"pan")</f>
        <v>pan</v>
      </c>
      <c r="C12277" t="str">
        <f>IFERROR(__xludf.DUMMYFUNCTION("""COMPUTED_VALUE"""),"Panama")</f>
        <v>Panama</v>
      </c>
      <c r="D12277">
        <f>IFERROR(__xludf.DUMMYFUNCTION("""COMPUTED_VALUE"""),2029.0)</f>
        <v>2029</v>
      </c>
      <c r="E12277">
        <f>IFERROR(__xludf.DUMMYFUNCTION("""COMPUTED_VALUE"""),4828327.0)</f>
        <v>4828327</v>
      </c>
    </row>
    <row r="12278">
      <c r="A12278" t="str">
        <f t="shared" si="1"/>
        <v>pan#2030</v>
      </c>
      <c r="B12278" t="str">
        <f>IFERROR(__xludf.DUMMYFUNCTION("""COMPUTED_VALUE"""),"pan")</f>
        <v>pan</v>
      </c>
      <c r="C12278" t="str">
        <f>IFERROR(__xludf.DUMMYFUNCTION("""COMPUTED_VALUE"""),"Panama")</f>
        <v>Panama</v>
      </c>
      <c r="D12278">
        <f>IFERROR(__xludf.DUMMYFUNCTION("""COMPUTED_VALUE"""),2030.0)</f>
        <v>2030</v>
      </c>
      <c r="E12278">
        <f>IFERROR(__xludf.DUMMYFUNCTION("""COMPUTED_VALUE"""),4884311.0)</f>
        <v>4884311</v>
      </c>
    </row>
    <row r="12279">
      <c r="A12279" t="str">
        <f t="shared" si="1"/>
        <v>pan#2031</v>
      </c>
      <c r="B12279" t="str">
        <f>IFERROR(__xludf.DUMMYFUNCTION("""COMPUTED_VALUE"""),"pan")</f>
        <v>pan</v>
      </c>
      <c r="C12279" t="str">
        <f>IFERROR(__xludf.DUMMYFUNCTION("""COMPUTED_VALUE"""),"Panama")</f>
        <v>Panama</v>
      </c>
      <c r="D12279">
        <f>IFERROR(__xludf.DUMMYFUNCTION("""COMPUTED_VALUE"""),2031.0)</f>
        <v>2031</v>
      </c>
      <c r="E12279">
        <f>IFERROR(__xludf.DUMMYFUNCTION("""COMPUTED_VALUE"""),4939391.0)</f>
        <v>4939391</v>
      </c>
    </row>
    <row r="12280">
      <c r="A12280" t="str">
        <f t="shared" si="1"/>
        <v>pan#2032</v>
      </c>
      <c r="B12280" t="str">
        <f>IFERROR(__xludf.DUMMYFUNCTION("""COMPUTED_VALUE"""),"pan")</f>
        <v>pan</v>
      </c>
      <c r="C12280" t="str">
        <f>IFERROR(__xludf.DUMMYFUNCTION("""COMPUTED_VALUE"""),"Panama")</f>
        <v>Panama</v>
      </c>
      <c r="D12280">
        <f>IFERROR(__xludf.DUMMYFUNCTION("""COMPUTED_VALUE"""),2032.0)</f>
        <v>2032</v>
      </c>
      <c r="E12280">
        <f>IFERROR(__xludf.DUMMYFUNCTION("""COMPUTED_VALUE"""),4993576.0)</f>
        <v>4993576</v>
      </c>
    </row>
    <row r="12281">
      <c r="A12281" t="str">
        <f t="shared" si="1"/>
        <v>pan#2033</v>
      </c>
      <c r="B12281" t="str">
        <f>IFERROR(__xludf.DUMMYFUNCTION("""COMPUTED_VALUE"""),"pan")</f>
        <v>pan</v>
      </c>
      <c r="C12281" t="str">
        <f>IFERROR(__xludf.DUMMYFUNCTION("""COMPUTED_VALUE"""),"Panama")</f>
        <v>Panama</v>
      </c>
      <c r="D12281">
        <f>IFERROR(__xludf.DUMMYFUNCTION("""COMPUTED_VALUE"""),2033.0)</f>
        <v>2033</v>
      </c>
      <c r="E12281">
        <f>IFERROR(__xludf.DUMMYFUNCTION("""COMPUTED_VALUE"""),5046921.0)</f>
        <v>5046921</v>
      </c>
    </row>
    <row r="12282">
      <c r="A12282" t="str">
        <f t="shared" si="1"/>
        <v>pan#2034</v>
      </c>
      <c r="B12282" t="str">
        <f>IFERROR(__xludf.DUMMYFUNCTION("""COMPUTED_VALUE"""),"pan")</f>
        <v>pan</v>
      </c>
      <c r="C12282" t="str">
        <f>IFERROR(__xludf.DUMMYFUNCTION("""COMPUTED_VALUE"""),"Panama")</f>
        <v>Panama</v>
      </c>
      <c r="D12282">
        <f>IFERROR(__xludf.DUMMYFUNCTION("""COMPUTED_VALUE"""),2034.0)</f>
        <v>2034</v>
      </c>
      <c r="E12282">
        <f>IFERROR(__xludf.DUMMYFUNCTION("""COMPUTED_VALUE"""),5099488.0)</f>
        <v>5099488</v>
      </c>
    </row>
    <row r="12283">
      <c r="A12283" t="str">
        <f t="shared" si="1"/>
        <v>pan#2035</v>
      </c>
      <c r="B12283" t="str">
        <f>IFERROR(__xludf.DUMMYFUNCTION("""COMPUTED_VALUE"""),"pan")</f>
        <v>pan</v>
      </c>
      <c r="C12283" t="str">
        <f>IFERROR(__xludf.DUMMYFUNCTION("""COMPUTED_VALUE"""),"Panama")</f>
        <v>Panama</v>
      </c>
      <c r="D12283">
        <f>IFERROR(__xludf.DUMMYFUNCTION("""COMPUTED_VALUE"""),2035.0)</f>
        <v>2035</v>
      </c>
      <c r="E12283">
        <f>IFERROR(__xludf.DUMMYFUNCTION("""COMPUTED_VALUE"""),5151312.0)</f>
        <v>5151312</v>
      </c>
    </row>
    <row r="12284">
      <c r="A12284" t="str">
        <f t="shared" si="1"/>
        <v>pan#2036</v>
      </c>
      <c r="B12284" t="str">
        <f>IFERROR(__xludf.DUMMYFUNCTION("""COMPUTED_VALUE"""),"pan")</f>
        <v>pan</v>
      </c>
      <c r="C12284" t="str">
        <f>IFERROR(__xludf.DUMMYFUNCTION("""COMPUTED_VALUE"""),"Panama")</f>
        <v>Panama</v>
      </c>
      <c r="D12284">
        <f>IFERROR(__xludf.DUMMYFUNCTION("""COMPUTED_VALUE"""),2036.0)</f>
        <v>2036</v>
      </c>
      <c r="E12284">
        <f>IFERROR(__xludf.DUMMYFUNCTION("""COMPUTED_VALUE"""),5202422.0)</f>
        <v>5202422</v>
      </c>
    </row>
    <row r="12285">
      <c r="A12285" t="str">
        <f t="shared" si="1"/>
        <v>pan#2037</v>
      </c>
      <c r="B12285" t="str">
        <f>IFERROR(__xludf.DUMMYFUNCTION("""COMPUTED_VALUE"""),"pan")</f>
        <v>pan</v>
      </c>
      <c r="C12285" t="str">
        <f>IFERROR(__xludf.DUMMYFUNCTION("""COMPUTED_VALUE"""),"Panama")</f>
        <v>Panama</v>
      </c>
      <c r="D12285">
        <f>IFERROR(__xludf.DUMMYFUNCTION("""COMPUTED_VALUE"""),2037.0)</f>
        <v>2037</v>
      </c>
      <c r="E12285">
        <f>IFERROR(__xludf.DUMMYFUNCTION("""COMPUTED_VALUE"""),5252781.0)</f>
        <v>5252781</v>
      </c>
    </row>
    <row r="12286">
      <c r="A12286" t="str">
        <f t="shared" si="1"/>
        <v>pan#2038</v>
      </c>
      <c r="B12286" t="str">
        <f>IFERROR(__xludf.DUMMYFUNCTION("""COMPUTED_VALUE"""),"pan")</f>
        <v>pan</v>
      </c>
      <c r="C12286" t="str">
        <f>IFERROR(__xludf.DUMMYFUNCTION("""COMPUTED_VALUE"""),"Panama")</f>
        <v>Panama</v>
      </c>
      <c r="D12286">
        <f>IFERROR(__xludf.DUMMYFUNCTION("""COMPUTED_VALUE"""),2038.0)</f>
        <v>2038</v>
      </c>
      <c r="E12286">
        <f>IFERROR(__xludf.DUMMYFUNCTION("""COMPUTED_VALUE"""),5302363.0)</f>
        <v>5302363</v>
      </c>
    </row>
    <row r="12287">
      <c r="A12287" t="str">
        <f t="shared" si="1"/>
        <v>pan#2039</v>
      </c>
      <c r="B12287" t="str">
        <f>IFERROR(__xludf.DUMMYFUNCTION("""COMPUTED_VALUE"""),"pan")</f>
        <v>pan</v>
      </c>
      <c r="C12287" t="str">
        <f>IFERROR(__xludf.DUMMYFUNCTION("""COMPUTED_VALUE"""),"Panama")</f>
        <v>Panama</v>
      </c>
      <c r="D12287">
        <f>IFERROR(__xludf.DUMMYFUNCTION("""COMPUTED_VALUE"""),2039.0)</f>
        <v>2039</v>
      </c>
      <c r="E12287">
        <f>IFERROR(__xludf.DUMMYFUNCTION("""COMPUTED_VALUE"""),5351139.0)</f>
        <v>5351139</v>
      </c>
    </row>
    <row r="12288">
      <c r="A12288" t="str">
        <f t="shared" si="1"/>
        <v>pan#2040</v>
      </c>
      <c r="B12288" t="str">
        <f>IFERROR(__xludf.DUMMYFUNCTION("""COMPUTED_VALUE"""),"pan")</f>
        <v>pan</v>
      </c>
      <c r="C12288" t="str">
        <f>IFERROR(__xludf.DUMMYFUNCTION("""COMPUTED_VALUE"""),"Panama")</f>
        <v>Panama</v>
      </c>
      <c r="D12288">
        <f>IFERROR(__xludf.DUMMYFUNCTION("""COMPUTED_VALUE"""),2040.0)</f>
        <v>2040</v>
      </c>
      <c r="E12288">
        <f>IFERROR(__xludf.DUMMYFUNCTION("""COMPUTED_VALUE"""),5399082.0)</f>
        <v>5399082</v>
      </c>
    </row>
    <row r="12289">
      <c r="A12289" t="str">
        <f t="shared" si="1"/>
        <v>png#1950</v>
      </c>
      <c r="B12289" t="str">
        <f>IFERROR(__xludf.DUMMYFUNCTION("""COMPUTED_VALUE"""),"png")</f>
        <v>png</v>
      </c>
      <c r="C12289" t="str">
        <f>IFERROR(__xludf.DUMMYFUNCTION("""COMPUTED_VALUE"""),"Papua New Guinea")</f>
        <v>Papua New Guinea</v>
      </c>
      <c r="D12289">
        <f>IFERROR(__xludf.DUMMYFUNCTION("""COMPUTED_VALUE"""),1950.0)</f>
        <v>1950</v>
      </c>
      <c r="E12289">
        <f>IFERROR(__xludf.DUMMYFUNCTION("""COMPUTED_VALUE"""),1674036.0)</f>
        <v>1674036</v>
      </c>
    </row>
    <row r="12290">
      <c r="A12290" t="str">
        <f t="shared" si="1"/>
        <v>png#1951</v>
      </c>
      <c r="B12290" t="str">
        <f>IFERROR(__xludf.DUMMYFUNCTION("""COMPUTED_VALUE"""),"png")</f>
        <v>png</v>
      </c>
      <c r="C12290" t="str">
        <f>IFERROR(__xludf.DUMMYFUNCTION("""COMPUTED_VALUE"""),"Papua New Guinea")</f>
        <v>Papua New Guinea</v>
      </c>
      <c r="D12290">
        <f>IFERROR(__xludf.DUMMYFUNCTION("""COMPUTED_VALUE"""),1951.0)</f>
        <v>1951</v>
      </c>
      <c r="E12290">
        <f>IFERROR(__xludf.DUMMYFUNCTION("""COMPUTED_VALUE"""),1702370.0)</f>
        <v>1702370</v>
      </c>
    </row>
    <row r="12291">
      <c r="A12291" t="str">
        <f t="shared" si="1"/>
        <v>png#1952</v>
      </c>
      <c r="B12291" t="str">
        <f>IFERROR(__xludf.DUMMYFUNCTION("""COMPUTED_VALUE"""),"png")</f>
        <v>png</v>
      </c>
      <c r="C12291" t="str">
        <f>IFERROR(__xludf.DUMMYFUNCTION("""COMPUTED_VALUE"""),"Papua New Guinea")</f>
        <v>Papua New Guinea</v>
      </c>
      <c r="D12291">
        <f>IFERROR(__xludf.DUMMYFUNCTION("""COMPUTED_VALUE"""),1952.0)</f>
        <v>1952</v>
      </c>
      <c r="E12291">
        <f>IFERROR(__xludf.DUMMYFUNCTION("""COMPUTED_VALUE"""),1731230.0)</f>
        <v>1731230</v>
      </c>
    </row>
    <row r="12292">
      <c r="A12292" t="str">
        <f t="shared" si="1"/>
        <v>png#1953</v>
      </c>
      <c r="B12292" t="str">
        <f>IFERROR(__xludf.DUMMYFUNCTION("""COMPUTED_VALUE"""),"png")</f>
        <v>png</v>
      </c>
      <c r="C12292" t="str">
        <f>IFERROR(__xludf.DUMMYFUNCTION("""COMPUTED_VALUE"""),"Papua New Guinea")</f>
        <v>Papua New Guinea</v>
      </c>
      <c r="D12292">
        <f>IFERROR(__xludf.DUMMYFUNCTION("""COMPUTED_VALUE"""),1953.0)</f>
        <v>1953</v>
      </c>
      <c r="E12292">
        <f>IFERROR(__xludf.DUMMYFUNCTION("""COMPUTED_VALUE"""),1761050.0)</f>
        <v>1761050</v>
      </c>
    </row>
    <row r="12293">
      <c r="A12293" t="str">
        <f t="shared" si="1"/>
        <v>png#1954</v>
      </c>
      <c r="B12293" t="str">
        <f>IFERROR(__xludf.DUMMYFUNCTION("""COMPUTED_VALUE"""),"png")</f>
        <v>png</v>
      </c>
      <c r="C12293" t="str">
        <f>IFERROR(__xludf.DUMMYFUNCTION("""COMPUTED_VALUE"""),"Papua New Guinea")</f>
        <v>Papua New Guinea</v>
      </c>
      <c r="D12293">
        <f>IFERROR(__xludf.DUMMYFUNCTION("""COMPUTED_VALUE"""),1954.0)</f>
        <v>1954</v>
      </c>
      <c r="E12293">
        <f>IFERROR(__xludf.DUMMYFUNCTION("""COMPUTED_VALUE"""),1792140.0)</f>
        <v>1792140</v>
      </c>
    </row>
    <row r="12294">
      <c r="A12294" t="str">
        <f t="shared" si="1"/>
        <v>png#1955</v>
      </c>
      <c r="B12294" t="str">
        <f>IFERROR(__xludf.DUMMYFUNCTION("""COMPUTED_VALUE"""),"png")</f>
        <v>png</v>
      </c>
      <c r="C12294" t="str">
        <f>IFERROR(__xludf.DUMMYFUNCTION("""COMPUTED_VALUE"""),"Papua New Guinea")</f>
        <v>Papua New Guinea</v>
      </c>
      <c r="D12294">
        <f>IFERROR(__xludf.DUMMYFUNCTION("""COMPUTED_VALUE"""),1955.0)</f>
        <v>1955</v>
      </c>
      <c r="E12294">
        <f>IFERROR(__xludf.DUMMYFUNCTION("""COMPUTED_VALUE"""),1824712.0)</f>
        <v>1824712</v>
      </c>
    </row>
    <row r="12295">
      <c r="A12295" t="str">
        <f t="shared" si="1"/>
        <v>png#1956</v>
      </c>
      <c r="B12295" t="str">
        <f>IFERROR(__xludf.DUMMYFUNCTION("""COMPUTED_VALUE"""),"png")</f>
        <v>png</v>
      </c>
      <c r="C12295" t="str">
        <f>IFERROR(__xludf.DUMMYFUNCTION("""COMPUTED_VALUE"""),"Papua New Guinea")</f>
        <v>Papua New Guinea</v>
      </c>
      <c r="D12295">
        <f>IFERROR(__xludf.DUMMYFUNCTION("""COMPUTED_VALUE"""),1956.0)</f>
        <v>1956</v>
      </c>
      <c r="E12295">
        <f>IFERROR(__xludf.DUMMYFUNCTION("""COMPUTED_VALUE"""),1858885.0)</f>
        <v>1858885</v>
      </c>
    </row>
    <row r="12296">
      <c r="A12296" t="str">
        <f t="shared" si="1"/>
        <v>png#1957</v>
      </c>
      <c r="B12296" t="str">
        <f>IFERROR(__xludf.DUMMYFUNCTION("""COMPUTED_VALUE"""),"png")</f>
        <v>png</v>
      </c>
      <c r="C12296" t="str">
        <f>IFERROR(__xludf.DUMMYFUNCTION("""COMPUTED_VALUE"""),"Papua New Guinea")</f>
        <v>Papua New Guinea</v>
      </c>
      <c r="D12296">
        <f>IFERROR(__xludf.DUMMYFUNCTION("""COMPUTED_VALUE"""),1957.0)</f>
        <v>1957</v>
      </c>
      <c r="E12296">
        <f>IFERROR(__xludf.DUMMYFUNCTION("""COMPUTED_VALUE"""),1894678.0)</f>
        <v>1894678</v>
      </c>
    </row>
    <row r="12297">
      <c r="A12297" t="str">
        <f t="shared" si="1"/>
        <v>png#1958</v>
      </c>
      <c r="B12297" t="str">
        <f>IFERROR(__xludf.DUMMYFUNCTION("""COMPUTED_VALUE"""),"png")</f>
        <v>png</v>
      </c>
      <c r="C12297" t="str">
        <f>IFERROR(__xludf.DUMMYFUNCTION("""COMPUTED_VALUE"""),"Papua New Guinea")</f>
        <v>Papua New Guinea</v>
      </c>
      <c r="D12297">
        <f>IFERROR(__xludf.DUMMYFUNCTION("""COMPUTED_VALUE"""),1958.0)</f>
        <v>1958</v>
      </c>
      <c r="E12297">
        <f>IFERROR(__xludf.DUMMYFUNCTION("""COMPUTED_VALUE"""),1931986.0)</f>
        <v>1931986</v>
      </c>
    </row>
    <row r="12298">
      <c r="A12298" t="str">
        <f t="shared" si="1"/>
        <v>png#1959</v>
      </c>
      <c r="B12298" t="str">
        <f>IFERROR(__xludf.DUMMYFUNCTION("""COMPUTED_VALUE"""),"png")</f>
        <v>png</v>
      </c>
      <c r="C12298" t="str">
        <f>IFERROR(__xludf.DUMMYFUNCTION("""COMPUTED_VALUE"""),"Papua New Guinea")</f>
        <v>Papua New Guinea</v>
      </c>
      <c r="D12298">
        <f>IFERROR(__xludf.DUMMYFUNCTION("""COMPUTED_VALUE"""),1959.0)</f>
        <v>1959</v>
      </c>
      <c r="E12298">
        <f>IFERROR(__xludf.DUMMYFUNCTION("""COMPUTED_VALUE"""),1970694.0)</f>
        <v>1970694</v>
      </c>
    </row>
    <row r="12299">
      <c r="A12299" t="str">
        <f t="shared" si="1"/>
        <v>png#1960</v>
      </c>
      <c r="B12299" t="str">
        <f>IFERROR(__xludf.DUMMYFUNCTION("""COMPUTED_VALUE"""),"png")</f>
        <v>png</v>
      </c>
      <c r="C12299" t="str">
        <f>IFERROR(__xludf.DUMMYFUNCTION("""COMPUTED_VALUE"""),"Papua New Guinea")</f>
        <v>Papua New Guinea</v>
      </c>
      <c r="D12299">
        <f>IFERROR(__xludf.DUMMYFUNCTION("""COMPUTED_VALUE"""),1960.0)</f>
        <v>1960</v>
      </c>
      <c r="E12299">
        <f>IFERROR(__xludf.DUMMYFUNCTION("""COMPUTED_VALUE"""),2010677.0)</f>
        <v>2010677</v>
      </c>
    </row>
    <row r="12300">
      <c r="A12300" t="str">
        <f t="shared" si="1"/>
        <v>png#1961</v>
      </c>
      <c r="B12300" t="str">
        <f>IFERROR(__xludf.DUMMYFUNCTION("""COMPUTED_VALUE"""),"png")</f>
        <v>png</v>
      </c>
      <c r="C12300" t="str">
        <f>IFERROR(__xludf.DUMMYFUNCTION("""COMPUTED_VALUE"""),"Papua New Guinea")</f>
        <v>Papua New Guinea</v>
      </c>
      <c r="D12300">
        <f>IFERROR(__xludf.DUMMYFUNCTION("""COMPUTED_VALUE"""),1961.0)</f>
        <v>1961</v>
      </c>
      <c r="E12300">
        <f>IFERROR(__xludf.DUMMYFUNCTION("""COMPUTED_VALUE"""),2051947.0)</f>
        <v>2051947</v>
      </c>
    </row>
    <row r="12301">
      <c r="A12301" t="str">
        <f t="shared" si="1"/>
        <v>png#1962</v>
      </c>
      <c r="B12301" t="str">
        <f>IFERROR(__xludf.DUMMYFUNCTION("""COMPUTED_VALUE"""),"png")</f>
        <v>png</v>
      </c>
      <c r="C12301" t="str">
        <f>IFERROR(__xludf.DUMMYFUNCTION("""COMPUTED_VALUE"""),"Papua New Guinea")</f>
        <v>Papua New Guinea</v>
      </c>
      <c r="D12301">
        <f>IFERROR(__xludf.DUMMYFUNCTION("""COMPUTED_VALUE"""),1962.0)</f>
        <v>1962</v>
      </c>
      <c r="E12301">
        <f>IFERROR(__xludf.DUMMYFUNCTION("""COMPUTED_VALUE"""),2094687.0)</f>
        <v>2094687</v>
      </c>
    </row>
    <row r="12302">
      <c r="A12302" t="str">
        <f t="shared" si="1"/>
        <v>png#1963</v>
      </c>
      <c r="B12302" t="str">
        <f>IFERROR(__xludf.DUMMYFUNCTION("""COMPUTED_VALUE"""),"png")</f>
        <v>png</v>
      </c>
      <c r="C12302" t="str">
        <f>IFERROR(__xludf.DUMMYFUNCTION("""COMPUTED_VALUE"""),"Papua New Guinea")</f>
        <v>Papua New Guinea</v>
      </c>
      <c r="D12302">
        <f>IFERROR(__xludf.DUMMYFUNCTION("""COMPUTED_VALUE"""),1963.0)</f>
        <v>1963</v>
      </c>
      <c r="E12302">
        <f>IFERROR(__xludf.DUMMYFUNCTION("""COMPUTED_VALUE"""),2139303.0)</f>
        <v>2139303</v>
      </c>
    </row>
    <row r="12303">
      <c r="A12303" t="str">
        <f t="shared" si="1"/>
        <v>png#1964</v>
      </c>
      <c r="B12303" t="str">
        <f>IFERROR(__xludf.DUMMYFUNCTION("""COMPUTED_VALUE"""),"png")</f>
        <v>png</v>
      </c>
      <c r="C12303" t="str">
        <f>IFERROR(__xludf.DUMMYFUNCTION("""COMPUTED_VALUE"""),"Papua New Guinea")</f>
        <v>Papua New Guinea</v>
      </c>
      <c r="D12303">
        <f>IFERROR(__xludf.DUMMYFUNCTION("""COMPUTED_VALUE"""),1964.0)</f>
        <v>1964</v>
      </c>
      <c r="E12303">
        <f>IFERROR(__xludf.DUMMYFUNCTION("""COMPUTED_VALUE"""),2186340.0)</f>
        <v>2186340</v>
      </c>
    </row>
    <row r="12304">
      <c r="A12304" t="str">
        <f t="shared" si="1"/>
        <v>png#1965</v>
      </c>
      <c r="B12304" t="str">
        <f>IFERROR(__xludf.DUMMYFUNCTION("""COMPUTED_VALUE"""),"png")</f>
        <v>png</v>
      </c>
      <c r="C12304" t="str">
        <f>IFERROR(__xludf.DUMMYFUNCTION("""COMPUTED_VALUE"""),"Papua New Guinea")</f>
        <v>Papua New Guinea</v>
      </c>
      <c r="D12304">
        <f>IFERROR(__xludf.DUMMYFUNCTION("""COMPUTED_VALUE"""),1965.0)</f>
        <v>1965</v>
      </c>
      <c r="E12304">
        <f>IFERROR(__xludf.DUMMYFUNCTION("""COMPUTED_VALUE"""),2236206.0)</f>
        <v>2236206</v>
      </c>
    </row>
    <row r="12305">
      <c r="A12305" t="str">
        <f t="shared" si="1"/>
        <v>png#1966</v>
      </c>
      <c r="B12305" t="str">
        <f>IFERROR(__xludf.DUMMYFUNCTION("""COMPUTED_VALUE"""),"png")</f>
        <v>png</v>
      </c>
      <c r="C12305" t="str">
        <f>IFERROR(__xludf.DUMMYFUNCTION("""COMPUTED_VALUE"""),"Papua New Guinea")</f>
        <v>Papua New Guinea</v>
      </c>
      <c r="D12305">
        <f>IFERROR(__xludf.DUMMYFUNCTION("""COMPUTED_VALUE"""),1966.0)</f>
        <v>1966</v>
      </c>
      <c r="E12305">
        <f>IFERROR(__xludf.DUMMYFUNCTION("""COMPUTED_VALUE"""),2289109.0)</f>
        <v>2289109</v>
      </c>
    </row>
    <row r="12306">
      <c r="A12306" t="str">
        <f t="shared" si="1"/>
        <v>png#1967</v>
      </c>
      <c r="B12306" t="str">
        <f>IFERROR(__xludf.DUMMYFUNCTION("""COMPUTED_VALUE"""),"png")</f>
        <v>png</v>
      </c>
      <c r="C12306" t="str">
        <f>IFERROR(__xludf.DUMMYFUNCTION("""COMPUTED_VALUE"""),"Papua New Guinea")</f>
        <v>Papua New Guinea</v>
      </c>
      <c r="D12306">
        <f>IFERROR(__xludf.DUMMYFUNCTION("""COMPUTED_VALUE"""),1967.0)</f>
        <v>1967</v>
      </c>
      <c r="E12306">
        <f>IFERROR(__xludf.DUMMYFUNCTION("""COMPUTED_VALUE"""),2344977.0)</f>
        <v>2344977</v>
      </c>
    </row>
    <row r="12307">
      <c r="A12307" t="str">
        <f t="shared" si="1"/>
        <v>png#1968</v>
      </c>
      <c r="B12307" t="str">
        <f>IFERROR(__xludf.DUMMYFUNCTION("""COMPUTED_VALUE"""),"png")</f>
        <v>png</v>
      </c>
      <c r="C12307" t="str">
        <f>IFERROR(__xludf.DUMMYFUNCTION("""COMPUTED_VALUE"""),"Papua New Guinea")</f>
        <v>Papua New Guinea</v>
      </c>
      <c r="D12307">
        <f>IFERROR(__xludf.DUMMYFUNCTION("""COMPUTED_VALUE"""),1968.0)</f>
        <v>1968</v>
      </c>
      <c r="E12307">
        <f>IFERROR(__xludf.DUMMYFUNCTION("""COMPUTED_VALUE"""),2403595.0)</f>
        <v>2403595</v>
      </c>
    </row>
    <row r="12308">
      <c r="A12308" t="str">
        <f t="shared" si="1"/>
        <v>png#1969</v>
      </c>
      <c r="B12308" t="str">
        <f>IFERROR(__xludf.DUMMYFUNCTION("""COMPUTED_VALUE"""),"png")</f>
        <v>png</v>
      </c>
      <c r="C12308" t="str">
        <f>IFERROR(__xludf.DUMMYFUNCTION("""COMPUTED_VALUE"""),"Papua New Guinea")</f>
        <v>Papua New Guinea</v>
      </c>
      <c r="D12308">
        <f>IFERROR(__xludf.DUMMYFUNCTION("""COMPUTED_VALUE"""),1969.0)</f>
        <v>1969</v>
      </c>
      <c r="E12308">
        <f>IFERROR(__xludf.DUMMYFUNCTION("""COMPUTED_VALUE"""),2464548.0)</f>
        <v>2464548</v>
      </c>
    </row>
    <row r="12309">
      <c r="A12309" t="str">
        <f t="shared" si="1"/>
        <v>png#1970</v>
      </c>
      <c r="B12309" t="str">
        <f>IFERROR(__xludf.DUMMYFUNCTION("""COMPUTED_VALUE"""),"png")</f>
        <v>png</v>
      </c>
      <c r="C12309" t="str">
        <f>IFERROR(__xludf.DUMMYFUNCTION("""COMPUTED_VALUE"""),"Papua New Guinea")</f>
        <v>Papua New Guinea</v>
      </c>
      <c r="D12309">
        <f>IFERROR(__xludf.DUMMYFUNCTION("""COMPUTED_VALUE"""),1970.0)</f>
        <v>1970</v>
      </c>
      <c r="E12309">
        <f>IFERROR(__xludf.DUMMYFUNCTION("""COMPUTED_VALUE"""),2527586.0)</f>
        <v>2527586</v>
      </c>
    </row>
    <row r="12310">
      <c r="A12310" t="str">
        <f t="shared" si="1"/>
        <v>png#1971</v>
      </c>
      <c r="B12310" t="str">
        <f>IFERROR(__xludf.DUMMYFUNCTION("""COMPUTED_VALUE"""),"png")</f>
        <v>png</v>
      </c>
      <c r="C12310" t="str">
        <f>IFERROR(__xludf.DUMMYFUNCTION("""COMPUTED_VALUE"""),"Papua New Guinea")</f>
        <v>Papua New Guinea</v>
      </c>
      <c r="D12310">
        <f>IFERROR(__xludf.DUMMYFUNCTION("""COMPUTED_VALUE"""),1971.0)</f>
        <v>1971</v>
      </c>
      <c r="E12310">
        <f>IFERROR(__xludf.DUMMYFUNCTION("""COMPUTED_VALUE"""),2592628.0)</f>
        <v>2592628</v>
      </c>
    </row>
    <row r="12311">
      <c r="A12311" t="str">
        <f t="shared" si="1"/>
        <v>png#1972</v>
      </c>
      <c r="B12311" t="str">
        <f>IFERROR(__xludf.DUMMYFUNCTION("""COMPUTED_VALUE"""),"png")</f>
        <v>png</v>
      </c>
      <c r="C12311" t="str">
        <f>IFERROR(__xludf.DUMMYFUNCTION("""COMPUTED_VALUE"""),"Papua New Guinea")</f>
        <v>Papua New Guinea</v>
      </c>
      <c r="D12311">
        <f>IFERROR(__xludf.DUMMYFUNCTION("""COMPUTED_VALUE"""),1972.0)</f>
        <v>1972</v>
      </c>
      <c r="E12311">
        <f>IFERROR(__xludf.DUMMYFUNCTION("""COMPUTED_VALUE"""),2659851.0)</f>
        <v>2659851</v>
      </c>
    </row>
    <row r="12312">
      <c r="A12312" t="str">
        <f t="shared" si="1"/>
        <v>png#1973</v>
      </c>
      <c r="B12312" t="str">
        <f>IFERROR(__xludf.DUMMYFUNCTION("""COMPUTED_VALUE"""),"png")</f>
        <v>png</v>
      </c>
      <c r="C12312" t="str">
        <f>IFERROR(__xludf.DUMMYFUNCTION("""COMPUTED_VALUE"""),"Papua New Guinea")</f>
        <v>Papua New Guinea</v>
      </c>
      <c r="D12312">
        <f>IFERROR(__xludf.DUMMYFUNCTION("""COMPUTED_VALUE"""),1973.0)</f>
        <v>1973</v>
      </c>
      <c r="E12312">
        <f>IFERROR(__xludf.DUMMYFUNCTION("""COMPUTED_VALUE"""),2729580.0)</f>
        <v>2729580</v>
      </c>
    </row>
    <row r="12313">
      <c r="A12313" t="str">
        <f t="shared" si="1"/>
        <v>png#1974</v>
      </c>
      <c r="B12313" t="str">
        <f>IFERROR(__xludf.DUMMYFUNCTION("""COMPUTED_VALUE"""),"png")</f>
        <v>png</v>
      </c>
      <c r="C12313" t="str">
        <f>IFERROR(__xludf.DUMMYFUNCTION("""COMPUTED_VALUE"""),"Papua New Guinea")</f>
        <v>Papua New Guinea</v>
      </c>
      <c r="D12313">
        <f>IFERROR(__xludf.DUMMYFUNCTION("""COMPUTED_VALUE"""),1974.0)</f>
        <v>1974</v>
      </c>
      <c r="E12313">
        <f>IFERROR(__xludf.DUMMYFUNCTION("""COMPUTED_VALUE"""),2802243.0)</f>
        <v>2802243</v>
      </c>
    </row>
    <row r="12314">
      <c r="A12314" t="str">
        <f t="shared" si="1"/>
        <v>png#1975</v>
      </c>
      <c r="B12314" t="str">
        <f>IFERROR(__xludf.DUMMYFUNCTION("""COMPUTED_VALUE"""),"png")</f>
        <v>png</v>
      </c>
      <c r="C12314" t="str">
        <f>IFERROR(__xludf.DUMMYFUNCTION("""COMPUTED_VALUE"""),"Papua New Guinea")</f>
        <v>Papua New Guinea</v>
      </c>
      <c r="D12314">
        <f>IFERROR(__xludf.DUMMYFUNCTION("""COMPUTED_VALUE"""),1975.0)</f>
        <v>1975</v>
      </c>
      <c r="E12314">
        <f>IFERROR(__xludf.DUMMYFUNCTION("""COMPUTED_VALUE"""),2878156.0)</f>
        <v>2878156</v>
      </c>
    </row>
    <row r="12315">
      <c r="A12315" t="str">
        <f t="shared" si="1"/>
        <v>png#1976</v>
      </c>
      <c r="B12315" t="str">
        <f>IFERROR(__xludf.DUMMYFUNCTION("""COMPUTED_VALUE"""),"png")</f>
        <v>png</v>
      </c>
      <c r="C12315" t="str">
        <f>IFERROR(__xludf.DUMMYFUNCTION("""COMPUTED_VALUE"""),"Papua New Guinea")</f>
        <v>Papua New Guinea</v>
      </c>
      <c r="D12315">
        <f>IFERROR(__xludf.DUMMYFUNCTION("""COMPUTED_VALUE"""),1976.0)</f>
        <v>1976</v>
      </c>
      <c r="E12315">
        <f>IFERROR(__xludf.DUMMYFUNCTION("""COMPUTED_VALUE"""),2957339.0)</f>
        <v>2957339</v>
      </c>
    </row>
    <row r="12316">
      <c r="A12316" t="str">
        <f t="shared" si="1"/>
        <v>png#1977</v>
      </c>
      <c r="B12316" t="str">
        <f>IFERROR(__xludf.DUMMYFUNCTION("""COMPUTED_VALUE"""),"png")</f>
        <v>png</v>
      </c>
      <c r="C12316" t="str">
        <f>IFERROR(__xludf.DUMMYFUNCTION("""COMPUTED_VALUE"""),"Papua New Guinea")</f>
        <v>Papua New Guinea</v>
      </c>
      <c r="D12316">
        <f>IFERROR(__xludf.DUMMYFUNCTION("""COMPUTED_VALUE"""),1977.0)</f>
        <v>1977</v>
      </c>
      <c r="E12316">
        <f>IFERROR(__xludf.DUMMYFUNCTION("""COMPUTED_VALUE"""),3039660.0)</f>
        <v>3039660</v>
      </c>
    </row>
    <row r="12317">
      <c r="A12317" t="str">
        <f t="shared" si="1"/>
        <v>png#1978</v>
      </c>
      <c r="B12317" t="str">
        <f>IFERROR(__xludf.DUMMYFUNCTION("""COMPUTED_VALUE"""),"png")</f>
        <v>png</v>
      </c>
      <c r="C12317" t="str">
        <f>IFERROR(__xludf.DUMMYFUNCTION("""COMPUTED_VALUE"""),"Papua New Guinea")</f>
        <v>Papua New Guinea</v>
      </c>
      <c r="D12317">
        <f>IFERROR(__xludf.DUMMYFUNCTION("""COMPUTED_VALUE"""),1978.0)</f>
        <v>1978</v>
      </c>
      <c r="E12317">
        <f>IFERROR(__xludf.DUMMYFUNCTION("""COMPUTED_VALUE"""),3125034.0)</f>
        <v>3125034</v>
      </c>
    </row>
    <row r="12318">
      <c r="A12318" t="str">
        <f t="shared" si="1"/>
        <v>png#1979</v>
      </c>
      <c r="B12318" t="str">
        <f>IFERROR(__xludf.DUMMYFUNCTION("""COMPUTED_VALUE"""),"png")</f>
        <v>png</v>
      </c>
      <c r="C12318" t="str">
        <f>IFERROR(__xludf.DUMMYFUNCTION("""COMPUTED_VALUE"""),"Papua New Guinea")</f>
        <v>Papua New Guinea</v>
      </c>
      <c r="D12318">
        <f>IFERROR(__xludf.DUMMYFUNCTION("""COMPUTED_VALUE"""),1979.0)</f>
        <v>1979</v>
      </c>
      <c r="E12318">
        <f>IFERROR(__xludf.DUMMYFUNCTION("""COMPUTED_VALUE"""),3213360.0)</f>
        <v>3213360</v>
      </c>
    </row>
    <row r="12319">
      <c r="A12319" t="str">
        <f t="shared" si="1"/>
        <v>png#1980</v>
      </c>
      <c r="B12319" t="str">
        <f>IFERROR(__xludf.DUMMYFUNCTION("""COMPUTED_VALUE"""),"png")</f>
        <v>png</v>
      </c>
      <c r="C12319" t="str">
        <f>IFERROR(__xludf.DUMMYFUNCTION("""COMPUTED_VALUE"""),"Papua New Guinea")</f>
        <v>Papua New Guinea</v>
      </c>
      <c r="D12319">
        <f>IFERROR(__xludf.DUMMYFUNCTION("""COMPUTED_VALUE"""),1980.0)</f>
        <v>1980</v>
      </c>
      <c r="E12319">
        <f>IFERROR(__xludf.DUMMYFUNCTION("""COMPUTED_VALUE"""),3304473.0)</f>
        <v>3304473</v>
      </c>
    </row>
    <row r="12320">
      <c r="A12320" t="str">
        <f t="shared" si="1"/>
        <v>png#1981</v>
      </c>
      <c r="B12320" t="str">
        <f>IFERROR(__xludf.DUMMYFUNCTION("""COMPUTED_VALUE"""),"png")</f>
        <v>png</v>
      </c>
      <c r="C12320" t="str">
        <f>IFERROR(__xludf.DUMMYFUNCTION("""COMPUTED_VALUE"""),"Papua New Guinea")</f>
        <v>Papua New Guinea</v>
      </c>
      <c r="D12320">
        <f>IFERROR(__xludf.DUMMYFUNCTION("""COMPUTED_VALUE"""),1981.0)</f>
        <v>1981</v>
      </c>
      <c r="E12320">
        <f>IFERROR(__xludf.DUMMYFUNCTION("""COMPUTED_VALUE"""),3398469.0)</f>
        <v>3398469</v>
      </c>
    </row>
    <row r="12321">
      <c r="A12321" t="str">
        <f t="shared" si="1"/>
        <v>png#1982</v>
      </c>
      <c r="B12321" t="str">
        <f>IFERROR(__xludf.DUMMYFUNCTION("""COMPUTED_VALUE"""),"png")</f>
        <v>png</v>
      </c>
      <c r="C12321" t="str">
        <f>IFERROR(__xludf.DUMMYFUNCTION("""COMPUTED_VALUE"""),"Papua New Guinea")</f>
        <v>Papua New Guinea</v>
      </c>
      <c r="D12321">
        <f>IFERROR(__xludf.DUMMYFUNCTION("""COMPUTED_VALUE"""),1982.0)</f>
        <v>1982</v>
      </c>
      <c r="E12321">
        <f>IFERROR(__xludf.DUMMYFUNCTION("""COMPUTED_VALUE"""),3495199.0)</f>
        <v>3495199</v>
      </c>
    </row>
    <row r="12322">
      <c r="A12322" t="str">
        <f t="shared" si="1"/>
        <v>png#1983</v>
      </c>
      <c r="B12322" t="str">
        <f>IFERROR(__xludf.DUMMYFUNCTION("""COMPUTED_VALUE"""),"png")</f>
        <v>png</v>
      </c>
      <c r="C12322" t="str">
        <f>IFERROR(__xludf.DUMMYFUNCTION("""COMPUTED_VALUE"""),"Papua New Guinea")</f>
        <v>Papua New Guinea</v>
      </c>
      <c r="D12322">
        <f>IFERROR(__xludf.DUMMYFUNCTION("""COMPUTED_VALUE"""),1983.0)</f>
        <v>1983</v>
      </c>
      <c r="E12322">
        <f>IFERROR(__xludf.DUMMYFUNCTION("""COMPUTED_VALUE"""),3594004.0)</f>
        <v>3594004</v>
      </c>
    </row>
    <row r="12323">
      <c r="A12323" t="str">
        <f t="shared" si="1"/>
        <v>png#1984</v>
      </c>
      <c r="B12323" t="str">
        <f>IFERROR(__xludf.DUMMYFUNCTION("""COMPUTED_VALUE"""),"png")</f>
        <v>png</v>
      </c>
      <c r="C12323" t="str">
        <f>IFERROR(__xludf.DUMMYFUNCTION("""COMPUTED_VALUE"""),"Papua New Guinea")</f>
        <v>Papua New Guinea</v>
      </c>
      <c r="D12323">
        <f>IFERROR(__xludf.DUMMYFUNCTION("""COMPUTED_VALUE"""),1984.0)</f>
        <v>1984</v>
      </c>
      <c r="E12323">
        <f>IFERROR(__xludf.DUMMYFUNCTION("""COMPUTED_VALUE"""),3694041.0)</f>
        <v>3694041</v>
      </c>
    </row>
    <row r="12324">
      <c r="A12324" t="str">
        <f t="shared" si="1"/>
        <v>png#1985</v>
      </c>
      <c r="B12324" t="str">
        <f>IFERROR(__xludf.DUMMYFUNCTION("""COMPUTED_VALUE"""),"png")</f>
        <v>png</v>
      </c>
      <c r="C12324" t="str">
        <f>IFERROR(__xludf.DUMMYFUNCTION("""COMPUTED_VALUE"""),"Papua New Guinea")</f>
        <v>Papua New Guinea</v>
      </c>
      <c r="D12324">
        <f>IFERROR(__xludf.DUMMYFUNCTION("""COMPUTED_VALUE"""),1985.0)</f>
        <v>1985</v>
      </c>
      <c r="E12324">
        <f>IFERROR(__xludf.DUMMYFUNCTION("""COMPUTED_VALUE"""),3794720.0)</f>
        <v>3794720</v>
      </c>
    </row>
    <row r="12325">
      <c r="A12325" t="str">
        <f t="shared" si="1"/>
        <v>png#1986</v>
      </c>
      <c r="B12325" t="str">
        <f>IFERROR(__xludf.DUMMYFUNCTION("""COMPUTED_VALUE"""),"png")</f>
        <v>png</v>
      </c>
      <c r="C12325" t="str">
        <f>IFERROR(__xludf.DUMMYFUNCTION("""COMPUTED_VALUE"""),"Papua New Guinea")</f>
        <v>Papua New Guinea</v>
      </c>
      <c r="D12325">
        <f>IFERROR(__xludf.DUMMYFUNCTION("""COMPUTED_VALUE"""),1986.0)</f>
        <v>1986</v>
      </c>
      <c r="E12325">
        <f>IFERROR(__xludf.DUMMYFUNCTION("""COMPUTED_VALUE"""),3895852.0)</f>
        <v>3895852</v>
      </c>
    </row>
    <row r="12326">
      <c r="A12326" t="str">
        <f t="shared" si="1"/>
        <v>png#1987</v>
      </c>
      <c r="B12326" t="str">
        <f>IFERROR(__xludf.DUMMYFUNCTION("""COMPUTED_VALUE"""),"png")</f>
        <v>png</v>
      </c>
      <c r="C12326" t="str">
        <f>IFERROR(__xludf.DUMMYFUNCTION("""COMPUTED_VALUE"""),"Papua New Guinea")</f>
        <v>Papua New Guinea</v>
      </c>
      <c r="D12326">
        <f>IFERROR(__xludf.DUMMYFUNCTION("""COMPUTED_VALUE"""),1987.0)</f>
        <v>1987</v>
      </c>
      <c r="E12326">
        <f>IFERROR(__xludf.DUMMYFUNCTION("""COMPUTED_VALUE"""),3997702.0)</f>
        <v>3997702</v>
      </c>
    </row>
    <row r="12327">
      <c r="A12327" t="str">
        <f t="shared" si="1"/>
        <v>png#1988</v>
      </c>
      <c r="B12327" t="str">
        <f>IFERROR(__xludf.DUMMYFUNCTION("""COMPUTED_VALUE"""),"png")</f>
        <v>png</v>
      </c>
      <c r="C12327" t="str">
        <f>IFERROR(__xludf.DUMMYFUNCTION("""COMPUTED_VALUE"""),"Papua New Guinea")</f>
        <v>Papua New Guinea</v>
      </c>
      <c r="D12327">
        <f>IFERROR(__xludf.DUMMYFUNCTION("""COMPUTED_VALUE"""),1988.0)</f>
        <v>1988</v>
      </c>
      <c r="E12327">
        <f>IFERROR(__xludf.DUMMYFUNCTION("""COMPUTED_VALUE"""),4100729.0)</f>
        <v>4100729</v>
      </c>
    </row>
    <row r="12328">
      <c r="A12328" t="str">
        <f t="shared" si="1"/>
        <v>png#1989</v>
      </c>
      <c r="B12328" t="str">
        <f>IFERROR(__xludf.DUMMYFUNCTION("""COMPUTED_VALUE"""),"png")</f>
        <v>png</v>
      </c>
      <c r="C12328" t="str">
        <f>IFERROR(__xludf.DUMMYFUNCTION("""COMPUTED_VALUE"""),"Papua New Guinea")</f>
        <v>Papua New Guinea</v>
      </c>
      <c r="D12328">
        <f>IFERROR(__xludf.DUMMYFUNCTION("""COMPUTED_VALUE"""),1989.0)</f>
        <v>1989</v>
      </c>
      <c r="E12328">
        <f>IFERROR(__xludf.DUMMYFUNCTION("""COMPUTED_VALUE"""),4205654.0)</f>
        <v>4205654</v>
      </c>
    </row>
    <row r="12329">
      <c r="A12329" t="str">
        <f t="shared" si="1"/>
        <v>png#1990</v>
      </c>
      <c r="B12329" t="str">
        <f>IFERROR(__xludf.DUMMYFUNCTION("""COMPUTED_VALUE"""),"png")</f>
        <v>png</v>
      </c>
      <c r="C12329" t="str">
        <f>IFERROR(__xludf.DUMMYFUNCTION("""COMPUTED_VALUE"""),"Papua New Guinea")</f>
        <v>Papua New Guinea</v>
      </c>
      <c r="D12329">
        <f>IFERROR(__xludf.DUMMYFUNCTION("""COMPUTED_VALUE"""),1990.0)</f>
        <v>1990</v>
      </c>
      <c r="E12329">
        <f>IFERROR(__xludf.DUMMYFUNCTION("""COMPUTED_VALUE"""),4313059.0)</f>
        <v>4313059</v>
      </c>
    </row>
    <row r="12330">
      <c r="A12330" t="str">
        <f t="shared" si="1"/>
        <v>png#1991</v>
      </c>
      <c r="B12330" t="str">
        <f>IFERROR(__xludf.DUMMYFUNCTION("""COMPUTED_VALUE"""),"png")</f>
        <v>png</v>
      </c>
      <c r="C12330" t="str">
        <f>IFERROR(__xludf.DUMMYFUNCTION("""COMPUTED_VALUE"""),"Papua New Guinea")</f>
        <v>Papua New Guinea</v>
      </c>
      <c r="D12330">
        <f>IFERROR(__xludf.DUMMYFUNCTION("""COMPUTED_VALUE"""),1991.0)</f>
        <v>1991</v>
      </c>
      <c r="E12330">
        <f>IFERROR(__xludf.DUMMYFUNCTION("""COMPUTED_VALUE"""),4423007.0)</f>
        <v>4423007</v>
      </c>
    </row>
    <row r="12331">
      <c r="A12331" t="str">
        <f t="shared" si="1"/>
        <v>png#1992</v>
      </c>
      <c r="B12331" t="str">
        <f>IFERROR(__xludf.DUMMYFUNCTION("""COMPUTED_VALUE"""),"png")</f>
        <v>png</v>
      </c>
      <c r="C12331" t="str">
        <f>IFERROR(__xludf.DUMMYFUNCTION("""COMPUTED_VALUE"""),"Papua New Guinea")</f>
        <v>Papua New Guinea</v>
      </c>
      <c r="D12331">
        <f>IFERROR(__xludf.DUMMYFUNCTION("""COMPUTED_VALUE"""),1992.0)</f>
        <v>1992</v>
      </c>
      <c r="E12331">
        <f>IFERROR(__xludf.DUMMYFUNCTION("""COMPUTED_VALUE"""),4535520.0)</f>
        <v>4535520</v>
      </c>
    </row>
    <row r="12332">
      <c r="A12332" t="str">
        <f t="shared" si="1"/>
        <v>png#1993</v>
      </c>
      <c r="B12332" t="str">
        <f>IFERROR(__xludf.DUMMYFUNCTION("""COMPUTED_VALUE"""),"png")</f>
        <v>png</v>
      </c>
      <c r="C12332" t="str">
        <f>IFERROR(__xludf.DUMMYFUNCTION("""COMPUTED_VALUE"""),"Papua New Guinea")</f>
        <v>Papua New Guinea</v>
      </c>
      <c r="D12332">
        <f>IFERROR(__xludf.DUMMYFUNCTION("""COMPUTED_VALUE"""),1993.0)</f>
        <v>1993</v>
      </c>
      <c r="E12332">
        <f>IFERROR(__xludf.DUMMYFUNCTION("""COMPUTED_VALUE"""),4651169.0)</f>
        <v>4651169</v>
      </c>
    </row>
    <row r="12333">
      <c r="A12333" t="str">
        <f t="shared" si="1"/>
        <v>png#1994</v>
      </c>
      <c r="B12333" t="str">
        <f>IFERROR(__xludf.DUMMYFUNCTION("""COMPUTED_VALUE"""),"png")</f>
        <v>png</v>
      </c>
      <c r="C12333" t="str">
        <f>IFERROR(__xludf.DUMMYFUNCTION("""COMPUTED_VALUE"""),"Papua New Guinea")</f>
        <v>Papua New Guinea</v>
      </c>
      <c r="D12333">
        <f>IFERROR(__xludf.DUMMYFUNCTION("""COMPUTED_VALUE"""),1994.0)</f>
        <v>1994</v>
      </c>
      <c r="E12333">
        <f>IFERROR(__xludf.DUMMYFUNCTION("""COMPUTED_VALUE"""),4770606.0)</f>
        <v>4770606</v>
      </c>
    </row>
    <row r="12334">
      <c r="A12334" t="str">
        <f t="shared" si="1"/>
        <v>png#1995</v>
      </c>
      <c r="B12334" t="str">
        <f>IFERROR(__xludf.DUMMYFUNCTION("""COMPUTED_VALUE"""),"png")</f>
        <v>png</v>
      </c>
      <c r="C12334" t="str">
        <f>IFERROR(__xludf.DUMMYFUNCTION("""COMPUTED_VALUE"""),"Papua New Guinea")</f>
        <v>Papua New Guinea</v>
      </c>
      <c r="D12334">
        <f>IFERROR(__xludf.DUMMYFUNCTION("""COMPUTED_VALUE"""),1995.0)</f>
        <v>1995</v>
      </c>
      <c r="E12334">
        <f>IFERROR(__xludf.DUMMYFUNCTION("""COMPUTED_VALUE"""),4894276.0)</f>
        <v>4894276</v>
      </c>
    </row>
    <row r="12335">
      <c r="A12335" t="str">
        <f t="shared" si="1"/>
        <v>png#1996</v>
      </c>
      <c r="B12335" t="str">
        <f>IFERROR(__xludf.DUMMYFUNCTION("""COMPUTED_VALUE"""),"png")</f>
        <v>png</v>
      </c>
      <c r="C12335" t="str">
        <f>IFERROR(__xludf.DUMMYFUNCTION("""COMPUTED_VALUE"""),"Papua New Guinea")</f>
        <v>Papua New Guinea</v>
      </c>
      <c r="D12335">
        <f>IFERROR(__xludf.DUMMYFUNCTION("""COMPUTED_VALUE"""),1996.0)</f>
        <v>1996</v>
      </c>
      <c r="E12335">
        <f>IFERROR(__xludf.DUMMYFUNCTION("""COMPUTED_VALUE"""),5022437.0)</f>
        <v>5022437</v>
      </c>
    </row>
    <row r="12336">
      <c r="A12336" t="str">
        <f t="shared" si="1"/>
        <v>png#1997</v>
      </c>
      <c r="B12336" t="str">
        <f>IFERROR(__xludf.DUMMYFUNCTION("""COMPUTED_VALUE"""),"png")</f>
        <v>png</v>
      </c>
      <c r="C12336" t="str">
        <f>IFERROR(__xludf.DUMMYFUNCTION("""COMPUTED_VALUE"""),"Papua New Guinea")</f>
        <v>Papua New Guinea</v>
      </c>
      <c r="D12336">
        <f>IFERROR(__xludf.DUMMYFUNCTION("""COMPUTED_VALUE"""),1997.0)</f>
        <v>1997</v>
      </c>
      <c r="E12336">
        <f>IFERROR(__xludf.DUMMYFUNCTION("""COMPUTED_VALUE"""),5154910.0)</f>
        <v>5154910</v>
      </c>
    </row>
    <row r="12337">
      <c r="A12337" t="str">
        <f t="shared" si="1"/>
        <v>png#1998</v>
      </c>
      <c r="B12337" t="str">
        <f>IFERROR(__xludf.DUMMYFUNCTION("""COMPUTED_VALUE"""),"png")</f>
        <v>png</v>
      </c>
      <c r="C12337" t="str">
        <f>IFERROR(__xludf.DUMMYFUNCTION("""COMPUTED_VALUE"""),"Papua New Guinea")</f>
        <v>Papua New Guinea</v>
      </c>
      <c r="D12337">
        <f>IFERROR(__xludf.DUMMYFUNCTION("""COMPUTED_VALUE"""),1998.0)</f>
        <v>1998</v>
      </c>
      <c r="E12337">
        <f>IFERROR(__xludf.DUMMYFUNCTION("""COMPUTED_VALUE"""),5291178.0)</f>
        <v>5291178</v>
      </c>
    </row>
    <row r="12338">
      <c r="A12338" t="str">
        <f t="shared" si="1"/>
        <v>png#1999</v>
      </c>
      <c r="B12338" t="str">
        <f>IFERROR(__xludf.DUMMYFUNCTION("""COMPUTED_VALUE"""),"png")</f>
        <v>png</v>
      </c>
      <c r="C12338" t="str">
        <f>IFERROR(__xludf.DUMMYFUNCTION("""COMPUTED_VALUE"""),"Papua New Guinea")</f>
        <v>Papua New Guinea</v>
      </c>
      <c r="D12338">
        <f>IFERROR(__xludf.DUMMYFUNCTION("""COMPUTED_VALUE"""),1999.0)</f>
        <v>1999</v>
      </c>
      <c r="E12338">
        <f>IFERROR(__xludf.DUMMYFUNCTION("""COMPUTED_VALUE"""),5430479.0)</f>
        <v>5430479</v>
      </c>
    </row>
    <row r="12339">
      <c r="A12339" t="str">
        <f t="shared" si="1"/>
        <v>png#2000</v>
      </c>
      <c r="B12339" t="str">
        <f>IFERROR(__xludf.DUMMYFUNCTION("""COMPUTED_VALUE"""),"png")</f>
        <v>png</v>
      </c>
      <c r="C12339" t="str">
        <f>IFERROR(__xludf.DUMMYFUNCTION("""COMPUTED_VALUE"""),"Papua New Guinea")</f>
        <v>Papua New Guinea</v>
      </c>
      <c r="D12339">
        <f>IFERROR(__xludf.DUMMYFUNCTION("""COMPUTED_VALUE"""),2000.0)</f>
        <v>2000</v>
      </c>
      <c r="E12339">
        <f>IFERROR(__xludf.DUMMYFUNCTION("""COMPUTED_VALUE"""),5572222.0)</f>
        <v>5572222</v>
      </c>
    </row>
    <row r="12340">
      <c r="A12340" t="str">
        <f t="shared" si="1"/>
        <v>png#2001</v>
      </c>
      <c r="B12340" t="str">
        <f>IFERROR(__xludf.DUMMYFUNCTION("""COMPUTED_VALUE"""),"png")</f>
        <v>png</v>
      </c>
      <c r="C12340" t="str">
        <f>IFERROR(__xludf.DUMMYFUNCTION("""COMPUTED_VALUE"""),"Papua New Guinea")</f>
        <v>Papua New Guinea</v>
      </c>
      <c r="D12340">
        <f>IFERROR(__xludf.DUMMYFUNCTION("""COMPUTED_VALUE"""),2001.0)</f>
        <v>2001</v>
      </c>
      <c r="E12340">
        <f>IFERROR(__xludf.DUMMYFUNCTION("""COMPUTED_VALUE"""),5716152.0)</f>
        <v>5716152</v>
      </c>
    </row>
    <row r="12341">
      <c r="A12341" t="str">
        <f t="shared" si="1"/>
        <v>png#2002</v>
      </c>
      <c r="B12341" t="str">
        <f>IFERROR(__xludf.DUMMYFUNCTION("""COMPUTED_VALUE"""),"png")</f>
        <v>png</v>
      </c>
      <c r="C12341" t="str">
        <f>IFERROR(__xludf.DUMMYFUNCTION("""COMPUTED_VALUE"""),"Papua New Guinea")</f>
        <v>Papua New Guinea</v>
      </c>
      <c r="D12341">
        <f>IFERROR(__xludf.DUMMYFUNCTION("""COMPUTED_VALUE"""),2002.0)</f>
        <v>2002</v>
      </c>
      <c r="E12341">
        <f>IFERROR(__xludf.DUMMYFUNCTION("""COMPUTED_VALUE"""),5862316.0)</f>
        <v>5862316</v>
      </c>
    </row>
    <row r="12342">
      <c r="A12342" t="str">
        <f t="shared" si="1"/>
        <v>png#2003</v>
      </c>
      <c r="B12342" t="str">
        <f>IFERROR(__xludf.DUMMYFUNCTION("""COMPUTED_VALUE"""),"png")</f>
        <v>png</v>
      </c>
      <c r="C12342" t="str">
        <f>IFERROR(__xludf.DUMMYFUNCTION("""COMPUTED_VALUE"""),"Papua New Guinea")</f>
        <v>Papua New Guinea</v>
      </c>
      <c r="D12342">
        <f>IFERROR(__xludf.DUMMYFUNCTION("""COMPUTED_VALUE"""),2003.0)</f>
        <v>2003</v>
      </c>
      <c r="E12342">
        <f>IFERROR(__xludf.DUMMYFUNCTION("""COMPUTED_VALUE"""),6010724.0)</f>
        <v>6010724</v>
      </c>
    </row>
    <row r="12343">
      <c r="A12343" t="str">
        <f t="shared" si="1"/>
        <v>png#2004</v>
      </c>
      <c r="B12343" t="str">
        <f>IFERROR(__xludf.DUMMYFUNCTION("""COMPUTED_VALUE"""),"png")</f>
        <v>png</v>
      </c>
      <c r="C12343" t="str">
        <f>IFERROR(__xludf.DUMMYFUNCTION("""COMPUTED_VALUE"""),"Papua New Guinea")</f>
        <v>Papua New Guinea</v>
      </c>
      <c r="D12343">
        <f>IFERROR(__xludf.DUMMYFUNCTION("""COMPUTED_VALUE"""),2004.0)</f>
        <v>2004</v>
      </c>
      <c r="E12343">
        <f>IFERROR(__xludf.DUMMYFUNCTION("""COMPUTED_VALUE"""),6161517.0)</f>
        <v>6161517</v>
      </c>
    </row>
    <row r="12344">
      <c r="A12344" t="str">
        <f t="shared" si="1"/>
        <v>png#2005</v>
      </c>
      <c r="B12344" t="str">
        <f>IFERROR(__xludf.DUMMYFUNCTION("""COMPUTED_VALUE"""),"png")</f>
        <v>png</v>
      </c>
      <c r="C12344" t="str">
        <f>IFERROR(__xludf.DUMMYFUNCTION("""COMPUTED_VALUE"""),"Papua New Guinea")</f>
        <v>Papua New Guinea</v>
      </c>
      <c r="D12344">
        <f>IFERROR(__xludf.DUMMYFUNCTION("""COMPUTED_VALUE"""),2005.0)</f>
        <v>2005</v>
      </c>
      <c r="E12344">
        <f>IFERROR(__xludf.DUMMYFUNCTION("""COMPUTED_VALUE"""),6314709.0)</f>
        <v>6314709</v>
      </c>
    </row>
    <row r="12345">
      <c r="A12345" t="str">
        <f t="shared" si="1"/>
        <v>png#2006</v>
      </c>
      <c r="B12345" t="str">
        <f>IFERROR(__xludf.DUMMYFUNCTION("""COMPUTED_VALUE"""),"png")</f>
        <v>png</v>
      </c>
      <c r="C12345" t="str">
        <f>IFERROR(__xludf.DUMMYFUNCTION("""COMPUTED_VALUE"""),"Papua New Guinea")</f>
        <v>Papua New Guinea</v>
      </c>
      <c r="D12345">
        <f>IFERROR(__xludf.DUMMYFUNCTION("""COMPUTED_VALUE"""),2006.0)</f>
        <v>2006</v>
      </c>
      <c r="E12345">
        <f>IFERROR(__xludf.DUMMYFUNCTION("""COMPUTED_VALUE"""),6470272.0)</f>
        <v>6470272</v>
      </c>
    </row>
    <row r="12346">
      <c r="A12346" t="str">
        <f t="shared" si="1"/>
        <v>png#2007</v>
      </c>
      <c r="B12346" t="str">
        <f>IFERROR(__xludf.DUMMYFUNCTION("""COMPUTED_VALUE"""),"png")</f>
        <v>png</v>
      </c>
      <c r="C12346" t="str">
        <f>IFERROR(__xludf.DUMMYFUNCTION("""COMPUTED_VALUE"""),"Papua New Guinea")</f>
        <v>Papua New Guinea</v>
      </c>
      <c r="D12346">
        <f>IFERROR(__xludf.DUMMYFUNCTION("""COMPUTED_VALUE"""),2007.0)</f>
        <v>2007</v>
      </c>
      <c r="E12346">
        <f>IFERROR(__xludf.DUMMYFUNCTION("""COMPUTED_VALUE"""),6627922.0)</f>
        <v>6627922</v>
      </c>
    </row>
    <row r="12347">
      <c r="A12347" t="str">
        <f t="shared" si="1"/>
        <v>png#2008</v>
      </c>
      <c r="B12347" t="str">
        <f>IFERROR(__xludf.DUMMYFUNCTION("""COMPUTED_VALUE"""),"png")</f>
        <v>png</v>
      </c>
      <c r="C12347" t="str">
        <f>IFERROR(__xludf.DUMMYFUNCTION("""COMPUTED_VALUE"""),"Papua New Guinea")</f>
        <v>Papua New Guinea</v>
      </c>
      <c r="D12347">
        <f>IFERROR(__xludf.DUMMYFUNCTION("""COMPUTED_VALUE"""),2008.0)</f>
        <v>2008</v>
      </c>
      <c r="E12347">
        <f>IFERROR(__xludf.DUMMYFUNCTION("""COMPUTED_VALUE"""),6787187.0)</f>
        <v>6787187</v>
      </c>
    </row>
    <row r="12348">
      <c r="A12348" t="str">
        <f t="shared" si="1"/>
        <v>png#2009</v>
      </c>
      <c r="B12348" t="str">
        <f>IFERROR(__xludf.DUMMYFUNCTION("""COMPUTED_VALUE"""),"png")</f>
        <v>png</v>
      </c>
      <c r="C12348" t="str">
        <f>IFERROR(__xludf.DUMMYFUNCTION("""COMPUTED_VALUE"""),"Papua New Guinea")</f>
        <v>Papua New Guinea</v>
      </c>
      <c r="D12348">
        <f>IFERROR(__xludf.DUMMYFUNCTION("""COMPUTED_VALUE"""),2009.0)</f>
        <v>2009</v>
      </c>
      <c r="E12348">
        <f>IFERROR(__xludf.DUMMYFUNCTION("""COMPUTED_VALUE"""),6947447.0)</f>
        <v>6947447</v>
      </c>
    </row>
    <row r="12349">
      <c r="A12349" t="str">
        <f t="shared" si="1"/>
        <v>png#2010</v>
      </c>
      <c r="B12349" t="str">
        <f>IFERROR(__xludf.DUMMYFUNCTION("""COMPUTED_VALUE"""),"png")</f>
        <v>png</v>
      </c>
      <c r="C12349" t="str">
        <f>IFERROR(__xludf.DUMMYFUNCTION("""COMPUTED_VALUE"""),"Papua New Guinea")</f>
        <v>Papua New Guinea</v>
      </c>
      <c r="D12349">
        <f>IFERROR(__xludf.DUMMYFUNCTION("""COMPUTED_VALUE"""),2010.0)</f>
        <v>2010</v>
      </c>
      <c r="E12349">
        <f>IFERROR(__xludf.DUMMYFUNCTION("""COMPUTED_VALUE"""),7108239.0)</f>
        <v>7108239</v>
      </c>
    </row>
    <row r="12350">
      <c r="A12350" t="str">
        <f t="shared" si="1"/>
        <v>png#2011</v>
      </c>
      <c r="B12350" t="str">
        <f>IFERROR(__xludf.DUMMYFUNCTION("""COMPUTED_VALUE"""),"png")</f>
        <v>png</v>
      </c>
      <c r="C12350" t="str">
        <f>IFERROR(__xludf.DUMMYFUNCTION("""COMPUTED_VALUE"""),"Papua New Guinea")</f>
        <v>Papua New Guinea</v>
      </c>
      <c r="D12350">
        <f>IFERROR(__xludf.DUMMYFUNCTION("""COMPUTED_VALUE"""),2011.0)</f>
        <v>2011</v>
      </c>
      <c r="E12350">
        <f>IFERROR(__xludf.DUMMYFUNCTION("""COMPUTED_VALUE"""),7269348.0)</f>
        <v>7269348</v>
      </c>
    </row>
    <row r="12351">
      <c r="A12351" t="str">
        <f t="shared" si="1"/>
        <v>png#2012</v>
      </c>
      <c r="B12351" t="str">
        <f>IFERROR(__xludf.DUMMYFUNCTION("""COMPUTED_VALUE"""),"png")</f>
        <v>png</v>
      </c>
      <c r="C12351" t="str">
        <f>IFERROR(__xludf.DUMMYFUNCTION("""COMPUTED_VALUE"""),"Papua New Guinea")</f>
        <v>Papua New Guinea</v>
      </c>
      <c r="D12351">
        <f>IFERROR(__xludf.DUMMYFUNCTION("""COMPUTED_VALUE"""),2012.0)</f>
        <v>2012</v>
      </c>
      <c r="E12351">
        <f>IFERROR(__xludf.DUMMYFUNCTION("""COMPUTED_VALUE"""),7430836.0)</f>
        <v>7430836</v>
      </c>
    </row>
    <row r="12352">
      <c r="A12352" t="str">
        <f t="shared" si="1"/>
        <v>png#2013</v>
      </c>
      <c r="B12352" t="str">
        <f>IFERROR(__xludf.DUMMYFUNCTION("""COMPUTED_VALUE"""),"png")</f>
        <v>png</v>
      </c>
      <c r="C12352" t="str">
        <f>IFERROR(__xludf.DUMMYFUNCTION("""COMPUTED_VALUE"""),"Papua New Guinea")</f>
        <v>Papua New Guinea</v>
      </c>
      <c r="D12352">
        <f>IFERROR(__xludf.DUMMYFUNCTION("""COMPUTED_VALUE"""),2013.0)</f>
        <v>2013</v>
      </c>
      <c r="E12352">
        <f>IFERROR(__xludf.DUMMYFUNCTION("""COMPUTED_VALUE"""),7592865.0)</f>
        <v>7592865</v>
      </c>
    </row>
    <row r="12353">
      <c r="A12353" t="str">
        <f t="shared" si="1"/>
        <v>png#2014</v>
      </c>
      <c r="B12353" t="str">
        <f>IFERROR(__xludf.DUMMYFUNCTION("""COMPUTED_VALUE"""),"png")</f>
        <v>png</v>
      </c>
      <c r="C12353" t="str">
        <f>IFERROR(__xludf.DUMMYFUNCTION("""COMPUTED_VALUE"""),"Papua New Guinea")</f>
        <v>Papua New Guinea</v>
      </c>
      <c r="D12353">
        <f>IFERROR(__xludf.DUMMYFUNCTION("""COMPUTED_VALUE"""),2014.0)</f>
        <v>2014</v>
      </c>
      <c r="E12353">
        <f>IFERROR(__xludf.DUMMYFUNCTION("""COMPUTED_VALUE"""),7755785.0)</f>
        <v>7755785</v>
      </c>
    </row>
    <row r="12354">
      <c r="A12354" t="str">
        <f t="shared" si="1"/>
        <v>png#2015</v>
      </c>
      <c r="B12354" t="str">
        <f>IFERROR(__xludf.DUMMYFUNCTION("""COMPUTED_VALUE"""),"png")</f>
        <v>png</v>
      </c>
      <c r="C12354" t="str">
        <f>IFERROR(__xludf.DUMMYFUNCTION("""COMPUTED_VALUE"""),"Papua New Guinea")</f>
        <v>Papua New Guinea</v>
      </c>
      <c r="D12354">
        <f>IFERROR(__xludf.DUMMYFUNCTION("""COMPUTED_VALUE"""),2015.0)</f>
        <v>2015</v>
      </c>
      <c r="E12354">
        <f>IFERROR(__xludf.DUMMYFUNCTION("""COMPUTED_VALUE"""),7919825.0)</f>
        <v>7919825</v>
      </c>
    </row>
    <row r="12355">
      <c r="A12355" t="str">
        <f t="shared" si="1"/>
        <v>png#2016</v>
      </c>
      <c r="B12355" t="str">
        <f>IFERROR(__xludf.DUMMYFUNCTION("""COMPUTED_VALUE"""),"png")</f>
        <v>png</v>
      </c>
      <c r="C12355" t="str">
        <f>IFERROR(__xludf.DUMMYFUNCTION("""COMPUTED_VALUE"""),"Papua New Guinea")</f>
        <v>Papua New Guinea</v>
      </c>
      <c r="D12355">
        <f>IFERROR(__xludf.DUMMYFUNCTION("""COMPUTED_VALUE"""),2016.0)</f>
        <v>2016</v>
      </c>
      <c r="E12355">
        <f>IFERROR(__xludf.DUMMYFUNCTION("""COMPUTED_VALUE"""),8084991.0)</f>
        <v>8084991</v>
      </c>
    </row>
    <row r="12356">
      <c r="A12356" t="str">
        <f t="shared" si="1"/>
        <v>png#2017</v>
      </c>
      <c r="B12356" t="str">
        <f>IFERROR(__xludf.DUMMYFUNCTION("""COMPUTED_VALUE"""),"png")</f>
        <v>png</v>
      </c>
      <c r="C12356" t="str">
        <f>IFERROR(__xludf.DUMMYFUNCTION("""COMPUTED_VALUE"""),"Papua New Guinea")</f>
        <v>Papua New Guinea</v>
      </c>
      <c r="D12356">
        <f>IFERROR(__xludf.DUMMYFUNCTION("""COMPUTED_VALUE"""),2017.0)</f>
        <v>2017</v>
      </c>
      <c r="E12356">
        <f>IFERROR(__xludf.DUMMYFUNCTION("""COMPUTED_VALUE"""),8251162.0)</f>
        <v>8251162</v>
      </c>
    </row>
    <row r="12357">
      <c r="A12357" t="str">
        <f t="shared" si="1"/>
        <v>png#2018</v>
      </c>
      <c r="B12357" t="str">
        <f>IFERROR(__xludf.DUMMYFUNCTION("""COMPUTED_VALUE"""),"png")</f>
        <v>png</v>
      </c>
      <c r="C12357" t="str">
        <f>IFERROR(__xludf.DUMMYFUNCTION("""COMPUTED_VALUE"""),"Papua New Guinea")</f>
        <v>Papua New Guinea</v>
      </c>
      <c r="D12357">
        <f>IFERROR(__xludf.DUMMYFUNCTION("""COMPUTED_VALUE"""),2018.0)</f>
        <v>2018</v>
      </c>
      <c r="E12357">
        <f>IFERROR(__xludf.DUMMYFUNCTION("""COMPUTED_VALUE"""),8418346.0)</f>
        <v>8418346</v>
      </c>
    </row>
    <row r="12358">
      <c r="A12358" t="str">
        <f t="shared" si="1"/>
        <v>png#2019</v>
      </c>
      <c r="B12358" t="str">
        <f>IFERROR(__xludf.DUMMYFUNCTION("""COMPUTED_VALUE"""),"png")</f>
        <v>png</v>
      </c>
      <c r="C12358" t="str">
        <f>IFERROR(__xludf.DUMMYFUNCTION("""COMPUTED_VALUE"""),"Papua New Guinea")</f>
        <v>Papua New Guinea</v>
      </c>
      <c r="D12358">
        <f>IFERROR(__xludf.DUMMYFUNCTION("""COMPUTED_VALUE"""),2019.0)</f>
        <v>2019</v>
      </c>
      <c r="E12358">
        <f>IFERROR(__xludf.DUMMYFUNCTION("""COMPUTED_VALUE"""),8586525.0)</f>
        <v>8586525</v>
      </c>
    </row>
    <row r="12359">
      <c r="A12359" t="str">
        <f t="shared" si="1"/>
        <v>png#2020</v>
      </c>
      <c r="B12359" t="str">
        <f>IFERROR(__xludf.DUMMYFUNCTION("""COMPUTED_VALUE"""),"png")</f>
        <v>png</v>
      </c>
      <c r="C12359" t="str">
        <f>IFERROR(__xludf.DUMMYFUNCTION("""COMPUTED_VALUE"""),"Papua New Guinea")</f>
        <v>Papua New Guinea</v>
      </c>
      <c r="D12359">
        <f>IFERROR(__xludf.DUMMYFUNCTION("""COMPUTED_VALUE"""),2020.0)</f>
        <v>2020</v>
      </c>
      <c r="E12359">
        <f>IFERROR(__xludf.DUMMYFUNCTION("""COMPUTED_VALUE"""),8755675.0)</f>
        <v>8755675</v>
      </c>
    </row>
    <row r="12360">
      <c r="A12360" t="str">
        <f t="shared" si="1"/>
        <v>png#2021</v>
      </c>
      <c r="B12360" t="str">
        <f>IFERROR(__xludf.DUMMYFUNCTION("""COMPUTED_VALUE"""),"png")</f>
        <v>png</v>
      </c>
      <c r="C12360" t="str">
        <f>IFERROR(__xludf.DUMMYFUNCTION("""COMPUTED_VALUE"""),"Papua New Guinea")</f>
        <v>Papua New Guinea</v>
      </c>
      <c r="D12360">
        <f>IFERROR(__xludf.DUMMYFUNCTION("""COMPUTED_VALUE"""),2021.0)</f>
        <v>2021</v>
      </c>
      <c r="E12360">
        <f>IFERROR(__xludf.DUMMYFUNCTION("""COMPUTED_VALUE"""),8925773.0)</f>
        <v>8925773</v>
      </c>
    </row>
    <row r="12361">
      <c r="A12361" t="str">
        <f t="shared" si="1"/>
        <v>png#2022</v>
      </c>
      <c r="B12361" t="str">
        <f>IFERROR(__xludf.DUMMYFUNCTION("""COMPUTED_VALUE"""),"png")</f>
        <v>png</v>
      </c>
      <c r="C12361" t="str">
        <f>IFERROR(__xludf.DUMMYFUNCTION("""COMPUTED_VALUE"""),"Papua New Guinea")</f>
        <v>Papua New Guinea</v>
      </c>
      <c r="D12361">
        <f>IFERROR(__xludf.DUMMYFUNCTION("""COMPUTED_VALUE"""),2022.0)</f>
        <v>2022</v>
      </c>
      <c r="E12361">
        <f>IFERROR(__xludf.DUMMYFUNCTION("""COMPUTED_VALUE"""),9096762.0)</f>
        <v>9096762</v>
      </c>
    </row>
    <row r="12362">
      <c r="A12362" t="str">
        <f t="shared" si="1"/>
        <v>png#2023</v>
      </c>
      <c r="B12362" t="str">
        <f>IFERROR(__xludf.DUMMYFUNCTION("""COMPUTED_VALUE"""),"png")</f>
        <v>png</v>
      </c>
      <c r="C12362" t="str">
        <f>IFERROR(__xludf.DUMMYFUNCTION("""COMPUTED_VALUE"""),"Papua New Guinea")</f>
        <v>Papua New Guinea</v>
      </c>
      <c r="D12362">
        <f>IFERROR(__xludf.DUMMYFUNCTION("""COMPUTED_VALUE"""),2023.0)</f>
        <v>2023</v>
      </c>
      <c r="E12362">
        <f>IFERROR(__xludf.DUMMYFUNCTION("""COMPUTED_VALUE"""),9268587.0)</f>
        <v>9268587</v>
      </c>
    </row>
    <row r="12363">
      <c r="A12363" t="str">
        <f t="shared" si="1"/>
        <v>png#2024</v>
      </c>
      <c r="B12363" t="str">
        <f>IFERROR(__xludf.DUMMYFUNCTION("""COMPUTED_VALUE"""),"png")</f>
        <v>png</v>
      </c>
      <c r="C12363" t="str">
        <f>IFERROR(__xludf.DUMMYFUNCTION("""COMPUTED_VALUE"""),"Papua New Guinea")</f>
        <v>Papua New Guinea</v>
      </c>
      <c r="D12363">
        <f>IFERROR(__xludf.DUMMYFUNCTION("""COMPUTED_VALUE"""),2024.0)</f>
        <v>2024</v>
      </c>
      <c r="E12363">
        <f>IFERROR(__xludf.DUMMYFUNCTION("""COMPUTED_VALUE"""),9441133.0)</f>
        <v>9441133</v>
      </c>
    </row>
    <row r="12364">
      <c r="A12364" t="str">
        <f t="shared" si="1"/>
        <v>png#2025</v>
      </c>
      <c r="B12364" t="str">
        <f>IFERROR(__xludf.DUMMYFUNCTION("""COMPUTED_VALUE"""),"png")</f>
        <v>png</v>
      </c>
      <c r="C12364" t="str">
        <f>IFERROR(__xludf.DUMMYFUNCTION("""COMPUTED_VALUE"""),"Papua New Guinea")</f>
        <v>Papua New Guinea</v>
      </c>
      <c r="D12364">
        <f>IFERROR(__xludf.DUMMYFUNCTION("""COMPUTED_VALUE"""),2025.0)</f>
        <v>2025</v>
      </c>
      <c r="E12364">
        <f>IFERROR(__xludf.DUMMYFUNCTION("""COMPUTED_VALUE"""),9614314.0)</f>
        <v>9614314</v>
      </c>
    </row>
    <row r="12365">
      <c r="A12365" t="str">
        <f t="shared" si="1"/>
        <v>png#2026</v>
      </c>
      <c r="B12365" t="str">
        <f>IFERROR(__xludf.DUMMYFUNCTION("""COMPUTED_VALUE"""),"png")</f>
        <v>png</v>
      </c>
      <c r="C12365" t="str">
        <f>IFERROR(__xludf.DUMMYFUNCTION("""COMPUTED_VALUE"""),"Papua New Guinea")</f>
        <v>Papua New Guinea</v>
      </c>
      <c r="D12365">
        <f>IFERROR(__xludf.DUMMYFUNCTION("""COMPUTED_VALUE"""),2026.0)</f>
        <v>2026</v>
      </c>
      <c r="E12365">
        <f>IFERROR(__xludf.DUMMYFUNCTION("""COMPUTED_VALUE"""),9788048.0)</f>
        <v>9788048</v>
      </c>
    </row>
    <row r="12366">
      <c r="A12366" t="str">
        <f t="shared" si="1"/>
        <v>png#2027</v>
      </c>
      <c r="B12366" t="str">
        <f>IFERROR(__xludf.DUMMYFUNCTION("""COMPUTED_VALUE"""),"png")</f>
        <v>png</v>
      </c>
      <c r="C12366" t="str">
        <f>IFERROR(__xludf.DUMMYFUNCTION("""COMPUTED_VALUE"""),"Papua New Guinea")</f>
        <v>Papua New Guinea</v>
      </c>
      <c r="D12366">
        <f>IFERROR(__xludf.DUMMYFUNCTION("""COMPUTED_VALUE"""),2027.0)</f>
        <v>2027</v>
      </c>
      <c r="E12366">
        <f>IFERROR(__xludf.DUMMYFUNCTION("""COMPUTED_VALUE"""),9962263.0)</f>
        <v>9962263</v>
      </c>
    </row>
    <row r="12367">
      <c r="A12367" t="str">
        <f t="shared" si="1"/>
        <v>png#2028</v>
      </c>
      <c r="B12367" t="str">
        <f>IFERROR(__xludf.DUMMYFUNCTION("""COMPUTED_VALUE"""),"png")</f>
        <v>png</v>
      </c>
      <c r="C12367" t="str">
        <f>IFERROR(__xludf.DUMMYFUNCTION("""COMPUTED_VALUE"""),"Papua New Guinea")</f>
        <v>Papua New Guinea</v>
      </c>
      <c r="D12367">
        <f>IFERROR(__xludf.DUMMYFUNCTION("""COMPUTED_VALUE"""),2028.0)</f>
        <v>2028</v>
      </c>
      <c r="E12367">
        <f>IFERROR(__xludf.DUMMYFUNCTION("""COMPUTED_VALUE"""),1.013687E7)</f>
        <v>10136870</v>
      </c>
    </row>
    <row r="12368">
      <c r="A12368" t="str">
        <f t="shared" si="1"/>
        <v>png#2029</v>
      </c>
      <c r="B12368" t="str">
        <f>IFERROR(__xludf.DUMMYFUNCTION("""COMPUTED_VALUE"""),"png")</f>
        <v>png</v>
      </c>
      <c r="C12368" t="str">
        <f>IFERROR(__xludf.DUMMYFUNCTION("""COMPUTED_VALUE"""),"Papua New Guinea")</f>
        <v>Papua New Guinea</v>
      </c>
      <c r="D12368">
        <f>IFERROR(__xludf.DUMMYFUNCTION("""COMPUTED_VALUE"""),2029.0)</f>
        <v>2029</v>
      </c>
      <c r="E12368">
        <f>IFERROR(__xludf.DUMMYFUNCTION("""COMPUTED_VALUE"""),1.0311781E7)</f>
        <v>10311781</v>
      </c>
    </row>
    <row r="12369">
      <c r="A12369" t="str">
        <f t="shared" si="1"/>
        <v>png#2030</v>
      </c>
      <c r="B12369" t="str">
        <f>IFERROR(__xludf.DUMMYFUNCTION("""COMPUTED_VALUE"""),"png")</f>
        <v>png</v>
      </c>
      <c r="C12369" t="str">
        <f>IFERROR(__xludf.DUMMYFUNCTION("""COMPUTED_VALUE"""),"Papua New Guinea")</f>
        <v>Papua New Guinea</v>
      </c>
      <c r="D12369">
        <f>IFERROR(__xludf.DUMMYFUNCTION("""COMPUTED_VALUE"""),2030.0)</f>
        <v>2030</v>
      </c>
      <c r="E12369">
        <f>IFERROR(__xludf.DUMMYFUNCTION("""COMPUTED_VALUE"""),1.0486891E7)</f>
        <v>10486891</v>
      </c>
    </row>
    <row r="12370">
      <c r="A12370" t="str">
        <f t="shared" si="1"/>
        <v>png#2031</v>
      </c>
      <c r="B12370" t="str">
        <f>IFERROR(__xludf.DUMMYFUNCTION("""COMPUTED_VALUE"""),"png")</f>
        <v>png</v>
      </c>
      <c r="C12370" t="str">
        <f>IFERROR(__xludf.DUMMYFUNCTION("""COMPUTED_VALUE"""),"Papua New Guinea")</f>
        <v>Papua New Guinea</v>
      </c>
      <c r="D12370">
        <f>IFERROR(__xludf.DUMMYFUNCTION("""COMPUTED_VALUE"""),2031.0)</f>
        <v>2031</v>
      </c>
      <c r="E12370">
        <f>IFERROR(__xludf.DUMMYFUNCTION("""COMPUTED_VALUE"""),1.0662123E7)</f>
        <v>10662123</v>
      </c>
    </row>
    <row r="12371">
      <c r="A12371" t="str">
        <f t="shared" si="1"/>
        <v>png#2032</v>
      </c>
      <c r="B12371" t="str">
        <f>IFERROR(__xludf.DUMMYFUNCTION("""COMPUTED_VALUE"""),"png")</f>
        <v>png</v>
      </c>
      <c r="C12371" t="str">
        <f>IFERROR(__xludf.DUMMYFUNCTION("""COMPUTED_VALUE"""),"Papua New Guinea")</f>
        <v>Papua New Guinea</v>
      </c>
      <c r="D12371">
        <f>IFERROR(__xludf.DUMMYFUNCTION("""COMPUTED_VALUE"""),2032.0)</f>
        <v>2032</v>
      </c>
      <c r="E12371">
        <f>IFERROR(__xludf.DUMMYFUNCTION("""COMPUTED_VALUE"""),1.0837373E7)</f>
        <v>10837373</v>
      </c>
    </row>
    <row r="12372">
      <c r="A12372" t="str">
        <f t="shared" si="1"/>
        <v>png#2033</v>
      </c>
      <c r="B12372" t="str">
        <f>IFERROR(__xludf.DUMMYFUNCTION("""COMPUTED_VALUE"""),"png")</f>
        <v>png</v>
      </c>
      <c r="C12372" t="str">
        <f>IFERROR(__xludf.DUMMYFUNCTION("""COMPUTED_VALUE"""),"Papua New Guinea")</f>
        <v>Papua New Guinea</v>
      </c>
      <c r="D12372">
        <f>IFERROR(__xludf.DUMMYFUNCTION("""COMPUTED_VALUE"""),2033.0)</f>
        <v>2033</v>
      </c>
      <c r="E12372">
        <f>IFERROR(__xludf.DUMMYFUNCTION("""COMPUTED_VALUE"""),1.1012492E7)</f>
        <v>11012492</v>
      </c>
    </row>
    <row r="12373">
      <c r="A12373" t="str">
        <f t="shared" si="1"/>
        <v>png#2034</v>
      </c>
      <c r="B12373" t="str">
        <f>IFERROR(__xludf.DUMMYFUNCTION("""COMPUTED_VALUE"""),"png")</f>
        <v>png</v>
      </c>
      <c r="C12373" t="str">
        <f>IFERROR(__xludf.DUMMYFUNCTION("""COMPUTED_VALUE"""),"Papua New Guinea")</f>
        <v>Papua New Guinea</v>
      </c>
      <c r="D12373">
        <f>IFERROR(__xludf.DUMMYFUNCTION("""COMPUTED_VALUE"""),2034.0)</f>
        <v>2034</v>
      </c>
      <c r="E12373">
        <f>IFERROR(__xludf.DUMMYFUNCTION("""COMPUTED_VALUE"""),1.1187339E7)</f>
        <v>11187339</v>
      </c>
    </row>
    <row r="12374">
      <c r="A12374" t="str">
        <f t="shared" si="1"/>
        <v>png#2035</v>
      </c>
      <c r="B12374" t="str">
        <f>IFERROR(__xludf.DUMMYFUNCTION("""COMPUTED_VALUE"""),"png")</f>
        <v>png</v>
      </c>
      <c r="C12374" t="str">
        <f>IFERROR(__xludf.DUMMYFUNCTION("""COMPUTED_VALUE"""),"Papua New Guinea")</f>
        <v>Papua New Guinea</v>
      </c>
      <c r="D12374">
        <f>IFERROR(__xludf.DUMMYFUNCTION("""COMPUTED_VALUE"""),2035.0)</f>
        <v>2035</v>
      </c>
      <c r="E12374">
        <f>IFERROR(__xludf.DUMMYFUNCTION("""COMPUTED_VALUE"""),1.1361744E7)</f>
        <v>11361744</v>
      </c>
    </row>
    <row r="12375">
      <c r="A12375" t="str">
        <f t="shared" si="1"/>
        <v>png#2036</v>
      </c>
      <c r="B12375" t="str">
        <f>IFERROR(__xludf.DUMMYFUNCTION("""COMPUTED_VALUE"""),"png")</f>
        <v>png</v>
      </c>
      <c r="C12375" t="str">
        <f>IFERROR(__xludf.DUMMYFUNCTION("""COMPUTED_VALUE"""),"Papua New Guinea")</f>
        <v>Papua New Guinea</v>
      </c>
      <c r="D12375">
        <f>IFERROR(__xludf.DUMMYFUNCTION("""COMPUTED_VALUE"""),2036.0)</f>
        <v>2036</v>
      </c>
      <c r="E12375">
        <f>IFERROR(__xludf.DUMMYFUNCTION("""COMPUTED_VALUE"""),1.1535624E7)</f>
        <v>11535624</v>
      </c>
    </row>
    <row r="12376">
      <c r="A12376" t="str">
        <f t="shared" si="1"/>
        <v>png#2037</v>
      </c>
      <c r="B12376" t="str">
        <f>IFERROR(__xludf.DUMMYFUNCTION("""COMPUTED_VALUE"""),"png")</f>
        <v>png</v>
      </c>
      <c r="C12376" t="str">
        <f>IFERROR(__xludf.DUMMYFUNCTION("""COMPUTED_VALUE"""),"Papua New Guinea")</f>
        <v>Papua New Guinea</v>
      </c>
      <c r="D12376">
        <f>IFERROR(__xludf.DUMMYFUNCTION("""COMPUTED_VALUE"""),2037.0)</f>
        <v>2037</v>
      </c>
      <c r="E12376">
        <f>IFERROR(__xludf.DUMMYFUNCTION("""COMPUTED_VALUE"""),1.1708872E7)</f>
        <v>11708872</v>
      </c>
    </row>
    <row r="12377">
      <c r="A12377" t="str">
        <f t="shared" si="1"/>
        <v>png#2038</v>
      </c>
      <c r="B12377" t="str">
        <f>IFERROR(__xludf.DUMMYFUNCTION("""COMPUTED_VALUE"""),"png")</f>
        <v>png</v>
      </c>
      <c r="C12377" t="str">
        <f>IFERROR(__xludf.DUMMYFUNCTION("""COMPUTED_VALUE"""),"Papua New Guinea")</f>
        <v>Papua New Guinea</v>
      </c>
      <c r="D12377">
        <f>IFERROR(__xludf.DUMMYFUNCTION("""COMPUTED_VALUE"""),2038.0)</f>
        <v>2038</v>
      </c>
      <c r="E12377">
        <f>IFERROR(__xludf.DUMMYFUNCTION("""COMPUTED_VALUE"""),1.1881449E7)</f>
        <v>11881449</v>
      </c>
    </row>
    <row r="12378">
      <c r="A12378" t="str">
        <f t="shared" si="1"/>
        <v>png#2039</v>
      </c>
      <c r="B12378" t="str">
        <f>IFERROR(__xludf.DUMMYFUNCTION("""COMPUTED_VALUE"""),"png")</f>
        <v>png</v>
      </c>
      <c r="C12378" t="str">
        <f>IFERROR(__xludf.DUMMYFUNCTION("""COMPUTED_VALUE"""),"Papua New Guinea")</f>
        <v>Papua New Guinea</v>
      </c>
      <c r="D12378">
        <f>IFERROR(__xludf.DUMMYFUNCTION("""COMPUTED_VALUE"""),2039.0)</f>
        <v>2039</v>
      </c>
      <c r="E12378">
        <f>IFERROR(__xludf.DUMMYFUNCTION("""COMPUTED_VALUE"""),1.2053279E7)</f>
        <v>12053279</v>
      </c>
    </row>
    <row r="12379">
      <c r="A12379" t="str">
        <f t="shared" si="1"/>
        <v>png#2040</v>
      </c>
      <c r="B12379" t="str">
        <f>IFERROR(__xludf.DUMMYFUNCTION("""COMPUTED_VALUE"""),"png")</f>
        <v>png</v>
      </c>
      <c r="C12379" t="str">
        <f>IFERROR(__xludf.DUMMYFUNCTION("""COMPUTED_VALUE"""),"Papua New Guinea")</f>
        <v>Papua New Guinea</v>
      </c>
      <c r="D12379">
        <f>IFERROR(__xludf.DUMMYFUNCTION("""COMPUTED_VALUE"""),2040.0)</f>
        <v>2040</v>
      </c>
      <c r="E12379">
        <f>IFERROR(__xludf.DUMMYFUNCTION("""COMPUTED_VALUE"""),1.2224302E7)</f>
        <v>12224302</v>
      </c>
    </row>
    <row r="12380">
      <c r="A12380" t="str">
        <f t="shared" si="1"/>
        <v>pry#1950</v>
      </c>
      <c r="B12380" t="str">
        <f>IFERROR(__xludf.DUMMYFUNCTION("""COMPUTED_VALUE"""),"pry")</f>
        <v>pry</v>
      </c>
      <c r="C12380" t="str">
        <f>IFERROR(__xludf.DUMMYFUNCTION("""COMPUTED_VALUE"""),"Paraguay")</f>
        <v>Paraguay</v>
      </c>
      <c r="D12380">
        <f>IFERROR(__xludf.DUMMYFUNCTION("""COMPUTED_VALUE"""),1950.0)</f>
        <v>1950</v>
      </c>
      <c r="E12380">
        <f>IFERROR(__xludf.DUMMYFUNCTION("""COMPUTED_VALUE"""),1473253.0)</f>
        <v>1473253</v>
      </c>
    </row>
    <row r="12381">
      <c r="A12381" t="str">
        <f t="shared" si="1"/>
        <v>pry#1951</v>
      </c>
      <c r="B12381" t="str">
        <f>IFERROR(__xludf.DUMMYFUNCTION("""COMPUTED_VALUE"""),"pry")</f>
        <v>pry</v>
      </c>
      <c r="C12381" t="str">
        <f>IFERROR(__xludf.DUMMYFUNCTION("""COMPUTED_VALUE"""),"Paraguay")</f>
        <v>Paraguay</v>
      </c>
      <c r="D12381">
        <f>IFERROR(__xludf.DUMMYFUNCTION("""COMPUTED_VALUE"""),1951.0)</f>
        <v>1951</v>
      </c>
      <c r="E12381">
        <f>IFERROR(__xludf.DUMMYFUNCTION("""COMPUTED_VALUE"""),1511767.0)</f>
        <v>1511767</v>
      </c>
    </row>
    <row r="12382">
      <c r="A12382" t="str">
        <f t="shared" si="1"/>
        <v>pry#1952</v>
      </c>
      <c r="B12382" t="str">
        <f>IFERROR(__xludf.DUMMYFUNCTION("""COMPUTED_VALUE"""),"pry")</f>
        <v>pry</v>
      </c>
      <c r="C12382" t="str">
        <f>IFERROR(__xludf.DUMMYFUNCTION("""COMPUTED_VALUE"""),"Paraguay")</f>
        <v>Paraguay</v>
      </c>
      <c r="D12382">
        <f>IFERROR(__xludf.DUMMYFUNCTION("""COMPUTED_VALUE"""),1952.0)</f>
        <v>1952</v>
      </c>
      <c r="E12382">
        <f>IFERROR(__xludf.DUMMYFUNCTION("""COMPUTED_VALUE"""),1550757.0)</f>
        <v>1550757</v>
      </c>
    </row>
    <row r="12383">
      <c r="A12383" t="str">
        <f t="shared" si="1"/>
        <v>pry#1953</v>
      </c>
      <c r="B12383" t="str">
        <f>IFERROR(__xludf.DUMMYFUNCTION("""COMPUTED_VALUE"""),"pry")</f>
        <v>pry</v>
      </c>
      <c r="C12383" t="str">
        <f>IFERROR(__xludf.DUMMYFUNCTION("""COMPUTED_VALUE"""),"Paraguay")</f>
        <v>Paraguay</v>
      </c>
      <c r="D12383">
        <f>IFERROR(__xludf.DUMMYFUNCTION("""COMPUTED_VALUE"""),1953.0)</f>
        <v>1953</v>
      </c>
      <c r="E12383">
        <f>IFERROR(__xludf.DUMMYFUNCTION("""COMPUTED_VALUE"""),1590497.0)</f>
        <v>1590497</v>
      </c>
    </row>
    <row r="12384">
      <c r="A12384" t="str">
        <f t="shared" si="1"/>
        <v>pry#1954</v>
      </c>
      <c r="B12384" t="str">
        <f>IFERROR(__xludf.DUMMYFUNCTION("""COMPUTED_VALUE"""),"pry")</f>
        <v>pry</v>
      </c>
      <c r="C12384" t="str">
        <f>IFERROR(__xludf.DUMMYFUNCTION("""COMPUTED_VALUE"""),"Paraguay")</f>
        <v>Paraguay</v>
      </c>
      <c r="D12384">
        <f>IFERROR(__xludf.DUMMYFUNCTION("""COMPUTED_VALUE"""),1954.0)</f>
        <v>1954</v>
      </c>
      <c r="E12384">
        <f>IFERROR(__xludf.DUMMYFUNCTION("""COMPUTED_VALUE"""),1631186.0)</f>
        <v>1631186</v>
      </c>
    </row>
    <row r="12385">
      <c r="A12385" t="str">
        <f t="shared" si="1"/>
        <v>pry#1955</v>
      </c>
      <c r="B12385" t="str">
        <f>IFERROR(__xludf.DUMMYFUNCTION("""COMPUTED_VALUE"""),"pry")</f>
        <v>pry</v>
      </c>
      <c r="C12385" t="str">
        <f>IFERROR(__xludf.DUMMYFUNCTION("""COMPUTED_VALUE"""),"Paraguay")</f>
        <v>Paraguay</v>
      </c>
      <c r="D12385">
        <f>IFERROR(__xludf.DUMMYFUNCTION("""COMPUTED_VALUE"""),1955.0)</f>
        <v>1955</v>
      </c>
      <c r="E12385">
        <f>IFERROR(__xludf.DUMMYFUNCTION("""COMPUTED_VALUE"""),1673009.0)</f>
        <v>1673009</v>
      </c>
    </row>
    <row r="12386">
      <c r="A12386" t="str">
        <f t="shared" si="1"/>
        <v>pry#1956</v>
      </c>
      <c r="B12386" t="str">
        <f>IFERROR(__xludf.DUMMYFUNCTION("""COMPUTED_VALUE"""),"pry")</f>
        <v>pry</v>
      </c>
      <c r="C12386" t="str">
        <f>IFERROR(__xludf.DUMMYFUNCTION("""COMPUTED_VALUE"""),"Paraguay")</f>
        <v>Paraguay</v>
      </c>
      <c r="D12386">
        <f>IFERROR(__xludf.DUMMYFUNCTION("""COMPUTED_VALUE"""),1956.0)</f>
        <v>1956</v>
      </c>
      <c r="E12386">
        <f>IFERROR(__xludf.DUMMYFUNCTION("""COMPUTED_VALUE"""),1716108.0)</f>
        <v>1716108</v>
      </c>
    </row>
    <row r="12387">
      <c r="A12387" t="str">
        <f t="shared" si="1"/>
        <v>pry#1957</v>
      </c>
      <c r="B12387" t="str">
        <f>IFERROR(__xludf.DUMMYFUNCTION("""COMPUTED_VALUE"""),"pry")</f>
        <v>pry</v>
      </c>
      <c r="C12387" t="str">
        <f>IFERROR(__xludf.DUMMYFUNCTION("""COMPUTED_VALUE"""),"Paraguay")</f>
        <v>Paraguay</v>
      </c>
      <c r="D12387">
        <f>IFERROR(__xludf.DUMMYFUNCTION("""COMPUTED_VALUE"""),1957.0)</f>
        <v>1957</v>
      </c>
      <c r="E12387">
        <f>IFERROR(__xludf.DUMMYFUNCTION("""COMPUTED_VALUE"""),1760578.0)</f>
        <v>1760578</v>
      </c>
    </row>
    <row r="12388">
      <c r="A12388" t="str">
        <f t="shared" si="1"/>
        <v>pry#1958</v>
      </c>
      <c r="B12388" t="str">
        <f>IFERROR(__xludf.DUMMYFUNCTION("""COMPUTED_VALUE"""),"pry")</f>
        <v>pry</v>
      </c>
      <c r="C12388" t="str">
        <f>IFERROR(__xludf.DUMMYFUNCTION("""COMPUTED_VALUE"""),"Paraguay")</f>
        <v>Paraguay</v>
      </c>
      <c r="D12388">
        <f>IFERROR(__xludf.DUMMYFUNCTION("""COMPUTED_VALUE"""),1958.0)</f>
        <v>1958</v>
      </c>
      <c r="E12388">
        <f>IFERROR(__xludf.DUMMYFUNCTION("""COMPUTED_VALUE"""),1806519.0)</f>
        <v>1806519</v>
      </c>
    </row>
    <row r="12389">
      <c r="A12389" t="str">
        <f t="shared" si="1"/>
        <v>pry#1959</v>
      </c>
      <c r="B12389" t="str">
        <f>IFERROR(__xludf.DUMMYFUNCTION("""COMPUTED_VALUE"""),"pry")</f>
        <v>pry</v>
      </c>
      <c r="C12389" t="str">
        <f>IFERROR(__xludf.DUMMYFUNCTION("""COMPUTED_VALUE"""),"Paraguay")</f>
        <v>Paraguay</v>
      </c>
      <c r="D12389">
        <f>IFERROR(__xludf.DUMMYFUNCTION("""COMPUTED_VALUE"""),1959.0)</f>
        <v>1959</v>
      </c>
      <c r="E12389">
        <f>IFERROR(__xludf.DUMMYFUNCTION("""COMPUTED_VALUE"""),1853939.0)</f>
        <v>1853939</v>
      </c>
    </row>
    <row r="12390">
      <c r="A12390" t="str">
        <f t="shared" si="1"/>
        <v>pry#1960</v>
      </c>
      <c r="B12390" t="str">
        <f>IFERROR(__xludf.DUMMYFUNCTION("""COMPUTED_VALUE"""),"pry")</f>
        <v>pry</v>
      </c>
      <c r="C12390" t="str">
        <f>IFERROR(__xludf.DUMMYFUNCTION("""COMPUTED_VALUE"""),"Paraguay")</f>
        <v>Paraguay</v>
      </c>
      <c r="D12390">
        <f>IFERROR(__xludf.DUMMYFUNCTION("""COMPUTED_VALUE"""),1960.0)</f>
        <v>1960</v>
      </c>
      <c r="E12390">
        <f>IFERROR(__xludf.DUMMYFUNCTION("""COMPUTED_VALUE"""),1902875.0)</f>
        <v>1902875</v>
      </c>
    </row>
    <row r="12391">
      <c r="A12391" t="str">
        <f t="shared" si="1"/>
        <v>pry#1961</v>
      </c>
      <c r="B12391" t="str">
        <f>IFERROR(__xludf.DUMMYFUNCTION("""COMPUTED_VALUE"""),"pry")</f>
        <v>pry</v>
      </c>
      <c r="C12391" t="str">
        <f>IFERROR(__xludf.DUMMYFUNCTION("""COMPUTED_VALUE"""),"Paraguay")</f>
        <v>Paraguay</v>
      </c>
      <c r="D12391">
        <f>IFERROR(__xludf.DUMMYFUNCTION("""COMPUTED_VALUE"""),1961.0)</f>
        <v>1961</v>
      </c>
      <c r="E12391">
        <f>IFERROR(__xludf.DUMMYFUNCTION("""COMPUTED_VALUE"""),1953328.0)</f>
        <v>1953328</v>
      </c>
    </row>
    <row r="12392">
      <c r="A12392" t="str">
        <f t="shared" si="1"/>
        <v>pry#1962</v>
      </c>
      <c r="B12392" t="str">
        <f>IFERROR(__xludf.DUMMYFUNCTION("""COMPUTED_VALUE"""),"pry")</f>
        <v>pry</v>
      </c>
      <c r="C12392" t="str">
        <f>IFERROR(__xludf.DUMMYFUNCTION("""COMPUTED_VALUE"""),"Paraguay")</f>
        <v>Paraguay</v>
      </c>
      <c r="D12392">
        <f>IFERROR(__xludf.DUMMYFUNCTION("""COMPUTED_VALUE"""),1962.0)</f>
        <v>1962</v>
      </c>
      <c r="E12392">
        <f>IFERROR(__xludf.DUMMYFUNCTION("""COMPUTED_VALUE"""),2005337.0)</f>
        <v>2005337</v>
      </c>
    </row>
    <row r="12393">
      <c r="A12393" t="str">
        <f t="shared" si="1"/>
        <v>pry#1963</v>
      </c>
      <c r="B12393" t="str">
        <f>IFERROR(__xludf.DUMMYFUNCTION("""COMPUTED_VALUE"""),"pry")</f>
        <v>pry</v>
      </c>
      <c r="C12393" t="str">
        <f>IFERROR(__xludf.DUMMYFUNCTION("""COMPUTED_VALUE"""),"Paraguay")</f>
        <v>Paraguay</v>
      </c>
      <c r="D12393">
        <f>IFERROR(__xludf.DUMMYFUNCTION("""COMPUTED_VALUE"""),1963.0)</f>
        <v>1963</v>
      </c>
      <c r="E12393">
        <f>IFERROR(__xludf.DUMMYFUNCTION("""COMPUTED_VALUE"""),2058915.0)</f>
        <v>2058915</v>
      </c>
    </row>
    <row r="12394">
      <c r="A12394" t="str">
        <f t="shared" si="1"/>
        <v>pry#1964</v>
      </c>
      <c r="B12394" t="str">
        <f>IFERROR(__xludf.DUMMYFUNCTION("""COMPUTED_VALUE"""),"pry")</f>
        <v>pry</v>
      </c>
      <c r="C12394" t="str">
        <f>IFERROR(__xludf.DUMMYFUNCTION("""COMPUTED_VALUE"""),"Paraguay")</f>
        <v>Paraguay</v>
      </c>
      <c r="D12394">
        <f>IFERROR(__xludf.DUMMYFUNCTION("""COMPUTED_VALUE"""),1964.0)</f>
        <v>1964</v>
      </c>
      <c r="E12394">
        <f>IFERROR(__xludf.DUMMYFUNCTION("""COMPUTED_VALUE"""),2114095.0)</f>
        <v>2114095</v>
      </c>
    </row>
    <row r="12395">
      <c r="A12395" t="str">
        <f t="shared" si="1"/>
        <v>pry#1965</v>
      </c>
      <c r="B12395" t="str">
        <f>IFERROR(__xludf.DUMMYFUNCTION("""COMPUTED_VALUE"""),"pry")</f>
        <v>pry</v>
      </c>
      <c r="C12395" t="str">
        <f>IFERROR(__xludf.DUMMYFUNCTION("""COMPUTED_VALUE"""),"Paraguay")</f>
        <v>Paraguay</v>
      </c>
      <c r="D12395">
        <f>IFERROR(__xludf.DUMMYFUNCTION("""COMPUTED_VALUE"""),1965.0)</f>
        <v>1965</v>
      </c>
      <c r="E12395">
        <f>IFERROR(__xludf.DUMMYFUNCTION("""COMPUTED_VALUE"""),2170859.0)</f>
        <v>2170859</v>
      </c>
    </row>
    <row r="12396">
      <c r="A12396" t="str">
        <f t="shared" si="1"/>
        <v>pry#1966</v>
      </c>
      <c r="B12396" t="str">
        <f>IFERROR(__xludf.DUMMYFUNCTION("""COMPUTED_VALUE"""),"pry")</f>
        <v>pry</v>
      </c>
      <c r="C12396" t="str">
        <f>IFERROR(__xludf.DUMMYFUNCTION("""COMPUTED_VALUE"""),"Paraguay")</f>
        <v>Paraguay</v>
      </c>
      <c r="D12396">
        <f>IFERROR(__xludf.DUMMYFUNCTION("""COMPUTED_VALUE"""),1966.0)</f>
        <v>1966</v>
      </c>
      <c r="E12396">
        <f>IFERROR(__xludf.DUMMYFUNCTION("""COMPUTED_VALUE"""),2229376.0)</f>
        <v>2229376</v>
      </c>
    </row>
    <row r="12397">
      <c r="A12397" t="str">
        <f t="shared" si="1"/>
        <v>pry#1967</v>
      </c>
      <c r="B12397" t="str">
        <f>IFERROR(__xludf.DUMMYFUNCTION("""COMPUTED_VALUE"""),"pry")</f>
        <v>pry</v>
      </c>
      <c r="C12397" t="str">
        <f>IFERROR(__xludf.DUMMYFUNCTION("""COMPUTED_VALUE"""),"Paraguay")</f>
        <v>Paraguay</v>
      </c>
      <c r="D12397">
        <f>IFERROR(__xludf.DUMMYFUNCTION("""COMPUTED_VALUE"""),1967.0)</f>
        <v>1967</v>
      </c>
      <c r="E12397">
        <f>IFERROR(__xludf.DUMMYFUNCTION("""COMPUTED_VALUE"""),2289582.0)</f>
        <v>2289582</v>
      </c>
    </row>
    <row r="12398">
      <c r="A12398" t="str">
        <f t="shared" si="1"/>
        <v>pry#1968</v>
      </c>
      <c r="B12398" t="str">
        <f>IFERROR(__xludf.DUMMYFUNCTION("""COMPUTED_VALUE"""),"pry")</f>
        <v>pry</v>
      </c>
      <c r="C12398" t="str">
        <f>IFERROR(__xludf.DUMMYFUNCTION("""COMPUTED_VALUE"""),"Paraguay")</f>
        <v>Paraguay</v>
      </c>
      <c r="D12398">
        <f>IFERROR(__xludf.DUMMYFUNCTION("""COMPUTED_VALUE"""),1968.0)</f>
        <v>1968</v>
      </c>
      <c r="E12398">
        <f>IFERROR(__xludf.DUMMYFUNCTION("""COMPUTED_VALUE"""),2350901.0)</f>
        <v>2350901</v>
      </c>
    </row>
    <row r="12399">
      <c r="A12399" t="str">
        <f t="shared" si="1"/>
        <v>pry#1969</v>
      </c>
      <c r="B12399" t="str">
        <f>IFERROR(__xludf.DUMMYFUNCTION("""COMPUTED_VALUE"""),"pry")</f>
        <v>pry</v>
      </c>
      <c r="C12399" t="str">
        <f>IFERROR(__xludf.DUMMYFUNCTION("""COMPUTED_VALUE"""),"Paraguay")</f>
        <v>Paraguay</v>
      </c>
      <c r="D12399">
        <f>IFERROR(__xludf.DUMMYFUNCTION("""COMPUTED_VALUE"""),1969.0)</f>
        <v>1969</v>
      </c>
      <c r="E12399">
        <f>IFERROR(__xludf.DUMMYFUNCTION("""COMPUTED_VALUE"""),2412566.0)</f>
        <v>2412566</v>
      </c>
    </row>
    <row r="12400">
      <c r="A12400" t="str">
        <f t="shared" si="1"/>
        <v>pry#1970</v>
      </c>
      <c r="B12400" t="str">
        <f>IFERROR(__xludf.DUMMYFUNCTION("""COMPUTED_VALUE"""),"pry")</f>
        <v>pry</v>
      </c>
      <c r="C12400" t="str">
        <f>IFERROR(__xludf.DUMMYFUNCTION("""COMPUTED_VALUE"""),"Paraguay")</f>
        <v>Paraguay</v>
      </c>
      <c r="D12400">
        <f>IFERROR(__xludf.DUMMYFUNCTION("""COMPUTED_VALUE"""),1970.0)</f>
        <v>1970</v>
      </c>
      <c r="E12400">
        <f>IFERROR(__xludf.DUMMYFUNCTION("""COMPUTED_VALUE"""),2474106.0)</f>
        <v>2474106</v>
      </c>
    </row>
    <row r="12401">
      <c r="A12401" t="str">
        <f t="shared" si="1"/>
        <v>pry#1971</v>
      </c>
      <c r="B12401" t="str">
        <f>IFERROR(__xludf.DUMMYFUNCTION("""COMPUTED_VALUE"""),"pry")</f>
        <v>pry</v>
      </c>
      <c r="C12401" t="str">
        <f>IFERROR(__xludf.DUMMYFUNCTION("""COMPUTED_VALUE"""),"Paraguay")</f>
        <v>Paraguay</v>
      </c>
      <c r="D12401">
        <f>IFERROR(__xludf.DUMMYFUNCTION("""COMPUTED_VALUE"""),1971.0)</f>
        <v>1971</v>
      </c>
      <c r="E12401">
        <f>IFERROR(__xludf.DUMMYFUNCTION("""COMPUTED_VALUE"""),2535359.0)</f>
        <v>2535359</v>
      </c>
    </row>
    <row r="12402">
      <c r="A12402" t="str">
        <f t="shared" si="1"/>
        <v>pry#1972</v>
      </c>
      <c r="B12402" t="str">
        <f>IFERROR(__xludf.DUMMYFUNCTION("""COMPUTED_VALUE"""),"pry")</f>
        <v>pry</v>
      </c>
      <c r="C12402" t="str">
        <f>IFERROR(__xludf.DUMMYFUNCTION("""COMPUTED_VALUE"""),"Paraguay")</f>
        <v>Paraguay</v>
      </c>
      <c r="D12402">
        <f>IFERROR(__xludf.DUMMYFUNCTION("""COMPUTED_VALUE"""),1972.0)</f>
        <v>1972</v>
      </c>
      <c r="E12402">
        <f>IFERROR(__xludf.DUMMYFUNCTION("""COMPUTED_VALUE"""),2596739.0)</f>
        <v>2596739</v>
      </c>
    </row>
    <row r="12403">
      <c r="A12403" t="str">
        <f t="shared" si="1"/>
        <v>pry#1973</v>
      </c>
      <c r="B12403" t="str">
        <f>IFERROR(__xludf.DUMMYFUNCTION("""COMPUTED_VALUE"""),"pry")</f>
        <v>pry</v>
      </c>
      <c r="C12403" t="str">
        <f>IFERROR(__xludf.DUMMYFUNCTION("""COMPUTED_VALUE"""),"Paraguay")</f>
        <v>Paraguay</v>
      </c>
      <c r="D12403">
        <f>IFERROR(__xludf.DUMMYFUNCTION("""COMPUTED_VALUE"""),1973.0)</f>
        <v>1973</v>
      </c>
      <c r="E12403">
        <f>IFERROR(__xludf.DUMMYFUNCTION("""COMPUTED_VALUE"""),2659088.0)</f>
        <v>2659088</v>
      </c>
    </row>
    <row r="12404">
      <c r="A12404" t="str">
        <f t="shared" si="1"/>
        <v>pry#1974</v>
      </c>
      <c r="B12404" t="str">
        <f>IFERROR(__xludf.DUMMYFUNCTION("""COMPUTED_VALUE"""),"pry")</f>
        <v>pry</v>
      </c>
      <c r="C12404" t="str">
        <f>IFERROR(__xludf.DUMMYFUNCTION("""COMPUTED_VALUE"""),"Paraguay")</f>
        <v>Paraguay</v>
      </c>
      <c r="D12404">
        <f>IFERROR(__xludf.DUMMYFUNCTION("""COMPUTED_VALUE"""),1974.0)</f>
        <v>1974</v>
      </c>
      <c r="E12404">
        <f>IFERROR(__xludf.DUMMYFUNCTION("""COMPUTED_VALUE"""),2723523.0)</f>
        <v>2723523</v>
      </c>
    </row>
    <row r="12405">
      <c r="A12405" t="str">
        <f t="shared" si="1"/>
        <v>pry#1975</v>
      </c>
      <c r="B12405" t="str">
        <f>IFERROR(__xludf.DUMMYFUNCTION("""COMPUTED_VALUE"""),"pry")</f>
        <v>pry</v>
      </c>
      <c r="C12405" t="str">
        <f>IFERROR(__xludf.DUMMYFUNCTION("""COMPUTED_VALUE"""),"Paraguay")</f>
        <v>Paraguay</v>
      </c>
      <c r="D12405">
        <f>IFERROR(__xludf.DUMMYFUNCTION("""COMPUTED_VALUE"""),1975.0)</f>
        <v>1975</v>
      </c>
      <c r="E12405">
        <f>IFERROR(__xludf.DUMMYFUNCTION("""COMPUTED_VALUE"""),2790962.0)</f>
        <v>2790962</v>
      </c>
    </row>
    <row r="12406">
      <c r="A12406" t="str">
        <f t="shared" si="1"/>
        <v>pry#1976</v>
      </c>
      <c r="B12406" t="str">
        <f>IFERROR(__xludf.DUMMYFUNCTION("""COMPUTED_VALUE"""),"pry")</f>
        <v>pry</v>
      </c>
      <c r="C12406" t="str">
        <f>IFERROR(__xludf.DUMMYFUNCTION("""COMPUTED_VALUE"""),"Paraguay")</f>
        <v>Paraguay</v>
      </c>
      <c r="D12406">
        <f>IFERROR(__xludf.DUMMYFUNCTION("""COMPUTED_VALUE"""),1976.0)</f>
        <v>1976</v>
      </c>
      <c r="E12406">
        <f>IFERROR(__xludf.DUMMYFUNCTION("""COMPUTED_VALUE"""),2861581.0)</f>
        <v>2861581</v>
      </c>
    </row>
    <row r="12407">
      <c r="A12407" t="str">
        <f t="shared" si="1"/>
        <v>pry#1977</v>
      </c>
      <c r="B12407" t="str">
        <f>IFERROR(__xludf.DUMMYFUNCTION("""COMPUTED_VALUE"""),"pry")</f>
        <v>pry</v>
      </c>
      <c r="C12407" t="str">
        <f>IFERROR(__xludf.DUMMYFUNCTION("""COMPUTED_VALUE"""),"Paraguay")</f>
        <v>Paraguay</v>
      </c>
      <c r="D12407">
        <f>IFERROR(__xludf.DUMMYFUNCTION("""COMPUTED_VALUE"""),1977.0)</f>
        <v>1977</v>
      </c>
      <c r="E12407">
        <f>IFERROR(__xludf.DUMMYFUNCTION("""COMPUTED_VALUE"""),2935375.0)</f>
        <v>2935375</v>
      </c>
    </row>
    <row r="12408">
      <c r="A12408" t="str">
        <f t="shared" si="1"/>
        <v>pry#1978</v>
      </c>
      <c r="B12408" t="str">
        <f>IFERROR(__xludf.DUMMYFUNCTION("""COMPUTED_VALUE"""),"pry")</f>
        <v>pry</v>
      </c>
      <c r="C12408" t="str">
        <f>IFERROR(__xludf.DUMMYFUNCTION("""COMPUTED_VALUE"""),"Paraguay")</f>
        <v>Paraguay</v>
      </c>
      <c r="D12408">
        <f>IFERROR(__xludf.DUMMYFUNCTION("""COMPUTED_VALUE"""),1978.0)</f>
        <v>1978</v>
      </c>
      <c r="E12408">
        <f>IFERROR(__xludf.DUMMYFUNCTION("""COMPUTED_VALUE"""),3012829.0)</f>
        <v>3012829</v>
      </c>
    </row>
    <row r="12409">
      <c r="A12409" t="str">
        <f t="shared" si="1"/>
        <v>pry#1979</v>
      </c>
      <c r="B12409" t="str">
        <f>IFERROR(__xludf.DUMMYFUNCTION("""COMPUTED_VALUE"""),"pry")</f>
        <v>pry</v>
      </c>
      <c r="C12409" t="str">
        <f>IFERROR(__xludf.DUMMYFUNCTION("""COMPUTED_VALUE"""),"Paraguay")</f>
        <v>Paraguay</v>
      </c>
      <c r="D12409">
        <f>IFERROR(__xludf.DUMMYFUNCTION("""COMPUTED_VALUE"""),1979.0)</f>
        <v>1979</v>
      </c>
      <c r="E12409">
        <f>IFERROR(__xludf.DUMMYFUNCTION("""COMPUTED_VALUE"""),3094482.0)</f>
        <v>3094482</v>
      </c>
    </row>
    <row r="12410">
      <c r="A12410" t="str">
        <f t="shared" si="1"/>
        <v>pry#1980</v>
      </c>
      <c r="B12410" t="str">
        <f>IFERROR(__xludf.DUMMYFUNCTION("""COMPUTED_VALUE"""),"pry")</f>
        <v>pry</v>
      </c>
      <c r="C12410" t="str">
        <f>IFERROR(__xludf.DUMMYFUNCTION("""COMPUTED_VALUE"""),"Paraguay")</f>
        <v>Paraguay</v>
      </c>
      <c r="D12410">
        <f>IFERROR(__xludf.DUMMYFUNCTION("""COMPUTED_VALUE"""),1980.0)</f>
        <v>1980</v>
      </c>
      <c r="E12410">
        <f>IFERROR(__xludf.DUMMYFUNCTION("""COMPUTED_VALUE"""),3180630.0)</f>
        <v>3180630</v>
      </c>
    </row>
    <row r="12411">
      <c r="A12411" t="str">
        <f t="shared" si="1"/>
        <v>pry#1981</v>
      </c>
      <c r="B12411" t="str">
        <f>IFERROR(__xludf.DUMMYFUNCTION("""COMPUTED_VALUE"""),"pry")</f>
        <v>pry</v>
      </c>
      <c r="C12411" t="str">
        <f>IFERROR(__xludf.DUMMYFUNCTION("""COMPUTED_VALUE"""),"Paraguay")</f>
        <v>Paraguay</v>
      </c>
      <c r="D12411">
        <f>IFERROR(__xludf.DUMMYFUNCTION("""COMPUTED_VALUE"""),1981.0)</f>
        <v>1981</v>
      </c>
      <c r="E12411">
        <f>IFERROR(__xludf.DUMMYFUNCTION("""COMPUTED_VALUE"""),3271456.0)</f>
        <v>3271456</v>
      </c>
    </row>
    <row r="12412">
      <c r="A12412" t="str">
        <f t="shared" si="1"/>
        <v>pry#1982</v>
      </c>
      <c r="B12412" t="str">
        <f>IFERROR(__xludf.DUMMYFUNCTION("""COMPUTED_VALUE"""),"pry")</f>
        <v>pry</v>
      </c>
      <c r="C12412" t="str">
        <f>IFERROR(__xludf.DUMMYFUNCTION("""COMPUTED_VALUE"""),"Paraguay")</f>
        <v>Paraguay</v>
      </c>
      <c r="D12412">
        <f>IFERROR(__xludf.DUMMYFUNCTION("""COMPUTED_VALUE"""),1982.0)</f>
        <v>1982</v>
      </c>
      <c r="E12412">
        <f>IFERROR(__xludf.DUMMYFUNCTION("""COMPUTED_VALUE"""),3366719.0)</f>
        <v>3366719</v>
      </c>
    </row>
    <row r="12413">
      <c r="A12413" t="str">
        <f t="shared" si="1"/>
        <v>pry#1983</v>
      </c>
      <c r="B12413" t="str">
        <f>IFERROR(__xludf.DUMMYFUNCTION("""COMPUTED_VALUE"""),"pry")</f>
        <v>pry</v>
      </c>
      <c r="C12413" t="str">
        <f>IFERROR(__xludf.DUMMYFUNCTION("""COMPUTED_VALUE"""),"Paraguay")</f>
        <v>Paraguay</v>
      </c>
      <c r="D12413">
        <f>IFERROR(__xludf.DUMMYFUNCTION("""COMPUTED_VALUE"""),1983.0)</f>
        <v>1983</v>
      </c>
      <c r="E12413">
        <f>IFERROR(__xludf.DUMMYFUNCTION("""COMPUTED_VALUE"""),3465793.0)</f>
        <v>3465793</v>
      </c>
    </row>
    <row r="12414">
      <c r="A12414" t="str">
        <f t="shared" si="1"/>
        <v>pry#1984</v>
      </c>
      <c r="B12414" t="str">
        <f>IFERROR(__xludf.DUMMYFUNCTION("""COMPUTED_VALUE"""),"pry")</f>
        <v>pry</v>
      </c>
      <c r="C12414" t="str">
        <f>IFERROR(__xludf.DUMMYFUNCTION("""COMPUTED_VALUE"""),"Paraguay")</f>
        <v>Paraguay</v>
      </c>
      <c r="D12414">
        <f>IFERROR(__xludf.DUMMYFUNCTION("""COMPUTED_VALUE"""),1984.0)</f>
        <v>1984</v>
      </c>
      <c r="E12414">
        <f>IFERROR(__xludf.DUMMYFUNCTION("""COMPUTED_VALUE"""),3567752.0)</f>
        <v>3567752</v>
      </c>
    </row>
    <row r="12415">
      <c r="A12415" t="str">
        <f t="shared" si="1"/>
        <v>pry#1985</v>
      </c>
      <c r="B12415" t="str">
        <f>IFERROR(__xludf.DUMMYFUNCTION("""COMPUTED_VALUE"""),"pry")</f>
        <v>pry</v>
      </c>
      <c r="C12415" t="str">
        <f>IFERROR(__xludf.DUMMYFUNCTION("""COMPUTED_VALUE"""),"Paraguay")</f>
        <v>Paraguay</v>
      </c>
      <c r="D12415">
        <f>IFERROR(__xludf.DUMMYFUNCTION("""COMPUTED_VALUE"""),1985.0)</f>
        <v>1985</v>
      </c>
      <c r="E12415">
        <f>IFERROR(__xludf.DUMMYFUNCTION("""COMPUTED_VALUE"""),3671826.0)</f>
        <v>3671826</v>
      </c>
    </row>
    <row r="12416">
      <c r="A12416" t="str">
        <f t="shared" si="1"/>
        <v>pry#1986</v>
      </c>
      <c r="B12416" t="str">
        <f>IFERROR(__xludf.DUMMYFUNCTION("""COMPUTED_VALUE"""),"pry")</f>
        <v>pry</v>
      </c>
      <c r="C12416" t="str">
        <f>IFERROR(__xludf.DUMMYFUNCTION("""COMPUTED_VALUE"""),"Paraguay")</f>
        <v>Paraguay</v>
      </c>
      <c r="D12416">
        <f>IFERROR(__xludf.DUMMYFUNCTION("""COMPUTED_VALUE"""),1986.0)</f>
        <v>1986</v>
      </c>
      <c r="E12416">
        <f>IFERROR(__xludf.DUMMYFUNCTION("""COMPUTED_VALUE"""),3777763.0)</f>
        <v>3777763</v>
      </c>
    </row>
    <row r="12417">
      <c r="A12417" t="str">
        <f t="shared" si="1"/>
        <v>pry#1987</v>
      </c>
      <c r="B12417" t="str">
        <f>IFERROR(__xludf.DUMMYFUNCTION("""COMPUTED_VALUE"""),"pry")</f>
        <v>pry</v>
      </c>
      <c r="C12417" t="str">
        <f>IFERROR(__xludf.DUMMYFUNCTION("""COMPUTED_VALUE"""),"Paraguay")</f>
        <v>Paraguay</v>
      </c>
      <c r="D12417">
        <f>IFERROR(__xludf.DUMMYFUNCTION("""COMPUTED_VALUE"""),1987.0)</f>
        <v>1987</v>
      </c>
      <c r="E12417">
        <f>IFERROR(__xludf.DUMMYFUNCTION("""COMPUTED_VALUE"""),3885436.0)</f>
        <v>3885436</v>
      </c>
    </row>
    <row r="12418">
      <c r="A12418" t="str">
        <f t="shared" si="1"/>
        <v>pry#1988</v>
      </c>
      <c r="B12418" t="str">
        <f>IFERROR(__xludf.DUMMYFUNCTION("""COMPUTED_VALUE"""),"pry")</f>
        <v>pry</v>
      </c>
      <c r="C12418" t="str">
        <f>IFERROR(__xludf.DUMMYFUNCTION("""COMPUTED_VALUE"""),"Paraguay")</f>
        <v>Paraguay</v>
      </c>
      <c r="D12418">
        <f>IFERROR(__xludf.DUMMYFUNCTION("""COMPUTED_VALUE"""),1988.0)</f>
        <v>1988</v>
      </c>
      <c r="E12418">
        <f>IFERROR(__xludf.DUMMYFUNCTION("""COMPUTED_VALUE"""),3994331.0)</f>
        <v>3994331</v>
      </c>
    </row>
    <row r="12419">
      <c r="A12419" t="str">
        <f t="shared" si="1"/>
        <v>pry#1989</v>
      </c>
      <c r="B12419" t="str">
        <f>IFERROR(__xludf.DUMMYFUNCTION("""COMPUTED_VALUE"""),"pry")</f>
        <v>pry</v>
      </c>
      <c r="C12419" t="str">
        <f>IFERROR(__xludf.DUMMYFUNCTION("""COMPUTED_VALUE"""),"Paraguay")</f>
        <v>Paraguay</v>
      </c>
      <c r="D12419">
        <f>IFERROR(__xludf.DUMMYFUNCTION("""COMPUTED_VALUE"""),1989.0)</f>
        <v>1989</v>
      </c>
      <c r="E12419">
        <f>IFERROR(__xludf.DUMMYFUNCTION("""COMPUTED_VALUE"""),4103911.0)</f>
        <v>4103911</v>
      </c>
    </row>
    <row r="12420">
      <c r="A12420" t="str">
        <f t="shared" si="1"/>
        <v>pry#1990</v>
      </c>
      <c r="B12420" t="str">
        <f>IFERROR(__xludf.DUMMYFUNCTION("""COMPUTED_VALUE"""),"pry")</f>
        <v>pry</v>
      </c>
      <c r="C12420" t="str">
        <f>IFERROR(__xludf.DUMMYFUNCTION("""COMPUTED_VALUE"""),"Paraguay")</f>
        <v>Paraguay</v>
      </c>
      <c r="D12420">
        <f>IFERROR(__xludf.DUMMYFUNCTION("""COMPUTED_VALUE"""),1990.0)</f>
        <v>1990</v>
      </c>
      <c r="E12420">
        <f>IFERROR(__xludf.DUMMYFUNCTION("""COMPUTED_VALUE"""),4213742.0)</f>
        <v>4213742</v>
      </c>
    </row>
    <row r="12421">
      <c r="A12421" t="str">
        <f t="shared" si="1"/>
        <v>pry#1991</v>
      </c>
      <c r="B12421" t="str">
        <f>IFERROR(__xludf.DUMMYFUNCTION("""COMPUTED_VALUE"""),"pry")</f>
        <v>pry</v>
      </c>
      <c r="C12421" t="str">
        <f>IFERROR(__xludf.DUMMYFUNCTION("""COMPUTED_VALUE"""),"Paraguay")</f>
        <v>Paraguay</v>
      </c>
      <c r="D12421">
        <f>IFERROR(__xludf.DUMMYFUNCTION("""COMPUTED_VALUE"""),1991.0)</f>
        <v>1991</v>
      </c>
      <c r="E12421">
        <f>IFERROR(__xludf.DUMMYFUNCTION("""COMPUTED_VALUE"""),4323410.0)</f>
        <v>4323410</v>
      </c>
    </row>
    <row r="12422">
      <c r="A12422" t="str">
        <f t="shared" si="1"/>
        <v>pry#1992</v>
      </c>
      <c r="B12422" t="str">
        <f>IFERROR(__xludf.DUMMYFUNCTION("""COMPUTED_VALUE"""),"pry")</f>
        <v>pry</v>
      </c>
      <c r="C12422" t="str">
        <f>IFERROR(__xludf.DUMMYFUNCTION("""COMPUTED_VALUE"""),"Paraguay")</f>
        <v>Paraguay</v>
      </c>
      <c r="D12422">
        <f>IFERROR(__xludf.DUMMYFUNCTION("""COMPUTED_VALUE"""),1992.0)</f>
        <v>1992</v>
      </c>
      <c r="E12422">
        <f>IFERROR(__xludf.DUMMYFUNCTION("""COMPUTED_VALUE"""),4432736.0)</f>
        <v>4432736</v>
      </c>
    </row>
    <row r="12423">
      <c r="A12423" t="str">
        <f t="shared" si="1"/>
        <v>pry#1993</v>
      </c>
      <c r="B12423" t="str">
        <f>IFERROR(__xludf.DUMMYFUNCTION("""COMPUTED_VALUE"""),"pry")</f>
        <v>pry</v>
      </c>
      <c r="C12423" t="str">
        <f>IFERROR(__xludf.DUMMYFUNCTION("""COMPUTED_VALUE"""),"Paraguay")</f>
        <v>Paraguay</v>
      </c>
      <c r="D12423">
        <f>IFERROR(__xludf.DUMMYFUNCTION("""COMPUTED_VALUE"""),1993.0)</f>
        <v>1993</v>
      </c>
      <c r="E12423">
        <f>IFERROR(__xludf.DUMMYFUNCTION("""COMPUTED_VALUE"""),4541902.0)</f>
        <v>4541902</v>
      </c>
    </row>
    <row r="12424">
      <c r="A12424" t="str">
        <f t="shared" si="1"/>
        <v>pry#1994</v>
      </c>
      <c r="B12424" t="str">
        <f>IFERROR(__xludf.DUMMYFUNCTION("""COMPUTED_VALUE"""),"pry")</f>
        <v>pry</v>
      </c>
      <c r="C12424" t="str">
        <f>IFERROR(__xludf.DUMMYFUNCTION("""COMPUTED_VALUE"""),"Paraguay")</f>
        <v>Paraguay</v>
      </c>
      <c r="D12424">
        <f>IFERROR(__xludf.DUMMYFUNCTION("""COMPUTED_VALUE"""),1994.0)</f>
        <v>1994</v>
      </c>
      <c r="E12424">
        <f>IFERROR(__xludf.DUMMYFUNCTION("""COMPUTED_VALUE"""),4651225.0)</f>
        <v>4651225</v>
      </c>
    </row>
    <row r="12425">
      <c r="A12425" t="str">
        <f t="shared" si="1"/>
        <v>pry#1995</v>
      </c>
      <c r="B12425" t="str">
        <f>IFERROR(__xludf.DUMMYFUNCTION("""COMPUTED_VALUE"""),"pry")</f>
        <v>pry</v>
      </c>
      <c r="C12425" t="str">
        <f>IFERROR(__xludf.DUMMYFUNCTION("""COMPUTED_VALUE"""),"Paraguay")</f>
        <v>Paraguay</v>
      </c>
      <c r="D12425">
        <f>IFERROR(__xludf.DUMMYFUNCTION("""COMPUTED_VALUE"""),1995.0)</f>
        <v>1995</v>
      </c>
      <c r="E12425">
        <f>IFERROR(__xludf.DUMMYFUNCTION("""COMPUTED_VALUE"""),4760850.0)</f>
        <v>4760850</v>
      </c>
    </row>
    <row r="12426">
      <c r="A12426" t="str">
        <f t="shared" si="1"/>
        <v>pry#1996</v>
      </c>
      <c r="B12426" t="str">
        <f>IFERROR(__xludf.DUMMYFUNCTION("""COMPUTED_VALUE"""),"pry")</f>
        <v>pry</v>
      </c>
      <c r="C12426" t="str">
        <f>IFERROR(__xludf.DUMMYFUNCTION("""COMPUTED_VALUE"""),"Paraguay")</f>
        <v>Paraguay</v>
      </c>
      <c r="D12426">
        <f>IFERROR(__xludf.DUMMYFUNCTION("""COMPUTED_VALUE"""),1996.0)</f>
        <v>1996</v>
      </c>
      <c r="E12426">
        <f>IFERROR(__xludf.DUMMYFUNCTION("""COMPUTED_VALUE"""),4870694.0)</f>
        <v>4870694</v>
      </c>
    </row>
    <row r="12427">
      <c r="A12427" t="str">
        <f t="shared" si="1"/>
        <v>pry#1997</v>
      </c>
      <c r="B12427" t="str">
        <f>IFERROR(__xludf.DUMMYFUNCTION("""COMPUTED_VALUE"""),"pry")</f>
        <v>pry</v>
      </c>
      <c r="C12427" t="str">
        <f>IFERROR(__xludf.DUMMYFUNCTION("""COMPUTED_VALUE"""),"Paraguay")</f>
        <v>Paraguay</v>
      </c>
      <c r="D12427">
        <f>IFERROR(__xludf.DUMMYFUNCTION("""COMPUTED_VALUE"""),1997.0)</f>
        <v>1997</v>
      </c>
      <c r="E12427">
        <f>IFERROR(__xludf.DUMMYFUNCTION("""COMPUTED_VALUE"""),4980344.0)</f>
        <v>4980344</v>
      </c>
    </row>
    <row r="12428">
      <c r="A12428" t="str">
        <f t="shared" si="1"/>
        <v>pry#1998</v>
      </c>
      <c r="B12428" t="str">
        <f>IFERROR(__xludf.DUMMYFUNCTION("""COMPUTED_VALUE"""),"pry")</f>
        <v>pry</v>
      </c>
      <c r="C12428" t="str">
        <f>IFERROR(__xludf.DUMMYFUNCTION("""COMPUTED_VALUE"""),"Paraguay")</f>
        <v>Paraguay</v>
      </c>
      <c r="D12428">
        <f>IFERROR(__xludf.DUMMYFUNCTION("""COMPUTED_VALUE"""),1998.0)</f>
        <v>1998</v>
      </c>
      <c r="E12428">
        <f>IFERROR(__xludf.DUMMYFUNCTION("""COMPUTED_VALUE"""),5089310.0)</f>
        <v>5089310</v>
      </c>
    </row>
    <row r="12429">
      <c r="A12429" t="str">
        <f t="shared" si="1"/>
        <v>pry#1999</v>
      </c>
      <c r="B12429" t="str">
        <f>IFERROR(__xludf.DUMMYFUNCTION("""COMPUTED_VALUE"""),"pry")</f>
        <v>pry</v>
      </c>
      <c r="C12429" t="str">
        <f>IFERROR(__xludf.DUMMYFUNCTION("""COMPUTED_VALUE"""),"Paraguay")</f>
        <v>Paraguay</v>
      </c>
      <c r="D12429">
        <f>IFERROR(__xludf.DUMMYFUNCTION("""COMPUTED_VALUE"""),1999.0)</f>
        <v>1999</v>
      </c>
      <c r="E12429">
        <f>IFERROR(__xludf.DUMMYFUNCTION("""COMPUTED_VALUE"""),5196937.0)</f>
        <v>5196937</v>
      </c>
    </row>
    <row r="12430">
      <c r="A12430" t="str">
        <f t="shared" si="1"/>
        <v>pry#2000</v>
      </c>
      <c r="B12430" t="str">
        <f>IFERROR(__xludf.DUMMYFUNCTION("""COMPUTED_VALUE"""),"pry")</f>
        <v>pry</v>
      </c>
      <c r="C12430" t="str">
        <f>IFERROR(__xludf.DUMMYFUNCTION("""COMPUTED_VALUE"""),"Paraguay")</f>
        <v>Paraguay</v>
      </c>
      <c r="D12430">
        <f>IFERROR(__xludf.DUMMYFUNCTION("""COMPUTED_VALUE"""),2000.0)</f>
        <v>2000</v>
      </c>
      <c r="E12430">
        <f>IFERROR(__xludf.DUMMYFUNCTION("""COMPUTED_VALUE"""),5302700.0)</f>
        <v>5302700</v>
      </c>
    </row>
    <row r="12431">
      <c r="A12431" t="str">
        <f t="shared" si="1"/>
        <v>pry#2001</v>
      </c>
      <c r="B12431" t="str">
        <f>IFERROR(__xludf.DUMMYFUNCTION("""COMPUTED_VALUE"""),"pry")</f>
        <v>pry</v>
      </c>
      <c r="C12431" t="str">
        <f>IFERROR(__xludf.DUMMYFUNCTION("""COMPUTED_VALUE"""),"Paraguay")</f>
        <v>Paraguay</v>
      </c>
      <c r="D12431">
        <f>IFERROR(__xludf.DUMMYFUNCTION("""COMPUTED_VALUE"""),2001.0)</f>
        <v>2001</v>
      </c>
      <c r="E12431">
        <f>IFERROR(__xludf.DUMMYFUNCTION("""COMPUTED_VALUE"""),5406624.0)</f>
        <v>5406624</v>
      </c>
    </row>
    <row r="12432">
      <c r="A12432" t="str">
        <f t="shared" si="1"/>
        <v>pry#2002</v>
      </c>
      <c r="B12432" t="str">
        <f>IFERROR(__xludf.DUMMYFUNCTION("""COMPUTED_VALUE"""),"pry")</f>
        <v>pry</v>
      </c>
      <c r="C12432" t="str">
        <f>IFERROR(__xludf.DUMMYFUNCTION("""COMPUTED_VALUE"""),"Paraguay")</f>
        <v>Paraguay</v>
      </c>
      <c r="D12432">
        <f>IFERROR(__xludf.DUMMYFUNCTION("""COMPUTED_VALUE"""),2002.0)</f>
        <v>2002</v>
      </c>
      <c r="E12432">
        <f>IFERROR(__xludf.DUMMYFUNCTION("""COMPUTED_VALUE"""),5508611.0)</f>
        <v>5508611</v>
      </c>
    </row>
    <row r="12433">
      <c r="A12433" t="str">
        <f t="shared" si="1"/>
        <v>pry#2003</v>
      </c>
      <c r="B12433" t="str">
        <f>IFERROR(__xludf.DUMMYFUNCTION("""COMPUTED_VALUE"""),"pry")</f>
        <v>pry</v>
      </c>
      <c r="C12433" t="str">
        <f>IFERROR(__xludf.DUMMYFUNCTION("""COMPUTED_VALUE"""),"Paraguay")</f>
        <v>Paraguay</v>
      </c>
      <c r="D12433">
        <f>IFERROR(__xludf.DUMMYFUNCTION("""COMPUTED_VALUE"""),2003.0)</f>
        <v>2003</v>
      </c>
      <c r="E12433">
        <f>IFERROR(__xludf.DUMMYFUNCTION("""COMPUTED_VALUE"""),5607950.0)</f>
        <v>5607950</v>
      </c>
    </row>
    <row r="12434">
      <c r="A12434" t="str">
        <f t="shared" si="1"/>
        <v>pry#2004</v>
      </c>
      <c r="B12434" t="str">
        <f>IFERROR(__xludf.DUMMYFUNCTION("""COMPUTED_VALUE"""),"pry")</f>
        <v>pry</v>
      </c>
      <c r="C12434" t="str">
        <f>IFERROR(__xludf.DUMMYFUNCTION("""COMPUTED_VALUE"""),"Paraguay")</f>
        <v>Paraguay</v>
      </c>
      <c r="D12434">
        <f>IFERROR(__xludf.DUMMYFUNCTION("""COMPUTED_VALUE"""),2004.0)</f>
        <v>2004</v>
      </c>
      <c r="E12434">
        <f>IFERROR(__xludf.DUMMYFUNCTION("""COMPUTED_VALUE"""),5703740.0)</f>
        <v>5703740</v>
      </c>
    </row>
    <row r="12435">
      <c r="A12435" t="str">
        <f t="shared" si="1"/>
        <v>pry#2005</v>
      </c>
      <c r="B12435" t="str">
        <f>IFERROR(__xludf.DUMMYFUNCTION("""COMPUTED_VALUE"""),"pry")</f>
        <v>pry</v>
      </c>
      <c r="C12435" t="str">
        <f>IFERROR(__xludf.DUMMYFUNCTION("""COMPUTED_VALUE"""),"Paraguay")</f>
        <v>Paraguay</v>
      </c>
      <c r="D12435">
        <f>IFERROR(__xludf.DUMMYFUNCTION("""COMPUTED_VALUE"""),2005.0)</f>
        <v>2005</v>
      </c>
      <c r="E12435">
        <f>IFERROR(__xludf.DUMMYFUNCTION("""COMPUTED_VALUE"""),5795494.0)</f>
        <v>5795494</v>
      </c>
    </row>
    <row r="12436">
      <c r="A12436" t="str">
        <f t="shared" si="1"/>
        <v>pry#2006</v>
      </c>
      <c r="B12436" t="str">
        <f>IFERROR(__xludf.DUMMYFUNCTION("""COMPUTED_VALUE"""),"pry")</f>
        <v>pry</v>
      </c>
      <c r="C12436" t="str">
        <f>IFERROR(__xludf.DUMMYFUNCTION("""COMPUTED_VALUE"""),"Paraguay")</f>
        <v>Paraguay</v>
      </c>
      <c r="D12436">
        <f>IFERROR(__xludf.DUMMYFUNCTION("""COMPUTED_VALUE"""),2006.0)</f>
        <v>2006</v>
      </c>
      <c r="E12436">
        <f>IFERROR(__xludf.DUMMYFUNCTION("""COMPUTED_VALUE"""),5882796.0)</f>
        <v>5882796</v>
      </c>
    </row>
    <row r="12437">
      <c r="A12437" t="str">
        <f t="shared" si="1"/>
        <v>pry#2007</v>
      </c>
      <c r="B12437" t="str">
        <f>IFERROR(__xludf.DUMMYFUNCTION("""COMPUTED_VALUE"""),"pry")</f>
        <v>pry</v>
      </c>
      <c r="C12437" t="str">
        <f>IFERROR(__xludf.DUMMYFUNCTION("""COMPUTED_VALUE"""),"Paraguay")</f>
        <v>Paraguay</v>
      </c>
      <c r="D12437">
        <f>IFERROR(__xludf.DUMMYFUNCTION("""COMPUTED_VALUE"""),2007.0)</f>
        <v>2007</v>
      </c>
      <c r="E12437">
        <f>IFERROR(__xludf.DUMMYFUNCTION("""COMPUTED_VALUE"""),5966159.0)</f>
        <v>5966159</v>
      </c>
    </row>
    <row r="12438">
      <c r="A12438" t="str">
        <f t="shared" si="1"/>
        <v>pry#2008</v>
      </c>
      <c r="B12438" t="str">
        <f>IFERROR(__xludf.DUMMYFUNCTION("""COMPUTED_VALUE"""),"pry")</f>
        <v>pry</v>
      </c>
      <c r="C12438" t="str">
        <f>IFERROR(__xludf.DUMMYFUNCTION("""COMPUTED_VALUE"""),"Paraguay")</f>
        <v>Paraguay</v>
      </c>
      <c r="D12438">
        <f>IFERROR(__xludf.DUMMYFUNCTION("""COMPUTED_VALUE"""),2008.0)</f>
        <v>2008</v>
      </c>
      <c r="E12438">
        <f>IFERROR(__xludf.DUMMYFUNCTION("""COMPUTED_VALUE"""),6047117.0)</f>
        <v>6047117</v>
      </c>
    </row>
    <row r="12439">
      <c r="A12439" t="str">
        <f t="shared" si="1"/>
        <v>pry#2009</v>
      </c>
      <c r="B12439" t="str">
        <f>IFERROR(__xludf.DUMMYFUNCTION("""COMPUTED_VALUE"""),"pry")</f>
        <v>pry</v>
      </c>
      <c r="C12439" t="str">
        <f>IFERROR(__xludf.DUMMYFUNCTION("""COMPUTED_VALUE"""),"Paraguay")</f>
        <v>Paraguay</v>
      </c>
      <c r="D12439">
        <f>IFERROR(__xludf.DUMMYFUNCTION("""COMPUTED_VALUE"""),2009.0)</f>
        <v>2009</v>
      </c>
      <c r="E12439">
        <f>IFERROR(__xludf.DUMMYFUNCTION("""COMPUTED_VALUE"""),6127837.0)</f>
        <v>6127837</v>
      </c>
    </row>
    <row r="12440">
      <c r="A12440" t="str">
        <f t="shared" si="1"/>
        <v>pry#2010</v>
      </c>
      <c r="B12440" t="str">
        <f>IFERROR(__xludf.DUMMYFUNCTION("""COMPUTED_VALUE"""),"pry")</f>
        <v>pry</v>
      </c>
      <c r="C12440" t="str">
        <f>IFERROR(__xludf.DUMMYFUNCTION("""COMPUTED_VALUE"""),"Paraguay")</f>
        <v>Paraguay</v>
      </c>
      <c r="D12440">
        <f>IFERROR(__xludf.DUMMYFUNCTION("""COMPUTED_VALUE"""),2010.0)</f>
        <v>2010</v>
      </c>
      <c r="E12440">
        <f>IFERROR(__xludf.DUMMYFUNCTION("""COMPUTED_VALUE"""),6209877.0)</f>
        <v>6209877</v>
      </c>
    </row>
    <row r="12441">
      <c r="A12441" t="str">
        <f t="shared" si="1"/>
        <v>pry#2011</v>
      </c>
      <c r="B12441" t="str">
        <f>IFERROR(__xludf.DUMMYFUNCTION("""COMPUTED_VALUE"""),"pry")</f>
        <v>pry</v>
      </c>
      <c r="C12441" t="str">
        <f>IFERROR(__xludf.DUMMYFUNCTION("""COMPUTED_VALUE"""),"Paraguay")</f>
        <v>Paraguay</v>
      </c>
      <c r="D12441">
        <f>IFERROR(__xludf.DUMMYFUNCTION("""COMPUTED_VALUE"""),2011.0)</f>
        <v>2011</v>
      </c>
      <c r="E12441">
        <f>IFERROR(__xludf.DUMMYFUNCTION("""COMPUTED_VALUE"""),6293783.0)</f>
        <v>6293783</v>
      </c>
    </row>
    <row r="12442">
      <c r="A12442" t="str">
        <f t="shared" si="1"/>
        <v>pry#2012</v>
      </c>
      <c r="B12442" t="str">
        <f>IFERROR(__xludf.DUMMYFUNCTION("""COMPUTED_VALUE"""),"pry")</f>
        <v>pry</v>
      </c>
      <c r="C12442" t="str">
        <f>IFERROR(__xludf.DUMMYFUNCTION("""COMPUTED_VALUE"""),"Paraguay")</f>
        <v>Paraguay</v>
      </c>
      <c r="D12442">
        <f>IFERROR(__xludf.DUMMYFUNCTION("""COMPUTED_VALUE"""),2012.0)</f>
        <v>2012</v>
      </c>
      <c r="E12442">
        <f>IFERROR(__xludf.DUMMYFUNCTION("""COMPUTED_VALUE"""),6379219.0)</f>
        <v>6379219</v>
      </c>
    </row>
    <row r="12443">
      <c r="A12443" t="str">
        <f t="shared" si="1"/>
        <v>pry#2013</v>
      </c>
      <c r="B12443" t="str">
        <f>IFERROR(__xludf.DUMMYFUNCTION("""COMPUTED_VALUE"""),"pry")</f>
        <v>pry</v>
      </c>
      <c r="C12443" t="str">
        <f>IFERROR(__xludf.DUMMYFUNCTION("""COMPUTED_VALUE"""),"Paraguay")</f>
        <v>Paraguay</v>
      </c>
      <c r="D12443">
        <f>IFERROR(__xludf.DUMMYFUNCTION("""COMPUTED_VALUE"""),2013.0)</f>
        <v>2013</v>
      </c>
      <c r="E12443">
        <f>IFERROR(__xludf.DUMMYFUNCTION("""COMPUTED_VALUE"""),6465740.0)</f>
        <v>6465740</v>
      </c>
    </row>
    <row r="12444">
      <c r="A12444" t="str">
        <f t="shared" si="1"/>
        <v>pry#2014</v>
      </c>
      <c r="B12444" t="str">
        <f>IFERROR(__xludf.DUMMYFUNCTION("""COMPUTED_VALUE"""),"pry")</f>
        <v>pry</v>
      </c>
      <c r="C12444" t="str">
        <f>IFERROR(__xludf.DUMMYFUNCTION("""COMPUTED_VALUE"""),"Paraguay")</f>
        <v>Paraguay</v>
      </c>
      <c r="D12444">
        <f>IFERROR(__xludf.DUMMYFUNCTION("""COMPUTED_VALUE"""),2014.0)</f>
        <v>2014</v>
      </c>
      <c r="E12444">
        <f>IFERROR(__xludf.DUMMYFUNCTION("""COMPUTED_VALUE"""),6552584.0)</f>
        <v>6552584</v>
      </c>
    </row>
    <row r="12445">
      <c r="A12445" t="str">
        <f t="shared" si="1"/>
        <v>pry#2015</v>
      </c>
      <c r="B12445" t="str">
        <f>IFERROR(__xludf.DUMMYFUNCTION("""COMPUTED_VALUE"""),"pry")</f>
        <v>pry</v>
      </c>
      <c r="C12445" t="str">
        <f>IFERROR(__xludf.DUMMYFUNCTION("""COMPUTED_VALUE"""),"Paraguay")</f>
        <v>Paraguay</v>
      </c>
      <c r="D12445">
        <f>IFERROR(__xludf.DUMMYFUNCTION("""COMPUTED_VALUE"""),2015.0)</f>
        <v>2015</v>
      </c>
      <c r="E12445">
        <f>IFERROR(__xludf.DUMMYFUNCTION("""COMPUTED_VALUE"""),6639119.0)</f>
        <v>6639119</v>
      </c>
    </row>
    <row r="12446">
      <c r="A12446" t="str">
        <f t="shared" si="1"/>
        <v>pry#2016</v>
      </c>
      <c r="B12446" t="str">
        <f>IFERROR(__xludf.DUMMYFUNCTION("""COMPUTED_VALUE"""),"pry")</f>
        <v>pry</v>
      </c>
      <c r="C12446" t="str">
        <f>IFERROR(__xludf.DUMMYFUNCTION("""COMPUTED_VALUE"""),"Paraguay")</f>
        <v>Paraguay</v>
      </c>
      <c r="D12446">
        <f>IFERROR(__xludf.DUMMYFUNCTION("""COMPUTED_VALUE"""),2016.0)</f>
        <v>2016</v>
      </c>
      <c r="E12446">
        <f>IFERROR(__xludf.DUMMYFUNCTION("""COMPUTED_VALUE"""),6725308.0)</f>
        <v>6725308</v>
      </c>
    </row>
    <row r="12447">
      <c r="A12447" t="str">
        <f t="shared" si="1"/>
        <v>pry#2017</v>
      </c>
      <c r="B12447" t="str">
        <f>IFERROR(__xludf.DUMMYFUNCTION("""COMPUTED_VALUE"""),"pry")</f>
        <v>pry</v>
      </c>
      <c r="C12447" t="str">
        <f>IFERROR(__xludf.DUMMYFUNCTION("""COMPUTED_VALUE"""),"Paraguay")</f>
        <v>Paraguay</v>
      </c>
      <c r="D12447">
        <f>IFERROR(__xludf.DUMMYFUNCTION("""COMPUTED_VALUE"""),2017.0)</f>
        <v>2017</v>
      </c>
      <c r="E12447">
        <f>IFERROR(__xludf.DUMMYFUNCTION("""COMPUTED_VALUE"""),6811297.0)</f>
        <v>6811297</v>
      </c>
    </row>
    <row r="12448">
      <c r="A12448" t="str">
        <f t="shared" si="1"/>
        <v>pry#2018</v>
      </c>
      <c r="B12448" t="str">
        <f>IFERROR(__xludf.DUMMYFUNCTION("""COMPUTED_VALUE"""),"pry")</f>
        <v>pry</v>
      </c>
      <c r="C12448" t="str">
        <f>IFERROR(__xludf.DUMMYFUNCTION("""COMPUTED_VALUE"""),"Paraguay")</f>
        <v>Paraguay</v>
      </c>
      <c r="D12448">
        <f>IFERROR(__xludf.DUMMYFUNCTION("""COMPUTED_VALUE"""),2018.0)</f>
        <v>2018</v>
      </c>
      <c r="E12448">
        <f>IFERROR(__xludf.DUMMYFUNCTION("""COMPUTED_VALUE"""),6896908.0)</f>
        <v>6896908</v>
      </c>
    </row>
    <row r="12449">
      <c r="A12449" t="str">
        <f t="shared" si="1"/>
        <v>pry#2019</v>
      </c>
      <c r="B12449" t="str">
        <f>IFERROR(__xludf.DUMMYFUNCTION("""COMPUTED_VALUE"""),"pry")</f>
        <v>pry</v>
      </c>
      <c r="C12449" t="str">
        <f>IFERROR(__xludf.DUMMYFUNCTION("""COMPUTED_VALUE"""),"Paraguay")</f>
        <v>Paraguay</v>
      </c>
      <c r="D12449">
        <f>IFERROR(__xludf.DUMMYFUNCTION("""COMPUTED_VALUE"""),2019.0)</f>
        <v>2019</v>
      </c>
      <c r="E12449">
        <f>IFERROR(__xludf.DUMMYFUNCTION("""COMPUTED_VALUE"""),6981981.0)</f>
        <v>6981981</v>
      </c>
    </row>
    <row r="12450">
      <c r="A12450" t="str">
        <f t="shared" si="1"/>
        <v>pry#2020</v>
      </c>
      <c r="B12450" t="str">
        <f>IFERROR(__xludf.DUMMYFUNCTION("""COMPUTED_VALUE"""),"pry")</f>
        <v>pry</v>
      </c>
      <c r="C12450" t="str">
        <f>IFERROR(__xludf.DUMMYFUNCTION("""COMPUTED_VALUE"""),"Paraguay")</f>
        <v>Paraguay</v>
      </c>
      <c r="D12450">
        <f>IFERROR(__xludf.DUMMYFUNCTION("""COMPUTED_VALUE"""),2020.0)</f>
        <v>2020</v>
      </c>
      <c r="E12450">
        <f>IFERROR(__xludf.DUMMYFUNCTION("""COMPUTED_VALUE"""),7066330.0)</f>
        <v>7066330</v>
      </c>
    </row>
    <row r="12451">
      <c r="A12451" t="str">
        <f t="shared" si="1"/>
        <v>pry#2021</v>
      </c>
      <c r="B12451" t="str">
        <f>IFERROR(__xludf.DUMMYFUNCTION("""COMPUTED_VALUE"""),"pry")</f>
        <v>pry</v>
      </c>
      <c r="C12451" t="str">
        <f>IFERROR(__xludf.DUMMYFUNCTION("""COMPUTED_VALUE"""),"Paraguay")</f>
        <v>Paraguay</v>
      </c>
      <c r="D12451">
        <f>IFERROR(__xludf.DUMMYFUNCTION("""COMPUTED_VALUE"""),2021.0)</f>
        <v>2021</v>
      </c>
      <c r="E12451">
        <f>IFERROR(__xludf.DUMMYFUNCTION("""COMPUTED_VALUE"""),7149851.0)</f>
        <v>7149851</v>
      </c>
    </row>
    <row r="12452">
      <c r="A12452" t="str">
        <f t="shared" si="1"/>
        <v>pry#2022</v>
      </c>
      <c r="B12452" t="str">
        <f>IFERROR(__xludf.DUMMYFUNCTION("""COMPUTED_VALUE"""),"pry")</f>
        <v>pry</v>
      </c>
      <c r="C12452" t="str">
        <f>IFERROR(__xludf.DUMMYFUNCTION("""COMPUTED_VALUE"""),"Paraguay")</f>
        <v>Paraguay</v>
      </c>
      <c r="D12452">
        <f>IFERROR(__xludf.DUMMYFUNCTION("""COMPUTED_VALUE"""),2022.0)</f>
        <v>2022</v>
      </c>
      <c r="E12452">
        <f>IFERROR(__xludf.DUMMYFUNCTION("""COMPUTED_VALUE"""),7232420.0)</f>
        <v>7232420</v>
      </c>
    </row>
    <row r="12453">
      <c r="A12453" t="str">
        <f t="shared" si="1"/>
        <v>pry#2023</v>
      </c>
      <c r="B12453" t="str">
        <f>IFERROR(__xludf.DUMMYFUNCTION("""COMPUTED_VALUE"""),"pry")</f>
        <v>pry</v>
      </c>
      <c r="C12453" t="str">
        <f>IFERROR(__xludf.DUMMYFUNCTION("""COMPUTED_VALUE"""),"Paraguay")</f>
        <v>Paraguay</v>
      </c>
      <c r="D12453">
        <f>IFERROR(__xludf.DUMMYFUNCTION("""COMPUTED_VALUE"""),2023.0)</f>
        <v>2023</v>
      </c>
      <c r="E12453">
        <f>IFERROR(__xludf.DUMMYFUNCTION("""COMPUTED_VALUE"""),7313907.0)</f>
        <v>7313907</v>
      </c>
    </row>
    <row r="12454">
      <c r="A12454" t="str">
        <f t="shared" si="1"/>
        <v>pry#2024</v>
      </c>
      <c r="B12454" t="str">
        <f>IFERROR(__xludf.DUMMYFUNCTION("""COMPUTED_VALUE"""),"pry")</f>
        <v>pry</v>
      </c>
      <c r="C12454" t="str">
        <f>IFERROR(__xludf.DUMMYFUNCTION("""COMPUTED_VALUE"""),"Paraguay")</f>
        <v>Paraguay</v>
      </c>
      <c r="D12454">
        <f>IFERROR(__xludf.DUMMYFUNCTION("""COMPUTED_VALUE"""),2024.0)</f>
        <v>2024</v>
      </c>
      <c r="E12454">
        <f>IFERROR(__xludf.DUMMYFUNCTION("""COMPUTED_VALUE"""),7394169.0)</f>
        <v>7394169</v>
      </c>
    </row>
    <row r="12455">
      <c r="A12455" t="str">
        <f t="shared" si="1"/>
        <v>pry#2025</v>
      </c>
      <c r="B12455" t="str">
        <f>IFERROR(__xludf.DUMMYFUNCTION("""COMPUTED_VALUE"""),"pry")</f>
        <v>pry</v>
      </c>
      <c r="C12455" t="str">
        <f>IFERROR(__xludf.DUMMYFUNCTION("""COMPUTED_VALUE"""),"Paraguay")</f>
        <v>Paraguay</v>
      </c>
      <c r="D12455">
        <f>IFERROR(__xludf.DUMMYFUNCTION("""COMPUTED_VALUE"""),2025.0)</f>
        <v>2025</v>
      </c>
      <c r="E12455">
        <f>IFERROR(__xludf.DUMMYFUNCTION("""COMPUTED_VALUE"""),7473078.0)</f>
        <v>7473078</v>
      </c>
    </row>
    <row r="12456">
      <c r="A12456" t="str">
        <f t="shared" si="1"/>
        <v>pry#2026</v>
      </c>
      <c r="B12456" t="str">
        <f>IFERROR(__xludf.DUMMYFUNCTION("""COMPUTED_VALUE"""),"pry")</f>
        <v>pry</v>
      </c>
      <c r="C12456" t="str">
        <f>IFERROR(__xludf.DUMMYFUNCTION("""COMPUTED_VALUE"""),"Paraguay")</f>
        <v>Paraguay</v>
      </c>
      <c r="D12456">
        <f>IFERROR(__xludf.DUMMYFUNCTION("""COMPUTED_VALUE"""),2026.0)</f>
        <v>2026</v>
      </c>
      <c r="E12456">
        <f>IFERROR(__xludf.DUMMYFUNCTION("""COMPUTED_VALUE"""),7550529.0)</f>
        <v>7550529</v>
      </c>
    </row>
    <row r="12457">
      <c r="A12457" t="str">
        <f t="shared" si="1"/>
        <v>pry#2027</v>
      </c>
      <c r="B12457" t="str">
        <f>IFERROR(__xludf.DUMMYFUNCTION("""COMPUTED_VALUE"""),"pry")</f>
        <v>pry</v>
      </c>
      <c r="C12457" t="str">
        <f>IFERROR(__xludf.DUMMYFUNCTION("""COMPUTED_VALUE"""),"Paraguay")</f>
        <v>Paraguay</v>
      </c>
      <c r="D12457">
        <f>IFERROR(__xludf.DUMMYFUNCTION("""COMPUTED_VALUE"""),2027.0)</f>
        <v>2027</v>
      </c>
      <c r="E12457">
        <f>IFERROR(__xludf.DUMMYFUNCTION("""COMPUTED_VALUE"""),7626460.0)</f>
        <v>7626460</v>
      </c>
    </row>
    <row r="12458">
      <c r="A12458" t="str">
        <f t="shared" si="1"/>
        <v>pry#2028</v>
      </c>
      <c r="B12458" t="str">
        <f>IFERROR(__xludf.DUMMYFUNCTION("""COMPUTED_VALUE"""),"pry")</f>
        <v>pry</v>
      </c>
      <c r="C12458" t="str">
        <f>IFERROR(__xludf.DUMMYFUNCTION("""COMPUTED_VALUE"""),"Paraguay")</f>
        <v>Paraguay</v>
      </c>
      <c r="D12458">
        <f>IFERROR(__xludf.DUMMYFUNCTION("""COMPUTED_VALUE"""),2028.0)</f>
        <v>2028</v>
      </c>
      <c r="E12458">
        <f>IFERROR(__xludf.DUMMYFUNCTION("""COMPUTED_VALUE"""),7700839.0)</f>
        <v>7700839</v>
      </c>
    </row>
    <row r="12459">
      <c r="A12459" t="str">
        <f t="shared" si="1"/>
        <v>pry#2029</v>
      </c>
      <c r="B12459" t="str">
        <f>IFERROR(__xludf.DUMMYFUNCTION("""COMPUTED_VALUE"""),"pry")</f>
        <v>pry</v>
      </c>
      <c r="C12459" t="str">
        <f>IFERROR(__xludf.DUMMYFUNCTION("""COMPUTED_VALUE"""),"Paraguay")</f>
        <v>Paraguay</v>
      </c>
      <c r="D12459">
        <f>IFERROR(__xludf.DUMMYFUNCTION("""COMPUTED_VALUE"""),2029.0)</f>
        <v>2029</v>
      </c>
      <c r="E12459">
        <f>IFERROR(__xludf.DUMMYFUNCTION("""COMPUTED_VALUE"""),7773662.0)</f>
        <v>7773662</v>
      </c>
    </row>
    <row r="12460">
      <c r="A12460" t="str">
        <f t="shared" si="1"/>
        <v>pry#2030</v>
      </c>
      <c r="B12460" t="str">
        <f>IFERROR(__xludf.DUMMYFUNCTION("""COMPUTED_VALUE"""),"pry")</f>
        <v>pry</v>
      </c>
      <c r="C12460" t="str">
        <f>IFERROR(__xludf.DUMMYFUNCTION("""COMPUTED_VALUE"""),"Paraguay")</f>
        <v>Paraguay</v>
      </c>
      <c r="D12460">
        <f>IFERROR(__xludf.DUMMYFUNCTION("""COMPUTED_VALUE"""),2030.0)</f>
        <v>2030</v>
      </c>
      <c r="E12460">
        <f>IFERROR(__xludf.DUMMYFUNCTION("""COMPUTED_VALUE"""),7844904.0)</f>
        <v>7844904</v>
      </c>
    </row>
    <row r="12461">
      <c r="A12461" t="str">
        <f t="shared" si="1"/>
        <v>pry#2031</v>
      </c>
      <c r="B12461" t="str">
        <f>IFERROR(__xludf.DUMMYFUNCTION("""COMPUTED_VALUE"""),"pry")</f>
        <v>pry</v>
      </c>
      <c r="C12461" t="str">
        <f>IFERROR(__xludf.DUMMYFUNCTION("""COMPUTED_VALUE"""),"Paraguay")</f>
        <v>Paraguay</v>
      </c>
      <c r="D12461">
        <f>IFERROR(__xludf.DUMMYFUNCTION("""COMPUTED_VALUE"""),2031.0)</f>
        <v>2031</v>
      </c>
      <c r="E12461">
        <f>IFERROR(__xludf.DUMMYFUNCTION("""COMPUTED_VALUE"""),7914540.0)</f>
        <v>7914540</v>
      </c>
    </row>
    <row r="12462">
      <c r="A12462" t="str">
        <f t="shared" si="1"/>
        <v>pry#2032</v>
      </c>
      <c r="B12462" t="str">
        <f>IFERROR(__xludf.DUMMYFUNCTION("""COMPUTED_VALUE"""),"pry")</f>
        <v>pry</v>
      </c>
      <c r="C12462" t="str">
        <f>IFERROR(__xludf.DUMMYFUNCTION("""COMPUTED_VALUE"""),"Paraguay")</f>
        <v>Paraguay</v>
      </c>
      <c r="D12462">
        <f>IFERROR(__xludf.DUMMYFUNCTION("""COMPUTED_VALUE"""),2032.0)</f>
        <v>2032</v>
      </c>
      <c r="E12462">
        <f>IFERROR(__xludf.DUMMYFUNCTION("""COMPUTED_VALUE"""),7982506.0)</f>
        <v>7982506</v>
      </c>
    </row>
    <row r="12463">
      <c r="A12463" t="str">
        <f t="shared" si="1"/>
        <v>pry#2033</v>
      </c>
      <c r="B12463" t="str">
        <f>IFERROR(__xludf.DUMMYFUNCTION("""COMPUTED_VALUE"""),"pry")</f>
        <v>pry</v>
      </c>
      <c r="C12463" t="str">
        <f>IFERROR(__xludf.DUMMYFUNCTION("""COMPUTED_VALUE"""),"Paraguay")</f>
        <v>Paraguay</v>
      </c>
      <c r="D12463">
        <f>IFERROR(__xludf.DUMMYFUNCTION("""COMPUTED_VALUE"""),2033.0)</f>
        <v>2033</v>
      </c>
      <c r="E12463">
        <f>IFERROR(__xludf.DUMMYFUNCTION("""COMPUTED_VALUE"""),8048725.0)</f>
        <v>8048725</v>
      </c>
    </row>
    <row r="12464">
      <c r="A12464" t="str">
        <f t="shared" si="1"/>
        <v>pry#2034</v>
      </c>
      <c r="B12464" t="str">
        <f>IFERROR(__xludf.DUMMYFUNCTION("""COMPUTED_VALUE"""),"pry")</f>
        <v>pry</v>
      </c>
      <c r="C12464" t="str">
        <f>IFERROR(__xludf.DUMMYFUNCTION("""COMPUTED_VALUE"""),"Paraguay")</f>
        <v>Paraguay</v>
      </c>
      <c r="D12464">
        <f>IFERROR(__xludf.DUMMYFUNCTION("""COMPUTED_VALUE"""),2034.0)</f>
        <v>2034</v>
      </c>
      <c r="E12464">
        <f>IFERROR(__xludf.DUMMYFUNCTION("""COMPUTED_VALUE"""),8113140.0)</f>
        <v>8113140</v>
      </c>
    </row>
    <row r="12465">
      <c r="A12465" t="str">
        <f t="shared" si="1"/>
        <v>pry#2035</v>
      </c>
      <c r="B12465" t="str">
        <f>IFERROR(__xludf.DUMMYFUNCTION("""COMPUTED_VALUE"""),"pry")</f>
        <v>pry</v>
      </c>
      <c r="C12465" t="str">
        <f>IFERROR(__xludf.DUMMYFUNCTION("""COMPUTED_VALUE"""),"Paraguay")</f>
        <v>Paraguay</v>
      </c>
      <c r="D12465">
        <f>IFERROR(__xludf.DUMMYFUNCTION("""COMPUTED_VALUE"""),2035.0)</f>
        <v>2035</v>
      </c>
      <c r="E12465">
        <f>IFERROR(__xludf.DUMMYFUNCTION("""COMPUTED_VALUE"""),8175687.0)</f>
        <v>8175687</v>
      </c>
    </row>
    <row r="12466">
      <c r="A12466" t="str">
        <f t="shared" si="1"/>
        <v>pry#2036</v>
      </c>
      <c r="B12466" t="str">
        <f>IFERROR(__xludf.DUMMYFUNCTION("""COMPUTED_VALUE"""),"pry")</f>
        <v>pry</v>
      </c>
      <c r="C12466" t="str">
        <f>IFERROR(__xludf.DUMMYFUNCTION("""COMPUTED_VALUE"""),"Paraguay")</f>
        <v>Paraguay</v>
      </c>
      <c r="D12466">
        <f>IFERROR(__xludf.DUMMYFUNCTION("""COMPUTED_VALUE"""),2036.0)</f>
        <v>2036</v>
      </c>
      <c r="E12466">
        <f>IFERROR(__xludf.DUMMYFUNCTION("""COMPUTED_VALUE"""),8236342.0)</f>
        <v>8236342</v>
      </c>
    </row>
    <row r="12467">
      <c r="A12467" t="str">
        <f t="shared" si="1"/>
        <v>pry#2037</v>
      </c>
      <c r="B12467" t="str">
        <f>IFERROR(__xludf.DUMMYFUNCTION("""COMPUTED_VALUE"""),"pry")</f>
        <v>pry</v>
      </c>
      <c r="C12467" t="str">
        <f>IFERROR(__xludf.DUMMYFUNCTION("""COMPUTED_VALUE"""),"Paraguay")</f>
        <v>Paraguay</v>
      </c>
      <c r="D12467">
        <f>IFERROR(__xludf.DUMMYFUNCTION("""COMPUTED_VALUE"""),2037.0)</f>
        <v>2037</v>
      </c>
      <c r="E12467">
        <f>IFERROR(__xludf.DUMMYFUNCTION("""COMPUTED_VALUE"""),8295089.0)</f>
        <v>8295089</v>
      </c>
    </row>
    <row r="12468">
      <c r="A12468" t="str">
        <f t="shared" si="1"/>
        <v>pry#2038</v>
      </c>
      <c r="B12468" t="str">
        <f>IFERROR(__xludf.DUMMYFUNCTION("""COMPUTED_VALUE"""),"pry")</f>
        <v>pry</v>
      </c>
      <c r="C12468" t="str">
        <f>IFERROR(__xludf.DUMMYFUNCTION("""COMPUTED_VALUE"""),"Paraguay")</f>
        <v>Paraguay</v>
      </c>
      <c r="D12468">
        <f>IFERROR(__xludf.DUMMYFUNCTION("""COMPUTED_VALUE"""),2038.0)</f>
        <v>2038</v>
      </c>
      <c r="E12468">
        <f>IFERROR(__xludf.DUMMYFUNCTION("""COMPUTED_VALUE"""),8351975.0)</f>
        <v>8351975</v>
      </c>
    </row>
    <row r="12469">
      <c r="A12469" t="str">
        <f t="shared" si="1"/>
        <v>pry#2039</v>
      </c>
      <c r="B12469" t="str">
        <f>IFERROR(__xludf.DUMMYFUNCTION("""COMPUTED_VALUE"""),"pry")</f>
        <v>pry</v>
      </c>
      <c r="C12469" t="str">
        <f>IFERROR(__xludf.DUMMYFUNCTION("""COMPUTED_VALUE"""),"Paraguay")</f>
        <v>Paraguay</v>
      </c>
      <c r="D12469">
        <f>IFERROR(__xludf.DUMMYFUNCTION("""COMPUTED_VALUE"""),2039.0)</f>
        <v>2039</v>
      </c>
      <c r="E12469">
        <f>IFERROR(__xludf.DUMMYFUNCTION("""COMPUTED_VALUE"""),8407032.0)</f>
        <v>8407032</v>
      </c>
    </row>
    <row r="12470">
      <c r="A12470" t="str">
        <f t="shared" si="1"/>
        <v>pry#2040</v>
      </c>
      <c r="B12470" t="str">
        <f>IFERROR(__xludf.DUMMYFUNCTION("""COMPUTED_VALUE"""),"pry")</f>
        <v>pry</v>
      </c>
      <c r="C12470" t="str">
        <f>IFERROR(__xludf.DUMMYFUNCTION("""COMPUTED_VALUE"""),"Paraguay")</f>
        <v>Paraguay</v>
      </c>
      <c r="D12470">
        <f>IFERROR(__xludf.DUMMYFUNCTION("""COMPUTED_VALUE"""),2040.0)</f>
        <v>2040</v>
      </c>
      <c r="E12470">
        <f>IFERROR(__xludf.DUMMYFUNCTION("""COMPUTED_VALUE"""),8460299.0)</f>
        <v>8460299</v>
      </c>
    </row>
    <row r="12471">
      <c r="A12471" t="str">
        <f t="shared" si="1"/>
        <v>per#1950</v>
      </c>
      <c r="B12471" t="str">
        <f>IFERROR(__xludf.DUMMYFUNCTION("""COMPUTED_VALUE"""),"per")</f>
        <v>per</v>
      </c>
      <c r="C12471" t="str">
        <f>IFERROR(__xludf.DUMMYFUNCTION("""COMPUTED_VALUE"""),"Peru")</f>
        <v>Peru</v>
      </c>
      <c r="D12471">
        <f>IFERROR(__xludf.DUMMYFUNCTION("""COMPUTED_VALUE"""),1950.0)</f>
        <v>1950</v>
      </c>
      <c r="E12471">
        <f>IFERROR(__xludf.DUMMYFUNCTION("""COMPUTED_VALUE"""),7727734.0)</f>
        <v>7727734</v>
      </c>
    </row>
    <row r="12472">
      <c r="A12472" t="str">
        <f t="shared" si="1"/>
        <v>per#1951</v>
      </c>
      <c r="B12472" t="str">
        <f>IFERROR(__xludf.DUMMYFUNCTION("""COMPUTED_VALUE"""),"per")</f>
        <v>per</v>
      </c>
      <c r="C12472" t="str">
        <f>IFERROR(__xludf.DUMMYFUNCTION("""COMPUTED_VALUE"""),"Peru")</f>
        <v>Peru</v>
      </c>
      <c r="D12472">
        <f>IFERROR(__xludf.DUMMYFUNCTION("""COMPUTED_VALUE"""),1951.0)</f>
        <v>1951</v>
      </c>
      <c r="E12472">
        <f>IFERROR(__xludf.DUMMYFUNCTION("""COMPUTED_VALUE"""),7924210.0)</f>
        <v>7924210</v>
      </c>
    </row>
    <row r="12473">
      <c r="A12473" t="str">
        <f t="shared" si="1"/>
        <v>per#1952</v>
      </c>
      <c r="B12473" t="str">
        <f>IFERROR(__xludf.DUMMYFUNCTION("""COMPUTED_VALUE"""),"per")</f>
        <v>per</v>
      </c>
      <c r="C12473" t="str">
        <f>IFERROR(__xludf.DUMMYFUNCTION("""COMPUTED_VALUE"""),"Peru")</f>
        <v>Peru</v>
      </c>
      <c r="D12473">
        <f>IFERROR(__xludf.DUMMYFUNCTION("""COMPUTED_VALUE"""),1952.0)</f>
        <v>1952</v>
      </c>
      <c r="E12473">
        <f>IFERROR(__xludf.DUMMYFUNCTION("""COMPUTED_VALUE"""),8128523.0)</f>
        <v>8128523</v>
      </c>
    </row>
    <row r="12474">
      <c r="A12474" t="str">
        <f t="shared" si="1"/>
        <v>per#1953</v>
      </c>
      <c r="B12474" t="str">
        <f>IFERROR(__xludf.DUMMYFUNCTION("""COMPUTED_VALUE"""),"per")</f>
        <v>per</v>
      </c>
      <c r="C12474" t="str">
        <f>IFERROR(__xludf.DUMMYFUNCTION("""COMPUTED_VALUE"""),"Peru")</f>
        <v>Peru</v>
      </c>
      <c r="D12474">
        <f>IFERROR(__xludf.DUMMYFUNCTION("""COMPUTED_VALUE"""),1953.0)</f>
        <v>1953</v>
      </c>
      <c r="E12474">
        <f>IFERROR(__xludf.DUMMYFUNCTION("""COMPUTED_VALUE"""),8340377.0)</f>
        <v>8340377</v>
      </c>
    </row>
    <row r="12475">
      <c r="A12475" t="str">
        <f t="shared" si="1"/>
        <v>per#1954</v>
      </c>
      <c r="B12475" t="str">
        <f>IFERROR(__xludf.DUMMYFUNCTION("""COMPUTED_VALUE"""),"per")</f>
        <v>per</v>
      </c>
      <c r="C12475" t="str">
        <f>IFERROR(__xludf.DUMMYFUNCTION("""COMPUTED_VALUE"""),"Peru")</f>
        <v>Peru</v>
      </c>
      <c r="D12475">
        <f>IFERROR(__xludf.DUMMYFUNCTION("""COMPUTED_VALUE"""),1954.0)</f>
        <v>1954</v>
      </c>
      <c r="E12475">
        <f>IFERROR(__xludf.DUMMYFUNCTION("""COMPUTED_VALUE"""),8559718.0)</f>
        <v>8559718</v>
      </c>
    </row>
    <row r="12476">
      <c r="A12476" t="str">
        <f t="shared" si="1"/>
        <v>per#1955</v>
      </c>
      <c r="B12476" t="str">
        <f>IFERROR(__xludf.DUMMYFUNCTION("""COMPUTED_VALUE"""),"per")</f>
        <v>per</v>
      </c>
      <c r="C12476" t="str">
        <f>IFERROR(__xludf.DUMMYFUNCTION("""COMPUTED_VALUE"""),"Peru")</f>
        <v>Peru</v>
      </c>
      <c r="D12476">
        <f>IFERROR(__xludf.DUMMYFUNCTION("""COMPUTED_VALUE"""),1955.0)</f>
        <v>1955</v>
      </c>
      <c r="E12476">
        <f>IFERROR(__xludf.DUMMYFUNCTION("""COMPUTED_VALUE"""),8786757.0)</f>
        <v>8786757</v>
      </c>
    </row>
    <row r="12477">
      <c r="A12477" t="str">
        <f t="shared" si="1"/>
        <v>per#1956</v>
      </c>
      <c r="B12477" t="str">
        <f>IFERROR(__xludf.DUMMYFUNCTION("""COMPUTED_VALUE"""),"per")</f>
        <v>per</v>
      </c>
      <c r="C12477" t="str">
        <f>IFERROR(__xludf.DUMMYFUNCTION("""COMPUTED_VALUE"""),"Peru")</f>
        <v>Peru</v>
      </c>
      <c r="D12477">
        <f>IFERROR(__xludf.DUMMYFUNCTION("""COMPUTED_VALUE"""),1956.0)</f>
        <v>1956</v>
      </c>
      <c r="E12477">
        <f>IFERROR(__xludf.DUMMYFUNCTION("""COMPUTED_VALUE"""),9021961.0)</f>
        <v>9021961</v>
      </c>
    </row>
    <row r="12478">
      <c r="A12478" t="str">
        <f t="shared" si="1"/>
        <v>per#1957</v>
      </c>
      <c r="B12478" t="str">
        <f>IFERROR(__xludf.DUMMYFUNCTION("""COMPUTED_VALUE"""),"per")</f>
        <v>per</v>
      </c>
      <c r="C12478" t="str">
        <f>IFERROR(__xludf.DUMMYFUNCTION("""COMPUTED_VALUE"""),"Peru")</f>
        <v>Peru</v>
      </c>
      <c r="D12478">
        <f>IFERROR(__xludf.DUMMYFUNCTION("""COMPUTED_VALUE"""),1957.0)</f>
        <v>1957</v>
      </c>
      <c r="E12478">
        <f>IFERROR(__xludf.DUMMYFUNCTION("""COMPUTED_VALUE"""),9266079.0)</f>
        <v>9266079</v>
      </c>
    </row>
    <row r="12479">
      <c r="A12479" t="str">
        <f t="shared" si="1"/>
        <v>per#1958</v>
      </c>
      <c r="B12479" t="str">
        <f>IFERROR(__xludf.DUMMYFUNCTION("""COMPUTED_VALUE"""),"per")</f>
        <v>per</v>
      </c>
      <c r="C12479" t="str">
        <f>IFERROR(__xludf.DUMMYFUNCTION("""COMPUTED_VALUE"""),"Peru")</f>
        <v>Peru</v>
      </c>
      <c r="D12479">
        <f>IFERROR(__xludf.DUMMYFUNCTION("""COMPUTED_VALUE"""),1958.0)</f>
        <v>1958</v>
      </c>
      <c r="E12479">
        <f>IFERROR(__xludf.DUMMYFUNCTION("""COMPUTED_VALUE"""),9520047.0)</f>
        <v>9520047</v>
      </c>
    </row>
    <row r="12480">
      <c r="A12480" t="str">
        <f t="shared" si="1"/>
        <v>per#1959</v>
      </c>
      <c r="B12480" t="str">
        <f>IFERROR(__xludf.DUMMYFUNCTION("""COMPUTED_VALUE"""),"per")</f>
        <v>per</v>
      </c>
      <c r="C12480" t="str">
        <f>IFERROR(__xludf.DUMMYFUNCTION("""COMPUTED_VALUE"""),"Peru")</f>
        <v>Peru</v>
      </c>
      <c r="D12480">
        <f>IFERROR(__xludf.DUMMYFUNCTION("""COMPUTED_VALUE"""),1959.0)</f>
        <v>1959</v>
      </c>
      <c r="E12480">
        <f>IFERROR(__xludf.DUMMYFUNCTION("""COMPUTED_VALUE"""),9784910.0)</f>
        <v>9784910</v>
      </c>
    </row>
    <row r="12481">
      <c r="A12481" t="str">
        <f t="shared" si="1"/>
        <v>per#1960</v>
      </c>
      <c r="B12481" t="str">
        <f>IFERROR(__xludf.DUMMYFUNCTION("""COMPUTED_VALUE"""),"per")</f>
        <v>per</v>
      </c>
      <c r="C12481" t="str">
        <f>IFERROR(__xludf.DUMMYFUNCTION("""COMPUTED_VALUE"""),"Peru")</f>
        <v>Peru</v>
      </c>
      <c r="D12481">
        <f>IFERROR(__xludf.DUMMYFUNCTION("""COMPUTED_VALUE"""),1960.0)</f>
        <v>1960</v>
      </c>
      <c r="E12481">
        <f>IFERROR(__xludf.DUMMYFUNCTION("""COMPUTED_VALUE"""),1.0061515E7)</f>
        <v>10061515</v>
      </c>
    </row>
    <row r="12482">
      <c r="A12482" t="str">
        <f t="shared" si="1"/>
        <v>per#1961</v>
      </c>
      <c r="B12482" t="str">
        <f>IFERROR(__xludf.DUMMYFUNCTION("""COMPUTED_VALUE"""),"per")</f>
        <v>per</v>
      </c>
      <c r="C12482" t="str">
        <f>IFERROR(__xludf.DUMMYFUNCTION("""COMPUTED_VALUE"""),"Peru")</f>
        <v>Peru</v>
      </c>
      <c r="D12482">
        <f>IFERROR(__xludf.DUMMYFUNCTION("""COMPUTED_VALUE"""),1961.0)</f>
        <v>1961</v>
      </c>
      <c r="E12482">
        <f>IFERROR(__xludf.DUMMYFUNCTION("""COMPUTED_VALUE"""),1.0350242E7)</f>
        <v>10350242</v>
      </c>
    </row>
    <row r="12483">
      <c r="A12483" t="str">
        <f t="shared" si="1"/>
        <v>per#1962</v>
      </c>
      <c r="B12483" t="str">
        <f>IFERROR(__xludf.DUMMYFUNCTION("""COMPUTED_VALUE"""),"per")</f>
        <v>per</v>
      </c>
      <c r="C12483" t="str">
        <f>IFERROR(__xludf.DUMMYFUNCTION("""COMPUTED_VALUE"""),"Peru")</f>
        <v>Peru</v>
      </c>
      <c r="D12483">
        <f>IFERROR(__xludf.DUMMYFUNCTION("""COMPUTED_VALUE"""),1962.0)</f>
        <v>1962</v>
      </c>
      <c r="E12483">
        <f>IFERROR(__xludf.DUMMYFUNCTION("""COMPUTED_VALUE"""),1.0650667E7)</f>
        <v>10650667</v>
      </c>
    </row>
    <row r="12484">
      <c r="A12484" t="str">
        <f t="shared" si="1"/>
        <v>per#1963</v>
      </c>
      <c r="B12484" t="str">
        <f>IFERROR(__xludf.DUMMYFUNCTION("""COMPUTED_VALUE"""),"per")</f>
        <v>per</v>
      </c>
      <c r="C12484" t="str">
        <f>IFERROR(__xludf.DUMMYFUNCTION("""COMPUTED_VALUE"""),"Peru")</f>
        <v>Peru</v>
      </c>
      <c r="D12484">
        <f>IFERROR(__xludf.DUMMYFUNCTION("""COMPUTED_VALUE"""),1963.0)</f>
        <v>1963</v>
      </c>
      <c r="E12484">
        <f>IFERROR(__xludf.DUMMYFUNCTION("""COMPUTED_VALUE"""),1.096154E7)</f>
        <v>10961540</v>
      </c>
    </row>
    <row r="12485">
      <c r="A12485" t="str">
        <f t="shared" si="1"/>
        <v>per#1964</v>
      </c>
      <c r="B12485" t="str">
        <f>IFERROR(__xludf.DUMMYFUNCTION("""COMPUTED_VALUE"""),"per")</f>
        <v>per</v>
      </c>
      <c r="C12485" t="str">
        <f>IFERROR(__xludf.DUMMYFUNCTION("""COMPUTED_VALUE"""),"Peru")</f>
        <v>Peru</v>
      </c>
      <c r="D12485">
        <f>IFERROR(__xludf.DUMMYFUNCTION("""COMPUTED_VALUE"""),1964.0)</f>
        <v>1964</v>
      </c>
      <c r="E12485">
        <f>IFERROR(__xludf.DUMMYFUNCTION("""COMPUTED_VALUE"""),1.1281015E7)</f>
        <v>11281015</v>
      </c>
    </row>
    <row r="12486">
      <c r="A12486" t="str">
        <f t="shared" si="1"/>
        <v>per#1965</v>
      </c>
      <c r="B12486" t="str">
        <f>IFERROR(__xludf.DUMMYFUNCTION("""COMPUTED_VALUE"""),"per")</f>
        <v>per</v>
      </c>
      <c r="C12486" t="str">
        <f>IFERROR(__xludf.DUMMYFUNCTION("""COMPUTED_VALUE"""),"Peru")</f>
        <v>Peru</v>
      </c>
      <c r="D12486">
        <f>IFERROR(__xludf.DUMMYFUNCTION("""COMPUTED_VALUE"""),1965.0)</f>
        <v>1965</v>
      </c>
      <c r="E12486">
        <f>IFERROR(__xludf.DUMMYFUNCTION("""COMPUTED_VALUE"""),1.1607681E7)</f>
        <v>11607681</v>
      </c>
    </row>
    <row r="12487">
      <c r="A12487" t="str">
        <f t="shared" si="1"/>
        <v>per#1966</v>
      </c>
      <c r="B12487" t="str">
        <f>IFERROR(__xludf.DUMMYFUNCTION("""COMPUTED_VALUE"""),"per")</f>
        <v>per</v>
      </c>
      <c r="C12487" t="str">
        <f>IFERROR(__xludf.DUMMYFUNCTION("""COMPUTED_VALUE"""),"Peru")</f>
        <v>Peru</v>
      </c>
      <c r="D12487">
        <f>IFERROR(__xludf.DUMMYFUNCTION("""COMPUTED_VALUE"""),1966.0)</f>
        <v>1966</v>
      </c>
      <c r="E12487">
        <f>IFERROR(__xludf.DUMMYFUNCTION("""COMPUTED_VALUE"""),1.1941325E7)</f>
        <v>11941325</v>
      </c>
    </row>
    <row r="12488">
      <c r="A12488" t="str">
        <f t="shared" si="1"/>
        <v>per#1967</v>
      </c>
      <c r="B12488" t="str">
        <f>IFERROR(__xludf.DUMMYFUNCTION("""COMPUTED_VALUE"""),"per")</f>
        <v>per</v>
      </c>
      <c r="C12488" t="str">
        <f>IFERROR(__xludf.DUMMYFUNCTION("""COMPUTED_VALUE"""),"Peru")</f>
        <v>Peru</v>
      </c>
      <c r="D12488">
        <f>IFERROR(__xludf.DUMMYFUNCTION("""COMPUTED_VALUE"""),1967.0)</f>
        <v>1967</v>
      </c>
      <c r="E12488">
        <f>IFERROR(__xludf.DUMMYFUNCTION("""COMPUTED_VALUE"""),1.2282082E7)</f>
        <v>12282082</v>
      </c>
    </row>
    <row r="12489">
      <c r="A12489" t="str">
        <f t="shared" si="1"/>
        <v>per#1968</v>
      </c>
      <c r="B12489" t="str">
        <f>IFERROR(__xludf.DUMMYFUNCTION("""COMPUTED_VALUE"""),"per")</f>
        <v>per</v>
      </c>
      <c r="C12489" t="str">
        <f>IFERROR(__xludf.DUMMYFUNCTION("""COMPUTED_VALUE"""),"Peru")</f>
        <v>Peru</v>
      </c>
      <c r="D12489">
        <f>IFERROR(__xludf.DUMMYFUNCTION("""COMPUTED_VALUE"""),1968.0)</f>
        <v>1968</v>
      </c>
      <c r="E12489">
        <f>IFERROR(__xludf.DUMMYFUNCTION("""COMPUTED_VALUE"""),1.2629329E7)</f>
        <v>12629329</v>
      </c>
    </row>
    <row r="12490">
      <c r="A12490" t="str">
        <f t="shared" si="1"/>
        <v>per#1969</v>
      </c>
      <c r="B12490" t="str">
        <f>IFERROR(__xludf.DUMMYFUNCTION("""COMPUTED_VALUE"""),"per")</f>
        <v>per</v>
      </c>
      <c r="C12490" t="str">
        <f>IFERROR(__xludf.DUMMYFUNCTION("""COMPUTED_VALUE"""),"Peru")</f>
        <v>Peru</v>
      </c>
      <c r="D12490">
        <f>IFERROR(__xludf.DUMMYFUNCTION("""COMPUTED_VALUE"""),1969.0)</f>
        <v>1969</v>
      </c>
      <c r="E12490">
        <f>IFERROR(__xludf.DUMMYFUNCTION("""COMPUTED_VALUE"""),1.2982449E7)</f>
        <v>12982449</v>
      </c>
    </row>
    <row r="12491">
      <c r="A12491" t="str">
        <f t="shared" si="1"/>
        <v>per#1970</v>
      </c>
      <c r="B12491" t="str">
        <f>IFERROR(__xludf.DUMMYFUNCTION("""COMPUTED_VALUE"""),"per")</f>
        <v>per</v>
      </c>
      <c r="C12491" t="str">
        <f>IFERROR(__xludf.DUMMYFUNCTION("""COMPUTED_VALUE"""),"Peru")</f>
        <v>Peru</v>
      </c>
      <c r="D12491">
        <f>IFERROR(__xludf.DUMMYFUNCTION("""COMPUTED_VALUE"""),1970.0)</f>
        <v>1970</v>
      </c>
      <c r="E12491">
        <f>IFERROR(__xludf.DUMMYFUNCTION("""COMPUTED_VALUE"""),1.3341069E7)</f>
        <v>13341069</v>
      </c>
    </row>
    <row r="12492">
      <c r="A12492" t="str">
        <f t="shared" si="1"/>
        <v>per#1971</v>
      </c>
      <c r="B12492" t="str">
        <f>IFERROR(__xludf.DUMMYFUNCTION("""COMPUTED_VALUE"""),"per")</f>
        <v>per</v>
      </c>
      <c r="C12492" t="str">
        <f>IFERROR(__xludf.DUMMYFUNCTION("""COMPUTED_VALUE"""),"Peru")</f>
        <v>Peru</v>
      </c>
      <c r="D12492">
        <f>IFERROR(__xludf.DUMMYFUNCTION("""COMPUTED_VALUE"""),1971.0)</f>
        <v>1971</v>
      </c>
      <c r="E12492">
        <f>IFERROR(__xludf.DUMMYFUNCTION("""COMPUTED_VALUE"""),1.3704335E7)</f>
        <v>13704335</v>
      </c>
    </row>
    <row r="12493">
      <c r="A12493" t="str">
        <f t="shared" si="1"/>
        <v>per#1972</v>
      </c>
      <c r="B12493" t="str">
        <f>IFERROR(__xludf.DUMMYFUNCTION("""COMPUTED_VALUE"""),"per")</f>
        <v>per</v>
      </c>
      <c r="C12493" t="str">
        <f>IFERROR(__xludf.DUMMYFUNCTION("""COMPUTED_VALUE"""),"Peru")</f>
        <v>Peru</v>
      </c>
      <c r="D12493">
        <f>IFERROR(__xludf.DUMMYFUNCTION("""COMPUTED_VALUE"""),1972.0)</f>
        <v>1972</v>
      </c>
      <c r="E12493">
        <f>IFERROR(__xludf.DUMMYFUNCTION("""COMPUTED_VALUE"""),1.4072476E7)</f>
        <v>14072476</v>
      </c>
    </row>
    <row r="12494">
      <c r="A12494" t="str">
        <f t="shared" si="1"/>
        <v>per#1973</v>
      </c>
      <c r="B12494" t="str">
        <f>IFERROR(__xludf.DUMMYFUNCTION("""COMPUTED_VALUE"""),"per")</f>
        <v>per</v>
      </c>
      <c r="C12494" t="str">
        <f>IFERROR(__xludf.DUMMYFUNCTION("""COMPUTED_VALUE"""),"Peru")</f>
        <v>Peru</v>
      </c>
      <c r="D12494">
        <f>IFERROR(__xludf.DUMMYFUNCTION("""COMPUTED_VALUE"""),1973.0)</f>
        <v>1973</v>
      </c>
      <c r="E12494">
        <f>IFERROR(__xludf.DUMMYFUNCTION("""COMPUTED_VALUE"""),1.4447648E7)</f>
        <v>14447648</v>
      </c>
    </row>
    <row r="12495">
      <c r="A12495" t="str">
        <f t="shared" si="1"/>
        <v>per#1974</v>
      </c>
      <c r="B12495" t="str">
        <f>IFERROR(__xludf.DUMMYFUNCTION("""COMPUTED_VALUE"""),"per")</f>
        <v>per</v>
      </c>
      <c r="C12495" t="str">
        <f>IFERROR(__xludf.DUMMYFUNCTION("""COMPUTED_VALUE"""),"Peru")</f>
        <v>Peru</v>
      </c>
      <c r="D12495">
        <f>IFERROR(__xludf.DUMMYFUNCTION("""COMPUTED_VALUE"""),1974.0)</f>
        <v>1974</v>
      </c>
      <c r="E12495">
        <f>IFERROR(__xludf.DUMMYFUNCTION("""COMPUTED_VALUE"""),1.4832841E7)</f>
        <v>14832841</v>
      </c>
    </row>
    <row r="12496">
      <c r="A12496" t="str">
        <f t="shared" si="1"/>
        <v>per#1975</v>
      </c>
      <c r="B12496" t="str">
        <f>IFERROR(__xludf.DUMMYFUNCTION("""COMPUTED_VALUE"""),"per")</f>
        <v>per</v>
      </c>
      <c r="C12496" t="str">
        <f>IFERROR(__xludf.DUMMYFUNCTION("""COMPUTED_VALUE"""),"Peru")</f>
        <v>Peru</v>
      </c>
      <c r="D12496">
        <f>IFERROR(__xludf.DUMMYFUNCTION("""COMPUTED_VALUE"""),1975.0)</f>
        <v>1975</v>
      </c>
      <c r="E12496">
        <f>IFERROR(__xludf.DUMMYFUNCTION("""COMPUTED_VALUE"""),1.5229947E7)</f>
        <v>15229947</v>
      </c>
    </row>
    <row r="12497">
      <c r="A12497" t="str">
        <f t="shared" si="1"/>
        <v>per#1976</v>
      </c>
      <c r="B12497" t="str">
        <f>IFERROR(__xludf.DUMMYFUNCTION("""COMPUTED_VALUE"""),"per")</f>
        <v>per</v>
      </c>
      <c r="C12497" t="str">
        <f>IFERROR(__xludf.DUMMYFUNCTION("""COMPUTED_VALUE"""),"Peru")</f>
        <v>Peru</v>
      </c>
      <c r="D12497">
        <f>IFERROR(__xludf.DUMMYFUNCTION("""COMPUTED_VALUE"""),1976.0)</f>
        <v>1976</v>
      </c>
      <c r="E12497">
        <f>IFERROR(__xludf.DUMMYFUNCTION("""COMPUTED_VALUE"""),1.5639901E7)</f>
        <v>15639901</v>
      </c>
    </row>
    <row r="12498">
      <c r="A12498" t="str">
        <f t="shared" si="1"/>
        <v>per#1977</v>
      </c>
      <c r="B12498" t="str">
        <f>IFERROR(__xludf.DUMMYFUNCTION("""COMPUTED_VALUE"""),"per")</f>
        <v>per</v>
      </c>
      <c r="C12498" t="str">
        <f>IFERROR(__xludf.DUMMYFUNCTION("""COMPUTED_VALUE"""),"Peru")</f>
        <v>Peru</v>
      </c>
      <c r="D12498">
        <f>IFERROR(__xludf.DUMMYFUNCTION("""COMPUTED_VALUE"""),1977.0)</f>
        <v>1977</v>
      </c>
      <c r="E12498">
        <f>IFERROR(__xludf.DUMMYFUNCTION("""COMPUTED_VALUE"""),1.6061323E7)</f>
        <v>16061323</v>
      </c>
    </row>
    <row r="12499">
      <c r="A12499" t="str">
        <f t="shared" si="1"/>
        <v>per#1978</v>
      </c>
      <c r="B12499" t="str">
        <f>IFERROR(__xludf.DUMMYFUNCTION("""COMPUTED_VALUE"""),"per")</f>
        <v>per</v>
      </c>
      <c r="C12499" t="str">
        <f>IFERROR(__xludf.DUMMYFUNCTION("""COMPUTED_VALUE"""),"Peru")</f>
        <v>Peru</v>
      </c>
      <c r="D12499">
        <f>IFERROR(__xludf.DUMMYFUNCTION("""COMPUTED_VALUE"""),1978.0)</f>
        <v>1978</v>
      </c>
      <c r="E12499">
        <f>IFERROR(__xludf.DUMMYFUNCTION("""COMPUTED_VALUE"""),1.6491083E7)</f>
        <v>16491083</v>
      </c>
    </row>
    <row r="12500">
      <c r="A12500" t="str">
        <f t="shared" si="1"/>
        <v>per#1979</v>
      </c>
      <c r="B12500" t="str">
        <f>IFERROR(__xludf.DUMMYFUNCTION("""COMPUTED_VALUE"""),"per")</f>
        <v>per</v>
      </c>
      <c r="C12500" t="str">
        <f>IFERROR(__xludf.DUMMYFUNCTION("""COMPUTED_VALUE"""),"Peru")</f>
        <v>Peru</v>
      </c>
      <c r="D12500">
        <f>IFERROR(__xludf.DUMMYFUNCTION("""COMPUTED_VALUE"""),1979.0)</f>
        <v>1979</v>
      </c>
      <c r="E12500">
        <f>IFERROR(__xludf.DUMMYFUNCTION("""COMPUTED_VALUE"""),1.6924753E7)</f>
        <v>16924753</v>
      </c>
    </row>
    <row r="12501">
      <c r="A12501" t="str">
        <f t="shared" si="1"/>
        <v>per#1980</v>
      </c>
      <c r="B12501" t="str">
        <f>IFERROR(__xludf.DUMMYFUNCTION("""COMPUTED_VALUE"""),"per")</f>
        <v>per</v>
      </c>
      <c r="C12501" t="str">
        <f>IFERROR(__xludf.DUMMYFUNCTION("""COMPUTED_VALUE"""),"Peru")</f>
        <v>Peru</v>
      </c>
      <c r="D12501">
        <f>IFERROR(__xludf.DUMMYFUNCTION("""COMPUTED_VALUE"""),1980.0)</f>
        <v>1980</v>
      </c>
      <c r="E12501">
        <f>IFERROR(__xludf.DUMMYFUNCTION("""COMPUTED_VALUE"""),1.735912E7)</f>
        <v>17359120</v>
      </c>
    </row>
    <row r="12502">
      <c r="A12502" t="str">
        <f t="shared" si="1"/>
        <v>per#1981</v>
      </c>
      <c r="B12502" t="str">
        <f>IFERROR(__xludf.DUMMYFUNCTION("""COMPUTED_VALUE"""),"per")</f>
        <v>per</v>
      </c>
      <c r="C12502" t="str">
        <f>IFERROR(__xludf.DUMMYFUNCTION("""COMPUTED_VALUE"""),"Peru")</f>
        <v>Peru</v>
      </c>
      <c r="D12502">
        <f>IFERROR(__xludf.DUMMYFUNCTION("""COMPUTED_VALUE"""),1981.0)</f>
        <v>1981</v>
      </c>
      <c r="E12502">
        <f>IFERROR(__xludf.DUMMYFUNCTION("""COMPUTED_VALUE"""),1.7792549E7)</f>
        <v>17792549</v>
      </c>
    </row>
    <row r="12503">
      <c r="A12503" t="str">
        <f t="shared" si="1"/>
        <v>per#1982</v>
      </c>
      <c r="B12503" t="str">
        <f>IFERROR(__xludf.DUMMYFUNCTION("""COMPUTED_VALUE"""),"per")</f>
        <v>per</v>
      </c>
      <c r="C12503" t="str">
        <f>IFERROR(__xludf.DUMMYFUNCTION("""COMPUTED_VALUE"""),"Peru")</f>
        <v>Peru</v>
      </c>
      <c r="D12503">
        <f>IFERROR(__xludf.DUMMYFUNCTION("""COMPUTED_VALUE"""),1982.0)</f>
        <v>1982</v>
      </c>
      <c r="E12503">
        <f>IFERROR(__xludf.DUMMYFUNCTION("""COMPUTED_VALUE"""),1.822573E7)</f>
        <v>18225730</v>
      </c>
    </row>
    <row r="12504">
      <c r="A12504" t="str">
        <f t="shared" si="1"/>
        <v>per#1983</v>
      </c>
      <c r="B12504" t="str">
        <f>IFERROR(__xludf.DUMMYFUNCTION("""COMPUTED_VALUE"""),"per")</f>
        <v>per</v>
      </c>
      <c r="C12504" t="str">
        <f>IFERROR(__xludf.DUMMYFUNCTION("""COMPUTED_VALUE"""),"Peru")</f>
        <v>Peru</v>
      </c>
      <c r="D12504">
        <f>IFERROR(__xludf.DUMMYFUNCTION("""COMPUTED_VALUE"""),1983.0)</f>
        <v>1983</v>
      </c>
      <c r="E12504">
        <f>IFERROR(__xludf.DUMMYFUNCTION("""COMPUTED_VALUE"""),1.8660439E7)</f>
        <v>18660439</v>
      </c>
    </row>
    <row r="12505">
      <c r="A12505" t="str">
        <f t="shared" si="1"/>
        <v>per#1984</v>
      </c>
      <c r="B12505" t="str">
        <f>IFERROR(__xludf.DUMMYFUNCTION("""COMPUTED_VALUE"""),"per")</f>
        <v>per</v>
      </c>
      <c r="C12505" t="str">
        <f>IFERROR(__xludf.DUMMYFUNCTION("""COMPUTED_VALUE"""),"Peru")</f>
        <v>Peru</v>
      </c>
      <c r="D12505">
        <f>IFERROR(__xludf.DUMMYFUNCTION("""COMPUTED_VALUE"""),1984.0)</f>
        <v>1984</v>
      </c>
      <c r="E12505">
        <f>IFERROR(__xludf.DUMMYFUNCTION("""COMPUTED_VALUE"""),1.9099584E7)</f>
        <v>19099584</v>
      </c>
    </row>
    <row r="12506">
      <c r="A12506" t="str">
        <f t="shared" si="1"/>
        <v>per#1985</v>
      </c>
      <c r="B12506" t="str">
        <f>IFERROR(__xludf.DUMMYFUNCTION("""COMPUTED_VALUE"""),"per")</f>
        <v>per</v>
      </c>
      <c r="C12506" t="str">
        <f>IFERROR(__xludf.DUMMYFUNCTION("""COMPUTED_VALUE"""),"Peru")</f>
        <v>Peru</v>
      </c>
      <c r="D12506">
        <f>IFERROR(__xludf.DUMMYFUNCTION("""COMPUTED_VALUE"""),1985.0)</f>
        <v>1985</v>
      </c>
      <c r="E12506">
        <f>IFERROR(__xludf.DUMMYFUNCTION("""COMPUTED_VALUE"""),1.9544956E7)</f>
        <v>19544956</v>
      </c>
    </row>
    <row r="12507">
      <c r="A12507" t="str">
        <f t="shared" si="1"/>
        <v>per#1986</v>
      </c>
      <c r="B12507" t="str">
        <f>IFERROR(__xludf.DUMMYFUNCTION("""COMPUTED_VALUE"""),"per")</f>
        <v>per</v>
      </c>
      <c r="C12507" t="str">
        <f>IFERROR(__xludf.DUMMYFUNCTION("""COMPUTED_VALUE"""),"Peru")</f>
        <v>Peru</v>
      </c>
      <c r="D12507">
        <f>IFERROR(__xludf.DUMMYFUNCTION("""COMPUTED_VALUE"""),1986.0)</f>
        <v>1986</v>
      </c>
      <c r="E12507">
        <f>IFERROR(__xludf.DUMMYFUNCTION("""COMPUTED_VALUE"""),1.9996253E7)</f>
        <v>19996253</v>
      </c>
    </row>
    <row r="12508">
      <c r="A12508" t="str">
        <f t="shared" si="1"/>
        <v>per#1987</v>
      </c>
      <c r="B12508" t="str">
        <f>IFERROR(__xludf.DUMMYFUNCTION("""COMPUTED_VALUE"""),"per")</f>
        <v>per</v>
      </c>
      <c r="C12508" t="str">
        <f>IFERROR(__xludf.DUMMYFUNCTION("""COMPUTED_VALUE"""),"Peru")</f>
        <v>Peru</v>
      </c>
      <c r="D12508">
        <f>IFERROR(__xludf.DUMMYFUNCTION("""COMPUTED_VALUE"""),1987.0)</f>
        <v>1987</v>
      </c>
      <c r="E12508">
        <f>IFERROR(__xludf.DUMMYFUNCTION("""COMPUTED_VALUE"""),2.045171E7)</f>
        <v>20451710</v>
      </c>
    </row>
    <row r="12509">
      <c r="A12509" t="str">
        <f t="shared" si="1"/>
        <v>per#1988</v>
      </c>
      <c r="B12509" t="str">
        <f>IFERROR(__xludf.DUMMYFUNCTION("""COMPUTED_VALUE"""),"per")</f>
        <v>per</v>
      </c>
      <c r="C12509" t="str">
        <f>IFERROR(__xludf.DUMMYFUNCTION("""COMPUTED_VALUE"""),"Peru")</f>
        <v>Peru</v>
      </c>
      <c r="D12509">
        <f>IFERROR(__xludf.DUMMYFUNCTION("""COMPUTED_VALUE"""),1988.0)</f>
        <v>1988</v>
      </c>
      <c r="E12509">
        <f>IFERROR(__xludf.DUMMYFUNCTION("""COMPUTED_VALUE"""),2.0909895E7)</f>
        <v>20909895</v>
      </c>
    </row>
    <row r="12510">
      <c r="A12510" t="str">
        <f t="shared" si="1"/>
        <v>per#1989</v>
      </c>
      <c r="B12510" t="str">
        <f>IFERROR(__xludf.DUMMYFUNCTION("""COMPUTED_VALUE"""),"per")</f>
        <v>per</v>
      </c>
      <c r="C12510" t="str">
        <f>IFERROR(__xludf.DUMMYFUNCTION("""COMPUTED_VALUE"""),"Peru")</f>
        <v>Peru</v>
      </c>
      <c r="D12510">
        <f>IFERROR(__xludf.DUMMYFUNCTION("""COMPUTED_VALUE"""),1989.0)</f>
        <v>1989</v>
      </c>
      <c r="E12510">
        <f>IFERROR(__xludf.DUMMYFUNCTION("""COMPUTED_VALUE"""),2.1368859E7)</f>
        <v>21368859</v>
      </c>
    </row>
    <row r="12511">
      <c r="A12511" t="str">
        <f t="shared" si="1"/>
        <v>per#1990</v>
      </c>
      <c r="B12511" t="str">
        <f>IFERROR(__xludf.DUMMYFUNCTION("""COMPUTED_VALUE"""),"per")</f>
        <v>per</v>
      </c>
      <c r="C12511" t="str">
        <f>IFERROR(__xludf.DUMMYFUNCTION("""COMPUTED_VALUE"""),"Peru")</f>
        <v>Peru</v>
      </c>
      <c r="D12511">
        <f>IFERROR(__xludf.DUMMYFUNCTION("""COMPUTED_VALUE"""),1990.0)</f>
        <v>1990</v>
      </c>
      <c r="E12511">
        <f>IFERROR(__xludf.DUMMYFUNCTION("""COMPUTED_VALUE"""),2.1826658E7)</f>
        <v>21826658</v>
      </c>
    </row>
    <row r="12512">
      <c r="A12512" t="str">
        <f t="shared" si="1"/>
        <v>per#1991</v>
      </c>
      <c r="B12512" t="str">
        <f>IFERROR(__xludf.DUMMYFUNCTION("""COMPUTED_VALUE"""),"per")</f>
        <v>per</v>
      </c>
      <c r="C12512" t="str">
        <f>IFERROR(__xludf.DUMMYFUNCTION("""COMPUTED_VALUE"""),"Peru")</f>
        <v>Peru</v>
      </c>
      <c r="D12512">
        <f>IFERROR(__xludf.DUMMYFUNCTION("""COMPUTED_VALUE"""),1991.0)</f>
        <v>1991</v>
      </c>
      <c r="E12512">
        <f>IFERROR(__xludf.DUMMYFUNCTION("""COMPUTED_VALUE"""),2.2283128E7)</f>
        <v>22283128</v>
      </c>
    </row>
    <row r="12513">
      <c r="A12513" t="str">
        <f t="shared" si="1"/>
        <v>per#1992</v>
      </c>
      <c r="B12513" t="str">
        <f>IFERROR(__xludf.DUMMYFUNCTION("""COMPUTED_VALUE"""),"per")</f>
        <v>per</v>
      </c>
      <c r="C12513" t="str">
        <f>IFERROR(__xludf.DUMMYFUNCTION("""COMPUTED_VALUE"""),"Peru")</f>
        <v>Peru</v>
      </c>
      <c r="D12513">
        <f>IFERROR(__xludf.DUMMYFUNCTION("""COMPUTED_VALUE"""),1992.0)</f>
        <v>1992</v>
      </c>
      <c r="E12513">
        <f>IFERROR(__xludf.DUMMYFUNCTION("""COMPUTED_VALUE"""),2.2737056E7)</f>
        <v>22737056</v>
      </c>
    </row>
    <row r="12514">
      <c r="A12514" t="str">
        <f t="shared" si="1"/>
        <v>per#1993</v>
      </c>
      <c r="B12514" t="str">
        <f>IFERROR(__xludf.DUMMYFUNCTION("""COMPUTED_VALUE"""),"per")</f>
        <v>per</v>
      </c>
      <c r="C12514" t="str">
        <f>IFERROR(__xludf.DUMMYFUNCTION("""COMPUTED_VALUE"""),"Peru")</f>
        <v>Peru</v>
      </c>
      <c r="D12514">
        <f>IFERROR(__xludf.DUMMYFUNCTION("""COMPUTED_VALUE"""),1993.0)</f>
        <v>1993</v>
      </c>
      <c r="E12514">
        <f>IFERROR(__xludf.DUMMYFUNCTION("""COMPUTED_VALUE"""),2.3184228E7)</f>
        <v>23184228</v>
      </c>
    </row>
    <row r="12515">
      <c r="A12515" t="str">
        <f t="shared" si="1"/>
        <v>per#1994</v>
      </c>
      <c r="B12515" t="str">
        <f>IFERROR(__xludf.DUMMYFUNCTION("""COMPUTED_VALUE"""),"per")</f>
        <v>per</v>
      </c>
      <c r="C12515" t="str">
        <f>IFERROR(__xludf.DUMMYFUNCTION("""COMPUTED_VALUE"""),"Peru")</f>
        <v>Peru</v>
      </c>
      <c r="D12515">
        <f>IFERROR(__xludf.DUMMYFUNCTION("""COMPUTED_VALUE"""),1994.0)</f>
        <v>1994</v>
      </c>
      <c r="E12515">
        <f>IFERROR(__xludf.DUMMYFUNCTION("""COMPUTED_VALUE"""),2.3619356E7)</f>
        <v>23619356</v>
      </c>
    </row>
    <row r="12516">
      <c r="A12516" t="str">
        <f t="shared" si="1"/>
        <v>per#1995</v>
      </c>
      <c r="B12516" t="str">
        <f>IFERROR(__xludf.DUMMYFUNCTION("""COMPUTED_VALUE"""),"per")</f>
        <v>per</v>
      </c>
      <c r="C12516" t="str">
        <f>IFERROR(__xludf.DUMMYFUNCTION("""COMPUTED_VALUE"""),"Peru")</f>
        <v>Peru</v>
      </c>
      <c r="D12516">
        <f>IFERROR(__xludf.DUMMYFUNCTION("""COMPUTED_VALUE"""),1995.0)</f>
        <v>1995</v>
      </c>
      <c r="E12516">
        <f>IFERROR(__xludf.DUMMYFUNCTION("""COMPUTED_VALUE"""),2.403876E7)</f>
        <v>24038760</v>
      </c>
    </row>
    <row r="12517">
      <c r="A12517" t="str">
        <f t="shared" si="1"/>
        <v>per#1996</v>
      </c>
      <c r="B12517" t="str">
        <f>IFERROR(__xludf.DUMMYFUNCTION("""COMPUTED_VALUE"""),"per")</f>
        <v>per</v>
      </c>
      <c r="C12517" t="str">
        <f>IFERROR(__xludf.DUMMYFUNCTION("""COMPUTED_VALUE"""),"Peru")</f>
        <v>Peru</v>
      </c>
      <c r="D12517">
        <f>IFERROR(__xludf.DUMMYFUNCTION("""COMPUTED_VALUE"""),1996.0)</f>
        <v>1996</v>
      </c>
      <c r="E12517">
        <f>IFERROR(__xludf.DUMMYFUNCTION("""COMPUTED_VALUE"""),2.4441074E7)</f>
        <v>24441074</v>
      </c>
    </row>
    <row r="12518">
      <c r="A12518" t="str">
        <f t="shared" si="1"/>
        <v>per#1997</v>
      </c>
      <c r="B12518" t="str">
        <f>IFERROR(__xludf.DUMMYFUNCTION("""COMPUTED_VALUE"""),"per")</f>
        <v>per</v>
      </c>
      <c r="C12518" t="str">
        <f>IFERROR(__xludf.DUMMYFUNCTION("""COMPUTED_VALUE"""),"Peru")</f>
        <v>Peru</v>
      </c>
      <c r="D12518">
        <f>IFERROR(__xludf.DUMMYFUNCTION("""COMPUTED_VALUE"""),1997.0)</f>
        <v>1997</v>
      </c>
      <c r="E12518">
        <f>IFERROR(__xludf.DUMMYFUNCTION("""COMPUTED_VALUE"""),2.4827406E7)</f>
        <v>24827406</v>
      </c>
    </row>
    <row r="12519">
      <c r="A12519" t="str">
        <f t="shared" si="1"/>
        <v>per#1998</v>
      </c>
      <c r="B12519" t="str">
        <f>IFERROR(__xludf.DUMMYFUNCTION("""COMPUTED_VALUE"""),"per")</f>
        <v>per</v>
      </c>
      <c r="C12519" t="str">
        <f>IFERROR(__xludf.DUMMYFUNCTION("""COMPUTED_VALUE"""),"Peru")</f>
        <v>Peru</v>
      </c>
      <c r="D12519">
        <f>IFERROR(__xludf.DUMMYFUNCTION("""COMPUTED_VALUE"""),1998.0)</f>
        <v>1998</v>
      </c>
      <c r="E12519">
        <f>IFERROR(__xludf.DUMMYFUNCTION("""COMPUTED_VALUE"""),2.5199748E7)</f>
        <v>25199748</v>
      </c>
    </row>
    <row r="12520">
      <c r="A12520" t="str">
        <f t="shared" si="1"/>
        <v>per#1999</v>
      </c>
      <c r="B12520" t="str">
        <f>IFERROR(__xludf.DUMMYFUNCTION("""COMPUTED_VALUE"""),"per")</f>
        <v>per</v>
      </c>
      <c r="C12520" t="str">
        <f>IFERROR(__xludf.DUMMYFUNCTION("""COMPUTED_VALUE"""),"Peru")</f>
        <v>Peru</v>
      </c>
      <c r="D12520">
        <f>IFERROR(__xludf.DUMMYFUNCTION("""COMPUTED_VALUE"""),1999.0)</f>
        <v>1999</v>
      </c>
      <c r="E12520">
        <f>IFERROR(__xludf.DUMMYFUNCTION("""COMPUTED_VALUE"""),2.5561299E7)</f>
        <v>25561299</v>
      </c>
    </row>
    <row r="12521">
      <c r="A12521" t="str">
        <f t="shared" si="1"/>
        <v>per#2000</v>
      </c>
      <c r="B12521" t="str">
        <f>IFERROR(__xludf.DUMMYFUNCTION("""COMPUTED_VALUE"""),"per")</f>
        <v>per</v>
      </c>
      <c r="C12521" t="str">
        <f>IFERROR(__xludf.DUMMYFUNCTION("""COMPUTED_VALUE"""),"Peru")</f>
        <v>Peru</v>
      </c>
      <c r="D12521">
        <f>IFERROR(__xludf.DUMMYFUNCTION("""COMPUTED_VALUE"""),2000.0)</f>
        <v>2000</v>
      </c>
      <c r="E12521">
        <f>IFERROR(__xludf.DUMMYFUNCTION("""COMPUTED_VALUE"""),2.5914879E7)</f>
        <v>25914879</v>
      </c>
    </row>
    <row r="12522">
      <c r="A12522" t="str">
        <f t="shared" si="1"/>
        <v>per#2001</v>
      </c>
      <c r="B12522" t="str">
        <f>IFERROR(__xludf.DUMMYFUNCTION("""COMPUTED_VALUE"""),"per")</f>
        <v>per</v>
      </c>
      <c r="C12522" t="str">
        <f>IFERROR(__xludf.DUMMYFUNCTION("""COMPUTED_VALUE"""),"Peru")</f>
        <v>Peru</v>
      </c>
      <c r="D12522">
        <f>IFERROR(__xludf.DUMMYFUNCTION("""COMPUTED_VALUE"""),2001.0)</f>
        <v>2001</v>
      </c>
      <c r="E12522">
        <f>IFERROR(__xludf.DUMMYFUNCTION("""COMPUTED_VALUE"""),2.6261363E7)</f>
        <v>26261363</v>
      </c>
    </row>
    <row r="12523">
      <c r="A12523" t="str">
        <f t="shared" si="1"/>
        <v>per#2002</v>
      </c>
      <c r="B12523" t="str">
        <f>IFERROR(__xludf.DUMMYFUNCTION("""COMPUTED_VALUE"""),"per")</f>
        <v>per</v>
      </c>
      <c r="C12523" t="str">
        <f>IFERROR(__xludf.DUMMYFUNCTION("""COMPUTED_VALUE"""),"Peru")</f>
        <v>Peru</v>
      </c>
      <c r="D12523">
        <f>IFERROR(__xludf.DUMMYFUNCTION("""COMPUTED_VALUE"""),2002.0)</f>
        <v>2002</v>
      </c>
      <c r="E12523">
        <f>IFERROR(__xludf.DUMMYFUNCTION("""COMPUTED_VALUE"""),2.6601467E7)</f>
        <v>26601467</v>
      </c>
    </row>
    <row r="12524">
      <c r="A12524" t="str">
        <f t="shared" si="1"/>
        <v>per#2003</v>
      </c>
      <c r="B12524" t="str">
        <f>IFERROR(__xludf.DUMMYFUNCTION("""COMPUTED_VALUE"""),"per")</f>
        <v>per</v>
      </c>
      <c r="C12524" t="str">
        <f>IFERROR(__xludf.DUMMYFUNCTION("""COMPUTED_VALUE"""),"Peru")</f>
        <v>Peru</v>
      </c>
      <c r="D12524">
        <f>IFERROR(__xludf.DUMMYFUNCTION("""COMPUTED_VALUE"""),2003.0)</f>
        <v>2003</v>
      </c>
      <c r="E12524">
        <f>IFERROR(__xludf.DUMMYFUNCTION("""COMPUTED_VALUE"""),2.6937738E7)</f>
        <v>26937738</v>
      </c>
    </row>
    <row r="12525">
      <c r="A12525" t="str">
        <f t="shared" si="1"/>
        <v>per#2004</v>
      </c>
      <c r="B12525" t="str">
        <f>IFERROR(__xludf.DUMMYFUNCTION("""COMPUTED_VALUE"""),"per")</f>
        <v>per</v>
      </c>
      <c r="C12525" t="str">
        <f>IFERROR(__xludf.DUMMYFUNCTION("""COMPUTED_VALUE"""),"Peru")</f>
        <v>Peru</v>
      </c>
      <c r="D12525">
        <f>IFERROR(__xludf.DUMMYFUNCTION("""COMPUTED_VALUE"""),2004.0)</f>
        <v>2004</v>
      </c>
      <c r="E12525">
        <f>IFERROR(__xludf.DUMMYFUNCTION("""COMPUTED_VALUE"""),2.7273194E7)</f>
        <v>27273194</v>
      </c>
    </row>
    <row r="12526">
      <c r="A12526" t="str">
        <f t="shared" si="1"/>
        <v>per#2005</v>
      </c>
      <c r="B12526" t="str">
        <f>IFERROR(__xludf.DUMMYFUNCTION("""COMPUTED_VALUE"""),"per")</f>
        <v>per</v>
      </c>
      <c r="C12526" t="str">
        <f>IFERROR(__xludf.DUMMYFUNCTION("""COMPUTED_VALUE"""),"Peru")</f>
        <v>Peru</v>
      </c>
      <c r="D12526">
        <f>IFERROR(__xludf.DUMMYFUNCTION("""COMPUTED_VALUE"""),2005.0)</f>
        <v>2005</v>
      </c>
      <c r="E12526">
        <f>IFERROR(__xludf.DUMMYFUNCTION("""COMPUTED_VALUE"""),2.761041E7)</f>
        <v>27610410</v>
      </c>
    </row>
    <row r="12527">
      <c r="A12527" t="str">
        <f t="shared" si="1"/>
        <v>per#2006</v>
      </c>
      <c r="B12527" t="str">
        <f>IFERROR(__xludf.DUMMYFUNCTION("""COMPUTED_VALUE"""),"per")</f>
        <v>per</v>
      </c>
      <c r="C12527" t="str">
        <f>IFERROR(__xludf.DUMMYFUNCTION("""COMPUTED_VALUE"""),"Peru")</f>
        <v>Peru</v>
      </c>
      <c r="D12527">
        <f>IFERROR(__xludf.DUMMYFUNCTION("""COMPUTED_VALUE"""),2006.0)</f>
        <v>2006</v>
      </c>
      <c r="E12527">
        <f>IFERROR(__xludf.DUMMYFUNCTION("""COMPUTED_VALUE"""),2.7949944E7)</f>
        <v>27949944</v>
      </c>
    </row>
    <row r="12528">
      <c r="A12528" t="str">
        <f t="shared" si="1"/>
        <v>per#2007</v>
      </c>
      <c r="B12528" t="str">
        <f>IFERROR(__xludf.DUMMYFUNCTION("""COMPUTED_VALUE"""),"per")</f>
        <v>per</v>
      </c>
      <c r="C12528" t="str">
        <f>IFERROR(__xludf.DUMMYFUNCTION("""COMPUTED_VALUE"""),"Peru")</f>
        <v>Peru</v>
      </c>
      <c r="D12528">
        <f>IFERROR(__xludf.DUMMYFUNCTION("""COMPUTED_VALUE"""),2007.0)</f>
        <v>2007</v>
      </c>
      <c r="E12528">
        <f>IFERROR(__xludf.DUMMYFUNCTION("""COMPUTED_VALUE"""),2.8292724E7)</f>
        <v>28292724</v>
      </c>
    </row>
    <row r="12529">
      <c r="A12529" t="str">
        <f t="shared" si="1"/>
        <v>per#2008</v>
      </c>
      <c r="B12529" t="str">
        <f>IFERROR(__xludf.DUMMYFUNCTION("""COMPUTED_VALUE"""),"per")</f>
        <v>per</v>
      </c>
      <c r="C12529" t="str">
        <f>IFERROR(__xludf.DUMMYFUNCTION("""COMPUTED_VALUE"""),"Peru")</f>
        <v>Peru</v>
      </c>
      <c r="D12529">
        <f>IFERROR(__xludf.DUMMYFUNCTION("""COMPUTED_VALUE"""),2008.0)</f>
        <v>2008</v>
      </c>
      <c r="E12529">
        <f>IFERROR(__xludf.DUMMYFUNCTION("""COMPUTED_VALUE"""),2.864198E7)</f>
        <v>28641980</v>
      </c>
    </row>
    <row r="12530">
      <c r="A12530" t="str">
        <f t="shared" si="1"/>
        <v>per#2009</v>
      </c>
      <c r="B12530" t="str">
        <f>IFERROR(__xludf.DUMMYFUNCTION("""COMPUTED_VALUE"""),"per")</f>
        <v>per</v>
      </c>
      <c r="C12530" t="str">
        <f>IFERROR(__xludf.DUMMYFUNCTION("""COMPUTED_VALUE"""),"Peru")</f>
        <v>Peru</v>
      </c>
      <c r="D12530">
        <f>IFERROR(__xludf.DUMMYFUNCTION("""COMPUTED_VALUE"""),2009.0)</f>
        <v>2009</v>
      </c>
      <c r="E12530">
        <f>IFERROR(__xludf.DUMMYFUNCTION("""COMPUTED_VALUE"""),2.9001507E7)</f>
        <v>29001507</v>
      </c>
    </row>
    <row r="12531">
      <c r="A12531" t="str">
        <f t="shared" si="1"/>
        <v>per#2010</v>
      </c>
      <c r="B12531" t="str">
        <f>IFERROR(__xludf.DUMMYFUNCTION("""COMPUTED_VALUE"""),"per")</f>
        <v>per</v>
      </c>
      <c r="C12531" t="str">
        <f>IFERROR(__xludf.DUMMYFUNCTION("""COMPUTED_VALUE"""),"Peru")</f>
        <v>Peru</v>
      </c>
      <c r="D12531">
        <f>IFERROR(__xludf.DUMMYFUNCTION("""COMPUTED_VALUE"""),2010.0)</f>
        <v>2010</v>
      </c>
      <c r="E12531">
        <f>IFERROR(__xludf.DUMMYFUNCTION("""COMPUTED_VALUE"""),2.9373646E7)</f>
        <v>29373646</v>
      </c>
    </row>
    <row r="12532">
      <c r="A12532" t="str">
        <f t="shared" si="1"/>
        <v>per#2011</v>
      </c>
      <c r="B12532" t="str">
        <f>IFERROR(__xludf.DUMMYFUNCTION("""COMPUTED_VALUE"""),"per")</f>
        <v>per</v>
      </c>
      <c r="C12532" t="str">
        <f>IFERROR(__xludf.DUMMYFUNCTION("""COMPUTED_VALUE"""),"Peru")</f>
        <v>Peru</v>
      </c>
      <c r="D12532">
        <f>IFERROR(__xludf.DUMMYFUNCTION("""COMPUTED_VALUE"""),2011.0)</f>
        <v>2011</v>
      </c>
      <c r="E12532">
        <f>IFERROR(__xludf.DUMMYFUNCTION("""COMPUTED_VALUE"""),2.9759989E7)</f>
        <v>29759989</v>
      </c>
    </row>
    <row r="12533">
      <c r="A12533" t="str">
        <f t="shared" si="1"/>
        <v>per#2012</v>
      </c>
      <c r="B12533" t="str">
        <f>IFERROR(__xludf.DUMMYFUNCTION("""COMPUTED_VALUE"""),"per")</f>
        <v>per</v>
      </c>
      <c r="C12533" t="str">
        <f>IFERROR(__xludf.DUMMYFUNCTION("""COMPUTED_VALUE"""),"Peru")</f>
        <v>Peru</v>
      </c>
      <c r="D12533">
        <f>IFERROR(__xludf.DUMMYFUNCTION("""COMPUTED_VALUE"""),2012.0)</f>
        <v>2012</v>
      </c>
      <c r="E12533">
        <f>IFERROR(__xludf.DUMMYFUNCTION("""COMPUTED_VALUE"""),3.0158966E7)</f>
        <v>30158966</v>
      </c>
    </row>
    <row r="12534">
      <c r="A12534" t="str">
        <f t="shared" si="1"/>
        <v>per#2013</v>
      </c>
      <c r="B12534" t="str">
        <f>IFERROR(__xludf.DUMMYFUNCTION("""COMPUTED_VALUE"""),"per")</f>
        <v>per</v>
      </c>
      <c r="C12534" t="str">
        <f>IFERROR(__xludf.DUMMYFUNCTION("""COMPUTED_VALUE"""),"Peru")</f>
        <v>Peru</v>
      </c>
      <c r="D12534">
        <f>IFERROR(__xludf.DUMMYFUNCTION("""COMPUTED_VALUE"""),2013.0)</f>
        <v>2013</v>
      </c>
      <c r="E12534">
        <f>IFERROR(__xludf.DUMMYFUNCTION("""COMPUTED_VALUE"""),3.0565716E7)</f>
        <v>30565716</v>
      </c>
    </row>
    <row r="12535">
      <c r="A12535" t="str">
        <f t="shared" si="1"/>
        <v>per#2014</v>
      </c>
      <c r="B12535" t="str">
        <f>IFERROR(__xludf.DUMMYFUNCTION("""COMPUTED_VALUE"""),"per")</f>
        <v>per</v>
      </c>
      <c r="C12535" t="str">
        <f>IFERROR(__xludf.DUMMYFUNCTION("""COMPUTED_VALUE"""),"Peru")</f>
        <v>Peru</v>
      </c>
      <c r="D12535">
        <f>IFERROR(__xludf.DUMMYFUNCTION("""COMPUTED_VALUE"""),2014.0)</f>
        <v>2014</v>
      </c>
      <c r="E12535">
        <f>IFERROR(__xludf.DUMMYFUNCTION("""COMPUTED_VALUE"""),3.0973354E7)</f>
        <v>30973354</v>
      </c>
    </row>
    <row r="12536">
      <c r="A12536" t="str">
        <f t="shared" si="1"/>
        <v>per#2015</v>
      </c>
      <c r="B12536" t="str">
        <f>IFERROR(__xludf.DUMMYFUNCTION("""COMPUTED_VALUE"""),"per")</f>
        <v>per</v>
      </c>
      <c r="C12536" t="str">
        <f>IFERROR(__xludf.DUMMYFUNCTION("""COMPUTED_VALUE"""),"Peru")</f>
        <v>Peru</v>
      </c>
      <c r="D12536">
        <f>IFERROR(__xludf.DUMMYFUNCTION("""COMPUTED_VALUE"""),2015.0)</f>
        <v>2015</v>
      </c>
      <c r="E12536">
        <f>IFERROR(__xludf.DUMMYFUNCTION("""COMPUTED_VALUE"""),3.1376671E7)</f>
        <v>31376671</v>
      </c>
    </row>
    <row r="12537">
      <c r="A12537" t="str">
        <f t="shared" si="1"/>
        <v>per#2016</v>
      </c>
      <c r="B12537" t="str">
        <f>IFERROR(__xludf.DUMMYFUNCTION("""COMPUTED_VALUE"""),"per")</f>
        <v>per</v>
      </c>
      <c r="C12537" t="str">
        <f>IFERROR(__xludf.DUMMYFUNCTION("""COMPUTED_VALUE"""),"Peru")</f>
        <v>Peru</v>
      </c>
      <c r="D12537">
        <f>IFERROR(__xludf.DUMMYFUNCTION("""COMPUTED_VALUE"""),2016.0)</f>
        <v>2016</v>
      </c>
      <c r="E12537">
        <f>IFERROR(__xludf.DUMMYFUNCTION("""COMPUTED_VALUE"""),3.1773839E7)</f>
        <v>31773839</v>
      </c>
    </row>
    <row r="12538">
      <c r="A12538" t="str">
        <f t="shared" si="1"/>
        <v>per#2017</v>
      </c>
      <c r="B12538" t="str">
        <f>IFERROR(__xludf.DUMMYFUNCTION("""COMPUTED_VALUE"""),"per")</f>
        <v>per</v>
      </c>
      <c r="C12538" t="str">
        <f>IFERROR(__xludf.DUMMYFUNCTION("""COMPUTED_VALUE"""),"Peru")</f>
        <v>Peru</v>
      </c>
      <c r="D12538">
        <f>IFERROR(__xludf.DUMMYFUNCTION("""COMPUTED_VALUE"""),2017.0)</f>
        <v>2017</v>
      </c>
      <c r="E12538">
        <f>IFERROR(__xludf.DUMMYFUNCTION("""COMPUTED_VALUE"""),3.2165485E7)</f>
        <v>32165485</v>
      </c>
    </row>
    <row r="12539">
      <c r="A12539" t="str">
        <f t="shared" si="1"/>
        <v>per#2018</v>
      </c>
      <c r="B12539" t="str">
        <f>IFERROR(__xludf.DUMMYFUNCTION("""COMPUTED_VALUE"""),"per")</f>
        <v>per</v>
      </c>
      <c r="C12539" t="str">
        <f>IFERROR(__xludf.DUMMYFUNCTION("""COMPUTED_VALUE"""),"Peru")</f>
        <v>Peru</v>
      </c>
      <c r="D12539">
        <f>IFERROR(__xludf.DUMMYFUNCTION("""COMPUTED_VALUE"""),2018.0)</f>
        <v>2018</v>
      </c>
      <c r="E12539">
        <f>IFERROR(__xludf.DUMMYFUNCTION("""COMPUTED_VALUE"""),3.2551815E7)</f>
        <v>32551815</v>
      </c>
    </row>
    <row r="12540">
      <c r="A12540" t="str">
        <f t="shared" si="1"/>
        <v>per#2019</v>
      </c>
      <c r="B12540" t="str">
        <f>IFERROR(__xludf.DUMMYFUNCTION("""COMPUTED_VALUE"""),"per")</f>
        <v>per</v>
      </c>
      <c r="C12540" t="str">
        <f>IFERROR(__xludf.DUMMYFUNCTION("""COMPUTED_VALUE"""),"Peru")</f>
        <v>Peru</v>
      </c>
      <c r="D12540">
        <f>IFERROR(__xludf.DUMMYFUNCTION("""COMPUTED_VALUE"""),2019.0)</f>
        <v>2019</v>
      </c>
      <c r="E12540">
        <f>IFERROR(__xludf.DUMMYFUNCTION("""COMPUTED_VALUE"""),3.2933835E7)</f>
        <v>32933835</v>
      </c>
    </row>
    <row r="12541">
      <c r="A12541" t="str">
        <f t="shared" si="1"/>
        <v>per#2020</v>
      </c>
      <c r="B12541" t="str">
        <f>IFERROR(__xludf.DUMMYFUNCTION("""COMPUTED_VALUE"""),"per")</f>
        <v>per</v>
      </c>
      <c r="C12541" t="str">
        <f>IFERROR(__xludf.DUMMYFUNCTION("""COMPUTED_VALUE"""),"Peru")</f>
        <v>Peru</v>
      </c>
      <c r="D12541">
        <f>IFERROR(__xludf.DUMMYFUNCTION("""COMPUTED_VALUE"""),2020.0)</f>
        <v>2020</v>
      </c>
      <c r="E12541">
        <f>IFERROR(__xludf.DUMMYFUNCTION("""COMPUTED_VALUE"""),3.3312178E7)</f>
        <v>33312178</v>
      </c>
    </row>
    <row r="12542">
      <c r="A12542" t="str">
        <f t="shared" si="1"/>
        <v>per#2021</v>
      </c>
      <c r="B12542" t="str">
        <f>IFERROR(__xludf.DUMMYFUNCTION("""COMPUTED_VALUE"""),"per")</f>
        <v>per</v>
      </c>
      <c r="C12542" t="str">
        <f>IFERROR(__xludf.DUMMYFUNCTION("""COMPUTED_VALUE"""),"Peru")</f>
        <v>Peru</v>
      </c>
      <c r="D12542">
        <f>IFERROR(__xludf.DUMMYFUNCTION("""COMPUTED_VALUE"""),2021.0)</f>
        <v>2021</v>
      </c>
      <c r="E12542">
        <f>IFERROR(__xludf.DUMMYFUNCTION("""COMPUTED_VALUE"""),3.3686305E7)</f>
        <v>33686305</v>
      </c>
    </row>
    <row r="12543">
      <c r="A12543" t="str">
        <f t="shared" si="1"/>
        <v>per#2022</v>
      </c>
      <c r="B12543" t="str">
        <f>IFERROR(__xludf.DUMMYFUNCTION("""COMPUTED_VALUE"""),"per")</f>
        <v>per</v>
      </c>
      <c r="C12543" t="str">
        <f>IFERROR(__xludf.DUMMYFUNCTION("""COMPUTED_VALUE"""),"Peru")</f>
        <v>Peru</v>
      </c>
      <c r="D12543">
        <f>IFERROR(__xludf.DUMMYFUNCTION("""COMPUTED_VALUE"""),2022.0)</f>
        <v>2022</v>
      </c>
      <c r="E12543">
        <f>IFERROR(__xludf.DUMMYFUNCTION("""COMPUTED_VALUE"""),3.4055259E7)</f>
        <v>34055259</v>
      </c>
    </row>
    <row r="12544">
      <c r="A12544" t="str">
        <f t="shared" si="1"/>
        <v>per#2023</v>
      </c>
      <c r="B12544" t="str">
        <f>IFERROR(__xludf.DUMMYFUNCTION("""COMPUTED_VALUE"""),"per")</f>
        <v>per</v>
      </c>
      <c r="C12544" t="str">
        <f>IFERROR(__xludf.DUMMYFUNCTION("""COMPUTED_VALUE"""),"Peru")</f>
        <v>Peru</v>
      </c>
      <c r="D12544">
        <f>IFERROR(__xludf.DUMMYFUNCTION("""COMPUTED_VALUE"""),2023.0)</f>
        <v>2023</v>
      </c>
      <c r="E12544">
        <f>IFERROR(__xludf.DUMMYFUNCTION("""COMPUTED_VALUE"""),3.4418978E7)</f>
        <v>34418978</v>
      </c>
    </row>
    <row r="12545">
      <c r="A12545" t="str">
        <f t="shared" si="1"/>
        <v>per#2024</v>
      </c>
      <c r="B12545" t="str">
        <f>IFERROR(__xludf.DUMMYFUNCTION("""COMPUTED_VALUE"""),"per")</f>
        <v>per</v>
      </c>
      <c r="C12545" t="str">
        <f>IFERROR(__xludf.DUMMYFUNCTION("""COMPUTED_VALUE"""),"Peru")</f>
        <v>Peru</v>
      </c>
      <c r="D12545">
        <f>IFERROR(__xludf.DUMMYFUNCTION("""COMPUTED_VALUE"""),2024.0)</f>
        <v>2024</v>
      </c>
      <c r="E12545">
        <f>IFERROR(__xludf.DUMMYFUNCTION("""COMPUTED_VALUE"""),3.4777489E7)</f>
        <v>34777489</v>
      </c>
    </row>
    <row r="12546">
      <c r="A12546" t="str">
        <f t="shared" si="1"/>
        <v>per#2025</v>
      </c>
      <c r="B12546" t="str">
        <f>IFERROR(__xludf.DUMMYFUNCTION("""COMPUTED_VALUE"""),"per")</f>
        <v>per</v>
      </c>
      <c r="C12546" t="str">
        <f>IFERROR(__xludf.DUMMYFUNCTION("""COMPUTED_VALUE"""),"Peru")</f>
        <v>Peru</v>
      </c>
      <c r="D12546">
        <f>IFERROR(__xludf.DUMMYFUNCTION("""COMPUTED_VALUE"""),2025.0)</f>
        <v>2025</v>
      </c>
      <c r="E12546">
        <f>IFERROR(__xludf.DUMMYFUNCTION("""COMPUTED_VALUE"""),3.5130736E7)</f>
        <v>35130736</v>
      </c>
    </row>
    <row r="12547">
      <c r="A12547" t="str">
        <f t="shared" si="1"/>
        <v>per#2026</v>
      </c>
      <c r="B12547" t="str">
        <f>IFERROR(__xludf.DUMMYFUNCTION("""COMPUTED_VALUE"""),"per")</f>
        <v>per</v>
      </c>
      <c r="C12547" t="str">
        <f>IFERROR(__xludf.DUMMYFUNCTION("""COMPUTED_VALUE"""),"Peru")</f>
        <v>Peru</v>
      </c>
      <c r="D12547">
        <f>IFERROR(__xludf.DUMMYFUNCTION("""COMPUTED_VALUE"""),2026.0)</f>
        <v>2026</v>
      </c>
      <c r="E12547">
        <f>IFERROR(__xludf.DUMMYFUNCTION("""COMPUTED_VALUE"""),3.5478605E7)</f>
        <v>35478605</v>
      </c>
    </row>
    <row r="12548">
      <c r="A12548" t="str">
        <f t="shared" si="1"/>
        <v>per#2027</v>
      </c>
      <c r="B12548" t="str">
        <f>IFERROR(__xludf.DUMMYFUNCTION("""COMPUTED_VALUE"""),"per")</f>
        <v>per</v>
      </c>
      <c r="C12548" t="str">
        <f>IFERROR(__xludf.DUMMYFUNCTION("""COMPUTED_VALUE"""),"Peru")</f>
        <v>Peru</v>
      </c>
      <c r="D12548">
        <f>IFERROR(__xludf.DUMMYFUNCTION("""COMPUTED_VALUE"""),2027.0)</f>
        <v>2027</v>
      </c>
      <c r="E12548">
        <f>IFERROR(__xludf.DUMMYFUNCTION("""COMPUTED_VALUE"""),3.5820719E7)</f>
        <v>35820719</v>
      </c>
    </row>
    <row r="12549">
      <c r="A12549" t="str">
        <f t="shared" si="1"/>
        <v>per#2028</v>
      </c>
      <c r="B12549" t="str">
        <f>IFERROR(__xludf.DUMMYFUNCTION("""COMPUTED_VALUE"""),"per")</f>
        <v>per</v>
      </c>
      <c r="C12549" t="str">
        <f>IFERROR(__xludf.DUMMYFUNCTION("""COMPUTED_VALUE"""),"Peru")</f>
        <v>Peru</v>
      </c>
      <c r="D12549">
        <f>IFERROR(__xludf.DUMMYFUNCTION("""COMPUTED_VALUE"""),2028.0)</f>
        <v>2028</v>
      </c>
      <c r="E12549">
        <f>IFERROR(__xludf.DUMMYFUNCTION("""COMPUTED_VALUE"""),3.6156552E7)</f>
        <v>36156552</v>
      </c>
    </row>
    <row r="12550">
      <c r="A12550" t="str">
        <f t="shared" si="1"/>
        <v>per#2029</v>
      </c>
      <c r="B12550" t="str">
        <f>IFERROR(__xludf.DUMMYFUNCTION("""COMPUTED_VALUE"""),"per")</f>
        <v>per</v>
      </c>
      <c r="C12550" t="str">
        <f>IFERROR(__xludf.DUMMYFUNCTION("""COMPUTED_VALUE"""),"Peru")</f>
        <v>Peru</v>
      </c>
      <c r="D12550">
        <f>IFERROR(__xludf.DUMMYFUNCTION("""COMPUTED_VALUE"""),2029.0)</f>
        <v>2029</v>
      </c>
      <c r="E12550">
        <f>IFERROR(__xludf.DUMMYFUNCTION("""COMPUTED_VALUE"""),3.6485406E7)</f>
        <v>36485406</v>
      </c>
    </row>
    <row r="12551">
      <c r="A12551" t="str">
        <f t="shared" si="1"/>
        <v>per#2030</v>
      </c>
      <c r="B12551" t="str">
        <f>IFERROR(__xludf.DUMMYFUNCTION("""COMPUTED_VALUE"""),"per")</f>
        <v>per</v>
      </c>
      <c r="C12551" t="str">
        <f>IFERROR(__xludf.DUMMYFUNCTION("""COMPUTED_VALUE"""),"Peru")</f>
        <v>Peru</v>
      </c>
      <c r="D12551">
        <f>IFERROR(__xludf.DUMMYFUNCTION("""COMPUTED_VALUE"""),2030.0)</f>
        <v>2030</v>
      </c>
      <c r="E12551">
        <f>IFERROR(__xludf.DUMMYFUNCTION("""COMPUTED_VALUE"""),3.6806784E7)</f>
        <v>36806784</v>
      </c>
    </row>
    <row r="12552">
      <c r="A12552" t="str">
        <f t="shared" si="1"/>
        <v>per#2031</v>
      </c>
      <c r="B12552" t="str">
        <f>IFERROR(__xludf.DUMMYFUNCTION("""COMPUTED_VALUE"""),"per")</f>
        <v>per</v>
      </c>
      <c r="C12552" t="str">
        <f>IFERROR(__xludf.DUMMYFUNCTION("""COMPUTED_VALUE"""),"Peru")</f>
        <v>Peru</v>
      </c>
      <c r="D12552">
        <f>IFERROR(__xludf.DUMMYFUNCTION("""COMPUTED_VALUE"""),2031.0)</f>
        <v>2031</v>
      </c>
      <c r="E12552">
        <f>IFERROR(__xludf.DUMMYFUNCTION("""COMPUTED_VALUE"""),3.7120393E7)</f>
        <v>37120393</v>
      </c>
    </row>
    <row r="12553">
      <c r="A12553" t="str">
        <f t="shared" si="1"/>
        <v>per#2032</v>
      </c>
      <c r="B12553" t="str">
        <f>IFERROR(__xludf.DUMMYFUNCTION("""COMPUTED_VALUE"""),"per")</f>
        <v>per</v>
      </c>
      <c r="C12553" t="str">
        <f>IFERROR(__xludf.DUMMYFUNCTION("""COMPUTED_VALUE"""),"Peru")</f>
        <v>Peru</v>
      </c>
      <c r="D12553">
        <f>IFERROR(__xludf.DUMMYFUNCTION("""COMPUTED_VALUE"""),2032.0)</f>
        <v>2032</v>
      </c>
      <c r="E12553">
        <f>IFERROR(__xludf.DUMMYFUNCTION("""COMPUTED_VALUE"""),3.7426213E7)</f>
        <v>37426213</v>
      </c>
    </row>
    <row r="12554">
      <c r="A12554" t="str">
        <f t="shared" si="1"/>
        <v>per#2033</v>
      </c>
      <c r="B12554" t="str">
        <f>IFERROR(__xludf.DUMMYFUNCTION("""COMPUTED_VALUE"""),"per")</f>
        <v>per</v>
      </c>
      <c r="C12554" t="str">
        <f>IFERROR(__xludf.DUMMYFUNCTION("""COMPUTED_VALUE"""),"Peru")</f>
        <v>Peru</v>
      </c>
      <c r="D12554">
        <f>IFERROR(__xludf.DUMMYFUNCTION("""COMPUTED_VALUE"""),2033.0)</f>
        <v>2033</v>
      </c>
      <c r="E12554">
        <f>IFERROR(__xludf.DUMMYFUNCTION("""COMPUTED_VALUE"""),3.7724375E7)</f>
        <v>37724375</v>
      </c>
    </row>
    <row r="12555">
      <c r="A12555" t="str">
        <f t="shared" si="1"/>
        <v>per#2034</v>
      </c>
      <c r="B12555" t="str">
        <f>IFERROR(__xludf.DUMMYFUNCTION("""COMPUTED_VALUE"""),"per")</f>
        <v>per</v>
      </c>
      <c r="C12555" t="str">
        <f>IFERROR(__xludf.DUMMYFUNCTION("""COMPUTED_VALUE"""),"Peru")</f>
        <v>Peru</v>
      </c>
      <c r="D12555">
        <f>IFERROR(__xludf.DUMMYFUNCTION("""COMPUTED_VALUE"""),2034.0)</f>
        <v>2034</v>
      </c>
      <c r="E12555">
        <f>IFERROR(__xludf.DUMMYFUNCTION("""COMPUTED_VALUE"""),3.8015181E7)</f>
        <v>38015181</v>
      </c>
    </row>
    <row r="12556">
      <c r="A12556" t="str">
        <f t="shared" si="1"/>
        <v>per#2035</v>
      </c>
      <c r="B12556" t="str">
        <f>IFERROR(__xludf.DUMMYFUNCTION("""COMPUTED_VALUE"""),"per")</f>
        <v>per</v>
      </c>
      <c r="C12556" t="str">
        <f>IFERROR(__xludf.DUMMYFUNCTION("""COMPUTED_VALUE"""),"Peru")</f>
        <v>Peru</v>
      </c>
      <c r="D12556">
        <f>IFERROR(__xludf.DUMMYFUNCTION("""COMPUTED_VALUE"""),2035.0)</f>
        <v>2035</v>
      </c>
      <c r="E12556">
        <f>IFERROR(__xludf.DUMMYFUNCTION("""COMPUTED_VALUE"""),3.8298817E7)</f>
        <v>38298817</v>
      </c>
    </row>
    <row r="12557">
      <c r="A12557" t="str">
        <f t="shared" si="1"/>
        <v>per#2036</v>
      </c>
      <c r="B12557" t="str">
        <f>IFERROR(__xludf.DUMMYFUNCTION("""COMPUTED_VALUE"""),"per")</f>
        <v>per</v>
      </c>
      <c r="C12557" t="str">
        <f>IFERROR(__xludf.DUMMYFUNCTION("""COMPUTED_VALUE"""),"Peru")</f>
        <v>Peru</v>
      </c>
      <c r="D12557">
        <f>IFERROR(__xludf.DUMMYFUNCTION("""COMPUTED_VALUE"""),2036.0)</f>
        <v>2036</v>
      </c>
      <c r="E12557">
        <f>IFERROR(__xludf.DUMMYFUNCTION("""COMPUTED_VALUE"""),3.8575218E7)</f>
        <v>38575218</v>
      </c>
    </row>
    <row r="12558">
      <c r="A12558" t="str">
        <f t="shared" si="1"/>
        <v>per#2037</v>
      </c>
      <c r="B12558" t="str">
        <f>IFERROR(__xludf.DUMMYFUNCTION("""COMPUTED_VALUE"""),"per")</f>
        <v>per</v>
      </c>
      <c r="C12558" t="str">
        <f>IFERROR(__xludf.DUMMYFUNCTION("""COMPUTED_VALUE"""),"Peru")</f>
        <v>Peru</v>
      </c>
      <c r="D12558">
        <f>IFERROR(__xludf.DUMMYFUNCTION("""COMPUTED_VALUE"""),2037.0)</f>
        <v>2037</v>
      </c>
      <c r="E12558">
        <f>IFERROR(__xludf.DUMMYFUNCTION("""COMPUTED_VALUE"""),3.8844196E7)</f>
        <v>38844196</v>
      </c>
    </row>
    <row r="12559">
      <c r="A12559" t="str">
        <f t="shared" si="1"/>
        <v>per#2038</v>
      </c>
      <c r="B12559" t="str">
        <f>IFERROR(__xludf.DUMMYFUNCTION("""COMPUTED_VALUE"""),"per")</f>
        <v>per</v>
      </c>
      <c r="C12559" t="str">
        <f>IFERROR(__xludf.DUMMYFUNCTION("""COMPUTED_VALUE"""),"Peru")</f>
        <v>Peru</v>
      </c>
      <c r="D12559">
        <f>IFERROR(__xludf.DUMMYFUNCTION("""COMPUTED_VALUE"""),2038.0)</f>
        <v>2038</v>
      </c>
      <c r="E12559">
        <f>IFERROR(__xludf.DUMMYFUNCTION("""COMPUTED_VALUE"""),3.9105721E7)</f>
        <v>39105721</v>
      </c>
    </row>
    <row r="12560">
      <c r="A12560" t="str">
        <f t="shared" si="1"/>
        <v>per#2039</v>
      </c>
      <c r="B12560" t="str">
        <f>IFERROR(__xludf.DUMMYFUNCTION("""COMPUTED_VALUE"""),"per")</f>
        <v>per</v>
      </c>
      <c r="C12560" t="str">
        <f>IFERROR(__xludf.DUMMYFUNCTION("""COMPUTED_VALUE"""),"Peru")</f>
        <v>Peru</v>
      </c>
      <c r="D12560">
        <f>IFERROR(__xludf.DUMMYFUNCTION("""COMPUTED_VALUE"""),2039.0)</f>
        <v>2039</v>
      </c>
      <c r="E12560">
        <f>IFERROR(__xludf.DUMMYFUNCTION("""COMPUTED_VALUE"""),3.9359708E7)</f>
        <v>39359708</v>
      </c>
    </row>
    <row r="12561">
      <c r="A12561" t="str">
        <f t="shared" si="1"/>
        <v>per#2040</v>
      </c>
      <c r="B12561" t="str">
        <f>IFERROR(__xludf.DUMMYFUNCTION("""COMPUTED_VALUE"""),"per")</f>
        <v>per</v>
      </c>
      <c r="C12561" t="str">
        <f>IFERROR(__xludf.DUMMYFUNCTION("""COMPUTED_VALUE"""),"Peru")</f>
        <v>Peru</v>
      </c>
      <c r="D12561">
        <f>IFERROR(__xludf.DUMMYFUNCTION("""COMPUTED_VALUE"""),2040.0)</f>
        <v>2040</v>
      </c>
      <c r="E12561">
        <f>IFERROR(__xludf.DUMMYFUNCTION("""COMPUTED_VALUE"""),3.9606088E7)</f>
        <v>39606088</v>
      </c>
    </row>
    <row r="12562">
      <c r="A12562" t="str">
        <f t="shared" si="1"/>
        <v>phl#1950</v>
      </c>
      <c r="B12562" t="str">
        <f>IFERROR(__xludf.DUMMYFUNCTION("""COMPUTED_VALUE"""),"phl")</f>
        <v>phl</v>
      </c>
      <c r="C12562" t="str">
        <f>IFERROR(__xludf.DUMMYFUNCTION("""COMPUTED_VALUE"""),"Philippines")</f>
        <v>Philippines</v>
      </c>
      <c r="D12562">
        <f>IFERROR(__xludf.DUMMYFUNCTION("""COMPUTED_VALUE"""),1950.0)</f>
        <v>1950</v>
      </c>
      <c r="E12562">
        <f>IFERROR(__xludf.DUMMYFUNCTION("""COMPUTED_VALUE"""),1.858049E7)</f>
        <v>18580490</v>
      </c>
    </row>
    <row r="12563">
      <c r="A12563" t="str">
        <f t="shared" si="1"/>
        <v>phl#1951</v>
      </c>
      <c r="B12563" t="str">
        <f>IFERROR(__xludf.DUMMYFUNCTION("""COMPUTED_VALUE"""),"phl")</f>
        <v>phl</v>
      </c>
      <c r="C12563" t="str">
        <f>IFERROR(__xludf.DUMMYFUNCTION("""COMPUTED_VALUE"""),"Philippines")</f>
        <v>Philippines</v>
      </c>
      <c r="D12563">
        <f>IFERROR(__xludf.DUMMYFUNCTION("""COMPUTED_VALUE"""),1951.0)</f>
        <v>1951</v>
      </c>
      <c r="E12563">
        <f>IFERROR(__xludf.DUMMYFUNCTION("""COMPUTED_VALUE"""),1.9246611E7)</f>
        <v>19246611</v>
      </c>
    </row>
    <row r="12564">
      <c r="A12564" t="str">
        <f t="shared" si="1"/>
        <v>phl#1952</v>
      </c>
      <c r="B12564" t="str">
        <f>IFERROR(__xludf.DUMMYFUNCTION("""COMPUTED_VALUE"""),"phl")</f>
        <v>phl</v>
      </c>
      <c r="C12564" t="str">
        <f>IFERROR(__xludf.DUMMYFUNCTION("""COMPUTED_VALUE"""),"Philippines")</f>
        <v>Philippines</v>
      </c>
      <c r="D12564">
        <f>IFERROR(__xludf.DUMMYFUNCTION("""COMPUTED_VALUE"""),1952.0)</f>
        <v>1952</v>
      </c>
      <c r="E12564">
        <f>IFERROR(__xludf.DUMMYFUNCTION("""COMPUTED_VALUE"""),1.9945661E7)</f>
        <v>19945661</v>
      </c>
    </row>
    <row r="12565">
      <c r="A12565" t="str">
        <f t="shared" si="1"/>
        <v>phl#1953</v>
      </c>
      <c r="B12565" t="str">
        <f>IFERROR(__xludf.DUMMYFUNCTION("""COMPUTED_VALUE"""),"phl")</f>
        <v>phl</v>
      </c>
      <c r="C12565" t="str">
        <f>IFERROR(__xludf.DUMMYFUNCTION("""COMPUTED_VALUE"""),"Philippines")</f>
        <v>Philippines</v>
      </c>
      <c r="D12565">
        <f>IFERROR(__xludf.DUMMYFUNCTION("""COMPUTED_VALUE"""),1953.0)</f>
        <v>1953</v>
      </c>
      <c r="E12565">
        <f>IFERROR(__xludf.DUMMYFUNCTION("""COMPUTED_VALUE"""),2.0670544E7)</f>
        <v>20670544</v>
      </c>
    </row>
    <row r="12566">
      <c r="A12566" t="str">
        <f t="shared" si="1"/>
        <v>phl#1954</v>
      </c>
      <c r="B12566" t="str">
        <f>IFERROR(__xludf.DUMMYFUNCTION("""COMPUTED_VALUE"""),"phl")</f>
        <v>phl</v>
      </c>
      <c r="C12566" t="str">
        <f>IFERROR(__xludf.DUMMYFUNCTION("""COMPUTED_VALUE"""),"Philippines")</f>
        <v>Philippines</v>
      </c>
      <c r="D12566">
        <f>IFERROR(__xludf.DUMMYFUNCTION("""COMPUTED_VALUE"""),1954.0)</f>
        <v>1954</v>
      </c>
      <c r="E12566">
        <f>IFERROR(__xludf.DUMMYFUNCTION("""COMPUTED_VALUE"""),2.14161E7)</f>
        <v>21416100</v>
      </c>
    </row>
    <row r="12567">
      <c r="A12567" t="str">
        <f t="shared" si="1"/>
        <v>phl#1955</v>
      </c>
      <c r="B12567" t="str">
        <f>IFERROR(__xludf.DUMMYFUNCTION("""COMPUTED_VALUE"""),"phl")</f>
        <v>phl</v>
      </c>
      <c r="C12567" t="str">
        <f>IFERROR(__xludf.DUMMYFUNCTION("""COMPUTED_VALUE"""),"Philippines")</f>
        <v>Philippines</v>
      </c>
      <c r="D12567">
        <f>IFERROR(__xludf.DUMMYFUNCTION("""COMPUTED_VALUE"""),1955.0)</f>
        <v>1955</v>
      </c>
      <c r="E12567">
        <f>IFERROR(__xludf.DUMMYFUNCTION("""COMPUTED_VALUE"""),2.2179101E7)</f>
        <v>22179101</v>
      </c>
    </row>
    <row r="12568">
      <c r="A12568" t="str">
        <f t="shared" si="1"/>
        <v>phl#1956</v>
      </c>
      <c r="B12568" t="str">
        <f>IFERROR(__xludf.DUMMYFUNCTION("""COMPUTED_VALUE"""),"phl")</f>
        <v>phl</v>
      </c>
      <c r="C12568" t="str">
        <f>IFERROR(__xludf.DUMMYFUNCTION("""COMPUTED_VALUE"""),"Philippines")</f>
        <v>Philippines</v>
      </c>
      <c r="D12568">
        <f>IFERROR(__xludf.DUMMYFUNCTION("""COMPUTED_VALUE"""),1956.0)</f>
        <v>1956</v>
      </c>
      <c r="E12568">
        <f>IFERROR(__xludf.DUMMYFUNCTION("""COMPUTED_VALUE"""),2.2958355E7)</f>
        <v>22958355</v>
      </c>
    </row>
    <row r="12569">
      <c r="A12569" t="str">
        <f t="shared" si="1"/>
        <v>phl#1957</v>
      </c>
      <c r="B12569" t="str">
        <f>IFERROR(__xludf.DUMMYFUNCTION("""COMPUTED_VALUE"""),"phl")</f>
        <v>phl</v>
      </c>
      <c r="C12569" t="str">
        <f>IFERROR(__xludf.DUMMYFUNCTION("""COMPUTED_VALUE"""),"Philippines")</f>
        <v>Philippines</v>
      </c>
      <c r="D12569">
        <f>IFERROR(__xludf.DUMMYFUNCTION("""COMPUTED_VALUE"""),1957.0)</f>
        <v>1957</v>
      </c>
      <c r="E12569">
        <f>IFERROR(__xludf.DUMMYFUNCTION("""COMPUTED_VALUE"""),2.3754593E7)</f>
        <v>23754593</v>
      </c>
    </row>
    <row r="12570">
      <c r="A12570" t="str">
        <f t="shared" si="1"/>
        <v>phl#1958</v>
      </c>
      <c r="B12570" t="str">
        <f>IFERROR(__xludf.DUMMYFUNCTION("""COMPUTED_VALUE"""),"phl")</f>
        <v>phl</v>
      </c>
      <c r="C12570" t="str">
        <f>IFERROR(__xludf.DUMMYFUNCTION("""COMPUTED_VALUE"""),"Philippines")</f>
        <v>Philippines</v>
      </c>
      <c r="D12570">
        <f>IFERROR(__xludf.DUMMYFUNCTION("""COMPUTED_VALUE"""),1958.0)</f>
        <v>1958</v>
      </c>
      <c r="E12570">
        <f>IFERROR(__xludf.DUMMYFUNCTION("""COMPUTED_VALUE"""),2.4570175E7)</f>
        <v>24570175</v>
      </c>
    </row>
    <row r="12571">
      <c r="A12571" t="str">
        <f t="shared" si="1"/>
        <v>phl#1959</v>
      </c>
      <c r="B12571" t="str">
        <f>IFERROR(__xludf.DUMMYFUNCTION("""COMPUTED_VALUE"""),"phl")</f>
        <v>phl</v>
      </c>
      <c r="C12571" t="str">
        <f>IFERROR(__xludf.DUMMYFUNCTION("""COMPUTED_VALUE"""),"Philippines")</f>
        <v>Philippines</v>
      </c>
      <c r="D12571">
        <f>IFERROR(__xludf.DUMMYFUNCTION("""COMPUTED_VALUE"""),1959.0)</f>
        <v>1959</v>
      </c>
      <c r="E12571">
        <f>IFERROR(__xludf.DUMMYFUNCTION("""COMPUTED_VALUE"""),2.5408603E7)</f>
        <v>25408603</v>
      </c>
    </row>
    <row r="12572">
      <c r="A12572" t="str">
        <f t="shared" si="1"/>
        <v>phl#1960</v>
      </c>
      <c r="B12572" t="str">
        <f>IFERROR(__xludf.DUMMYFUNCTION("""COMPUTED_VALUE"""),"phl")</f>
        <v>phl</v>
      </c>
      <c r="C12572" t="str">
        <f>IFERROR(__xludf.DUMMYFUNCTION("""COMPUTED_VALUE"""),"Philippines")</f>
        <v>Philippines</v>
      </c>
      <c r="D12572">
        <f>IFERROR(__xludf.DUMMYFUNCTION("""COMPUTED_VALUE"""),1960.0)</f>
        <v>1960</v>
      </c>
      <c r="E12572">
        <f>IFERROR(__xludf.DUMMYFUNCTION("""COMPUTED_VALUE"""),2.6273025E7)</f>
        <v>26273025</v>
      </c>
    </row>
    <row r="12573">
      <c r="A12573" t="str">
        <f t="shared" si="1"/>
        <v>phl#1961</v>
      </c>
      <c r="B12573" t="str">
        <f>IFERROR(__xludf.DUMMYFUNCTION("""COMPUTED_VALUE"""),"phl")</f>
        <v>phl</v>
      </c>
      <c r="C12573" t="str">
        <f>IFERROR(__xludf.DUMMYFUNCTION("""COMPUTED_VALUE"""),"Philippines")</f>
        <v>Philippines</v>
      </c>
      <c r="D12573">
        <f>IFERROR(__xludf.DUMMYFUNCTION("""COMPUTED_VALUE"""),1961.0)</f>
        <v>1961</v>
      </c>
      <c r="E12573">
        <f>IFERROR(__xludf.DUMMYFUNCTION("""COMPUTED_VALUE"""),2.7164617E7)</f>
        <v>27164617</v>
      </c>
    </row>
    <row r="12574">
      <c r="A12574" t="str">
        <f t="shared" si="1"/>
        <v>phl#1962</v>
      </c>
      <c r="B12574" t="str">
        <f>IFERROR(__xludf.DUMMYFUNCTION("""COMPUTED_VALUE"""),"phl")</f>
        <v>phl</v>
      </c>
      <c r="C12574" t="str">
        <f>IFERROR(__xludf.DUMMYFUNCTION("""COMPUTED_VALUE"""),"Philippines")</f>
        <v>Philippines</v>
      </c>
      <c r="D12574">
        <f>IFERROR(__xludf.DUMMYFUNCTION("""COMPUTED_VALUE"""),1962.0)</f>
        <v>1962</v>
      </c>
      <c r="E12574">
        <f>IFERROR(__xludf.DUMMYFUNCTION("""COMPUTED_VALUE"""),2.8081231E7)</f>
        <v>28081231</v>
      </c>
    </row>
    <row r="12575">
      <c r="A12575" t="str">
        <f t="shared" si="1"/>
        <v>phl#1963</v>
      </c>
      <c r="B12575" t="str">
        <f>IFERROR(__xludf.DUMMYFUNCTION("""COMPUTED_VALUE"""),"phl")</f>
        <v>phl</v>
      </c>
      <c r="C12575" t="str">
        <f>IFERROR(__xludf.DUMMYFUNCTION("""COMPUTED_VALUE"""),"Philippines")</f>
        <v>Philippines</v>
      </c>
      <c r="D12575">
        <f>IFERROR(__xludf.DUMMYFUNCTION("""COMPUTED_VALUE"""),1963.0)</f>
        <v>1963</v>
      </c>
      <c r="E12575">
        <f>IFERROR(__xludf.DUMMYFUNCTION("""COMPUTED_VALUE"""),2.9016771E7)</f>
        <v>29016771</v>
      </c>
    </row>
    <row r="12576">
      <c r="A12576" t="str">
        <f t="shared" si="1"/>
        <v>phl#1964</v>
      </c>
      <c r="B12576" t="str">
        <f>IFERROR(__xludf.DUMMYFUNCTION("""COMPUTED_VALUE"""),"phl")</f>
        <v>phl</v>
      </c>
      <c r="C12576" t="str">
        <f>IFERROR(__xludf.DUMMYFUNCTION("""COMPUTED_VALUE"""),"Philippines")</f>
        <v>Philippines</v>
      </c>
      <c r="D12576">
        <f>IFERROR(__xludf.DUMMYFUNCTION("""COMPUTED_VALUE"""),1964.0)</f>
        <v>1964</v>
      </c>
      <c r="E12576">
        <f>IFERROR(__xludf.DUMMYFUNCTION("""COMPUTED_VALUE"""),2.9962876E7)</f>
        <v>29962876</v>
      </c>
    </row>
    <row r="12577">
      <c r="A12577" t="str">
        <f t="shared" si="1"/>
        <v>phl#1965</v>
      </c>
      <c r="B12577" t="str">
        <f>IFERROR(__xludf.DUMMYFUNCTION("""COMPUTED_VALUE"""),"phl")</f>
        <v>phl</v>
      </c>
      <c r="C12577" t="str">
        <f>IFERROR(__xludf.DUMMYFUNCTION("""COMPUTED_VALUE"""),"Philippines")</f>
        <v>Philippines</v>
      </c>
      <c r="D12577">
        <f>IFERROR(__xludf.DUMMYFUNCTION("""COMPUTED_VALUE"""),1965.0)</f>
        <v>1965</v>
      </c>
      <c r="E12577">
        <f>IFERROR(__xludf.DUMMYFUNCTION("""COMPUTED_VALUE"""),3.0913933E7)</f>
        <v>30913933</v>
      </c>
    </row>
    <row r="12578">
      <c r="A12578" t="str">
        <f t="shared" si="1"/>
        <v>phl#1966</v>
      </c>
      <c r="B12578" t="str">
        <f>IFERROR(__xludf.DUMMYFUNCTION("""COMPUTED_VALUE"""),"phl")</f>
        <v>phl</v>
      </c>
      <c r="C12578" t="str">
        <f>IFERROR(__xludf.DUMMYFUNCTION("""COMPUTED_VALUE"""),"Philippines")</f>
        <v>Philippines</v>
      </c>
      <c r="D12578">
        <f>IFERROR(__xludf.DUMMYFUNCTION("""COMPUTED_VALUE"""),1966.0)</f>
        <v>1966</v>
      </c>
      <c r="E12578">
        <f>IFERROR(__xludf.DUMMYFUNCTION("""COMPUTED_VALUE"""),3.1867563E7)</f>
        <v>31867563</v>
      </c>
    </row>
    <row r="12579">
      <c r="A12579" t="str">
        <f t="shared" si="1"/>
        <v>phl#1967</v>
      </c>
      <c r="B12579" t="str">
        <f>IFERROR(__xludf.DUMMYFUNCTION("""COMPUTED_VALUE"""),"phl")</f>
        <v>phl</v>
      </c>
      <c r="C12579" t="str">
        <f>IFERROR(__xludf.DUMMYFUNCTION("""COMPUTED_VALUE"""),"Philippines")</f>
        <v>Philippines</v>
      </c>
      <c r="D12579">
        <f>IFERROR(__xludf.DUMMYFUNCTION("""COMPUTED_VALUE"""),1967.0)</f>
        <v>1967</v>
      </c>
      <c r="E12579">
        <f>IFERROR(__xludf.DUMMYFUNCTION("""COMPUTED_VALUE"""),3.2826599E7)</f>
        <v>32826599</v>
      </c>
    </row>
    <row r="12580">
      <c r="A12580" t="str">
        <f t="shared" si="1"/>
        <v>phl#1968</v>
      </c>
      <c r="B12580" t="str">
        <f>IFERROR(__xludf.DUMMYFUNCTION("""COMPUTED_VALUE"""),"phl")</f>
        <v>phl</v>
      </c>
      <c r="C12580" t="str">
        <f>IFERROR(__xludf.DUMMYFUNCTION("""COMPUTED_VALUE"""),"Philippines")</f>
        <v>Philippines</v>
      </c>
      <c r="D12580">
        <f>IFERROR(__xludf.DUMMYFUNCTION("""COMPUTED_VALUE"""),1968.0)</f>
        <v>1968</v>
      </c>
      <c r="E12580">
        <f>IFERROR(__xludf.DUMMYFUNCTION("""COMPUTED_VALUE"""),3.3797042E7)</f>
        <v>33797042</v>
      </c>
    </row>
    <row r="12581">
      <c r="A12581" t="str">
        <f t="shared" si="1"/>
        <v>phl#1969</v>
      </c>
      <c r="B12581" t="str">
        <f>IFERROR(__xludf.DUMMYFUNCTION("""COMPUTED_VALUE"""),"phl")</f>
        <v>phl</v>
      </c>
      <c r="C12581" t="str">
        <f>IFERROR(__xludf.DUMMYFUNCTION("""COMPUTED_VALUE"""),"Philippines")</f>
        <v>Philippines</v>
      </c>
      <c r="D12581">
        <f>IFERROR(__xludf.DUMMYFUNCTION("""COMPUTED_VALUE"""),1969.0)</f>
        <v>1969</v>
      </c>
      <c r="E12581">
        <f>IFERROR(__xludf.DUMMYFUNCTION("""COMPUTED_VALUE"""),3.4787588E7)</f>
        <v>34787588</v>
      </c>
    </row>
    <row r="12582">
      <c r="A12582" t="str">
        <f t="shared" si="1"/>
        <v>phl#1970</v>
      </c>
      <c r="B12582" t="str">
        <f>IFERROR(__xludf.DUMMYFUNCTION("""COMPUTED_VALUE"""),"phl")</f>
        <v>phl</v>
      </c>
      <c r="C12582" t="str">
        <f>IFERROR(__xludf.DUMMYFUNCTION("""COMPUTED_VALUE"""),"Philippines")</f>
        <v>Philippines</v>
      </c>
      <c r="D12582">
        <f>IFERROR(__xludf.DUMMYFUNCTION("""COMPUTED_VALUE"""),1970.0)</f>
        <v>1970</v>
      </c>
      <c r="E12582">
        <f>IFERROR(__xludf.DUMMYFUNCTION("""COMPUTED_VALUE"""),3.5804729E7)</f>
        <v>35804729</v>
      </c>
    </row>
    <row r="12583">
      <c r="A12583" t="str">
        <f t="shared" si="1"/>
        <v>phl#1971</v>
      </c>
      <c r="B12583" t="str">
        <f>IFERROR(__xludf.DUMMYFUNCTION("""COMPUTED_VALUE"""),"phl")</f>
        <v>phl</v>
      </c>
      <c r="C12583" t="str">
        <f>IFERROR(__xludf.DUMMYFUNCTION("""COMPUTED_VALUE"""),"Philippines")</f>
        <v>Philippines</v>
      </c>
      <c r="D12583">
        <f>IFERROR(__xludf.DUMMYFUNCTION("""COMPUTED_VALUE"""),1971.0)</f>
        <v>1971</v>
      </c>
      <c r="E12583">
        <f>IFERROR(__xludf.DUMMYFUNCTION("""COMPUTED_VALUE"""),3.6851055E7)</f>
        <v>36851055</v>
      </c>
    </row>
    <row r="12584">
      <c r="A12584" t="str">
        <f t="shared" si="1"/>
        <v>phl#1972</v>
      </c>
      <c r="B12584" t="str">
        <f>IFERROR(__xludf.DUMMYFUNCTION("""COMPUTED_VALUE"""),"phl")</f>
        <v>phl</v>
      </c>
      <c r="C12584" t="str">
        <f>IFERROR(__xludf.DUMMYFUNCTION("""COMPUTED_VALUE"""),"Philippines")</f>
        <v>Philippines</v>
      </c>
      <c r="D12584">
        <f>IFERROR(__xludf.DUMMYFUNCTION("""COMPUTED_VALUE"""),1972.0)</f>
        <v>1972</v>
      </c>
      <c r="E12584">
        <f>IFERROR(__xludf.DUMMYFUNCTION("""COMPUTED_VALUE"""),3.79254E7)</f>
        <v>37925400</v>
      </c>
    </row>
    <row r="12585">
      <c r="A12585" t="str">
        <f t="shared" si="1"/>
        <v>phl#1973</v>
      </c>
      <c r="B12585" t="str">
        <f>IFERROR(__xludf.DUMMYFUNCTION("""COMPUTED_VALUE"""),"phl")</f>
        <v>phl</v>
      </c>
      <c r="C12585" t="str">
        <f>IFERROR(__xludf.DUMMYFUNCTION("""COMPUTED_VALUE"""),"Philippines")</f>
        <v>Philippines</v>
      </c>
      <c r="D12585">
        <f>IFERROR(__xludf.DUMMYFUNCTION("""COMPUTED_VALUE"""),1973.0)</f>
        <v>1973</v>
      </c>
      <c r="E12585">
        <f>IFERROR(__xludf.DUMMYFUNCTION("""COMPUTED_VALUE"""),3.9026082E7)</f>
        <v>39026082</v>
      </c>
    </row>
    <row r="12586">
      <c r="A12586" t="str">
        <f t="shared" si="1"/>
        <v>phl#1974</v>
      </c>
      <c r="B12586" t="str">
        <f>IFERROR(__xludf.DUMMYFUNCTION("""COMPUTED_VALUE"""),"phl")</f>
        <v>phl</v>
      </c>
      <c r="C12586" t="str">
        <f>IFERROR(__xludf.DUMMYFUNCTION("""COMPUTED_VALUE"""),"Philippines")</f>
        <v>Philippines</v>
      </c>
      <c r="D12586">
        <f>IFERROR(__xludf.DUMMYFUNCTION("""COMPUTED_VALUE"""),1974.0)</f>
        <v>1974</v>
      </c>
      <c r="E12586">
        <f>IFERROR(__xludf.DUMMYFUNCTION("""COMPUTED_VALUE"""),4.0149961E7)</f>
        <v>40149961</v>
      </c>
    </row>
    <row r="12587">
      <c r="A12587" t="str">
        <f t="shared" si="1"/>
        <v>phl#1975</v>
      </c>
      <c r="B12587" t="str">
        <f>IFERROR(__xludf.DUMMYFUNCTION("""COMPUTED_VALUE"""),"phl")</f>
        <v>phl</v>
      </c>
      <c r="C12587" t="str">
        <f>IFERROR(__xludf.DUMMYFUNCTION("""COMPUTED_VALUE"""),"Philippines")</f>
        <v>Philippines</v>
      </c>
      <c r="D12587">
        <f>IFERROR(__xludf.DUMMYFUNCTION("""COMPUTED_VALUE"""),1975.0)</f>
        <v>1975</v>
      </c>
      <c r="E12587">
        <f>IFERROR(__xludf.DUMMYFUNCTION("""COMPUTED_VALUE"""),4.1295124E7)</f>
        <v>41295124</v>
      </c>
    </row>
    <row r="12588">
      <c r="A12588" t="str">
        <f t="shared" si="1"/>
        <v>phl#1976</v>
      </c>
      <c r="B12588" t="str">
        <f>IFERROR(__xludf.DUMMYFUNCTION("""COMPUTED_VALUE"""),"phl")</f>
        <v>phl</v>
      </c>
      <c r="C12588" t="str">
        <f>IFERROR(__xludf.DUMMYFUNCTION("""COMPUTED_VALUE"""),"Philippines")</f>
        <v>Philippines</v>
      </c>
      <c r="D12588">
        <f>IFERROR(__xludf.DUMMYFUNCTION("""COMPUTED_VALUE"""),1976.0)</f>
        <v>1976</v>
      </c>
      <c r="E12588">
        <f>IFERROR(__xludf.DUMMYFUNCTION("""COMPUTED_VALUE"""),4.2461193E7)</f>
        <v>42461193</v>
      </c>
    </row>
    <row r="12589">
      <c r="A12589" t="str">
        <f t="shared" si="1"/>
        <v>phl#1977</v>
      </c>
      <c r="B12589" t="str">
        <f>IFERROR(__xludf.DUMMYFUNCTION("""COMPUTED_VALUE"""),"phl")</f>
        <v>phl</v>
      </c>
      <c r="C12589" t="str">
        <f>IFERROR(__xludf.DUMMYFUNCTION("""COMPUTED_VALUE"""),"Philippines")</f>
        <v>Philippines</v>
      </c>
      <c r="D12589">
        <f>IFERROR(__xludf.DUMMYFUNCTION("""COMPUTED_VALUE"""),1977.0)</f>
        <v>1977</v>
      </c>
      <c r="E12589">
        <f>IFERROR(__xludf.DUMMYFUNCTION("""COMPUTED_VALUE"""),4.3650333E7)</f>
        <v>43650333</v>
      </c>
    </row>
    <row r="12590">
      <c r="A12590" t="str">
        <f t="shared" si="1"/>
        <v>phl#1978</v>
      </c>
      <c r="B12590" t="str">
        <f>IFERROR(__xludf.DUMMYFUNCTION("""COMPUTED_VALUE"""),"phl")</f>
        <v>phl</v>
      </c>
      <c r="C12590" t="str">
        <f>IFERROR(__xludf.DUMMYFUNCTION("""COMPUTED_VALUE"""),"Philippines")</f>
        <v>Philippines</v>
      </c>
      <c r="D12590">
        <f>IFERROR(__xludf.DUMMYFUNCTION("""COMPUTED_VALUE"""),1978.0)</f>
        <v>1978</v>
      </c>
      <c r="E12590">
        <f>IFERROR(__xludf.DUMMYFUNCTION("""COMPUTED_VALUE"""),4.4866273E7)</f>
        <v>44866273</v>
      </c>
    </row>
    <row r="12591">
      <c r="A12591" t="str">
        <f t="shared" si="1"/>
        <v>phl#1979</v>
      </c>
      <c r="B12591" t="str">
        <f>IFERROR(__xludf.DUMMYFUNCTION("""COMPUTED_VALUE"""),"phl")</f>
        <v>phl</v>
      </c>
      <c r="C12591" t="str">
        <f>IFERROR(__xludf.DUMMYFUNCTION("""COMPUTED_VALUE"""),"Philippines")</f>
        <v>Philippines</v>
      </c>
      <c r="D12591">
        <f>IFERROR(__xludf.DUMMYFUNCTION("""COMPUTED_VALUE"""),1979.0)</f>
        <v>1979</v>
      </c>
      <c r="E12591">
        <f>IFERROR(__xludf.DUMMYFUNCTION("""COMPUTED_VALUE"""),4.6113995E7)</f>
        <v>46113995</v>
      </c>
    </row>
    <row r="12592">
      <c r="A12592" t="str">
        <f t="shared" si="1"/>
        <v>phl#1980</v>
      </c>
      <c r="B12592" t="str">
        <f>IFERROR(__xludf.DUMMYFUNCTION("""COMPUTED_VALUE"""),"phl")</f>
        <v>phl</v>
      </c>
      <c r="C12592" t="str">
        <f>IFERROR(__xludf.DUMMYFUNCTION("""COMPUTED_VALUE"""),"Philippines")</f>
        <v>Philippines</v>
      </c>
      <c r="D12592">
        <f>IFERROR(__xludf.DUMMYFUNCTION("""COMPUTED_VALUE"""),1980.0)</f>
        <v>1980</v>
      </c>
      <c r="E12592">
        <f>IFERROR(__xludf.DUMMYFUNCTION("""COMPUTED_VALUE"""),4.7396968E7)</f>
        <v>47396968</v>
      </c>
    </row>
    <row r="12593">
      <c r="A12593" t="str">
        <f t="shared" si="1"/>
        <v>phl#1981</v>
      </c>
      <c r="B12593" t="str">
        <f>IFERROR(__xludf.DUMMYFUNCTION("""COMPUTED_VALUE"""),"phl")</f>
        <v>phl</v>
      </c>
      <c r="C12593" t="str">
        <f>IFERROR(__xludf.DUMMYFUNCTION("""COMPUTED_VALUE"""),"Philippines")</f>
        <v>Philippines</v>
      </c>
      <c r="D12593">
        <f>IFERROR(__xludf.DUMMYFUNCTION("""COMPUTED_VALUE"""),1981.0)</f>
        <v>1981</v>
      </c>
      <c r="E12593">
        <f>IFERROR(__xludf.DUMMYFUNCTION("""COMPUTED_VALUE"""),4.8715592E7)</f>
        <v>48715592</v>
      </c>
    </row>
    <row r="12594">
      <c r="A12594" t="str">
        <f t="shared" si="1"/>
        <v>phl#1982</v>
      </c>
      <c r="B12594" t="str">
        <f>IFERROR(__xludf.DUMMYFUNCTION("""COMPUTED_VALUE"""),"phl")</f>
        <v>phl</v>
      </c>
      <c r="C12594" t="str">
        <f>IFERROR(__xludf.DUMMYFUNCTION("""COMPUTED_VALUE"""),"Philippines")</f>
        <v>Philippines</v>
      </c>
      <c r="D12594">
        <f>IFERROR(__xludf.DUMMYFUNCTION("""COMPUTED_VALUE"""),1982.0)</f>
        <v>1982</v>
      </c>
      <c r="E12594">
        <f>IFERROR(__xludf.DUMMYFUNCTION("""COMPUTED_VALUE"""),5.0068493E7)</f>
        <v>50068493</v>
      </c>
    </row>
    <row r="12595">
      <c r="A12595" t="str">
        <f t="shared" si="1"/>
        <v>phl#1983</v>
      </c>
      <c r="B12595" t="str">
        <f>IFERROR(__xludf.DUMMYFUNCTION("""COMPUTED_VALUE"""),"phl")</f>
        <v>phl</v>
      </c>
      <c r="C12595" t="str">
        <f>IFERROR(__xludf.DUMMYFUNCTION("""COMPUTED_VALUE"""),"Philippines")</f>
        <v>Philippines</v>
      </c>
      <c r="D12595">
        <f>IFERROR(__xludf.DUMMYFUNCTION("""COMPUTED_VALUE"""),1983.0)</f>
        <v>1983</v>
      </c>
      <c r="E12595">
        <f>IFERROR(__xludf.DUMMYFUNCTION("""COMPUTED_VALUE"""),5.1455033E7)</f>
        <v>51455033</v>
      </c>
    </row>
    <row r="12596">
      <c r="A12596" t="str">
        <f t="shared" si="1"/>
        <v>phl#1984</v>
      </c>
      <c r="B12596" t="str">
        <f>IFERROR(__xludf.DUMMYFUNCTION("""COMPUTED_VALUE"""),"phl")</f>
        <v>phl</v>
      </c>
      <c r="C12596" t="str">
        <f>IFERROR(__xludf.DUMMYFUNCTION("""COMPUTED_VALUE"""),"Philippines")</f>
        <v>Philippines</v>
      </c>
      <c r="D12596">
        <f>IFERROR(__xludf.DUMMYFUNCTION("""COMPUTED_VALUE"""),1984.0)</f>
        <v>1984</v>
      </c>
      <c r="E12596">
        <f>IFERROR(__xludf.DUMMYFUNCTION("""COMPUTED_VALUE"""),5.2873974E7)</f>
        <v>52873974</v>
      </c>
    </row>
    <row r="12597">
      <c r="A12597" t="str">
        <f t="shared" si="1"/>
        <v>phl#1985</v>
      </c>
      <c r="B12597" t="str">
        <f>IFERROR(__xludf.DUMMYFUNCTION("""COMPUTED_VALUE"""),"phl")</f>
        <v>phl</v>
      </c>
      <c r="C12597" t="str">
        <f>IFERROR(__xludf.DUMMYFUNCTION("""COMPUTED_VALUE"""),"Philippines")</f>
        <v>Philippines</v>
      </c>
      <c r="D12597">
        <f>IFERROR(__xludf.DUMMYFUNCTION("""COMPUTED_VALUE"""),1985.0)</f>
        <v>1985</v>
      </c>
      <c r="E12597">
        <f>IFERROR(__xludf.DUMMYFUNCTION("""COMPUTED_VALUE"""),5.4323648E7)</f>
        <v>54323648</v>
      </c>
    </row>
    <row r="12598">
      <c r="A12598" t="str">
        <f t="shared" si="1"/>
        <v>phl#1986</v>
      </c>
      <c r="B12598" t="str">
        <f>IFERROR(__xludf.DUMMYFUNCTION("""COMPUTED_VALUE"""),"phl")</f>
        <v>phl</v>
      </c>
      <c r="C12598" t="str">
        <f>IFERROR(__xludf.DUMMYFUNCTION("""COMPUTED_VALUE"""),"Philippines")</f>
        <v>Philippines</v>
      </c>
      <c r="D12598">
        <f>IFERROR(__xludf.DUMMYFUNCTION("""COMPUTED_VALUE"""),1986.0)</f>
        <v>1986</v>
      </c>
      <c r="E12598">
        <f>IFERROR(__xludf.DUMMYFUNCTION("""COMPUTED_VALUE"""),5.5804072E7)</f>
        <v>55804072</v>
      </c>
    </row>
    <row r="12599">
      <c r="A12599" t="str">
        <f t="shared" si="1"/>
        <v>phl#1987</v>
      </c>
      <c r="B12599" t="str">
        <f>IFERROR(__xludf.DUMMYFUNCTION("""COMPUTED_VALUE"""),"phl")</f>
        <v>phl</v>
      </c>
      <c r="C12599" t="str">
        <f>IFERROR(__xludf.DUMMYFUNCTION("""COMPUTED_VALUE"""),"Philippines")</f>
        <v>Philippines</v>
      </c>
      <c r="D12599">
        <f>IFERROR(__xludf.DUMMYFUNCTION("""COMPUTED_VALUE"""),1987.0)</f>
        <v>1987</v>
      </c>
      <c r="E12599">
        <f>IFERROR(__xludf.DUMMYFUNCTION("""COMPUTED_VALUE"""),5.7313311E7)</f>
        <v>57313311</v>
      </c>
    </row>
    <row r="12600">
      <c r="A12600" t="str">
        <f t="shared" si="1"/>
        <v>phl#1988</v>
      </c>
      <c r="B12600" t="str">
        <f>IFERROR(__xludf.DUMMYFUNCTION("""COMPUTED_VALUE"""),"phl")</f>
        <v>phl</v>
      </c>
      <c r="C12600" t="str">
        <f>IFERROR(__xludf.DUMMYFUNCTION("""COMPUTED_VALUE"""),"Philippines")</f>
        <v>Philippines</v>
      </c>
      <c r="D12600">
        <f>IFERROR(__xludf.DUMMYFUNCTION("""COMPUTED_VALUE"""),1988.0)</f>
        <v>1988</v>
      </c>
      <c r="E12600">
        <f>IFERROR(__xludf.DUMMYFUNCTION("""COMPUTED_VALUE"""),5.8845205E7)</f>
        <v>58845205</v>
      </c>
    </row>
    <row r="12601">
      <c r="A12601" t="str">
        <f t="shared" si="1"/>
        <v>phl#1989</v>
      </c>
      <c r="B12601" t="str">
        <f>IFERROR(__xludf.DUMMYFUNCTION("""COMPUTED_VALUE"""),"phl")</f>
        <v>phl</v>
      </c>
      <c r="C12601" t="str">
        <f>IFERROR(__xludf.DUMMYFUNCTION("""COMPUTED_VALUE"""),"Philippines")</f>
        <v>Philippines</v>
      </c>
      <c r="D12601">
        <f>IFERROR(__xludf.DUMMYFUNCTION("""COMPUTED_VALUE"""),1989.0)</f>
        <v>1989</v>
      </c>
      <c r="E12601">
        <f>IFERROR(__xludf.DUMMYFUNCTION("""COMPUTED_VALUE"""),6.0391867E7)</f>
        <v>60391867</v>
      </c>
    </row>
    <row r="12602">
      <c r="A12602" t="str">
        <f t="shared" si="1"/>
        <v>phl#1990</v>
      </c>
      <c r="B12602" t="str">
        <f>IFERROR(__xludf.DUMMYFUNCTION("""COMPUTED_VALUE"""),"phl")</f>
        <v>phl</v>
      </c>
      <c r="C12602" t="str">
        <f>IFERROR(__xludf.DUMMYFUNCTION("""COMPUTED_VALUE"""),"Philippines")</f>
        <v>Philippines</v>
      </c>
      <c r="D12602">
        <f>IFERROR(__xludf.DUMMYFUNCTION("""COMPUTED_VALUE"""),1990.0)</f>
        <v>1990</v>
      </c>
      <c r="E12602">
        <f>IFERROR(__xludf.DUMMYFUNCTION("""COMPUTED_VALUE"""),6.1947348E7)</f>
        <v>61947348</v>
      </c>
    </row>
    <row r="12603">
      <c r="A12603" t="str">
        <f t="shared" si="1"/>
        <v>phl#1991</v>
      </c>
      <c r="B12603" t="str">
        <f>IFERROR(__xludf.DUMMYFUNCTION("""COMPUTED_VALUE"""),"phl")</f>
        <v>phl</v>
      </c>
      <c r="C12603" t="str">
        <f>IFERROR(__xludf.DUMMYFUNCTION("""COMPUTED_VALUE"""),"Philippines")</f>
        <v>Philippines</v>
      </c>
      <c r="D12603">
        <f>IFERROR(__xludf.DUMMYFUNCTION("""COMPUTED_VALUE"""),1991.0)</f>
        <v>1991</v>
      </c>
      <c r="E12603">
        <f>IFERROR(__xludf.DUMMYFUNCTION("""COMPUTED_VALUE"""),6.3508459E7)</f>
        <v>63508459</v>
      </c>
    </row>
    <row r="12604">
      <c r="A12604" t="str">
        <f t="shared" si="1"/>
        <v>phl#1992</v>
      </c>
      <c r="B12604" t="str">
        <f>IFERROR(__xludf.DUMMYFUNCTION("""COMPUTED_VALUE"""),"phl")</f>
        <v>phl</v>
      </c>
      <c r="C12604" t="str">
        <f>IFERROR(__xludf.DUMMYFUNCTION("""COMPUTED_VALUE"""),"Philippines")</f>
        <v>Philippines</v>
      </c>
      <c r="D12604">
        <f>IFERROR(__xludf.DUMMYFUNCTION("""COMPUTED_VALUE"""),1992.0)</f>
        <v>1992</v>
      </c>
      <c r="E12604">
        <f>IFERROR(__xludf.DUMMYFUNCTION("""COMPUTED_VALUE"""),6.5075486E7)</f>
        <v>65075486</v>
      </c>
    </row>
    <row r="12605">
      <c r="A12605" t="str">
        <f t="shared" si="1"/>
        <v>phl#1993</v>
      </c>
      <c r="B12605" t="str">
        <f>IFERROR(__xludf.DUMMYFUNCTION("""COMPUTED_VALUE"""),"phl")</f>
        <v>phl</v>
      </c>
      <c r="C12605" t="str">
        <f>IFERROR(__xludf.DUMMYFUNCTION("""COMPUTED_VALUE"""),"Philippines")</f>
        <v>Philippines</v>
      </c>
      <c r="D12605">
        <f>IFERROR(__xludf.DUMMYFUNCTION("""COMPUTED_VALUE"""),1993.0)</f>
        <v>1993</v>
      </c>
      <c r="E12605">
        <f>IFERROR(__xludf.DUMMYFUNCTION("""COMPUTED_VALUE"""),6.6650247E7)</f>
        <v>66650247</v>
      </c>
    </row>
    <row r="12606">
      <c r="A12606" t="str">
        <f t="shared" si="1"/>
        <v>phl#1994</v>
      </c>
      <c r="B12606" t="str">
        <f>IFERROR(__xludf.DUMMYFUNCTION("""COMPUTED_VALUE"""),"phl")</f>
        <v>phl</v>
      </c>
      <c r="C12606" t="str">
        <f>IFERROR(__xludf.DUMMYFUNCTION("""COMPUTED_VALUE"""),"Philippines")</f>
        <v>Philippines</v>
      </c>
      <c r="D12606">
        <f>IFERROR(__xludf.DUMMYFUNCTION("""COMPUTED_VALUE"""),1994.0)</f>
        <v>1994</v>
      </c>
      <c r="E12606">
        <f>IFERROR(__xludf.DUMMYFUNCTION("""COMPUTED_VALUE"""),6.823623E7)</f>
        <v>68236230</v>
      </c>
    </row>
    <row r="12607">
      <c r="A12607" t="str">
        <f t="shared" si="1"/>
        <v>phl#1995</v>
      </c>
      <c r="B12607" t="str">
        <f>IFERROR(__xludf.DUMMYFUNCTION("""COMPUTED_VALUE"""),"phl")</f>
        <v>phl</v>
      </c>
      <c r="C12607" t="str">
        <f>IFERROR(__xludf.DUMMYFUNCTION("""COMPUTED_VALUE"""),"Philippines")</f>
        <v>Philippines</v>
      </c>
      <c r="D12607">
        <f>IFERROR(__xludf.DUMMYFUNCTION("""COMPUTED_VALUE"""),1995.0)</f>
        <v>1995</v>
      </c>
      <c r="E12607">
        <f>IFERROR(__xludf.DUMMYFUNCTION("""COMPUTED_VALUE"""),6.9835715E7)</f>
        <v>69835715</v>
      </c>
    </row>
    <row r="12608">
      <c r="A12608" t="str">
        <f t="shared" si="1"/>
        <v>phl#1996</v>
      </c>
      <c r="B12608" t="str">
        <f>IFERROR(__xludf.DUMMYFUNCTION("""COMPUTED_VALUE"""),"phl")</f>
        <v>phl</v>
      </c>
      <c r="C12608" t="str">
        <f>IFERROR(__xludf.DUMMYFUNCTION("""COMPUTED_VALUE"""),"Philippines")</f>
        <v>Philippines</v>
      </c>
      <c r="D12608">
        <f>IFERROR(__xludf.DUMMYFUNCTION("""COMPUTED_VALUE"""),1996.0)</f>
        <v>1996</v>
      </c>
      <c r="E12608">
        <f>IFERROR(__xludf.DUMMYFUNCTION("""COMPUTED_VALUE"""),7.1446107E7)</f>
        <v>71446107</v>
      </c>
    </row>
    <row r="12609">
      <c r="A12609" t="str">
        <f t="shared" si="1"/>
        <v>phl#1997</v>
      </c>
      <c r="B12609" t="str">
        <f>IFERROR(__xludf.DUMMYFUNCTION("""COMPUTED_VALUE"""),"phl")</f>
        <v>phl</v>
      </c>
      <c r="C12609" t="str">
        <f>IFERROR(__xludf.DUMMYFUNCTION("""COMPUTED_VALUE"""),"Philippines")</f>
        <v>Philippines</v>
      </c>
      <c r="D12609">
        <f>IFERROR(__xludf.DUMMYFUNCTION("""COMPUTED_VALUE"""),1997.0)</f>
        <v>1997</v>
      </c>
      <c r="E12609">
        <f>IFERROR(__xludf.DUMMYFUNCTION("""COMPUTED_VALUE"""),7.3064764E7)</f>
        <v>73064764</v>
      </c>
    </row>
    <row r="12610">
      <c r="A12610" t="str">
        <f t="shared" si="1"/>
        <v>phl#1998</v>
      </c>
      <c r="B12610" t="str">
        <f>IFERROR(__xludf.DUMMYFUNCTION("""COMPUTED_VALUE"""),"phl")</f>
        <v>phl</v>
      </c>
      <c r="C12610" t="str">
        <f>IFERROR(__xludf.DUMMYFUNCTION("""COMPUTED_VALUE"""),"Philippines")</f>
        <v>Philippines</v>
      </c>
      <c r="D12610">
        <f>IFERROR(__xludf.DUMMYFUNCTION("""COMPUTED_VALUE"""),1998.0)</f>
        <v>1998</v>
      </c>
      <c r="E12610">
        <f>IFERROR(__xludf.DUMMYFUNCTION("""COMPUTED_VALUE"""),7.4693695E7)</f>
        <v>74693695</v>
      </c>
    </row>
    <row r="12611">
      <c r="A12611" t="str">
        <f t="shared" si="1"/>
        <v>phl#1999</v>
      </c>
      <c r="B12611" t="str">
        <f>IFERROR(__xludf.DUMMYFUNCTION("""COMPUTED_VALUE"""),"phl")</f>
        <v>phl</v>
      </c>
      <c r="C12611" t="str">
        <f>IFERROR(__xludf.DUMMYFUNCTION("""COMPUTED_VALUE"""),"Philippines")</f>
        <v>Philippines</v>
      </c>
      <c r="D12611">
        <f>IFERROR(__xludf.DUMMYFUNCTION("""COMPUTED_VALUE"""),1999.0)</f>
        <v>1999</v>
      </c>
      <c r="E12611">
        <f>IFERROR(__xludf.DUMMYFUNCTION("""COMPUTED_VALUE"""),7.6335812E7)</f>
        <v>76335812</v>
      </c>
    </row>
    <row r="12612">
      <c r="A12612" t="str">
        <f t="shared" si="1"/>
        <v>phl#2000</v>
      </c>
      <c r="B12612" t="str">
        <f>IFERROR(__xludf.DUMMYFUNCTION("""COMPUTED_VALUE"""),"phl")</f>
        <v>phl</v>
      </c>
      <c r="C12612" t="str">
        <f>IFERROR(__xludf.DUMMYFUNCTION("""COMPUTED_VALUE"""),"Philippines")</f>
        <v>Philippines</v>
      </c>
      <c r="D12612">
        <f>IFERROR(__xludf.DUMMYFUNCTION("""COMPUTED_VALUE"""),2000.0)</f>
        <v>2000</v>
      </c>
      <c r="E12612">
        <f>IFERROR(__xludf.DUMMYFUNCTION("""COMPUTED_VALUE"""),7.7991569E7)</f>
        <v>77991569</v>
      </c>
    </row>
    <row r="12613">
      <c r="A12613" t="str">
        <f t="shared" si="1"/>
        <v>phl#2001</v>
      </c>
      <c r="B12613" t="str">
        <f>IFERROR(__xludf.DUMMYFUNCTION("""COMPUTED_VALUE"""),"phl")</f>
        <v>phl</v>
      </c>
      <c r="C12613" t="str">
        <f>IFERROR(__xludf.DUMMYFUNCTION("""COMPUTED_VALUE"""),"Philippines")</f>
        <v>Philippines</v>
      </c>
      <c r="D12613">
        <f>IFERROR(__xludf.DUMMYFUNCTION("""COMPUTED_VALUE"""),2001.0)</f>
        <v>2001</v>
      </c>
      <c r="E12613">
        <f>IFERROR(__xludf.DUMMYFUNCTION("""COMPUTED_VALUE"""),7.9665315E7)</f>
        <v>79665315</v>
      </c>
    </row>
    <row r="12614">
      <c r="A12614" t="str">
        <f t="shared" si="1"/>
        <v>phl#2002</v>
      </c>
      <c r="B12614" t="str">
        <f>IFERROR(__xludf.DUMMYFUNCTION("""COMPUTED_VALUE"""),"phl")</f>
        <v>phl</v>
      </c>
      <c r="C12614" t="str">
        <f>IFERROR(__xludf.DUMMYFUNCTION("""COMPUTED_VALUE"""),"Philippines")</f>
        <v>Philippines</v>
      </c>
      <c r="D12614">
        <f>IFERROR(__xludf.DUMMYFUNCTION("""COMPUTED_VALUE"""),2002.0)</f>
        <v>2002</v>
      </c>
      <c r="E12614">
        <f>IFERROR(__xludf.DUMMYFUNCTION("""COMPUTED_VALUE"""),8.135206E7)</f>
        <v>81352060</v>
      </c>
    </row>
    <row r="12615">
      <c r="A12615" t="str">
        <f t="shared" si="1"/>
        <v>phl#2003</v>
      </c>
      <c r="B12615" t="str">
        <f>IFERROR(__xludf.DUMMYFUNCTION("""COMPUTED_VALUE"""),"phl")</f>
        <v>phl</v>
      </c>
      <c r="C12615" t="str">
        <f>IFERROR(__xludf.DUMMYFUNCTION("""COMPUTED_VALUE"""),"Philippines")</f>
        <v>Philippines</v>
      </c>
      <c r="D12615">
        <f>IFERROR(__xludf.DUMMYFUNCTION("""COMPUTED_VALUE"""),2003.0)</f>
        <v>2003</v>
      </c>
      <c r="E12615">
        <f>IFERROR(__xludf.DUMMYFUNCTION("""COMPUTED_VALUE"""),8.3031954E7)</f>
        <v>83031954</v>
      </c>
    </row>
    <row r="12616">
      <c r="A12616" t="str">
        <f t="shared" si="1"/>
        <v>phl#2004</v>
      </c>
      <c r="B12616" t="str">
        <f>IFERROR(__xludf.DUMMYFUNCTION("""COMPUTED_VALUE"""),"phl")</f>
        <v>phl</v>
      </c>
      <c r="C12616" t="str">
        <f>IFERROR(__xludf.DUMMYFUNCTION("""COMPUTED_VALUE"""),"Philippines")</f>
        <v>Philippines</v>
      </c>
      <c r="D12616">
        <f>IFERROR(__xludf.DUMMYFUNCTION("""COMPUTED_VALUE"""),2004.0)</f>
        <v>2004</v>
      </c>
      <c r="E12616">
        <f>IFERROR(__xludf.DUMMYFUNCTION("""COMPUTED_VALUE"""),8.4678493E7)</f>
        <v>84678493</v>
      </c>
    </row>
    <row r="12617">
      <c r="A12617" t="str">
        <f t="shared" si="1"/>
        <v>phl#2005</v>
      </c>
      <c r="B12617" t="str">
        <f>IFERROR(__xludf.DUMMYFUNCTION("""COMPUTED_VALUE"""),"phl")</f>
        <v>phl</v>
      </c>
      <c r="C12617" t="str">
        <f>IFERROR(__xludf.DUMMYFUNCTION("""COMPUTED_VALUE"""),"Philippines")</f>
        <v>Philippines</v>
      </c>
      <c r="D12617">
        <f>IFERROR(__xludf.DUMMYFUNCTION("""COMPUTED_VALUE"""),2005.0)</f>
        <v>2005</v>
      </c>
      <c r="E12617">
        <f>IFERROR(__xludf.DUMMYFUNCTION("""COMPUTED_VALUE"""),8.6274237E7)</f>
        <v>86274237</v>
      </c>
    </row>
    <row r="12618">
      <c r="A12618" t="str">
        <f t="shared" si="1"/>
        <v>phl#2006</v>
      </c>
      <c r="B12618" t="str">
        <f>IFERROR(__xludf.DUMMYFUNCTION("""COMPUTED_VALUE"""),"phl")</f>
        <v>phl</v>
      </c>
      <c r="C12618" t="str">
        <f>IFERROR(__xludf.DUMMYFUNCTION("""COMPUTED_VALUE"""),"Philippines")</f>
        <v>Philippines</v>
      </c>
      <c r="D12618">
        <f>IFERROR(__xludf.DUMMYFUNCTION("""COMPUTED_VALUE"""),2006.0)</f>
        <v>2006</v>
      </c>
      <c r="E12618">
        <f>IFERROR(__xludf.DUMMYFUNCTION("""COMPUTED_VALUE"""),8.7809419E7)</f>
        <v>87809419</v>
      </c>
    </row>
    <row r="12619">
      <c r="A12619" t="str">
        <f t="shared" si="1"/>
        <v>phl#2007</v>
      </c>
      <c r="B12619" t="str">
        <f>IFERROR(__xludf.DUMMYFUNCTION("""COMPUTED_VALUE"""),"phl")</f>
        <v>phl</v>
      </c>
      <c r="C12619" t="str">
        <f>IFERROR(__xludf.DUMMYFUNCTION("""COMPUTED_VALUE"""),"Philippines")</f>
        <v>Philippines</v>
      </c>
      <c r="D12619">
        <f>IFERROR(__xludf.DUMMYFUNCTION("""COMPUTED_VALUE"""),2007.0)</f>
        <v>2007</v>
      </c>
      <c r="E12619">
        <f>IFERROR(__xludf.DUMMYFUNCTION("""COMPUTED_VALUE"""),8.929349E7)</f>
        <v>89293490</v>
      </c>
    </row>
    <row r="12620">
      <c r="A12620" t="str">
        <f t="shared" si="1"/>
        <v>phl#2008</v>
      </c>
      <c r="B12620" t="str">
        <f>IFERROR(__xludf.DUMMYFUNCTION("""COMPUTED_VALUE"""),"phl")</f>
        <v>phl</v>
      </c>
      <c r="C12620" t="str">
        <f>IFERROR(__xludf.DUMMYFUNCTION("""COMPUTED_VALUE"""),"Philippines")</f>
        <v>Philippines</v>
      </c>
      <c r="D12620">
        <f>IFERROR(__xludf.DUMMYFUNCTION("""COMPUTED_VALUE"""),2008.0)</f>
        <v>2008</v>
      </c>
      <c r="E12620">
        <f>IFERROR(__xludf.DUMMYFUNCTION("""COMPUTED_VALUE"""),9.0751864E7)</f>
        <v>90751864</v>
      </c>
    </row>
    <row r="12621">
      <c r="A12621" t="str">
        <f t="shared" si="1"/>
        <v>phl#2009</v>
      </c>
      <c r="B12621" t="str">
        <f>IFERROR(__xludf.DUMMYFUNCTION("""COMPUTED_VALUE"""),"phl")</f>
        <v>phl</v>
      </c>
      <c r="C12621" t="str">
        <f>IFERROR(__xludf.DUMMYFUNCTION("""COMPUTED_VALUE"""),"Philippines")</f>
        <v>Philippines</v>
      </c>
      <c r="D12621">
        <f>IFERROR(__xludf.DUMMYFUNCTION("""COMPUTED_VALUE"""),2009.0)</f>
        <v>2009</v>
      </c>
      <c r="E12621">
        <f>IFERROR(__xludf.DUMMYFUNCTION("""COMPUTED_VALUE"""),9.2220879E7)</f>
        <v>92220879</v>
      </c>
    </row>
    <row r="12622">
      <c r="A12622" t="str">
        <f t="shared" si="1"/>
        <v>phl#2010</v>
      </c>
      <c r="B12622" t="str">
        <f>IFERROR(__xludf.DUMMYFUNCTION("""COMPUTED_VALUE"""),"phl")</f>
        <v>phl</v>
      </c>
      <c r="C12622" t="str">
        <f>IFERROR(__xludf.DUMMYFUNCTION("""COMPUTED_VALUE"""),"Philippines")</f>
        <v>Philippines</v>
      </c>
      <c r="D12622">
        <f>IFERROR(__xludf.DUMMYFUNCTION("""COMPUTED_VALUE"""),2010.0)</f>
        <v>2010</v>
      </c>
      <c r="E12622">
        <f>IFERROR(__xludf.DUMMYFUNCTION("""COMPUTED_VALUE"""),9.3726624E7)</f>
        <v>93726624</v>
      </c>
    </row>
    <row r="12623">
      <c r="A12623" t="str">
        <f t="shared" si="1"/>
        <v>phl#2011</v>
      </c>
      <c r="B12623" t="str">
        <f>IFERROR(__xludf.DUMMYFUNCTION("""COMPUTED_VALUE"""),"phl")</f>
        <v>phl</v>
      </c>
      <c r="C12623" t="str">
        <f>IFERROR(__xludf.DUMMYFUNCTION("""COMPUTED_VALUE"""),"Philippines")</f>
        <v>Philippines</v>
      </c>
      <c r="D12623">
        <f>IFERROR(__xludf.DUMMYFUNCTION("""COMPUTED_VALUE"""),2011.0)</f>
        <v>2011</v>
      </c>
      <c r="E12623">
        <f>IFERROR(__xludf.DUMMYFUNCTION("""COMPUTED_VALUE"""),9.527794E7)</f>
        <v>95277940</v>
      </c>
    </row>
    <row r="12624">
      <c r="A12624" t="str">
        <f t="shared" si="1"/>
        <v>phl#2012</v>
      </c>
      <c r="B12624" t="str">
        <f>IFERROR(__xludf.DUMMYFUNCTION("""COMPUTED_VALUE"""),"phl")</f>
        <v>phl</v>
      </c>
      <c r="C12624" t="str">
        <f>IFERROR(__xludf.DUMMYFUNCTION("""COMPUTED_VALUE"""),"Philippines")</f>
        <v>Philippines</v>
      </c>
      <c r="D12624">
        <f>IFERROR(__xludf.DUMMYFUNCTION("""COMPUTED_VALUE"""),2012.0)</f>
        <v>2012</v>
      </c>
      <c r="E12624">
        <f>IFERROR(__xludf.DUMMYFUNCTION("""COMPUTED_VALUE"""),9.6866642E7)</f>
        <v>96866642</v>
      </c>
    </row>
    <row r="12625">
      <c r="A12625" t="str">
        <f t="shared" si="1"/>
        <v>phl#2013</v>
      </c>
      <c r="B12625" t="str">
        <f>IFERROR(__xludf.DUMMYFUNCTION("""COMPUTED_VALUE"""),"phl")</f>
        <v>phl</v>
      </c>
      <c r="C12625" t="str">
        <f>IFERROR(__xludf.DUMMYFUNCTION("""COMPUTED_VALUE"""),"Philippines")</f>
        <v>Philippines</v>
      </c>
      <c r="D12625">
        <f>IFERROR(__xludf.DUMMYFUNCTION("""COMPUTED_VALUE"""),2013.0)</f>
        <v>2013</v>
      </c>
      <c r="E12625">
        <f>IFERROR(__xludf.DUMMYFUNCTION("""COMPUTED_VALUE"""),9.8481032E7)</f>
        <v>98481032</v>
      </c>
    </row>
    <row r="12626">
      <c r="A12626" t="str">
        <f t="shared" si="1"/>
        <v>phl#2014</v>
      </c>
      <c r="B12626" t="str">
        <f>IFERROR(__xludf.DUMMYFUNCTION("""COMPUTED_VALUE"""),"phl")</f>
        <v>phl</v>
      </c>
      <c r="C12626" t="str">
        <f>IFERROR(__xludf.DUMMYFUNCTION("""COMPUTED_VALUE"""),"Philippines")</f>
        <v>Philippines</v>
      </c>
      <c r="D12626">
        <f>IFERROR(__xludf.DUMMYFUNCTION("""COMPUTED_VALUE"""),2014.0)</f>
        <v>2014</v>
      </c>
      <c r="E12626">
        <f>IFERROR(__xludf.DUMMYFUNCTION("""COMPUTED_VALUE"""),1.00102249E8)</f>
        <v>100102249</v>
      </c>
    </row>
    <row r="12627">
      <c r="A12627" t="str">
        <f t="shared" si="1"/>
        <v>phl#2015</v>
      </c>
      <c r="B12627" t="str">
        <f>IFERROR(__xludf.DUMMYFUNCTION("""COMPUTED_VALUE"""),"phl")</f>
        <v>phl</v>
      </c>
      <c r="C12627" t="str">
        <f>IFERROR(__xludf.DUMMYFUNCTION("""COMPUTED_VALUE"""),"Philippines")</f>
        <v>Philippines</v>
      </c>
      <c r="D12627">
        <f>IFERROR(__xludf.DUMMYFUNCTION("""COMPUTED_VALUE"""),2015.0)</f>
        <v>2015</v>
      </c>
      <c r="E12627">
        <f>IFERROR(__xludf.DUMMYFUNCTION("""COMPUTED_VALUE"""),1.01716359E8)</f>
        <v>101716359</v>
      </c>
    </row>
    <row r="12628">
      <c r="A12628" t="str">
        <f t="shared" si="1"/>
        <v>phl#2016</v>
      </c>
      <c r="B12628" t="str">
        <f>IFERROR(__xludf.DUMMYFUNCTION("""COMPUTED_VALUE"""),"phl")</f>
        <v>phl</v>
      </c>
      <c r="C12628" t="str">
        <f>IFERROR(__xludf.DUMMYFUNCTION("""COMPUTED_VALUE"""),"Philippines")</f>
        <v>Philippines</v>
      </c>
      <c r="D12628">
        <f>IFERROR(__xludf.DUMMYFUNCTION("""COMPUTED_VALUE"""),2016.0)</f>
        <v>2016</v>
      </c>
      <c r="E12628">
        <f>IFERROR(__xludf.DUMMYFUNCTION("""COMPUTED_VALUE"""),1.03320222E8)</f>
        <v>103320222</v>
      </c>
    </row>
    <row r="12629">
      <c r="A12629" t="str">
        <f t="shared" si="1"/>
        <v>phl#2017</v>
      </c>
      <c r="B12629" t="str">
        <f>IFERROR(__xludf.DUMMYFUNCTION("""COMPUTED_VALUE"""),"phl")</f>
        <v>phl</v>
      </c>
      <c r="C12629" t="str">
        <f>IFERROR(__xludf.DUMMYFUNCTION("""COMPUTED_VALUE"""),"Philippines")</f>
        <v>Philippines</v>
      </c>
      <c r="D12629">
        <f>IFERROR(__xludf.DUMMYFUNCTION("""COMPUTED_VALUE"""),2017.0)</f>
        <v>2017</v>
      </c>
      <c r="E12629">
        <f>IFERROR(__xludf.DUMMYFUNCTION("""COMPUTED_VALUE"""),1.0491809E8)</f>
        <v>104918090</v>
      </c>
    </row>
    <row r="12630">
      <c r="A12630" t="str">
        <f t="shared" si="1"/>
        <v>phl#2018</v>
      </c>
      <c r="B12630" t="str">
        <f>IFERROR(__xludf.DUMMYFUNCTION("""COMPUTED_VALUE"""),"phl")</f>
        <v>phl</v>
      </c>
      <c r="C12630" t="str">
        <f>IFERROR(__xludf.DUMMYFUNCTION("""COMPUTED_VALUE"""),"Philippines")</f>
        <v>Philippines</v>
      </c>
      <c r="D12630">
        <f>IFERROR(__xludf.DUMMYFUNCTION("""COMPUTED_VALUE"""),2018.0)</f>
        <v>2018</v>
      </c>
      <c r="E12630">
        <f>IFERROR(__xludf.DUMMYFUNCTION("""COMPUTED_VALUE"""),1.06512074E8)</f>
        <v>106512074</v>
      </c>
    </row>
    <row r="12631">
      <c r="A12631" t="str">
        <f t="shared" si="1"/>
        <v>phl#2019</v>
      </c>
      <c r="B12631" t="str">
        <f>IFERROR(__xludf.DUMMYFUNCTION("""COMPUTED_VALUE"""),"phl")</f>
        <v>phl</v>
      </c>
      <c r="C12631" t="str">
        <f>IFERROR(__xludf.DUMMYFUNCTION("""COMPUTED_VALUE"""),"Philippines")</f>
        <v>Philippines</v>
      </c>
      <c r="D12631">
        <f>IFERROR(__xludf.DUMMYFUNCTION("""COMPUTED_VALUE"""),2019.0)</f>
        <v>2019</v>
      </c>
      <c r="E12631">
        <f>IFERROR(__xludf.DUMMYFUNCTION("""COMPUTED_VALUE"""),1.0810631E8)</f>
        <v>108106310</v>
      </c>
    </row>
    <row r="12632">
      <c r="A12632" t="str">
        <f t="shared" si="1"/>
        <v>phl#2020</v>
      </c>
      <c r="B12632" t="str">
        <f>IFERROR(__xludf.DUMMYFUNCTION("""COMPUTED_VALUE"""),"phl")</f>
        <v>phl</v>
      </c>
      <c r="C12632" t="str">
        <f>IFERROR(__xludf.DUMMYFUNCTION("""COMPUTED_VALUE"""),"Philippines")</f>
        <v>Philippines</v>
      </c>
      <c r="D12632">
        <f>IFERROR(__xludf.DUMMYFUNCTION("""COMPUTED_VALUE"""),2020.0)</f>
        <v>2020</v>
      </c>
      <c r="E12632">
        <f>IFERROR(__xludf.DUMMYFUNCTION("""COMPUTED_VALUE"""),1.09703396E8)</f>
        <v>109703396</v>
      </c>
    </row>
    <row r="12633">
      <c r="A12633" t="str">
        <f t="shared" si="1"/>
        <v>phl#2021</v>
      </c>
      <c r="B12633" t="str">
        <f>IFERROR(__xludf.DUMMYFUNCTION("""COMPUTED_VALUE"""),"phl")</f>
        <v>phl</v>
      </c>
      <c r="C12633" t="str">
        <f>IFERROR(__xludf.DUMMYFUNCTION("""COMPUTED_VALUE"""),"Philippines")</f>
        <v>Philippines</v>
      </c>
      <c r="D12633">
        <f>IFERROR(__xludf.DUMMYFUNCTION("""COMPUTED_VALUE"""),2021.0)</f>
        <v>2021</v>
      </c>
      <c r="E12633">
        <f>IFERROR(__xludf.DUMMYFUNCTION("""COMPUTED_VALUE"""),1.11302796E8)</f>
        <v>111302796</v>
      </c>
    </row>
    <row r="12634">
      <c r="A12634" t="str">
        <f t="shared" si="1"/>
        <v>phl#2022</v>
      </c>
      <c r="B12634" t="str">
        <f>IFERROR(__xludf.DUMMYFUNCTION("""COMPUTED_VALUE"""),"phl")</f>
        <v>phl</v>
      </c>
      <c r="C12634" t="str">
        <f>IFERROR(__xludf.DUMMYFUNCTION("""COMPUTED_VALUE"""),"Philippines")</f>
        <v>Philippines</v>
      </c>
      <c r="D12634">
        <f>IFERROR(__xludf.DUMMYFUNCTION("""COMPUTED_VALUE"""),2022.0)</f>
        <v>2022</v>
      </c>
      <c r="E12634">
        <f>IFERROR(__xludf.DUMMYFUNCTION("""COMPUTED_VALUE"""),1.12901564E8)</f>
        <v>112901564</v>
      </c>
    </row>
    <row r="12635">
      <c r="A12635" t="str">
        <f t="shared" si="1"/>
        <v>phl#2023</v>
      </c>
      <c r="B12635" t="str">
        <f>IFERROR(__xludf.DUMMYFUNCTION("""COMPUTED_VALUE"""),"phl")</f>
        <v>phl</v>
      </c>
      <c r="C12635" t="str">
        <f>IFERROR(__xludf.DUMMYFUNCTION("""COMPUTED_VALUE"""),"Philippines")</f>
        <v>Philippines</v>
      </c>
      <c r="D12635">
        <f>IFERROR(__xludf.DUMMYFUNCTION("""COMPUTED_VALUE"""),2023.0)</f>
        <v>2023</v>
      </c>
      <c r="E12635">
        <f>IFERROR(__xludf.DUMMYFUNCTION("""COMPUTED_VALUE"""),1.14497013E8)</f>
        <v>114497013</v>
      </c>
    </row>
    <row r="12636">
      <c r="A12636" t="str">
        <f t="shared" si="1"/>
        <v>phl#2024</v>
      </c>
      <c r="B12636" t="str">
        <f>IFERROR(__xludf.DUMMYFUNCTION("""COMPUTED_VALUE"""),"phl")</f>
        <v>phl</v>
      </c>
      <c r="C12636" t="str">
        <f>IFERROR(__xludf.DUMMYFUNCTION("""COMPUTED_VALUE"""),"Philippines")</f>
        <v>Philippines</v>
      </c>
      <c r="D12636">
        <f>IFERROR(__xludf.DUMMYFUNCTION("""COMPUTED_VALUE"""),2024.0)</f>
        <v>2024</v>
      </c>
      <c r="E12636">
        <f>IFERROR(__xludf.DUMMYFUNCTION("""COMPUTED_VALUE"""),1.16085686E8)</f>
        <v>116085686</v>
      </c>
    </row>
    <row r="12637">
      <c r="A12637" t="str">
        <f t="shared" si="1"/>
        <v>phl#2025</v>
      </c>
      <c r="B12637" t="str">
        <f>IFERROR(__xludf.DUMMYFUNCTION("""COMPUTED_VALUE"""),"phl")</f>
        <v>phl</v>
      </c>
      <c r="C12637" t="str">
        <f>IFERROR(__xludf.DUMMYFUNCTION("""COMPUTED_VALUE"""),"Philippines")</f>
        <v>Philippines</v>
      </c>
      <c r="D12637">
        <f>IFERROR(__xludf.DUMMYFUNCTION("""COMPUTED_VALUE"""),2025.0)</f>
        <v>2025</v>
      </c>
      <c r="E12637">
        <f>IFERROR(__xludf.DUMMYFUNCTION("""COMPUTED_VALUE"""),1.1766468E8)</f>
        <v>117664680</v>
      </c>
    </row>
    <row r="12638">
      <c r="A12638" t="str">
        <f t="shared" si="1"/>
        <v>phl#2026</v>
      </c>
      <c r="B12638" t="str">
        <f>IFERROR(__xludf.DUMMYFUNCTION("""COMPUTED_VALUE"""),"phl")</f>
        <v>phl</v>
      </c>
      <c r="C12638" t="str">
        <f>IFERROR(__xludf.DUMMYFUNCTION("""COMPUTED_VALUE"""),"Philippines")</f>
        <v>Philippines</v>
      </c>
      <c r="D12638">
        <f>IFERROR(__xludf.DUMMYFUNCTION("""COMPUTED_VALUE"""),2026.0)</f>
        <v>2026</v>
      </c>
      <c r="E12638">
        <f>IFERROR(__xludf.DUMMYFUNCTION("""COMPUTED_VALUE"""),1.19232531E8)</f>
        <v>119232531</v>
      </c>
    </row>
    <row r="12639">
      <c r="A12639" t="str">
        <f t="shared" si="1"/>
        <v>phl#2027</v>
      </c>
      <c r="B12639" t="str">
        <f>IFERROR(__xludf.DUMMYFUNCTION("""COMPUTED_VALUE"""),"phl")</f>
        <v>phl</v>
      </c>
      <c r="C12639" t="str">
        <f>IFERROR(__xludf.DUMMYFUNCTION("""COMPUTED_VALUE"""),"Philippines")</f>
        <v>Philippines</v>
      </c>
      <c r="D12639">
        <f>IFERROR(__xludf.DUMMYFUNCTION("""COMPUTED_VALUE"""),2027.0)</f>
        <v>2027</v>
      </c>
      <c r="E12639">
        <f>IFERROR(__xludf.DUMMYFUNCTION("""COMPUTED_VALUE"""),1.20788481E8)</f>
        <v>120788481</v>
      </c>
    </row>
    <row r="12640">
      <c r="A12640" t="str">
        <f t="shared" si="1"/>
        <v>phl#2028</v>
      </c>
      <c r="B12640" t="str">
        <f>IFERROR(__xludf.DUMMYFUNCTION("""COMPUTED_VALUE"""),"phl")</f>
        <v>phl</v>
      </c>
      <c r="C12640" t="str">
        <f>IFERROR(__xludf.DUMMYFUNCTION("""COMPUTED_VALUE"""),"Philippines")</f>
        <v>Philippines</v>
      </c>
      <c r="D12640">
        <f>IFERROR(__xludf.DUMMYFUNCTION("""COMPUTED_VALUE"""),2028.0)</f>
        <v>2028</v>
      </c>
      <c r="E12640">
        <f>IFERROR(__xludf.DUMMYFUNCTION("""COMPUTED_VALUE"""),1.22331201E8)</f>
        <v>122331201</v>
      </c>
    </row>
    <row r="12641">
      <c r="A12641" t="str">
        <f t="shared" si="1"/>
        <v>phl#2029</v>
      </c>
      <c r="B12641" t="str">
        <f>IFERROR(__xludf.DUMMYFUNCTION("""COMPUTED_VALUE"""),"phl")</f>
        <v>phl</v>
      </c>
      <c r="C12641" t="str">
        <f>IFERROR(__xludf.DUMMYFUNCTION("""COMPUTED_VALUE"""),"Philippines")</f>
        <v>Philippines</v>
      </c>
      <c r="D12641">
        <f>IFERROR(__xludf.DUMMYFUNCTION("""COMPUTED_VALUE"""),2029.0)</f>
        <v>2029</v>
      </c>
      <c r="E12641">
        <f>IFERROR(__xludf.DUMMYFUNCTION("""COMPUTED_VALUE"""),1.23859508E8)</f>
        <v>123859508</v>
      </c>
    </row>
    <row r="12642">
      <c r="A12642" t="str">
        <f t="shared" si="1"/>
        <v>phl#2030</v>
      </c>
      <c r="B12642" t="str">
        <f>IFERROR(__xludf.DUMMYFUNCTION("""COMPUTED_VALUE"""),"phl")</f>
        <v>phl</v>
      </c>
      <c r="C12642" t="str">
        <f>IFERROR(__xludf.DUMMYFUNCTION("""COMPUTED_VALUE"""),"Philippines")</f>
        <v>Philippines</v>
      </c>
      <c r="D12642">
        <f>IFERROR(__xludf.DUMMYFUNCTION("""COMPUTED_VALUE"""),2030.0)</f>
        <v>2030</v>
      </c>
      <c r="E12642">
        <f>IFERROR(__xludf.DUMMYFUNCTION("""COMPUTED_VALUE"""),1.25372282E8)</f>
        <v>125372282</v>
      </c>
    </row>
    <row r="12643">
      <c r="A12643" t="str">
        <f t="shared" si="1"/>
        <v>phl#2031</v>
      </c>
      <c r="B12643" t="str">
        <f>IFERROR(__xludf.DUMMYFUNCTION("""COMPUTED_VALUE"""),"phl")</f>
        <v>phl</v>
      </c>
      <c r="C12643" t="str">
        <f>IFERROR(__xludf.DUMMYFUNCTION("""COMPUTED_VALUE"""),"Philippines")</f>
        <v>Philippines</v>
      </c>
      <c r="D12643">
        <f>IFERROR(__xludf.DUMMYFUNCTION("""COMPUTED_VALUE"""),2031.0)</f>
        <v>2031</v>
      </c>
      <c r="E12643">
        <f>IFERROR(__xludf.DUMMYFUNCTION("""COMPUTED_VALUE"""),1.26868426E8)</f>
        <v>126868426</v>
      </c>
    </row>
    <row r="12644">
      <c r="A12644" t="str">
        <f t="shared" si="1"/>
        <v>phl#2032</v>
      </c>
      <c r="B12644" t="str">
        <f>IFERROR(__xludf.DUMMYFUNCTION("""COMPUTED_VALUE"""),"phl")</f>
        <v>phl</v>
      </c>
      <c r="C12644" t="str">
        <f>IFERROR(__xludf.DUMMYFUNCTION("""COMPUTED_VALUE"""),"Philippines")</f>
        <v>Philippines</v>
      </c>
      <c r="D12644">
        <f>IFERROR(__xludf.DUMMYFUNCTION("""COMPUTED_VALUE"""),2032.0)</f>
        <v>2032</v>
      </c>
      <c r="E12644">
        <f>IFERROR(__xludf.DUMMYFUNCTION("""COMPUTED_VALUE"""),1.283469E8)</f>
        <v>128346900</v>
      </c>
    </row>
    <row r="12645">
      <c r="A12645" t="str">
        <f t="shared" si="1"/>
        <v>phl#2033</v>
      </c>
      <c r="B12645" t="str">
        <f>IFERROR(__xludf.DUMMYFUNCTION("""COMPUTED_VALUE"""),"phl")</f>
        <v>phl</v>
      </c>
      <c r="C12645" t="str">
        <f>IFERROR(__xludf.DUMMYFUNCTION("""COMPUTED_VALUE"""),"Philippines")</f>
        <v>Philippines</v>
      </c>
      <c r="D12645">
        <f>IFERROR(__xludf.DUMMYFUNCTION("""COMPUTED_VALUE"""),2033.0)</f>
        <v>2033</v>
      </c>
      <c r="E12645">
        <f>IFERROR(__xludf.DUMMYFUNCTION("""COMPUTED_VALUE"""),1.29806787E8)</f>
        <v>129806787</v>
      </c>
    </row>
    <row r="12646">
      <c r="A12646" t="str">
        <f t="shared" si="1"/>
        <v>phl#2034</v>
      </c>
      <c r="B12646" t="str">
        <f>IFERROR(__xludf.DUMMYFUNCTION("""COMPUTED_VALUE"""),"phl")</f>
        <v>phl</v>
      </c>
      <c r="C12646" t="str">
        <f>IFERROR(__xludf.DUMMYFUNCTION("""COMPUTED_VALUE"""),"Philippines")</f>
        <v>Philippines</v>
      </c>
      <c r="D12646">
        <f>IFERROR(__xludf.DUMMYFUNCTION("""COMPUTED_VALUE"""),2034.0)</f>
        <v>2034</v>
      </c>
      <c r="E12646">
        <f>IFERROR(__xludf.DUMMYFUNCTION("""COMPUTED_VALUE"""),1.31247272E8)</f>
        <v>131247272</v>
      </c>
    </row>
    <row r="12647">
      <c r="A12647" t="str">
        <f t="shared" si="1"/>
        <v>phl#2035</v>
      </c>
      <c r="B12647" t="str">
        <f>IFERROR(__xludf.DUMMYFUNCTION("""COMPUTED_VALUE"""),"phl")</f>
        <v>phl</v>
      </c>
      <c r="C12647" t="str">
        <f>IFERROR(__xludf.DUMMYFUNCTION("""COMPUTED_VALUE"""),"Philippines")</f>
        <v>Philippines</v>
      </c>
      <c r="D12647">
        <f>IFERROR(__xludf.DUMMYFUNCTION("""COMPUTED_VALUE"""),2035.0)</f>
        <v>2035</v>
      </c>
      <c r="E12647">
        <f>IFERROR(__xludf.DUMMYFUNCTION("""COMPUTED_VALUE"""),1.32667616E8)</f>
        <v>132667616</v>
      </c>
    </row>
    <row r="12648">
      <c r="A12648" t="str">
        <f t="shared" si="1"/>
        <v>phl#2036</v>
      </c>
      <c r="B12648" t="str">
        <f>IFERROR(__xludf.DUMMYFUNCTION("""COMPUTED_VALUE"""),"phl")</f>
        <v>phl</v>
      </c>
      <c r="C12648" t="str">
        <f>IFERROR(__xludf.DUMMYFUNCTION("""COMPUTED_VALUE"""),"Philippines")</f>
        <v>Philippines</v>
      </c>
      <c r="D12648">
        <f>IFERROR(__xludf.DUMMYFUNCTION("""COMPUTED_VALUE"""),2036.0)</f>
        <v>2036</v>
      </c>
      <c r="E12648">
        <f>IFERROR(__xludf.DUMMYFUNCTION("""COMPUTED_VALUE"""),1.34067093E8)</f>
        <v>134067093</v>
      </c>
    </row>
    <row r="12649">
      <c r="A12649" t="str">
        <f t="shared" si="1"/>
        <v>phl#2037</v>
      </c>
      <c r="B12649" t="str">
        <f>IFERROR(__xludf.DUMMYFUNCTION("""COMPUTED_VALUE"""),"phl")</f>
        <v>phl</v>
      </c>
      <c r="C12649" t="str">
        <f>IFERROR(__xludf.DUMMYFUNCTION("""COMPUTED_VALUE"""),"Philippines")</f>
        <v>Philippines</v>
      </c>
      <c r="D12649">
        <f>IFERROR(__xludf.DUMMYFUNCTION("""COMPUTED_VALUE"""),2037.0)</f>
        <v>2037</v>
      </c>
      <c r="E12649">
        <f>IFERROR(__xludf.DUMMYFUNCTION("""COMPUTED_VALUE"""),1.3544511E8)</f>
        <v>135445110</v>
      </c>
    </row>
    <row r="12650">
      <c r="A12650" t="str">
        <f t="shared" si="1"/>
        <v>phl#2038</v>
      </c>
      <c r="B12650" t="str">
        <f>IFERROR(__xludf.DUMMYFUNCTION("""COMPUTED_VALUE"""),"phl")</f>
        <v>phl</v>
      </c>
      <c r="C12650" t="str">
        <f>IFERROR(__xludf.DUMMYFUNCTION("""COMPUTED_VALUE"""),"Philippines")</f>
        <v>Philippines</v>
      </c>
      <c r="D12650">
        <f>IFERROR(__xludf.DUMMYFUNCTION("""COMPUTED_VALUE"""),2038.0)</f>
        <v>2038</v>
      </c>
      <c r="E12650">
        <f>IFERROR(__xludf.DUMMYFUNCTION("""COMPUTED_VALUE"""),1.36801341E8)</f>
        <v>136801341</v>
      </c>
    </row>
    <row r="12651">
      <c r="A12651" t="str">
        <f t="shared" si="1"/>
        <v>phl#2039</v>
      </c>
      <c r="B12651" t="str">
        <f>IFERROR(__xludf.DUMMYFUNCTION("""COMPUTED_VALUE"""),"phl")</f>
        <v>phl</v>
      </c>
      <c r="C12651" t="str">
        <f>IFERROR(__xludf.DUMMYFUNCTION("""COMPUTED_VALUE"""),"Philippines")</f>
        <v>Philippines</v>
      </c>
      <c r="D12651">
        <f>IFERROR(__xludf.DUMMYFUNCTION("""COMPUTED_VALUE"""),2039.0)</f>
        <v>2039</v>
      </c>
      <c r="E12651">
        <f>IFERROR(__xludf.DUMMYFUNCTION("""COMPUTED_VALUE"""),1.38135607E8)</f>
        <v>138135607</v>
      </c>
    </row>
    <row r="12652">
      <c r="A12652" t="str">
        <f t="shared" si="1"/>
        <v>phl#2040</v>
      </c>
      <c r="B12652" t="str">
        <f>IFERROR(__xludf.DUMMYFUNCTION("""COMPUTED_VALUE"""),"phl")</f>
        <v>phl</v>
      </c>
      <c r="C12652" t="str">
        <f>IFERROR(__xludf.DUMMYFUNCTION("""COMPUTED_VALUE"""),"Philippines")</f>
        <v>Philippines</v>
      </c>
      <c r="D12652">
        <f>IFERROR(__xludf.DUMMYFUNCTION("""COMPUTED_VALUE"""),2040.0)</f>
        <v>2040</v>
      </c>
      <c r="E12652">
        <f>IFERROR(__xludf.DUMMYFUNCTION("""COMPUTED_VALUE"""),1.39447689E8)</f>
        <v>139447689</v>
      </c>
    </row>
    <row r="12653">
      <c r="A12653" t="str">
        <f t="shared" si="1"/>
        <v>pol#1950</v>
      </c>
      <c r="B12653" t="str">
        <f>IFERROR(__xludf.DUMMYFUNCTION("""COMPUTED_VALUE"""),"pol")</f>
        <v>pol</v>
      </c>
      <c r="C12653" t="str">
        <f>IFERROR(__xludf.DUMMYFUNCTION("""COMPUTED_VALUE"""),"Poland")</f>
        <v>Poland</v>
      </c>
      <c r="D12653">
        <f>IFERROR(__xludf.DUMMYFUNCTION("""COMPUTED_VALUE"""),1950.0)</f>
        <v>1950</v>
      </c>
      <c r="E12653">
        <f>IFERROR(__xludf.DUMMYFUNCTION("""COMPUTED_VALUE"""),2.4824018E7)</f>
        <v>24824018</v>
      </c>
    </row>
    <row r="12654">
      <c r="A12654" t="str">
        <f t="shared" si="1"/>
        <v>pol#1951</v>
      </c>
      <c r="B12654" t="str">
        <f>IFERROR(__xludf.DUMMYFUNCTION("""COMPUTED_VALUE"""),"pol")</f>
        <v>pol</v>
      </c>
      <c r="C12654" t="str">
        <f>IFERROR(__xludf.DUMMYFUNCTION("""COMPUTED_VALUE"""),"Poland")</f>
        <v>Poland</v>
      </c>
      <c r="D12654">
        <f>IFERROR(__xludf.DUMMYFUNCTION("""COMPUTED_VALUE"""),1951.0)</f>
        <v>1951</v>
      </c>
      <c r="E12654">
        <f>IFERROR(__xludf.DUMMYFUNCTION("""COMPUTED_VALUE"""),2.528344E7)</f>
        <v>25283440</v>
      </c>
    </row>
    <row r="12655">
      <c r="A12655" t="str">
        <f t="shared" si="1"/>
        <v>pol#1952</v>
      </c>
      <c r="B12655" t="str">
        <f>IFERROR(__xludf.DUMMYFUNCTION("""COMPUTED_VALUE"""),"pol")</f>
        <v>pol</v>
      </c>
      <c r="C12655" t="str">
        <f>IFERROR(__xludf.DUMMYFUNCTION("""COMPUTED_VALUE"""),"Poland")</f>
        <v>Poland</v>
      </c>
      <c r="D12655">
        <f>IFERROR(__xludf.DUMMYFUNCTION("""COMPUTED_VALUE"""),1952.0)</f>
        <v>1952</v>
      </c>
      <c r="E12655">
        <f>IFERROR(__xludf.DUMMYFUNCTION("""COMPUTED_VALUE"""),2.5764925E7)</f>
        <v>25764925</v>
      </c>
    </row>
    <row r="12656">
      <c r="A12656" t="str">
        <f t="shared" si="1"/>
        <v>pol#1953</v>
      </c>
      <c r="B12656" t="str">
        <f>IFERROR(__xludf.DUMMYFUNCTION("""COMPUTED_VALUE"""),"pol")</f>
        <v>pol</v>
      </c>
      <c r="C12656" t="str">
        <f>IFERROR(__xludf.DUMMYFUNCTION("""COMPUTED_VALUE"""),"Poland")</f>
        <v>Poland</v>
      </c>
      <c r="D12656">
        <f>IFERROR(__xludf.DUMMYFUNCTION("""COMPUTED_VALUE"""),1953.0)</f>
        <v>1953</v>
      </c>
      <c r="E12656">
        <f>IFERROR(__xludf.DUMMYFUNCTION("""COMPUTED_VALUE"""),2.6261073E7)</f>
        <v>26261073</v>
      </c>
    </row>
    <row r="12657">
      <c r="A12657" t="str">
        <f t="shared" si="1"/>
        <v>pol#1954</v>
      </c>
      <c r="B12657" t="str">
        <f>IFERROR(__xludf.DUMMYFUNCTION("""COMPUTED_VALUE"""),"pol")</f>
        <v>pol</v>
      </c>
      <c r="C12657" t="str">
        <f>IFERROR(__xludf.DUMMYFUNCTION("""COMPUTED_VALUE"""),"Poland")</f>
        <v>Poland</v>
      </c>
      <c r="D12657">
        <f>IFERROR(__xludf.DUMMYFUNCTION("""COMPUTED_VALUE"""),1954.0)</f>
        <v>1954</v>
      </c>
      <c r="E12657">
        <f>IFERROR(__xludf.DUMMYFUNCTION("""COMPUTED_VALUE"""),2.6764864E7)</f>
        <v>26764864</v>
      </c>
    </row>
    <row r="12658">
      <c r="A12658" t="str">
        <f t="shared" si="1"/>
        <v>pol#1955</v>
      </c>
      <c r="B12658" t="str">
        <f>IFERROR(__xludf.DUMMYFUNCTION("""COMPUTED_VALUE"""),"pol")</f>
        <v>pol</v>
      </c>
      <c r="C12658" t="str">
        <f>IFERROR(__xludf.DUMMYFUNCTION("""COMPUTED_VALUE"""),"Poland")</f>
        <v>Poland</v>
      </c>
      <c r="D12658">
        <f>IFERROR(__xludf.DUMMYFUNCTION("""COMPUTED_VALUE"""),1955.0)</f>
        <v>1955</v>
      </c>
      <c r="E12658">
        <f>IFERROR(__xludf.DUMMYFUNCTION("""COMPUTED_VALUE"""),2.7269749E7)</f>
        <v>27269749</v>
      </c>
    </row>
    <row r="12659">
      <c r="A12659" t="str">
        <f t="shared" si="1"/>
        <v>pol#1956</v>
      </c>
      <c r="B12659" t="str">
        <f>IFERROR(__xludf.DUMMYFUNCTION("""COMPUTED_VALUE"""),"pol")</f>
        <v>pol</v>
      </c>
      <c r="C12659" t="str">
        <f>IFERROR(__xludf.DUMMYFUNCTION("""COMPUTED_VALUE"""),"Poland")</f>
        <v>Poland</v>
      </c>
      <c r="D12659">
        <f>IFERROR(__xludf.DUMMYFUNCTION("""COMPUTED_VALUE"""),1956.0)</f>
        <v>1956</v>
      </c>
      <c r="E12659">
        <f>IFERROR(__xludf.DUMMYFUNCTION("""COMPUTED_VALUE"""),2.7769541E7)</f>
        <v>27769541</v>
      </c>
    </row>
    <row r="12660">
      <c r="A12660" t="str">
        <f t="shared" si="1"/>
        <v>pol#1957</v>
      </c>
      <c r="B12660" t="str">
        <f>IFERROR(__xludf.DUMMYFUNCTION("""COMPUTED_VALUE"""),"pol")</f>
        <v>pol</v>
      </c>
      <c r="C12660" t="str">
        <f>IFERROR(__xludf.DUMMYFUNCTION("""COMPUTED_VALUE"""),"Poland")</f>
        <v>Poland</v>
      </c>
      <c r="D12660">
        <f>IFERROR(__xludf.DUMMYFUNCTION("""COMPUTED_VALUE"""),1957.0)</f>
        <v>1957</v>
      </c>
      <c r="E12660">
        <f>IFERROR(__xludf.DUMMYFUNCTION("""COMPUTED_VALUE"""),2.8258523E7)</f>
        <v>28258523</v>
      </c>
    </row>
    <row r="12661">
      <c r="A12661" t="str">
        <f t="shared" si="1"/>
        <v>pol#1958</v>
      </c>
      <c r="B12661" t="str">
        <f>IFERROR(__xludf.DUMMYFUNCTION("""COMPUTED_VALUE"""),"pol")</f>
        <v>pol</v>
      </c>
      <c r="C12661" t="str">
        <f>IFERROR(__xludf.DUMMYFUNCTION("""COMPUTED_VALUE"""),"Poland")</f>
        <v>Poland</v>
      </c>
      <c r="D12661">
        <f>IFERROR(__xludf.DUMMYFUNCTION("""COMPUTED_VALUE"""),1958.0)</f>
        <v>1958</v>
      </c>
      <c r="E12661">
        <f>IFERROR(__xludf.DUMMYFUNCTION("""COMPUTED_VALUE"""),2.8731444E7)</f>
        <v>28731444</v>
      </c>
    </row>
    <row r="12662">
      <c r="A12662" t="str">
        <f t="shared" si="1"/>
        <v>pol#1959</v>
      </c>
      <c r="B12662" t="str">
        <f>IFERROR(__xludf.DUMMYFUNCTION("""COMPUTED_VALUE"""),"pol")</f>
        <v>pol</v>
      </c>
      <c r="C12662" t="str">
        <f>IFERROR(__xludf.DUMMYFUNCTION("""COMPUTED_VALUE"""),"Poland")</f>
        <v>Poland</v>
      </c>
      <c r="D12662">
        <f>IFERROR(__xludf.DUMMYFUNCTION("""COMPUTED_VALUE"""),1959.0)</f>
        <v>1959</v>
      </c>
      <c r="E12662">
        <f>IFERROR(__xludf.DUMMYFUNCTION("""COMPUTED_VALUE"""),2.9183688E7)</f>
        <v>29183688</v>
      </c>
    </row>
    <row r="12663">
      <c r="A12663" t="str">
        <f t="shared" si="1"/>
        <v>pol#1960</v>
      </c>
      <c r="B12663" t="str">
        <f>IFERROR(__xludf.DUMMYFUNCTION("""COMPUTED_VALUE"""),"pol")</f>
        <v>pol</v>
      </c>
      <c r="C12663" t="str">
        <f>IFERROR(__xludf.DUMMYFUNCTION("""COMPUTED_VALUE"""),"Poland")</f>
        <v>Poland</v>
      </c>
      <c r="D12663">
        <f>IFERROR(__xludf.DUMMYFUNCTION("""COMPUTED_VALUE"""),1960.0)</f>
        <v>1960</v>
      </c>
      <c r="E12663">
        <f>IFERROR(__xludf.DUMMYFUNCTION("""COMPUTED_VALUE"""),2.9611556E7)</f>
        <v>29611556</v>
      </c>
    </row>
    <row r="12664">
      <c r="A12664" t="str">
        <f t="shared" si="1"/>
        <v>pol#1961</v>
      </c>
      <c r="B12664" t="str">
        <f>IFERROR(__xludf.DUMMYFUNCTION("""COMPUTED_VALUE"""),"pol")</f>
        <v>pol</v>
      </c>
      <c r="C12664" t="str">
        <f>IFERROR(__xludf.DUMMYFUNCTION("""COMPUTED_VALUE"""),"Poland")</f>
        <v>Poland</v>
      </c>
      <c r="D12664">
        <f>IFERROR(__xludf.DUMMYFUNCTION("""COMPUTED_VALUE"""),1961.0)</f>
        <v>1961</v>
      </c>
      <c r="E12664">
        <f>IFERROR(__xludf.DUMMYFUNCTION("""COMPUTED_VALUE"""),3.0012671E7)</f>
        <v>30012671</v>
      </c>
    </row>
    <row r="12665">
      <c r="A12665" t="str">
        <f t="shared" si="1"/>
        <v>pol#1962</v>
      </c>
      <c r="B12665" t="str">
        <f>IFERROR(__xludf.DUMMYFUNCTION("""COMPUTED_VALUE"""),"pol")</f>
        <v>pol</v>
      </c>
      <c r="C12665" t="str">
        <f>IFERROR(__xludf.DUMMYFUNCTION("""COMPUTED_VALUE"""),"Poland")</f>
        <v>Poland</v>
      </c>
      <c r="D12665">
        <f>IFERROR(__xludf.DUMMYFUNCTION("""COMPUTED_VALUE"""),1962.0)</f>
        <v>1962</v>
      </c>
      <c r="E12665">
        <f>IFERROR(__xludf.DUMMYFUNCTION("""COMPUTED_VALUE"""),3.0386276E7)</f>
        <v>30386276</v>
      </c>
    </row>
    <row r="12666">
      <c r="A12666" t="str">
        <f t="shared" si="1"/>
        <v>pol#1963</v>
      </c>
      <c r="B12666" t="str">
        <f>IFERROR(__xludf.DUMMYFUNCTION("""COMPUTED_VALUE"""),"pol")</f>
        <v>pol</v>
      </c>
      <c r="C12666" t="str">
        <f>IFERROR(__xludf.DUMMYFUNCTION("""COMPUTED_VALUE"""),"Poland")</f>
        <v>Poland</v>
      </c>
      <c r="D12666">
        <f>IFERROR(__xludf.DUMMYFUNCTION("""COMPUTED_VALUE"""),1963.0)</f>
        <v>1963</v>
      </c>
      <c r="E12666">
        <f>IFERROR(__xludf.DUMMYFUNCTION("""COMPUTED_VALUE"""),3.073337E7)</f>
        <v>30733370</v>
      </c>
    </row>
    <row r="12667">
      <c r="A12667" t="str">
        <f t="shared" si="1"/>
        <v>pol#1964</v>
      </c>
      <c r="B12667" t="str">
        <f>IFERROR(__xludf.DUMMYFUNCTION("""COMPUTED_VALUE"""),"pol")</f>
        <v>pol</v>
      </c>
      <c r="C12667" t="str">
        <f>IFERROR(__xludf.DUMMYFUNCTION("""COMPUTED_VALUE"""),"Poland")</f>
        <v>Poland</v>
      </c>
      <c r="D12667">
        <f>IFERROR(__xludf.DUMMYFUNCTION("""COMPUTED_VALUE"""),1964.0)</f>
        <v>1964</v>
      </c>
      <c r="E12667">
        <f>IFERROR(__xludf.DUMMYFUNCTION("""COMPUTED_VALUE"""),3.1056315E7)</f>
        <v>31056315</v>
      </c>
    </row>
    <row r="12668">
      <c r="A12668" t="str">
        <f t="shared" si="1"/>
        <v>pol#1965</v>
      </c>
      <c r="B12668" t="str">
        <f>IFERROR(__xludf.DUMMYFUNCTION("""COMPUTED_VALUE"""),"pol")</f>
        <v>pol</v>
      </c>
      <c r="C12668" t="str">
        <f>IFERROR(__xludf.DUMMYFUNCTION("""COMPUTED_VALUE"""),"Poland")</f>
        <v>Poland</v>
      </c>
      <c r="D12668">
        <f>IFERROR(__xludf.DUMMYFUNCTION("""COMPUTED_VALUE"""),1965.0)</f>
        <v>1965</v>
      </c>
      <c r="E12668">
        <f>IFERROR(__xludf.DUMMYFUNCTION("""COMPUTED_VALUE"""),3.1357726E7)</f>
        <v>31357726</v>
      </c>
    </row>
    <row r="12669">
      <c r="A12669" t="str">
        <f t="shared" si="1"/>
        <v>pol#1966</v>
      </c>
      <c r="B12669" t="str">
        <f>IFERROR(__xludf.DUMMYFUNCTION("""COMPUTED_VALUE"""),"pol")</f>
        <v>pol</v>
      </c>
      <c r="C12669" t="str">
        <f>IFERROR(__xludf.DUMMYFUNCTION("""COMPUTED_VALUE"""),"Poland")</f>
        <v>Poland</v>
      </c>
      <c r="D12669">
        <f>IFERROR(__xludf.DUMMYFUNCTION("""COMPUTED_VALUE"""),1966.0)</f>
        <v>1966</v>
      </c>
      <c r="E12669">
        <f>IFERROR(__xludf.DUMMYFUNCTION("""COMPUTED_VALUE"""),3.1637766E7)</f>
        <v>31637766</v>
      </c>
    </row>
    <row r="12670">
      <c r="A12670" t="str">
        <f t="shared" si="1"/>
        <v>pol#1967</v>
      </c>
      <c r="B12670" t="str">
        <f>IFERROR(__xludf.DUMMYFUNCTION("""COMPUTED_VALUE"""),"pol")</f>
        <v>pol</v>
      </c>
      <c r="C12670" t="str">
        <f>IFERROR(__xludf.DUMMYFUNCTION("""COMPUTED_VALUE"""),"Poland")</f>
        <v>Poland</v>
      </c>
      <c r="D12670">
        <f>IFERROR(__xludf.DUMMYFUNCTION("""COMPUTED_VALUE"""),1967.0)</f>
        <v>1967</v>
      </c>
      <c r="E12670">
        <f>IFERROR(__xludf.DUMMYFUNCTION("""COMPUTED_VALUE"""),3.1898318E7)</f>
        <v>31898318</v>
      </c>
    </row>
    <row r="12671">
      <c r="A12671" t="str">
        <f t="shared" si="1"/>
        <v>pol#1968</v>
      </c>
      <c r="B12671" t="str">
        <f>IFERROR(__xludf.DUMMYFUNCTION("""COMPUTED_VALUE"""),"pol")</f>
        <v>pol</v>
      </c>
      <c r="C12671" t="str">
        <f>IFERROR(__xludf.DUMMYFUNCTION("""COMPUTED_VALUE"""),"Poland")</f>
        <v>Poland</v>
      </c>
      <c r="D12671">
        <f>IFERROR(__xludf.DUMMYFUNCTION("""COMPUTED_VALUE"""),1968.0)</f>
        <v>1968</v>
      </c>
      <c r="E12671">
        <f>IFERROR(__xludf.DUMMYFUNCTION("""COMPUTED_VALUE"""),3.2146054E7)</f>
        <v>32146054</v>
      </c>
    </row>
    <row r="12672">
      <c r="A12672" t="str">
        <f t="shared" si="1"/>
        <v>pol#1969</v>
      </c>
      <c r="B12672" t="str">
        <f>IFERROR(__xludf.DUMMYFUNCTION("""COMPUTED_VALUE"""),"pol")</f>
        <v>pol</v>
      </c>
      <c r="C12672" t="str">
        <f>IFERROR(__xludf.DUMMYFUNCTION("""COMPUTED_VALUE"""),"Poland")</f>
        <v>Poland</v>
      </c>
      <c r="D12672">
        <f>IFERROR(__xludf.DUMMYFUNCTION("""COMPUTED_VALUE"""),1969.0)</f>
        <v>1969</v>
      </c>
      <c r="E12672">
        <f>IFERROR(__xludf.DUMMYFUNCTION("""COMPUTED_VALUE"""),3.2389546E7)</f>
        <v>32389546</v>
      </c>
    </row>
    <row r="12673">
      <c r="A12673" t="str">
        <f t="shared" si="1"/>
        <v>pol#1970</v>
      </c>
      <c r="B12673" t="str">
        <f>IFERROR(__xludf.DUMMYFUNCTION("""COMPUTED_VALUE"""),"pol")</f>
        <v>pol</v>
      </c>
      <c r="C12673" t="str">
        <f>IFERROR(__xludf.DUMMYFUNCTION("""COMPUTED_VALUE"""),"Poland")</f>
        <v>Poland</v>
      </c>
      <c r="D12673">
        <f>IFERROR(__xludf.DUMMYFUNCTION("""COMPUTED_VALUE"""),1970.0)</f>
        <v>1970</v>
      </c>
      <c r="E12673">
        <f>IFERROR(__xludf.DUMMYFUNCTION("""COMPUTED_VALUE"""),3.2635557E7)</f>
        <v>32635557</v>
      </c>
    </row>
    <row r="12674">
      <c r="A12674" t="str">
        <f t="shared" si="1"/>
        <v>pol#1971</v>
      </c>
      <c r="B12674" t="str">
        <f>IFERROR(__xludf.DUMMYFUNCTION("""COMPUTED_VALUE"""),"pol")</f>
        <v>pol</v>
      </c>
      <c r="C12674" t="str">
        <f>IFERROR(__xludf.DUMMYFUNCTION("""COMPUTED_VALUE"""),"Poland")</f>
        <v>Poland</v>
      </c>
      <c r="D12674">
        <f>IFERROR(__xludf.DUMMYFUNCTION("""COMPUTED_VALUE"""),1971.0)</f>
        <v>1971</v>
      </c>
      <c r="E12674">
        <f>IFERROR(__xludf.DUMMYFUNCTION("""COMPUTED_VALUE"""),3.2886596E7)</f>
        <v>32886596</v>
      </c>
    </row>
    <row r="12675">
      <c r="A12675" t="str">
        <f t="shared" si="1"/>
        <v>pol#1972</v>
      </c>
      <c r="B12675" t="str">
        <f>IFERROR(__xludf.DUMMYFUNCTION("""COMPUTED_VALUE"""),"pol")</f>
        <v>pol</v>
      </c>
      <c r="C12675" t="str">
        <f>IFERROR(__xludf.DUMMYFUNCTION("""COMPUTED_VALUE"""),"Poland")</f>
        <v>Poland</v>
      </c>
      <c r="D12675">
        <f>IFERROR(__xludf.DUMMYFUNCTION("""COMPUTED_VALUE"""),1972.0)</f>
        <v>1972</v>
      </c>
      <c r="E12675">
        <f>IFERROR(__xludf.DUMMYFUNCTION("""COMPUTED_VALUE"""),3.3143187E7)</f>
        <v>33143187</v>
      </c>
    </row>
    <row r="12676">
      <c r="A12676" t="str">
        <f t="shared" si="1"/>
        <v>pol#1973</v>
      </c>
      <c r="B12676" t="str">
        <f>IFERROR(__xludf.DUMMYFUNCTION("""COMPUTED_VALUE"""),"pol")</f>
        <v>pol</v>
      </c>
      <c r="C12676" t="str">
        <f>IFERROR(__xludf.DUMMYFUNCTION("""COMPUTED_VALUE"""),"Poland")</f>
        <v>Poland</v>
      </c>
      <c r="D12676">
        <f>IFERROR(__xludf.DUMMYFUNCTION("""COMPUTED_VALUE"""),1973.0)</f>
        <v>1973</v>
      </c>
      <c r="E12676">
        <f>IFERROR(__xludf.DUMMYFUNCTION("""COMPUTED_VALUE"""),3.3407619E7)</f>
        <v>33407619</v>
      </c>
    </row>
    <row r="12677">
      <c r="A12677" t="str">
        <f t="shared" si="1"/>
        <v>pol#1974</v>
      </c>
      <c r="B12677" t="str">
        <f>IFERROR(__xludf.DUMMYFUNCTION("""COMPUTED_VALUE"""),"pol")</f>
        <v>pol</v>
      </c>
      <c r="C12677" t="str">
        <f>IFERROR(__xludf.DUMMYFUNCTION("""COMPUTED_VALUE"""),"Poland")</f>
        <v>Poland</v>
      </c>
      <c r="D12677">
        <f>IFERROR(__xludf.DUMMYFUNCTION("""COMPUTED_VALUE"""),1974.0)</f>
        <v>1974</v>
      </c>
      <c r="E12677">
        <f>IFERROR(__xludf.DUMMYFUNCTION("""COMPUTED_VALUE"""),3.368172E7)</f>
        <v>33681720</v>
      </c>
    </row>
    <row r="12678">
      <c r="A12678" t="str">
        <f t="shared" si="1"/>
        <v>pol#1975</v>
      </c>
      <c r="B12678" t="str">
        <f>IFERROR(__xludf.DUMMYFUNCTION("""COMPUTED_VALUE"""),"pol")</f>
        <v>pol</v>
      </c>
      <c r="C12678" t="str">
        <f>IFERROR(__xludf.DUMMYFUNCTION("""COMPUTED_VALUE"""),"Poland")</f>
        <v>Poland</v>
      </c>
      <c r="D12678">
        <f>IFERROR(__xludf.DUMMYFUNCTION("""COMPUTED_VALUE"""),1975.0)</f>
        <v>1975</v>
      </c>
      <c r="E12678">
        <f>IFERROR(__xludf.DUMMYFUNCTION("""COMPUTED_VALUE"""),3.3966572E7)</f>
        <v>33966572</v>
      </c>
    </row>
    <row r="12679">
      <c r="A12679" t="str">
        <f t="shared" si="1"/>
        <v>pol#1976</v>
      </c>
      <c r="B12679" t="str">
        <f>IFERROR(__xludf.DUMMYFUNCTION("""COMPUTED_VALUE"""),"pol")</f>
        <v>pol</v>
      </c>
      <c r="C12679" t="str">
        <f>IFERROR(__xludf.DUMMYFUNCTION("""COMPUTED_VALUE"""),"Poland")</f>
        <v>Poland</v>
      </c>
      <c r="D12679">
        <f>IFERROR(__xludf.DUMMYFUNCTION("""COMPUTED_VALUE"""),1976.0)</f>
        <v>1976</v>
      </c>
      <c r="E12679">
        <f>IFERROR(__xludf.DUMMYFUNCTION("""COMPUTED_VALUE"""),3.4261866E7)</f>
        <v>34261866</v>
      </c>
    </row>
    <row r="12680">
      <c r="A12680" t="str">
        <f t="shared" si="1"/>
        <v>pol#1977</v>
      </c>
      <c r="B12680" t="str">
        <f>IFERROR(__xludf.DUMMYFUNCTION("""COMPUTED_VALUE"""),"pol")</f>
        <v>pol</v>
      </c>
      <c r="C12680" t="str">
        <f>IFERROR(__xludf.DUMMYFUNCTION("""COMPUTED_VALUE"""),"Poland")</f>
        <v>Poland</v>
      </c>
      <c r="D12680">
        <f>IFERROR(__xludf.DUMMYFUNCTION("""COMPUTED_VALUE"""),1977.0)</f>
        <v>1977</v>
      </c>
      <c r="E12680">
        <f>IFERROR(__xludf.DUMMYFUNCTION("""COMPUTED_VALUE"""),3.4566894E7)</f>
        <v>34566894</v>
      </c>
    </row>
    <row r="12681">
      <c r="A12681" t="str">
        <f t="shared" si="1"/>
        <v>pol#1978</v>
      </c>
      <c r="B12681" t="str">
        <f>IFERROR(__xludf.DUMMYFUNCTION("""COMPUTED_VALUE"""),"pol")</f>
        <v>pol</v>
      </c>
      <c r="C12681" t="str">
        <f>IFERROR(__xludf.DUMMYFUNCTION("""COMPUTED_VALUE"""),"Poland")</f>
        <v>Poland</v>
      </c>
      <c r="D12681">
        <f>IFERROR(__xludf.DUMMYFUNCTION("""COMPUTED_VALUE"""),1978.0)</f>
        <v>1978</v>
      </c>
      <c r="E12681">
        <f>IFERROR(__xludf.DUMMYFUNCTION("""COMPUTED_VALUE"""),3.488138E7)</f>
        <v>34881380</v>
      </c>
    </row>
    <row r="12682">
      <c r="A12682" t="str">
        <f t="shared" si="1"/>
        <v>pol#1979</v>
      </c>
      <c r="B12682" t="str">
        <f>IFERROR(__xludf.DUMMYFUNCTION("""COMPUTED_VALUE"""),"pol")</f>
        <v>pol</v>
      </c>
      <c r="C12682" t="str">
        <f>IFERROR(__xludf.DUMMYFUNCTION("""COMPUTED_VALUE"""),"Poland")</f>
        <v>Poland</v>
      </c>
      <c r="D12682">
        <f>IFERROR(__xludf.DUMMYFUNCTION("""COMPUTED_VALUE"""),1979.0)</f>
        <v>1979</v>
      </c>
      <c r="E12682">
        <f>IFERROR(__xludf.DUMMYFUNCTION("""COMPUTED_VALUE"""),3.520473E7)</f>
        <v>35204730</v>
      </c>
    </row>
    <row r="12683">
      <c r="A12683" t="str">
        <f t="shared" si="1"/>
        <v>pol#1980</v>
      </c>
      <c r="B12683" t="str">
        <f>IFERROR(__xludf.DUMMYFUNCTION("""COMPUTED_VALUE"""),"pol")</f>
        <v>pol</v>
      </c>
      <c r="C12683" t="str">
        <f>IFERROR(__xludf.DUMMYFUNCTION("""COMPUTED_VALUE"""),"Poland")</f>
        <v>Poland</v>
      </c>
      <c r="D12683">
        <f>IFERROR(__xludf.DUMMYFUNCTION("""COMPUTED_VALUE"""),1980.0)</f>
        <v>1980</v>
      </c>
      <c r="E12683">
        <f>IFERROR(__xludf.DUMMYFUNCTION("""COMPUTED_VALUE"""),3.5535108E7)</f>
        <v>35535108</v>
      </c>
    </row>
    <row r="12684">
      <c r="A12684" t="str">
        <f t="shared" si="1"/>
        <v>pol#1981</v>
      </c>
      <c r="B12684" t="str">
        <f>IFERROR(__xludf.DUMMYFUNCTION("""COMPUTED_VALUE"""),"pol")</f>
        <v>pol</v>
      </c>
      <c r="C12684" t="str">
        <f>IFERROR(__xludf.DUMMYFUNCTION("""COMPUTED_VALUE"""),"Poland")</f>
        <v>Poland</v>
      </c>
      <c r="D12684">
        <f>IFERROR(__xludf.DUMMYFUNCTION("""COMPUTED_VALUE"""),1981.0)</f>
        <v>1981</v>
      </c>
      <c r="E12684">
        <f>IFERROR(__xludf.DUMMYFUNCTION("""COMPUTED_VALUE"""),3.5873731E7)</f>
        <v>35873731</v>
      </c>
    </row>
    <row r="12685">
      <c r="A12685" t="str">
        <f t="shared" si="1"/>
        <v>pol#1982</v>
      </c>
      <c r="B12685" t="str">
        <f>IFERROR(__xludf.DUMMYFUNCTION("""COMPUTED_VALUE"""),"pol")</f>
        <v>pol</v>
      </c>
      <c r="C12685" t="str">
        <f>IFERROR(__xludf.DUMMYFUNCTION("""COMPUTED_VALUE"""),"Poland")</f>
        <v>Poland</v>
      </c>
      <c r="D12685">
        <f>IFERROR(__xludf.DUMMYFUNCTION("""COMPUTED_VALUE"""),1982.0)</f>
        <v>1982</v>
      </c>
      <c r="E12685">
        <f>IFERROR(__xludf.DUMMYFUNCTION("""COMPUTED_VALUE"""),3.6216709E7)</f>
        <v>36216709</v>
      </c>
    </row>
    <row r="12686">
      <c r="A12686" t="str">
        <f t="shared" si="1"/>
        <v>pol#1983</v>
      </c>
      <c r="B12686" t="str">
        <f>IFERROR(__xludf.DUMMYFUNCTION("""COMPUTED_VALUE"""),"pol")</f>
        <v>pol</v>
      </c>
      <c r="C12686" t="str">
        <f>IFERROR(__xludf.DUMMYFUNCTION("""COMPUTED_VALUE"""),"Poland")</f>
        <v>Poland</v>
      </c>
      <c r="D12686">
        <f>IFERROR(__xludf.DUMMYFUNCTION("""COMPUTED_VALUE"""),1983.0)</f>
        <v>1983</v>
      </c>
      <c r="E12686">
        <f>IFERROR(__xludf.DUMMYFUNCTION("""COMPUTED_VALUE"""),3.6550846E7)</f>
        <v>36550846</v>
      </c>
    </row>
    <row r="12687">
      <c r="A12687" t="str">
        <f t="shared" si="1"/>
        <v>pol#1984</v>
      </c>
      <c r="B12687" t="str">
        <f>IFERROR(__xludf.DUMMYFUNCTION("""COMPUTED_VALUE"""),"pol")</f>
        <v>pol</v>
      </c>
      <c r="C12687" t="str">
        <f>IFERROR(__xludf.DUMMYFUNCTION("""COMPUTED_VALUE"""),"Poland")</f>
        <v>Poland</v>
      </c>
      <c r="D12687">
        <f>IFERROR(__xludf.DUMMYFUNCTION("""COMPUTED_VALUE"""),1984.0)</f>
        <v>1984</v>
      </c>
      <c r="E12687">
        <f>IFERROR(__xludf.DUMMYFUNCTION("""COMPUTED_VALUE"""),3.6858895E7)</f>
        <v>36858895</v>
      </c>
    </row>
    <row r="12688">
      <c r="A12688" t="str">
        <f t="shared" si="1"/>
        <v>pol#1985</v>
      </c>
      <c r="B12688" t="str">
        <f>IFERROR(__xludf.DUMMYFUNCTION("""COMPUTED_VALUE"""),"pol")</f>
        <v>pol</v>
      </c>
      <c r="C12688" t="str">
        <f>IFERROR(__xludf.DUMMYFUNCTION("""COMPUTED_VALUE"""),"Poland")</f>
        <v>Poland</v>
      </c>
      <c r="D12688">
        <f>IFERROR(__xludf.DUMMYFUNCTION("""COMPUTED_VALUE"""),1985.0)</f>
        <v>1985</v>
      </c>
      <c r="E12688">
        <f>IFERROR(__xludf.DUMMYFUNCTION("""COMPUTED_VALUE"""),3.7128717E7)</f>
        <v>37128717</v>
      </c>
    </row>
    <row r="12689">
      <c r="A12689" t="str">
        <f t="shared" si="1"/>
        <v>pol#1986</v>
      </c>
      <c r="B12689" t="str">
        <f>IFERROR(__xludf.DUMMYFUNCTION("""COMPUTED_VALUE"""),"pol")</f>
        <v>pol</v>
      </c>
      <c r="C12689" t="str">
        <f>IFERROR(__xludf.DUMMYFUNCTION("""COMPUTED_VALUE"""),"Poland")</f>
        <v>Poland</v>
      </c>
      <c r="D12689">
        <f>IFERROR(__xludf.DUMMYFUNCTION("""COMPUTED_VALUE"""),1986.0)</f>
        <v>1986</v>
      </c>
      <c r="E12689">
        <f>IFERROR(__xludf.DUMMYFUNCTION("""COMPUTED_VALUE"""),3.7354265E7)</f>
        <v>37354265</v>
      </c>
    </row>
    <row r="12690">
      <c r="A12690" t="str">
        <f t="shared" si="1"/>
        <v>pol#1987</v>
      </c>
      <c r="B12690" t="str">
        <f>IFERROR(__xludf.DUMMYFUNCTION("""COMPUTED_VALUE"""),"pol")</f>
        <v>pol</v>
      </c>
      <c r="C12690" t="str">
        <f>IFERROR(__xludf.DUMMYFUNCTION("""COMPUTED_VALUE"""),"Poland")</f>
        <v>Poland</v>
      </c>
      <c r="D12690">
        <f>IFERROR(__xludf.DUMMYFUNCTION("""COMPUTED_VALUE"""),1987.0)</f>
        <v>1987</v>
      </c>
      <c r="E12690">
        <f>IFERROR(__xludf.DUMMYFUNCTION("""COMPUTED_VALUE"""),3.7538975E7)</f>
        <v>37538975</v>
      </c>
    </row>
    <row r="12691">
      <c r="A12691" t="str">
        <f t="shared" si="1"/>
        <v>pol#1988</v>
      </c>
      <c r="B12691" t="str">
        <f>IFERROR(__xludf.DUMMYFUNCTION("""COMPUTED_VALUE"""),"pol")</f>
        <v>pol</v>
      </c>
      <c r="C12691" t="str">
        <f>IFERROR(__xludf.DUMMYFUNCTION("""COMPUTED_VALUE"""),"Poland")</f>
        <v>Poland</v>
      </c>
      <c r="D12691">
        <f>IFERROR(__xludf.DUMMYFUNCTION("""COMPUTED_VALUE"""),1988.0)</f>
        <v>1988</v>
      </c>
      <c r="E12691">
        <f>IFERROR(__xludf.DUMMYFUNCTION("""COMPUTED_VALUE"""),3.7691897E7)</f>
        <v>37691897</v>
      </c>
    </row>
    <row r="12692">
      <c r="A12692" t="str">
        <f t="shared" si="1"/>
        <v>pol#1989</v>
      </c>
      <c r="B12692" t="str">
        <f>IFERROR(__xludf.DUMMYFUNCTION("""COMPUTED_VALUE"""),"pol")</f>
        <v>pol</v>
      </c>
      <c r="C12692" t="str">
        <f>IFERROR(__xludf.DUMMYFUNCTION("""COMPUTED_VALUE"""),"Poland")</f>
        <v>Poland</v>
      </c>
      <c r="D12692">
        <f>IFERROR(__xludf.DUMMYFUNCTION("""COMPUTED_VALUE"""),1989.0)</f>
        <v>1989</v>
      </c>
      <c r="E12692">
        <f>IFERROR(__xludf.DUMMYFUNCTION("""COMPUTED_VALUE"""),3.7827018E7)</f>
        <v>37827018</v>
      </c>
    </row>
    <row r="12693">
      <c r="A12693" t="str">
        <f t="shared" si="1"/>
        <v>pol#1990</v>
      </c>
      <c r="B12693" t="str">
        <f>IFERROR(__xludf.DUMMYFUNCTION("""COMPUTED_VALUE"""),"pol")</f>
        <v>pol</v>
      </c>
      <c r="C12693" t="str">
        <f>IFERROR(__xludf.DUMMYFUNCTION("""COMPUTED_VALUE"""),"Poland")</f>
        <v>Poland</v>
      </c>
      <c r="D12693">
        <f>IFERROR(__xludf.DUMMYFUNCTION("""COMPUTED_VALUE"""),1990.0)</f>
        <v>1990</v>
      </c>
      <c r="E12693">
        <f>IFERROR(__xludf.DUMMYFUNCTION("""COMPUTED_VALUE"""),3.7954553E7)</f>
        <v>37954553</v>
      </c>
    </row>
    <row r="12694">
      <c r="A12694" t="str">
        <f t="shared" si="1"/>
        <v>pol#1991</v>
      </c>
      <c r="B12694" t="str">
        <f>IFERROR(__xludf.DUMMYFUNCTION("""COMPUTED_VALUE"""),"pol")</f>
        <v>pol</v>
      </c>
      <c r="C12694" t="str">
        <f>IFERROR(__xludf.DUMMYFUNCTION("""COMPUTED_VALUE"""),"Poland")</f>
        <v>Poland</v>
      </c>
      <c r="D12694">
        <f>IFERROR(__xludf.DUMMYFUNCTION("""COMPUTED_VALUE"""),1991.0)</f>
        <v>1991</v>
      </c>
      <c r="E12694">
        <f>IFERROR(__xludf.DUMMYFUNCTION("""COMPUTED_VALUE"""),3.8077213E7)</f>
        <v>38077213</v>
      </c>
    </row>
    <row r="12695">
      <c r="A12695" t="str">
        <f t="shared" si="1"/>
        <v>pol#1992</v>
      </c>
      <c r="B12695" t="str">
        <f>IFERROR(__xludf.DUMMYFUNCTION("""COMPUTED_VALUE"""),"pol")</f>
        <v>pol</v>
      </c>
      <c r="C12695" t="str">
        <f>IFERROR(__xludf.DUMMYFUNCTION("""COMPUTED_VALUE"""),"Poland")</f>
        <v>Poland</v>
      </c>
      <c r="D12695">
        <f>IFERROR(__xludf.DUMMYFUNCTION("""COMPUTED_VALUE"""),1992.0)</f>
        <v>1992</v>
      </c>
      <c r="E12695">
        <f>IFERROR(__xludf.DUMMYFUNCTION("""COMPUTED_VALUE"""),3.8191777E7)</f>
        <v>38191777</v>
      </c>
    </row>
    <row r="12696">
      <c r="A12696" t="str">
        <f t="shared" si="1"/>
        <v>pol#1993</v>
      </c>
      <c r="B12696" t="str">
        <f>IFERROR(__xludf.DUMMYFUNCTION("""COMPUTED_VALUE"""),"pol")</f>
        <v>pol</v>
      </c>
      <c r="C12696" t="str">
        <f>IFERROR(__xludf.DUMMYFUNCTION("""COMPUTED_VALUE"""),"Poland")</f>
        <v>Poland</v>
      </c>
      <c r="D12696">
        <f>IFERROR(__xludf.DUMMYFUNCTION("""COMPUTED_VALUE"""),1993.0)</f>
        <v>1993</v>
      </c>
      <c r="E12696">
        <f>IFERROR(__xludf.DUMMYFUNCTION("""COMPUTED_VALUE"""),3.8295474E7)</f>
        <v>38295474</v>
      </c>
    </row>
    <row r="12697">
      <c r="A12697" t="str">
        <f t="shared" si="1"/>
        <v>pol#1994</v>
      </c>
      <c r="B12697" t="str">
        <f>IFERROR(__xludf.DUMMYFUNCTION("""COMPUTED_VALUE"""),"pol")</f>
        <v>pol</v>
      </c>
      <c r="C12697" t="str">
        <f>IFERROR(__xludf.DUMMYFUNCTION("""COMPUTED_VALUE"""),"Poland")</f>
        <v>Poland</v>
      </c>
      <c r="D12697">
        <f>IFERROR(__xludf.DUMMYFUNCTION("""COMPUTED_VALUE"""),1994.0)</f>
        <v>1994</v>
      </c>
      <c r="E12697">
        <f>IFERROR(__xludf.DUMMYFUNCTION("""COMPUTED_VALUE"""),3.8383516E7)</f>
        <v>38383516</v>
      </c>
    </row>
    <row r="12698">
      <c r="A12698" t="str">
        <f t="shared" si="1"/>
        <v>pol#1995</v>
      </c>
      <c r="B12698" t="str">
        <f>IFERROR(__xludf.DUMMYFUNCTION("""COMPUTED_VALUE"""),"pol")</f>
        <v>pol</v>
      </c>
      <c r="C12698" t="str">
        <f>IFERROR(__xludf.DUMMYFUNCTION("""COMPUTED_VALUE"""),"Poland")</f>
        <v>Poland</v>
      </c>
      <c r="D12698">
        <f>IFERROR(__xludf.DUMMYFUNCTION("""COMPUTED_VALUE"""),1995.0)</f>
        <v>1995</v>
      </c>
      <c r="E12698">
        <f>IFERROR(__xludf.DUMMYFUNCTION("""COMPUTED_VALUE"""),3.8452632E7)</f>
        <v>38452632</v>
      </c>
    </row>
    <row r="12699">
      <c r="A12699" t="str">
        <f t="shared" si="1"/>
        <v>pol#1996</v>
      </c>
      <c r="B12699" t="str">
        <f>IFERROR(__xludf.DUMMYFUNCTION("""COMPUTED_VALUE"""),"pol")</f>
        <v>pol</v>
      </c>
      <c r="C12699" t="str">
        <f>IFERROR(__xludf.DUMMYFUNCTION("""COMPUTED_VALUE"""),"Poland")</f>
        <v>Poland</v>
      </c>
      <c r="D12699">
        <f>IFERROR(__xludf.DUMMYFUNCTION("""COMPUTED_VALUE"""),1996.0)</f>
        <v>1996</v>
      </c>
      <c r="E12699">
        <f>IFERROR(__xludf.DUMMYFUNCTION("""COMPUTED_VALUE"""),3.8503607E7)</f>
        <v>38503607</v>
      </c>
    </row>
    <row r="12700">
      <c r="A12700" t="str">
        <f t="shared" si="1"/>
        <v>pol#1997</v>
      </c>
      <c r="B12700" t="str">
        <f>IFERROR(__xludf.DUMMYFUNCTION("""COMPUTED_VALUE"""),"pol")</f>
        <v>pol</v>
      </c>
      <c r="C12700" t="str">
        <f>IFERROR(__xludf.DUMMYFUNCTION("""COMPUTED_VALUE"""),"Poland")</f>
        <v>Poland</v>
      </c>
      <c r="D12700">
        <f>IFERROR(__xludf.DUMMYFUNCTION("""COMPUTED_VALUE"""),1997.0)</f>
        <v>1997</v>
      </c>
      <c r="E12700">
        <f>IFERROR(__xludf.DUMMYFUNCTION("""COMPUTED_VALUE"""),3.853873E7)</f>
        <v>38538730</v>
      </c>
    </row>
    <row r="12701">
      <c r="A12701" t="str">
        <f t="shared" si="1"/>
        <v>pol#1998</v>
      </c>
      <c r="B12701" t="str">
        <f>IFERROR(__xludf.DUMMYFUNCTION("""COMPUTED_VALUE"""),"pol")</f>
        <v>pol</v>
      </c>
      <c r="C12701" t="str">
        <f>IFERROR(__xludf.DUMMYFUNCTION("""COMPUTED_VALUE"""),"Poland")</f>
        <v>Poland</v>
      </c>
      <c r="D12701">
        <f>IFERROR(__xludf.DUMMYFUNCTION("""COMPUTED_VALUE"""),1998.0)</f>
        <v>1998</v>
      </c>
      <c r="E12701">
        <f>IFERROR(__xludf.DUMMYFUNCTION("""COMPUTED_VALUE"""),3.8558054E7)</f>
        <v>38558054</v>
      </c>
    </row>
    <row r="12702">
      <c r="A12702" t="str">
        <f t="shared" si="1"/>
        <v>pol#1999</v>
      </c>
      <c r="B12702" t="str">
        <f>IFERROR(__xludf.DUMMYFUNCTION("""COMPUTED_VALUE"""),"pol")</f>
        <v>pol</v>
      </c>
      <c r="C12702" t="str">
        <f>IFERROR(__xludf.DUMMYFUNCTION("""COMPUTED_VALUE"""),"Poland")</f>
        <v>Poland</v>
      </c>
      <c r="D12702">
        <f>IFERROR(__xludf.DUMMYFUNCTION("""COMPUTED_VALUE"""),1999.0)</f>
        <v>1999</v>
      </c>
      <c r="E12702">
        <f>IFERROR(__xludf.DUMMYFUNCTION("""COMPUTED_VALUE"""),3.8561694E7)</f>
        <v>38561694</v>
      </c>
    </row>
    <row r="12703">
      <c r="A12703" t="str">
        <f t="shared" si="1"/>
        <v>pol#2000</v>
      </c>
      <c r="B12703" t="str">
        <f>IFERROR(__xludf.DUMMYFUNCTION("""COMPUTED_VALUE"""),"pol")</f>
        <v>pol</v>
      </c>
      <c r="C12703" t="str">
        <f>IFERROR(__xludf.DUMMYFUNCTION("""COMPUTED_VALUE"""),"Poland")</f>
        <v>Poland</v>
      </c>
      <c r="D12703">
        <f>IFERROR(__xludf.DUMMYFUNCTION("""COMPUTED_VALUE"""),2000.0)</f>
        <v>2000</v>
      </c>
      <c r="E12703">
        <f>IFERROR(__xludf.DUMMYFUNCTION("""COMPUTED_VALUE"""),3.8550495E7)</f>
        <v>38550495</v>
      </c>
    </row>
    <row r="12704">
      <c r="A12704" t="str">
        <f t="shared" si="1"/>
        <v>pol#2001</v>
      </c>
      <c r="B12704" t="str">
        <f>IFERROR(__xludf.DUMMYFUNCTION("""COMPUTED_VALUE"""),"pol")</f>
        <v>pol</v>
      </c>
      <c r="C12704" t="str">
        <f>IFERROR(__xludf.DUMMYFUNCTION("""COMPUTED_VALUE"""),"Poland")</f>
        <v>Poland</v>
      </c>
      <c r="D12704">
        <f>IFERROR(__xludf.DUMMYFUNCTION("""COMPUTED_VALUE"""),2001.0)</f>
        <v>2001</v>
      </c>
      <c r="E12704">
        <f>IFERROR(__xludf.DUMMYFUNCTION("""COMPUTED_VALUE"""),3.8524005E7)</f>
        <v>38524005</v>
      </c>
    </row>
    <row r="12705">
      <c r="A12705" t="str">
        <f t="shared" si="1"/>
        <v>pol#2002</v>
      </c>
      <c r="B12705" t="str">
        <f>IFERROR(__xludf.DUMMYFUNCTION("""COMPUTED_VALUE"""),"pol")</f>
        <v>pol</v>
      </c>
      <c r="C12705" t="str">
        <f>IFERROR(__xludf.DUMMYFUNCTION("""COMPUTED_VALUE"""),"Poland")</f>
        <v>Poland</v>
      </c>
      <c r="D12705">
        <f>IFERROR(__xludf.DUMMYFUNCTION("""COMPUTED_VALUE"""),2002.0)</f>
        <v>2002</v>
      </c>
      <c r="E12705">
        <f>IFERROR(__xludf.DUMMYFUNCTION("""COMPUTED_VALUE"""),3.8484472E7)</f>
        <v>38484472</v>
      </c>
    </row>
    <row r="12706">
      <c r="A12706" t="str">
        <f t="shared" si="1"/>
        <v>pol#2003</v>
      </c>
      <c r="B12706" t="str">
        <f>IFERROR(__xludf.DUMMYFUNCTION("""COMPUTED_VALUE"""),"pol")</f>
        <v>pol</v>
      </c>
      <c r="C12706" t="str">
        <f>IFERROR(__xludf.DUMMYFUNCTION("""COMPUTED_VALUE"""),"Poland")</f>
        <v>Poland</v>
      </c>
      <c r="D12706">
        <f>IFERROR(__xludf.DUMMYFUNCTION("""COMPUTED_VALUE"""),2003.0)</f>
        <v>2003</v>
      </c>
      <c r="E12706">
        <f>IFERROR(__xludf.DUMMYFUNCTION("""COMPUTED_VALUE"""),3.8438826E7)</f>
        <v>38438826</v>
      </c>
    </row>
    <row r="12707">
      <c r="A12707" t="str">
        <f t="shared" si="1"/>
        <v>pol#2004</v>
      </c>
      <c r="B12707" t="str">
        <f>IFERROR(__xludf.DUMMYFUNCTION("""COMPUTED_VALUE"""),"pol")</f>
        <v>pol</v>
      </c>
      <c r="C12707" t="str">
        <f>IFERROR(__xludf.DUMMYFUNCTION("""COMPUTED_VALUE"""),"Poland")</f>
        <v>Poland</v>
      </c>
      <c r="D12707">
        <f>IFERROR(__xludf.DUMMYFUNCTION("""COMPUTED_VALUE"""),2004.0)</f>
        <v>2004</v>
      </c>
      <c r="E12707">
        <f>IFERROR(__xludf.DUMMYFUNCTION("""COMPUTED_VALUE"""),3.8396066E7)</f>
        <v>38396066</v>
      </c>
    </row>
    <row r="12708">
      <c r="A12708" t="str">
        <f t="shared" si="1"/>
        <v>pol#2005</v>
      </c>
      <c r="B12708" t="str">
        <f>IFERROR(__xludf.DUMMYFUNCTION("""COMPUTED_VALUE"""),"pol")</f>
        <v>pol</v>
      </c>
      <c r="C12708" t="str">
        <f>IFERROR(__xludf.DUMMYFUNCTION("""COMPUTED_VALUE"""),"Poland")</f>
        <v>Poland</v>
      </c>
      <c r="D12708">
        <f>IFERROR(__xludf.DUMMYFUNCTION("""COMPUTED_VALUE"""),2005.0)</f>
        <v>2005</v>
      </c>
      <c r="E12708">
        <f>IFERROR(__xludf.DUMMYFUNCTION("""COMPUTED_VALUE"""),3.8362666E7)</f>
        <v>38362666</v>
      </c>
    </row>
    <row r="12709">
      <c r="A12709" t="str">
        <f t="shared" si="1"/>
        <v>pol#2006</v>
      </c>
      <c r="B12709" t="str">
        <f>IFERROR(__xludf.DUMMYFUNCTION("""COMPUTED_VALUE"""),"pol")</f>
        <v>pol</v>
      </c>
      <c r="C12709" t="str">
        <f>IFERROR(__xludf.DUMMYFUNCTION("""COMPUTED_VALUE"""),"Poland")</f>
        <v>Poland</v>
      </c>
      <c r="D12709">
        <f>IFERROR(__xludf.DUMMYFUNCTION("""COMPUTED_VALUE"""),2006.0)</f>
        <v>2006</v>
      </c>
      <c r="E12709">
        <f>IFERROR(__xludf.DUMMYFUNCTION("""COMPUTED_VALUE"""),3.8341036E7)</f>
        <v>38341036</v>
      </c>
    </row>
    <row r="12710">
      <c r="A12710" t="str">
        <f t="shared" si="1"/>
        <v>pol#2007</v>
      </c>
      <c r="B12710" t="str">
        <f>IFERROR(__xludf.DUMMYFUNCTION("""COMPUTED_VALUE"""),"pol")</f>
        <v>pol</v>
      </c>
      <c r="C12710" t="str">
        <f>IFERROR(__xludf.DUMMYFUNCTION("""COMPUTED_VALUE"""),"Poland")</f>
        <v>Poland</v>
      </c>
      <c r="D12710">
        <f>IFERROR(__xludf.DUMMYFUNCTION("""COMPUTED_VALUE"""),2007.0)</f>
        <v>2007</v>
      </c>
      <c r="E12710">
        <f>IFERROR(__xludf.DUMMYFUNCTION("""COMPUTED_VALUE"""),3.8329585E7)</f>
        <v>38329585</v>
      </c>
    </row>
    <row r="12711">
      <c r="A12711" t="str">
        <f t="shared" si="1"/>
        <v>pol#2008</v>
      </c>
      <c r="B12711" t="str">
        <f>IFERROR(__xludf.DUMMYFUNCTION("""COMPUTED_VALUE"""),"pol")</f>
        <v>pol</v>
      </c>
      <c r="C12711" t="str">
        <f>IFERROR(__xludf.DUMMYFUNCTION("""COMPUTED_VALUE"""),"Poland")</f>
        <v>Poland</v>
      </c>
      <c r="D12711">
        <f>IFERROR(__xludf.DUMMYFUNCTION("""COMPUTED_VALUE"""),2008.0)</f>
        <v>2008</v>
      </c>
      <c r="E12711">
        <f>IFERROR(__xludf.DUMMYFUNCTION("""COMPUTED_VALUE"""),3.8325689E7)</f>
        <v>38325689</v>
      </c>
    </row>
    <row r="12712">
      <c r="A12712" t="str">
        <f t="shared" si="1"/>
        <v>pol#2009</v>
      </c>
      <c r="B12712" t="str">
        <f>IFERROR(__xludf.DUMMYFUNCTION("""COMPUTED_VALUE"""),"pol")</f>
        <v>pol</v>
      </c>
      <c r="C12712" t="str">
        <f>IFERROR(__xludf.DUMMYFUNCTION("""COMPUTED_VALUE"""),"Poland")</f>
        <v>Poland</v>
      </c>
      <c r="D12712">
        <f>IFERROR(__xludf.DUMMYFUNCTION("""COMPUTED_VALUE"""),2009.0)</f>
        <v>2009</v>
      </c>
      <c r="E12712">
        <f>IFERROR(__xludf.DUMMYFUNCTION("""COMPUTED_VALUE"""),3.832487E7)</f>
        <v>38324870</v>
      </c>
    </row>
    <row r="12713">
      <c r="A12713" t="str">
        <f t="shared" si="1"/>
        <v>pol#2010</v>
      </c>
      <c r="B12713" t="str">
        <f>IFERROR(__xludf.DUMMYFUNCTION("""COMPUTED_VALUE"""),"pol")</f>
        <v>pol</v>
      </c>
      <c r="C12713" t="str">
        <f>IFERROR(__xludf.DUMMYFUNCTION("""COMPUTED_VALUE"""),"Poland")</f>
        <v>Poland</v>
      </c>
      <c r="D12713">
        <f>IFERROR(__xludf.DUMMYFUNCTION("""COMPUTED_VALUE"""),2010.0)</f>
        <v>2010</v>
      </c>
      <c r="E12713">
        <f>IFERROR(__xludf.DUMMYFUNCTION("""COMPUTED_VALUE"""),3.8323402E7)</f>
        <v>38323402</v>
      </c>
    </row>
    <row r="12714">
      <c r="A12714" t="str">
        <f t="shared" si="1"/>
        <v>pol#2011</v>
      </c>
      <c r="B12714" t="str">
        <f>IFERROR(__xludf.DUMMYFUNCTION("""COMPUTED_VALUE"""),"pol")</f>
        <v>pol</v>
      </c>
      <c r="C12714" t="str">
        <f>IFERROR(__xludf.DUMMYFUNCTION("""COMPUTED_VALUE"""),"Poland")</f>
        <v>Poland</v>
      </c>
      <c r="D12714">
        <f>IFERROR(__xludf.DUMMYFUNCTION("""COMPUTED_VALUE"""),2011.0)</f>
        <v>2011</v>
      </c>
      <c r="E12714">
        <f>IFERROR(__xludf.DUMMYFUNCTION("""COMPUTED_VALUE"""),3.8320947E7)</f>
        <v>38320947</v>
      </c>
    </row>
    <row r="12715">
      <c r="A12715" t="str">
        <f t="shared" si="1"/>
        <v>pol#2012</v>
      </c>
      <c r="B12715" t="str">
        <f>IFERROR(__xludf.DUMMYFUNCTION("""COMPUTED_VALUE"""),"pol")</f>
        <v>pol</v>
      </c>
      <c r="C12715" t="str">
        <f>IFERROR(__xludf.DUMMYFUNCTION("""COMPUTED_VALUE"""),"Poland")</f>
        <v>Poland</v>
      </c>
      <c r="D12715">
        <f>IFERROR(__xludf.DUMMYFUNCTION("""COMPUTED_VALUE"""),2012.0)</f>
        <v>2012</v>
      </c>
      <c r="E12715">
        <f>IFERROR(__xludf.DUMMYFUNCTION("""COMPUTED_VALUE"""),3.8317404E7)</f>
        <v>38317404</v>
      </c>
    </row>
    <row r="12716">
      <c r="A12716" t="str">
        <f t="shared" si="1"/>
        <v>pol#2013</v>
      </c>
      <c r="B12716" t="str">
        <f>IFERROR(__xludf.DUMMYFUNCTION("""COMPUTED_VALUE"""),"pol")</f>
        <v>pol</v>
      </c>
      <c r="C12716" t="str">
        <f>IFERROR(__xludf.DUMMYFUNCTION("""COMPUTED_VALUE"""),"Poland")</f>
        <v>Poland</v>
      </c>
      <c r="D12716">
        <f>IFERROR(__xludf.DUMMYFUNCTION("""COMPUTED_VALUE"""),2013.0)</f>
        <v>2013</v>
      </c>
      <c r="E12716">
        <f>IFERROR(__xludf.DUMMYFUNCTION("""COMPUTED_VALUE"""),3.8309451E7)</f>
        <v>38309451</v>
      </c>
    </row>
    <row r="12717">
      <c r="A12717" t="str">
        <f t="shared" si="1"/>
        <v>pol#2014</v>
      </c>
      <c r="B12717" t="str">
        <f>IFERROR(__xludf.DUMMYFUNCTION("""COMPUTED_VALUE"""),"pol")</f>
        <v>pol</v>
      </c>
      <c r="C12717" t="str">
        <f>IFERROR(__xludf.DUMMYFUNCTION("""COMPUTED_VALUE"""),"Poland")</f>
        <v>Poland</v>
      </c>
      <c r="D12717">
        <f>IFERROR(__xludf.DUMMYFUNCTION("""COMPUTED_VALUE"""),2014.0)</f>
        <v>2014</v>
      </c>
      <c r="E12717">
        <f>IFERROR(__xludf.DUMMYFUNCTION("""COMPUTED_VALUE"""),3.829306E7)</f>
        <v>38293060</v>
      </c>
    </row>
    <row r="12718">
      <c r="A12718" t="str">
        <f t="shared" si="1"/>
        <v>pol#2015</v>
      </c>
      <c r="B12718" t="str">
        <f>IFERROR(__xludf.DUMMYFUNCTION("""COMPUTED_VALUE"""),"pol")</f>
        <v>pol</v>
      </c>
      <c r="C12718" t="str">
        <f>IFERROR(__xludf.DUMMYFUNCTION("""COMPUTED_VALUE"""),"Poland")</f>
        <v>Poland</v>
      </c>
      <c r="D12718">
        <f>IFERROR(__xludf.DUMMYFUNCTION("""COMPUTED_VALUE"""),2015.0)</f>
        <v>2015</v>
      </c>
      <c r="E12718">
        <f>IFERROR(__xludf.DUMMYFUNCTION("""COMPUTED_VALUE"""),3.8265226E7)</f>
        <v>38265226</v>
      </c>
    </row>
    <row r="12719">
      <c r="A12719" t="str">
        <f t="shared" si="1"/>
        <v>pol#2016</v>
      </c>
      <c r="B12719" t="str">
        <f>IFERROR(__xludf.DUMMYFUNCTION("""COMPUTED_VALUE"""),"pol")</f>
        <v>pol</v>
      </c>
      <c r="C12719" t="str">
        <f>IFERROR(__xludf.DUMMYFUNCTION("""COMPUTED_VALUE"""),"Poland")</f>
        <v>Poland</v>
      </c>
      <c r="D12719">
        <f>IFERROR(__xludf.DUMMYFUNCTION("""COMPUTED_VALUE"""),2016.0)</f>
        <v>2016</v>
      </c>
      <c r="E12719">
        <f>IFERROR(__xludf.DUMMYFUNCTION("""COMPUTED_VALUE"""),3.822441E7)</f>
        <v>38224410</v>
      </c>
    </row>
    <row r="12720">
      <c r="A12720" t="str">
        <f t="shared" si="1"/>
        <v>pol#2017</v>
      </c>
      <c r="B12720" t="str">
        <f>IFERROR(__xludf.DUMMYFUNCTION("""COMPUTED_VALUE"""),"pol")</f>
        <v>pol</v>
      </c>
      <c r="C12720" t="str">
        <f>IFERROR(__xludf.DUMMYFUNCTION("""COMPUTED_VALUE"""),"Poland")</f>
        <v>Poland</v>
      </c>
      <c r="D12720">
        <f>IFERROR(__xludf.DUMMYFUNCTION("""COMPUTED_VALUE"""),2017.0)</f>
        <v>2017</v>
      </c>
      <c r="E12720">
        <f>IFERROR(__xludf.DUMMYFUNCTION("""COMPUTED_VALUE"""),3.8170712E7)</f>
        <v>38170712</v>
      </c>
    </row>
    <row r="12721">
      <c r="A12721" t="str">
        <f t="shared" si="1"/>
        <v>pol#2018</v>
      </c>
      <c r="B12721" t="str">
        <f>IFERROR(__xludf.DUMMYFUNCTION("""COMPUTED_VALUE"""),"pol")</f>
        <v>pol</v>
      </c>
      <c r="C12721" t="str">
        <f>IFERROR(__xludf.DUMMYFUNCTION("""COMPUTED_VALUE"""),"Poland")</f>
        <v>Poland</v>
      </c>
      <c r="D12721">
        <f>IFERROR(__xludf.DUMMYFUNCTION("""COMPUTED_VALUE"""),2018.0)</f>
        <v>2018</v>
      </c>
      <c r="E12721">
        <f>IFERROR(__xludf.DUMMYFUNCTION("""COMPUTED_VALUE"""),3.8104832E7)</f>
        <v>38104832</v>
      </c>
    </row>
    <row r="12722">
      <c r="A12722" t="str">
        <f t="shared" si="1"/>
        <v>pol#2019</v>
      </c>
      <c r="B12722" t="str">
        <f>IFERROR(__xludf.DUMMYFUNCTION("""COMPUTED_VALUE"""),"pol")</f>
        <v>pol</v>
      </c>
      <c r="C12722" t="str">
        <f>IFERROR(__xludf.DUMMYFUNCTION("""COMPUTED_VALUE"""),"Poland")</f>
        <v>Poland</v>
      </c>
      <c r="D12722">
        <f>IFERROR(__xludf.DUMMYFUNCTION("""COMPUTED_VALUE"""),2019.0)</f>
        <v>2019</v>
      </c>
      <c r="E12722">
        <f>IFERROR(__xludf.DUMMYFUNCTION("""COMPUTED_VALUE"""),3.8028278E7)</f>
        <v>38028278</v>
      </c>
    </row>
    <row r="12723">
      <c r="A12723" t="str">
        <f t="shared" si="1"/>
        <v>pol#2020</v>
      </c>
      <c r="B12723" t="str">
        <f>IFERROR(__xludf.DUMMYFUNCTION("""COMPUTED_VALUE"""),"pol")</f>
        <v>pol</v>
      </c>
      <c r="C12723" t="str">
        <f>IFERROR(__xludf.DUMMYFUNCTION("""COMPUTED_VALUE"""),"Poland")</f>
        <v>Poland</v>
      </c>
      <c r="D12723">
        <f>IFERROR(__xludf.DUMMYFUNCTION("""COMPUTED_VALUE"""),2020.0)</f>
        <v>2020</v>
      </c>
      <c r="E12723">
        <f>IFERROR(__xludf.DUMMYFUNCTION("""COMPUTED_VALUE"""),3.7942231E7)</f>
        <v>37942231</v>
      </c>
    </row>
    <row r="12724">
      <c r="A12724" t="str">
        <f t="shared" si="1"/>
        <v>pol#2021</v>
      </c>
      <c r="B12724" t="str">
        <f>IFERROR(__xludf.DUMMYFUNCTION("""COMPUTED_VALUE"""),"pol")</f>
        <v>pol</v>
      </c>
      <c r="C12724" t="str">
        <f>IFERROR(__xludf.DUMMYFUNCTION("""COMPUTED_VALUE"""),"Poland")</f>
        <v>Poland</v>
      </c>
      <c r="D12724">
        <f>IFERROR(__xludf.DUMMYFUNCTION("""COMPUTED_VALUE"""),2021.0)</f>
        <v>2021</v>
      </c>
      <c r="E12724">
        <f>IFERROR(__xludf.DUMMYFUNCTION("""COMPUTED_VALUE"""),3.7846622E7)</f>
        <v>37846622</v>
      </c>
    </row>
    <row r="12725">
      <c r="A12725" t="str">
        <f t="shared" si="1"/>
        <v>pol#2022</v>
      </c>
      <c r="B12725" t="str">
        <f>IFERROR(__xludf.DUMMYFUNCTION("""COMPUTED_VALUE"""),"pol")</f>
        <v>pol</v>
      </c>
      <c r="C12725" t="str">
        <f>IFERROR(__xludf.DUMMYFUNCTION("""COMPUTED_VALUE"""),"Poland")</f>
        <v>Poland</v>
      </c>
      <c r="D12725">
        <f>IFERROR(__xludf.DUMMYFUNCTION("""COMPUTED_VALUE"""),2022.0)</f>
        <v>2022</v>
      </c>
      <c r="E12725">
        <f>IFERROR(__xludf.DUMMYFUNCTION("""COMPUTED_VALUE"""),3.7741149E7)</f>
        <v>37741149</v>
      </c>
    </row>
    <row r="12726">
      <c r="A12726" t="str">
        <f t="shared" si="1"/>
        <v>pol#2023</v>
      </c>
      <c r="B12726" t="str">
        <f>IFERROR(__xludf.DUMMYFUNCTION("""COMPUTED_VALUE"""),"pol")</f>
        <v>pol</v>
      </c>
      <c r="C12726" t="str">
        <f>IFERROR(__xludf.DUMMYFUNCTION("""COMPUTED_VALUE"""),"Poland")</f>
        <v>Poland</v>
      </c>
      <c r="D12726">
        <f>IFERROR(__xludf.DUMMYFUNCTION("""COMPUTED_VALUE"""),2023.0)</f>
        <v>2023</v>
      </c>
      <c r="E12726">
        <f>IFERROR(__xludf.DUMMYFUNCTION("""COMPUTED_VALUE"""),3.7626511E7)</f>
        <v>37626511</v>
      </c>
    </row>
    <row r="12727">
      <c r="A12727" t="str">
        <f t="shared" si="1"/>
        <v>pol#2024</v>
      </c>
      <c r="B12727" t="str">
        <f>IFERROR(__xludf.DUMMYFUNCTION("""COMPUTED_VALUE"""),"pol")</f>
        <v>pol</v>
      </c>
      <c r="C12727" t="str">
        <f>IFERROR(__xludf.DUMMYFUNCTION("""COMPUTED_VALUE"""),"Poland")</f>
        <v>Poland</v>
      </c>
      <c r="D12727">
        <f>IFERROR(__xludf.DUMMYFUNCTION("""COMPUTED_VALUE"""),2024.0)</f>
        <v>2024</v>
      </c>
      <c r="E12727">
        <f>IFERROR(__xludf.DUMMYFUNCTION("""COMPUTED_VALUE"""),3.7503622E7)</f>
        <v>37503622</v>
      </c>
    </row>
    <row r="12728">
      <c r="A12728" t="str">
        <f t="shared" si="1"/>
        <v>pol#2025</v>
      </c>
      <c r="B12728" t="str">
        <f>IFERROR(__xludf.DUMMYFUNCTION("""COMPUTED_VALUE"""),"pol")</f>
        <v>pol</v>
      </c>
      <c r="C12728" t="str">
        <f>IFERROR(__xludf.DUMMYFUNCTION("""COMPUTED_VALUE"""),"Poland")</f>
        <v>Poland</v>
      </c>
      <c r="D12728">
        <f>IFERROR(__xludf.DUMMYFUNCTION("""COMPUTED_VALUE"""),2025.0)</f>
        <v>2025</v>
      </c>
      <c r="E12728">
        <f>IFERROR(__xludf.DUMMYFUNCTION("""COMPUTED_VALUE"""),3.7373183E7)</f>
        <v>37373183</v>
      </c>
    </row>
    <row r="12729">
      <c r="A12729" t="str">
        <f t="shared" si="1"/>
        <v>pol#2026</v>
      </c>
      <c r="B12729" t="str">
        <f>IFERROR(__xludf.DUMMYFUNCTION("""COMPUTED_VALUE"""),"pol")</f>
        <v>pol</v>
      </c>
      <c r="C12729" t="str">
        <f>IFERROR(__xludf.DUMMYFUNCTION("""COMPUTED_VALUE"""),"Poland")</f>
        <v>Poland</v>
      </c>
      <c r="D12729">
        <f>IFERROR(__xludf.DUMMYFUNCTION("""COMPUTED_VALUE"""),2026.0)</f>
        <v>2026</v>
      </c>
      <c r="E12729">
        <f>IFERROR(__xludf.DUMMYFUNCTION("""COMPUTED_VALUE"""),3.7235687E7)</f>
        <v>37235687</v>
      </c>
    </row>
    <row r="12730">
      <c r="A12730" t="str">
        <f t="shared" si="1"/>
        <v>pol#2027</v>
      </c>
      <c r="B12730" t="str">
        <f>IFERROR(__xludf.DUMMYFUNCTION("""COMPUTED_VALUE"""),"pol")</f>
        <v>pol</v>
      </c>
      <c r="C12730" t="str">
        <f>IFERROR(__xludf.DUMMYFUNCTION("""COMPUTED_VALUE"""),"Poland")</f>
        <v>Poland</v>
      </c>
      <c r="D12730">
        <f>IFERROR(__xludf.DUMMYFUNCTION("""COMPUTED_VALUE"""),2027.0)</f>
        <v>2027</v>
      </c>
      <c r="E12730">
        <f>IFERROR(__xludf.DUMMYFUNCTION("""COMPUTED_VALUE"""),3.7091264E7)</f>
        <v>37091264</v>
      </c>
    </row>
    <row r="12731">
      <c r="A12731" t="str">
        <f t="shared" si="1"/>
        <v>pol#2028</v>
      </c>
      <c r="B12731" t="str">
        <f>IFERROR(__xludf.DUMMYFUNCTION("""COMPUTED_VALUE"""),"pol")</f>
        <v>pol</v>
      </c>
      <c r="C12731" t="str">
        <f>IFERROR(__xludf.DUMMYFUNCTION("""COMPUTED_VALUE"""),"Poland")</f>
        <v>Poland</v>
      </c>
      <c r="D12731">
        <f>IFERROR(__xludf.DUMMYFUNCTION("""COMPUTED_VALUE"""),2028.0)</f>
        <v>2028</v>
      </c>
      <c r="E12731">
        <f>IFERROR(__xludf.DUMMYFUNCTION("""COMPUTED_VALUE"""),3.6939878E7)</f>
        <v>36939878</v>
      </c>
    </row>
    <row r="12732">
      <c r="A12732" t="str">
        <f t="shared" si="1"/>
        <v>pol#2029</v>
      </c>
      <c r="B12732" t="str">
        <f>IFERROR(__xludf.DUMMYFUNCTION("""COMPUTED_VALUE"""),"pol")</f>
        <v>pol</v>
      </c>
      <c r="C12732" t="str">
        <f>IFERROR(__xludf.DUMMYFUNCTION("""COMPUTED_VALUE"""),"Poland")</f>
        <v>Poland</v>
      </c>
      <c r="D12732">
        <f>IFERROR(__xludf.DUMMYFUNCTION("""COMPUTED_VALUE"""),2029.0)</f>
        <v>2029</v>
      </c>
      <c r="E12732">
        <f>IFERROR(__xludf.DUMMYFUNCTION("""COMPUTED_VALUE"""),3.6781302E7)</f>
        <v>36781302</v>
      </c>
    </row>
    <row r="12733">
      <c r="A12733" t="str">
        <f t="shared" si="1"/>
        <v>pol#2030</v>
      </c>
      <c r="B12733" t="str">
        <f>IFERROR(__xludf.DUMMYFUNCTION("""COMPUTED_VALUE"""),"pol")</f>
        <v>pol</v>
      </c>
      <c r="C12733" t="str">
        <f>IFERROR(__xludf.DUMMYFUNCTION("""COMPUTED_VALUE"""),"Poland")</f>
        <v>Poland</v>
      </c>
      <c r="D12733">
        <f>IFERROR(__xludf.DUMMYFUNCTION("""COMPUTED_VALUE"""),2030.0)</f>
        <v>2030</v>
      </c>
      <c r="E12733">
        <f>IFERROR(__xludf.DUMMYFUNCTION("""COMPUTED_VALUE"""),3.66155E7)</f>
        <v>36615500</v>
      </c>
    </row>
    <row r="12734">
      <c r="A12734" t="str">
        <f t="shared" si="1"/>
        <v>pol#2031</v>
      </c>
      <c r="B12734" t="str">
        <f>IFERROR(__xludf.DUMMYFUNCTION("""COMPUTED_VALUE"""),"pol")</f>
        <v>pol</v>
      </c>
      <c r="C12734" t="str">
        <f>IFERROR(__xludf.DUMMYFUNCTION("""COMPUTED_VALUE"""),"Poland")</f>
        <v>Poland</v>
      </c>
      <c r="D12734">
        <f>IFERROR(__xludf.DUMMYFUNCTION("""COMPUTED_VALUE"""),2031.0)</f>
        <v>2031</v>
      </c>
      <c r="E12734">
        <f>IFERROR(__xludf.DUMMYFUNCTION("""COMPUTED_VALUE"""),3.6442679E7)</f>
        <v>36442679</v>
      </c>
    </row>
    <row r="12735">
      <c r="A12735" t="str">
        <f t="shared" si="1"/>
        <v>pol#2032</v>
      </c>
      <c r="B12735" t="str">
        <f>IFERROR(__xludf.DUMMYFUNCTION("""COMPUTED_VALUE"""),"pol")</f>
        <v>pol</v>
      </c>
      <c r="C12735" t="str">
        <f>IFERROR(__xludf.DUMMYFUNCTION("""COMPUTED_VALUE"""),"Poland")</f>
        <v>Poland</v>
      </c>
      <c r="D12735">
        <f>IFERROR(__xludf.DUMMYFUNCTION("""COMPUTED_VALUE"""),2032.0)</f>
        <v>2032</v>
      </c>
      <c r="E12735">
        <f>IFERROR(__xludf.DUMMYFUNCTION("""COMPUTED_VALUE"""),3.6263294E7)</f>
        <v>36263294</v>
      </c>
    </row>
    <row r="12736">
      <c r="A12736" t="str">
        <f t="shared" si="1"/>
        <v>pol#2033</v>
      </c>
      <c r="B12736" t="str">
        <f>IFERROR(__xludf.DUMMYFUNCTION("""COMPUTED_VALUE"""),"pol")</f>
        <v>pol</v>
      </c>
      <c r="C12736" t="str">
        <f>IFERROR(__xludf.DUMMYFUNCTION("""COMPUTED_VALUE"""),"Poland")</f>
        <v>Poland</v>
      </c>
      <c r="D12736">
        <f>IFERROR(__xludf.DUMMYFUNCTION("""COMPUTED_VALUE"""),2033.0)</f>
        <v>2033</v>
      </c>
      <c r="E12736">
        <f>IFERROR(__xludf.DUMMYFUNCTION("""COMPUTED_VALUE"""),3.6077912E7)</f>
        <v>36077912</v>
      </c>
    </row>
    <row r="12737">
      <c r="A12737" t="str">
        <f t="shared" si="1"/>
        <v>pol#2034</v>
      </c>
      <c r="B12737" t="str">
        <f>IFERROR(__xludf.DUMMYFUNCTION("""COMPUTED_VALUE"""),"pol")</f>
        <v>pol</v>
      </c>
      <c r="C12737" t="str">
        <f>IFERROR(__xludf.DUMMYFUNCTION("""COMPUTED_VALUE"""),"Poland")</f>
        <v>Poland</v>
      </c>
      <c r="D12737">
        <f>IFERROR(__xludf.DUMMYFUNCTION("""COMPUTED_VALUE"""),2034.0)</f>
        <v>2034</v>
      </c>
      <c r="E12737">
        <f>IFERROR(__xludf.DUMMYFUNCTION("""COMPUTED_VALUE"""),3.5887209E7)</f>
        <v>35887209</v>
      </c>
    </row>
    <row r="12738">
      <c r="A12738" t="str">
        <f t="shared" si="1"/>
        <v>pol#2035</v>
      </c>
      <c r="B12738" t="str">
        <f>IFERROR(__xludf.DUMMYFUNCTION("""COMPUTED_VALUE"""),"pol")</f>
        <v>pol</v>
      </c>
      <c r="C12738" t="str">
        <f>IFERROR(__xludf.DUMMYFUNCTION("""COMPUTED_VALUE"""),"Poland")</f>
        <v>Poland</v>
      </c>
      <c r="D12738">
        <f>IFERROR(__xludf.DUMMYFUNCTION("""COMPUTED_VALUE"""),2035.0)</f>
        <v>2035</v>
      </c>
      <c r="E12738">
        <f>IFERROR(__xludf.DUMMYFUNCTION("""COMPUTED_VALUE"""),3.5691755E7)</f>
        <v>35691755</v>
      </c>
    </row>
    <row r="12739">
      <c r="A12739" t="str">
        <f t="shared" si="1"/>
        <v>pol#2036</v>
      </c>
      <c r="B12739" t="str">
        <f>IFERROR(__xludf.DUMMYFUNCTION("""COMPUTED_VALUE"""),"pol")</f>
        <v>pol</v>
      </c>
      <c r="C12739" t="str">
        <f>IFERROR(__xludf.DUMMYFUNCTION("""COMPUTED_VALUE"""),"Poland")</f>
        <v>Poland</v>
      </c>
      <c r="D12739">
        <f>IFERROR(__xludf.DUMMYFUNCTION("""COMPUTED_VALUE"""),2036.0)</f>
        <v>2036</v>
      </c>
      <c r="E12739">
        <f>IFERROR(__xludf.DUMMYFUNCTION("""COMPUTED_VALUE"""),3.5491908E7)</f>
        <v>35491908</v>
      </c>
    </row>
    <row r="12740">
      <c r="A12740" t="str">
        <f t="shared" si="1"/>
        <v>pol#2037</v>
      </c>
      <c r="B12740" t="str">
        <f>IFERROR(__xludf.DUMMYFUNCTION("""COMPUTED_VALUE"""),"pol")</f>
        <v>pol</v>
      </c>
      <c r="C12740" t="str">
        <f>IFERROR(__xludf.DUMMYFUNCTION("""COMPUTED_VALUE"""),"Poland")</f>
        <v>Poland</v>
      </c>
      <c r="D12740">
        <f>IFERROR(__xludf.DUMMYFUNCTION("""COMPUTED_VALUE"""),2037.0)</f>
        <v>2037</v>
      </c>
      <c r="E12740">
        <f>IFERROR(__xludf.DUMMYFUNCTION("""COMPUTED_VALUE"""),3.5287927E7)</f>
        <v>35287927</v>
      </c>
    </row>
    <row r="12741">
      <c r="A12741" t="str">
        <f t="shared" si="1"/>
        <v>pol#2038</v>
      </c>
      <c r="B12741" t="str">
        <f>IFERROR(__xludf.DUMMYFUNCTION("""COMPUTED_VALUE"""),"pol")</f>
        <v>pol</v>
      </c>
      <c r="C12741" t="str">
        <f>IFERROR(__xludf.DUMMYFUNCTION("""COMPUTED_VALUE"""),"Poland")</f>
        <v>Poland</v>
      </c>
      <c r="D12741">
        <f>IFERROR(__xludf.DUMMYFUNCTION("""COMPUTED_VALUE"""),2038.0)</f>
        <v>2038</v>
      </c>
      <c r="E12741">
        <f>IFERROR(__xludf.DUMMYFUNCTION("""COMPUTED_VALUE"""),3.5080155E7)</f>
        <v>35080155</v>
      </c>
    </row>
    <row r="12742">
      <c r="A12742" t="str">
        <f t="shared" si="1"/>
        <v>pol#2039</v>
      </c>
      <c r="B12742" t="str">
        <f>IFERROR(__xludf.DUMMYFUNCTION("""COMPUTED_VALUE"""),"pol")</f>
        <v>pol</v>
      </c>
      <c r="C12742" t="str">
        <f>IFERROR(__xludf.DUMMYFUNCTION("""COMPUTED_VALUE"""),"Poland")</f>
        <v>Poland</v>
      </c>
      <c r="D12742">
        <f>IFERROR(__xludf.DUMMYFUNCTION("""COMPUTED_VALUE"""),2039.0)</f>
        <v>2039</v>
      </c>
      <c r="E12742">
        <f>IFERROR(__xludf.DUMMYFUNCTION("""COMPUTED_VALUE"""),3.4868933E7)</f>
        <v>34868933</v>
      </c>
    </row>
    <row r="12743">
      <c r="A12743" t="str">
        <f t="shared" si="1"/>
        <v>pol#2040</v>
      </c>
      <c r="B12743" t="str">
        <f>IFERROR(__xludf.DUMMYFUNCTION("""COMPUTED_VALUE"""),"pol")</f>
        <v>pol</v>
      </c>
      <c r="C12743" t="str">
        <f>IFERROR(__xludf.DUMMYFUNCTION("""COMPUTED_VALUE"""),"Poland")</f>
        <v>Poland</v>
      </c>
      <c r="D12743">
        <f>IFERROR(__xludf.DUMMYFUNCTION("""COMPUTED_VALUE"""),2040.0)</f>
        <v>2040</v>
      </c>
      <c r="E12743">
        <f>IFERROR(__xludf.DUMMYFUNCTION("""COMPUTED_VALUE"""),3.4654579E7)</f>
        <v>34654579</v>
      </c>
    </row>
    <row r="12744">
      <c r="A12744" t="str">
        <f t="shared" si="1"/>
        <v>prt#1950</v>
      </c>
      <c r="B12744" t="str">
        <f>IFERROR(__xludf.DUMMYFUNCTION("""COMPUTED_VALUE"""),"prt")</f>
        <v>prt</v>
      </c>
      <c r="C12744" t="str">
        <f>IFERROR(__xludf.DUMMYFUNCTION("""COMPUTED_VALUE"""),"Portugal")</f>
        <v>Portugal</v>
      </c>
      <c r="D12744">
        <f>IFERROR(__xludf.DUMMYFUNCTION("""COMPUTED_VALUE"""),1950.0)</f>
        <v>1950</v>
      </c>
      <c r="E12744">
        <f>IFERROR(__xludf.DUMMYFUNCTION("""COMPUTED_VALUE"""),8416967.0)</f>
        <v>8416967</v>
      </c>
    </row>
    <row r="12745">
      <c r="A12745" t="str">
        <f t="shared" si="1"/>
        <v>prt#1951</v>
      </c>
      <c r="B12745" t="str">
        <f>IFERROR(__xludf.DUMMYFUNCTION("""COMPUTED_VALUE"""),"prt")</f>
        <v>prt</v>
      </c>
      <c r="C12745" t="str">
        <f>IFERROR(__xludf.DUMMYFUNCTION("""COMPUTED_VALUE"""),"Portugal")</f>
        <v>Portugal</v>
      </c>
      <c r="D12745">
        <f>IFERROR(__xludf.DUMMYFUNCTION("""COMPUTED_VALUE"""),1951.0)</f>
        <v>1951</v>
      </c>
      <c r="E12745">
        <f>IFERROR(__xludf.DUMMYFUNCTION("""COMPUTED_VALUE"""),8432973.0)</f>
        <v>8432973</v>
      </c>
    </row>
    <row r="12746">
      <c r="A12746" t="str">
        <f t="shared" si="1"/>
        <v>prt#1952</v>
      </c>
      <c r="B12746" t="str">
        <f>IFERROR(__xludf.DUMMYFUNCTION("""COMPUTED_VALUE"""),"prt")</f>
        <v>prt</v>
      </c>
      <c r="C12746" t="str">
        <f>IFERROR(__xludf.DUMMYFUNCTION("""COMPUTED_VALUE"""),"Portugal")</f>
        <v>Portugal</v>
      </c>
      <c r="D12746">
        <f>IFERROR(__xludf.DUMMYFUNCTION("""COMPUTED_VALUE"""),1952.0)</f>
        <v>1952</v>
      </c>
      <c r="E12746">
        <f>IFERROR(__xludf.DUMMYFUNCTION("""COMPUTED_VALUE"""),8477256.0)</f>
        <v>8477256</v>
      </c>
    </row>
    <row r="12747">
      <c r="A12747" t="str">
        <f t="shared" si="1"/>
        <v>prt#1953</v>
      </c>
      <c r="B12747" t="str">
        <f>IFERROR(__xludf.DUMMYFUNCTION("""COMPUTED_VALUE"""),"prt")</f>
        <v>prt</v>
      </c>
      <c r="C12747" t="str">
        <f>IFERROR(__xludf.DUMMYFUNCTION("""COMPUTED_VALUE"""),"Portugal")</f>
        <v>Portugal</v>
      </c>
      <c r="D12747">
        <f>IFERROR(__xludf.DUMMYFUNCTION("""COMPUTED_VALUE"""),1953.0)</f>
        <v>1953</v>
      </c>
      <c r="E12747">
        <f>IFERROR(__xludf.DUMMYFUNCTION("""COMPUTED_VALUE"""),8537746.0)</f>
        <v>8537746</v>
      </c>
    </row>
    <row r="12748">
      <c r="A12748" t="str">
        <f t="shared" si="1"/>
        <v>prt#1954</v>
      </c>
      <c r="B12748" t="str">
        <f>IFERROR(__xludf.DUMMYFUNCTION("""COMPUTED_VALUE"""),"prt")</f>
        <v>prt</v>
      </c>
      <c r="C12748" t="str">
        <f>IFERROR(__xludf.DUMMYFUNCTION("""COMPUTED_VALUE"""),"Portugal")</f>
        <v>Portugal</v>
      </c>
      <c r="D12748">
        <f>IFERROR(__xludf.DUMMYFUNCTION("""COMPUTED_VALUE"""),1954.0)</f>
        <v>1954</v>
      </c>
      <c r="E12748">
        <f>IFERROR(__xludf.DUMMYFUNCTION("""COMPUTED_VALUE"""),8604733.0)</f>
        <v>8604733</v>
      </c>
    </row>
    <row r="12749">
      <c r="A12749" t="str">
        <f t="shared" si="1"/>
        <v>prt#1955</v>
      </c>
      <c r="B12749" t="str">
        <f>IFERROR(__xludf.DUMMYFUNCTION("""COMPUTED_VALUE"""),"prt")</f>
        <v>prt</v>
      </c>
      <c r="C12749" t="str">
        <f>IFERROR(__xludf.DUMMYFUNCTION("""COMPUTED_VALUE"""),"Portugal")</f>
        <v>Portugal</v>
      </c>
      <c r="D12749">
        <f>IFERROR(__xludf.DUMMYFUNCTION("""COMPUTED_VALUE"""),1955.0)</f>
        <v>1955</v>
      </c>
      <c r="E12749">
        <f>IFERROR(__xludf.DUMMYFUNCTION("""COMPUTED_VALUE"""),8670884.0)</f>
        <v>8670884</v>
      </c>
    </row>
    <row r="12750">
      <c r="A12750" t="str">
        <f t="shared" si="1"/>
        <v>prt#1956</v>
      </c>
      <c r="B12750" t="str">
        <f>IFERROR(__xludf.DUMMYFUNCTION("""COMPUTED_VALUE"""),"prt")</f>
        <v>prt</v>
      </c>
      <c r="C12750" t="str">
        <f>IFERROR(__xludf.DUMMYFUNCTION("""COMPUTED_VALUE"""),"Portugal")</f>
        <v>Portugal</v>
      </c>
      <c r="D12750">
        <f>IFERROR(__xludf.DUMMYFUNCTION("""COMPUTED_VALUE"""),1956.0)</f>
        <v>1956</v>
      </c>
      <c r="E12750">
        <f>IFERROR(__xludf.DUMMYFUNCTION("""COMPUTED_VALUE"""),8731331.0)</f>
        <v>8731331</v>
      </c>
    </row>
    <row r="12751">
      <c r="A12751" t="str">
        <f t="shared" si="1"/>
        <v>prt#1957</v>
      </c>
      <c r="B12751" t="str">
        <f>IFERROR(__xludf.DUMMYFUNCTION("""COMPUTED_VALUE"""),"prt")</f>
        <v>prt</v>
      </c>
      <c r="C12751" t="str">
        <f>IFERROR(__xludf.DUMMYFUNCTION("""COMPUTED_VALUE"""),"Portugal")</f>
        <v>Portugal</v>
      </c>
      <c r="D12751">
        <f>IFERROR(__xludf.DUMMYFUNCTION("""COMPUTED_VALUE"""),1957.0)</f>
        <v>1957</v>
      </c>
      <c r="E12751">
        <f>IFERROR(__xludf.DUMMYFUNCTION("""COMPUTED_VALUE"""),8783547.0)</f>
        <v>8783547</v>
      </c>
    </row>
    <row r="12752">
      <c r="A12752" t="str">
        <f t="shared" si="1"/>
        <v>prt#1958</v>
      </c>
      <c r="B12752" t="str">
        <f>IFERROR(__xludf.DUMMYFUNCTION("""COMPUTED_VALUE"""),"prt")</f>
        <v>prt</v>
      </c>
      <c r="C12752" t="str">
        <f>IFERROR(__xludf.DUMMYFUNCTION("""COMPUTED_VALUE"""),"Portugal")</f>
        <v>Portugal</v>
      </c>
      <c r="D12752">
        <f>IFERROR(__xludf.DUMMYFUNCTION("""COMPUTED_VALUE"""),1958.0)</f>
        <v>1958</v>
      </c>
      <c r="E12752">
        <f>IFERROR(__xludf.DUMMYFUNCTION("""COMPUTED_VALUE"""),8827136.0)</f>
        <v>8827136</v>
      </c>
    </row>
    <row r="12753">
      <c r="A12753" t="str">
        <f t="shared" si="1"/>
        <v>prt#1959</v>
      </c>
      <c r="B12753" t="str">
        <f>IFERROR(__xludf.DUMMYFUNCTION("""COMPUTED_VALUE"""),"prt")</f>
        <v>prt</v>
      </c>
      <c r="C12753" t="str">
        <f>IFERROR(__xludf.DUMMYFUNCTION("""COMPUTED_VALUE"""),"Portugal")</f>
        <v>Portugal</v>
      </c>
      <c r="D12753">
        <f>IFERROR(__xludf.DUMMYFUNCTION("""COMPUTED_VALUE"""),1959.0)</f>
        <v>1959</v>
      </c>
      <c r="E12753">
        <f>IFERROR(__xludf.DUMMYFUNCTION("""COMPUTED_VALUE"""),8863385.0)</f>
        <v>8863385</v>
      </c>
    </row>
    <row r="12754">
      <c r="A12754" t="str">
        <f t="shared" si="1"/>
        <v>prt#1960</v>
      </c>
      <c r="B12754" t="str">
        <f>IFERROR(__xludf.DUMMYFUNCTION("""COMPUTED_VALUE"""),"prt")</f>
        <v>prt</v>
      </c>
      <c r="C12754" t="str">
        <f>IFERROR(__xludf.DUMMYFUNCTION("""COMPUTED_VALUE"""),"Portugal")</f>
        <v>Portugal</v>
      </c>
      <c r="D12754">
        <f>IFERROR(__xludf.DUMMYFUNCTION("""COMPUTED_VALUE"""),1960.0)</f>
        <v>1960</v>
      </c>
      <c r="E12754">
        <f>IFERROR(__xludf.DUMMYFUNCTION("""COMPUTED_VALUE"""),8893971.0)</f>
        <v>8893971</v>
      </c>
    </row>
    <row r="12755">
      <c r="A12755" t="str">
        <f t="shared" si="1"/>
        <v>prt#1961</v>
      </c>
      <c r="B12755" t="str">
        <f>IFERROR(__xludf.DUMMYFUNCTION("""COMPUTED_VALUE"""),"prt")</f>
        <v>prt</v>
      </c>
      <c r="C12755" t="str">
        <f>IFERROR(__xludf.DUMMYFUNCTION("""COMPUTED_VALUE"""),"Portugal")</f>
        <v>Portugal</v>
      </c>
      <c r="D12755">
        <f>IFERROR(__xludf.DUMMYFUNCTION("""COMPUTED_VALUE"""),1961.0)</f>
        <v>1961</v>
      </c>
      <c r="E12755">
        <f>IFERROR(__xludf.DUMMYFUNCTION("""COMPUTED_VALUE"""),8919603.0)</f>
        <v>8919603</v>
      </c>
    </row>
    <row r="12756">
      <c r="A12756" t="str">
        <f t="shared" si="1"/>
        <v>prt#1962</v>
      </c>
      <c r="B12756" t="str">
        <f>IFERROR(__xludf.DUMMYFUNCTION("""COMPUTED_VALUE"""),"prt")</f>
        <v>prt</v>
      </c>
      <c r="C12756" t="str">
        <f>IFERROR(__xludf.DUMMYFUNCTION("""COMPUTED_VALUE"""),"Portugal")</f>
        <v>Portugal</v>
      </c>
      <c r="D12756">
        <f>IFERROR(__xludf.DUMMYFUNCTION("""COMPUTED_VALUE"""),1962.0)</f>
        <v>1962</v>
      </c>
      <c r="E12756">
        <f>IFERROR(__xludf.DUMMYFUNCTION("""COMPUTED_VALUE"""),8938804.0)</f>
        <v>8938804</v>
      </c>
    </row>
    <row r="12757">
      <c r="A12757" t="str">
        <f t="shared" si="1"/>
        <v>prt#1963</v>
      </c>
      <c r="B12757" t="str">
        <f>IFERROR(__xludf.DUMMYFUNCTION("""COMPUTED_VALUE"""),"prt")</f>
        <v>prt</v>
      </c>
      <c r="C12757" t="str">
        <f>IFERROR(__xludf.DUMMYFUNCTION("""COMPUTED_VALUE"""),"Portugal")</f>
        <v>Portugal</v>
      </c>
      <c r="D12757">
        <f>IFERROR(__xludf.DUMMYFUNCTION("""COMPUTED_VALUE"""),1963.0)</f>
        <v>1963</v>
      </c>
      <c r="E12757">
        <f>IFERROR(__xludf.DUMMYFUNCTION("""COMPUTED_VALUE"""),8947428.0)</f>
        <v>8947428</v>
      </c>
    </row>
    <row r="12758">
      <c r="A12758" t="str">
        <f t="shared" si="1"/>
        <v>prt#1964</v>
      </c>
      <c r="B12758" t="str">
        <f>IFERROR(__xludf.DUMMYFUNCTION("""COMPUTED_VALUE"""),"prt")</f>
        <v>prt</v>
      </c>
      <c r="C12758" t="str">
        <f>IFERROR(__xludf.DUMMYFUNCTION("""COMPUTED_VALUE"""),"Portugal")</f>
        <v>Portugal</v>
      </c>
      <c r="D12758">
        <f>IFERROR(__xludf.DUMMYFUNCTION("""COMPUTED_VALUE"""),1964.0)</f>
        <v>1964</v>
      </c>
      <c r="E12758">
        <f>IFERROR(__xludf.DUMMYFUNCTION("""COMPUTED_VALUE"""),8940092.0)</f>
        <v>8940092</v>
      </c>
    </row>
    <row r="12759">
      <c r="A12759" t="str">
        <f t="shared" si="1"/>
        <v>prt#1965</v>
      </c>
      <c r="B12759" t="str">
        <f>IFERROR(__xludf.DUMMYFUNCTION("""COMPUTED_VALUE"""),"prt")</f>
        <v>prt</v>
      </c>
      <c r="C12759" t="str">
        <f>IFERROR(__xludf.DUMMYFUNCTION("""COMPUTED_VALUE"""),"Portugal")</f>
        <v>Portugal</v>
      </c>
      <c r="D12759">
        <f>IFERROR(__xludf.DUMMYFUNCTION("""COMPUTED_VALUE"""),1965.0)</f>
        <v>1965</v>
      </c>
      <c r="E12759">
        <f>IFERROR(__xludf.DUMMYFUNCTION("""COMPUTED_VALUE"""),8914451.0)</f>
        <v>8914451</v>
      </c>
    </row>
    <row r="12760">
      <c r="A12760" t="str">
        <f t="shared" si="1"/>
        <v>prt#1966</v>
      </c>
      <c r="B12760" t="str">
        <f>IFERROR(__xludf.DUMMYFUNCTION("""COMPUTED_VALUE"""),"prt")</f>
        <v>prt</v>
      </c>
      <c r="C12760" t="str">
        <f>IFERROR(__xludf.DUMMYFUNCTION("""COMPUTED_VALUE"""),"Portugal")</f>
        <v>Portugal</v>
      </c>
      <c r="D12760">
        <f>IFERROR(__xludf.DUMMYFUNCTION("""COMPUTED_VALUE"""),1966.0)</f>
        <v>1966</v>
      </c>
      <c r="E12760">
        <f>IFERROR(__xludf.DUMMYFUNCTION("""COMPUTED_VALUE"""),8866850.0)</f>
        <v>8866850</v>
      </c>
    </row>
    <row r="12761">
      <c r="A12761" t="str">
        <f t="shared" si="1"/>
        <v>prt#1967</v>
      </c>
      <c r="B12761" t="str">
        <f>IFERROR(__xludf.DUMMYFUNCTION("""COMPUTED_VALUE"""),"prt")</f>
        <v>prt</v>
      </c>
      <c r="C12761" t="str">
        <f>IFERROR(__xludf.DUMMYFUNCTION("""COMPUTED_VALUE"""),"Portugal")</f>
        <v>Portugal</v>
      </c>
      <c r="D12761">
        <f>IFERROR(__xludf.DUMMYFUNCTION("""COMPUTED_VALUE"""),1967.0)</f>
        <v>1967</v>
      </c>
      <c r="E12761">
        <f>IFERROR(__xludf.DUMMYFUNCTION("""COMPUTED_VALUE"""),8802562.0)</f>
        <v>8802562</v>
      </c>
    </row>
    <row r="12762">
      <c r="A12762" t="str">
        <f t="shared" si="1"/>
        <v>prt#1968</v>
      </c>
      <c r="B12762" t="str">
        <f>IFERROR(__xludf.DUMMYFUNCTION("""COMPUTED_VALUE"""),"prt")</f>
        <v>prt</v>
      </c>
      <c r="C12762" t="str">
        <f>IFERROR(__xludf.DUMMYFUNCTION("""COMPUTED_VALUE"""),"Portugal")</f>
        <v>Portugal</v>
      </c>
      <c r="D12762">
        <f>IFERROR(__xludf.DUMMYFUNCTION("""COMPUTED_VALUE"""),1968.0)</f>
        <v>1968</v>
      </c>
      <c r="E12762">
        <f>IFERROR(__xludf.DUMMYFUNCTION("""COMPUTED_VALUE"""),8739080.0)</f>
        <v>8739080</v>
      </c>
    </row>
    <row r="12763">
      <c r="A12763" t="str">
        <f t="shared" si="1"/>
        <v>prt#1969</v>
      </c>
      <c r="B12763" t="str">
        <f>IFERROR(__xludf.DUMMYFUNCTION("""COMPUTED_VALUE"""),"prt")</f>
        <v>prt</v>
      </c>
      <c r="C12763" t="str">
        <f>IFERROR(__xludf.DUMMYFUNCTION("""COMPUTED_VALUE"""),"Portugal")</f>
        <v>Portugal</v>
      </c>
      <c r="D12763">
        <f>IFERROR(__xludf.DUMMYFUNCTION("""COMPUTED_VALUE"""),1969.0)</f>
        <v>1969</v>
      </c>
      <c r="E12763">
        <f>IFERROR(__xludf.DUMMYFUNCTION("""COMPUTED_VALUE"""),8700023.0)</f>
        <v>8700023</v>
      </c>
    </row>
    <row r="12764">
      <c r="A12764" t="str">
        <f t="shared" si="1"/>
        <v>prt#1970</v>
      </c>
      <c r="B12764" t="str">
        <f>IFERROR(__xludf.DUMMYFUNCTION("""COMPUTED_VALUE"""),"prt")</f>
        <v>prt</v>
      </c>
      <c r="C12764" t="str">
        <f>IFERROR(__xludf.DUMMYFUNCTION("""COMPUTED_VALUE"""),"Portugal")</f>
        <v>Portugal</v>
      </c>
      <c r="D12764">
        <f>IFERROR(__xludf.DUMMYFUNCTION("""COMPUTED_VALUE"""),1970.0)</f>
        <v>1970</v>
      </c>
      <c r="E12764">
        <f>IFERROR(__xludf.DUMMYFUNCTION("""COMPUTED_VALUE"""),8701855.0)</f>
        <v>8701855</v>
      </c>
    </row>
    <row r="12765">
      <c r="A12765" t="str">
        <f t="shared" si="1"/>
        <v>prt#1971</v>
      </c>
      <c r="B12765" t="str">
        <f>IFERROR(__xludf.DUMMYFUNCTION("""COMPUTED_VALUE"""),"prt")</f>
        <v>prt</v>
      </c>
      <c r="C12765" t="str">
        <f>IFERROR(__xludf.DUMMYFUNCTION("""COMPUTED_VALUE"""),"Portugal")</f>
        <v>Portugal</v>
      </c>
      <c r="D12765">
        <f>IFERROR(__xludf.DUMMYFUNCTION("""COMPUTED_VALUE"""),1971.0)</f>
        <v>1971</v>
      </c>
      <c r="E12765">
        <f>IFERROR(__xludf.DUMMYFUNCTION("""COMPUTED_VALUE"""),8750506.0)</f>
        <v>8750506</v>
      </c>
    </row>
    <row r="12766">
      <c r="A12766" t="str">
        <f t="shared" si="1"/>
        <v>prt#1972</v>
      </c>
      <c r="B12766" t="str">
        <f>IFERROR(__xludf.DUMMYFUNCTION("""COMPUTED_VALUE"""),"prt")</f>
        <v>prt</v>
      </c>
      <c r="C12766" t="str">
        <f>IFERROR(__xludf.DUMMYFUNCTION("""COMPUTED_VALUE"""),"Portugal")</f>
        <v>Portugal</v>
      </c>
      <c r="D12766">
        <f>IFERROR(__xludf.DUMMYFUNCTION("""COMPUTED_VALUE"""),1972.0)</f>
        <v>1972</v>
      </c>
      <c r="E12766">
        <f>IFERROR(__xludf.DUMMYFUNCTION("""COMPUTED_VALUE"""),8839796.0)</f>
        <v>8839796</v>
      </c>
    </row>
    <row r="12767">
      <c r="A12767" t="str">
        <f t="shared" si="1"/>
        <v>prt#1973</v>
      </c>
      <c r="B12767" t="str">
        <f>IFERROR(__xludf.DUMMYFUNCTION("""COMPUTED_VALUE"""),"prt")</f>
        <v>prt</v>
      </c>
      <c r="C12767" t="str">
        <f>IFERROR(__xludf.DUMMYFUNCTION("""COMPUTED_VALUE"""),"Portugal")</f>
        <v>Portugal</v>
      </c>
      <c r="D12767">
        <f>IFERROR(__xludf.DUMMYFUNCTION("""COMPUTED_VALUE"""),1973.0)</f>
        <v>1973</v>
      </c>
      <c r="E12767">
        <f>IFERROR(__xludf.DUMMYFUNCTION("""COMPUTED_VALUE"""),8958962.0)</f>
        <v>8958962</v>
      </c>
    </row>
    <row r="12768">
      <c r="A12768" t="str">
        <f t="shared" si="1"/>
        <v>prt#1974</v>
      </c>
      <c r="B12768" t="str">
        <f>IFERROR(__xludf.DUMMYFUNCTION("""COMPUTED_VALUE"""),"prt")</f>
        <v>prt</v>
      </c>
      <c r="C12768" t="str">
        <f>IFERROR(__xludf.DUMMYFUNCTION("""COMPUTED_VALUE"""),"Portugal")</f>
        <v>Portugal</v>
      </c>
      <c r="D12768">
        <f>IFERROR(__xludf.DUMMYFUNCTION("""COMPUTED_VALUE"""),1974.0)</f>
        <v>1974</v>
      </c>
      <c r="E12768">
        <f>IFERROR(__xludf.DUMMYFUNCTION("""COMPUTED_VALUE"""),9091400.0)</f>
        <v>9091400</v>
      </c>
    </row>
    <row r="12769">
      <c r="A12769" t="str">
        <f t="shared" si="1"/>
        <v>prt#1975</v>
      </c>
      <c r="B12769" t="str">
        <f>IFERROR(__xludf.DUMMYFUNCTION("""COMPUTED_VALUE"""),"prt")</f>
        <v>prt</v>
      </c>
      <c r="C12769" t="str">
        <f>IFERROR(__xludf.DUMMYFUNCTION("""COMPUTED_VALUE"""),"Portugal")</f>
        <v>Portugal</v>
      </c>
      <c r="D12769">
        <f>IFERROR(__xludf.DUMMYFUNCTION("""COMPUTED_VALUE"""),1975.0)</f>
        <v>1975</v>
      </c>
      <c r="E12769">
        <f>IFERROR(__xludf.DUMMYFUNCTION("""COMPUTED_VALUE"""),9224059.0)</f>
        <v>9224059</v>
      </c>
    </row>
    <row r="12770">
      <c r="A12770" t="str">
        <f t="shared" si="1"/>
        <v>prt#1976</v>
      </c>
      <c r="B12770" t="str">
        <f>IFERROR(__xludf.DUMMYFUNCTION("""COMPUTED_VALUE"""),"prt")</f>
        <v>prt</v>
      </c>
      <c r="C12770" t="str">
        <f>IFERROR(__xludf.DUMMYFUNCTION("""COMPUTED_VALUE"""),"Portugal")</f>
        <v>Portugal</v>
      </c>
      <c r="D12770">
        <f>IFERROR(__xludf.DUMMYFUNCTION("""COMPUTED_VALUE"""),1976.0)</f>
        <v>1976</v>
      </c>
      <c r="E12770">
        <f>IFERROR(__xludf.DUMMYFUNCTION("""COMPUTED_VALUE"""),9354494.0)</f>
        <v>9354494</v>
      </c>
    </row>
    <row r="12771">
      <c r="A12771" t="str">
        <f t="shared" si="1"/>
        <v>prt#1977</v>
      </c>
      <c r="B12771" t="str">
        <f>IFERROR(__xludf.DUMMYFUNCTION("""COMPUTED_VALUE"""),"prt")</f>
        <v>prt</v>
      </c>
      <c r="C12771" t="str">
        <f>IFERROR(__xludf.DUMMYFUNCTION("""COMPUTED_VALUE"""),"Portugal")</f>
        <v>Portugal</v>
      </c>
      <c r="D12771">
        <f>IFERROR(__xludf.DUMMYFUNCTION("""COMPUTED_VALUE"""),1977.0)</f>
        <v>1977</v>
      </c>
      <c r="E12771">
        <f>IFERROR(__xludf.DUMMYFUNCTION("""COMPUTED_VALUE"""),9483629.0)</f>
        <v>9483629</v>
      </c>
    </row>
    <row r="12772">
      <c r="A12772" t="str">
        <f t="shared" si="1"/>
        <v>prt#1978</v>
      </c>
      <c r="B12772" t="str">
        <f>IFERROR(__xludf.DUMMYFUNCTION("""COMPUTED_VALUE"""),"prt")</f>
        <v>prt</v>
      </c>
      <c r="C12772" t="str">
        <f>IFERROR(__xludf.DUMMYFUNCTION("""COMPUTED_VALUE"""),"Portugal")</f>
        <v>Portugal</v>
      </c>
      <c r="D12772">
        <f>IFERROR(__xludf.DUMMYFUNCTION("""COMPUTED_VALUE"""),1978.0)</f>
        <v>1978</v>
      </c>
      <c r="E12772">
        <f>IFERROR(__xludf.DUMMYFUNCTION("""COMPUTED_VALUE"""),9605593.0)</f>
        <v>9605593</v>
      </c>
    </row>
    <row r="12773">
      <c r="A12773" t="str">
        <f t="shared" si="1"/>
        <v>prt#1979</v>
      </c>
      <c r="B12773" t="str">
        <f>IFERROR(__xludf.DUMMYFUNCTION("""COMPUTED_VALUE"""),"prt")</f>
        <v>prt</v>
      </c>
      <c r="C12773" t="str">
        <f>IFERROR(__xludf.DUMMYFUNCTION("""COMPUTED_VALUE"""),"Portugal")</f>
        <v>Portugal</v>
      </c>
      <c r="D12773">
        <f>IFERROR(__xludf.DUMMYFUNCTION("""COMPUTED_VALUE"""),1979.0)</f>
        <v>1979</v>
      </c>
      <c r="E12773">
        <f>IFERROR(__xludf.DUMMYFUNCTION("""COMPUTED_VALUE"""),9714160.0)</f>
        <v>9714160</v>
      </c>
    </row>
    <row r="12774">
      <c r="A12774" t="str">
        <f t="shared" si="1"/>
        <v>prt#1980</v>
      </c>
      <c r="B12774" t="str">
        <f>IFERROR(__xludf.DUMMYFUNCTION("""COMPUTED_VALUE"""),"prt")</f>
        <v>prt</v>
      </c>
      <c r="C12774" t="str">
        <f>IFERROR(__xludf.DUMMYFUNCTION("""COMPUTED_VALUE"""),"Portugal")</f>
        <v>Portugal</v>
      </c>
      <c r="D12774">
        <f>IFERROR(__xludf.DUMMYFUNCTION("""COMPUTED_VALUE"""),1980.0)</f>
        <v>1980</v>
      </c>
      <c r="E12774">
        <f>IFERROR(__xludf.DUMMYFUNCTION("""COMPUTED_VALUE"""),9804851.0)</f>
        <v>9804851</v>
      </c>
    </row>
    <row r="12775">
      <c r="A12775" t="str">
        <f t="shared" si="1"/>
        <v>prt#1981</v>
      </c>
      <c r="B12775" t="str">
        <f>IFERROR(__xludf.DUMMYFUNCTION("""COMPUTED_VALUE"""),"prt")</f>
        <v>prt</v>
      </c>
      <c r="C12775" t="str">
        <f>IFERROR(__xludf.DUMMYFUNCTION("""COMPUTED_VALUE"""),"Portugal")</f>
        <v>Portugal</v>
      </c>
      <c r="D12775">
        <f>IFERROR(__xludf.DUMMYFUNCTION("""COMPUTED_VALUE"""),1981.0)</f>
        <v>1981</v>
      </c>
      <c r="E12775">
        <f>IFERROR(__xludf.DUMMYFUNCTION("""COMPUTED_VALUE"""),9875257.0)</f>
        <v>9875257</v>
      </c>
    </row>
    <row r="12776">
      <c r="A12776" t="str">
        <f t="shared" si="1"/>
        <v>prt#1982</v>
      </c>
      <c r="B12776" t="str">
        <f>IFERROR(__xludf.DUMMYFUNCTION("""COMPUTED_VALUE"""),"prt")</f>
        <v>prt</v>
      </c>
      <c r="C12776" t="str">
        <f>IFERROR(__xludf.DUMMYFUNCTION("""COMPUTED_VALUE"""),"Portugal")</f>
        <v>Portugal</v>
      </c>
      <c r="D12776">
        <f>IFERROR(__xludf.DUMMYFUNCTION("""COMPUTED_VALUE"""),1982.0)</f>
        <v>1982</v>
      </c>
      <c r="E12776">
        <f>IFERROR(__xludf.DUMMYFUNCTION("""COMPUTED_VALUE"""),9925729.0)</f>
        <v>9925729</v>
      </c>
    </row>
    <row r="12777">
      <c r="A12777" t="str">
        <f t="shared" si="1"/>
        <v>prt#1983</v>
      </c>
      <c r="B12777" t="str">
        <f>IFERROR(__xludf.DUMMYFUNCTION("""COMPUTED_VALUE"""),"prt")</f>
        <v>prt</v>
      </c>
      <c r="C12777" t="str">
        <f>IFERROR(__xludf.DUMMYFUNCTION("""COMPUTED_VALUE"""),"Portugal")</f>
        <v>Portugal</v>
      </c>
      <c r="D12777">
        <f>IFERROR(__xludf.DUMMYFUNCTION("""COMPUTED_VALUE"""),1983.0)</f>
        <v>1983</v>
      </c>
      <c r="E12777">
        <f>IFERROR(__xludf.DUMMYFUNCTION("""COMPUTED_VALUE"""),9958417.0)</f>
        <v>9958417</v>
      </c>
    </row>
    <row r="12778">
      <c r="A12778" t="str">
        <f t="shared" si="1"/>
        <v>prt#1984</v>
      </c>
      <c r="B12778" t="str">
        <f>IFERROR(__xludf.DUMMYFUNCTION("""COMPUTED_VALUE"""),"prt")</f>
        <v>prt</v>
      </c>
      <c r="C12778" t="str">
        <f>IFERROR(__xludf.DUMMYFUNCTION("""COMPUTED_VALUE"""),"Portugal")</f>
        <v>Portugal</v>
      </c>
      <c r="D12778">
        <f>IFERROR(__xludf.DUMMYFUNCTION("""COMPUTED_VALUE"""),1984.0)</f>
        <v>1984</v>
      </c>
      <c r="E12778">
        <f>IFERROR(__xludf.DUMMYFUNCTION("""COMPUTED_VALUE"""),9977168.0)</f>
        <v>9977168</v>
      </c>
    </row>
    <row r="12779">
      <c r="A12779" t="str">
        <f t="shared" si="1"/>
        <v>prt#1985</v>
      </c>
      <c r="B12779" t="str">
        <f>IFERROR(__xludf.DUMMYFUNCTION("""COMPUTED_VALUE"""),"prt")</f>
        <v>prt</v>
      </c>
      <c r="C12779" t="str">
        <f>IFERROR(__xludf.DUMMYFUNCTION("""COMPUTED_VALUE"""),"Portugal")</f>
        <v>Portugal</v>
      </c>
      <c r="D12779">
        <f>IFERROR(__xludf.DUMMYFUNCTION("""COMPUTED_VALUE"""),1985.0)</f>
        <v>1985</v>
      </c>
      <c r="E12779">
        <f>IFERROR(__xludf.DUMMYFUNCTION("""COMPUTED_VALUE"""),9985575.0)</f>
        <v>9985575</v>
      </c>
    </row>
    <row r="12780">
      <c r="A12780" t="str">
        <f t="shared" si="1"/>
        <v>prt#1986</v>
      </c>
      <c r="B12780" t="str">
        <f>IFERROR(__xludf.DUMMYFUNCTION("""COMPUTED_VALUE"""),"prt")</f>
        <v>prt</v>
      </c>
      <c r="C12780" t="str">
        <f>IFERROR(__xludf.DUMMYFUNCTION("""COMPUTED_VALUE"""),"Portugal")</f>
        <v>Portugal</v>
      </c>
      <c r="D12780">
        <f>IFERROR(__xludf.DUMMYFUNCTION("""COMPUTED_VALUE"""),1986.0)</f>
        <v>1986</v>
      </c>
      <c r="E12780">
        <f>IFERROR(__xludf.DUMMYFUNCTION("""COMPUTED_VALUE"""),9983221.0)</f>
        <v>9983221</v>
      </c>
    </row>
    <row r="12781">
      <c r="A12781" t="str">
        <f t="shared" si="1"/>
        <v>prt#1987</v>
      </c>
      <c r="B12781" t="str">
        <f>IFERROR(__xludf.DUMMYFUNCTION("""COMPUTED_VALUE"""),"prt")</f>
        <v>prt</v>
      </c>
      <c r="C12781" t="str">
        <f>IFERROR(__xludf.DUMMYFUNCTION("""COMPUTED_VALUE"""),"Portugal")</f>
        <v>Portugal</v>
      </c>
      <c r="D12781">
        <f>IFERROR(__xludf.DUMMYFUNCTION("""COMPUTED_VALUE"""),1987.0)</f>
        <v>1987</v>
      </c>
      <c r="E12781">
        <f>IFERROR(__xludf.DUMMYFUNCTION("""COMPUTED_VALUE"""),9971233.0)</f>
        <v>9971233</v>
      </c>
    </row>
    <row r="12782">
      <c r="A12782" t="str">
        <f t="shared" si="1"/>
        <v>prt#1988</v>
      </c>
      <c r="B12782" t="str">
        <f>IFERROR(__xludf.DUMMYFUNCTION("""COMPUTED_VALUE"""),"prt")</f>
        <v>prt</v>
      </c>
      <c r="C12782" t="str">
        <f>IFERROR(__xludf.DUMMYFUNCTION("""COMPUTED_VALUE"""),"Portugal")</f>
        <v>Portugal</v>
      </c>
      <c r="D12782">
        <f>IFERROR(__xludf.DUMMYFUNCTION("""COMPUTED_VALUE"""),1988.0)</f>
        <v>1988</v>
      </c>
      <c r="E12782">
        <f>IFERROR(__xludf.DUMMYFUNCTION("""COMPUTED_VALUE"""),9956672.0)</f>
        <v>9956672</v>
      </c>
    </row>
    <row r="12783">
      <c r="A12783" t="str">
        <f t="shared" si="1"/>
        <v>prt#1989</v>
      </c>
      <c r="B12783" t="str">
        <f>IFERROR(__xludf.DUMMYFUNCTION("""COMPUTED_VALUE"""),"prt")</f>
        <v>prt</v>
      </c>
      <c r="C12783" t="str">
        <f>IFERROR(__xludf.DUMMYFUNCTION("""COMPUTED_VALUE"""),"Portugal")</f>
        <v>Portugal</v>
      </c>
      <c r="D12783">
        <f>IFERROR(__xludf.DUMMYFUNCTION("""COMPUTED_VALUE"""),1989.0)</f>
        <v>1989</v>
      </c>
      <c r="E12783">
        <f>IFERROR(__xludf.DUMMYFUNCTION("""COMPUTED_VALUE"""),9948574.0)</f>
        <v>9948574</v>
      </c>
    </row>
    <row r="12784">
      <c r="A12784" t="str">
        <f t="shared" si="1"/>
        <v>prt#1990</v>
      </c>
      <c r="B12784" t="str">
        <f>IFERROR(__xludf.DUMMYFUNCTION("""COMPUTED_VALUE"""),"prt")</f>
        <v>prt</v>
      </c>
      <c r="C12784" t="str">
        <f>IFERROR(__xludf.DUMMYFUNCTION("""COMPUTED_VALUE"""),"Portugal")</f>
        <v>Portugal</v>
      </c>
      <c r="D12784">
        <f>IFERROR(__xludf.DUMMYFUNCTION("""COMPUTED_VALUE"""),1990.0)</f>
        <v>1990</v>
      </c>
      <c r="E12784">
        <f>IFERROR(__xludf.DUMMYFUNCTION("""COMPUTED_VALUE"""),9953327.0)</f>
        <v>9953327</v>
      </c>
    </row>
    <row r="12785">
      <c r="A12785" t="str">
        <f t="shared" si="1"/>
        <v>prt#1991</v>
      </c>
      <c r="B12785" t="str">
        <f>IFERROR(__xludf.DUMMYFUNCTION("""COMPUTED_VALUE"""),"prt")</f>
        <v>prt</v>
      </c>
      <c r="C12785" t="str">
        <f>IFERROR(__xludf.DUMMYFUNCTION("""COMPUTED_VALUE"""),"Portugal")</f>
        <v>Portugal</v>
      </c>
      <c r="D12785">
        <f>IFERROR(__xludf.DUMMYFUNCTION("""COMPUTED_VALUE"""),1991.0)</f>
        <v>1991</v>
      </c>
      <c r="E12785">
        <f>IFERROR(__xludf.DUMMYFUNCTION("""COMPUTED_VALUE"""),9974195.0)</f>
        <v>9974195</v>
      </c>
    </row>
    <row r="12786">
      <c r="A12786" t="str">
        <f t="shared" si="1"/>
        <v>prt#1992</v>
      </c>
      <c r="B12786" t="str">
        <f>IFERROR(__xludf.DUMMYFUNCTION("""COMPUTED_VALUE"""),"prt")</f>
        <v>prt</v>
      </c>
      <c r="C12786" t="str">
        <f>IFERROR(__xludf.DUMMYFUNCTION("""COMPUTED_VALUE"""),"Portugal")</f>
        <v>Portugal</v>
      </c>
      <c r="D12786">
        <f>IFERROR(__xludf.DUMMYFUNCTION("""COMPUTED_VALUE"""),1992.0)</f>
        <v>1992</v>
      </c>
      <c r="E12786">
        <f>IFERROR(__xludf.DUMMYFUNCTION("""COMPUTED_VALUE"""),1.0009576E7)</f>
        <v>10009576</v>
      </c>
    </row>
    <row r="12787">
      <c r="A12787" t="str">
        <f t="shared" si="1"/>
        <v>prt#1993</v>
      </c>
      <c r="B12787" t="str">
        <f>IFERROR(__xludf.DUMMYFUNCTION("""COMPUTED_VALUE"""),"prt")</f>
        <v>prt</v>
      </c>
      <c r="C12787" t="str">
        <f>IFERROR(__xludf.DUMMYFUNCTION("""COMPUTED_VALUE"""),"Portugal")</f>
        <v>Portugal</v>
      </c>
      <c r="D12787">
        <f>IFERROR(__xludf.DUMMYFUNCTION("""COMPUTED_VALUE"""),1993.0)</f>
        <v>1993</v>
      </c>
      <c r="E12787">
        <f>IFERROR(__xludf.DUMMYFUNCTION("""COMPUTED_VALUE"""),1.0054996E7)</f>
        <v>10054996</v>
      </c>
    </row>
    <row r="12788">
      <c r="A12788" t="str">
        <f t="shared" si="1"/>
        <v>prt#1994</v>
      </c>
      <c r="B12788" t="str">
        <f>IFERROR(__xludf.DUMMYFUNCTION("""COMPUTED_VALUE"""),"prt")</f>
        <v>prt</v>
      </c>
      <c r="C12788" t="str">
        <f>IFERROR(__xludf.DUMMYFUNCTION("""COMPUTED_VALUE"""),"Portugal")</f>
        <v>Portugal</v>
      </c>
      <c r="D12788">
        <f>IFERROR(__xludf.DUMMYFUNCTION("""COMPUTED_VALUE"""),1994.0)</f>
        <v>1994</v>
      </c>
      <c r="E12788">
        <f>IFERROR(__xludf.DUMMYFUNCTION("""COMPUTED_VALUE"""),1.0103443E7)</f>
        <v>10103443</v>
      </c>
    </row>
    <row r="12789">
      <c r="A12789" t="str">
        <f t="shared" si="1"/>
        <v>prt#1995</v>
      </c>
      <c r="B12789" t="str">
        <f>IFERROR(__xludf.DUMMYFUNCTION("""COMPUTED_VALUE"""),"prt")</f>
        <v>prt</v>
      </c>
      <c r="C12789" t="str">
        <f>IFERROR(__xludf.DUMMYFUNCTION("""COMPUTED_VALUE"""),"Portugal")</f>
        <v>Portugal</v>
      </c>
      <c r="D12789">
        <f>IFERROR(__xludf.DUMMYFUNCTION("""COMPUTED_VALUE"""),1995.0)</f>
        <v>1995</v>
      </c>
      <c r="E12789">
        <f>IFERROR(__xludf.DUMMYFUNCTION("""COMPUTED_VALUE"""),1.0149735E7)</f>
        <v>10149735</v>
      </c>
    </row>
    <row r="12790">
      <c r="A12790" t="str">
        <f t="shared" si="1"/>
        <v>prt#1996</v>
      </c>
      <c r="B12790" t="str">
        <f>IFERROR(__xludf.DUMMYFUNCTION("""COMPUTED_VALUE"""),"prt")</f>
        <v>prt</v>
      </c>
      <c r="C12790" t="str">
        <f>IFERROR(__xludf.DUMMYFUNCTION("""COMPUTED_VALUE"""),"Portugal")</f>
        <v>Portugal</v>
      </c>
      <c r="D12790">
        <f>IFERROR(__xludf.DUMMYFUNCTION("""COMPUTED_VALUE"""),1996.0)</f>
        <v>1996</v>
      </c>
      <c r="E12790">
        <f>IFERROR(__xludf.DUMMYFUNCTION("""COMPUTED_VALUE"""),1.0192394E7)</f>
        <v>10192394</v>
      </c>
    </row>
    <row r="12791">
      <c r="A12791" t="str">
        <f t="shared" si="1"/>
        <v>prt#1997</v>
      </c>
      <c r="B12791" t="str">
        <f>IFERROR(__xludf.DUMMYFUNCTION("""COMPUTED_VALUE"""),"prt")</f>
        <v>prt</v>
      </c>
      <c r="C12791" t="str">
        <f>IFERROR(__xludf.DUMMYFUNCTION("""COMPUTED_VALUE"""),"Portugal")</f>
        <v>Portugal</v>
      </c>
      <c r="D12791">
        <f>IFERROR(__xludf.DUMMYFUNCTION("""COMPUTED_VALUE"""),1997.0)</f>
        <v>1997</v>
      </c>
      <c r="E12791">
        <f>IFERROR(__xludf.DUMMYFUNCTION("""COMPUTED_VALUE"""),1.0232884E7)</f>
        <v>10232884</v>
      </c>
    </row>
    <row r="12792">
      <c r="A12792" t="str">
        <f t="shared" si="1"/>
        <v>prt#1998</v>
      </c>
      <c r="B12792" t="str">
        <f>IFERROR(__xludf.DUMMYFUNCTION("""COMPUTED_VALUE"""),"prt")</f>
        <v>prt</v>
      </c>
      <c r="C12792" t="str">
        <f>IFERROR(__xludf.DUMMYFUNCTION("""COMPUTED_VALUE"""),"Portugal")</f>
        <v>Portugal</v>
      </c>
      <c r="D12792">
        <f>IFERROR(__xludf.DUMMYFUNCTION("""COMPUTED_VALUE"""),1998.0)</f>
        <v>1998</v>
      </c>
      <c r="E12792">
        <f>IFERROR(__xludf.DUMMYFUNCTION("""COMPUTED_VALUE"""),1.0272286E7)</f>
        <v>10272286</v>
      </c>
    </row>
    <row r="12793">
      <c r="A12793" t="str">
        <f t="shared" si="1"/>
        <v>prt#1999</v>
      </c>
      <c r="B12793" t="str">
        <f>IFERROR(__xludf.DUMMYFUNCTION("""COMPUTED_VALUE"""),"prt")</f>
        <v>prt</v>
      </c>
      <c r="C12793" t="str">
        <f>IFERROR(__xludf.DUMMYFUNCTION("""COMPUTED_VALUE"""),"Portugal")</f>
        <v>Portugal</v>
      </c>
      <c r="D12793">
        <f>IFERROR(__xludf.DUMMYFUNCTION("""COMPUTED_VALUE"""),1999.0)</f>
        <v>1999</v>
      </c>
      <c r="E12793">
        <f>IFERROR(__xludf.DUMMYFUNCTION("""COMPUTED_VALUE"""),1.0312611E7)</f>
        <v>10312611</v>
      </c>
    </row>
    <row r="12794">
      <c r="A12794" t="str">
        <f t="shared" si="1"/>
        <v>prt#2000</v>
      </c>
      <c r="B12794" t="str">
        <f>IFERROR(__xludf.DUMMYFUNCTION("""COMPUTED_VALUE"""),"prt")</f>
        <v>prt</v>
      </c>
      <c r="C12794" t="str">
        <f>IFERROR(__xludf.DUMMYFUNCTION("""COMPUTED_VALUE"""),"Portugal")</f>
        <v>Portugal</v>
      </c>
      <c r="D12794">
        <f>IFERROR(__xludf.DUMMYFUNCTION("""COMPUTED_VALUE"""),2000.0)</f>
        <v>2000</v>
      </c>
      <c r="E12794">
        <f>IFERROR(__xludf.DUMMYFUNCTION("""COMPUTED_VALUE"""),1.0355117E7)</f>
        <v>10355117</v>
      </c>
    </row>
    <row r="12795">
      <c r="A12795" t="str">
        <f t="shared" si="1"/>
        <v>prt#2001</v>
      </c>
      <c r="B12795" t="str">
        <f>IFERROR(__xludf.DUMMYFUNCTION("""COMPUTED_VALUE"""),"prt")</f>
        <v>prt</v>
      </c>
      <c r="C12795" t="str">
        <f>IFERROR(__xludf.DUMMYFUNCTION("""COMPUTED_VALUE"""),"Portugal")</f>
        <v>Portugal</v>
      </c>
      <c r="D12795">
        <f>IFERROR(__xludf.DUMMYFUNCTION("""COMPUTED_VALUE"""),2001.0)</f>
        <v>2001</v>
      </c>
      <c r="E12795">
        <f>IFERROR(__xludf.DUMMYFUNCTION("""COMPUTED_VALUE"""),1.0399312E7)</f>
        <v>10399312</v>
      </c>
    </row>
    <row r="12796">
      <c r="A12796" t="str">
        <f t="shared" si="1"/>
        <v>prt#2002</v>
      </c>
      <c r="B12796" t="str">
        <f>IFERROR(__xludf.DUMMYFUNCTION("""COMPUTED_VALUE"""),"prt")</f>
        <v>prt</v>
      </c>
      <c r="C12796" t="str">
        <f>IFERROR(__xludf.DUMMYFUNCTION("""COMPUTED_VALUE"""),"Portugal")</f>
        <v>Portugal</v>
      </c>
      <c r="D12796">
        <f>IFERROR(__xludf.DUMMYFUNCTION("""COMPUTED_VALUE"""),2002.0)</f>
        <v>2002</v>
      </c>
      <c r="E12796">
        <f>IFERROR(__xludf.DUMMYFUNCTION("""COMPUTED_VALUE"""),1.0443668E7)</f>
        <v>10443668</v>
      </c>
    </row>
    <row r="12797">
      <c r="A12797" t="str">
        <f t="shared" si="1"/>
        <v>prt#2003</v>
      </c>
      <c r="B12797" t="str">
        <f>IFERROR(__xludf.DUMMYFUNCTION("""COMPUTED_VALUE"""),"prt")</f>
        <v>prt</v>
      </c>
      <c r="C12797" t="str">
        <f>IFERROR(__xludf.DUMMYFUNCTION("""COMPUTED_VALUE"""),"Portugal")</f>
        <v>Portugal</v>
      </c>
      <c r="D12797">
        <f>IFERROR(__xludf.DUMMYFUNCTION("""COMPUTED_VALUE"""),2003.0)</f>
        <v>2003</v>
      </c>
      <c r="E12797">
        <f>IFERROR(__xludf.DUMMYFUNCTION("""COMPUTED_VALUE"""),1.0487113E7)</f>
        <v>10487113</v>
      </c>
    </row>
    <row r="12798">
      <c r="A12798" t="str">
        <f t="shared" si="1"/>
        <v>prt#2004</v>
      </c>
      <c r="B12798" t="str">
        <f>IFERROR(__xludf.DUMMYFUNCTION("""COMPUTED_VALUE"""),"prt")</f>
        <v>prt</v>
      </c>
      <c r="C12798" t="str">
        <f>IFERROR(__xludf.DUMMYFUNCTION("""COMPUTED_VALUE"""),"Portugal")</f>
        <v>Portugal</v>
      </c>
      <c r="D12798">
        <f>IFERROR(__xludf.DUMMYFUNCTION("""COMPUTED_VALUE"""),2004.0)</f>
        <v>2004</v>
      </c>
      <c r="E12798">
        <f>IFERROR(__xludf.DUMMYFUNCTION("""COMPUTED_VALUE"""),1.0528268E7)</f>
        <v>10528268</v>
      </c>
    </row>
    <row r="12799">
      <c r="A12799" t="str">
        <f t="shared" si="1"/>
        <v>prt#2005</v>
      </c>
      <c r="B12799" t="str">
        <f>IFERROR(__xludf.DUMMYFUNCTION("""COMPUTED_VALUE"""),"prt")</f>
        <v>prt</v>
      </c>
      <c r="C12799" t="str">
        <f>IFERROR(__xludf.DUMMYFUNCTION("""COMPUTED_VALUE"""),"Portugal")</f>
        <v>Portugal</v>
      </c>
      <c r="D12799">
        <f>IFERROR(__xludf.DUMMYFUNCTION("""COMPUTED_VALUE"""),2005.0)</f>
        <v>2005</v>
      </c>
      <c r="E12799">
        <f>IFERROR(__xludf.DUMMYFUNCTION("""COMPUTED_VALUE"""),1.0565723E7)</f>
        <v>10565723</v>
      </c>
    </row>
    <row r="12800">
      <c r="A12800" t="str">
        <f t="shared" si="1"/>
        <v>prt#2006</v>
      </c>
      <c r="B12800" t="str">
        <f>IFERROR(__xludf.DUMMYFUNCTION("""COMPUTED_VALUE"""),"prt")</f>
        <v>prt</v>
      </c>
      <c r="C12800" t="str">
        <f>IFERROR(__xludf.DUMMYFUNCTION("""COMPUTED_VALUE"""),"Portugal")</f>
        <v>Portugal</v>
      </c>
      <c r="D12800">
        <f>IFERROR(__xludf.DUMMYFUNCTION("""COMPUTED_VALUE"""),2006.0)</f>
        <v>2006</v>
      </c>
      <c r="E12800">
        <f>IFERROR(__xludf.DUMMYFUNCTION("""COMPUTED_VALUE"""),1.0599951E7)</f>
        <v>10599951</v>
      </c>
    </row>
    <row r="12801">
      <c r="A12801" t="str">
        <f t="shared" si="1"/>
        <v>prt#2007</v>
      </c>
      <c r="B12801" t="str">
        <f>IFERROR(__xludf.DUMMYFUNCTION("""COMPUTED_VALUE"""),"prt")</f>
        <v>prt</v>
      </c>
      <c r="C12801" t="str">
        <f>IFERROR(__xludf.DUMMYFUNCTION("""COMPUTED_VALUE"""),"Portugal")</f>
        <v>Portugal</v>
      </c>
      <c r="D12801">
        <f>IFERROR(__xludf.DUMMYFUNCTION("""COMPUTED_VALUE"""),2007.0)</f>
        <v>2007</v>
      </c>
      <c r="E12801">
        <f>IFERROR(__xludf.DUMMYFUNCTION("""COMPUTED_VALUE"""),1.063012E7)</f>
        <v>10630120</v>
      </c>
    </row>
    <row r="12802">
      <c r="A12802" t="str">
        <f t="shared" si="1"/>
        <v>prt#2008</v>
      </c>
      <c r="B12802" t="str">
        <f>IFERROR(__xludf.DUMMYFUNCTION("""COMPUTED_VALUE"""),"prt")</f>
        <v>prt</v>
      </c>
      <c r="C12802" t="str">
        <f>IFERROR(__xludf.DUMMYFUNCTION("""COMPUTED_VALUE"""),"Portugal")</f>
        <v>Portugal</v>
      </c>
      <c r="D12802">
        <f>IFERROR(__xludf.DUMMYFUNCTION("""COMPUTED_VALUE"""),2008.0)</f>
        <v>2008</v>
      </c>
      <c r="E12802">
        <f>IFERROR(__xludf.DUMMYFUNCTION("""COMPUTED_VALUE"""),1.0652099E7)</f>
        <v>10652099</v>
      </c>
    </row>
    <row r="12803">
      <c r="A12803" t="str">
        <f t="shared" si="1"/>
        <v>prt#2009</v>
      </c>
      <c r="B12803" t="str">
        <f>IFERROR(__xludf.DUMMYFUNCTION("""COMPUTED_VALUE"""),"prt")</f>
        <v>prt</v>
      </c>
      <c r="C12803" t="str">
        <f>IFERROR(__xludf.DUMMYFUNCTION("""COMPUTED_VALUE"""),"Portugal")</f>
        <v>Portugal</v>
      </c>
      <c r="D12803">
        <f>IFERROR(__xludf.DUMMYFUNCTION("""COMPUTED_VALUE"""),2009.0)</f>
        <v>2009</v>
      </c>
      <c r="E12803">
        <f>IFERROR(__xludf.DUMMYFUNCTION("""COMPUTED_VALUE"""),1.0660616E7)</f>
        <v>10660616</v>
      </c>
    </row>
    <row r="12804">
      <c r="A12804" t="str">
        <f t="shared" si="1"/>
        <v>prt#2010</v>
      </c>
      <c r="B12804" t="str">
        <f>IFERROR(__xludf.DUMMYFUNCTION("""COMPUTED_VALUE"""),"prt")</f>
        <v>prt</v>
      </c>
      <c r="C12804" t="str">
        <f>IFERROR(__xludf.DUMMYFUNCTION("""COMPUTED_VALUE"""),"Portugal")</f>
        <v>Portugal</v>
      </c>
      <c r="D12804">
        <f>IFERROR(__xludf.DUMMYFUNCTION("""COMPUTED_VALUE"""),2010.0)</f>
        <v>2010</v>
      </c>
      <c r="E12804">
        <f>IFERROR(__xludf.DUMMYFUNCTION("""COMPUTED_VALUE"""),1.0652321E7)</f>
        <v>10652321</v>
      </c>
    </row>
    <row r="12805">
      <c r="A12805" t="str">
        <f t="shared" si="1"/>
        <v>prt#2011</v>
      </c>
      <c r="B12805" t="str">
        <f>IFERROR(__xludf.DUMMYFUNCTION("""COMPUTED_VALUE"""),"prt")</f>
        <v>prt</v>
      </c>
      <c r="C12805" t="str">
        <f>IFERROR(__xludf.DUMMYFUNCTION("""COMPUTED_VALUE"""),"Portugal")</f>
        <v>Portugal</v>
      </c>
      <c r="D12805">
        <f>IFERROR(__xludf.DUMMYFUNCTION("""COMPUTED_VALUE"""),2011.0)</f>
        <v>2011</v>
      </c>
      <c r="E12805">
        <f>IFERROR(__xludf.DUMMYFUNCTION("""COMPUTED_VALUE"""),1.062533E7)</f>
        <v>10625330</v>
      </c>
    </row>
    <row r="12806">
      <c r="A12806" t="str">
        <f t="shared" si="1"/>
        <v>prt#2012</v>
      </c>
      <c r="B12806" t="str">
        <f>IFERROR(__xludf.DUMMYFUNCTION("""COMPUTED_VALUE"""),"prt")</f>
        <v>prt</v>
      </c>
      <c r="C12806" t="str">
        <f>IFERROR(__xludf.DUMMYFUNCTION("""COMPUTED_VALUE"""),"Portugal")</f>
        <v>Portugal</v>
      </c>
      <c r="D12806">
        <f>IFERROR(__xludf.DUMMYFUNCTION("""COMPUTED_VALUE"""),2012.0)</f>
        <v>2012</v>
      </c>
      <c r="E12806">
        <f>IFERROR(__xludf.DUMMYFUNCTION("""COMPUTED_VALUE"""),1.0581821E7)</f>
        <v>10581821</v>
      </c>
    </row>
    <row r="12807">
      <c r="A12807" t="str">
        <f t="shared" si="1"/>
        <v>prt#2013</v>
      </c>
      <c r="B12807" t="str">
        <f>IFERROR(__xludf.DUMMYFUNCTION("""COMPUTED_VALUE"""),"prt")</f>
        <v>prt</v>
      </c>
      <c r="C12807" t="str">
        <f>IFERROR(__xludf.DUMMYFUNCTION("""COMPUTED_VALUE"""),"Portugal")</f>
        <v>Portugal</v>
      </c>
      <c r="D12807">
        <f>IFERROR(__xludf.DUMMYFUNCTION("""COMPUTED_VALUE"""),2013.0)</f>
        <v>2013</v>
      </c>
      <c r="E12807">
        <f>IFERROR(__xludf.DUMMYFUNCTION("""COMPUTED_VALUE"""),1.0527674E7)</f>
        <v>10527674</v>
      </c>
    </row>
    <row r="12808">
      <c r="A12808" t="str">
        <f t="shared" si="1"/>
        <v>prt#2014</v>
      </c>
      <c r="B12808" t="str">
        <f>IFERROR(__xludf.DUMMYFUNCTION("""COMPUTED_VALUE"""),"prt")</f>
        <v>prt</v>
      </c>
      <c r="C12808" t="str">
        <f>IFERROR(__xludf.DUMMYFUNCTION("""COMPUTED_VALUE"""),"Portugal")</f>
        <v>Portugal</v>
      </c>
      <c r="D12808">
        <f>IFERROR(__xludf.DUMMYFUNCTION("""COMPUTED_VALUE"""),2014.0)</f>
        <v>2014</v>
      </c>
      <c r="E12808">
        <f>IFERROR(__xludf.DUMMYFUNCTION("""COMPUTED_VALUE"""),1.0471168E7)</f>
        <v>10471168</v>
      </c>
    </row>
    <row r="12809">
      <c r="A12809" t="str">
        <f t="shared" si="1"/>
        <v>prt#2015</v>
      </c>
      <c r="B12809" t="str">
        <f>IFERROR(__xludf.DUMMYFUNCTION("""COMPUTED_VALUE"""),"prt")</f>
        <v>prt</v>
      </c>
      <c r="C12809" t="str">
        <f>IFERROR(__xludf.DUMMYFUNCTION("""COMPUTED_VALUE"""),"Portugal")</f>
        <v>Portugal</v>
      </c>
      <c r="D12809">
        <f>IFERROR(__xludf.DUMMYFUNCTION("""COMPUTED_VALUE"""),2015.0)</f>
        <v>2015</v>
      </c>
      <c r="E12809">
        <f>IFERROR(__xludf.DUMMYFUNCTION("""COMPUTED_VALUE"""),1.0418473E7)</f>
        <v>10418473</v>
      </c>
    </row>
    <row r="12810">
      <c r="A12810" t="str">
        <f t="shared" si="1"/>
        <v>prt#2016</v>
      </c>
      <c r="B12810" t="str">
        <f>IFERROR(__xludf.DUMMYFUNCTION("""COMPUTED_VALUE"""),"prt")</f>
        <v>prt</v>
      </c>
      <c r="C12810" t="str">
        <f>IFERROR(__xludf.DUMMYFUNCTION("""COMPUTED_VALUE"""),"Portugal")</f>
        <v>Portugal</v>
      </c>
      <c r="D12810">
        <f>IFERROR(__xludf.DUMMYFUNCTION("""COMPUTED_VALUE"""),2016.0)</f>
        <v>2016</v>
      </c>
      <c r="E12810">
        <f>IFERROR(__xludf.DUMMYFUNCTION("""COMPUTED_VALUE"""),1.0371627E7)</f>
        <v>10371627</v>
      </c>
    </row>
    <row r="12811">
      <c r="A12811" t="str">
        <f t="shared" si="1"/>
        <v>prt#2017</v>
      </c>
      <c r="B12811" t="str">
        <f>IFERROR(__xludf.DUMMYFUNCTION("""COMPUTED_VALUE"""),"prt")</f>
        <v>prt</v>
      </c>
      <c r="C12811" t="str">
        <f>IFERROR(__xludf.DUMMYFUNCTION("""COMPUTED_VALUE"""),"Portugal")</f>
        <v>Portugal</v>
      </c>
      <c r="D12811">
        <f>IFERROR(__xludf.DUMMYFUNCTION("""COMPUTED_VALUE"""),2017.0)</f>
        <v>2017</v>
      </c>
      <c r="E12811">
        <f>IFERROR(__xludf.DUMMYFUNCTION("""COMPUTED_VALUE"""),1.0329506E7)</f>
        <v>10329506</v>
      </c>
    </row>
    <row r="12812">
      <c r="A12812" t="str">
        <f t="shared" si="1"/>
        <v>prt#2018</v>
      </c>
      <c r="B12812" t="str">
        <f>IFERROR(__xludf.DUMMYFUNCTION("""COMPUTED_VALUE"""),"prt")</f>
        <v>prt</v>
      </c>
      <c r="C12812" t="str">
        <f>IFERROR(__xludf.DUMMYFUNCTION("""COMPUTED_VALUE"""),"Portugal")</f>
        <v>Portugal</v>
      </c>
      <c r="D12812">
        <f>IFERROR(__xludf.DUMMYFUNCTION("""COMPUTED_VALUE"""),2018.0)</f>
        <v>2018</v>
      </c>
      <c r="E12812">
        <f>IFERROR(__xludf.DUMMYFUNCTION("""COMPUTED_VALUE"""),1.0291196E7)</f>
        <v>10291196</v>
      </c>
    </row>
    <row r="12813">
      <c r="A12813" t="str">
        <f t="shared" si="1"/>
        <v>prt#2019</v>
      </c>
      <c r="B12813" t="str">
        <f>IFERROR(__xludf.DUMMYFUNCTION("""COMPUTED_VALUE"""),"prt")</f>
        <v>prt</v>
      </c>
      <c r="C12813" t="str">
        <f>IFERROR(__xludf.DUMMYFUNCTION("""COMPUTED_VALUE"""),"Portugal")</f>
        <v>Portugal</v>
      </c>
      <c r="D12813">
        <f>IFERROR(__xludf.DUMMYFUNCTION("""COMPUTED_VALUE"""),2019.0)</f>
        <v>2019</v>
      </c>
      <c r="E12813">
        <f>IFERROR(__xludf.DUMMYFUNCTION("""COMPUTED_VALUE"""),1.0254666E7)</f>
        <v>10254666</v>
      </c>
    </row>
    <row r="12814">
      <c r="A12814" t="str">
        <f t="shared" si="1"/>
        <v>prt#2020</v>
      </c>
      <c r="B12814" t="str">
        <f>IFERROR(__xludf.DUMMYFUNCTION("""COMPUTED_VALUE"""),"prt")</f>
        <v>prt</v>
      </c>
      <c r="C12814" t="str">
        <f>IFERROR(__xludf.DUMMYFUNCTION("""COMPUTED_VALUE"""),"Portugal")</f>
        <v>Portugal</v>
      </c>
      <c r="D12814">
        <f>IFERROR(__xludf.DUMMYFUNCTION("""COMPUTED_VALUE"""),2020.0)</f>
        <v>2020</v>
      </c>
      <c r="E12814">
        <f>IFERROR(__xludf.DUMMYFUNCTION("""COMPUTED_VALUE"""),1.0218413E7)</f>
        <v>10218413</v>
      </c>
    </row>
    <row r="12815">
      <c r="A12815" t="str">
        <f t="shared" si="1"/>
        <v>prt#2021</v>
      </c>
      <c r="B12815" t="str">
        <f>IFERROR(__xludf.DUMMYFUNCTION("""COMPUTED_VALUE"""),"prt")</f>
        <v>prt</v>
      </c>
      <c r="C12815" t="str">
        <f>IFERROR(__xludf.DUMMYFUNCTION("""COMPUTED_VALUE"""),"Portugal")</f>
        <v>Portugal</v>
      </c>
      <c r="D12815">
        <f>IFERROR(__xludf.DUMMYFUNCTION("""COMPUTED_VALUE"""),2021.0)</f>
        <v>2021</v>
      </c>
      <c r="E12815">
        <f>IFERROR(__xludf.DUMMYFUNCTION("""COMPUTED_VALUE"""),1.0182639E7)</f>
        <v>10182639</v>
      </c>
    </row>
    <row r="12816">
      <c r="A12816" t="str">
        <f t="shared" si="1"/>
        <v>prt#2022</v>
      </c>
      <c r="B12816" t="str">
        <f>IFERROR(__xludf.DUMMYFUNCTION("""COMPUTED_VALUE"""),"prt")</f>
        <v>prt</v>
      </c>
      <c r="C12816" t="str">
        <f>IFERROR(__xludf.DUMMYFUNCTION("""COMPUTED_VALUE"""),"Portugal")</f>
        <v>Portugal</v>
      </c>
      <c r="D12816">
        <f>IFERROR(__xludf.DUMMYFUNCTION("""COMPUTED_VALUE"""),2022.0)</f>
        <v>2022</v>
      </c>
      <c r="E12816">
        <f>IFERROR(__xludf.DUMMYFUNCTION("""COMPUTED_VALUE"""),1.0148119E7)</f>
        <v>10148119</v>
      </c>
    </row>
    <row r="12817">
      <c r="A12817" t="str">
        <f t="shared" si="1"/>
        <v>prt#2023</v>
      </c>
      <c r="B12817" t="str">
        <f>IFERROR(__xludf.DUMMYFUNCTION("""COMPUTED_VALUE"""),"prt")</f>
        <v>prt</v>
      </c>
      <c r="C12817" t="str">
        <f>IFERROR(__xludf.DUMMYFUNCTION("""COMPUTED_VALUE"""),"Portugal")</f>
        <v>Portugal</v>
      </c>
      <c r="D12817">
        <f>IFERROR(__xludf.DUMMYFUNCTION("""COMPUTED_VALUE"""),2023.0)</f>
        <v>2023</v>
      </c>
      <c r="E12817">
        <f>IFERROR(__xludf.DUMMYFUNCTION("""COMPUTED_VALUE"""),1.0114464E7)</f>
        <v>10114464</v>
      </c>
    </row>
    <row r="12818">
      <c r="A12818" t="str">
        <f t="shared" si="1"/>
        <v>prt#2024</v>
      </c>
      <c r="B12818" t="str">
        <f>IFERROR(__xludf.DUMMYFUNCTION("""COMPUTED_VALUE"""),"prt")</f>
        <v>prt</v>
      </c>
      <c r="C12818" t="str">
        <f>IFERROR(__xludf.DUMMYFUNCTION("""COMPUTED_VALUE"""),"Portugal")</f>
        <v>Portugal</v>
      </c>
      <c r="D12818">
        <f>IFERROR(__xludf.DUMMYFUNCTION("""COMPUTED_VALUE"""),2024.0)</f>
        <v>2024</v>
      </c>
      <c r="E12818">
        <f>IFERROR(__xludf.DUMMYFUNCTION("""COMPUTED_VALUE"""),1.0081154E7)</f>
        <v>10081154</v>
      </c>
    </row>
    <row r="12819">
      <c r="A12819" t="str">
        <f t="shared" si="1"/>
        <v>prt#2025</v>
      </c>
      <c r="B12819" t="str">
        <f>IFERROR(__xludf.DUMMYFUNCTION("""COMPUTED_VALUE"""),"prt")</f>
        <v>prt</v>
      </c>
      <c r="C12819" t="str">
        <f>IFERROR(__xludf.DUMMYFUNCTION("""COMPUTED_VALUE"""),"Portugal")</f>
        <v>Portugal</v>
      </c>
      <c r="D12819">
        <f>IFERROR(__xludf.DUMMYFUNCTION("""COMPUTED_VALUE"""),2025.0)</f>
        <v>2025</v>
      </c>
      <c r="E12819">
        <f>IFERROR(__xludf.DUMMYFUNCTION("""COMPUTED_VALUE"""),1.0047807E7)</f>
        <v>10047807</v>
      </c>
    </row>
    <row r="12820">
      <c r="A12820" t="str">
        <f t="shared" si="1"/>
        <v>prt#2026</v>
      </c>
      <c r="B12820" t="str">
        <f>IFERROR(__xludf.DUMMYFUNCTION("""COMPUTED_VALUE"""),"prt")</f>
        <v>prt</v>
      </c>
      <c r="C12820" t="str">
        <f>IFERROR(__xludf.DUMMYFUNCTION("""COMPUTED_VALUE"""),"Portugal")</f>
        <v>Portugal</v>
      </c>
      <c r="D12820">
        <f>IFERROR(__xludf.DUMMYFUNCTION("""COMPUTED_VALUE"""),2026.0)</f>
        <v>2026</v>
      </c>
      <c r="E12820">
        <f>IFERROR(__xludf.DUMMYFUNCTION("""COMPUTED_VALUE"""),1.0014211E7)</f>
        <v>10014211</v>
      </c>
    </row>
    <row r="12821">
      <c r="A12821" t="str">
        <f t="shared" si="1"/>
        <v>prt#2027</v>
      </c>
      <c r="B12821" t="str">
        <f>IFERROR(__xludf.DUMMYFUNCTION("""COMPUTED_VALUE"""),"prt")</f>
        <v>prt</v>
      </c>
      <c r="C12821" t="str">
        <f>IFERROR(__xludf.DUMMYFUNCTION("""COMPUTED_VALUE"""),"Portugal")</f>
        <v>Portugal</v>
      </c>
      <c r="D12821">
        <f>IFERROR(__xludf.DUMMYFUNCTION("""COMPUTED_VALUE"""),2027.0)</f>
        <v>2027</v>
      </c>
      <c r="E12821">
        <f>IFERROR(__xludf.DUMMYFUNCTION("""COMPUTED_VALUE"""),9980338.0)</f>
        <v>9980338</v>
      </c>
    </row>
    <row r="12822">
      <c r="A12822" t="str">
        <f t="shared" si="1"/>
        <v>prt#2028</v>
      </c>
      <c r="B12822" t="str">
        <f>IFERROR(__xludf.DUMMYFUNCTION("""COMPUTED_VALUE"""),"prt")</f>
        <v>prt</v>
      </c>
      <c r="C12822" t="str">
        <f>IFERROR(__xludf.DUMMYFUNCTION("""COMPUTED_VALUE"""),"Portugal")</f>
        <v>Portugal</v>
      </c>
      <c r="D12822">
        <f>IFERROR(__xludf.DUMMYFUNCTION("""COMPUTED_VALUE"""),2028.0)</f>
        <v>2028</v>
      </c>
      <c r="E12822">
        <f>IFERROR(__xludf.DUMMYFUNCTION("""COMPUTED_VALUE"""),9946169.0)</f>
        <v>9946169</v>
      </c>
    </row>
    <row r="12823">
      <c r="A12823" t="str">
        <f t="shared" si="1"/>
        <v>prt#2029</v>
      </c>
      <c r="B12823" t="str">
        <f>IFERROR(__xludf.DUMMYFUNCTION("""COMPUTED_VALUE"""),"prt")</f>
        <v>prt</v>
      </c>
      <c r="C12823" t="str">
        <f>IFERROR(__xludf.DUMMYFUNCTION("""COMPUTED_VALUE"""),"Portugal")</f>
        <v>Portugal</v>
      </c>
      <c r="D12823">
        <f>IFERROR(__xludf.DUMMYFUNCTION("""COMPUTED_VALUE"""),2029.0)</f>
        <v>2029</v>
      </c>
      <c r="E12823">
        <f>IFERROR(__xludf.DUMMYFUNCTION("""COMPUTED_VALUE"""),9911742.0)</f>
        <v>9911742</v>
      </c>
    </row>
    <row r="12824">
      <c r="A12824" t="str">
        <f t="shared" si="1"/>
        <v>prt#2030</v>
      </c>
      <c r="B12824" t="str">
        <f>IFERROR(__xludf.DUMMYFUNCTION("""COMPUTED_VALUE"""),"prt")</f>
        <v>prt</v>
      </c>
      <c r="C12824" t="str">
        <f>IFERROR(__xludf.DUMMYFUNCTION("""COMPUTED_VALUE"""),"Portugal")</f>
        <v>Portugal</v>
      </c>
      <c r="D12824">
        <f>IFERROR(__xludf.DUMMYFUNCTION("""COMPUTED_VALUE"""),2030.0)</f>
        <v>2030</v>
      </c>
      <c r="E12824">
        <f>IFERROR(__xludf.DUMMYFUNCTION("""COMPUTED_VALUE"""),9877056.0)</f>
        <v>9877056</v>
      </c>
    </row>
    <row r="12825">
      <c r="A12825" t="str">
        <f t="shared" si="1"/>
        <v>prt#2031</v>
      </c>
      <c r="B12825" t="str">
        <f>IFERROR(__xludf.DUMMYFUNCTION("""COMPUTED_VALUE"""),"prt")</f>
        <v>prt</v>
      </c>
      <c r="C12825" t="str">
        <f>IFERROR(__xludf.DUMMYFUNCTION("""COMPUTED_VALUE"""),"Portugal")</f>
        <v>Portugal</v>
      </c>
      <c r="D12825">
        <f>IFERROR(__xludf.DUMMYFUNCTION("""COMPUTED_VALUE"""),2031.0)</f>
        <v>2031</v>
      </c>
      <c r="E12825">
        <f>IFERROR(__xludf.DUMMYFUNCTION("""COMPUTED_VALUE"""),9842032.0)</f>
        <v>9842032</v>
      </c>
    </row>
    <row r="12826">
      <c r="A12826" t="str">
        <f t="shared" si="1"/>
        <v>prt#2032</v>
      </c>
      <c r="B12826" t="str">
        <f>IFERROR(__xludf.DUMMYFUNCTION("""COMPUTED_VALUE"""),"prt")</f>
        <v>prt</v>
      </c>
      <c r="C12826" t="str">
        <f>IFERROR(__xludf.DUMMYFUNCTION("""COMPUTED_VALUE"""),"Portugal")</f>
        <v>Portugal</v>
      </c>
      <c r="D12826">
        <f>IFERROR(__xludf.DUMMYFUNCTION("""COMPUTED_VALUE"""),2032.0)</f>
        <v>2032</v>
      </c>
      <c r="E12826">
        <f>IFERROR(__xludf.DUMMYFUNCTION("""COMPUTED_VALUE"""),9806524.0)</f>
        <v>9806524</v>
      </c>
    </row>
    <row r="12827">
      <c r="A12827" t="str">
        <f t="shared" si="1"/>
        <v>prt#2033</v>
      </c>
      <c r="B12827" t="str">
        <f>IFERROR(__xludf.DUMMYFUNCTION("""COMPUTED_VALUE"""),"prt")</f>
        <v>prt</v>
      </c>
      <c r="C12827" t="str">
        <f>IFERROR(__xludf.DUMMYFUNCTION("""COMPUTED_VALUE"""),"Portugal")</f>
        <v>Portugal</v>
      </c>
      <c r="D12827">
        <f>IFERROR(__xludf.DUMMYFUNCTION("""COMPUTED_VALUE"""),2033.0)</f>
        <v>2033</v>
      </c>
      <c r="E12827">
        <f>IFERROR(__xludf.DUMMYFUNCTION("""COMPUTED_VALUE"""),9770461.0)</f>
        <v>9770461</v>
      </c>
    </row>
    <row r="12828">
      <c r="A12828" t="str">
        <f t="shared" si="1"/>
        <v>prt#2034</v>
      </c>
      <c r="B12828" t="str">
        <f>IFERROR(__xludf.DUMMYFUNCTION("""COMPUTED_VALUE"""),"prt")</f>
        <v>prt</v>
      </c>
      <c r="C12828" t="str">
        <f>IFERROR(__xludf.DUMMYFUNCTION("""COMPUTED_VALUE"""),"Portugal")</f>
        <v>Portugal</v>
      </c>
      <c r="D12828">
        <f>IFERROR(__xludf.DUMMYFUNCTION("""COMPUTED_VALUE"""),2034.0)</f>
        <v>2034</v>
      </c>
      <c r="E12828">
        <f>IFERROR(__xludf.DUMMYFUNCTION("""COMPUTED_VALUE"""),9733748.0)</f>
        <v>9733748</v>
      </c>
    </row>
    <row r="12829">
      <c r="A12829" t="str">
        <f t="shared" si="1"/>
        <v>prt#2035</v>
      </c>
      <c r="B12829" t="str">
        <f>IFERROR(__xludf.DUMMYFUNCTION("""COMPUTED_VALUE"""),"prt")</f>
        <v>prt</v>
      </c>
      <c r="C12829" t="str">
        <f>IFERROR(__xludf.DUMMYFUNCTION("""COMPUTED_VALUE"""),"Portugal")</f>
        <v>Portugal</v>
      </c>
      <c r="D12829">
        <f>IFERROR(__xludf.DUMMYFUNCTION("""COMPUTED_VALUE"""),2035.0)</f>
        <v>2035</v>
      </c>
      <c r="E12829">
        <f>IFERROR(__xludf.DUMMYFUNCTION("""COMPUTED_VALUE"""),9696318.0)</f>
        <v>9696318</v>
      </c>
    </row>
    <row r="12830">
      <c r="A12830" t="str">
        <f t="shared" si="1"/>
        <v>prt#2036</v>
      </c>
      <c r="B12830" t="str">
        <f>IFERROR(__xludf.DUMMYFUNCTION("""COMPUTED_VALUE"""),"prt")</f>
        <v>prt</v>
      </c>
      <c r="C12830" t="str">
        <f>IFERROR(__xludf.DUMMYFUNCTION("""COMPUTED_VALUE"""),"Portugal")</f>
        <v>Portugal</v>
      </c>
      <c r="D12830">
        <f>IFERROR(__xludf.DUMMYFUNCTION("""COMPUTED_VALUE"""),2036.0)</f>
        <v>2036</v>
      </c>
      <c r="E12830">
        <f>IFERROR(__xludf.DUMMYFUNCTION("""COMPUTED_VALUE"""),9658101.0)</f>
        <v>9658101</v>
      </c>
    </row>
    <row r="12831">
      <c r="A12831" t="str">
        <f t="shared" si="1"/>
        <v>prt#2037</v>
      </c>
      <c r="B12831" t="str">
        <f>IFERROR(__xludf.DUMMYFUNCTION("""COMPUTED_VALUE"""),"prt")</f>
        <v>prt</v>
      </c>
      <c r="C12831" t="str">
        <f>IFERROR(__xludf.DUMMYFUNCTION("""COMPUTED_VALUE"""),"Portugal")</f>
        <v>Portugal</v>
      </c>
      <c r="D12831">
        <f>IFERROR(__xludf.DUMMYFUNCTION("""COMPUTED_VALUE"""),2037.0)</f>
        <v>2037</v>
      </c>
      <c r="E12831">
        <f>IFERROR(__xludf.DUMMYFUNCTION("""COMPUTED_VALUE"""),9619023.0)</f>
        <v>9619023</v>
      </c>
    </row>
    <row r="12832">
      <c r="A12832" t="str">
        <f t="shared" si="1"/>
        <v>prt#2038</v>
      </c>
      <c r="B12832" t="str">
        <f>IFERROR(__xludf.DUMMYFUNCTION("""COMPUTED_VALUE"""),"prt")</f>
        <v>prt</v>
      </c>
      <c r="C12832" t="str">
        <f>IFERROR(__xludf.DUMMYFUNCTION("""COMPUTED_VALUE"""),"Portugal")</f>
        <v>Portugal</v>
      </c>
      <c r="D12832">
        <f>IFERROR(__xludf.DUMMYFUNCTION("""COMPUTED_VALUE"""),2038.0)</f>
        <v>2038</v>
      </c>
      <c r="E12832">
        <f>IFERROR(__xludf.DUMMYFUNCTION("""COMPUTED_VALUE"""),9578936.0)</f>
        <v>9578936</v>
      </c>
    </row>
    <row r="12833">
      <c r="A12833" t="str">
        <f t="shared" si="1"/>
        <v>prt#2039</v>
      </c>
      <c r="B12833" t="str">
        <f>IFERROR(__xludf.DUMMYFUNCTION("""COMPUTED_VALUE"""),"prt")</f>
        <v>prt</v>
      </c>
      <c r="C12833" t="str">
        <f>IFERROR(__xludf.DUMMYFUNCTION("""COMPUTED_VALUE"""),"Portugal")</f>
        <v>Portugal</v>
      </c>
      <c r="D12833">
        <f>IFERROR(__xludf.DUMMYFUNCTION("""COMPUTED_VALUE"""),2039.0)</f>
        <v>2039</v>
      </c>
      <c r="E12833">
        <f>IFERROR(__xludf.DUMMYFUNCTION("""COMPUTED_VALUE"""),9537698.0)</f>
        <v>9537698</v>
      </c>
    </row>
    <row r="12834">
      <c r="A12834" t="str">
        <f t="shared" si="1"/>
        <v>prt#2040</v>
      </c>
      <c r="B12834" t="str">
        <f>IFERROR(__xludf.DUMMYFUNCTION("""COMPUTED_VALUE"""),"prt")</f>
        <v>prt</v>
      </c>
      <c r="C12834" t="str">
        <f>IFERROR(__xludf.DUMMYFUNCTION("""COMPUTED_VALUE"""),"Portugal")</f>
        <v>Portugal</v>
      </c>
      <c r="D12834">
        <f>IFERROR(__xludf.DUMMYFUNCTION("""COMPUTED_VALUE"""),2040.0)</f>
        <v>2040</v>
      </c>
      <c r="E12834">
        <f>IFERROR(__xludf.DUMMYFUNCTION("""COMPUTED_VALUE"""),9495169.0)</f>
        <v>9495169</v>
      </c>
    </row>
    <row r="12835">
      <c r="A12835" t="str">
        <f t="shared" si="1"/>
        <v>qat#1950</v>
      </c>
      <c r="B12835" t="str">
        <f>IFERROR(__xludf.DUMMYFUNCTION("""COMPUTED_VALUE"""),"qat")</f>
        <v>qat</v>
      </c>
      <c r="C12835" t="str">
        <f>IFERROR(__xludf.DUMMYFUNCTION("""COMPUTED_VALUE"""),"Qatar")</f>
        <v>Qatar</v>
      </c>
      <c r="D12835">
        <f>IFERROR(__xludf.DUMMYFUNCTION("""COMPUTED_VALUE"""),1950.0)</f>
        <v>1950</v>
      </c>
      <c r="E12835">
        <f>IFERROR(__xludf.DUMMYFUNCTION("""COMPUTED_VALUE"""),25003.0)</f>
        <v>25003</v>
      </c>
    </row>
    <row r="12836">
      <c r="A12836" t="str">
        <f t="shared" si="1"/>
        <v>qat#1951</v>
      </c>
      <c r="B12836" t="str">
        <f>IFERROR(__xludf.DUMMYFUNCTION("""COMPUTED_VALUE"""),"qat")</f>
        <v>qat</v>
      </c>
      <c r="C12836" t="str">
        <f>IFERROR(__xludf.DUMMYFUNCTION("""COMPUTED_VALUE"""),"Qatar")</f>
        <v>Qatar</v>
      </c>
      <c r="D12836">
        <f>IFERROR(__xludf.DUMMYFUNCTION("""COMPUTED_VALUE"""),1951.0)</f>
        <v>1951</v>
      </c>
      <c r="E12836">
        <f>IFERROR(__xludf.DUMMYFUNCTION("""COMPUTED_VALUE"""),27497.0)</f>
        <v>27497</v>
      </c>
    </row>
    <row r="12837">
      <c r="A12837" t="str">
        <f t="shared" si="1"/>
        <v>qat#1952</v>
      </c>
      <c r="B12837" t="str">
        <f>IFERROR(__xludf.DUMMYFUNCTION("""COMPUTED_VALUE"""),"qat")</f>
        <v>qat</v>
      </c>
      <c r="C12837" t="str">
        <f>IFERROR(__xludf.DUMMYFUNCTION("""COMPUTED_VALUE"""),"Qatar")</f>
        <v>Qatar</v>
      </c>
      <c r="D12837">
        <f>IFERROR(__xludf.DUMMYFUNCTION("""COMPUTED_VALUE"""),1952.0)</f>
        <v>1952</v>
      </c>
      <c r="E12837">
        <f>IFERROR(__xludf.DUMMYFUNCTION("""COMPUTED_VALUE"""),29873.0)</f>
        <v>29873</v>
      </c>
    </row>
    <row r="12838">
      <c r="A12838" t="str">
        <f t="shared" si="1"/>
        <v>qat#1953</v>
      </c>
      <c r="B12838" t="str">
        <f>IFERROR(__xludf.DUMMYFUNCTION("""COMPUTED_VALUE"""),"qat")</f>
        <v>qat</v>
      </c>
      <c r="C12838" t="str">
        <f>IFERROR(__xludf.DUMMYFUNCTION("""COMPUTED_VALUE"""),"Qatar")</f>
        <v>Qatar</v>
      </c>
      <c r="D12838">
        <f>IFERROR(__xludf.DUMMYFUNCTION("""COMPUTED_VALUE"""),1953.0)</f>
        <v>1953</v>
      </c>
      <c r="E12838">
        <f>IFERROR(__xludf.DUMMYFUNCTION("""COMPUTED_VALUE"""),32060.0)</f>
        <v>32060</v>
      </c>
    </row>
    <row r="12839">
      <c r="A12839" t="str">
        <f t="shared" si="1"/>
        <v>qat#1954</v>
      </c>
      <c r="B12839" t="str">
        <f>IFERROR(__xludf.DUMMYFUNCTION("""COMPUTED_VALUE"""),"qat")</f>
        <v>qat</v>
      </c>
      <c r="C12839" t="str">
        <f>IFERROR(__xludf.DUMMYFUNCTION("""COMPUTED_VALUE"""),"Qatar")</f>
        <v>Qatar</v>
      </c>
      <c r="D12839">
        <f>IFERROR(__xludf.DUMMYFUNCTION("""COMPUTED_VALUE"""),1954.0)</f>
        <v>1954</v>
      </c>
      <c r="E12839">
        <f>IFERROR(__xludf.DUMMYFUNCTION("""COMPUTED_VALUE"""),34042.0)</f>
        <v>34042</v>
      </c>
    </row>
    <row r="12840">
      <c r="A12840" t="str">
        <f t="shared" si="1"/>
        <v>qat#1955</v>
      </c>
      <c r="B12840" t="str">
        <f>IFERROR(__xludf.DUMMYFUNCTION("""COMPUTED_VALUE"""),"qat")</f>
        <v>qat</v>
      </c>
      <c r="C12840" t="str">
        <f>IFERROR(__xludf.DUMMYFUNCTION("""COMPUTED_VALUE"""),"Qatar")</f>
        <v>Qatar</v>
      </c>
      <c r="D12840">
        <f>IFERROR(__xludf.DUMMYFUNCTION("""COMPUTED_VALUE"""),1955.0)</f>
        <v>1955</v>
      </c>
      <c r="E12840">
        <f>IFERROR(__xludf.DUMMYFUNCTION("""COMPUTED_VALUE"""),35866.0)</f>
        <v>35866</v>
      </c>
    </row>
    <row r="12841">
      <c r="A12841" t="str">
        <f t="shared" si="1"/>
        <v>qat#1956</v>
      </c>
      <c r="B12841" t="str">
        <f>IFERROR(__xludf.DUMMYFUNCTION("""COMPUTED_VALUE"""),"qat")</f>
        <v>qat</v>
      </c>
      <c r="C12841" t="str">
        <f>IFERROR(__xludf.DUMMYFUNCTION("""COMPUTED_VALUE"""),"Qatar")</f>
        <v>Qatar</v>
      </c>
      <c r="D12841">
        <f>IFERROR(__xludf.DUMMYFUNCTION("""COMPUTED_VALUE"""),1956.0)</f>
        <v>1956</v>
      </c>
      <c r="E12841">
        <f>IFERROR(__xludf.DUMMYFUNCTION("""COMPUTED_VALUE"""),37622.0)</f>
        <v>37622</v>
      </c>
    </row>
    <row r="12842">
      <c r="A12842" t="str">
        <f t="shared" si="1"/>
        <v>qat#1957</v>
      </c>
      <c r="B12842" t="str">
        <f>IFERROR(__xludf.DUMMYFUNCTION("""COMPUTED_VALUE"""),"qat")</f>
        <v>qat</v>
      </c>
      <c r="C12842" t="str">
        <f>IFERROR(__xludf.DUMMYFUNCTION("""COMPUTED_VALUE"""),"Qatar")</f>
        <v>Qatar</v>
      </c>
      <c r="D12842">
        <f>IFERROR(__xludf.DUMMYFUNCTION("""COMPUTED_VALUE"""),1957.0)</f>
        <v>1957</v>
      </c>
      <c r="E12842">
        <f>IFERROR(__xludf.DUMMYFUNCTION("""COMPUTED_VALUE"""),39450.0)</f>
        <v>39450</v>
      </c>
    </row>
    <row r="12843">
      <c r="A12843" t="str">
        <f t="shared" si="1"/>
        <v>qat#1958</v>
      </c>
      <c r="B12843" t="str">
        <f>IFERROR(__xludf.DUMMYFUNCTION("""COMPUTED_VALUE"""),"qat")</f>
        <v>qat</v>
      </c>
      <c r="C12843" t="str">
        <f>IFERROR(__xludf.DUMMYFUNCTION("""COMPUTED_VALUE"""),"Qatar")</f>
        <v>Qatar</v>
      </c>
      <c r="D12843">
        <f>IFERROR(__xludf.DUMMYFUNCTION("""COMPUTED_VALUE"""),1958.0)</f>
        <v>1958</v>
      </c>
      <c r="E12843">
        <f>IFERROR(__xludf.DUMMYFUNCTION("""COMPUTED_VALUE"""),41546.0)</f>
        <v>41546</v>
      </c>
    </row>
    <row r="12844">
      <c r="A12844" t="str">
        <f t="shared" si="1"/>
        <v>qat#1959</v>
      </c>
      <c r="B12844" t="str">
        <f>IFERROR(__xludf.DUMMYFUNCTION("""COMPUTED_VALUE"""),"qat")</f>
        <v>qat</v>
      </c>
      <c r="C12844" t="str">
        <f>IFERROR(__xludf.DUMMYFUNCTION("""COMPUTED_VALUE"""),"Qatar")</f>
        <v>Qatar</v>
      </c>
      <c r="D12844">
        <f>IFERROR(__xludf.DUMMYFUNCTION("""COMPUTED_VALUE"""),1959.0)</f>
        <v>1959</v>
      </c>
      <c r="E12844">
        <f>IFERROR(__xludf.DUMMYFUNCTION("""COMPUTED_VALUE"""),44126.0)</f>
        <v>44126</v>
      </c>
    </row>
    <row r="12845">
      <c r="A12845" t="str">
        <f t="shared" si="1"/>
        <v>qat#1960</v>
      </c>
      <c r="B12845" t="str">
        <f>IFERROR(__xludf.DUMMYFUNCTION("""COMPUTED_VALUE"""),"qat")</f>
        <v>qat</v>
      </c>
      <c r="C12845" t="str">
        <f>IFERROR(__xludf.DUMMYFUNCTION("""COMPUTED_VALUE"""),"Qatar")</f>
        <v>Qatar</v>
      </c>
      <c r="D12845">
        <f>IFERROR(__xludf.DUMMYFUNCTION("""COMPUTED_VALUE"""),1960.0)</f>
        <v>1960</v>
      </c>
      <c r="E12845">
        <f>IFERROR(__xludf.DUMMYFUNCTION("""COMPUTED_VALUE"""),47384.0)</f>
        <v>47384</v>
      </c>
    </row>
    <row r="12846">
      <c r="A12846" t="str">
        <f t="shared" si="1"/>
        <v>qat#1961</v>
      </c>
      <c r="B12846" t="str">
        <f>IFERROR(__xludf.DUMMYFUNCTION("""COMPUTED_VALUE"""),"qat")</f>
        <v>qat</v>
      </c>
      <c r="C12846" t="str">
        <f>IFERROR(__xludf.DUMMYFUNCTION("""COMPUTED_VALUE"""),"Qatar")</f>
        <v>Qatar</v>
      </c>
      <c r="D12846">
        <f>IFERROR(__xludf.DUMMYFUNCTION("""COMPUTED_VALUE"""),1961.0)</f>
        <v>1961</v>
      </c>
      <c r="E12846">
        <f>IFERROR(__xludf.DUMMYFUNCTION("""COMPUTED_VALUE"""),51421.0)</f>
        <v>51421</v>
      </c>
    </row>
    <row r="12847">
      <c r="A12847" t="str">
        <f t="shared" si="1"/>
        <v>qat#1962</v>
      </c>
      <c r="B12847" t="str">
        <f>IFERROR(__xludf.DUMMYFUNCTION("""COMPUTED_VALUE"""),"qat")</f>
        <v>qat</v>
      </c>
      <c r="C12847" t="str">
        <f>IFERROR(__xludf.DUMMYFUNCTION("""COMPUTED_VALUE"""),"Qatar")</f>
        <v>Qatar</v>
      </c>
      <c r="D12847">
        <f>IFERROR(__xludf.DUMMYFUNCTION("""COMPUTED_VALUE"""),1962.0)</f>
        <v>1962</v>
      </c>
      <c r="E12847">
        <f>IFERROR(__xludf.DUMMYFUNCTION("""COMPUTED_VALUE"""),56263.0)</f>
        <v>56263</v>
      </c>
    </row>
    <row r="12848">
      <c r="A12848" t="str">
        <f t="shared" si="1"/>
        <v>qat#1963</v>
      </c>
      <c r="B12848" t="str">
        <f>IFERROR(__xludf.DUMMYFUNCTION("""COMPUTED_VALUE"""),"qat")</f>
        <v>qat</v>
      </c>
      <c r="C12848" t="str">
        <f>IFERROR(__xludf.DUMMYFUNCTION("""COMPUTED_VALUE"""),"Qatar")</f>
        <v>Qatar</v>
      </c>
      <c r="D12848">
        <f>IFERROR(__xludf.DUMMYFUNCTION("""COMPUTED_VALUE"""),1963.0)</f>
        <v>1963</v>
      </c>
      <c r="E12848">
        <f>IFERROR(__xludf.DUMMYFUNCTION("""COMPUTED_VALUE"""),61717.0)</f>
        <v>61717</v>
      </c>
    </row>
    <row r="12849">
      <c r="A12849" t="str">
        <f t="shared" si="1"/>
        <v>qat#1964</v>
      </c>
      <c r="B12849" t="str">
        <f>IFERROR(__xludf.DUMMYFUNCTION("""COMPUTED_VALUE"""),"qat")</f>
        <v>qat</v>
      </c>
      <c r="C12849" t="str">
        <f>IFERROR(__xludf.DUMMYFUNCTION("""COMPUTED_VALUE"""),"Qatar")</f>
        <v>Qatar</v>
      </c>
      <c r="D12849">
        <f>IFERROR(__xludf.DUMMYFUNCTION("""COMPUTED_VALUE"""),1964.0)</f>
        <v>1964</v>
      </c>
      <c r="E12849">
        <f>IFERROR(__xludf.DUMMYFUNCTION("""COMPUTED_VALUE"""),67567.0)</f>
        <v>67567</v>
      </c>
    </row>
    <row r="12850">
      <c r="A12850" t="str">
        <f t="shared" si="1"/>
        <v>qat#1965</v>
      </c>
      <c r="B12850" t="str">
        <f>IFERROR(__xludf.DUMMYFUNCTION("""COMPUTED_VALUE"""),"qat")</f>
        <v>qat</v>
      </c>
      <c r="C12850" t="str">
        <f>IFERROR(__xludf.DUMMYFUNCTION("""COMPUTED_VALUE"""),"Qatar")</f>
        <v>Qatar</v>
      </c>
      <c r="D12850">
        <f>IFERROR(__xludf.DUMMYFUNCTION("""COMPUTED_VALUE"""),1965.0)</f>
        <v>1965</v>
      </c>
      <c r="E12850">
        <f>IFERROR(__xludf.DUMMYFUNCTION("""COMPUTED_VALUE"""),73633.0)</f>
        <v>73633</v>
      </c>
    </row>
    <row r="12851">
      <c r="A12851" t="str">
        <f t="shared" si="1"/>
        <v>qat#1966</v>
      </c>
      <c r="B12851" t="str">
        <f>IFERROR(__xludf.DUMMYFUNCTION("""COMPUTED_VALUE"""),"qat")</f>
        <v>qat</v>
      </c>
      <c r="C12851" t="str">
        <f>IFERROR(__xludf.DUMMYFUNCTION("""COMPUTED_VALUE"""),"Qatar")</f>
        <v>Qatar</v>
      </c>
      <c r="D12851">
        <f>IFERROR(__xludf.DUMMYFUNCTION("""COMPUTED_VALUE"""),1966.0)</f>
        <v>1966</v>
      </c>
      <c r="E12851">
        <f>IFERROR(__xludf.DUMMYFUNCTION("""COMPUTED_VALUE"""),79844.0)</f>
        <v>79844</v>
      </c>
    </row>
    <row r="12852">
      <c r="A12852" t="str">
        <f t="shared" si="1"/>
        <v>qat#1967</v>
      </c>
      <c r="B12852" t="str">
        <f>IFERROR(__xludf.DUMMYFUNCTION("""COMPUTED_VALUE"""),"qat")</f>
        <v>qat</v>
      </c>
      <c r="C12852" t="str">
        <f>IFERROR(__xludf.DUMMYFUNCTION("""COMPUTED_VALUE"""),"Qatar")</f>
        <v>Qatar</v>
      </c>
      <c r="D12852">
        <f>IFERROR(__xludf.DUMMYFUNCTION("""COMPUTED_VALUE"""),1967.0)</f>
        <v>1967</v>
      </c>
      <c r="E12852">
        <f>IFERROR(__xludf.DUMMYFUNCTION("""COMPUTED_VALUE"""),86295.0)</f>
        <v>86295</v>
      </c>
    </row>
    <row r="12853">
      <c r="A12853" t="str">
        <f t="shared" si="1"/>
        <v>qat#1968</v>
      </c>
      <c r="B12853" t="str">
        <f>IFERROR(__xludf.DUMMYFUNCTION("""COMPUTED_VALUE"""),"qat")</f>
        <v>qat</v>
      </c>
      <c r="C12853" t="str">
        <f>IFERROR(__xludf.DUMMYFUNCTION("""COMPUTED_VALUE"""),"Qatar")</f>
        <v>Qatar</v>
      </c>
      <c r="D12853">
        <f>IFERROR(__xludf.DUMMYFUNCTION("""COMPUTED_VALUE"""),1968.0)</f>
        <v>1968</v>
      </c>
      <c r="E12853">
        <f>IFERROR(__xludf.DUMMYFUNCTION("""COMPUTED_VALUE"""),93201.0)</f>
        <v>93201</v>
      </c>
    </row>
    <row r="12854">
      <c r="A12854" t="str">
        <f t="shared" si="1"/>
        <v>qat#1969</v>
      </c>
      <c r="B12854" t="str">
        <f>IFERROR(__xludf.DUMMYFUNCTION("""COMPUTED_VALUE"""),"qat")</f>
        <v>qat</v>
      </c>
      <c r="C12854" t="str">
        <f>IFERROR(__xludf.DUMMYFUNCTION("""COMPUTED_VALUE"""),"Qatar")</f>
        <v>Qatar</v>
      </c>
      <c r="D12854">
        <f>IFERROR(__xludf.DUMMYFUNCTION("""COMPUTED_VALUE"""),1969.0)</f>
        <v>1969</v>
      </c>
      <c r="E12854">
        <f>IFERROR(__xludf.DUMMYFUNCTION("""COMPUTED_VALUE"""),100874.0)</f>
        <v>100874</v>
      </c>
    </row>
    <row r="12855">
      <c r="A12855" t="str">
        <f t="shared" si="1"/>
        <v>qat#1970</v>
      </c>
      <c r="B12855" t="str">
        <f>IFERROR(__xludf.DUMMYFUNCTION("""COMPUTED_VALUE"""),"qat")</f>
        <v>qat</v>
      </c>
      <c r="C12855" t="str">
        <f>IFERROR(__xludf.DUMMYFUNCTION("""COMPUTED_VALUE"""),"Qatar")</f>
        <v>Qatar</v>
      </c>
      <c r="D12855">
        <f>IFERROR(__xludf.DUMMYFUNCTION("""COMPUTED_VALUE"""),1970.0)</f>
        <v>1970</v>
      </c>
      <c r="E12855">
        <f>IFERROR(__xludf.DUMMYFUNCTION("""COMPUTED_VALUE"""),109514.0)</f>
        <v>109514</v>
      </c>
    </row>
    <row r="12856">
      <c r="A12856" t="str">
        <f t="shared" si="1"/>
        <v>qat#1971</v>
      </c>
      <c r="B12856" t="str">
        <f>IFERROR(__xludf.DUMMYFUNCTION("""COMPUTED_VALUE"""),"qat")</f>
        <v>qat</v>
      </c>
      <c r="C12856" t="str">
        <f>IFERROR(__xludf.DUMMYFUNCTION("""COMPUTED_VALUE"""),"Qatar")</f>
        <v>Qatar</v>
      </c>
      <c r="D12856">
        <f>IFERROR(__xludf.DUMMYFUNCTION("""COMPUTED_VALUE"""),1971.0)</f>
        <v>1971</v>
      </c>
      <c r="E12856">
        <f>IFERROR(__xludf.DUMMYFUNCTION("""COMPUTED_VALUE"""),119424.0)</f>
        <v>119424</v>
      </c>
    </row>
    <row r="12857">
      <c r="A12857" t="str">
        <f t="shared" si="1"/>
        <v>qat#1972</v>
      </c>
      <c r="B12857" t="str">
        <f>IFERROR(__xludf.DUMMYFUNCTION("""COMPUTED_VALUE"""),"qat")</f>
        <v>qat</v>
      </c>
      <c r="C12857" t="str">
        <f>IFERROR(__xludf.DUMMYFUNCTION("""COMPUTED_VALUE"""),"Qatar")</f>
        <v>Qatar</v>
      </c>
      <c r="D12857">
        <f>IFERROR(__xludf.DUMMYFUNCTION("""COMPUTED_VALUE"""),1972.0)</f>
        <v>1972</v>
      </c>
      <c r="E12857">
        <f>IFERROR(__xludf.DUMMYFUNCTION("""COMPUTED_VALUE"""),130534.0)</f>
        <v>130534</v>
      </c>
    </row>
    <row r="12858">
      <c r="A12858" t="str">
        <f t="shared" si="1"/>
        <v>qat#1973</v>
      </c>
      <c r="B12858" t="str">
        <f>IFERROR(__xludf.DUMMYFUNCTION("""COMPUTED_VALUE"""),"qat")</f>
        <v>qat</v>
      </c>
      <c r="C12858" t="str">
        <f>IFERROR(__xludf.DUMMYFUNCTION("""COMPUTED_VALUE"""),"Qatar")</f>
        <v>Qatar</v>
      </c>
      <c r="D12858">
        <f>IFERROR(__xludf.DUMMYFUNCTION("""COMPUTED_VALUE"""),1973.0)</f>
        <v>1973</v>
      </c>
      <c r="E12858">
        <f>IFERROR(__xludf.DUMMYFUNCTION("""COMPUTED_VALUE"""),142241.0)</f>
        <v>142241</v>
      </c>
    </row>
    <row r="12859">
      <c r="A12859" t="str">
        <f t="shared" si="1"/>
        <v>qat#1974</v>
      </c>
      <c r="B12859" t="str">
        <f>IFERROR(__xludf.DUMMYFUNCTION("""COMPUTED_VALUE"""),"qat")</f>
        <v>qat</v>
      </c>
      <c r="C12859" t="str">
        <f>IFERROR(__xludf.DUMMYFUNCTION("""COMPUTED_VALUE"""),"Qatar")</f>
        <v>Qatar</v>
      </c>
      <c r="D12859">
        <f>IFERROR(__xludf.DUMMYFUNCTION("""COMPUTED_VALUE"""),1974.0)</f>
        <v>1974</v>
      </c>
      <c r="E12859">
        <f>IFERROR(__xludf.DUMMYFUNCTION("""COMPUTED_VALUE"""),153704.0)</f>
        <v>153704</v>
      </c>
    </row>
    <row r="12860">
      <c r="A12860" t="str">
        <f t="shared" si="1"/>
        <v>qat#1975</v>
      </c>
      <c r="B12860" t="str">
        <f>IFERROR(__xludf.DUMMYFUNCTION("""COMPUTED_VALUE"""),"qat")</f>
        <v>qat</v>
      </c>
      <c r="C12860" t="str">
        <f>IFERROR(__xludf.DUMMYFUNCTION("""COMPUTED_VALUE"""),"Qatar")</f>
        <v>Qatar</v>
      </c>
      <c r="D12860">
        <f>IFERROR(__xludf.DUMMYFUNCTION("""COMPUTED_VALUE"""),1975.0)</f>
        <v>1975</v>
      </c>
      <c r="E12860">
        <f>IFERROR(__xludf.DUMMYFUNCTION("""COMPUTED_VALUE"""),164413.0)</f>
        <v>164413</v>
      </c>
    </row>
    <row r="12861">
      <c r="A12861" t="str">
        <f t="shared" si="1"/>
        <v>qat#1976</v>
      </c>
      <c r="B12861" t="str">
        <f>IFERROR(__xludf.DUMMYFUNCTION("""COMPUTED_VALUE"""),"qat")</f>
        <v>qat</v>
      </c>
      <c r="C12861" t="str">
        <f>IFERROR(__xludf.DUMMYFUNCTION("""COMPUTED_VALUE"""),"Qatar")</f>
        <v>Qatar</v>
      </c>
      <c r="D12861">
        <f>IFERROR(__xludf.DUMMYFUNCTION("""COMPUTED_VALUE"""),1976.0)</f>
        <v>1976</v>
      </c>
      <c r="E12861">
        <f>IFERROR(__xludf.DUMMYFUNCTION("""COMPUTED_VALUE"""),173836.0)</f>
        <v>173836</v>
      </c>
    </row>
    <row r="12862">
      <c r="A12862" t="str">
        <f t="shared" si="1"/>
        <v>qat#1977</v>
      </c>
      <c r="B12862" t="str">
        <f>IFERROR(__xludf.DUMMYFUNCTION("""COMPUTED_VALUE"""),"qat")</f>
        <v>qat</v>
      </c>
      <c r="C12862" t="str">
        <f>IFERROR(__xludf.DUMMYFUNCTION("""COMPUTED_VALUE"""),"Qatar")</f>
        <v>Qatar</v>
      </c>
      <c r="D12862">
        <f>IFERROR(__xludf.DUMMYFUNCTION("""COMPUTED_VALUE"""),1977.0)</f>
        <v>1977</v>
      </c>
      <c r="E12862">
        <f>IFERROR(__xludf.DUMMYFUNCTION("""COMPUTED_VALUE"""),182443.0)</f>
        <v>182443</v>
      </c>
    </row>
    <row r="12863">
      <c r="A12863" t="str">
        <f t="shared" si="1"/>
        <v>qat#1978</v>
      </c>
      <c r="B12863" t="str">
        <f>IFERROR(__xludf.DUMMYFUNCTION("""COMPUTED_VALUE"""),"qat")</f>
        <v>qat</v>
      </c>
      <c r="C12863" t="str">
        <f>IFERROR(__xludf.DUMMYFUNCTION("""COMPUTED_VALUE"""),"Qatar")</f>
        <v>Qatar</v>
      </c>
      <c r="D12863">
        <f>IFERROR(__xludf.DUMMYFUNCTION("""COMPUTED_VALUE"""),1978.0)</f>
        <v>1978</v>
      </c>
      <c r="E12863">
        <f>IFERROR(__xludf.DUMMYFUNCTION("""COMPUTED_VALUE"""),192093.0)</f>
        <v>192093</v>
      </c>
    </row>
    <row r="12864">
      <c r="A12864" t="str">
        <f t="shared" si="1"/>
        <v>qat#1979</v>
      </c>
      <c r="B12864" t="str">
        <f>IFERROR(__xludf.DUMMYFUNCTION("""COMPUTED_VALUE"""),"qat")</f>
        <v>qat</v>
      </c>
      <c r="C12864" t="str">
        <f>IFERROR(__xludf.DUMMYFUNCTION("""COMPUTED_VALUE"""),"Qatar")</f>
        <v>Qatar</v>
      </c>
      <c r="D12864">
        <f>IFERROR(__xludf.DUMMYFUNCTION("""COMPUTED_VALUE"""),1979.0)</f>
        <v>1979</v>
      </c>
      <c r="E12864">
        <f>IFERROR(__xludf.DUMMYFUNCTION("""COMPUTED_VALUE"""),205313.0)</f>
        <v>205313</v>
      </c>
    </row>
    <row r="12865">
      <c r="A12865" t="str">
        <f t="shared" si="1"/>
        <v>qat#1980</v>
      </c>
      <c r="B12865" t="str">
        <f>IFERROR(__xludf.DUMMYFUNCTION("""COMPUTED_VALUE"""),"qat")</f>
        <v>qat</v>
      </c>
      <c r="C12865" t="str">
        <f>IFERROR(__xludf.DUMMYFUNCTION("""COMPUTED_VALUE"""),"Qatar")</f>
        <v>Qatar</v>
      </c>
      <c r="D12865">
        <f>IFERROR(__xludf.DUMMYFUNCTION("""COMPUTED_VALUE"""),1980.0)</f>
        <v>1980</v>
      </c>
      <c r="E12865">
        <f>IFERROR(__xludf.DUMMYFUNCTION("""COMPUTED_VALUE"""),223775.0)</f>
        <v>223775</v>
      </c>
    </row>
    <row r="12866">
      <c r="A12866" t="str">
        <f t="shared" si="1"/>
        <v>qat#1981</v>
      </c>
      <c r="B12866" t="str">
        <f>IFERROR(__xludf.DUMMYFUNCTION("""COMPUTED_VALUE"""),"qat")</f>
        <v>qat</v>
      </c>
      <c r="C12866" t="str">
        <f>IFERROR(__xludf.DUMMYFUNCTION("""COMPUTED_VALUE"""),"Qatar")</f>
        <v>Qatar</v>
      </c>
      <c r="D12866">
        <f>IFERROR(__xludf.DUMMYFUNCTION("""COMPUTED_VALUE"""),1981.0)</f>
        <v>1981</v>
      </c>
      <c r="E12866">
        <f>IFERROR(__xludf.DUMMYFUNCTION("""COMPUTED_VALUE"""),248144.0)</f>
        <v>248144</v>
      </c>
    </row>
    <row r="12867">
      <c r="A12867" t="str">
        <f t="shared" si="1"/>
        <v>qat#1982</v>
      </c>
      <c r="B12867" t="str">
        <f>IFERROR(__xludf.DUMMYFUNCTION("""COMPUTED_VALUE"""),"qat")</f>
        <v>qat</v>
      </c>
      <c r="C12867" t="str">
        <f>IFERROR(__xludf.DUMMYFUNCTION("""COMPUTED_VALUE"""),"Qatar")</f>
        <v>Qatar</v>
      </c>
      <c r="D12867">
        <f>IFERROR(__xludf.DUMMYFUNCTION("""COMPUTED_VALUE"""),1982.0)</f>
        <v>1982</v>
      </c>
      <c r="E12867">
        <f>IFERROR(__xludf.DUMMYFUNCTION("""COMPUTED_VALUE"""),277396.0)</f>
        <v>277396</v>
      </c>
    </row>
    <row r="12868">
      <c r="A12868" t="str">
        <f t="shared" si="1"/>
        <v>qat#1983</v>
      </c>
      <c r="B12868" t="str">
        <f>IFERROR(__xludf.DUMMYFUNCTION("""COMPUTED_VALUE"""),"qat")</f>
        <v>qat</v>
      </c>
      <c r="C12868" t="str">
        <f>IFERROR(__xludf.DUMMYFUNCTION("""COMPUTED_VALUE"""),"Qatar")</f>
        <v>Qatar</v>
      </c>
      <c r="D12868">
        <f>IFERROR(__xludf.DUMMYFUNCTION("""COMPUTED_VALUE"""),1983.0)</f>
        <v>1983</v>
      </c>
      <c r="E12868">
        <f>IFERROR(__xludf.DUMMYFUNCTION("""COMPUTED_VALUE"""),309479.0)</f>
        <v>309479</v>
      </c>
    </row>
    <row r="12869">
      <c r="A12869" t="str">
        <f t="shared" si="1"/>
        <v>qat#1984</v>
      </c>
      <c r="B12869" t="str">
        <f>IFERROR(__xludf.DUMMYFUNCTION("""COMPUTED_VALUE"""),"qat")</f>
        <v>qat</v>
      </c>
      <c r="C12869" t="str">
        <f>IFERROR(__xludf.DUMMYFUNCTION("""COMPUTED_VALUE"""),"Qatar")</f>
        <v>Qatar</v>
      </c>
      <c r="D12869">
        <f>IFERROR(__xludf.DUMMYFUNCTION("""COMPUTED_VALUE"""),1984.0)</f>
        <v>1984</v>
      </c>
      <c r="E12869">
        <f>IFERROR(__xludf.DUMMYFUNCTION("""COMPUTED_VALUE"""),341455.0)</f>
        <v>341455</v>
      </c>
    </row>
    <row r="12870">
      <c r="A12870" t="str">
        <f t="shared" si="1"/>
        <v>qat#1985</v>
      </c>
      <c r="B12870" t="str">
        <f>IFERROR(__xludf.DUMMYFUNCTION("""COMPUTED_VALUE"""),"qat")</f>
        <v>qat</v>
      </c>
      <c r="C12870" t="str">
        <f>IFERROR(__xludf.DUMMYFUNCTION("""COMPUTED_VALUE"""),"Qatar")</f>
        <v>Qatar</v>
      </c>
      <c r="D12870">
        <f>IFERROR(__xludf.DUMMYFUNCTION("""COMPUTED_VALUE"""),1985.0)</f>
        <v>1985</v>
      </c>
      <c r="E12870">
        <f>IFERROR(__xludf.DUMMYFUNCTION("""COMPUTED_VALUE"""),371081.0)</f>
        <v>371081</v>
      </c>
    </row>
    <row r="12871">
      <c r="A12871" t="str">
        <f t="shared" si="1"/>
        <v>qat#1986</v>
      </c>
      <c r="B12871" t="str">
        <f>IFERROR(__xludf.DUMMYFUNCTION("""COMPUTED_VALUE"""),"qat")</f>
        <v>qat</v>
      </c>
      <c r="C12871" t="str">
        <f>IFERROR(__xludf.DUMMYFUNCTION("""COMPUTED_VALUE"""),"Qatar")</f>
        <v>Qatar</v>
      </c>
      <c r="D12871">
        <f>IFERROR(__xludf.DUMMYFUNCTION("""COMPUTED_VALUE"""),1986.0)</f>
        <v>1986</v>
      </c>
      <c r="E12871">
        <f>IFERROR(__xludf.DUMMYFUNCTION("""COMPUTED_VALUE"""),397932.0)</f>
        <v>397932</v>
      </c>
    </row>
    <row r="12872">
      <c r="A12872" t="str">
        <f t="shared" si="1"/>
        <v>qat#1987</v>
      </c>
      <c r="B12872" t="str">
        <f>IFERROR(__xludf.DUMMYFUNCTION("""COMPUTED_VALUE"""),"qat")</f>
        <v>qat</v>
      </c>
      <c r="C12872" t="str">
        <f>IFERROR(__xludf.DUMMYFUNCTION("""COMPUTED_VALUE"""),"Qatar")</f>
        <v>Qatar</v>
      </c>
      <c r="D12872">
        <f>IFERROR(__xludf.DUMMYFUNCTION("""COMPUTED_VALUE"""),1987.0)</f>
        <v>1987</v>
      </c>
      <c r="E12872">
        <f>IFERROR(__xludf.DUMMYFUNCTION("""COMPUTED_VALUE"""),422341.0)</f>
        <v>422341</v>
      </c>
    </row>
    <row r="12873">
      <c r="A12873" t="str">
        <f t="shared" si="1"/>
        <v>qat#1988</v>
      </c>
      <c r="B12873" t="str">
        <f>IFERROR(__xludf.DUMMYFUNCTION("""COMPUTED_VALUE"""),"qat")</f>
        <v>qat</v>
      </c>
      <c r="C12873" t="str">
        <f>IFERROR(__xludf.DUMMYFUNCTION("""COMPUTED_VALUE"""),"Qatar")</f>
        <v>Qatar</v>
      </c>
      <c r="D12873">
        <f>IFERROR(__xludf.DUMMYFUNCTION("""COMPUTED_VALUE"""),1988.0)</f>
        <v>1988</v>
      </c>
      <c r="E12873">
        <f>IFERROR(__xludf.DUMMYFUNCTION("""COMPUTED_VALUE"""),443794.0)</f>
        <v>443794</v>
      </c>
    </row>
    <row r="12874">
      <c r="A12874" t="str">
        <f t="shared" si="1"/>
        <v>qat#1989</v>
      </c>
      <c r="B12874" t="str">
        <f>IFERROR(__xludf.DUMMYFUNCTION("""COMPUTED_VALUE"""),"qat")</f>
        <v>qat</v>
      </c>
      <c r="C12874" t="str">
        <f>IFERROR(__xludf.DUMMYFUNCTION("""COMPUTED_VALUE"""),"Qatar")</f>
        <v>Qatar</v>
      </c>
      <c r="D12874">
        <f>IFERROR(__xludf.DUMMYFUNCTION("""COMPUTED_VALUE"""),1989.0)</f>
        <v>1989</v>
      </c>
      <c r="E12874">
        <f>IFERROR(__xludf.DUMMYFUNCTION("""COMPUTED_VALUE"""),461870.0)</f>
        <v>461870</v>
      </c>
    </row>
    <row r="12875">
      <c r="A12875" t="str">
        <f t="shared" si="1"/>
        <v>qat#1990</v>
      </c>
      <c r="B12875" t="str">
        <f>IFERROR(__xludf.DUMMYFUNCTION("""COMPUTED_VALUE"""),"qat")</f>
        <v>qat</v>
      </c>
      <c r="C12875" t="str">
        <f>IFERROR(__xludf.DUMMYFUNCTION("""COMPUTED_VALUE"""),"Qatar")</f>
        <v>Qatar</v>
      </c>
      <c r="D12875">
        <f>IFERROR(__xludf.DUMMYFUNCTION("""COMPUTED_VALUE"""),1990.0)</f>
        <v>1990</v>
      </c>
      <c r="E12875">
        <f>IFERROR(__xludf.DUMMYFUNCTION("""COMPUTED_VALUE"""),476445.0)</f>
        <v>476445</v>
      </c>
    </row>
    <row r="12876">
      <c r="A12876" t="str">
        <f t="shared" si="1"/>
        <v>qat#1991</v>
      </c>
      <c r="B12876" t="str">
        <f>IFERROR(__xludf.DUMMYFUNCTION("""COMPUTED_VALUE"""),"qat")</f>
        <v>qat</v>
      </c>
      <c r="C12876" t="str">
        <f>IFERROR(__xludf.DUMMYFUNCTION("""COMPUTED_VALUE"""),"Qatar")</f>
        <v>Qatar</v>
      </c>
      <c r="D12876">
        <f>IFERROR(__xludf.DUMMYFUNCTION("""COMPUTED_VALUE"""),1991.0)</f>
        <v>1991</v>
      </c>
      <c r="E12876">
        <f>IFERROR(__xludf.DUMMYFUNCTION("""COMPUTED_VALUE"""),487491.0)</f>
        <v>487491</v>
      </c>
    </row>
    <row r="12877">
      <c r="A12877" t="str">
        <f t="shared" si="1"/>
        <v>qat#1992</v>
      </c>
      <c r="B12877" t="str">
        <f>IFERROR(__xludf.DUMMYFUNCTION("""COMPUTED_VALUE"""),"qat")</f>
        <v>qat</v>
      </c>
      <c r="C12877" t="str">
        <f>IFERROR(__xludf.DUMMYFUNCTION("""COMPUTED_VALUE"""),"Qatar")</f>
        <v>Qatar</v>
      </c>
      <c r="D12877">
        <f>IFERROR(__xludf.DUMMYFUNCTION("""COMPUTED_VALUE"""),1992.0)</f>
        <v>1992</v>
      </c>
      <c r="E12877">
        <f>IFERROR(__xludf.DUMMYFUNCTION("""COMPUTED_VALUE"""),495517.0)</f>
        <v>495517</v>
      </c>
    </row>
    <row r="12878">
      <c r="A12878" t="str">
        <f t="shared" si="1"/>
        <v>qat#1993</v>
      </c>
      <c r="B12878" t="str">
        <f>IFERROR(__xludf.DUMMYFUNCTION("""COMPUTED_VALUE"""),"qat")</f>
        <v>qat</v>
      </c>
      <c r="C12878" t="str">
        <f>IFERROR(__xludf.DUMMYFUNCTION("""COMPUTED_VALUE"""),"Qatar")</f>
        <v>Qatar</v>
      </c>
      <c r="D12878">
        <f>IFERROR(__xludf.DUMMYFUNCTION("""COMPUTED_VALUE"""),1993.0)</f>
        <v>1993</v>
      </c>
      <c r="E12878">
        <f>IFERROR(__xludf.DUMMYFUNCTION("""COMPUTED_VALUE"""),501566.0)</f>
        <v>501566</v>
      </c>
    </row>
    <row r="12879">
      <c r="A12879" t="str">
        <f t="shared" si="1"/>
        <v>qat#1994</v>
      </c>
      <c r="B12879" t="str">
        <f>IFERROR(__xludf.DUMMYFUNCTION("""COMPUTED_VALUE"""),"qat")</f>
        <v>qat</v>
      </c>
      <c r="C12879" t="str">
        <f>IFERROR(__xludf.DUMMYFUNCTION("""COMPUTED_VALUE"""),"Qatar")</f>
        <v>Qatar</v>
      </c>
      <c r="D12879">
        <f>IFERROR(__xludf.DUMMYFUNCTION("""COMPUTED_VALUE"""),1994.0)</f>
        <v>1994</v>
      </c>
      <c r="E12879">
        <f>IFERROR(__xludf.DUMMYFUNCTION("""COMPUTED_VALUE"""),507095.0)</f>
        <v>507095</v>
      </c>
    </row>
    <row r="12880">
      <c r="A12880" t="str">
        <f t="shared" si="1"/>
        <v>qat#1995</v>
      </c>
      <c r="B12880" t="str">
        <f>IFERROR(__xludf.DUMMYFUNCTION("""COMPUTED_VALUE"""),"qat")</f>
        <v>qat</v>
      </c>
      <c r="C12880" t="str">
        <f>IFERROR(__xludf.DUMMYFUNCTION("""COMPUTED_VALUE"""),"Qatar")</f>
        <v>Qatar</v>
      </c>
      <c r="D12880">
        <f>IFERROR(__xludf.DUMMYFUNCTION("""COMPUTED_VALUE"""),1995.0)</f>
        <v>1995</v>
      </c>
      <c r="E12880">
        <f>IFERROR(__xludf.DUMMYFUNCTION("""COMPUTED_VALUE"""),513455.0)</f>
        <v>513455</v>
      </c>
    </row>
    <row r="12881">
      <c r="A12881" t="str">
        <f t="shared" si="1"/>
        <v>qat#1996</v>
      </c>
      <c r="B12881" t="str">
        <f>IFERROR(__xludf.DUMMYFUNCTION("""COMPUTED_VALUE"""),"qat")</f>
        <v>qat</v>
      </c>
      <c r="C12881" t="str">
        <f>IFERROR(__xludf.DUMMYFUNCTION("""COMPUTED_VALUE"""),"Qatar")</f>
        <v>Qatar</v>
      </c>
      <c r="D12881">
        <f>IFERROR(__xludf.DUMMYFUNCTION("""COMPUTED_VALUE"""),1996.0)</f>
        <v>1996</v>
      </c>
      <c r="E12881">
        <f>IFERROR(__xludf.DUMMYFUNCTION("""COMPUTED_VALUE"""),522304.0)</f>
        <v>522304</v>
      </c>
    </row>
    <row r="12882">
      <c r="A12882" t="str">
        <f t="shared" si="1"/>
        <v>qat#1997</v>
      </c>
      <c r="B12882" t="str">
        <f>IFERROR(__xludf.DUMMYFUNCTION("""COMPUTED_VALUE"""),"qat")</f>
        <v>qat</v>
      </c>
      <c r="C12882" t="str">
        <f>IFERROR(__xludf.DUMMYFUNCTION("""COMPUTED_VALUE"""),"Qatar")</f>
        <v>Qatar</v>
      </c>
      <c r="D12882">
        <f>IFERROR(__xludf.DUMMYFUNCTION("""COMPUTED_VALUE"""),1997.0)</f>
        <v>1997</v>
      </c>
      <c r="E12882">
        <f>IFERROR(__xludf.DUMMYFUNCTION("""COMPUTED_VALUE"""),534608.0)</f>
        <v>534608</v>
      </c>
    </row>
    <row r="12883">
      <c r="A12883" t="str">
        <f t="shared" si="1"/>
        <v>qat#1998</v>
      </c>
      <c r="B12883" t="str">
        <f>IFERROR(__xludf.DUMMYFUNCTION("""COMPUTED_VALUE"""),"qat")</f>
        <v>qat</v>
      </c>
      <c r="C12883" t="str">
        <f>IFERROR(__xludf.DUMMYFUNCTION("""COMPUTED_VALUE"""),"Qatar")</f>
        <v>Qatar</v>
      </c>
      <c r="D12883">
        <f>IFERROR(__xludf.DUMMYFUNCTION("""COMPUTED_VALUE"""),1998.0)</f>
        <v>1998</v>
      </c>
      <c r="E12883">
        <f>IFERROR(__xludf.DUMMYFUNCTION("""COMPUTED_VALUE"""),550430.0)</f>
        <v>550430</v>
      </c>
    </row>
    <row r="12884">
      <c r="A12884" t="str">
        <f t="shared" si="1"/>
        <v>qat#1999</v>
      </c>
      <c r="B12884" t="str">
        <f>IFERROR(__xludf.DUMMYFUNCTION("""COMPUTED_VALUE"""),"qat")</f>
        <v>qat</v>
      </c>
      <c r="C12884" t="str">
        <f>IFERROR(__xludf.DUMMYFUNCTION("""COMPUTED_VALUE"""),"Qatar")</f>
        <v>Qatar</v>
      </c>
      <c r="D12884">
        <f>IFERROR(__xludf.DUMMYFUNCTION("""COMPUTED_VALUE"""),1999.0)</f>
        <v>1999</v>
      </c>
      <c r="E12884">
        <f>IFERROR(__xludf.DUMMYFUNCTION("""COMPUTED_VALUE"""),569447.0)</f>
        <v>569447</v>
      </c>
    </row>
    <row r="12885">
      <c r="A12885" t="str">
        <f t="shared" si="1"/>
        <v>qat#2000</v>
      </c>
      <c r="B12885" t="str">
        <f>IFERROR(__xludf.DUMMYFUNCTION("""COMPUTED_VALUE"""),"qat")</f>
        <v>qat</v>
      </c>
      <c r="C12885" t="str">
        <f>IFERROR(__xludf.DUMMYFUNCTION("""COMPUTED_VALUE"""),"Qatar")</f>
        <v>Qatar</v>
      </c>
      <c r="D12885">
        <f>IFERROR(__xludf.DUMMYFUNCTION("""COMPUTED_VALUE"""),2000.0)</f>
        <v>2000</v>
      </c>
      <c r="E12885">
        <f>IFERROR(__xludf.DUMMYFUNCTION("""COMPUTED_VALUE"""),592267.0)</f>
        <v>592267</v>
      </c>
    </row>
    <row r="12886">
      <c r="A12886" t="str">
        <f t="shared" si="1"/>
        <v>qat#2001</v>
      </c>
      <c r="B12886" t="str">
        <f>IFERROR(__xludf.DUMMYFUNCTION("""COMPUTED_VALUE"""),"qat")</f>
        <v>qat</v>
      </c>
      <c r="C12886" t="str">
        <f>IFERROR(__xludf.DUMMYFUNCTION("""COMPUTED_VALUE"""),"Qatar")</f>
        <v>Qatar</v>
      </c>
      <c r="D12886">
        <f>IFERROR(__xludf.DUMMYFUNCTION("""COMPUTED_VALUE"""),2001.0)</f>
        <v>2001</v>
      </c>
      <c r="E12886">
        <f>IFERROR(__xludf.DUMMYFUNCTION("""COMPUTED_VALUE"""),616886.0)</f>
        <v>616886</v>
      </c>
    </row>
    <row r="12887">
      <c r="A12887" t="str">
        <f t="shared" si="1"/>
        <v>qat#2002</v>
      </c>
      <c r="B12887" t="str">
        <f>IFERROR(__xludf.DUMMYFUNCTION("""COMPUTED_VALUE"""),"qat")</f>
        <v>qat</v>
      </c>
      <c r="C12887" t="str">
        <f>IFERROR(__xludf.DUMMYFUNCTION("""COMPUTED_VALUE"""),"Qatar")</f>
        <v>Qatar</v>
      </c>
      <c r="D12887">
        <f>IFERROR(__xludf.DUMMYFUNCTION("""COMPUTED_VALUE"""),2002.0)</f>
        <v>2002</v>
      </c>
      <c r="E12887">
        <f>IFERROR(__xludf.DUMMYFUNCTION("""COMPUTED_VALUE"""),645659.0)</f>
        <v>645659</v>
      </c>
    </row>
    <row r="12888">
      <c r="A12888" t="str">
        <f t="shared" si="1"/>
        <v>qat#2003</v>
      </c>
      <c r="B12888" t="str">
        <f>IFERROR(__xludf.DUMMYFUNCTION("""COMPUTED_VALUE"""),"qat")</f>
        <v>qat</v>
      </c>
      <c r="C12888" t="str">
        <f>IFERROR(__xludf.DUMMYFUNCTION("""COMPUTED_VALUE"""),"Qatar")</f>
        <v>Qatar</v>
      </c>
      <c r="D12888">
        <f>IFERROR(__xludf.DUMMYFUNCTION("""COMPUTED_VALUE"""),2003.0)</f>
        <v>2003</v>
      </c>
      <c r="E12888">
        <f>IFERROR(__xludf.DUMMYFUNCTION("""COMPUTED_VALUE"""),688586.0)</f>
        <v>688586</v>
      </c>
    </row>
    <row r="12889">
      <c r="A12889" t="str">
        <f t="shared" si="1"/>
        <v>qat#2004</v>
      </c>
      <c r="B12889" t="str">
        <f>IFERROR(__xludf.DUMMYFUNCTION("""COMPUTED_VALUE"""),"qat")</f>
        <v>qat</v>
      </c>
      <c r="C12889" t="str">
        <f>IFERROR(__xludf.DUMMYFUNCTION("""COMPUTED_VALUE"""),"Qatar")</f>
        <v>Qatar</v>
      </c>
      <c r="D12889">
        <f>IFERROR(__xludf.DUMMYFUNCTION("""COMPUTED_VALUE"""),2004.0)</f>
        <v>2004</v>
      </c>
      <c r="E12889">
        <f>IFERROR(__xludf.DUMMYFUNCTION("""COMPUTED_VALUE"""),758855.0)</f>
        <v>758855</v>
      </c>
    </row>
    <row r="12890">
      <c r="A12890" t="str">
        <f t="shared" si="1"/>
        <v>qat#2005</v>
      </c>
      <c r="B12890" t="str">
        <f>IFERROR(__xludf.DUMMYFUNCTION("""COMPUTED_VALUE"""),"qat")</f>
        <v>qat</v>
      </c>
      <c r="C12890" t="str">
        <f>IFERROR(__xludf.DUMMYFUNCTION("""COMPUTED_VALUE"""),"Qatar")</f>
        <v>Qatar</v>
      </c>
      <c r="D12890">
        <f>IFERROR(__xludf.DUMMYFUNCTION("""COMPUTED_VALUE"""),2005.0)</f>
        <v>2005</v>
      </c>
      <c r="E12890">
        <f>IFERROR(__xludf.DUMMYFUNCTION("""COMPUTED_VALUE"""),864863.0)</f>
        <v>864863</v>
      </c>
    </row>
    <row r="12891">
      <c r="A12891" t="str">
        <f t="shared" si="1"/>
        <v>qat#2006</v>
      </c>
      <c r="B12891" t="str">
        <f>IFERROR(__xludf.DUMMYFUNCTION("""COMPUTED_VALUE"""),"qat")</f>
        <v>qat</v>
      </c>
      <c r="C12891" t="str">
        <f>IFERROR(__xludf.DUMMYFUNCTION("""COMPUTED_VALUE"""),"Qatar")</f>
        <v>Qatar</v>
      </c>
      <c r="D12891">
        <f>IFERROR(__xludf.DUMMYFUNCTION("""COMPUTED_VALUE"""),2006.0)</f>
        <v>2006</v>
      </c>
      <c r="E12891">
        <f>IFERROR(__xludf.DUMMYFUNCTION("""COMPUTED_VALUE"""),1010382.0)</f>
        <v>1010382</v>
      </c>
    </row>
    <row r="12892">
      <c r="A12892" t="str">
        <f t="shared" si="1"/>
        <v>qat#2007</v>
      </c>
      <c r="B12892" t="str">
        <f>IFERROR(__xludf.DUMMYFUNCTION("""COMPUTED_VALUE"""),"qat")</f>
        <v>qat</v>
      </c>
      <c r="C12892" t="str">
        <f>IFERROR(__xludf.DUMMYFUNCTION("""COMPUTED_VALUE"""),"Qatar")</f>
        <v>Qatar</v>
      </c>
      <c r="D12892">
        <f>IFERROR(__xludf.DUMMYFUNCTION("""COMPUTED_VALUE"""),2007.0)</f>
        <v>2007</v>
      </c>
      <c r="E12892">
        <f>IFERROR(__xludf.DUMMYFUNCTION("""COMPUTED_VALUE"""),1189633.0)</f>
        <v>1189633</v>
      </c>
    </row>
    <row r="12893">
      <c r="A12893" t="str">
        <f t="shared" si="1"/>
        <v>qat#2008</v>
      </c>
      <c r="B12893" t="str">
        <f>IFERROR(__xludf.DUMMYFUNCTION("""COMPUTED_VALUE"""),"qat")</f>
        <v>qat</v>
      </c>
      <c r="C12893" t="str">
        <f>IFERROR(__xludf.DUMMYFUNCTION("""COMPUTED_VALUE"""),"Qatar")</f>
        <v>Qatar</v>
      </c>
      <c r="D12893">
        <f>IFERROR(__xludf.DUMMYFUNCTION("""COMPUTED_VALUE"""),2008.0)</f>
        <v>2008</v>
      </c>
      <c r="E12893">
        <f>IFERROR(__xludf.DUMMYFUNCTION("""COMPUTED_VALUE"""),1389342.0)</f>
        <v>1389342</v>
      </c>
    </row>
    <row r="12894">
      <c r="A12894" t="str">
        <f t="shared" si="1"/>
        <v>qat#2009</v>
      </c>
      <c r="B12894" t="str">
        <f>IFERROR(__xludf.DUMMYFUNCTION("""COMPUTED_VALUE"""),"qat")</f>
        <v>qat</v>
      </c>
      <c r="C12894" t="str">
        <f>IFERROR(__xludf.DUMMYFUNCTION("""COMPUTED_VALUE"""),"Qatar")</f>
        <v>Qatar</v>
      </c>
      <c r="D12894">
        <f>IFERROR(__xludf.DUMMYFUNCTION("""COMPUTED_VALUE"""),2009.0)</f>
        <v>2009</v>
      </c>
      <c r="E12894">
        <f>IFERROR(__xludf.DUMMYFUNCTION("""COMPUTED_VALUE"""),1590780.0)</f>
        <v>1590780</v>
      </c>
    </row>
    <row r="12895">
      <c r="A12895" t="str">
        <f t="shared" si="1"/>
        <v>qat#2010</v>
      </c>
      <c r="B12895" t="str">
        <f>IFERROR(__xludf.DUMMYFUNCTION("""COMPUTED_VALUE"""),"qat")</f>
        <v>qat</v>
      </c>
      <c r="C12895" t="str">
        <f>IFERROR(__xludf.DUMMYFUNCTION("""COMPUTED_VALUE"""),"Qatar")</f>
        <v>Qatar</v>
      </c>
      <c r="D12895">
        <f>IFERROR(__xludf.DUMMYFUNCTION("""COMPUTED_VALUE"""),2010.0)</f>
        <v>2010</v>
      </c>
      <c r="E12895">
        <f>IFERROR(__xludf.DUMMYFUNCTION("""COMPUTED_VALUE"""),1779676.0)</f>
        <v>1779676</v>
      </c>
    </row>
    <row r="12896">
      <c r="A12896" t="str">
        <f t="shared" si="1"/>
        <v>qat#2011</v>
      </c>
      <c r="B12896" t="str">
        <f>IFERROR(__xludf.DUMMYFUNCTION("""COMPUTED_VALUE"""),"qat")</f>
        <v>qat</v>
      </c>
      <c r="C12896" t="str">
        <f>IFERROR(__xludf.DUMMYFUNCTION("""COMPUTED_VALUE"""),"Qatar")</f>
        <v>Qatar</v>
      </c>
      <c r="D12896">
        <f>IFERROR(__xludf.DUMMYFUNCTION("""COMPUTED_VALUE"""),2011.0)</f>
        <v>2011</v>
      </c>
      <c r="E12896">
        <f>IFERROR(__xludf.DUMMYFUNCTION("""COMPUTED_VALUE"""),1952054.0)</f>
        <v>1952054</v>
      </c>
    </row>
    <row r="12897">
      <c r="A12897" t="str">
        <f t="shared" si="1"/>
        <v>qat#2012</v>
      </c>
      <c r="B12897" t="str">
        <f>IFERROR(__xludf.DUMMYFUNCTION("""COMPUTED_VALUE"""),"qat")</f>
        <v>qat</v>
      </c>
      <c r="C12897" t="str">
        <f>IFERROR(__xludf.DUMMYFUNCTION("""COMPUTED_VALUE"""),"Qatar")</f>
        <v>Qatar</v>
      </c>
      <c r="D12897">
        <f>IFERROR(__xludf.DUMMYFUNCTION("""COMPUTED_VALUE"""),2012.0)</f>
        <v>2012</v>
      </c>
      <c r="E12897">
        <f>IFERROR(__xludf.DUMMYFUNCTION("""COMPUTED_VALUE"""),2109568.0)</f>
        <v>2109568</v>
      </c>
    </row>
    <row r="12898">
      <c r="A12898" t="str">
        <f t="shared" si="1"/>
        <v>qat#2013</v>
      </c>
      <c r="B12898" t="str">
        <f>IFERROR(__xludf.DUMMYFUNCTION("""COMPUTED_VALUE"""),"qat")</f>
        <v>qat</v>
      </c>
      <c r="C12898" t="str">
        <f>IFERROR(__xludf.DUMMYFUNCTION("""COMPUTED_VALUE"""),"Qatar")</f>
        <v>Qatar</v>
      </c>
      <c r="D12898">
        <f>IFERROR(__xludf.DUMMYFUNCTION("""COMPUTED_VALUE"""),2013.0)</f>
        <v>2013</v>
      </c>
      <c r="E12898">
        <f>IFERROR(__xludf.DUMMYFUNCTION("""COMPUTED_VALUE"""),2250473.0)</f>
        <v>2250473</v>
      </c>
    </row>
    <row r="12899">
      <c r="A12899" t="str">
        <f t="shared" si="1"/>
        <v>qat#2014</v>
      </c>
      <c r="B12899" t="str">
        <f>IFERROR(__xludf.DUMMYFUNCTION("""COMPUTED_VALUE"""),"qat")</f>
        <v>qat</v>
      </c>
      <c r="C12899" t="str">
        <f>IFERROR(__xludf.DUMMYFUNCTION("""COMPUTED_VALUE"""),"Qatar")</f>
        <v>Qatar</v>
      </c>
      <c r="D12899">
        <f>IFERROR(__xludf.DUMMYFUNCTION("""COMPUTED_VALUE"""),2014.0)</f>
        <v>2014</v>
      </c>
      <c r="E12899">
        <f>IFERROR(__xludf.DUMMYFUNCTION("""COMPUTED_VALUE"""),2374419.0)</f>
        <v>2374419</v>
      </c>
    </row>
    <row r="12900">
      <c r="A12900" t="str">
        <f t="shared" si="1"/>
        <v>qat#2015</v>
      </c>
      <c r="B12900" t="str">
        <f>IFERROR(__xludf.DUMMYFUNCTION("""COMPUTED_VALUE"""),"qat")</f>
        <v>qat</v>
      </c>
      <c r="C12900" t="str">
        <f>IFERROR(__xludf.DUMMYFUNCTION("""COMPUTED_VALUE"""),"Qatar")</f>
        <v>Qatar</v>
      </c>
      <c r="D12900">
        <f>IFERROR(__xludf.DUMMYFUNCTION("""COMPUTED_VALUE"""),2015.0)</f>
        <v>2015</v>
      </c>
      <c r="E12900">
        <f>IFERROR(__xludf.DUMMYFUNCTION("""COMPUTED_VALUE"""),2481539.0)</f>
        <v>2481539</v>
      </c>
    </row>
    <row r="12901">
      <c r="A12901" t="str">
        <f t="shared" si="1"/>
        <v>qat#2016</v>
      </c>
      <c r="B12901" t="str">
        <f>IFERROR(__xludf.DUMMYFUNCTION("""COMPUTED_VALUE"""),"qat")</f>
        <v>qat</v>
      </c>
      <c r="C12901" t="str">
        <f>IFERROR(__xludf.DUMMYFUNCTION("""COMPUTED_VALUE"""),"Qatar")</f>
        <v>Qatar</v>
      </c>
      <c r="D12901">
        <f>IFERROR(__xludf.DUMMYFUNCTION("""COMPUTED_VALUE"""),2016.0)</f>
        <v>2016</v>
      </c>
      <c r="E12901">
        <f>IFERROR(__xludf.DUMMYFUNCTION("""COMPUTED_VALUE"""),2569804.0)</f>
        <v>2569804</v>
      </c>
    </row>
    <row r="12902">
      <c r="A12902" t="str">
        <f t="shared" si="1"/>
        <v>qat#2017</v>
      </c>
      <c r="B12902" t="str">
        <f>IFERROR(__xludf.DUMMYFUNCTION("""COMPUTED_VALUE"""),"qat")</f>
        <v>qat</v>
      </c>
      <c r="C12902" t="str">
        <f>IFERROR(__xludf.DUMMYFUNCTION("""COMPUTED_VALUE"""),"Qatar")</f>
        <v>Qatar</v>
      </c>
      <c r="D12902">
        <f>IFERROR(__xludf.DUMMYFUNCTION("""COMPUTED_VALUE"""),2017.0)</f>
        <v>2017</v>
      </c>
      <c r="E12902">
        <f>IFERROR(__xludf.DUMMYFUNCTION("""COMPUTED_VALUE"""),2639211.0)</f>
        <v>2639211</v>
      </c>
    </row>
    <row r="12903">
      <c r="A12903" t="str">
        <f t="shared" si="1"/>
        <v>qat#2018</v>
      </c>
      <c r="B12903" t="str">
        <f>IFERROR(__xludf.DUMMYFUNCTION("""COMPUTED_VALUE"""),"qat")</f>
        <v>qat</v>
      </c>
      <c r="C12903" t="str">
        <f>IFERROR(__xludf.DUMMYFUNCTION("""COMPUTED_VALUE"""),"Qatar")</f>
        <v>Qatar</v>
      </c>
      <c r="D12903">
        <f>IFERROR(__xludf.DUMMYFUNCTION("""COMPUTED_VALUE"""),2018.0)</f>
        <v>2018</v>
      </c>
      <c r="E12903">
        <f>IFERROR(__xludf.DUMMYFUNCTION("""COMPUTED_VALUE"""),2694849.0)</f>
        <v>2694849</v>
      </c>
    </row>
    <row r="12904">
      <c r="A12904" t="str">
        <f t="shared" si="1"/>
        <v>qat#2019</v>
      </c>
      <c r="B12904" t="str">
        <f>IFERROR(__xludf.DUMMYFUNCTION("""COMPUTED_VALUE"""),"qat")</f>
        <v>qat</v>
      </c>
      <c r="C12904" t="str">
        <f>IFERROR(__xludf.DUMMYFUNCTION("""COMPUTED_VALUE"""),"Qatar")</f>
        <v>Qatar</v>
      </c>
      <c r="D12904">
        <f>IFERROR(__xludf.DUMMYFUNCTION("""COMPUTED_VALUE"""),2019.0)</f>
        <v>2019</v>
      </c>
      <c r="E12904">
        <f>IFERROR(__xludf.DUMMYFUNCTION("""COMPUTED_VALUE"""),2743901.0)</f>
        <v>2743901</v>
      </c>
    </row>
    <row r="12905">
      <c r="A12905" t="str">
        <f t="shared" si="1"/>
        <v>qat#2020</v>
      </c>
      <c r="B12905" t="str">
        <f>IFERROR(__xludf.DUMMYFUNCTION("""COMPUTED_VALUE"""),"qat")</f>
        <v>qat</v>
      </c>
      <c r="C12905" t="str">
        <f>IFERROR(__xludf.DUMMYFUNCTION("""COMPUTED_VALUE"""),"Qatar")</f>
        <v>Qatar</v>
      </c>
      <c r="D12905">
        <f>IFERROR(__xludf.DUMMYFUNCTION("""COMPUTED_VALUE"""),2020.0)</f>
        <v>2020</v>
      </c>
      <c r="E12905">
        <f>IFERROR(__xludf.DUMMYFUNCTION("""COMPUTED_VALUE"""),2791807.0)</f>
        <v>2791807</v>
      </c>
    </row>
    <row r="12906">
      <c r="A12906" t="str">
        <f t="shared" si="1"/>
        <v>qat#2021</v>
      </c>
      <c r="B12906" t="str">
        <f>IFERROR(__xludf.DUMMYFUNCTION("""COMPUTED_VALUE"""),"qat")</f>
        <v>qat</v>
      </c>
      <c r="C12906" t="str">
        <f>IFERROR(__xludf.DUMMYFUNCTION("""COMPUTED_VALUE"""),"Qatar")</f>
        <v>Qatar</v>
      </c>
      <c r="D12906">
        <f>IFERROR(__xludf.DUMMYFUNCTION("""COMPUTED_VALUE"""),2021.0)</f>
        <v>2021</v>
      </c>
      <c r="E12906">
        <f>IFERROR(__xludf.DUMMYFUNCTION("""COMPUTED_VALUE"""),2840398.0)</f>
        <v>2840398</v>
      </c>
    </row>
    <row r="12907">
      <c r="A12907" t="str">
        <f t="shared" si="1"/>
        <v>qat#2022</v>
      </c>
      <c r="B12907" t="str">
        <f>IFERROR(__xludf.DUMMYFUNCTION("""COMPUTED_VALUE"""),"qat")</f>
        <v>qat</v>
      </c>
      <c r="C12907" t="str">
        <f>IFERROR(__xludf.DUMMYFUNCTION("""COMPUTED_VALUE"""),"Qatar")</f>
        <v>Qatar</v>
      </c>
      <c r="D12907">
        <f>IFERROR(__xludf.DUMMYFUNCTION("""COMPUTED_VALUE"""),2022.0)</f>
        <v>2022</v>
      </c>
      <c r="E12907">
        <f>IFERROR(__xludf.DUMMYFUNCTION("""COMPUTED_VALUE"""),2888936.0)</f>
        <v>2888936</v>
      </c>
    </row>
    <row r="12908">
      <c r="A12908" t="str">
        <f t="shared" si="1"/>
        <v>qat#2023</v>
      </c>
      <c r="B12908" t="str">
        <f>IFERROR(__xludf.DUMMYFUNCTION("""COMPUTED_VALUE"""),"qat")</f>
        <v>qat</v>
      </c>
      <c r="C12908" t="str">
        <f>IFERROR(__xludf.DUMMYFUNCTION("""COMPUTED_VALUE"""),"Qatar")</f>
        <v>Qatar</v>
      </c>
      <c r="D12908">
        <f>IFERROR(__xludf.DUMMYFUNCTION("""COMPUTED_VALUE"""),2023.0)</f>
        <v>2023</v>
      </c>
      <c r="E12908">
        <f>IFERROR(__xludf.DUMMYFUNCTION("""COMPUTED_VALUE"""),2937159.0)</f>
        <v>2937159</v>
      </c>
    </row>
    <row r="12909">
      <c r="A12909" t="str">
        <f t="shared" si="1"/>
        <v>qat#2024</v>
      </c>
      <c r="B12909" t="str">
        <f>IFERROR(__xludf.DUMMYFUNCTION("""COMPUTED_VALUE"""),"qat")</f>
        <v>qat</v>
      </c>
      <c r="C12909" t="str">
        <f>IFERROR(__xludf.DUMMYFUNCTION("""COMPUTED_VALUE"""),"Qatar")</f>
        <v>Qatar</v>
      </c>
      <c r="D12909">
        <f>IFERROR(__xludf.DUMMYFUNCTION("""COMPUTED_VALUE"""),2024.0)</f>
        <v>2024</v>
      </c>
      <c r="E12909">
        <f>IFERROR(__xludf.DUMMYFUNCTION("""COMPUTED_VALUE"""),2983958.0)</f>
        <v>2983958</v>
      </c>
    </row>
    <row r="12910">
      <c r="A12910" t="str">
        <f t="shared" si="1"/>
        <v>qat#2025</v>
      </c>
      <c r="B12910" t="str">
        <f>IFERROR(__xludf.DUMMYFUNCTION("""COMPUTED_VALUE"""),"qat")</f>
        <v>qat</v>
      </c>
      <c r="C12910" t="str">
        <f>IFERROR(__xludf.DUMMYFUNCTION("""COMPUTED_VALUE"""),"Qatar")</f>
        <v>Qatar</v>
      </c>
      <c r="D12910">
        <f>IFERROR(__xludf.DUMMYFUNCTION("""COMPUTED_VALUE"""),2025.0)</f>
        <v>2025</v>
      </c>
      <c r="E12910">
        <f>IFERROR(__xludf.DUMMYFUNCTION("""COMPUTED_VALUE"""),3028568.0)</f>
        <v>3028568</v>
      </c>
    </row>
    <row r="12911">
      <c r="A12911" t="str">
        <f t="shared" si="1"/>
        <v>qat#2026</v>
      </c>
      <c r="B12911" t="str">
        <f>IFERROR(__xludf.DUMMYFUNCTION("""COMPUTED_VALUE"""),"qat")</f>
        <v>qat</v>
      </c>
      <c r="C12911" t="str">
        <f>IFERROR(__xludf.DUMMYFUNCTION("""COMPUTED_VALUE"""),"Qatar")</f>
        <v>Qatar</v>
      </c>
      <c r="D12911">
        <f>IFERROR(__xludf.DUMMYFUNCTION("""COMPUTED_VALUE"""),2026.0)</f>
        <v>2026</v>
      </c>
      <c r="E12911">
        <f>IFERROR(__xludf.DUMMYFUNCTION("""COMPUTED_VALUE"""),3071417.0)</f>
        <v>3071417</v>
      </c>
    </row>
    <row r="12912">
      <c r="A12912" t="str">
        <f t="shared" si="1"/>
        <v>qat#2027</v>
      </c>
      <c r="B12912" t="str">
        <f>IFERROR(__xludf.DUMMYFUNCTION("""COMPUTED_VALUE"""),"qat")</f>
        <v>qat</v>
      </c>
      <c r="C12912" t="str">
        <f>IFERROR(__xludf.DUMMYFUNCTION("""COMPUTED_VALUE"""),"Qatar")</f>
        <v>Qatar</v>
      </c>
      <c r="D12912">
        <f>IFERROR(__xludf.DUMMYFUNCTION("""COMPUTED_VALUE"""),2027.0)</f>
        <v>2027</v>
      </c>
      <c r="E12912">
        <f>IFERROR(__xludf.DUMMYFUNCTION("""COMPUTED_VALUE"""),3113299.0)</f>
        <v>3113299</v>
      </c>
    </row>
    <row r="12913">
      <c r="A12913" t="str">
        <f t="shared" si="1"/>
        <v>qat#2028</v>
      </c>
      <c r="B12913" t="str">
        <f>IFERROR(__xludf.DUMMYFUNCTION("""COMPUTED_VALUE"""),"qat")</f>
        <v>qat</v>
      </c>
      <c r="C12913" t="str">
        <f>IFERROR(__xludf.DUMMYFUNCTION("""COMPUTED_VALUE"""),"Qatar")</f>
        <v>Qatar</v>
      </c>
      <c r="D12913">
        <f>IFERROR(__xludf.DUMMYFUNCTION("""COMPUTED_VALUE"""),2028.0)</f>
        <v>2028</v>
      </c>
      <c r="E12913">
        <f>IFERROR(__xludf.DUMMYFUNCTION("""COMPUTED_VALUE"""),3154139.0)</f>
        <v>3154139</v>
      </c>
    </row>
    <row r="12914">
      <c r="A12914" t="str">
        <f t="shared" si="1"/>
        <v>qat#2029</v>
      </c>
      <c r="B12914" t="str">
        <f>IFERROR(__xludf.DUMMYFUNCTION("""COMPUTED_VALUE"""),"qat")</f>
        <v>qat</v>
      </c>
      <c r="C12914" t="str">
        <f>IFERROR(__xludf.DUMMYFUNCTION("""COMPUTED_VALUE"""),"Qatar")</f>
        <v>Qatar</v>
      </c>
      <c r="D12914">
        <f>IFERROR(__xludf.DUMMYFUNCTION("""COMPUTED_VALUE"""),2029.0)</f>
        <v>2029</v>
      </c>
      <c r="E12914">
        <f>IFERROR(__xludf.DUMMYFUNCTION("""COMPUTED_VALUE"""),3193723.0)</f>
        <v>3193723</v>
      </c>
    </row>
    <row r="12915">
      <c r="A12915" t="str">
        <f t="shared" si="1"/>
        <v>qat#2030</v>
      </c>
      <c r="B12915" t="str">
        <f>IFERROR(__xludf.DUMMYFUNCTION("""COMPUTED_VALUE"""),"qat")</f>
        <v>qat</v>
      </c>
      <c r="C12915" t="str">
        <f>IFERROR(__xludf.DUMMYFUNCTION("""COMPUTED_VALUE"""),"Qatar")</f>
        <v>Qatar</v>
      </c>
      <c r="D12915">
        <f>IFERROR(__xludf.DUMMYFUNCTION("""COMPUTED_VALUE"""),2030.0)</f>
        <v>2030</v>
      </c>
      <c r="E12915">
        <f>IFERROR(__xludf.DUMMYFUNCTION("""COMPUTED_VALUE"""),3231911.0)</f>
        <v>3231911</v>
      </c>
    </row>
    <row r="12916">
      <c r="A12916" t="str">
        <f t="shared" si="1"/>
        <v>qat#2031</v>
      </c>
      <c r="B12916" t="str">
        <f>IFERROR(__xludf.DUMMYFUNCTION("""COMPUTED_VALUE"""),"qat")</f>
        <v>qat</v>
      </c>
      <c r="C12916" t="str">
        <f>IFERROR(__xludf.DUMMYFUNCTION("""COMPUTED_VALUE"""),"Qatar")</f>
        <v>Qatar</v>
      </c>
      <c r="D12916">
        <f>IFERROR(__xludf.DUMMYFUNCTION("""COMPUTED_VALUE"""),2031.0)</f>
        <v>2031</v>
      </c>
      <c r="E12916">
        <f>IFERROR(__xludf.DUMMYFUNCTION("""COMPUTED_VALUE"""),3268801.0)</f>
        <v>3268801</v>
      </c>
    </row>
    <row r="12917">
      <c r="A12917" t="str">
        <f t="shared" si="1"/>
        <v>qat#2032</v>
      </c>
      <c r="B12917" t="str">
        <f>IFERROR(__xludf.DUMMYFUNCTION("""COMPUTED_VALUE"""),"qat")</f>
        <v>qat</v>
      </c>
      <c r="C12917" t="str">
        <f>IFERROR(__xludf.DUMMYFUNCTION("""COMPUTED_VALUE"""),"Qatar")</f>
        <v>Qatar</v>
      </c>
      <c r="D12917">
        <f>IFERROR(__xludf.DUMMYFUNCTION("""COMPUTED_VALUE"""),2032.0)</f>
        <v>2032</v>
      </c>
      <c r="E12917">
        <f>IFERROR(__xludf.DUMMYFUNCTION("""COMPUTED_VALUE"""),3304486.0)</f>
        <v>3304486</v>
      </c>
    </row>
    <row r="12918">
      <c r="A12918" t="str">
        <f t="shared" si="1"/>
        <v>qat#2033</v>
      </c>
      <c r="B12918" t="str">
        <f>IFERROR(__xludf.DUMMYFUNCTION("""COMPUTED_VALUE"""),"qat")</f>
        <v>qat</v>
      </c>
      <c r="C12918" t="str">
        <f>IFERROR(__xludf.DUMMYFUNCTION("""COMPUTED_VALUE"""),"Qatar")</f>
        <v>Qatar</v>
      </c>
      <c r="D12918">
        <f>IFERROR(__xludf.DUMMYFUNCTION("""COMPUTED_VALUE"""),2033.0)</f>
        <v>2033</v>
      </c>
      <c r="E12918">
        <f>IFERROR(__xludf.DUMMYFUNCTION("""COMPUTED_VALUE"""),3338809.0)</f>
        <v>3338809</v>
      </c>
    </row>
    <row r="12919">
      <c r="A12919" t="str">
        <f t="shared" si="1"/>
        <v>qat#2034</v>
      </c>
      <c r="B12919" t="str">
        <f>IFERROR(__xludf.DUMMYFUNCTION("""COMPUTED_VALUE"""),"qat")</f>
        <v>qat</v>
      </c>
      <c r="C12919" t="str">
        <f>IFERROR(__xludf.DUMMYFUNCTION("""COMPUTED_VALUE"""),"Qatar")</f>
        <v>Qatar</v>
      </c>
      <c r="D12919">
        <f>IFERROR(__xludf.DUMMYFUNCTION("""COMPUTED_VALUE"""),2034.0)</f>
        <v>2034</v>
      </c>
      <c r="E12919">
        <f>IFERROR(__xludf.DUMMYFUNCTION("""COMPUTED_VALUE"""),3371523.0)</f>
        <v>3371523</v>
      </c>
    </row>
    <row r="12920">
      <c r="A12920" t="str">
        <f t="shared" si="1"/>
        <v>qat#2035</v>
      </c>
      <c r="B12920" t="str">
        <f>IFERROR(__xludf.DUMMYFUNCTION("""COMPUTED_VALUE"""),"qat")</f>
        <v>qat</v>
      </c>
      <c r="C12920" t="str">
        <f>IFERROR(__xludf.DUMMYFUNCTION("""COMPUTED_VALUE"""),"Qatar")</f>
        <v>Qatar</v>
      </c>
      <c r="D12920">
        <f>IFERROR(__xludf.DUMMYFUNCTION("""COMPUTED_VALUE"""),2035.0)</f>
        <v>2035</v>
      </c>
      <c r="E12920">
        <f>IFERROR(__xludf.DUMMYFUNCTION("""COMPUTED_VALUE"""),3402497.0)</f>
        <v>3402497</v>
      </c>
    </row>
    <row r="12921">
      <c r="A12921" t="str">
        <f t="shared" si="1"/>
        <v>qat#2036</v>
      </c>
      <c r="B12921" t="str">
        <f>IFERROR(__xludf.DUMMYFUNCTION("""COMPUTED_VALUE"""),"qat")</f>
        <v>qat</v>
      </c>
      <c r="C12921" t="str">
        <f>IFERROR(__xludf.DUMMYFUNCTION("""COMPUTED_VALUE"""),"Qatar")</f>
        <v>Qatar</v>
      </c>
      <c r="D12921">
        <f>IFERROR(__xludf.DUMMYFUNCTION("""COMPUTED_VALUE"""),2036.0)</f>
        <v>2036</v>
      </c>
      <c r="E12921">
        <f>IFERROR(__xludf.DUMMYFUNCTION("""COMPUTED_VALUE"""),3431674.0)</f>
        <v>3431674</v>
      </c>
    </row>
    <row r="12922">
      <c r="A12922" t="str">
        <f t="shared" si="1"/>
        <v>qat#2037</v>
      </c>
      <c r="B12922" t="str">
        <f>IFERROR(__xludf.DUMMYFUNCTION("""COMPUTED_VALUE"""),"qat")</f>
        <v>qat</v>
      </c>
      <c r="C12922" t="str">
        <f>IFERROR(__xludf.DUMMYFUNCTION("""COMPUTED_VALUE"""),"Qatar")</f>
        <v>Qatar</v>
      </c>
      <c r="D12922">
        <f>IFERROR(__xludf.DUMMYFUNCTION("""COMPUTED_VALUE"""),2037.0)</f>
        <v>2037</v>
      </c>
      <c r="E12922">
        <f>IFERROR(__xludf.DUMMYFUNCTION("""COMPUTED_VALUE"""),3459217.0)</f>
        <v>3459217</v>
      </c>
    </row>
    <row r="12923">
      <c r="A12923" t="str">
        <f t="shared" si="1"/>
        <v>qat#2038</v>
      </c>
      <c r="B12923" t="str">
        <f>IFERROR(__xludf.DUMMYFUNCTION("""COMPUTED_VALUE"""),"qat")</f>
        <v>qat</v>
      </c>
      <c r="C12923" t="str">
        <f>IFERROR(__xludf.DUMMYFUNCTION("""COMPUTED_VALUE"""),"Qatar")</f>
        <v>Qatar</v>
      </c>
      <c r="D12923">
        <f>IFERROR(__xludf.DUMMYFUNCTION("""COMPUTED_VALUE"""),2038.0)</f>
        <v>2038</v>
      </c>
      <c r="E12923">
        <f>IFERROR(__xludf.DUMMYFUNCTION("""COMPUTED_VALUE"""),3485543.0)</f>
        <v>3485543</v>
      </c>
    </row>
    <row r="12924">
      <c r="A12924" t="str">
        <f t="shared" si="1"/>
        <v>qat#2039</v>
      </c>
      <c r="B12924" t="str">
        <f>IFERROR(__xludf.DUMMYFUNCTION("""COMPUTED_VALUE"""),"qat")</f>
        <v>qat</v>
      </c>
      <c r="C12924" t="str">
        <f>IFERROR(__xludf.DUMMYFUNCTION("""COMPUTED_VALUE"""),"Qatar")</f>
        <v>Qatar</v>
      </c>
      <c r="D12924">
        <f>IFERROR(__xludf.DUMMYFUNCTION("""COMPUTED_VALUE"""),2039.0)</f>
        <v>2039</v>
      </c>
      <c r="E12924">
        <f>IFERROR(__xludf.DUMMYFUNCTION("""COMPUTED_VALUE"""),3511208.0)</f>
        <v>3511208</v>
      </c>
    </row>
    <row r="12925">
      <c r="A12925" t="str">
        <f t="shared" si="1"/>
        <v>qat#2040</v>
      </c>
      <c r="B12925" t="str">
        <f>IFERROR(__xludf.DUMMYFUNCTION("""COMPUTED_VALUE"""),"qat")</f>
        <v>qat</v>
      </c>
      <c r="C12925" t="str">
        <f>IFERROR(__xludf.DUMMYFUNCTION("""COMPUTED_VALUE"""),"Qatar")</f>
        <v>Qatar</v>
      </c>
      <c r="D12925">
        <f>IFERROR(__xludf.DUMMYFUNCTION("""COMPUTED_VALUE"""),2040.0)</f>
        <v>2040</v>
      </c>
      <c r="E12925">
        <f>IFERROR(__xludf.DUMMYFUNCTION("""COMPUTED_VALUE"""),3536617.0)</f>
        <v>3536617</v>
      </c>
    </row>
    <row r="12926">
      <c r="A12926" t="str">
        <f t="shared" si="1"/>
        <v>rou#1950</v>
      </c>
      <c r="B12926" t="str">
        <f>IFERROR(__xludf.DUMMYFUNCTION("""COMPUTED_VALUE"""),"rou")</f>
        <v>rou</v>
      </c>
      <c r="C12926" t="str">
        <f>IFERROR(__xludf.DUMMYFUNCTION("""COMPUTED_VALUE"""),"Romania")</f>
        <v>Romania</v>
      </c>
      <c r="D12926">
        <f>IFERROR(__xludf.DUMMYFUNCTION("""COMPUTED_VALUE"""),1950.0)</f>
        <v>1950</v>
      </c>
      <c r="E12926">
        <f>IFERROR(__xludf.DUMMYFUNCTION("""COMPUTED_VALUE"""),1.6236296E7)</f>
        <v>16236296</v>
      </c>
    </row>
    <row r="12927">
      <c r="A12927" t="str">
        <f t="shared" si="1"/>
        <v>rou#1951</v>
      </c>
      <c r="B12927" t="str">
        <f>IFERROR(__xludf.DUMMYFUNCTION("""COMPUTED_VALUE"""),"rou")</f>
        <v>rou</v>
      </c>
      <c r="C12927" t="str">
        <f>IFERROR(__xludf.DUMMYFUNCTION("""COMPUTED_VALUE"""),"Romania")</f>
        <v>Romania</v>
      </c>
      <c r="D12927">
        <f>IFERROR(__xludf.DUMMYFUNCTION("""COMPUTED_VALUE"""),1951.0)</f>
        <v>1951</v>
      </c>
      <c r="E12927">
        <f>IFERROR(__xludf.DUMMYFUNCTION("""COMPUTED_VALUE"""),1.6512664E7)</f>
        <v>16512664</v>
      </c>
    </row>
    <row r="12928">
      <c r="A12928" t="str">
        <f t="shared" si="1"/>
        <v>rou#1952</v>
      </c>
      <c r="B12928" t="str">
        <f>IFERROR(__xludf.DUMMYFUNCTION("""COMPUTED_VALUE"""),"rou")</f>
        <v>rou</v>
      </c>
      <c r="C12928" t="str">
        <f>IFERROR(__xludf.DUMMYFUNCTION("""COMPUTED_VALUE"""),"Romania")</f>
        <v>Romania</v>
      </c>
      <c r="D12928">
        <f>IFERROR(__xludf.DUMMYFUNCTION("""COMPUTED_VALUE"""),1952.0)</f>
        <v>1952</v>
      </c>
      <c r="E12928">
        <f>IFERROR(__xludf.DUMMYFUNCTION("""COMPUTED_VALUE"""),1.6764904E7)</f>
        <v>16764904</v>
      </c>
    </row>
    <row r="12929">
      <c r="A12929" t="str">
        <f t="shared" si="1"/>
        <v>rou#1953</v>
      </c>
      <c r="B12929" t="str">
        <f>IFERROR(__xludf.DUMMYFUNCTION("""COMPUTED_VALUE"""),"rou")</f>
        <v>rou</v>
      </c>
      <c r="C12929" t="str">
        <f>IFERROR(__xludf.DUMMYFUNCTION("""COMPUTED_VALUE"""),"Romania")</f>
        <v>Romania</v>
      </c>
      <c r="D12929">
        <f>IFERROR(__xludf.DUMMYFUNCTION("""COMPUTED_VALUE"""),1953.0)</f>
        <v>1953</v>
      </c>
      <c r="E12929">
        <f>IFERROR(__xludf.DUMMYFUNCTION("""COMPUTED_VALUE"""),1.7005717E7)</f>
        <v>17005717</v>
      </c>
    </row>
    <row r="12930">
      <c r="A12930" t="str">
        <f t="shared" si="1"/>
        <v>rou#1954</v>
      </c>
      <c r="B12930" t="str">
        <f>IFERROR(__xludf.DUMMYFUNCTION("""COMPUTED_VALUE"""),"rou")</f>
        <v>rou</v>
      </c>
      <c r="C12930" t="str">
        <f>IFERROR(__xludf.DUMMYFUNCTION("""COMPUTED_VALUE"""),"Romania")</f>
        <v>Romania</v>
      </c>
      <c r="D12930">
        <f>IFERROR(__xludf.DUMMYFUNCTION("""COMPUTED_VALUE"""),1954.0)</f>
        <v>1954</v>
      </c>
      <c r="E12930">
        <f>IFERROR(__xludf.DUMMYFUNCTION("""COMPUTED_VALUE"""),1.7243818E7)</f>
        <v>17243818</v>
      </c>
    </row>
    <row r="12931">
      <c r="A12931" t="str">
        <f t="shared" si="1"/>
        <v>rou#1955</v>
      </c>
      <c r="B12931" t="str">
        <f>IFERROR(__xludf.DUMMYFUNCTION("""COMPUTED_VALUE"""),"rou")</f>
        <v>rou</v>
      </c>
      <c r="C12931" t="str">
        <f>IFERROR(__xludf.DUMMYFUNCTION("""COMPUTED_VALUE"""),"Romania")</f>
        <v>Romania</v>
      </c>
      <c r="D12931">
        <f>IFERROR(__xludf.DUMMYFUNCTION("""COMPUTED_VALUE"""),1955.0)</f>
        <v>1955</v>
      </c>
      <c r="E12931">
        <f>IFERROR(__xludf.DUMMYFUNCTION("""COMPUTED_VALUE"""),1.7483935E7)</f>
        <v>17483935</v>
      </c>
    </row>
    <row r="12932">
      <c r="A12932" t="str">
        <f t="shared" si="1"/>
        <v>rou#1956</v>
      </c>
      <c r="B12932" t="str">
        <f>IFERROR(__xludf.DUMMYFUNCTION("""COMPUTED_VALUE"""),"rou")</f>
        <v>rou</v>
      </c>
      <c r="C12932" t="str">
        <f>IFERROR(__xludf.DUMMYFUNCTION("""COMPUTED_VALUE"""),"Romania")</f>
        <v>Romania</v>
      </c>
      <c r="D12932">
        <f>IFERROR(__xludf.DUMMYFUNCTION("""COMPUTED_VALUE"""),1956.0)</f>
        <v>1956</v>
      </c>
      <c r="E12932">
        <f>IFERROR(__xludf.DUMMYFUNCTION("""COMPUTED_VALUE"""),1.7726631E7)</f>
        <v>17726631</v>
      </c>
    </row>
    <row r="12933">
      <c r="A12933" t="str">
        <f t="shared" si="1"/>
        <v>rou#1957</v>
      </c>
      <c r="B12933" t="str">
        <f>IFERROR(__xludf.DUMMYFUNCTION("""COMPUTED_VALUE"""),"rou")</f>
        <v>rou</v>
      </c>
      <c r="C12933" t="str">
        <f>IFERROR(__xludf.DUMMYFUNCTION("""COMPUTED_VALUE"""),"Romania")</f>
        <v>Romania</v>
      </c>
      <c r="D12933">
        <f>IFERROR(__xludf.DUMMYFUNCTION("""COMPUTED_VALUE"""),1957.0)</f>
        <v>1957</v>
      </c>
      <c r="E12933">
        <f>IFERROR(__xludf.DUMMYFUNCTION("""COMPUTED_VALUE"""),1.7968466E7)</f>
        <v>17968466</v>
      </c>
    </row>
    <row r="12934">
      <c r="A12934" t="str">
        <f t="shared" si="1"/>
        <v>rou#1958</v>
      </c>
      <c r="B12934" t="str">
        <f>IFERROR(__xludf.DUMMYFUNCTION("""COMPUTED_VALUE"""),"rou")</f>
        <v>rou</v>
      </c>
      <c r="C12934" t="str">
        <f>IFERROR(__xludf.DUMMYFUNCTION("""COMPUTED_VALUE"""),"Romania")</f>
        <v>Romania</v>
      </c>
      <c r="D12934">
        <f>IFERROR(__xludf.DUMMYFUNCTION("""COMPUTED_VALUE"""),1958.0)</f>
        <v>1958</v>
      </c>
      <c r="E12934">
        <f>IFERROR(__xludf.DUMMYFUNCTION("""COMPUTED_VALUE"""),1.8202712E7)</f>
        <v>18202712</v>
      </c>
    </row>
    <row r="12935">
      <c r="A12935" t="str">
        <f t="shared" si="1"/>
        <v>rou#1959</v>
      </c>
      <c r="B12935" t="str">
        <f>IFERROR(__xludf.DUMMYFUNCTION("""COMPUTED_VALUE"""),"rou")</f>
        <v>rou</v>
      </c>
      <c r="C12935" t="str">
        <f>IFERROR(__xludf.DUMMYFUNCTION("""COMPUTED_VALUE"""),"Romania")</f>
        <v>Romania</v>
      </c>
      <c r="D12935">
        <f>IFERROR(__xludf.DUMMYFUNCTION("""COMPUTED_VALUE"""),1959.0)</f>
        <v>1959</v>
      </c>
      <c r="E12935">
        <f>IFERROR(__xludf.DUMMYFUNCTION("""COMPUTED_VALUE"""),1.8420454E7)</f>
        <v>18420454</v>
      </c>
    </row>
    <row r="12936">
      <c r="A12936" t="str">
        <f t="shared" si="1"/>
        <v>rou#1960</v>
      </c>
      <c r="B12936" t="str">
        <f>IFERROR(__xludf.DUMMYFUNCTION("""COMPUTED_VALUE"""),"rou")</f>
        <v>rou</v>
      </c>
      <c r="C12936" t="str">
        <f>IFERROR(__xludf.DUMMYFUNCTION("""COMPUTED_VALUE"""),"Romania")</f>
        <v>Romania</v>
      </c>
      <c r="D12936">
        <f>IFERROR(__xludf.DUMMYFUNCTION("""COMPUTED_VALUE"""),1960.0)</f>
        <v>1960</v>
      </c>
      <c r="E12936">
        <f>IFERROR(__xludf.DUMMYFUNCTION("""COMPUTED_VALUE"""),1.8613939E7)</f>
        <v>18613939</v>
      </c>
    </row>
    <row r="12937">
      <c r="A12937" t="str">
        <f t="shared" si="1"/>
        <v>rou#1961</v>
      </c>
      <c r="B12937" t="str">
        <f>IFERROR(__xludf.DUMMYFUNCTION("""COMPUTED_VALUE"""),"rou")</f>
        <v>rou</v>
      </c>
      <c r="C12937" t="str">
        <f>IFERROR(__xludf.DUMMYFUNCTION("""COMPUTED_VALUE"""),"Romania")</f>
        <v>Romania</v>
      </c>
      <c r="D12937">
        <f>IFERROR(__xludf.DUMMYFUNCTION("""COMPUTED_VALUE"""),1961.0)</f>
        <v>1961</v>
      </c>
      <c r="E12937">
        <f>IFERROR(__xludf.DUMMYFUNCTION("""COMPUTED_VALUE"""),1.8780202E7)</f>
        <v>18780202</v>
      </c>
    </row>
    <row r="12938">
      <c r="A12938" t="str">
        <f t="shared" si="1"/>
        <v>rou#1962</v>
      </c>
      <c r="B12938" t="str">
        <f>IFERROR(__xludf.DUMMYFUNCTION("""COMPUTED_VALUE"""),"rou")</f>
        <v>rou</v>
      </c>
      <c r="C12938" t="str">
        <f>IFERROR(__xludf.DUMMYFUNCTION("""COMPUTED_VALUE"""),"Romania")</f>
        <v>Romania</v>
      </c>
      <c r="D12938">
        <f>IFERROR(__xludf.DUMMYFUNCTION("""COMPUTED_VALUE"""),1962.0)</f>
        <v>1962</v>
      </c>
      <c r="E12938">
        <f>IFERROR(__xludf.DUMMYFUNCTION("""COMPUTED_VALUE"""),1.8924157E7)</f>
        <v>18924157</v>
      </c>
    </row>
    <row r="12939">
      <c r="A12939" t="str">
        <f t="shared" si="1"/>
        <v>rou#1963</v>
      </c>
      <c r="B12939" t="str">
        <f>IFERROR(__xludf.DUMMYFUNCTION("""COMPUTED_VALUE"""),"rou")</f>
        <v>rou</v>
      </c>
      <c r="C12939" t="str">
        <f>IFERROR(__xludf.DUMMYFUNCTION("""COMPUTED_VALUE"""),"Romania")</f>
        <v>Romania</v>
      </c>
      <c r="D12939">
        <f>IFERROR(__xludf.DUMMYFUNCTION("""COMPUTED_VALUE"""),1963.0)</f>
        <v>1963</v>
      </c>
      <c r="E12939">
        <f>IFERROR(__xludf.DUMMYFUNCTION("""COMPUTED_VALUE"""),1.9059938E7)</f>
        <v>19059938</v>
      </c>
    </row>
    <row r="12940">
      <c r="A12940" t="str">
        <f t="shared" si="1"/>
        <v>rou#1964</v>
      </c>
      <c r="B12940" t="str">
        <f>IFERROR(__xludf.DUMMYFUNCTION("""COMPUTED_VALUE"""),"rou")</f>
        <v>rou</v>
      </c>
      <c r="C12940" t="str">
        <f>IFERROR(__xludf.DUMMYFUNCTION("""COMPUTED_VALUE"""),"Romania")</f>
        <v>Romania</v>
      </c>
      <c r="D12940">
        <f>IFERROR(__xludf.DUMMYFUNCTION("""COMPUTED_VALUE"""),1964.0)</f>
        <v>1964</v>
      </c>
      <c r="E12940">
        <f>IFERROR(__xludf.DUMMYFUNCTION("""COMPUTED_VALUE"""),1.9207135E7)</f>
        <v>19207135</v>
      </c>
    </row>
    <row r="12941">
      <c r="A12941" t="str">
        <f t="shared" si="1"/>
        <v>rou#1965</v>
      </c>
      <c r="B12941" t="str">
        <f>IFERROR(__xludf.DUMMYFUNCTION("""COMPUTED_VALUE"""),"rou")</f>
        <v>rou</v>
      </c>
      <c r="C12941" t="str">
        <f>IFERROR(__xludf.DUMMYFUNCTION("""COMPUTED_VALUE"""),"Romania")</f>
        <v>Romania</v>
      </c>
      <c r="D12941">
        <f>IFERROR(__xludf.DUMMYFUNCTION("""COMPUTED_VALUE"""),1965.0)</f>
        <v>1965</v>
      </c>
      <c r="E12941">
        <f>IFERROR(__xludf.DUMMYFUNCTION("""COMPUTED_VALUE"""),1.9379568E7)</f>
        <v>19379568</v>
      </c>
    </row>
    <row r="12942">
      <c r="A12942" t="str">
        <f t="shared" si="1"/>
        <v>rou#1966</v>
      </c>
      <c r="B12942" t="str">
        <f>IFERROR(__xludf.DUMMYFUNCTION("""COMPUTED_VALUE"""),"rou")</f>
        <v>rou</v>
      </c>
      <c r="C12942" t="str">
        <f>IFERROR(__xludf.DUMMYFUNCTION("""COMPUTED_VALUE"""),"Romania")</f>
        <v>Romania</v>
      </c>
      <c r="D12942">
        <f>IFERROR(__xludf.DUMMYFUNCTION("""COMPUTED_VALUE"""),1966.0)</f>
        <v>1966</v>
      </c>
      <c r="E12942">
        <f>IFERROR(__xludf.DUMMYFUNCTION("""COMPUTED_VALUE"""),1.9582327E7)</f>
        <v>19582327</v>
      </c>
    </row>
    <row r="12943">
      <c r="A12943" t="str">
        <f t="shared" si="1"/>
        <v>rou#1967</v>
      </c>
      <c r="B12943" t="str">
        <f>IFERROR(__xludf.DUMMYFUNCTION("""COMPUTED_VALUE"""),"rou")</f>
        <v>rou</v>
      </c>
      <c r="C12943" t="str">
        <f>IFERROR(__xludf.DUMMYFUNCTION("""COMPUTED_VALUE"""),"Romania")</f>
        <v>Romania</v>
      </c>
      <c r="D12943">
        <f>IFERROR(__xludf.DUMMYFUNCTION("""COMPUTED_VALUE"""),1967.0)</f>
        <v>1967</v>
      </c>
      <c r="E12943">
        <f>IFERROR(__xludf.DUMMYFUNCTION("""COMPUTED_VALUE"""),1.9810585E7)</f>
        <v>19810585</v>
      </c>
    </row>
    <row r="12944">
      <c r="A12944" t="str">
        <f t="shared" si="1"/>
        <v>rou#1968</v>
      </c>
      <c r="B12944" t="str">
        <f>IFERROR(__xludf.DUMMYFUNCTION("""COMPUTED_VALUE"""),"rou")</f>
        <v>rou</v>
      </c>
      <c r="C12944" t="str">
        <f>IFERROR(__xludf.DUMMYFUNCTION("""COMPUTED_VALUE"""),"Romania")</f>
        <v>Romania</v>
      </c>
      <c r="D12944">
        <f>IFERROR(__xludf.DUMMYFUNCTION("""COMPUTED_VALUE"""),1968.0)</f>
        <v>1968</v>
      </c>
      <c r="E12944">
        <f>IFERROR(__xludf.DUMMYFUNCTION("""COMPUTED_VALUE"""),2.0055921E7)</f>
        <v>20055921</v>
      </c>
    </row>
    <row r="12945">
      <c r="A12945" t="str">
        <f t="shared" si="1"/>
        <v>rou#1969</v>
      </c>
      <c r="B12945" t="str">
        <f>IFERROR(__xludf.DUMMYFUNCTION("""COMPUTED_VALUE"""),"rou")</f>
        <v>rou</v>
      </c>
      <c r="C12945" t="str">
        <f>IFERROR(__xludf.DUMMYFUNCTION("""COMPUTED_VALUE"""),"Romania")</f>
        <v>Romania</v>
      </c>
      <c r="D12945">
        <f>IFERROR(__xludf.DUMMYFUNCTION("""COMPUTED_VALUE"""),1969.0)</f>
        <v>1969</v>
      </c>
      <c r="E12945">
        <f>IFERROR(__xludf.DUMMYFUNCTION("""COMPUTED_VALUE"""),2.030531E7)</f>
        <v>20305310</v>
      </c>
    </row>
    <row r="12946">
      <c r="A12946" t="str">
        <f t="shared" si="1"/>
        <v>rou#1970</v>
      </c>
      <c r="B12946" t="str">
        <f>IFERROR(__xludf.DUMMYFUNCTION("""COMPUTED_VALUE"""),"rou")</f>
        <v>rou</v>
      </c>
      <c r="C12946" t="str">
        <f>IFERROR(__xludf.DUMMYFUNCTION("""COMPUTED_VALUE"""),"Romania")</f>
        <v>Romania</v>
      </c>
      <c r="D12946">
        <f>IFERROR(__xludf.DUMMYFUNCTION("""COMPUTED_VALUE"""),1970.0)</f>
        <v>1970</v>
      </c>
      <c r="E12946">
        <f>IFERROR(__xludf.DUMMYFUNCTION("""COMPUTED_VALUE"""),2.0548911E7)</f>
        <v>20548911</v>
      </c>
    </row>
    <row r="12947">
      <c r="A12947" t="str">
        <f t="shared" si="1"/>
        <v>rou#1971</v>
      </c>
      <c r="B12947" t="str">
        <f>IFERROR(__xludf.DUMMYFUNCTION("""COMPUTED_VALUE"""),"rou")</f>
        <v>rou</v>
      </c>
      <c r="C12947" t="str">
        <f>IFERROR(__xludf.DUMMYFUNCTION("""COMPUTED_VALUE"""),"Romania")</f>
        <v>Romania</v>
      </c>
      <c r="D12947">
        <f>IFERROR(__xludf.DUMMYFUNCTION("""COMPUTED_VALUE"""),1971.0)</f>
        <v>1971</v>
      </c>
      <c r="E12947">
        <f>IFERROR(__xludf.DUMMYFUNCTION("""COMPUTED_VALUE"""),2.0783748E7)</f>
        <v>20783748</v>
      </c>
    </row>
    <row r="12948">
      <c r="A12948" t="str">
        <f t="shared" si="1"/>
        <v>rou#1972</v>
      </c>
      <c r="B12948" t="str">
        <f>IFERROR(__xludf.DUMMYFUNCTION("""COMPUTED_VALUE"""),"rou")</f>
        <v>rou</v>
      </c>
      <c r="C12948" t="str">
        <f>IFERROR(__xludf.DUMMYFUNCTION("""COMPUTED_VALUE"""),"Romania")</f>
        <v>Romania</v>
      </c>
      <c r="D12948">
        <f>IFERROR(__xludf.DUMMYFUNCTION("""COMPUTED_VALUE"""),1972.0)</f>
        <v>1972</v>
      </c>
      <c r="E12948">
        <f>IFERROR(__xludf.DUMMYFUNCTION("""COMPUTED_VALUE"""),2.1011704E7)</f>
        <v>21011704</v>
      </c>
    </row>
    <row r="12949">
      <c r="A12949" t="str">
        <f t="shared" si="1"/>
        <v>rou#1973</v>
      </c>
      <c r="B12949" t="str">
        <f>IFERROR(__xludf.DUMMYFUNCTION("""COMPUTED_VALUE"""),"rou")</f>
        <v>rou</v>
      </c>
      <c r="C12949" t="str">
        <f>IFERROR(__xludf.DUMMYFUNCTION("""COMPUTED_VALUE"""),"Romania")</f>
        <v>Romania</v>
      </c>
      <c r="D12949">
        <f>IFERROR(__xludf.DUMMYFUNCTION("""COMPUTED_VALUE"""),1973.0)</f>
        <v>1973</v>
      </c>
      <c r="E12949">
        <f>IFERROR(__xludf.DUMMYFUNCTION("""COMPUTED_VALUE"""),2.1233466E7)</f>
        <v>21233466</v>
      </c>
    </row>
    <row r="12950">
      <c r="A12950" t="str">
        <f t="shared" si="1"/>
        <v>rou#1974</v>
      </c>
      <c r="B12950" t="str">
        <f>IFERROR(__xludf.DUMMYFUNCTION("""COMPUTED_VALUE"""),"rou")</f>
        <v>rou</v>
      </c>
      <c r="C12950" t="str">
        <f>IFERROR(__xludf.DUMMYFUNCTION("""COMPUTED_VALUE"""),"Romania")</f>
        <v>Romania</v>
      </c>
      <c r="D12950">
        <f>IFERROR(__xludf.DUMMYFUNCTION("""COMPUTED_VALUE"""),1974.0)</f>
        <v>1974</v>
      </c>
      <c r="E12950">
        <f>IFERROR(__xludf.DUMMYFUNCTION("""COMPUTED_VALUE"""),2.1451125E7)</f>
        <v>21451125</v>
      </c>
    </row>
    <row r="12951">
      <c r="A12951" t="str">
        <f t="shared" si="1"/>
        <v>rou#1975</v>
      </c>
      <c r="B12951" t="str">
        <f>IFERROR(__xludf.DUMMYFUNCTION("""COMPUTED_VALUE"""),"rou")</f>
        <v>rou</v>
      </c>
      <c r="C12951" t="str">
        <f>IFERROR(__xludf.DUMMYFUNCTION("""COMPUTED_VALUE"""),"Romania")</f>
        <v>Romania</v>
      </c>
      <c r="D12951">
        <f>IFERROR(__xludf.DUMMYFUNCTION("""COMPUTED_VALUE"""),1975.0)</f>
        <v>1975</v>
      </c>
      <c r="E12951">
        <f>IFERROR(__xludf.DUMMYFUNCTION("""COMPUTED_VALUE"""),2.1665643E7)</f>
        <v>21665643</v>
      </c>
    </row>
    <row r="12952">
      <c r="A12952" t="str">
        <f t="shared" si="1"/>
        <v>rou#1976</v>
      </c>
      <c r="B12952" t="str">
        <f>IFERROR(__xludf.DUMMYFUNCTION("""COMPUTED_VALUE"""),"rou")</f>
        <v>rou</v>
      </c>
      <c r="C12952" t="str">
        <f>IFERROR(__xludf.DUMMYFUNCTION("""COMPUTED_VALUE"""),"Romania")</f>
        <v>Romania</v>
      </c>
      <c r="D12952">
        <f>IFERROR(__xludf.DUMMYFUNCTION("""COMPUTED_VALUE"""),1976.0)</f>
        <v>1976</v>
      </c>
      <c r="E12952">
        <f>IFERROR(__xludf.DUMMYFUNCTION("""COMPUTED_VALUE"""),2.1877402E7)</f>
        <v>21877402</v>
      </c>
    </row>
    <row r="12953">
      <c r="A12953" t="str">
        <f t="shared" si="1"/>
        <v>rou#1977</v>
      </c>
      <c r="B12953" t="str">
        <f>IFERROR(__xludf.DUMMYFUNCTION("""COMPUTED_VALUE"""),"rou")</f>
        <v>rou</v>
      </c>
      <c r="C12953" t="str">
        <f>IFERROR(__xludf.DUMMYFUNCTION("""COMPUTED_VALUE"""),"Romania")</f>
        <v>Romania</v>
      </c>
      <c r="D12953">
        <f>IFERROR(__xludf.DUMMYFUNCTION("""COMPUTED_VALUE"""),1977.0)</f>
        <v>1977</v>
      </c>
      <c r="E12953">
        <f>IFERROR(__xludf.DUMMYFUNCTION("""COMPUTED_VALUE"""),2.2083774E7)</f>
        <v>22083774</v>
      </c>
    </row>
    <row r="12954">
      <c r="A12954" t="str">
        <f t="shared" si="1"/>
        <v>rou#1978</v>
      </c>
      <c r="B12954" t="str">
        <f>IFERROR(__xludf.DUMMYFUNCTION("""COMPUTED_VALUE"""),"rou")</f>
        <v>rou</v>
      </c>
      <c r="C12954" t="str">
        <f>IFERROR(__xludf.DUMMYFUNCTION("""COMPUTED_VALUE"""),"Romania")</f>
        <v>Romania</v>
      </c>
      <c r="D12954">
        <f>IFERROR(__xludf.DUMMYFUNCTION("""COMPUTED_VALUE"""),1978.0)</f>
        <v>1978</v>
      </c>
      <c r="E12954">
        <f>IFERROR(__xludf.DUMMYFUNCTION("""COMPUTED_VALUE"""),2.2279304E7)</f>
        <v>22279304</v>
      </c>
    </row>
    <row r="12955">
      <c r="A12955" t="str">
        <f t="shared" si="1"/>
        <v>rou#1979</v>
      </c>
      <c r="B12955" t="str">
        <f>IFERROR(__xludf.DUMMYFUNCTION("""COMPUTED_VALUE"""),"rou")</f>
        <v>rou</v>
      </c>
      <c r="C12955" t="str">
        <f>IFERROR(__xludf.DUMMYFUNCTION("""COMPUTED_VALUE"""),"Romania")</f>
        <v>Romania</v>
      </c>
      <c r="D12955">
        <f>IFERROR(__xludf.DUMMYFUNCTION("""COMPUTED_VALUE"""),1979.0)</f>
        <v>1979</v>
      </c>
      <c r="E12955">
        <f>IFERROR(__xludf.DUMMYFUNCTION("""COMPUTED_VALUE"""),2.2456945E7)</f>
        <v>22456945</v>
      </c>
    </row>
    <row r="12956">
      <c r="A12956" t="str">
        <f t="shared" si="1"/>
        <v>rou#1980</v>
      </c>
      <c r="B12956" t="str">
        <f>IFERROR(__xludf.DUMMYFUNCTION("""COMPUTED_VALUE"""),"rou")</f>
        <v>rou</v>
      </c>
      <c r="C12956" t="str">
        <f>IFERROR(__xludf.DUMMYFUNCTION("""COMPUTED_VALUE"""),"Romania")</f>
        <v>Romania</v>
      </c>
      <c r="D12956">
        <f>IFERROR(__xludf.DUMMYFUNCTION("""COMPUTED_VALUE"""),1980.0)</f>
        <v>1980</v>
      </c>
      <c r="E12956">
        <f>IFERROR(__xludf.DUMMYFUNCTION("""COMPUTED_VALUE"""),2.2611971E7)</f>
        <v>22611971</v>
      </c>
    </row>
    <row r="12957">
      <c r="A12957" t="str">
        <f t="shared" si="1"/>
        <v>rou#1981</v>
      </c>
      <c r="B12957" t="str">
        <f>IFERROR(__xludf.DUMMYFUNCTION("""COMPUTED_VALUE"""),"rou")</f>
        <v>rou</v>
      </c>
      <c r="C12957" t="str">
        <f>IFERROR(__xludf.DUMMYFUNCTION("""COMPUTED_VALUE"""),"Romania")</f>
        <v>Romania</v>
      </c>
      <c r="D12957">
        <f>IFERROR(__xludf.DUMMYFUNCTION("""COMPUTED_VALUE"""),1981.0)</f>
        <v>1981</v>
      </c>
      <c r="E12957">
        <f>IFERROR(__xludf.DUMMYFUNCTION("""COMPUTED_VALUE"""),2.2739817E7)</f>
        <v>22739817</v>
      </c>
    </row>
    <row r="12958">
      <c r="A12958" t="str">
        <f t="shared" si="1"/>
        <v>rou#1982</v>
      </c>
      <c r="B12958" t="str">
        <f>IFERROR(__xludf.DUMMYFUNCTION("""COMPUTED_VALUE"""),"rou")</f>
        <v>rou</v>
      </c>
      <c r="C12958" t="str">
        <f>IFERROR(__xludf.DUMMYFUNCTION("""COMPUTED_VALUE"""),"Romania")</f>
        <v>Romania</v>
      </c>
      <c r="D12958">
        <f>IFERROR(__xludf.DUMMYFUNCTION("""COMPUTED_VALUE"""),1982.0)</f>
        <v>1982</v>
      </c>
      <c r="E12958">
        <f>IFERROR(__xludf.DUMMYFUNCTION("""COMPUTED_VALUE"""),2.2842317E7)</f>
        <v>22842317</v>
      </c>
    </row>
    <row r="12959">
      <c r="A12959" t="str">
        <f t="shared" si="1"/>
        <v>rou#1983</v>
      </c>
      <c r="B12959" t="str">
        <f>IFERROR(__xludf.DUMMYFUNCTION("""COMPUTED_VALUE"""),"rou")</f>
        <v>rou</v>
      </c>
      <c r="C12959" t="str">
        <f>IFERROR(__xludf.DUMMYFUNCTION("""COMPUTED_VALUE"""),"Romania")</f>
        <v>Romania</v>
      </c>
      <c r="D12959">
        <f>IFERROR(__xludf.DUMMYFUNCTION("""COMPUTED_VALUE"""),1983.0)</f>
        <v>1983</v>
      </c>
      <c r="E12959">
        <f>IFERROR(__xludf.DUMMYFUNCTION("""COMPUTED_VALUE"""),2.2928925E7)</f>
        <v>22928925</v>
      </c>
    </row>
    <row r="12960">
      <c r="A12960" t="str">
        <f t="shared" si="1"/>
        <v>rou#1984</v>
      </c>
      <c r="B12960" t="str">
        <f>IFERROR(__xludf.DUMMYFUNCTION("""COMPUTED_VALUE"""),"rou")</f>
        <v>rou</v>
      </c>
      <c r="C12960" t="str">
        <f>IFERROR(__xludf.DUMMYFUNCTION("""COMPUTED_VALUE"""),"Romania")</f>
        <v>Romania</v>
      </c>
      <c r="D12960">
        <f>IFERROR(__xludf.DUMMYFUNCTION("""COMPUTED_VALUE"""),1984.0)</f>
        <v>1984</v>
      </c>
      <c r="E12960">
        <f>IFERROR(__xludf.DUMMYFUNCTION("""COMPUTED_VALUE"""),2.3013161E7)</f>
        <v>23013161</v>
      </c>
    </row>
    <row r="12961">
      <c r="A12961" t="str">
        <f t="shared" si="1"/>
        <v>rou#1985</v>
      </c>
      <c r="B12961" t="str">
        <f>IFERROR(__xludf.DUMMYFUNCTION("""COMPUTED_VALUE"""),"rou")</f>
        <v>rou</v>
      </c>
      <c r="C12961" t="str">
        <f>IFERROR(__xludf.DUMMYFUNCTION("""COMPUTED_VALUE"""),"Romania")</f>
        <v>Romania</v>
      </c>
      <c r="D12961">
        <f>IFERROR(__xludf.DUMMYFUNCTION("""COMPUTED_VALUE"""),1985.0)</f>
        <v>1985</v>
      </c>
      <c r="E12961">
        <f>IFERROR(__xludf.DUMMYFUNCTION("""COMPUTED_VALUE"""),2.3103646E7)</f>
        <v>23103646</v>
      </c>
    </row>
    <row r="12962">
      <c r="A12962" t="str">
        <f t="shared" si="1"/>
        <v>rou#1986</v>
      </c>
      <c r="B12962" t="str">
        <f>IFERROR(__xludf.DUMMYFUNCTION("""COMPUTED_VALUE"""),"rou")</f>
        <v>rou</v>
      </c>
      <c r="C12962" t="str">
        <f>IFERROR(__xludf.DUMMYFUNCTION("""COMPUTED_VALUE"""),"Romania")</f>
        <v>Romania</v>
      </c>
      <c r="D12962">
        <f>IFERROR(__xludf.DUMMYFUNCTION("""COMPUTED_VALUE"""),1986.0)</f>
        <v>1986</v>
      </c>
      <c r="E12962">
        <f>IFERROR(__xludf.DUMMYFUNCTION("""COMPUTED_VALUE"""),2.3205286E7)</f>
        <v>23205286</v>
      </c>
    </row>
    <row r="12963">
      <c r="A12963" t="str">
        <f t="shared" si="1"/>
        <v>rou#1987</v>
      </c>
      <c r="B12963" t="str">
        <f>IFERROR(__xludf.DUMMYFUNCTION("""COMPUTED_VALUE"""),"rou")</f>
        <v>rou</v>
      </c>
      <c r="C12963" t="str">
        <f>IFERROR(__xludf.DUMMYFUNCTION("""COMPUTED_VALUE"""),"Romania")</f>
        <v>Romania</v>
      </c>
      <c r="D12963">
        <f>IFERROR(__xludf.DUMMYFUNCTION("""COMPUTED_VALUE"""),1987.0)</f>
        <v>1987</v>
      </c>
      <c r="E12963">
        <f>IFERROR(__xludf.DUMMYFUNCTION("""COMPUTED_VALUE"""),2.3312071E7)</f>
        <v>23312071</v>
      </c>
    </row>
    <row r="12964">
      <c r="A12964" t="str">
        <f t="shared" si="1"/>
        <v>rou#1988</v>
      </c>
      <c r="B12964" t="str">
        <f>IFERROR(__xludf.DUMMYFUNCTION("""COMPUTED_VALUE"""),"rou")</f>
        <v>rou</v>
      </c>
      <c r="C12964" t="str">
        <f>IFERROR(__xludf.DUMMYFUNCTION("""COMPUTED_VALUE"""),"Romania")</f>
        <v>Romania</v>
      </c>
      <c r="D12964">
        <f>IFERROR(__xludf.DUMMYFUNCTION("""COMPUTED_VALUE"""),1988.0)</f>
        <v>1988</v>
      </c>
      <c r="E12964">
        <f>IFERROR(__xludf.DUMMYFUNCTION("""COMPUTED_VALUE"""),2.3408422E7)</f>
        <v>23408422</v>
      </c>
    </row>
    <row r="12965">
      <c r="A12965" t="str">
        <f t="shared" si="1"/>
        <v>rou#1989</v>
      </c>
      <c r="B12965" t="str">
        <f>IFERROR(__xludf.DUMMYFUNCTION("""COMPUTED_VALUE"""),"rou")</f>
        <v>rou</v>
      </c>
      <c r="C12965" t="str">
        <f>IFERROR(__xludf.DUMMYFUNCTION("""COMPUTED_VALUE"""),"Romania")</f>
        <v>Romania</v>
      </c>
      <c r="D12965">
        <f>IFERROR(__xludf.DUMMYFUNCTION("""COMPUTED_VALUE"""),1989.0)</f>
        <v>1989</v>
      </c>
      <c r="E12965">
        <f>IFERROR(__xludf.DUMMYFUNCTION("""COMPUTED_VALUE"""),2.3472581E7)</f>
        <v>23472581</v>
      </c>
    </row>
    <row r="12966">
      <c r="A12966" t="str">
        <f t="shared" si="1"/>
        <v>rou#1990</v>
      </c>
      <c r="B12966" t="str">
        <f>IFERROR(__xludf.DUMMYFUNCTION("""COMPUTED_VALUE"""),"rou")</f>
        <v>rou</v>
      </c>
      <c r="C12966" t="str">
        <f>IFERROR(__xludf.DUMMYFUNCTION("""COMPUTED_VALUE"""),"Romania")</f>
        <v>Romania</v>
      </c>
      <c r="D12966">
        <f>IFERROR(__xludf.DUMMYFUNCTION("""COMPUTED_VALUE"""),1990.0)</f>
        <v>1990</v>
      </c>
      <c r="E12966">
        <f>IFERROR(__xludf.DUMMYFUNCTION("""COMPUTED_VALUE"""),2.3489373E7)</f>
        <v>23489373</v>
      </c>
    </row>
    <row r="12967">
      <c r="A12967" t="str">
        <f t="shared" si="1"/>
        <v>rou#1991</v>
      </c>
      <c r="B12967" t="str">
        <f>IFERROR(__xludf.DUMMYFUNCTION("""COMPUTED_VALUE"""),"rou")</f>
        <v>rou</v>
      </c>
      <c r="C12967" t="str">
        <f>IFERROR(__xludf.DUMMYFUNCTION("""COMPUTED_VALUE"""),"Romania")</f>
        <v>Romania</v>
      </c>
      <c r="D12967">
        <f>IFERROR(__xludf.DUMMYFUNCTION("""COMPUTED_VALUE"""),1991.0)</f>
        <v>1991</v>
      </c>
      <c r="E12967">
        <f>IFERROR(__xludf.DUMMYFUNCTION("""COMPUTED_VALUE"""),2.3454213E7)</f>
        <v>23454213</v>
      </c>
    </row>
    <row r="12968">
      <c r="A12968" t="str">
        <f t="shared" si="1"/>
        <v>rou#1992</v>
      </c>
      <c r="B12968" t="str">
        <f>IFERROR(__xludf.DUMMYFUNCTION("""COMPUTED_VALUE"""),"rou")</f>
        <v>rou</v>
      </c>
      <c r="C12968" t="str">
        <f>IFERROR(__xludf.DUMMYFUNCTION("""COMPUTED_VALUE"""),"Romania")</f>
        <v>Romania</v>
      </c>
      <c r="D12968">
        <f>IFERROR(__xludf.DUMMYFUNCTION("""COMPUTED_VALUE"""),1992.0)</f>
        <v>1992</v>
      </c>
      <c r="E12968">
        <f>IFERROR(__xludf.DUMMYFUNCTION("""COMPUTED_VALUE"""),2.3373358E7)</f>
        <v>23373358</v>
      </c>
    </row>
    <row r="12969">
      <c r="A12969" t="str">
        <f t="shared" si="1"/>
        <v>rou#1993</v>
      </c>
      <c r="B12969" t="str">
        <f>IFERROR(__xludf.DUMMYFUNCTION("""COMPUTED_VALUE"""),"rou")</f>
        <v>rou</v>
      </c>
      <c r="C12969" t="str">
        <f>IFERROR(__xludf.DUMMYFUNCTION("""COMPUTED_VALUE"""),"Romania")</f>
        <v>Romania</v>
      </c>
      <c r="D12969">
        <f>IFERROR(__xludf.DUMMYFUNCTION("""COMPUTED_VALUE"""),1993.0)</f>
        <v>1993</v>
      </c>
      <c r="E12969">
        <f>IFERROR(__xludf.DUMMYFUNCTION("""COMPUTED_VALUE"""),2.3255995E7)</f>
        <v>23255995</v>
      </c>
    </row>
    <row r="12970">
      <c r="A12970" t="str">
        <f t="shared" si="1"/>
        <v>rou#1994</v>
      </c>
      <c r="B12970" t="str">
        <f>IFERROR(__xludf.DUMMYFUNCTION("""COMPUTED_VALUE"""),"rou")</f>
        <v>rou</v>
      </c>
      <c r="C12970" t="str">
        <f>IFERROR(__xludf.DUMMYFUNCTION("""COMPUTED_VALUE"""),"Romania")</f>
        <v>Romania</v>
      </c>
      <c r="D12970">
        <f>IFERROR(__xludf.DUMMYFUNCTION("""COMPUTED_VALUE"""),1994.0)</f>
        <v>1994</v>
      </c>
      <c r="E12970">
        <f>IFERROR(__xludf.DUMMYFUNCTION("""COMPUTED_VALUE"""),2.3116175E7)</f>
        <v>23116175</v>
      </c>
    </row>
    <row r="12971">
      <c r="A12971" t="str">
        <f t="shared" si="1"/>
        <v>rou#1995</v>
      </c>
      <c r="B12971" t="str">
        <f>IFERROR(__xludf.DUMMYFUNCTION("""COMPUTED_VALUE"""),"rou")</f>
        <v>rou</v>
      </c>
      <c r="C12971" t="str">
        <f>IFERROR(__xludf.DUMMYFUNCTION("""COMPUTED_VALUE"""),"Romania")</f>
        <v>Romania</v>
      </c>
      <c r="D12971">
        <f>IFERROR(__xludf.DUMMYFUNCTION("""COMPUTED_VALUE"""),1995.0)</f>
        <v>1995</v>
      </c>
      <c r="E12971">
        <f>IFERROR(__xludf.DUMMYFUNCTION("""COMPUTED_VALUE"""),2.2965111E7)</f>
        <v>22965111</v>
      </c>
    </row>
    <row r="12972">
      <c r="A12972" t="str">
        <f t="shared" si="1"/>
        <v>rou#1996</v>
      </c>
      <c r="B12972" t="str">
        <f>IFERROR(__xludf.DUMMYFUNCTION("""COMPUTED_VALUE"""),"rou")</f>
        <v>rou</v>
      </c>
      <c r="C12972" t="str">
        <f>IFERROR(__xludf.DUMMYFUNCTION("""COMPUTED_VALUE"""),"Romania")</f>
        <v>Romania</v>
      </c>
      <c r="D12972">
        <f>IFERROR(__xludf.DUMMYFUNCTION("""COMPUTED_VALUE"""),1996.0)</f>
        <v>1996</v>
      </c>
      <c r="E12972">
        <f>IFERROR(__xludf.DUMMYFUNCTION("""COMPUTED_VALUE"""),2.2804165E7)</f>
        <v>22804165</v>
      </c>
    </row>
    <row r="12973">
      <c r="A12973" t="str">
        <f t="shared" si="1"/>
        <v>rou#1997</v>
      </c>
      <c r="B12973" t="str">
        <f>IFERROR(__xludf.DUMMYFUNCTION("""COMPUTED_VALUE"""),"rou")</f>
        <v>rou</v>
      </c>
      <c r="C12973" t="str">
        <f>IFERROR(__xludf.DUMMYFUNCTION("""COMPUTED_VALUE"""),"Romania")</f>
        <v>Romania</v>
      </c>
      <c r="D12973">
        <f>IFERROR(__xludf.DUMMYFUNCTION("""COMPUTED_VALUE"""),1997.0)</f>
        <v>1997</v>
      </c>
      <c r="E12973">
        <f>IFERROR(__xludf.DUMMYFUNCTION("""COMPUTED_VALUE"""),2.2632805E7)</f>
        <v>22632805</v>
      </c>
    </row>
    <row r="12974">
      <c r="A12974" t="str">
        <f t="shared" si="1"/>
        <v>rou#1998</v>
      </c>
      <c r="B12974" t="str">
        <f>IFERROR(__xludf.DUMMYFUNCTION("""COMPUTED_VALUE"""),"rou")</f>
        <v>rou</v>
      </c>
      <c r="C12974" t="str">
        <f>IFERROR(__xludf.DUMMYFUNCTION("""COMPUTED_VALUE"""),"Romania")</f>
        <v>Romania</v>
      </c>
      <c r="D12974">
        <f>IFERROR(__xludf.DUMMYFUNCTION("""COMPUTED_VALUE"""),1998.0)</f>
        <v>1998</v>
      </c>
      <c r="E12974">
        <f>IFERROR(__xludf.DUMMYFUNCTION("""COMPUTED_VALUE"""),2.2458077E7)</f>
        <v>22458077</v>
      </c>
    </row>
    <row r="12975">
      <c r="A12975" t="str">
        <f t="shared" si="1"/>
        <v>rou#1999</v>
      </c>
      <c r="B12975" t="str">
        <f>IFERROR(__xludf.DUMMYFUNCTION("""COMPUTED_VALUE"""),"rou")</f>
        <v>rou</v>
      </c>
      <c r="C12975" t="str">
        <f>IFERROR(__xludf.DUMMYFUNCTION("""COMPUTED_VALUE"""),"Romania")</f>
        <v>Romania</v>
      </c>
      <c r="D12975">
        <f>IFERROR(__xludf.DUMMYFUNCTION("""COMPUTED_VALUE"""),1999.0)</f>
        <v>1999</v>
      </c>
      <c r="E12975">
        <f>IFERROR(__xludf.DUMMYFUNCTION("""COMPUTED_VALUE"""),2.2288057E7)</f>
        <v>22288057</v>
      </c>
    </row>
    <row r="12976">
      <c r="A12976" t="str">
        <f t="shared" si="1"/>
        <v>rou#2000</v>
      </c>
      <c r="B12976" t="str">
        <f>IFERROR(__xludf.DUMMYFUNCTION("""COMPUTED_VALUE"""),"rou")</f>
        <v>rou</v>
      </c>
      <c r="C12976" t="str">
        <f>IFERROR(__xludf.DUMMYFUNCTION("""COMPUTED_VALUE"""),"Romania")</f>
        <v>Romania</v>
      </c>
      <c r="D12976">
        <f>IFERROR(__xludf.DUMMYFUNCTION("""COMPUTED_VALUE"""),2000.0)</f>
        <v>2000</v>
      </c>
      <c r="E12976">
        <f>IFERROR(__xludf.DUMMYFUNCTION("""COMPUTED_VALUE"""),2.2128128E7)</f>
        <v>22128128</v>
      </c>
    </row>
    <row r="12977">
      <c r="A12977" t="str">
        <f t="shared" si="1"/>
        <v>rou#2001</v>
      </c>
      <c r="B12977" t="str">
        <f>IFERROR(__xludf.DUMMYFUNCTION("""COMPUTED_VALUE"""),"rou")</f>
        <v>rou</v>
      </c>
      <c r="C12977" t="str">
        <f>IFERROR(__xludf.DUMMYFUNCTION("""COMPUTED_VALUE"""),"Romania")</f>
        <v>Romania</v>
      </c>
      <c r="D12977">
        <f>IFERROR(__xludf.DUMMYFUNCTION("""COMPUTED_VALUE"""),2001.0)</f>
        <v>2001</v>
      </c>
      <c r="E12977">
        <f>IFERROR(__xludf.DUMMYFUNCTION("""COMPUTED_VALUE"""),2.1984135E7)</f>
        <v>21984135</v>
      </c>
    </row>
    <row r="12978">
      <c r="A12978" t="str">
        <f t="shared" si="1"/>
        <v>rou#2002</v>
      </c>
      <c r="B12978" t="str">
        <f>IFERROR(__xludf.DUMMYFUNCTION("""COMPUTED_VALUE"""),"rou")</f>
        <v>rou</v>
      </c>
      <c r="C12978" t="str">
        <f>IFERROR(__xludf.DUMMYFUNCTION("""COMPUTED_VALUE"""),"Romania")</f>
        <v>Romania</v>
      </c>
      <c r="D12978">
        <f>IFERROR(__xludf.DUMMYFUNCTION("""COMPUTED_VALUE"""),2002.0)</f>
        <v>2002</v>
      </c>
      <c r="E12978">
        <f>IFERROR(__xludf.DUMMYFUNCTION("""COMPUTED_VALUE"""),2.1854676E7)</f>
        <v>21854676</v>
      </c>
    </row>
    <row r="12979">
      <c r="A12979" t="str">
        <f t="shared" si="1"/>
        <v>rou#2003</v>
      </c>
      <c r="B12979" t="str">
        <f>IFERROR(__xludf.DUMMYFUNCTION("""COMPUTED_VALUE"""),"rou")</f>
        <v>rou</v>
      </c>
      <c r="C12979" t="str">
        <f>IFERROR(__xludf.DUMMYFUNCTION("""COMPUTED_VALUE"""),"Romania")</f>
        <v>Romania</v>
      </c>
      <c r="D12979">
        <f>IFERROR(__xludf.DUMMYFUNCTION("""COMPUTED_VALUE"""),2003.0)</f>
        <v>2003</v>
      </c>
      <c r="E12979">
        <f>IFERROR(__xludf.DUMMYFUNCTION("""COMPUTED_VALUE"""),2.1728919E7)</f>
        <v>21728919</v>
      </c>
    </row>
    <row r="12980">
      <c r="A12980" t="str">
        <f t="shared" si="1"/>
        <v>rou#2004</v>
      </c>
      <c r="B12980" t="str">
        <f>IFERROR(__xludf.DUMMYFUNCTION("""COMPUTED_VALUE"""),"rou")</f>
        <v>rou</v>
      </c>
      <c r="C12980" t="str">
        <f>IFERROR(__xludf.DUMMYFUNCTION("""COMPUTED_VALUE"""),"Romania")</f>
        <v>Romania</v>
      </c>
      <c r="D12980">
        <f>IFERROR(__xludf.DUMMYFUNCTION("""COMPUTED_VALUE"""),2004.0)</f>
        <v>2004</v>
      </c>
      <c r="E12980">
        <f>IFERROR(__xludf.DUMMYFUNCTION("""COMPUTED_VALUE"""),2.1591164E7)</f>
        <v>21591164</v>
      </c>
    </row>
    <row r="12981">
      <c r="A12981" t="str">
        <f t="shared" si="1"/>
        <v>rou#2005</v>
      </c>
      <c r="B12981" t="str">
        <f>IFERROR(__xludf.DUMMYFUNCTION("""COMPUTED_VALUE"""),"rou")</f>
        <v>rou</v>
      </c>
      <c r="C12981" t="str">
        <f>IFERROR(__xludf.DUMMYFUNCTION("""COMPUTED_VALUE"""),"Romania")</f>
        <v>Romania</v>
      </c>
      <c r="D12981">
        <f>IFERROR(__xludf.DUMMYFUNCTION("""COMPUTED_VALUE"""),2005.0)</f>
        <v>2005</v>
      </c>
      <c r="E12981">
        <f>IFERROR(__xludf.DUMMYFUNCTION("""COMPUTED_VALUE"""),2.1431018E7)</f>
        <v>21431018</v>
      </c>
    </row>
    <row r="12982">
      <c r="A12982" t="str">
        <f t="shared" si="1"/>
        <v>rou#2006</v>
      </c>
      <c r="B12982" t="str">
        <f>IFERROR(__xludf.DUMMYFUNCTION("""COMPUTED_VALUE"""),"rou")</f>
        <v>rou</v>
      </c>
      <c r="C12982" t="str">
        <f>IFERROR(__xludf.DUMMYFUNCTION("""COMPUTED_VALUE"""),"Romania")</f>
        <v>Romania</v>
      </c>
      <c r="D12982">
        <f>IFERROR(__xludf.DUMMYFUNCTION("""COMPUTED_VALUE"""),2006.0)</f>
        <v>2006</v>
      </c>
      <c r="E12982">
        <f>IFERROR(__xludf.DUMMYFUNCTION("""COMPUTED_VALUE"""),2.1243922E7)</f>
        <v>21243922</v>
      </c>
    </row>
    <row r="12983">
      <c r="A12983" t="str">
        <f t="shared" si="1"/>
        <v>rou#2007</v>
      </c>
      <c r="B12983" t="str">
        <f>IFERROR(__xludf.DUMMYFUNCTION("""COMPUTED_VALUE"""),"rou")</f>
        <v>rou</v>
      </c>
      <c r="C12983" t="str">
        <f>IFERROR(__xludf.DUMMYFUNCTION("""COMPUTED_VALUE"""),"Romania")</f>
        <v>Romania</v>
      </c>
      <c r="D12983">
        <f>IFERROR(__xludf.DUMMYFUNCTION("""COMPUTED_VALUE"""),2007.0)</f>
        <v>2007</v>
      </c>
      <c r="E12983">
        <f>IFERROR(__xludf.DUMMYFUNCTION("""COMPUTED_VALUE"""),2.1036111E7)</f>
        <v>21036111</v>
      </c>
    </row>
    <row r="12984">
      <c r="A12984" t="str">
        <f t="shared" si="1"/>
        <v>rou#2008</v>
      </c>
      <c r="B12984" t="str">
        <f>IFERROR(__xludf.DUMMYFUNCTION("""COMPUTED_VALUE"""),"rou")</f>
        <v>rou</v>
      </c>
      <c r="C12984" t="str">
        <f>IFERROR(__xludf.DUMMYFUNCTION("""COMPUTED_VALUE"""),"Romania")</f>
        <v>Romania</v>
      </c>
      <c r="D12984">
        <f>IFERROR(__xludf.DUMMYFUNCTION("""COMPUTED_VALUE"""),2008.0)</f>
        <v>2008</v>
      </c>
      <c r="E12984">
        <f>IFERROR(__xludf.DUMMYFUNCTION("""COMPUTED_VALUE"""),2.0821084E7)</f>
        <v>20821084</v>
      </c>
    </row>
    <row r="12985">
      <c r="A12985" t="str">
        <f t="shared" si="1"/>
        <v>rou#2009</v>
      </c>
      <c r="B12985" t="str">
        <f>IFERROR(__xludf.DUMMYFUNCTION("""COMPUTED_VALUE"""),"rou")</f>
        <v>rou</v>
      </c>
      <c r="C12985" t="str">
        <f>IFERROR(__xludf.DUMMYFUNCTION("""COMPUTED_VALUE"""),"Romania")</f>
        <v>Romania</v>
      </c>
      <c r="D12985">
        <f>IFERROR(__xludf.DUMMYFUNCTION("""COMPUTED_VALUE"""),2009.0)</f>
        <v>2009</v>
      </c>
      <c r="E12985">
        <f>IFERROR(__xludf.DUMMYFUNCTION("""COMPUTED_VALUE"""),2.0617955E7)</f>
        <v>20617955</v>
      </c>
    </row>
    <row r="12986">
      <c r="A12986" t="str">
        <f t="shared" si="1"/>
        <v>rou#2010</v>
      </c>
      <c r="B12986" t="str">
        <f>IFERROR(__xludf.DUMMYFUNCTION("""COMPUTED_VALUE"""),"rou")</f>
        <v>rou</v>
      </c>
      <c r="C12986" t="str">
        <f>IFERROR(__xludf.DUMMYFUNCTION("""COMPUTED_VALUE"""),"Romania")</f>
        <v>Romania</v>
      </c>
      <c r="D12986">
        <f>IFERROR(__xludf.DUMMYFUNCTION("""COMPUTED_VALUE"""),2010.0)</f>
        <v>2010</v>
      </c>
      <c r="E12986">
        <f>IFERROR(__xludf.DUMMYFUNCTION("""COMPUTED_VALUE"""),2.0440347E7)</f>
        <v>20440347</v>
      </c>
    </row>
    <row r="12987">
      <c r="A12987" t="str">
        <f t="shared" si="1"/>
        <v>rou#2011</v>
      </c>
      <c r="B12987" t="str">
        <f>IFERROR(__xludf.DUMMYFUNCTION("""COMPUTED_VALUE"""),"rou")</f>
        <v>rou</v>
      </c>
      <c r="C12987" t="str">
        <f>IFERROR(__xludf.DUMMYFUNCTION("""COMPUTED_VALUE"""),"Romania")</f>
        <v>Romania</v>
      </c>
      <c r="D12987">
        <f>IFERROR(__xludf.DUMMYFUNCTION("""COMPUTED_VALUE"""),2011.0)</f>
        <v>2011</v>
      </c>
      <c r="E12987">
        <f>IFERROR(__xludf.DUMMYFUNCTION("""COMPUTED_VALUE"""),2.0292967E7)</f>
        <v>20292967</v>
      </c>
    </row>
    <row r="12988">
      <c r="A12988" t="str">
        <f t="shared" si="1"/>
        <v>rou#2012</v>
      </c>
      <c r="B12988" t="str">
        <f>IFERROR(__xludf.DUMMYFUNCTION("""COMPUTED_VALUE"""),"rou")</f>
        <v>rou</v>
      </c>
      <c r="C12988" t="str">
        <f>IFERROR(__xludf.DUMMYFUNCTION("""COMPUTED_VALUE"""),"Romania")</f>
        <v>Romania</v>
      </c>
      <c r="D12988">
        <f>IFERROR(__xludf.DUMMYFUNCTION("""COMPUTED_VALUE"""),2012.0)</f>
        <v>2012</v>
      </c>
      <c r="E12988">
        <f>IFERROR(__xludf.DUMMYFUNCTION("""COMPUTED_VALUE"""),2.0171255E7)</f>
        <v>20171255</v>
      </c>
    </row>
    <row r="12989">
      <c r="A12989" t="str">
        <f t="shared" si="1"/>
        <v>rou#2013</v>
      </c>
      <c r="B12989" t="str">
        <f>IFERROR(__xludf.DUMMYFUNCTION("""COMPUTED_VALUE"""),"rou")</f>
        <v>rou</v>
      </c>
      <c r="C12989" t="str">
        <f>IFERROR(__xludf.DUMMYFUNCTION("""COMPUTED_VALUE"""),"Romania")</f>
        <v>Romania</v>
      </c>
      <c r="D12989">
        <f>IFERROR(__xludf.DUMMYFUNCTION("""COMPUTED_VALUE"""),2013.0)</f>
        <v>2013</v>
      </c>
      <c r="E12989">
        <f>IFERROR(__xludf.DUMMYFUNCTION("""COMPUTED_VALUE"""),2.0068201E7)</f>
        <v>20068201</v>
      </c>
    </row>
    <row r="12990">
      <c r="A12990" t="str">
        <f t="shared" si="1"/>
        <v>rou#2014</v>
      </c>
      <c r="B12990" t="str">
        <f>IFERROR(__xludf.DUMMYFUNCTION("""COMPUTED_VALUE"""),"rou")</f>
        <v>rou</v>
      </c>
      <c r="C12990" t="str">
        <f>IFERROR(__xludf.DUMMYFUNCTION("""COMPUTED_VALUE"""),"Romania")</f>
        <v>Romania</v>
      </c>
      <c r="D12990">
        <f>IFERROR(__xludf.DUMMYFUNCTION("""COMPUTED_VALUE"""),2014.0)</f>
        <v>2014</v>
      </c>
      <c r="E12990">
        <f>IFERROR(__xludf.DUMMYFUNCTION("""COMPUTED_VALUE"""),1.9972736E7)</f>
        <v>19972736</v>
      </c>
    </row>
    <row r="12991">
      <c r="A12991" t="str">
        <f t="shared" si="1"/>
        <v>rou#2015</v>
      </c>
      <c r="B12991" t="str">
        <f>IFERROR(__xludf.DUMMYFUNCTION("""COMPUTED_VALUE"""),"rou")</f>
        <v>rou</v>
      </c>
      <c r="C12991" t="str">
        <f>IFERROR(__xludf.DUMMYFUNCTION("""COMPUTED_VALUE"""),"Romania")</f>
        <v>Romania</v>
      </c>
      <c r="D12991">
        <f>IFERROR(__xludf.DUMMYFUNCTION("""COMPUTED_VALUE"""),2015.0)</f>
        <v>2015</v>
      </c>
      <c r="E12991">
        <f>IFERROR(__xludf.DUMMYFUNCTION("""COMPUTED_VALUE"""),1.9876621E7)</f>
        <v>19876621</v>
      </c>
    </row>
    <row r="12992">
      <c r="A12992" t="str">
        <f t="shared" si="1"/>
        <v>rou#2016</v>
      </c>
      <c r="B12992" t="str">
        <f>IFERROR(__xludf.DUMMYFUNCTION("""COMPUTED_VALUE"""),"rou")</f>
        <v>rou</v>
      </c>
      <c r="C12992" t="str">
        <f>IFERROR(__xludf.DUMMYFUNCTION("""COMPUTED_VALUE"""),"Romania")</f>
        <v>Romania</v>
      </c>
      <c r="D12992">
        <f>IFERROR(__xludf.DUMMYFUNCTION("""COMPUTED_VALUE"""),2016.0)</f>
        <v>2016</v>
      </c>
      <c r="E12992">
        <f>IFERROR(__xludf.DUMMYFUNCTION("""COMPUTED_VALUE"""),1.9778083E7)</f>
        <v>19778083</v>
      </c>
    </row>
    <row r="12993">
      <c r="A12993" t="str">
        <f t="shared" si="1"/>
        <v>rou#2017</v>
      </c>
      <c r="B12993" t="str">
        <f>IFERROR(__xludf.DUMMYFUNCTION("""COMPUTED_VALUE"""),"rou")</f>
        <v>rou</v>
      </c>
      <c r="C12993" t="str">
        <f>IFERROR(__xludf.DUMMYFUNCTION("""COMPUTED_VALUE"""),"Romania")</f>
        <v>Romania</v>
      </c>
      <c r="D12993">
        <f>IFERROR(__xludf.DUMMYFUNCTION("""COMPUTED_VALUE"""),2017.0)</f>
        <v>2017</v>
      </c>
      <c r="E12993">
        <f>IFERROR(__xludf.DUMMYFUNCTION("""COMPUTED_VALUE"""),1.9679306E7)</f>
        <v>19679306</v>
      </c>
    </row>
    <row r="12994">
      <c r="A12994" t="str">
        <f t="shared" si="1"/>
        <v>rou#2018</v>
      </c>
      <c r="B12994" t="str">
        <f>IFERROR(__xludf.DUMMYFUNCTION("""COMPUTED_VALUE"""),"rou")</f>
        <v>rou</v>
      </c>
      <c r="C12994" t="str">
        <f>IFERROR(__xludf.DUMMYFUNCTION("""COMPUTED_VALUE"""),"Romania")</f>
        <v>Romania</v>
      </c>
      <c r="D12994">
        <f>IFERROR(__xludf.DUMMYFUNCTION("""COMPUTED_VALUE"""),2018.0)</f>
        <v>2018</v>
      </c>
      <c r="E12994">
        <f>IFERROR(__xludf.DUMMYFUNCTION("""COMPUTED_VALUE"""),1.9580634E7)</f>
        <v>19580634</v>
      </c>
    </row>
    <row r="12995">
      <c r="A12995" t="str">
        <f t="shared" si="1"/>
        <v>rou#2019</v>
      </c>
      <c r="B12995" t="str">
        <f>IFERROR(__xludf.DUMMYFUNCTION("""COMPUTED_VALUE"""),"rou")</f>
        <v>rou</v>
      </c>
      <c r="C12995" t="str">
        <f>IFERROR(__xludf.DUMMYFUNCTION("""COMPUTED_VALUE"""),"Romania")</f>
        <v>Romania</v>
      </c>
      <c r="D12995">
        <f>IFERROR(__xludf.DUMMYFUNCTION("""COMPUTED_VALUE"""),2019.0)</f>
        <v>2019</v>
      </c>
      <c r="E12995">
        <f>IFERROR(__xludf.DUMMYFUNCTION("""COMPUTED_VALUE"""),1.948336E7)</f>
        <v>19483360</v>
      </c>
    </row>
    <row r="12996">
      <c r="A12996" t="str">
        <f t="shared" si="1"/>
        <v>rou#2020</v>
      </c>
      <c r="B12996" t="str">
        <f>IFERROR(__xludf.DUMMYFUNCTION("""COMPUTED_VALUE"""),"rou")</f>
        <v>rou</v>
      </c>
      <c r="C12996" t="str">
        <f>IFERROR(__xludf.DUMMYFUNCTION("""COMPUTED_VALUE"""),"Romania")</f>
        <v>Romania</v>
      </c>
      <c r="D12996">
        <f>IFERROR(__xludf.DUMMYFUNCTION("""COMPUTED_VALUE"""),2020.0)</f>
        <v>2020</v>
      </c>
      <c r="E12996">
        <f>IFERROR(__xludf.DUMMYFUNCTION("""COMPUTED_VALUE"""),1.9388362E7)</f>
        <v>19388362</v>
      </c>
    </row>
    <row r="12997">
      <c r="A12997" t="str">
        <f t="shared" si="1"/>
        <v>rou#2021</v>
      </c>
      <c r="B12997" t="str">
        <f>IFERROR(__xludf.DUMMYFUNCTION("""COMPUTED_VALUE"""),"rou")</f>
        <v>rou</v>
      </c>
      <c r="C12997" t="str">
        <f>IFERROR(__xludf.DUMMYFUNCTION("""COMPUTED_VALUE"""),"Romania")</f>
        <v>Romania</v>
      </c>
      <c r="D12997">
        <f>IFERROR(__xludf.DUMMYFUNCTION("""COMPUTED_VALUE"""),2021.0)</f>
        <v>2021</v>
      </c>
      <c r="E12997">
        <f>IFERROR(__xludf.DUMMYFUNCTION("""COMPUTED_VALUE"""),1.9295077E7)</f>
        <v>19295077</v>
      </c>
    </row>
    <row r="12998">
      <c r="A12998" t="str">
        <f t="shared" si="1"/>
        <v>rou#2022</v>
      </c>
      <c r="B12998" t="str">
        <f>IFERROR(__xludf.DUMMYFUNCTION("""COMPUTED_VALUE"""),"rou")</f>
        <v>rou</v>
      </c>
      <c r="C12998" t="str">
        <f>IFERROR(__xludf.DUMMYFUNCTION("""COMPUTED_VALUE"""),"Romania")</f>
        <v>Romania</v>
      </c>
      <c r="D12998">
        <f>IFERROR(__xludf.DUMMYFUNCTION("""COMPUTED_VALUE"""),2022.0)</f>
        <v>2022</v>
      </c>
      <c r="E12998">
        <f>IFERROR(__xludf.DUMMYFUNCTION("""COMPUTED_VALUE"""),1.9202464E7)</f>
        <v>19202464</v>
      </c>
    </row>
    <row r="12999">
      <c r="A12999" t="str">
        <f t="shared" si="1"/>
        <v>rou#2023</v>
      </c>
      <c r="B12999" t="str">
        <f>IFERROR(__xludf.DUMMYFUNCTION("""COMPUTED_VALUE"""),"rou")</f>
        <v>rou</v>
      </c>
      <c r="C12999" t="str">
        <f>IFERROR(__xludf.DUMMYFUNCTION("""COMPUTED_VALUE"""),"Romania")</f>
        <v>Romania</v>
      </c>
      <c r="D12999">
        <f>IFERROR(__xludf.DUMMYFUNCTION("""COMPUTED_VALUE"""),2023.0)</f>
        <v>2023</v>
      </c>
      <c r="E12999">
        <f>IFERROR(__xludf.DUMMYFUNCTION("""COMPUTED_VALUE"""),1.9110317E7)</f>
        <v>19110317</v>
      </c>
    </row>
    <row r="13000">
      <c r="A13000" t="str">
        <f t="shared" si="1"/>
        <v>rou#2024</v>
      </c>
      <c r="B13000" t="str">
        <f>IFERROR(__xludf.DUMMYFUNCTION("""COMPUTED_VALUE"""),"rou")</f>
        <v>rou</v>
      </c>
      <c r="C13000" t="str">
        <f>IFERROR(__xludf.DUMMYFUNCTION("""COMPUTED_VALUE"""),"Romania")</f>
        <v>Romania</v>
      </c>
      <c r="D13000">
        <f>IFERROR(__xludf.DUMMYFUNCTION("""COMPUTED_VALUE"""),2024.0)</f>
        <v>2024</v>
      </c>
      <c r="E13000">
        <f>IFERROR(__xludf.DUMMYFUNCTION("""COMPUTED_VALUE"""),1.9018547E7)</f>
        <v>19018547</v>
      </c>
    </row>
    <row r="13001">
      <c r="A13001" t="str">
        <f t="shared" si="1"/>
        <v>rou#2025</v>
      </c>
      <c r="B13001" t="str">
        <f>IFERROR(__xludf.DUMMYFUNCTION("""COMPUTED_VALUE"""),"rou")</f>
        <v>rou</v>
      </c>
      <c r="C13001" t="str">
        <f>IFERROR(__xludf.DUMMYFUNCTION("""COMPUTED_VALUE"""),"Romania")</f>
        <v>Romania</v>
      </c>
      <c r="D13001">
        <f>IFERROR(__xludf.DUMMYFUNCTION("""COMPUTED_VALUE"""),2025.0)</f>
        <v>2025</v>
      </c>
      <c r="E13001">
        <f>IFERROR(__xludf.DUMMYFUNCTION("""COMPUTED_VALUE"""),1.8926996E7)</f>
        <v>18926996</v>
      </c>
    </row>
    <row r="13002">
      <c r="A13002" t="str">
        <f t="shared" si="1"/>
        <v>rou#2026</v>
      </c>
      <c r="B13002" t="str">
        <f>IFERROR(__xludf.DUMMYFUNCTION("""COMPUTED_VALUE"""),"rou")</f>
        <v>rou</v>
      </c>
      <c r="C13002" t="str">
        <f>IFERROR(__xludf.DUMMYFUNCTION("""COMPUTED_VALUE"""),"Romania")</f>
        <v>Romania</v>
      </c>
      <c r="D13002">
        <f>IFERROR(__xludf.DUMMYFUNCTION("""COMPUTED_VALUE"""),2026.0)</f>
        <v>2026</v>
      </c>
      <c r="E13002">
        <f>IFERROR(__xludf.DUMMYFUNCTION("""COMPUTED_VALUE"""),1.8835515E7)</f>
        <v>18835515</v>
      </c>
    </row>
    <row r="13003">
      <c r="A13003" t="str">
        <f t="shared" si="1"/>
        <v>rou#2027</v>
      </c>
      <c r="B13003" t="str">
        <f>IFERROR(__xludf.DUMMYFUNCTION("""COMPUTED_VALUE"""),"rou")</f>
        <v>rou</v>
      </c>
      <c r="C13003" t="str">
        <f>IFERROR(__xludf.DUMMYFUNCTION("""COMPUTED_VALUE"""),"Romania")</f>
        <v>Romania</v>
      </c>
      <c r="D13003">
        <f>IFERROR(__xludf.DUMMYFUNCTION("""COMPUTED_VALUE"""),2027.0)</f>
        <v>2027</v>
      </c>
      <c r="E13003">
        <f>IFERROR(__xludf.DUMMYFUNCTION("""COMPUTED_VALUE"""),1.8743871E7)</f>
        <v>18743871</v>
      </c>
    </row>
    <row r="13004">
      <c r="A13004" t="str">
        <f t="shared" si="1"/>
        <v>rou#2028</v>
      </c>
      <c r="B13004" t="str">
        <f>IFERROR(__xludf.DUMMYFUNCTION("""COMPUTED_VALUE"""),"rou")</f>
        <v>rou</v>
      </c>
      <c r="C13004" t="str">
        <f>IFERROR(__xludf.DUMMYFUNCTION("""COMPUTED_VALUE"""),"Romania")</f>
        <v>Romania</v>
      </c>
      <c r="D13004">
        <f>IFERROR(__xludf.DUMMYFUNCTION("""COMPUTED_VALUE"""),2028.0)</f>
        <v>2028</v>
      </c>
      <c r="E13004">
        <f>IFERROR(__xludf.DUMMYFUNCTION("""COMPUTED_VALUE"""),1.8651688E7)</f>
        <v>18651688</v>
      </c>
    </row>
    <row r="13005">
      <c r="A13005" t="str">
        <f t="shared" si="1"/>
        <v>rou#2029</v>
      </c>
      <c r="B13005" t="str">
        <f>IFERROR(__xludf.DUMMYFUNCTION("""COMPUTED_VALUE"""),"rou")</f>
        <v>rou</v>
      </c>
      <c r="C13005" t="str">
        <f>IFERROR(__xludf.DUMMYFUNCTION("""COMPUTED_VALUE"""),"Romania")</f>
        <v>Romania</v>
      </c>
      <c r="D13005">
        <f>IFERROR(__xludf.DUMMYFUNCTION("""COMPUTED_VALUE"""),2029.0)</f>
        <v>2029</v>
      </c>
      <c r="E13005">
        <f>IFERROR(__xludf.DUMMYFUNCTION("""COMPUTED_VALUE"""),1.8558574E7)</f>
        <v>18558574</v>
      </c>
    </row>
    <row r="13006">
      <c r="A13006" t="str">
        <f t="shared" si="1"/>
        <v>rou#2030</v>
      </c>
      <c r="B13006" t="str">
        <f>IFERROR(__xludf.DUMMYFUNCTION("""COMPUTED_VALUE"""),"rou")</f>
        <v>rou</v>
      </c>
      <c r="C13006" t="str">
        <f>IFERROR(__xludf.DUMMYFUNCTION("""COMPUTED_VALUE"""),"Romania")</f>
        <v>Romania</v>
      </c>
      <c r="D13006">
        <f>IFERROR(__xludf.DUMMYFUNCTION("""COMPUTED_VALUE"""),2030.0)</f>
        <v>2030</v>
      </c>
      <c r="E13006">
        <f>IFERROR(__xludf.DUMMYFUNCTION("""COMPUTED_VALUE"""),1.8464237E7)</f>
        <v>18464237</v>
      </c>
    </row>
    <row r="13007">
      <c r="A13007" t="str">
        <f t="shared" si="1"/>
        <v>rou#2031</v>
      </c>
      <c r="B13007" t="str">
        <f>IFERROR(__xludf.DUMMYFUNCTION("""COMPUTED_VALUE"""),"rou")</f>
        <v>rou</v>
      </c>
      <c r="C13007" t="str">
        <f>IFERROR(__xludf.DUMMYFUNCTION("""COMPUTED_VALUE"""),"Romania")</f>
        <v>Romania</v>
      </c>
      <c r="D13007">
        <f>IFERROR(__xludf.DUMMYFUNCTION("""COMPUTED_VALUE"""),2031.0)</f>
        <v>2031</v>
      </c>
      <c r="E13007">
        <f>IFERROR(__xludf.DUMMYFUNCTION("""COMPUTED_VALUE"""),1.8368469E7)</f>
        <v>18368469</v>
      </c>
    </row>
    <row r="13008">
      <c r="A13008" t="str">
        <f t="shared" si="1"/>
        <v>rou#2032</v>
      </c>
      <c r="B13008" t="str">
        <f>IFERROR(__xludf.DUMMYFUNCTION("""COMPUTED_VALUE"""),"rou")</f>
        <v>rou</v>
      </c>
      <c r="C13008" t="str">
        <f>IFERROR(__xludf.DUMMYFUNCTION("""COMPUTED_VALUE"""),"Romania")</f>
        <v>Romania</v>
      </c>
      <c r="D13008">
        <f>IFERROR(__xludf.DUMMYFUNCTION("""COMPUTED_VALUE"""),2032.0)</f>
        <v>2032</v>
      </c>
      <c r="E13008">
        <f>IFERROR(__xludf.DUMMYFUNCTION("""COMPUTED_VALUE"""),1.8271307E7)</f>
        <v>18271307</v>
      </c>
    </row>
    <row r="13009">
      <c r="A13009" t="str">
        <f t="shared" si="1"/>
        <v>rou#2033</v>
      </c>
      <c r="B13009" t="str">
        <f>IFERROR(__xludf.DUMMYFUNCTION("""COMPUTED_VALUE"""),"rou")</f>
        <v>rou</v>
      </c>
      <c r="C13009" t="str">
        <f>IFERROR(__xludf.DUMMYFUNCTION("""COMPUTED_VALUE"""),"Romania")</f>
        <v>Romania</v>
      </c>
      <c r="D13009">
        <f>IFERROR(__xludf.DUMMYFUNCTION("""COMPUTED_VALUE"""),2033.0)</f>
        <v>2033</v>
      </c>
      <c r="E13009">
        <f>IFERROR(__xludf.DUMMYFUNCTION("""COMPUTED_VALUE"""),1.8172918E7)</f>
        <v>18172918</v>
      </c>
    </row>
    <row r="13010">
      <c r="A13010" t="str">
        <f t="shared" si="1"/>
        <v>rou#2034</v>
      </c>
      <c r="B13010" t="str">
        <f>IFERROR(__xludf.DUMMYFUNCTION("""COMPUTED_VALUE"""),"rou")</f>
        <v>rou</v>
      </c>
      <c r="C13010" t="str">
        <f>IFERROR(__xludf.DUMMYFUNCTION("""COMPUTED_VALUE"""),"Romania")</f>
        <v>Romania</v>
      </c>
      <c r="D13010">
        <f>IFERROR(__xludf.DUMMYFUNCTION("""COMPUTED_VALUE"""),2034.0)</f>
        <v>2034</v>
      </c>
      <c r="E13010">
        <f>IFERROR(__xludf.DUMMYFUNCTION("""COMPUTED_VALUE"""),1.8073615E7)</f>
        <v>18073615</v>
      </c>
    </row>
    <row r="13011">
      <c r="A13011" t="str">
        <f t="shared" si="1"/>
        <v>rou#2035</v>
      </c>
      <c r="B13011" t="str">
        <f>IFERROR(__xludf.DUMMYFUNCTION("""COMPUTED_VALUE"""),"rou")</f>
        <v>rou</v>
      </c>
      <c r="C13011" t="str">
        <f>IFERROR(__xludf.DUMMYFUNCTION("""COMPUTED_VALUE"""),"Romania")</f>
        <v>Romania</v>
      </c>
      <c r="D13011">
        <f>IFERROR(__xludf.DUMMYFUNCTION("""COMPUTED_VALUE"""),2035.0)</f>
        <v>2035</v>
      </c>
      <c r="E13011">
        <f>IFERROR(__xludf.DUMMYFUNCTION("""COMPUTED_VALUE"""),1.7973608E7)</f>
        <v>17973608</v>
      </c>
    </row>
    <row r="13012">
      <c r="A13012" t="str">
        <f t="shared" si="1"/>
        <v>rou#2036</v>
      </c>
      <c r="B13012" t="str">
        <f>IFERROR(__xludf.DUMMYFUNCTION("""COMPUTED_VALUE"""),"rou")</f>
        <v>rou</v>
      </c>
      <c r="C13012" t="str">
        <f>IFERROR(__xludf.DUMMYFUNCTION("""COMPUTED_VALUE"""),"Romania")</f>
        <v>Romania</v>
      </c>
      <c r="D13012">
        <f>IFERROR(__xludf.DUMMYFUNCTION("""COMPUTED_VALUE"""),2036.0)</f>
        <v>2036</v>
      </c>
      <c r="E13012">
        <f>IFERROR(__xludf.DUMMYFUNCTION("""COMPUTED_VALUE"""),1.7872963E7)</f>
        <v>17872963</v>
      </c>
    </row>
    <row r="13013">
      <c r="A13013" t="str">
        <f t="shared" si="1"/>
        <v>rou#2037</v>
      </c>
      <c r="B13013" t="str">
        <f>IFERROR(__xludf.DUMMYFUNCTION("""COMPUTED_VALUE"""),"rou")</f>
        <v>rou</v>
      </c>
      <c r="C13013" t="str">
        <f>IFERROR(__xludf.DUMMYFUNCTION("""COMPUTED_VALUE"""),"Romania")</f>
        <v>Romania</v>
      </c>
      <c r="D13013">
        <f>IFERROR(__xludf.DUMMYFUNCTION("""COMPUTED_VALUE"""),2037.0)</f>
        <v>2037</v>
      </c>
      <c r="E13013">
        <f>IFERROR(__xludf.DUMMYFUNCTION("""COMPUTED_VALUE"""),1.7771618E7)</f>
        <v>17771618</v>
      </c>
    </row>
    <row r="13014">
      <c r="A13014" t="str">
        <f t="shared" si="1"/>
        <v>rou#2038</v>
      </c>
      <c r="B13014" t="str">
        <f>IFERROR(__xludf.DUMMYFUNCTION("""COMPUTED_VALUE"""),"rou")</f>
        <v>rou</v>
      </c>
      <c r="C13014" t="str">
        <f>IFERROR(__xludf.DUMMYFUNCTION("""COMPUTED_VALUE"""),"Romania")</f>
        <v>Romania</v>
      </c>
      <c r="D13014">
        <f>IFERROR(__xludf.DUMMYFUNCTION("""COMPUTED_VALUE"""),2038.0)</f>
        <v>2038</v>
      </c>
      <c r="E13014">
        <f>IFERROR(__xludf.DUMMYFUNCTION("""COMPUTED_VALUE"""),1.7669546E7)</f>
        <v>17669546</v>
      </c>
    </row>
    <row r="13015">
      <c r="A13015" t="str">
        <f t="shared" si="1"/>
        <v>rou#2039</v>
      </c>
      <c r="B13015" t="str">
        <f>IFERROR(__xludf.DUMMYFUNCTION("""COMPUTED_VALUE"""),"rou")</f>
        <v>rou</v>
      </c>
      <c r="C13015" t="str">
        <f>IFERROR(__xludf.DUMMYFUNCTION("""COMPUTED_VALUE"""),"Romania")</f>
        <v>Romania</v>
      </c>
      <c r="D13015">
        <f>IFERROR(__xludf.DUMMYFUNCTION("""COMPUTED_VALUE"""),2039.0)</f>
        <v>2039</v>
      </c>
      <c r="E13015">
        <f>IFERROR(__xludf.DUMMYFUNCTION("""COMPUTED_VALUE"""),1.7566716E7)</f>
        <v>17566716</v>
      </c>
    </row>
    <row r="13016">
      <c r="A13016" t="str">
        <f t="shared" si="1"/>
        <v>rou#2040</v>
      </c>
      <c r="B13016" t="str">
        <f>IFERROR(__xludf.DUMMYFUNCTION("""COMPUTED_VALUE"""),"rou")</f>
        <v>rou</v>
      </c>
      <c r="C13016" t="str">
        <f>IFERROR(__xludf.DUMMYFUNCTION("""COMPUTED_VALUE"""),"Romania")</f>
        <v>Romania</v>
      </c>
      <c r="D13016">
        <f>IFERROR(__xludf.DUMMYFUNCTION("""COMPUTED_VALUE"""),2040.0)</f>
        <v>2040</v>
      </c>
      <c r="E13016">
        <f>IFERROR(__xludf.DUMMYFUNCTION("""COMPUTED_VALUE"""),1.746311E7)</f>
        <v>17463110</v>
      </c>
    </row>
    <row r="13017">
      <c r="A13017" t="str">
        <f t="shared" si="1"/>
        <v>rus#1950</v>
      </c>
      <c r="B13017" t="str">
        <f>IFERROR(__xludf.DUMMYFUNCTION("""COMPUTED_VALUE"""),"rus")</f>
        <v>rus</v>
      </c>
      <c r="C13017" t="str">
        <f>IFERROR(__xludf.DUMMYFUNCTION("""COMPUTED_VALUE"""),"Russia")</f>
        <v>Russia</v>
      </c>
      <c r="D13017">
        <f>IFERROR(__xludf.DUMMYFUNCTION("""COMPUTED_VALUE"""),1950.0)</f>
        <v>1950</v>
      </c>
      <c r="E13017">
        <f>IFERROR(__xludf.DUMMYFUNCTION("""COMPUTED_VALUE"""),1.02798657E8)</f>
        <v>102798657</v>
      </c>
    </row>
    <row r="13018">
      <c r="A13018" t="str">
        <f t="shared" si="1"/>
        <v>rus#1951</v>
      </c>
      <c r="B13018" t="str">
        <f>IFERROR(__xludf.DUMMYFUNCTION("""COMPUTED_VALUE"""),"rus")</f>
        <v>rus</v>
      </c>
      <c r="C13018" t="str">
        <f>IFERROR(__xludf.DUMMYFUNCTION("""COMPUTED_VALUE"""),"Russia")</f>
        <v>Russia</v>
      </c>
      <c r="D13018">
        <f>IFERROR(__xludf.DUMMYFUNCTION("""COMPUTED_VALUE"""),1951.0)</f>
        <v>1951</v>
      </c>
      <c r="E13018">
        <f>IFERROR(__xludf.DUMMYFUNCTION("""COMPUTED_VALUE"""),1.04306139E8)</f>
        <v>104306139</v>
      </c>
    </row>
    <row r="13019">
      <c r="A13019" t="str">
        <f t="shared" si="1"/>
        <v>rus#1952</v>
      </c>
      <c r="B13019" t="str">
        <f>IFERROR(__xludf.DUMMYFUNCTION("""COMPUTED_VALUE"""),"rus")</f>
        <v>rus</v>
      </c>
      <c r="C13019" t="str">
        <f>IFERROR(__xludf.DUMMYFUNCTION("""COMPUTED_VALUE"""),"Russia")</f>
        <v>Russia</v>
      </c>
      <c r="D13019">
        <f>IFERROR(__xludf.DUMMYFUNCTION("""COMPUTED_VALUE"""),1952.0)</f>
        <v>1952</v>
      </c>
      <c r="E13019">
        <f>IFERROR(__xludf.DUMMYFUNCTION("""COMPUTED_VALUE"""),1.05969201E8)</f>
        <v>105969201</v>
      </c>
    </row>
    <row r="13020">
      <c r="A13020" t="str">
        <f t="shared" si="1"/>
        <v>rus#1953</v>
      </c>
      <c r="B13020" t="str">
        <f>IFERROR(__xludf.DUMMYFUNCTION("""COMPUTED_VALUE"""),"rus")</f>
        <v>rus</v>
      </c>
      <c r="C13020" t="str">
        <f>IFERROR(__xludf.DUMMYFUNCTION("""COMPUTED_VALUE"""),"Russia")</f>
        <v>Russia</v>
      </c>
      <c r="D13020">
        <f>IFERROR(__xludf.DUMMYFUNCTION("""COMPUTED_VALUE"""),1953.0)</f>
        <v>1953</v>
      </c>
      <c r="E13020">
        <f>IFERROR(__xludf.DUMMYFUNCTION("""COMPUTED_VALUE"""),1.07729374E8)</f>
        <v>107729374</v>
      </c>
    </row>
    <row r="13021">
      <c r="A13021" t="str">
        <f t="shared" si="1"/>
        <v>rus#1954</v>
      </c>
      <c r="B13021" t="str">
        <f>IFERROR(__xludf.DUMMYFUNCTION("""COMPUTED_VALUE"""),"rus")</f>
        <v>rus</v>
      </c>
      <c r="C13021" t="str">
        <f>IFERROR(__xludf.DUMMYFUNCTION("""COMPUTED_VALUE"""),"Russia")</f>
        <v>Russia</v>
      </c>
      <c r="D13021">
        <f>IFERROR(__xludf.DUMMYFUNCTION("""COMPUTED_VALUE"""),1954.0)</f>
        <v>1954</v>
      </c>
      <c r="E13021">
        <f>IFERROR(__xludf.DUMMYFUNCTION("""COMPUTED_VALUE"""),1.09537789E8)</f>
        <v>109537789</v>
      </c>
    </row>
    <row r="13022">
      <c r="A13022" t="str">
        <f t="shared" si="1"/>
        <v>rus#1955</v>
      </c>
      <c r="B13022" t="str">
        <f>IFERROR(__xludf.DUMMYFUNCTION("""COMPUTED_VALUE"""),"rus")</f>
        <v>rus</v>
      </c>
      <c r="C13022" t="str">
        <f>IFERROR(__xludf.DUMMYFUNCTION("""COMPUTED_VALUE"""),"Russia")</f>
        <v>Russia</v>
      </c>
      <c r="D13022">
        <f>IFERROR(__xludf.DUMMYFUNCTION("""COMPUTED_VALUE"""),1955.0)</f>
        <v>1955</v>
      </c>
      <c r="E13022">
        <f>IFERROR(__xludf.DUMMYFUNCTION("""COMPUTED_VALUE"""),1.11355221E8)</f>
        <v>111355221</v>
      </c>
    </row>
    <row r="13023">
      <c r="A13023" t="str">
        <f t="shared" si="1"/>
        <v>rus#1956</v>
      </c>
      <c r="B13023" t="str">
        <f>IFERROR(__xludf.DUMMYFUNCTION("""COMPUTED_VALUE"""),"rus")</f>
        <v>rus</v>
      </c>
      <c r="C13023" t="str">
        <f>IFERROR(__xludf.DUMMYFUNCTION("""COMPUTED_VALUE"""),"Russia")</f>
        <v>Russia</v>
      </c>
      <c r="D13023">
        <f>IFERROR(__xludf.DUMMYFUNCTION("""COMPUTED_VALUE"""),1956.0)</f>
        <v>1956</v>
      </c>
      <c r="E13023">
        <f>IFERROR(__xludf.DUMMYFUNCTION("""COMPUTED_VALUE"""),1.13152375E8)</f>
        <v>113152375</v>
      </c>
    </row>
    <row r="13024">
      <c r="A13024" t="str">
        <f t="shared" si="1"/>
        <v>rus#1957</v>
      </c>
      <c r="B13024" t="str">
        <f>IFERROR(__xludf.DUMMYFUNCTION("""COMPUTED_VALUE"""),"rus")</f>
        <v>rus</v>
      </c>
      <c r="C13024" t="str">
        <f>IFERROR(__xludf.DUMMYFUNCTION("""COMPUTED_VALUE"""),"Russia")</f>
        <v>Russia</v>
      </c>
      <c r="D13024">
        <f>IFERROR(__xludf.DUMMYFUNCTION("""COMPUTED_VALUE"""),1957.0)</f>
        <v>1957</v>
      </c>
      <c r="E13024">
        <f>IFERROR(__xludf.DUMMYFUNCTION("""COMPUTED_VALUE"""),1.14909591E8)</f>
        <v>114909591</v>
      </c>
    </row>
    <row r="13025">
      <c r="A13025" t="str">
        <f t="shared" si="1"/>
        <v>rus#1958</v>
      </c>
      <c r="B13025" t="str">
        <f>IFERROR(__xludf.DUMMYFUNCTION("""COMPUTED_VALUE"""),"rus")</f>
        <v>rus</v>
      </c>
      <c r="C13025" t="str">
        <f>IFERROR(__xludf.DUMMYFUNCTION("""COMPUTED_VALUE"""),"Russia")</f>
        <v>Russia</v>
      </c>
      <c r="D13025">
        <f>IFERROR(__xludf.DUMMYFUNCTION("""COMPUTED_VALUE"""),1958.0)</f>
        <v>1958</v>
      </c>
      <c r="E13025">
        <f>IFERROR(__xludf.DUMMYFUNCTION("""COMPUTED_VALUE"""),1.16615773E8)</f>
        <v>116615773</v>
      </c>
    </row>
    <row r="13026">
      <c r="A13026" t="str">
        <f t="shared" si="1"/>
        <v>rus#1959</v>
      </c>
      <c r="B13026" t="str">
        <f>IFERROR(__xludf.DUMMYFUNCTION("""COMPUTED_VALUE"""),"rus")</f>
        <v>rus</v>
      </c>
      <c r="C13026" t="str">
        <f>IFERROR(__xludf.DUMMYFUNCTION("""COMPUTED_VALUE"""),"Russia")</f>
        <v>Russia</v>
      </c>
      <c r="D13026">
        <f>IFERROR(__xludf.DUMMYFUNCTION("""COMPUTED_VALUE"""),1959.0)</f>
        <v>1959</v>
      </c>
      <c r="E13026">
        <f>IFERROR(__xludf.DUMMYFUNCTION("""COMPUTED_VALUE"""),1.18266782E8)</f>
        <v>118266782</v>
      </c>
    </row>
    <row r="13027">
      <c r="A13027" t="str">
        <f t="shared" si="1"/>
        <v>rus#1960</v>
      </c>
      <c r="B13027" t="str">
        <f>IFERROR(__xludf.DUMMYFUNCTION("""COMPUTED_VALUE"""),"rus")</f>
        <v>rus</v>
      </c>
      <c r="C13027" t="str">
        <f>IFERROR(__xludf.DUMMYFUNCTION("""COMPUTED_VALUE"""),"Russia")</f>
        <v>Russia</v>
      </c>
      <c r="D13027">
        <f>IFERROR(__xludf.DUMMYFUNCTION("""COMPUTED_VALUE"""),1960.0)</f>
        <v>1960</v>
      </c>
      <c r="E13027">
        <f>IFERROR(__xludf.DUMMYFUNCTION("""COMPUTED_VALUE"""),1.19860288E8)</f>
        <v>119860288</v>
      </c>
    </row>
    <row r="13028">
      <c r="A13028" t="str">
        <f t="shared" si="1"/>
        <v>rus#1961</v>
      </c>
      <c r="B13028" t="str">
        <f>IFERROR(__xludf.DUMMYFUNCTION("""COMPUTED_VALUE"""),"rus")</f>
        <v>rus</v>
      </c>
      <c r="C13028" t="str">
        <f>IFERROR(__xludf.DUMMYFUNCTION("""COMPUTED_VALUE"""),"Russia")</f>
        <v>Russia</v>
      </c>
      <c r="D13028">
        <f>IFERROR(__xludf.DUMMYFUNCTION("""COMPUTED_VALUE"""),1961.0)</f>
        <v>1961</v>
      </c>
      <c r="E13028">
        <f>IFERROR(__xludf.DUMMYFUNCTION("""COMPUTED_VALUE"""),1.21390406E8)</f>
        <v>121390406</v>
      </c>
    </row>
    <row r="13029">
      <c r="A13029" t="str">
        <f t="shared" si="1"/>
        <v>rus#1962</v>
      </c>
      <c r="B13029" t="str">
        <f>IFERROR(__xludf.DUMMYFUNCTION("""COMPUTED_VALUE"""),"rus")</f>
        <v>rus</v>
      </c>
      <c r="C13029" t="str">
        <f>IFERROR(__xludf.DUMMYFUNCTION("""COMPUTED_VALUE"""),"Russia")</f>
        <v>Russia</v>
      </c>
      <c r="D13029">
        <f>IFERROR(__xludf.DUMMYFUNCTION("""COMPUTED_VALUE"""),1962.0)</f>
        <v>1962</v>
      </c>
      <c r="E13029">
        <f>IFERROR(__xludf.DUMMYFUNCTION("""COMPUTED_VALUE"""),1.2284295E8)</f>
        <v>122842950</v>
      </c>
    </row>
    <row r="13030">
      <c r="A13030" t="str">
        <f t="shared" si="1"/>
        <v>rus#1963</v>
      </c>
      <c r="B13030" t="str">
        <f>IFERROR(__xludf.DUMMYFUNCTION("""COMPUTED_VALUE"""),"rus")</f>
        <v>rus</v>
      </c>
      <c r="C13030" t="str">
        <f>IFERROR(__xludf.DUMMYFUNCTION("""COMPUTED_VALUE"""),"Russia")</f>
        <v>Russia</v>
      </c>
      <c r="D13030">
        <f>IFERROR(__xludf.DUMMYFUNCTION("""COMPUTED_VALUE"""),1963.0)</f>
        <v>1963</v>
      </c>
      <c r="E13030">
        <f>IFERROR(__xludf.DUMMYFUNCTION("""COMPUTED_VALUE"""),1.24193394E8)</f>
        <v>124193394</v>
      </c>
    </row>
    <row r="13031">
      <c r="A13031" t="str">
        <f t="shared" si="1"/>
        <v>rus#1964</v>
      </c>
      <c r="B13031" t="str">
        <f>IFERROR(__xludf.DUMMYFUNCTION("""COMPUTED_VALUE"""),"rus")</f>
        <v>rus</v>
      </c>
      <c r="C13031" t="str">
        <f>IFERROR(__xludf.DUMMYFUNCTION("""COMPUTED_VALUE"""),"Russia")</f>
        <v>Russia</v>
      </c>
      <c r="D13031">
        <f>IFERROR(__xludf.DUMMYFUNCTION("""COMPUTED_VALUE"""),1964.0)</f>
        <v>1964</v>
      </c>
      <c r="E13031">
        <f>IFERROR(__xludf.DUMMYFUNCTION("""COMPUTED_VALUE"""),1.25412625E8)</f>
        <v>125412625</v>
      </c>
    </row>
    <row r="13032">
      <c r="A13032" t="str">
        <f t="shared" si="1"/>
        <v>rus#1965</v>
      </c>
      <c r="B13032" t="str">
        <f>IFERROR(__xludf.DUMMYFUNCTION("""COMPUTED_VALUE"""),"rus")</f>
        <v>rus</v>
      </c>
      <c r="C13032" t="str">
        <f>IFERROR(__xludf.DUMMYFUNCTION("""COMPUTED_VALUE"""),"Russia")</f>
        <v>Russia</v>
      </c>
      <c r="D13032">
        <f>IFERROR(__xludf.DUMMYFUNCTION("""COMPUTED_VALUE"""),1965.0)</f>
        <v>1965</v>
      </c>
      <c r="E13032">
        <f>IFERROR(__xludf.DUMMYFUNCTION("""COMPUTED_VALUE"""),1.26483875E8)</f>
        <v>126483875</v>
      </c>
    </row>
    <row r="13033">
      <c r="A13033" t="str">
        <f t="shared" si="1"/>
        <v>rus#1966</v>
      </c>
      <c r="B13033" t="str">
        <f>IFERROR(__xludf.DUMMYFUNCTION("""COMPUTED_VALUE"""),"rus")</f>
        <v>rus</v>
      </c>
      <c r="C13033" t="str">
        <f>IFERROR(__xludf.DUMMYFUNCTION("""COMPUTED_VALUE"""),"Russia")</f>
        <v>Russia</v>
      </c>
      <c r="D13033">
        <f>IFERROR(__xludf.DUMMYFUNCTION("""COMPUTED_VALUE"""),1966.0)</f>
        <v>1966</v>
      </c>
      <c r="E13033">
        <f>IFERROR(__xludf.DUMMYFUNCTION("""COMPUTED_VALUE"""),1.27395883E8)</f>
        <v>127395883</v>
      </c>
    </row>
    <row r="13034">
      <c r="A13034" t="str">
        <f t="shared" si="1"/>
        <v>rus#1967</v>
      </c>
      <c r="B13034" t="str">
        <f>IFERROR(__xludf.DUMMYFUNCTION("""COMPUTED_VALUE"""),"rus")</f>
        <v>rus</v>
      </c>
      <c r="C13034" t="str">
        <f>IFERROR(__xludf.DUMMYFUNCTION("""COMPUTED_VALUE"""),"Russia")</f>
        <v>Russia</v>
      </c>
      <c r="D13034">
        <f>IFERROR(__xludf.DUMMYFUNCTION("""COMPUTED_VALUE"""),1967.0)</f>
        <v>1967</v>
      </c>
      <c r="E13034">
        <f>IFERROR(__xludf.DUMMYFUNCTION("""COMPUTED_VALUE"""),1.28164764E8)</f>
        <v>128164764</v>
      </c>
    </row>
    <row r="13035">
      <c r="A13035" t="str">
        <f t="shared" si="1"/>
        <v>rus#1968</v>
      </c>
      <c r="B13035" t="str">
        <f>IFERROR(__xludf.DUMMYFUNCTION("""COMPUTED_VALUE"""),"rus")</f>
        <v>rus</v>
      </c>
      <c r="C13035" t="str">
        <f>IFERROR(__xludf.DUMMYFUNCTION("""COMPUTED_VALUE"""),"Russia")</f>
        <v>Russia</v>
      </c>
      <c r="D13035">
        <f>IFERROR(__xludf.DUMMYFUNCTION("""COMPUTED_VALUE"""),1968.0)</f>
        <v>1968</v>
      </c>
      <c r="E13035">
        <f>IFERROR(__xludf.DUMMYFUNCTION("""COMPUTED_VALUE"""),1.28836021E8)</f>
        <v>128836021</v>
      </c>
    </row>
    <row r="13036">
      <c r="A13036" t="str">
        <f t="shared" si="1"/>
        <v>rus#1969</v>
      </c>
      <c r="B13036" t="str">
        <f>IFERROR(__xludf.DUMMYFUNCTION("""COMPUTED_VALUE"""),"rus")</f>
        <v>rus</v>
      </c>
      <c r="C13036" t="str">
        <f>IFERROR(__xludf.DUMMYFUNCTION("""COMPUTED_VALUE"""),"Russia")</f>
        <v>Russia</v>
      </c>
      <c r="D13036">
        <f>IFERROR(__xludf.DUMMYFUNCTION("""COMPUTED_VALUE"""),1969.0)</f>
        <v>1969</v>
      </c>
      <c r="E13036">
        <f>IFERROR(__xludf.DUMMYFUNCTION("""COMPUTED_VALUE"""),1.29472835E8)</f>
        <v>129472835</v>
      </c>
    </row>
    <row r="13037">
      <c r="A13037" t="str">
        <f t="shared" si="1"/>
        <v>rus#1970</v>
      </c>
      <c r="B13037" t="str">
        <f>IFERROR(__xludf.DUMMYFUNCTION("""COMPUTED_VALUE"""),"rus")</f>
        <v>rus</v>
      </c>
      <c r="C13037" t="str">
        <f>IFERROR(__xludf.DUMMYFUNCTION("""COMPUTED_VALUE"""),"Russia")</f>
        <v>Russia</v>
      </c>
      <c r="D13037">
        <f>IFERROR(__xludf.DUMMYFUNCTION("""COMPUTED_VALUE"""),1970.0)</f>
        <v>1970</v>
      </c>
      <c r="E13037">
        <f>IFERROR(__xludf.DUMMYFUNCTION("""COMPUTED_VALUE"""),1.30123431E8)</f>
        <v>130123431</v>
      </c>
    </row>
    <row r="13038">
      <c r="A13038" t="str">
        <f t="shared" si="1"/>
        <v>rus#1971</v>
      </c>
      <c r="B13038" t="str">
        <f>IFERROR(__xludf.DUMMYFUNCTION("""COMPUTED_VALUE"""),"rus")</f>
        <v>rus</v>
      </c>
      <c r="C13038" t="str">
        <f>IFERROR(__xludf.DUMMYFUNCTION("""COMPUTED_VALUE"""),"Russia")</f>
        <v>Russia</v>
      </c>
      <c r="D13038">
        <f>IFERROR(__xludf.DUMMYFUNCTION("""COMPUTED_VALUE"""),1971.0)</f>
        <v>1971</v>
      </c>
      <c r="E13038">
        <f>IFERROR(__xludf.DUMMYFUNCTION("""COMPUTED_VALUE"""),1.30805201E8)</f>
        <v>130805201</v>
      </c>
    </row>
    <row r="13039">
      <c r="A13039" t="str">
        <f t="shared" si="1"/>
        <v>rus#1972</v>
      </c>
      <c r="B13039" t="str">
        <f>IFERROR(__xludf.DUMMYFUNCTION("""COMPUTED_VALUE"""),"rus")</f>
        <v>rus</v>
      </c>
      <c r="C13039" t="str">
        <f>IFERROR(__xludf.DUMMYFUNCTION("""COMPUTED_VALUE"""),"Russia")</f>
        <v>Russia</v>
      </c>
      <c r="D13039">
        <f>IFERROR(__xludf.DUMMYFUNCTION("""COMPUTED_VALUE"""),1972.0)</f>
        <v>1972</v>
      </c>
      <c r="E13039">
        <f>IFERROR(__xludf.DUMMYFUNCTION("""COMPUTED_VALUE"""),1.31514099E8)</f>
        <v>131514099</v>
      </c>
    </row>
    <row r="13040">
      <c r="A13040" t="str">
        <f t="shared" si="1"/>
        <v>rus#1973</v>
      </c>
      <c r="B13040" t="str">
        <f>IFERROR(__xludf.DUMMYFUNCTION("""COMPUTED_VALUE"""),"rus")</f>
        <v>rus</v>
      </c>
      <c r="C13040" t="str">
        <f>IFERROR(__xludf.DUMMYFUNCTION("""COMPUTED_VALUE"""),"Russia")</f>
        <v>Russia</v>
      </c>
      <c r="D13040">
        <f>IFERROR(__xludf.DUMMYFUNCTION("""COMPUTED_VALUE"""),1973.0)</f>
        <v>1973</v>
      </c>
      <c r="E13040">
        <f>IFERROR(__xludf.DUMMYFUNCTION("""COMPUTED_VALUE"""),1.3225078E8)</f>
        <v>132250780</v>
      </c>
    </row>
    <row r="13041">
      <c r="A13041" t="str">
        <f t="shared" si="1"/>
        <v>rus#1974</v>
      </c>
      <c r="B13041" t="str">
        <f>IFERROR(__xludf.DUMMYFUNCTION("""COMPUTED_VALUE"""),"rus")</f>
        <v>rus</v>
      </c>
      <c r="C13041" t="str">
        <f>IFERROR(__xludf.DUMMYFUNCTION("""COMPUTED_VALUE"""),"Russia")</f>
        <v>Russia</v>
      </c>
      <c r="D13041">
        <f>IFERROR(__xludf.DUMMYFUNCTION("""COMPUTED_VALUE"""),1974.0)</f>
        <v>1974</v>
      </c>
      <c r="E13041">
        <f>IFERROR(__xludf.DUMMYFUNCTION("""COMPUTED_VALUE"""),1.33008905E8)</f>
        <v>133008905</v>
      </c>
    </row>
    <row r="13042">
      <c r="A13042" t="str">
        <f t="shared" si="1"/>
        <v>rus#1975</v>
      </c>
      <c r="B13042" t="str">
        <f>IFERROR(__xludf.DUMMYFUNCTION("""COMPUTED_VALUE"""),"rus")</f>
        <v>rus</v>
      </c>
      <c r="C13042" t="str">
        <f>IFERROR(__xludf.DUMMYFUNCTION("""COMPUTED_VALUE"""),"Russia")</f>
        <v>Russia</v>
      </c>
      <c r="D13042">
        <f>IFERROR(__xludf.DUMMYFUNCTION("""COMPUTED_VALUE"""),1975.0)</f>
        <v>1975</v>
      </c>
      <c r="E13042">
        <f>IFERROR(__xludf.DUMMYFUNCTION("""COMPUTED_VALUE"""),1.33784384E8)</f>
        <v>133784384</v>
      </c>
    </row>
    <row r="13043">
      <c r="A13043" t="str">
        <f t="shared" si="1"/>
        <v>rus#1976</v>
      </c>
      <c r="B13043" t="str">
        <f>IFERROR(__xludf.DUMMYFUNCTION("""COMPUTED_VALUE"""),"rus")</f>
        <v>rus</v>
      </c>
      <c r="C13043" t="str">
        <f>IFERROR(__xludf.DUMMYFUNCTION("""COMPUTED_VALUE"""),"Russia")</f>
        <v>Russia</v>
      </c>
      <c r="D13043">
        <f>IFERROR(__xludf.DUMMYFUNCTION("""COMPUTED_VALUE"""),1976.0)</f>
        <v>1976</v>
      </c>
      <c r="E13043">
        <f>IFERROR(__xludf.DUMMYFUNCTION("""COMPUTED_VALUE"""),1.34580091E8)</f>
        <v>134580091</v>
      </c>
    </row>
    <row r="13044">
      <c r="A13044" t="str">
        <f t="shared" si="1"/>
        <v>rus#1977</v>
      </c>
      <c r="B13044" t="str">
        <f>IFERROR(__xludf.DUMMYFUNCTION("""COMPUTED_VALUE"""),"rus")</f>
        <v>rus</v>
      </c>
      <c r="C13044" t="str">
        <f>IFERROR(__xludf.DUMMYFUNCTION("""COMPUTED_VALUE"""),"Russia")</f>
        <v>Russia</v>
      </c>
      <c r="D13044">
        <f>IFERROR(__xludf.DUMMYFUNCTION("""COMPUTED_VALUE"""),1977.0)</f>
        <v>1977</v>
      </c>
      <c r="E13044">
        <f>IFERROR(__xludf.DUMMYFUNCTION("""COMPUTED_VALUE"""),1.35402802E8)</f>
        <v>135402802</v>
      </c>
    </row>
    <row r="13045">
      <c r="A13045" t="str">
        <f t="shared" si="1"/>
        <v>rus#1978</v>
      </c>
      <c r="B13045" t="str">
        <f>IFERROR(__xludf.DUMMYFUNCTION("""COMPUTED_VALUE"""),"rus")</f>
        <v>rus</v>
      </c>
      <c r="C13045" t="str">
        <f>IFERROR(__xludf.DUMMYFUNCTION("""COMPUTED_VALUE"""),"Russia")</f>
        <v>Russia</v>
      </c>
      <c r="D13045">
        <f>IFERROR(__xludf.DUMMYFUNCTION("""COMPUTED_VALUE"""),1978.0)</f>
        <v>1978</v>
      </c>
      <c r="E13045">
        <f>IFERROR(__xludf.DUMMYFUNCTION("""COMPUTED_VALUE"""),1.36255397E8)</f>
        <v>136255397</v>
      </c>
    </row>
    <row r="13046">
      <c r="A13046" t="str">
        <f t="shared" si="1"/>
        <v>rus#1979</v>
      </c>
      <c r="B13046" t="str">
        <f>IFERROR(__xludf.DUMMYFUNCTION("""COMPUTED_VALUE"""),"rus")</f>
        <v>rus</v>
      </c>
      <c r="C13046" t="str">
        <f>IFERROR(__xludf.DUMMYFUNCTION("""COMPUTED_VALUE"""),"Russia")</f>
        <v>Russia</v>
      </c>
      <c r="D13046">
        <f>IFERROR(__xludf.DUMMYFUNCTION("""COMPUTED_VALUE"""),1979.0)</f>
        <v>1979</v>
      </c>
      <c r="E13046">
        <f>IFERROR(__xludf.DUMMYFUNCTION("""COMPUTED_VALUE"""),1.37140562E8)</f>
        <v>137140562</v>
      </c>
    </row>
    <row r="13047">
      <c r="A13047" t="str">
        <f t="shared" si="1"/>
        <v>rus#1980</v>
      </c>
      <c r="B13047" t="str">
        <f>IFERROR(__xludf.DUMMYFUNCTION("""COMPUTED_VALUE"""),"rus")</f>
        <v>rus</v>
      </c>
      <c r="C13047" t="str">
        <f>IFERROR(__xludf.DUMMYFUNCTION("""COMPUTED_VALUE"""),"Russia")</f>
        <v>Russia</v>
      </c>
      <c r="D13047">
        <f>IFERROR(__xludf.DUMMYFUNCTION("""COMPUTED_VALUE"""),1980.0)</f>
        <v>1980</v>
      </c>
      <c r="E13047">
        <f>IFERROR(__xludf.DUMMYFUNCTION("""COMPUTED_VALUE"""),1.3805871E8)</f>
        <v>138058710</v>
      </c>
    </row>
    <row r="13048">
      <c r="A13048" t="str">
        <f t="shared" si="1"/>
        <v>rus#1981</v>
      </c>
      <c r="B13048" t="str">
        <f>IFERROR(__xludf.DUMMYFUNCTION("""COMPUTED_VALUE"""),"rus")</f>
        <v>rus</v>
      </c>
      <c r="C13048" t="str">
        <f>IFERROR(__xludf.DUMMYFUNCTION("""COMPUTED_VALUE"""),"Russia")</f>
        <v>Russia</v>
      </c>
      <c r="D13048">
        <f>IFERROR(__xludf.DUMMYFUNCTION("""COMPUTED_VALUE"""),1981.0)</f>
        <v>1981</v>
      </c>
      <c r="E13048">
        <f>IFERROR(__xludf.DUMMYFUNCTION("""COMPUTED_VALUE"""),1.39002314E8)</f>
        <v>139002314</v>
      </c>
    </row>
    <row r="13049">
      <c r="A13049" t="str">
        <f t="shared" si="1"/>
        <v>rus#1982</v>
      </c>
      <c r="B13049" t="str">
        <f>IFERROR(__xludf.DUMMYFUNCTION("""COMPUTED_VALUE"""),"rus")</f>
        <v>rus</v>
      </c>
      <c r="C13049" t="str">
        <f>IFERROR(__xludf.DUMMYFUNCTION("""COMPUTED_VALUE"""),"Russia")</f>
        <v>Russia</v>
      </c>
      <c r="D13049">
        <f>IFERROR(__xludf.DUMMYFUNCTION("""COMPUTED_VALUE"""),1982.0)</f>
        <v>1982</v>
      </c>
      <c r="E13049">
        <f>IFERROR(__xludf.DUMMYFUNCTION("""COMPUTED_VALUE"""),1.39964753E8)</f>
        <v>139964753</v>
      </c>
    </row>
    <row r="13050">
      <c r="A13050" t="str">
        <f t="shared" si="1"/>
        <v>rus#1983</v>
      </c>
      <c r="B13050" t="str">
        <f>IFERROR(__xludf.DUMMYFUNCTION("""COMPUTED_VALUE"""),"rus")</f>
        <v>rus</v>
      </c>
      <c r="C13050" t="str">
        <f>IFERROR(__xludf.DUMMYFUNCTION("""COMPUTED_VALUE"""),"Russia")</f>
        <v>Russia</v>
      </c>
      <c r="D13050">
        <f>IFERROR(__xludf.DUMMYFUNCTION("""COMPUTED_VALUE"""),1983.0)</f>
        <v>1983</v>
      </c>
      <c r="E13050">
        <f>IFERROR(__xludf.DUMMYFUNCTION("""COMPUTED_VALUE"""),1.40946861E8)</f>
        <v>140946861</v>
      </c>
    </row>
    <row r="13051">
      <c r="A13051" t="str">
        <f t="shared" si="1"/>
        <v>rus#1984</v>
      </c>
      <c r="B13051" t="str">
        <f>IFERROR(__xludf.DUMMYFUNCTION("""COMPUTED_VALUE"""),"rus")</f>
        <v>rus</v>
      </c>
      <c r="C13051" t="str">
        <f>IFERROR(__xludf.DUMMYFUNCTION("""COMPUTED_VALUE"""),"Russia")</f>
        <v>Russia</v>
      </c>
      <c r="D13051">
        <f>IFERROR(__xludf.DUMMYFUNCTION("""COMPUTED_VALUE"""),1984.0)</f>
        <v>1984</v>
      </c>
      <c r="E13051">
        <f>IFERROR(__xludf.DUMMYFUNCTION("""COMPUTED_VALUE"""),1.41950629E8)</f>
        <v>141950629</v>
      </c>
    </row>
    <row r="13052">
      <c r="A13052" t="str">
        <f t="shared" si="1"/>
        <v>rus#1985</v>
      </c>
      <c r="B13052" t="str">
        <f>IFERROR(__xludf.DUMMYFUNCTION("""COMPUTED_VALUE"""),"rus")</f>
        <v>rus</v>
      </c>
      <c r="C13052" t="str">
        <f>IFERROR(__xludf.DUMMYFUNCTION("""COMPUTED_VALUE"""),"Russia")</f>
        <v>Russia</v>
      </c>
      <c r="D13052">
        <f>IFERROR(__xludf.DUMMYFUNCTION("""COMPUTED_VALUE"""),1985.0)</f>
        <v>1985</v>
      </c>
      <c r="E13052">
        <f>IFERROR(__xludf.DUMMYFUNCTION("""COMPUTED_VALUE"""),1.42971168E8)</f>
        <v>142971168</v>
      </c>
    </row>
    <row r="13053">
      <c r="A13053" t="str">
        <f t="shared" si="1"/>
        <v>rus#1986</v>
      </c>
      <c r="B13053" t="str">
        <f>IFERROR(__xludf.DUMMYFUNCTION("""COMPUTED_VALUE"""),"rus")</f>
        <v>rus</v>
      </c>
      <c r="C13053" t="str">
        <f>IFERROR(__xludf.DUMMYFUNCTION("""COMPUTED_VALUE"""),"Russia")</f>
        <v>Russia</v>
      </c>
      <c r="D13053">
        <f>IFERROR(__xludf.DUMMYFUNCTION("""COMPUTED_VALUE"""),1986.0)</f>
        <v>1986</v>
      </c>
      <c r="E13053">
        <f>IFERROR(__xludf.DUMMYFUNCTION("""COMPUTED_VALUE"""),1.44011513E8)</f>
        <v>144011513</v>
      </c>
    </row>
    <row r="13054">
      <c r="A13054" t="str">
        <f t="shared" si="1"/>
        <v>rus#1987</v>
      </c>
      <c r="B13054" t="str">
        <f>IFERROR(__xludf.DUMMYFUNCTION("""COMPUTED_VALUE"""),"rus")</f>
        <v>rus</v>
      </c>
      <c r="C13054" t="str">
        <f>IFERROR(__xludf.DUMMYFUNCTION("""COMPUTED_VALUE"""),"Russia")</f>
        <v>Russia</v>
      </c>
      <c r="D13054">
        <f>IFERROR(__xludf.DUMMYFUNCTION("""COMPUTED_VALUE"""),1987.0)</f>
        <v>1987</v>
      </c>
      <c r="E13054">
        <f>IFERROR(__xludf.DUMMYFUNCTION("""COMPUTED_VALUE"""),1.45051663E8)</f>
        <v>145051663</v>
      </c>
    </row>
    <row r="13055">
      <c r="A13055" t="str">
        <f t="shared" si="1"/>
        <v>rus#1988</v>
      </c>
      <c r="B13055" t="str">
        <f>IFERROR(__xludf.DUMMYFUNCTION("""COMPUTED_VALUE"""),"rus")</f>
        <v>rus</v>
      </c>
      <c r="C13055" t="str">
        <f>IFERROR(__xludf.DUMMYFUNCTION("""COMPUTED_VALUE"""),"Russia")</f>
        <v>Russia</v>
      </c>
      <c r="D13055">
        <f>IFERROR(__xludf.DUMMYFUNCTION("""COMPUTED_VALUE"""),1988.0)</f>
        <v>1988</v>
      </c>
      <c r="E13055">
        <f>IFERROR(__xludf.DUMMYFUNCTION("""COMPUTED_VALUE"""),1.46035578E8)</f>
        <v>146035578</v>
      </c>
    </row>
    <row r="13056">
      <c r="A13056" t="str">
        <f t="shared" si="1"/>
        <v>rus#1989</v>
      </c>
      <c r="B13056" t="str">
        <f>IFERROR(__xludf.DUMMYFUNCTION("""COMPUTED_VALUE"""),"rus")</f>
        <v>rus</v>
      </c>
      <c r="C13056" t="str">
        <f>IFERROR(__xludf.DUMMYFUNCTION("""COMPUTED_VALUE"""),"Russia")</f>
        <v>Russia</v>
      </c>
      <c r="D13056">
        <f>IFERROR(__xludf.DUMMYFUNCTION("""COMPUTED_VALUE"""),1989.0)</f>
        <v>1989</v>
      </c>
      <c r="E13056">
        <f>IFERROR(__xludf.DUMMYFUNCTION("""COMPUTED_VALUE"""),1.46890544E8)</f>
        <v>146890544</v>
      </c>
    </row>
    <row r="13057">
      <c r="A13057" t="str">
        <f t="shared" si="1"/>
        <v>rus#1990</v>
      </c>
      <c r="B13057" t="str">
        <f>IFERROR(__xludf.DUMMYFUNCTION("""COMPUTED_VALUE"""),"rus")</f>
        <v>rus</v>
      </c>
      <c r="C13057" t="str">
        <f>IFERROR(__xludf.DUMMYFUNCTION("""COMPUTED_VALUE"""),"Russia")</f>
        <v>Russia</v>
      </c>
      <c r="D13057">
        <f>IFERROR(__xludf.DUMMYFUNCTION("""COMPUTED_VALUE"""),1990.0)</f>
        <v>1990</v>
      </c>
      <c r="E13057">
        <f>IFERROR(__xludf.DUMMYFUNCTION("""COMPUTED_VALUE"""),1.47564066E8)</f>
        <v>147564066</v>
      </c>
    </row>
    <row r="13058">
      <c r="A13058" t="str">
        <f t="shared" si="1"/>
        <v>rus#1991</v>
      </c>
      <c r="B13058" t="str">
        <f>IFERROR(__xludf.DUMMYFUNCTION("""COMPUTED_VALUE"""),"rus")</f>
        <v>rus</v>
      </c>
      <c r="C13058" t="str">
        <f>IFERROR(__xludf.DUMMYFUNCTION("""COMPUTED_VALUE"""),"Russia")</f>
        <v>Russia</v>
      </c>
      <c r="D13058">
        <f>IFERROR(__xludf.DUMMYFUNCTION("""COMPUTED_VALUE"""),1991.0)</f>
        <v>1991</v>
      </c>
      <c r="E13058">
        <f>IFERROR(__xludf.DUMMYFUNCTION("""COMPUTED_VALUE"""),1.48035898E8)</f>
        <v>148035898</v>
      </c>
    </row>
    <row r="13059">
      <c r="A13059" t="str">
        <f t="shared" si="1"/>
        <v>rus#1992</v>
      </c>
      <c r="B13059" t="str">
        <f>IFERROR(__xludf.DUMMYFUNCTION("""COMPUTED_VALUE"""),"rus")</f>
        <v>rus</v>
      </c>
      <c r="C13059" t="str">
        <f>IFERROR(__xludf.DUMMYFUNCTION("""COMPUTED_VALUE"""),"Russia")</f>
        <v>Russia</v>
      </c>
      <c r="D13059">
        <f>IFERROR(__xludf.DUMMYFUNCTION("""COMPUTED_VALUE"""),1992.0)</f>
        <v>1992</v>
      </c>
      <c r="E13059">
        <f>IFERROR(__xludf.DUMMYFUNCTION("""COMPUTED_VALUE"""),1.48318025E8)</f>
        <v>148318025</v>
      </c>
    </row>
    <row r="13060">
      <c r="A13060" t="str">
        <f t="shared" si="1"/>
        <v>rus#1993</v>
      </c>
      <c r="B13060" t="str">
        <f>IFERROR(__xludf.DUMMYFUNCTION("""COMPUTED_VALUE"""),"rus")</f>
        <v>rus</v>
      </c>
      <c r="C13060" t="str">
        <f>IFERROR(__xludf.DUMMYFUNCTION("""COMPUTED_VALUE"""),"Russia")</f>
        <v>Russia</v>
      </c>
      <c r="D13060">
        <f>IFERROR(__xludf.DUMMYFUNCTION("""COMPUTED_VALUE"""),1993.0)</f>
        <v>1993</v>
      </c>
      <c r="E13060">
        <f>IFERROR(__xludf.DUMMYFUNCTION("""COMPUTED_VALUE"""),1.48431373E8)</f>
        <v>148431373</v>
      </c>
    </row>
    <row r="13061">
      <c r="A13061" t="str">
        <f t="shared" si="1"/>
        <v>rus#1994</v>
      </c>
      <c r="B13061" t="str">
        <f>IFERROR(__xludf.DUMMYFUNCTION("""COMPUTED_VALUE"""),"rus")</f>
        <v>rus</v>
      </c>
      <c r="C13061" t="str">
        <f>IFERROR(__xludf.DUMMYFUNCTION("""COMPUTED_VALUE"""),"Russia")</f>
        <v>Russia</v>
      </c>
      <c r="D13061">
        <f>IFERROR(__xludf.DUMMYFUNCTION("""COMPUTED_VALUE"""),1994.0)</f>
        <v>1994</v>
      </c>
      <c r="E13061">
        <f>IFERROR(__xludf.DUMMYFUNCTION("""COMPUTED_VALUE"""),1.48411855E8)</f>
        <v>148411855</v>
      </c>
    </row>
    <row r="13062">
      <c r="A13062" t="str">
        <f t="shared" si="1"/>
        <v>rus#1995</v>
      </c>
      <c r="B13062" t="str">
        <f>IFERROR(__xludf.DUMMYFUNCTION("""COMPUTED_VALUE"""),"rus")</f>
        <v>rus</v>
      </c>
      <c r="C13062" t="str">
        <f>IFERROR(__xludf.DUMMYFUNCTION("""COMPUTED_VALUE"""),"Russia")</f>
        <v>Russia</v>
      </c>
      <c r="D13062">
        <f>IFERROR(__xludf.DUMMYFUNCTION("""COMPUTED_VALUE"""),1995.0)</f>
        <v>1995</v>
      </c>
      <c r="E13062">
        <f>IFERROR(__xludf.DUMMYFUNCTION("""COMPUTED_VALUE"""),1.48288839E8)</f>
        <v>148288839</v>
      </c>
    </row>
    <row r="13063">
      <c r="A13063" t="str">
        <f t="shared" si="1"/>
        <v>rus#1996</v>
      </c>
      <c r="B13063" t="str">
        <f>IFERROR(__xludf.DUMMYFUNCTION("""COMPUTED_VALUE"""),"rus")</f>
        <v>rus</v>
      </c>
      <c r="C13063" t="str">
        <f>IFERROR(__xludf.DUMMYFUNCTION("""COMPUTED_VALUE"""),"Russia")</f>
        <v>Russia</v>
      </c>
      <c r="D13063">
        <f>IFERROR(__xludf.DUMMYFUNCTION("""COMPUTED_VALUE"""),1996.0)</f>
        <v>1996</v>
      </c>
      <c r="E13063">
        <f>IFERROR(__xludf.DUMMYFUNCTION("""COMPUTED_VALUE"""),1.48073924E8)</f>
        <v>148073924</v>
      </c>
    </row>
    <row r="13064">
      <c r="A13064" t="str">
        <f t="shared" si="1"/>
        <v>rus#1997</v>
      </c>
      <c r="B13064" t="str">
        <f>IFERROR(__xludf.DUMMYFUNCTION("""COMPUTED_VALUE"""),"rus")</f>
        <v>rus</v>
      </c>
      <c r="C13064" t="str">
        <f>IFERROR(__xludf.DUMMYFUNCTION("""COMPUTED_VALUE"""),"Russia")</f>
        <v>Russia</v>
      </c>
      <c r="D13064">
        <f>IFERROR(__xludf.DUMMYFUNCTION("""COMPUTED_VALUE"""),1997.0)</f>
        <v>1997</v>
      </c>
      <c r="E13064">
        <f>IFERROR(__xludf.DUMMYFUNCTION("""COMPUTED_VALUE"""),1.47768371E8)</f>
        <v>147768371</v>
      </c>
    </row>
    <row r="13065">
      <c r="A13065" t="str">
        <f t="shared" si="1"/>
        <v>rus#1998</v>
      </c>
      <c r="B13065" t="str">
        <f>IFERROR(__xludf.DUMMYFUNCTION("""COMPUTED_VALUE"""),"rus")</f>
        <v>rus</v>
      </c>
      <c r="C13065" t="str">
        <f>IFERROR(__xludf.DUMMYFUNCTION("""COMPUTED_VALUE"""),"Russia")</f>
        <v>Russia</v>
      </c>
      <c r="D13065">
        <f>IFERROR(__xludf.DUMMYFUNCTION("""COMPUTED_VALUE"""),1998.0)</f>
        <v>1998</v>
      </c>
      <c r="E13065">
        <f>IFERROR(__xludf.DUMMYFUNCTION("""COMPUTED_VALUE"""),1.47381001E8)</f>
        <v>147381001</v>
      </c>
    </row>
    <row r="13066">
      <c r="A13066" t="str">
        <f t="shared" si="1"/>
        <v>rus#1999</v>
      </c>
      <c r="B13066" t="str">
        <f>IFERROR(__xludf.DUMMYFUNCTION("""COMPUTED_VALUE"""),"rus")</f>
        <v>rus</v>
      </c>
      <c r="C13066" t="str">
        <f>IFERROR(__xludf.DUMMYFUNCTION("""COMPUTED_VALUE"""),"Russia")</f>
        <v>Russia</v>
      </c>
      <c r="D13066">
        <f>IFERROR(__xludf.DUMMYFUNCTION("""COMPUTED_VALUE"""),1999.0)</f>
        <v>1999</v>
      </c>
      <c r="E13066">
        <f>IFERROR(__xludf.DUMMYFUNCTION("""COMPUTED_VALUE"""),1.46919737E8)</f>
        <v>146919737</v>
      </c>
    </row>
    <row r="13067">
      <c r="A13067" t="str">
        <f t="shared" si="1"/>
        <v>rus#2000</v>
      </c>
      <c r="B13067" t="str">
        <f>IFERROR(__xludf.DUMMYFUNCTION("""COMPUTED_VALUE"""),"rus")</f>
        <v>rus</v>
      </c>
      <c r="C13067" t="str">
        <f>IFERROR(__xludf.DUMMYFUNCTION("""COMPUTED_VALUE"""),"Russia")</f>
        <v>Russia</v>
      </c>
      <c r="D13067">
        <f>IFERROR(__xludf.DUMMYFUNCTION("""COMPUTED_VALUE"""),2000.0)</f>
        <v>2000</v>
      </c>
      <c r="E13067">
        <f>IFERROR(__xludf.DUMMYFUNCTION("""COMPUTED_VALUE"""),1.46396514E8)</f>
        <v>146396514</v>
      </c>
    </row>
    <row r="13068">
      <c r="A13068" t="str">
        <f t="shared" si="1"/>
        <v>rus#2001</v>
      </c>
      <c r="B13068" t="str">
        <f>IFERROR(__xludf.DUMMYFUNCTION("""COMPUTED_VALUE"""),"rus")</f>
        <v>rus</v>
      </c>
      <c r="C13068" t="str">
        <f>IFERROR(__xludf.DUMMYFUNCTION("""COMPUTED_VALUE"""),"Russia")</f>
        <v>Russia</v>
      </c>
      <c r="D13068">
        <f>IFERROR(__xludf.DUMMYFUNCTION("""COMPUTED_VALUE"""),2001.0)</f>
        <v>2001</v>
      </c>
      <c r="E13068">
        <f>IFERROR(__xludf.DUMMYFUNCTION("""COMPUTED_VALUE"""),1.45814864E8)</f>
        <v>145814864</v>
      </c>
    </row>
    <row r="13069">
      <c r="A13069" t="str">
        <f t="shared" si="1"/>
        <v>rus#2002</v>
      </c>
      <c r="B13069" t="str">
        <f>IFERROR(__xludf.DUMMYFUNCTION("""COMPUTED_VALUE"""),"rus")</f>
        <v>rus</v>
      </c>
      <c r="C13069" t="str">
        <f>IFERROR(__xludf.DUMMYFUNCTION("""COMPUTED_VALUE"""),"Russia")</f>
        <v>Russia</v>
      </c>
      <c r="D13069">
        <f>IFERROR(__xludf.DUMMYFUNCTION("""COMPUTED_VALUE"""),2002.0)</f>
        <v>2002</v>
      </c>
      <c r="E13069">
        <f>IFERROR(__xludf.DUMMYFUNCTION("""COMPUTED_VALUE"""),1.45194882E8)</f>
        <v>145194882</v>
      </c>
    </row>
    <row r="13070">
      <c r="A13070" t="str">
        <f t="shared" si="1"/>
        <v>rus#2003</v>
      </c>
      <c r="B13070" t="str">
        <f>IFERROR(__xludf.DUMMYFUNCTION("""COMPUTED_VALUE"""),"rus")</f>
        <v>rus</v>
      </c>
      <c r="C13070" t="str">
        <f>IFERROR(__xludf.DUMMYFUNCTION("""COMPUTED_VALUE"""),"Russia")</f>
        <v>Russia</v>
      </c>
      <c r="D13070">
        <f>IFERROR(__xludf.DUMMYFUNCTION("""COMPUTED_VALUE"""),2003.0)</f>
        <v>2003</v>
      </c>
      <c r="E13070">
        <f>IFERROR(__xludf.DUMMYFUNCTION("""COMPUTED_VALUE"""),1.44584695E8)</f>
        <v>144584695</v>
      </c>
    </row>
    <row r="13071">
      <c r="A13071" t="str">
        <f t="shared" si="1"/>
        <v>rus#2004</v>
      </c>
      <c r="B13071" t="str">
        <f>IFERROR(__xludf.DUMMYFUNCTION("""COMPUTED_VALUE"""),"rus")</f>
        <v>rus</v>
      </c>
      <c r="C13071" t="str">
        <f>IFERROR(__xludf.DUMMYFUNCTION("""COMPUTED_VALUE"""),"Russia")</f>
        <v>Russia</v>
      </c>
      <c r="D13071">
        <f>IFERROR(__xludf.DUMMYFUNCTION("""COMPUTED_VALUE"""),2004.0)</f>
        <v>2004</v>
      </c>
      <c r="E13071">
        <f>IFERROR(__xludf.DUMMYFUNCTION("""COMPUTED_VALUE"""),1.44044607E8)</f>
        <v>144044607</v>
      </c>
    </row>
    <row r="13072">
      <c r="A13072" t="str">
        <f t="shared" si="1"/>
        <v>rus#2005</v>
      </c>
      <c r="B13072" t="str">
        <f>IFERROR(__xludf.DUMMYFUNCTION("""COMPUTED_VALUE"""),"rus")</f>
        <v>rus</v>
      </c>
      <c r="C13072" t="str">
        <f>IFERROR(__xludf.DUMMYFUNCTION("""COMPUTED_VALUE"""),"Russia")</f>
        <v>Russia</v>
      </c>
      <c r="D13072">
        <f>IFERROR(__xludf.DUMMYFUNCTION("""COMPUTED_VALUE"""),2005.0)</f>
        <v>2005</v>
      </c>
      <c r="E13072">
        <f>IFERROR(__xludf.DUMMYFUNCTION("""COMPUTED_VALUE"""),1.43618185E8)</f>
        <v>143618185</v>
      </c>
    </row>
    <row r="13073">
      <c r="A13073" t="str">
        <f t="shared" si="1"/>
        <v>rus#2006</v>
      </c>
      <c r="B13073" t="str">
        <f>IFERROR(__xludf.DUMMYFUNCTION("""COMPUTED_VALUE"""),"rus")</f>
        <v>rus</v>
      </c>
      <c r="C13073" t="str">
        <f>IFERROR(__xludf.DUMMYFUNCTION("""COMPUTED_VALUE"""),"Russia")</f>
        <v>Russia</v>
      </c>
      <c r="D13073">
        <f>IFERROR(__xludf.DUMMYFUNCTION("""COMPUTED_VALUE"""),2006.0)</f>
        <v>2006</v>
      </c>
      <c r="E13073">
        <f>IFERROR(__xludf.DUMMYFUNCTION("""COMPUTED_VALUE"""),1.43322933E8)</f>
        <v>143322933</v>
      </c>
    </row>
    <row r="13074">
      <c r="A13074" t="str">
        <f t="shared" si="1"/>
        <v>rus#2007</v>
      </c>
      <c r="B13074" t="str">
        <f>IFERROR(__xludf.DUMMYFUNCTION("""COMPUTED_VALUE"""),"rus")</f>
        <v>rus</v>
      </c>
      <c r="C13074" t="str">
        <f>IFERROR(__xludf.DUMMYFUNCTION("""COMPUTED_VALUE"""),"Russia")</f>
        <v>Russia</v>
      </c>
      <c r="D13074">
        <f>IFERROR(__xludf.DUMMYFUNCTION("""COMPUTED_VALUE"""),2007.0)</f>
        <v>2007</v>
      </c>
      <c r="E13074">
        <f>IFERROR(__xludf.DUMMYFUNCTION("""COMPUTED_VALUE"""),1.43150142E8)</f>
        <v>143150142</v>
      </c>
    </row>
    <row r="13075">
      <c r="A13075" t="str">
        <f t="shared" si="1"/>
        <v>rus#2008</v>
      </c>
      <c r="B13075" t="str">
        <f>IFERROR(__xludf.DUMMYFUNCTION("""COMPUTED_VALUE"""),"rus")</f>
        <v>rus</v>
      </c>
      <c r="C13075" t="str">
        <f>IFERROR(__xludf.DUMMYFUNCTION("""COMPUTED_VALUE"""),"Russia")</f>
        <v>Russia</v>
      </c>
      <c r="D13075">
        <f>IFERROR(__xludf.DUMMYFUNCTION("""COMPUTED_VALUE"""),2008.0)</f>
        <v>2008</v>
      </c>
      <c r="E13075">
        <f>IFERROR(__xludf.DUMMYFUNCTION("""COMPUTED_VALUE"""),1.43083187E8)</f>
        <v>143083187</v>
      </c>
    </row>
    <row r="13076">
      <c r="A13076" t="str">
        <f t="shared" si="1"/>
        <v>rus#2009</v>
      </c>
      <c r="B13076" t="str">
        <f>IFERROR(__xludf.DUMMYFUNCTION("""COMPUTED_VALUE"""),"rus")</f>
        <v>rus</v>
      </c>
      <c r="C13076" t="str">
        <f>IFERROR(__xludf.DUMMYFUNCTION("""COMPUTED_VALUE"""),"Russia")</f>
        <v>Russia</v>
      </c>
      <c r="D13076">
        <f>IFERROR(__xludf.DUMMYFUNCTION("""COMPUTED_VALUE"""),2009.0)</f>
        <v>2009</v>
      </c>
      <c r="E13076">
        <f>IFERROR(__xludf.DUMMYFUNCTION("""COMPUTED_VALUE"""),1.43092765E8)</f>
        <v>143092765</v>
      </c>
    </row>
    <row r="13077">
      <c r="A13077" t="str">
        <f t="shared" si="1"/>
        <v>rus#2010</v>
      </c>
      <c r="B13077" t="str">
        <f>IFERROR(__xludf.DUMMYFUNCTION("""COMPUTED_VALUE"""),"rus")</f>
        <v>rus</v>
      </c>
      <c r="C13077" t="str">
        <f>IFERROR(__xludf.DUMMYFUNCTION("""COMPUTED_VALUE"""),"Russia")</f>
        <v>Russia</v>
      </c>
      <c r="D13077">
        <f>IFERROR(__xludf.DUMMYFUNCTION("""COMPUTED_VALUE"""),2010.0)</f>
        <v>2010</v>
      </c>
      <c r="E13077">
        <f>IFERROR(__xludf.DUMMYFUNCTION("""COMPUTED_VALUE"""),1.43153869E8)</f>
        <v>143153869</v>
      </c>
    </row>
    <row r="13078">
      <c r="A13078" t="str">
        <f t="shared" si="1"/>
        <v>rus#2011</v>
      </c>
      <c r="B13078" t="str">
        <f>IFERROR(__xludf.DUMMYFUNCTION("""COMPUTED_VALUE"""),"rus")</f>
        <v>rus</v>
      </c>
      <c r="C13078" t="str">
        <f>IFERROR(__xludf.DUMMYFUNCTION("""COMPUTED_VALUE"""),"Russia")</f>
        <v>Russia</v>
      </c>
      <c r="D13078">
        <f>IFERROR(__xludf.DUMMYFUNCTION("""COMPUTED_VALUE"""),2011.0)</f>
        <v>2011</v>
      </c>
      <c r="E13078">
        <f>IFERROR(__xludf.DUMMYFUNCTION("""COMPUTED_VALUE"""),1.43263988E8)</f>
        <v>143263988</v>
      </c>
    </row>
    <row r="13079">
      <c r="A13079" t="str">
        <f t="shared" si="1"/>
        <v>rus#2012</v>
      </c>
      <c r="B13079" t="str">
        <f>IFERROR(__xludf.DUMMYFUNCTION("""COMPUTED_VALUE"""),"rus")</f>
        <v>rus</v>
      </c>
      <c r="C13079" t="str">
        <f>IFERROR(__xludf.DUMMYFUNCTION("""COMPUTED_VALUE"""),"Russia")</f>
        <v>Russia</v>
      </c>
      <c r="D13079">
        <f>IFERROR(__xludf.DUMMYFUNCTION("""COMPUTED_VALUE"""),2012.0)</f>
        <v>2012</v>
      </c>
      <c r="E13079">
        <f>IFERROR(__xludf.DUMMYFUNCTION("""COMPUTED_VALUE"""),1.43420597E8)</f>
        <v>143420597</v>
      </c>
    </row>
    <row r="13080">
      <c r="A13080" t="str">
        <f t="shared" si="1"/>
        <v>rus#2013</v>
      </c>
      <c r="B13080" t="str">
        <f>IFERROR(__xludf.DUMMYFUNCTION("""COMPUTED_VALUE"""),"rus")</f>
        <v>rus</v>
      </c>
      <c r="C13080" t="str">
        <f>IFERROR(__xludf.DUMMYFUNCTION("""COMPUTED_VALUE"""),"Russia")</f>
        <v>Russia</v>
      </c>
      <c r="D13080">
        <f>IFERROR(__xludf.DUMMYFUNCTION("""COMPUTED_VALUE"""),2013.0)</f>
        <v>2013</v>
      </c>
      <c r="E13080">
        <f>IFERROR(__xludf.DUMMYFUNCTION("""COMPUTED_VALUE"""),1.4359723E8)</f>
        <v>143597230</v>
      </c>
    </row>
    <row r="13081">
      <c r="A13081" t="str">
        <f t="shared" si="1"/>
        <v>rus#2014</v>
      </c>
      <c r="B13081" t="str">
        <f>IFERROR(__xludf.DUMMYFUNCTION("""COMPUTED_VALUE"""),"rus")</f>
        <v>rus</v>
      </c>
      <c r="C13081" t="str">
        <f>IFERROR(__xludf.DUMMYFUNCTION("""COMPUTED_VALUE"""),"Russia")</f>
        <v>Russia</v>
      </c>
      <c r="D13081">
        <f>IFERROR(__xludf.DUMMYFUNCTION("""COMPUTED_VALUE"""),2014.0)</f>
        <v>2014</v>
      </c>
      <c r="E13081">
        <f>IFERROR(__xludf.DUMMYFUNCTION("""COMPUTED_VALUE"""),1.43761378E8)</f>
        <v>143761378</v>
      </c>
    </row>
    <row r="13082">
      <c r="A13082" t="str">
        <f t="shared" si="1"/>
        <v>rus#2015</v>
      </c>
      <c r="B13082" t="str">
        <f>IFERROR(__xludf.DUMMYFUNCTION("""COMPUTED_VALUE"""),"rus")</f>
        <v>rus</v>
      </c>
      <c r="C13082" t="str">
        <f>IFERROR(__xludf.DUMMYFUNCTION("""COMPUTED_VALUE"""),"Russia")</f>
        <v>Russia</v>
      </c>
      <c r="D13082">
        <f>IFERROR(__xludf.DUMMYFUNCTION("""COMPUTED_VALUE"""),2015.0)</f>
        <v>2015</v>
      </c>
      <c r="E13082">
        <f>IFERROR(__xludf.DUMMYFUNCTION("""COMPUTED_VALUE"""),1.43888004E8)</f>
        <v>143888004</v>
      </c>
    </row>
    <row r="13083">
      <c r="A13083" t="str">
        <f t="shared" si="1"/>
        <v>rus#2016</v>
      </c>
      <c r="B13083" t="str">
        <f>IFERROR(__xludf.DUMMYFUNCTION("""COMPUTED_VALUE"""),"rus")</f>
        <v>rus</v>
      </c>
      <c r="C13083" t="str">
        <f>IFERROR(__xludf.DUMMYFUNCTION("""COMPUTED_VALUE"""),"Russia")</f>
        <v>Russia</v>
      </c>
      <c r="D13083">
        <f>IFERROR(__xludf.DUMMYFUNCTION("""COMPUTED_VALUE"""),2016.0)</f>
        <v>2016</v>
      </c>
      <c r="E13083">
        <f>IFERROR(__xludf.DUMMYFUNCTION("""COMPUTED_VALUE"""),1.43964513E8)</f>
        <v>143964513</v>
      </c>
    </row>
    <row r="13084">
      <c r="A13084" t="str">
        <f t="shared" si="1"/>
        <v>rus#2017</v>
      </c>
      <c r="B13084" t="str">
        <f>IFERROR(__xludf.DUMMYFUNCTION("""COMPUTED_VALUE"""),"rus")</f>
        <v>rus</v>
      </c>
      <c r="C13084" t="str">
        <f>IFERROR(__xludf.DUMMYFUNCTION("""COMPUTED_VALUE"""),"Russia")</f>
        <v>Russia</v>
      </c>
      <c r="D13084">
        <f>IFERROR(__xludf.DUMMYFUNCTION("""COMPUTED_VALUE"""),2017.0)</f>
        <v>2017</v>
      </c>
      <c r="E13084">
        <f>IFERROR(__xludf.DUMMYFUNCTION("""COMPUTED_VALUE"""),1.43989754E8)</f>
        <v>143989754</v>
      </c>
    </row>
    <row r="13085">
      <c r="A13085" t="str">
        <f t="shared" si="1"/>
        <v>rus#2018</v>
      </c>
      <c r="B13085" t="str">
        <f>IFERROR(__xludf.DUMMYFUNCTION("""COMPUTED_VALUE"""),"rus")</f>
        <v>rus</v>
      </c>
      <c r="C13085" t="str">
        <f>IFERROR(__xludf.DUMMYFUNCTION("""COMPUTED_VALUE"""),"Russia")</f>
        <v>Russia</v>
      </c>
      <c r="D13085">
        <f>IFERROR(__xludf.DUMMYFUNCTION("""COMPUTED_VALUE"""),2018.0)</f>
        <v>2018</v>
      </c>
      <c r="E13085">
        <f>IFERROR(__xludf.DUMMYFUNCTION("""COMPUTED_VALUE"""),1.43964709E8)</f>
        <v>143964709</v>
      </c>
    </row>
    <row r="13086">
      <c r="A13086" t="str">
        <f t="shared" si="1"/>
        <v>rus#2019</v>
      </c>
      <c r="B13086" t="str">
        <f>IFERROR(__xludf.DUMMYFUNCTION("""COMPUTED_VALUE"""),"rus")</f>
        <v>rus</v>
      </c>
      <c r="C13086" t="str">
        <f>IFERROR(__xludf.DUMMYFUNCTION("""COMPUTED_VALUE"""),"Russia")</f>
        <v>Russia</v>
      </c>
      <c r="D13086">
        <f>IFERROR(__xludf.DUMMYFUNCTION("""COMPUTED_VALUE"""),2019.0)</f>
        <v>2019</v>
      </c>
      <c r="E13086">
        <f>IFERROR(__xludf.DUMMYFUNCTION("""COMPUTED_VALUE"""),1.43895551E8)</f>
        <v>143895551</v>
      </c>
    </row>
    <row r="13087">
      <c r="A13087" t="str">
        <f t="shared" si="1"/>
        <v>rus#2020</v>
      </c>
      <c r="B13087" t="str">
        <f>IFERROR(__xludf.DUMMYFUNCTION("""COMPUTED_VALUE"""),"rus")</f>
        <v>rus</v>
      </c>
      <c r="C13087" t="str">
        <f>IFERROR(__xludf.DUMMYFUNCTION("""COMPUTED_VALUE"""),"Russia")</f>
        <v>Russia</v>
      </c>
      <c r="D13087">
        <f>IFERROR(__xludf.DUMMYFUNCTION("""COMPUTED_VALUE"""),2020.0)</f>
        <v>2020</v>
      </c>
      <c r="E13087">
        <f>IFERROR(__xludf.DUMMYFUNCTION("""COMPUTED_VALUE"""),1.43786842E8)</f>
        <v>143786842</v>
      </c>
    </row>
    <row r="13088">
      <c r="A13088" t="str">
        <f t="shared" si="1"/>
        <v>rus#2021</v>
      </c>
      <c r="B13088" t="str">
        <f>IFERROR(__xludf.DUMMYFUNCTION("""COMPUTED_VALUE"""),"rus")</f>
        <v>rus</v>
      </c>
      <c r="C13088" t="str">
        <f>IFERROR(__xludf.DUMMYFUNCTION("""COMPUTED_VALUE"""),"Russia")</f>
        <v>Russia</v>
      </c>
      <c r="D13088">
        <f>IFERROR(__xludf.DUMMYFUNCTION("""COMPUTED_VALUE"""),2021.0)</f>
        <v>2021</v>
      </c>
      <c r="E13088">
        <f>IFERROR(__xludf.DUMMYFUNCTION("""COMPUTED_VALUE"""),1.43636809E8)</f>
        <v>143636809</v>
      </c>
    </row>
    <row r="13089">
      <c r="A13089" t="str">
        <f t="shared" si="1"/>
        <v>rus#2022</v>
      </c>
      <c r="B13089" t="str">
        <f>IFERROR(__xludf.DUMMYFUNCTION("""COMPUTED_VALUE"""),"rus")</f>
        <v>rus</v>
      </c>
      <c r="C13089" t="str">
        <f>IFERROR(__xludf.DUMMYFUNCTION("""COMPUTED_VALUE"""),"Russia")</f>
        <v>Russia</v>
      </c>
      <c r="D13089">
        <f>IFERROR(__xludf.DUMMYFUNCTION("""COMPUTED_VALUE"""),2022.0)</f>
        <v>2022</v>
      </c>
      <c r="E13089">
        <f>IFERROR(__xludf.DUMMYFUNCTION("""COMPUTED_VALUE"""),1.43441868E8)</f>
        <v>143441868</v>
      </c>
    </row>
    <row r="13090">
      <c r="A13090" t="str">
        <f t="shared" si="1"/>
        <v>rus#2023</v>
      </c>
      <c r="B13090" t="str">
        <f>IFERROR(__xludf.DUMMYFUNCTION("""COMPUTED_VALUE"""),"rus")</f>
        <v>rus</v>
      </c>
      <c r="C13090" t="str">
        <f>IFERROR(__xludf.DUMMYFUNCTION("""COMPUTED_VALUE"""),"Russia")</f>
        <v>Russia</v>
      </c>
      <c r="D13090">
        <f>IFERROR(__xludf.DUMMYFUNCTION("""COMPUTED_VALUE"""),2023.0)</f>
        <v>2023</v>
      </c>
      <c r="E13090">
        <f>IFERROR(__xludf.DUMMYFUNCTION("""COMPUTED_VALUE"""),1.43203543E8)</f>
        <v>143203543</v>
      </c>
    </row>
    <row r="13091">
      <c r="A13091" t="str">
        <f t="shared" si="1"/>
        <v>rus#2024</v>
      </c>
      <c r="B13091" t="str">
        <f>IFERROR(__xludf.DUMMYFUNCTION("""COMPUTED_VALUE"""),"rus")</f>
        <v>rus</v>
      </c>
      <c r="C13091" t="str">
        <f>IFERROR(__xludf.DUMMYFUNCTION("""COMPUTED_VALUE"""),"Russia")</f>
        <v>Russia</v>
      </c>
      <c r="D13091">
        <f>IFERROR(__xludf.DUMMYFUNCTION("""COMPUTED_VALUE"""),2024.0)</f>
        <v>2024</v>
      </c>
      <c r="E13091">
        <f>IFERROR(__xludf.DUMMYFUNCTION("""COMPUTED_VALUE"""),1.42924318E8)</f>
        <v>142924318</v>
      </c>
    </row>
    <row r="13092">
      <c r="A13092" t="str">
        <f t="shared" si="1"/>
        <v>rus#2025</v>
      </c>
      <c r="B13092" t="str">
        <f>IFERROR(__xludf.DUMMYFUNCTION("""COMPUTED_VALUE"""),"rus")</f>
        <v>rus</v>
      </c>
      <c r="C13092" t="str">
        <f>IFERROR(__xludf.DUMMYFUNCTION("""COMPUTED_VALUE"""),"Russia")</f>
        <v>Russia</v>
      </c>
      <c r="D13092">
        <f>IFERROR(__xludf.DUMMYFUNCTION("""COMPUTED_VALUE"""),2025.0)</f>
        <v>2025</v>
      </c>
      <c r="E13092">
        <f>IFERROR(__xludf.DUMMYFUNCTION("""COMPUTED_VALUE"""),1.42606884E8)</f>
        <v>142606884</v>
      </c>
    </row>
    <row r="13093">
      <c r="A13093" t="str">
        <f t="shared" si="1"/>
        <v>rus#2026</v>
      </c>
      <c r="B13093" t="str">
        <f>IFERROR(__xludf.DUMMYFUNCTION("""COMPUTED_VALUE"""),"rus")</f>
        <v>rus</v>
      </c>
      <c r="C13093" t="str">
        <f>IFERROR(__xludf.DUMMYFUNCTION("""COMPUTED_VALUE"""),"Russia")</f>
        <v>Russia</v>
      </c>
      <c r="D13093">
        <f>IFERROR(__xludf.DUMMYFUNCTION("""COMPUTED_VALUE"""),2026.0)</f>
        <v>2026</v>
      </c>
      <c r="E13093">
        <f>IFERROR(__xludf.DUMMYFUNCTION("""COMPUTED_VALUE"""),1.42253253E8)</f>
        <v>142253253</v>
      </c>
    </row>
    <row r="13094">
      <c r="A13094" t="str">
        <f t="shared" si="1"/>
        <v>rus#2027</v>
      </c>
      <c r="B13094" t="str">
        <f>IFERROR(__xludf.DUMMYFUNCTION("""COMPUTED_VALUE"""),"rus")</f>
        <v>rus</v>
      </c>
      <c r="C13094" t="str">
        <f>IFERROR(__xludf.DUMMYFUNCTION("""COMPUTED_VALUE"""),"Russia")</f>
        <v>Russia</v>
      </c>
      <c r="D13094">
        <f>IFERROR(__xludf.DUMMYFUNCTION("""COMPUTED_VALUE"""),2027.0)</f>
        <v>2027</v>
      </c>
      <c r="E13094">
        <f>IFERROR(__xludf.DUMMYFUNCTION("""COMPUTED_VALUE"""),1.41865848E8)</f>
        <v>141865848</v>
      </c>
    </row>
    <row r="13095">
      <c r="A13095" t="str">
        <f t="shared" si="1"/>
        <v>rus#2028</v>
      </c>
      <c r="B13095" t="str">
        <f>IFERROR(__xludf.DUMMYFUNCTION("""COMPUTED_VALUE"""),"rus")</f>
        <v>rus</v>
      </c>
      <c r="C13095" t="str">
        <f>IFERROR(__xludf.DUMMYFUNCTION("""COMPUTED_VALUE"""),"Russia")</f>
        <v>Russia</v>
      </c>
      <c r="D13095">
        <f>IFERROR(__xludf.DUMMYFUNCTION("""COMPUTED_VALUE"""),2028.0)</f>
        <v>2028</v>
      </c>
      <c r="E13095">
        <f>IFERROR(__xludf.DUMMYFUNCTION("""COMPUTED_VALUE"""),1.41448648E8)</f>
        <v>141448648</v>
      </c>
    </row>
    <row r="13096">
      <c r="A13096" t="str">
        <f t="shared" si="1"/>
        <v>rus#2029</v>
      </c>
      <c r="B13096" t="str">
        <f>IFERROR(__xludf.DUMMYFUNCTION("""COMPUTED_VALUE"""),"rus")</f>
        <v>rus</v>
      </c>
      <c r="C13096" t="str">
        <f>IFERROR(__xludf.DUMMYFUNCTION("""COMPUTED_VALUE"""),"Russia")</f>
        <v>Russia</v>
      </c>
      <c r="D13096">
        <f>IFERROR(__xludf.DUMMYFUNCTION("""COMPUTED_VALUE"""),2029.0)</f>
        <v>2029</v>
      </c>
      <c r="E13096">
        <f>IFERROR(__xludf.DUMMYFUNCTION("""COMPUTED_VALUE"""),1.41006283E8)</f>
        <v>141006283</v>
      </c>
    </row>
    <row r="13097">
      <c r="A13097" t="str">
        <f t="shared" si="1"/>
        <v>rus#2030</v>
      </c>
      <c r="B13097" t="str">
        <f>IFERROR(__xludf.DUMMYFUNCTION("""COMPUTED_VALUE"""),"rus")</f>
        <v>rus</v>
      </c>
      <c r="C13097" t="str">
        <f>IFERROR(__xludf.DUMMYFUNCTION("""COMPUTED_VALUE"""),"Russia")</f>
        <v>Russia</v>
      </c>
      <c r="D13097">
        <f>IFERROR(__xludf.DUMMYFUNCTION("""COMPUTED_VALUE"""),2030.0)</f>
        <v>2030</v>
      </c>
      <c r="E13097">
        <f>IFERROR(__xludf.DUMMYFUNCTION("""COMPUTED_VALUE"""),1.40543418E8)</f>
        <v>140543418</v>
      </c>
    </row>
    <row r="13098">
      <c r="A13098" t="str">
        <f t="shared" si="1"/>
        <v>rus#2031</v>
      </c>
      <c r="B13098" t="str">
        <f>IFERROR(__xludf.DUMMYFUNCTION("""COMPUTED_VALUE"""),"rus")</f>
        <v>rus</v>
      </c>
      <c r="C13098" t="str">
        <f>IFERROR(__xludf.DUMMYFUNCTION("""COMPUTED_VALUE"""),"Russia")</f>
        <v>Russia</v>
      </c>
      <c r="D13098">
        <f>IFERROR(__xludf.DUMMYFUNCTION("""COMPUTED_VALUE"""),2031.0)</f>
        <v>2031</v>
      </c>
      <c r="E13098">
        <f>IFERROR(__xludf.DUMMYFUNCTION("""COMPUTED_VALUE"""),1.40063004E8)</f>
        <v>140063004</v>
      </c>
    </row>
    <row r="13099">
      <c r="A13099" t="str">
        <f t="shared" si="1"/>
        <v>rus#2032</v>
      </c>
      <c r="B13099" t="str">
        <f>IFERROR(__xludf.DUMMYFUNCTION("""COMPUTED_VALUE"""),"rus")</f>
        <v>rus</v>
      </c>
      <c r="C13099" t="str">
        <f>IFERROR(__xludf.DUMMYFUNCTION("""COMPUTED_VALUE"""),"Russia")</f>
        <v>Russia</v>
      </c>
      <c r="D13099">
        <f>IFERROR(__xludf.DUMMYFUNCTION("""COMPUTED_VALUE"""),2032.0)</f>
        <v>2032</v>
      </c>
      <c r="E13099">
        <f>IFERROR(__xludf.DUMMYFUNCTION("""COMPUTED_VALUE"""),1.39568954E8)</f>
        <v>139568954</v>
      </c>
    </row>
    <row r="13100">
      <c r="A13100" t="str">
        <f t="shared" si="1"/>
        <v>rus#2033</v>
      </c>
      <c r="B13100" t="str">
        <f>IFERROR(__xludf.DUMMYFUNCTION("""COMPUTED_VALUE"""),"rus")</f>
        <v>rus</v>
      </c>
      <c r="C13100" t="str">
        <f>IFERROR(__xludf.DUMMYFUNCTION("""COMPUTED_VALUE"""),"Russia")</f>
        <v>Russia</v>
      </c>
      <c r="D13100">
        <f>IFERROR(__xludf.DUMMYFUNCTION("""COMPUTED_VALUE"""),2033.0)</f>
        <v>2033</v>
      </c>
      <c r="E13100">
        <f>IFERROR(__xludf.DUMMYFUNCTION("""COMPUTED_VALUE"""),1.39068117E8)</f>
        <v>139068117</v>
      </c>
    </row>
    <row r="13101">
      <c r="A13101" t="str">
        <f t="shared" si="1"/>
        <v>rus#2034</v>
      </c>
      <c r="B13101" t="str">
        <f>IFERROR(__xludf.DUMMYFUNCTION("""COMPUTED_VALUE"""),"rus")</f>
        <v>rus</v>
      </c>
      <c r="C13101" t="str">
        <f>IFERROR(__xludf.DUMMYFUNCTION("""COMPUTED_VALUE"""),"Russia")</f>
        <v>Russia</v>
      </c>
      <c r="D13101">
        <f>IFERROR(__xludf.DUMMYFUNCTION("""COMPUTED_VALUE"""),2034.0)</f>
        <v>2034</v>
      </c>
      <c r="E13101">
        <f>IFERROR(__xludf.DUMMYFUNCTION("""COMPUTED_VALUE"""),1.38568415E8)</f>
        <v>138568415</v>
      </c>
    </row>
    <row r="13102">
      <c r="A13102" t="str">
        <f t="shared" si="1"/>
        <v>rus#2035</v>
      </c>
      <c r="B13102" t="str">
        <f>IFERROR(__xludf.DUMMYFUNCTION("""COMPUTED_VALUE"""),"rus")</f>
        <v>rus</v>
      </c>
      <c r="C13102" t="str">
        <f>IFERROR(__xludf.DUMMYFUNCTION("""COMPUTED_VALUE"""),"Russia")</f>
        <v>Russia</v>
      </c>
      <c r="D13102">
        <f>IFERROR(__xludf.DUMMYFUNCTION("""COMPUTED_VALUE"""),2035.0)</f>
        <v>2035</v>
      </c>
      <c r="E13102">
        <f>IFERROR(__xludf.DUMMYFUNCTION("""COMPUTED_VALUE"""),1.38076421E8)</f>
        <v>138076421</v>
      </c>
    </row>
    <row r="13103">
      <c r="A13103" t="str">
        <f t="shared" si="1"/>
        <v>rus#2036</v>
      </c>
      <c r="B13103" t="str">
        <f>IFERROR(__xludf.DUMMYFUNCTION("""COMPUTED_VALUE"""),"rus")</f>
        <v>rus</v>
      </c>
      <c r="C13103" t="str">
        <f>IFERROR(__xludf.DUMMYFUNCTION("""COMPUTED_VALUE"""),"Russia")</f>
        <v>Russia</v>
      </c>
      <c r="D13103">
        <f>IFERROR(__xludf.DUMMYFUNCTION("""COMPUTED_VALUE"""),2036.0)</f>
        <v>2036</v>
      </c>
      <c r="E13103">
        <f>IFERROR(__xludf.DUMMYFUNCTION("""COMPUTED_VALUE"""),1.37595314E8)</f>
        <v>137595314</v>
      </c>
    </row>
    <row r="13104">
      <c r="A13104" t="str">
        <f t="shared" si="1"/>
        <v>rus#2037</v>
      </c>
      <c r="B13104" t="str">
        <f>IFERROR(__xludf.DUMMYFUNCTION("""COMPUTED_VALUE"""),"rus")</f>
        <v>rus</v>
      </c>
      <c r="C13104" t="str">
        <f>IFERROR(__xludf.DUMMYFUNCTION("""COMPUTED_VALUE"""),"Russia")</f>
        <v>Russia</v>
      </c>
      <c r="D13104">
        <f>IFERROR(__xludf.DUMMYFUNCTION("""COMPUTED_VALUE"""),2037.0)</f>
        <v>2037</v>
      </c>
      <c r="E13104">
        <f>IFERROR(__xludf.DUMMYFUNCTION("""COMPUTED_VALUE"""),1.37127167E8)</f>
        <v>137127167</v>
      </c>
    </row>
    <row r="13105">
      <c r="A13105" t="str">
        <f t="shared" si="1"/>
        <v>rus#2038</v>
      </c>
      <c r="B13105" t="str">
        <f>IFERROR(__xludf.DUMMYFUNCTION("""COMPUTED_VALUE"""),"rus")</f>
        <v>rus</v>
      </c>
      <c r="C13105" t="str">
        <f>IFERROR(__xludf.DUMMYFUNCTION("""COMPUTED_VALUE"""),"Russia")</f>
        <v>Russia</v>
      </c>
      <c r="D13105">
        <f>IFERROR(__xludf.DUMMYFUNCTION("""COMPUTED_VALUE"""),2038.0)</f>
        <v>2038</v>
      </c>
      <c r="E13105">
        <f>IFERROR(__xludf.DUMMYFUNCTION("""COMPUTED_VALUE"""),1.36675777E8)</f>
        <v>136675777</v>
      </c>
    </row>
    <row r="13106">
      <c r="A13106" t="str">
        <f t="shared" si="1"/>
        <v>rus#2039</v>
      </c>
      <c r="B13106" t="str">
        <f>IFERROR(__xludf.DUMMYFUNCTION("""COMPUTED_VALUE"""),"rus")</f>
        <v>rus</v>
      </c>
      <c r="C13106" t="str">
        <f>IFERROR(__xludf.DUMMYFUNCTION("""COMPUTED_VALUE"""),"Russia")</f>
        <v>Russia</v>
      </c>
      <c r="D13106">
        <f>IFERROR(__xludf.DUMMYFUNCTION("""COMPUTED_VALUE"""),2039.0)</f>
        <v>2039</v>
      </c>
      <c r="E13106">
        <f>IFERROR(__xludf.DUMMYFUNCTION("""COMPUTED_VALUE"""),1.36244744E8)</f>
        <v>136244744</v>
      </c>
    </row>
    <row r="13107">
      <c r="A13107" t="str">
        <f t="shared" si="1"/>
        <v>rus#2040</v>
      </c>
      <c r="B13107" t="str">
        <f>IFERROR(__xludf.DUMMYFUNCTION("""COMPUTED_VALUE"""),"rus")</f>
        <v>rus</v>
      </c>
      <c r="C13107" t="str">
        <f>IFERROR(__xludf.DUMMYFUNCTION("""COMPUTED_VALUE"""),"Russia")</f>
        <v>Russia</v>
      </c>
      <c r="D13107">
        <f>IFERROR(__xludf.DUMMYFUNCTION("""COMPUTED_VALUE"""),2040.0)</f>
        <v>2040</v>
      </c>
      <c r="E13107">
        <f>IFERROR(__xludf.DUMMYFUNCTION("""COMPUTED_VALUE"""),1.35836501E8)</f>
        <v>135836501</v>
      </c>
    </row>
    <row r="13108">
      <c r="A13108" t="str">
        <f t="shared" si="1"/>
        <v>rwa#1950</v>
      </c>
      <c r="B13108" t="str">
        <f>IFERROR(__xludf.DUMMYFUNCTION("""COMPUTED_VALUE"""),"rwa")</f>
        <v>rwa</v>
      </c>
      <c r="C13108" t="str">
        <f>IFERROR(__xludf.DUMMYFUNCTION("""COMPUTED_VALUE"""),"Rwanda")</f>
        <v>Rwanda</v>
      </c>
      <c r="D13108">
        <f>IFERROR(__xludf.DUMMYFUNCTION("""COMPUTED_VALUE"""),1950.0)</f>
        <v>1950</v>
      </c>
      <c r="E13108">
        <f>IFERROR(__xludf.DUMMYFUNCTION("""COMPUTED_VALUE"""),2186185.0)</f>
        <v>2186185</v>
      </c>
    </row>
    <row r="13109">
      <c r="A13109" t="str">
        <f t="shared" si="1"/>
        <v>rwa#1951</v>
      </c>
      <c r="B13109" t="str">
        <f>IFERROR(__xludf.DUMMYFUNCTION("""COMPUTED_VALUE"""),"rwa")</f>
        <v>rwa</v>
      </c>
      <c r="C13109" t="str">
        <f>IFERROR(__xludf.DUMMYFUNCTION("""COMPUTED_VALUE"""),"Rwanda")</f>
        <v>Rwanda</v>
      </c>
      <c r="D13109">
        <f>IFERROR(__xludf.DUMMYFUNCTION("""COMPUTED_VALUE"""),1951.0)</f>
        <v>1951</v>
      </c>
      <c r="E13109">
        <f>IFERROR(__xludf.DUMMYFUNCTION("""COMPUTED_VALUE"""),2250677.0)</f>
        <v>2250677</v>
      </c>
    </row>
    <row r="13110">
      <c r="A13110" t="str">
        <f t="shared" si="1"/>
        <v>rwa#1952</v>
      </c>
      <c r="B13110" t="str">
        <f>IFERROR(__xludf.DUMMYFUNCTION("""COMPUTED_VALUE"""),"rwa")</f>
        <v>rwa</v>
      </c>
      <c r="C13110" t="str">
        <f>IFERROR(__xludf.DUMMYFUNCTION("""COMPUTED_VALUE"""),"Rwanda")</f>
        <v>Rwanda</v>
      </c>
      <c r="D13110">
        <f>IFERROR(__xludf.DUMMYFUNCTION("""COMPUTED_VALUE"""),1952.0)</f>
        <v>1952</v>
      </c>
      <c r="E13110">
        <f>IFERROR(__xludf.DUMMYFUNCTION("""COMPUTED_VALUE"""),2313311.0)</f>
        <v>2313311</v>
      </c>
    </row>
    <row r="13111">
      <c r="A13111" t="str">
        <f t="shared" si="1"/>
        <v>rwa#1953</v>
      </c>
      <c r="B13111" t="str">
        <f>IFERROR(__xludf.DUMMYFUNCTION("""COMPUTED_VALUE"""),"rwa")</f>
        <v>rwa</v>
      </c>
      <c r="C13111" t="str">
        <f>IFERROR(__xludf.DUMMYFUNCTION("""COMPUTED_VALUE"""),"Rwanda")</f>
        <v>Rwanda</v>
      </c>
      <c r="D13111">
        <f>IFERROR(__xludf.DUMMYFUNCTION("""COMPUTED_VALUE"""),1953.0)</f>
        <v>1953</v>
      </c>
      <c r="E13111">
        <f>IFERROR(__xludf.DUMMYFUNCTION("""COMPUTED_VALUE"""),2378445.0)</f>
        <v>2378445</v>
      </c>
    </row>
    <row r="13112">
      <c r="A13112" t="str">
        <f t="shared" si="1"/>
        <v>rwa#1954</v>
      </c>
      <c r="B13112" t="str">
        <f>IFERROR(__xludf.DUMMYFUNCTION("""COMPUTED_VALUE"""),"rwa")</f>
        <v>rwa</v>
      </c>
      <c r="C13112" t="str">
        <f>IFERROR(__xludf.DUMMYFUNCTION("""COMPUTED_VALUE"""),"Rwanda")</f>
        <v>Rwanda</v>
      </c>
      <c r="D13112">
        <f>IFERROR(__xludf.DUMMYFUNCTION("""COMPUTED_VALUE"""),1954.0)</f>
        <v>1954</v>
      </c>
      <c r="E13112">
        <f>IFERROR(__xludf.DUMMYFUNCTION("""COMPUTED_VALUE"""),2448825.0)</f>
        <v>2448825</v>
      </c>
    </row>
    <row r="13113">
      <c r="A13113" t="str">
        <f t="shared" si="1"/>
        <v>rwa#1955</v>
      </c>
      <c r="B13113" t="str">
        <f>IFERROR(__xludf.DUMMYFUNCTION("""COMPUTED_VALUE"""),"rwa")</f>
        <v>rwa</v>
      </c>
      <c r="C13113" t="str">
        <f>IFERROR(__xludf.DUMMYFUNCTION("""COMPUTED_VALUE"""),"Rwanda")</f>
        <v>Rwanda</v>
      </c>
      <c r="D13113">
        <f>IFERROR(__xludf.DUMMYFUNCTION("""COMPUTED_VALUE"""),1955.0)</f>
        <v>1955</v>
      </c>
      <c r="E13113">
        <f>IFERROR(__xludf.DUMMYFUNCTION("""COMPUTED_VALUE"""),2525527.0)</f>
        <v>2525527</v>
      </c>
    </row>
    <row r="13114">
      <c r="A13114" t="str">
        <f t="shared" si="1"/>
        <v>rwa#1956</v>
      </c>
      <c r="B13114" t="str">
        <f>IFERROR(__xludf.DUMMYFUNCTION("""COMPUTED_VALUE"""),"rwa")</f>
        <v>rwa</v>
      </c>
      <c r="C13114" t="str">
        <f>IFERROR(__xludf.DUMMYFUNCTION("""COMPUTED_VALUE"""),"Rwanda")</f>
        <v>Rwanda</v>
      </c>
      <c r="D13114">
        <f>IFERROR(__xludf.DUMMYFUNCTION("""COMPUTED_VALUE"""),1956.0)</f>
        <v>1956</v>
      </c>
      <c r="E13114">
        <f>IFERROR(__xludf.DUMMYFUNCTION("""COMPUTED_VALUE"""),2607950.0)</f>
        <v>2607950</v>
      </c>
    </row>
    <row r="13115">
      <c r="A13115" t="str">
        <f t="shared" si="1"/>
        <v>rwa#1957</v>
      </c>
      <c r="B13115" t="str">
        <f>IFERROR(__xludf.DUMMYFUNCTION("""COMPUTED_VALUE"""),"rwa")</f>
        <v>rwa</v>
      </c>
      <c r="C13115" t="str">
        <f>IFERROR(__xludf.DUMMYFUNCTION("""COMPUTED_VALUE"""),"Rwanda")</f>
        <v>Rwanda</v>
      </c>
      <c r="D13115">
        <f>IFERROR(__xludf.DUMMYFUNCTION("""COMPUTED_VALUE"""),1957.0)</f>
        <v>1957</v>
      </c>
      <c r="E13115">
        <f>IFERROR(__xludf.DUMMYFUNCTION("""COMPUTED_VALUE"""),2693821.0)</f>
        <v>2693821</v>
      </c>
    </row>
    <row r="13116">
      <c r="A13116" t="str">
        <f t="shared" si="1"/>
        <v>rwa#1958</v>
      </c>
      <c r="B13116" t="str">
        <f>IFERROR(__xludf.DUMMYFUNCTION("""COMPUTED_VALUE"""),"rwa")</f>
        <v>rwa</v>
      </c>
      <c r="C13116" t="str">
        <f>IFERROR(__xludf.DUMMYFUNCTION("""COMPUTED_VALUE"""),"Rwanda")</f>
        <v>Rwanda</v>
      </c>
      <c r="D13116">
        <f>IFERROR(__xludf.DUMMYFUNCTION("""COMPUTED_VALUE"""),1958.0)</f>
        <v>1958</v>
      </c>
      <c r="E13116">
        <f>IFERROR(__xludf.DUMMYFUNCTION("""COMPUTED_VALUE"""),2779550.0)</f>
        <v>2779550</v>
      </c>
    </row>
    <row r="13117">
      <c r="A13117" t="str">
        <f t="shared" si="1"/>
        <v>rwa#1959</v>
      </c>
      <c r="B13117" t="str">
        <f>IFERROR(__xludf.DUMMYFUNCTION("""COMPUTED_VALUE"""),"rwa")</f>
        <v>rwa</v>
      </c>
      <c r="C13117" t="str">
        <f>IFERROR(__xludf.DUMMYFUNCTION("""COMPUTED_VALUE"""),"Rwanda")</f>
        <v>Rwanda</v>
      </c>
      <c r="D13117">
        <f>IFERROR(__xludf.DUMMYFUNCTION("""COMPUTED_VALUE"""),1959.0)</f>
        <v>1959</v>
      </c>
      <c r="E13117">
        <f>IFERROR(__xludf.DUMMYFUNCTION("""COMPUTED_VALUE"""),2860691.0)</f>
        <v>2860691</v>
      </c>
    </row>
    <row r="13118">
      <c r="A13118" t="str">
        <f t="shared" si="1"/>
        <v>rwa#1960</v>
      </c>
      <c r="B13118" t="str">
        <f>IFERROR(__xludf.DUMMYFUNCTION("""COMPUTED_VALUE"""),"rwa")</f>
        <v>rwa</v>
      </c>
      <c r="C13118" t="str">
        <f>IFERROR(__xludf.DUMMYFUNCTION("""COMPUTED_VALUE"""),"Rwanda")</f>
        <v>Rwanda</v>
      </c>
      <c r="D13118">
        <f>IFERROR(__xludf.DUMMYFUNCTION("""COMPUTED_VALUE"""),1960.0)</f>
        <v>1960</v>
      </c>
      <c r="E13118">
        <f>IFERROR(__xludf.DUMMYFUNCTION("""COMPUTED_VALUE"""),2933428.0)</f>
        <v>2933428</v>
      </c>
    </row>
    <row r="13119">
      <c r="A13119" t="str">
        <f t="shared" si="1"/>
        <v>rwa#1961</v>
      </c>
      <c r="B13119" t="str">
        <f>IFERROR(__xludf.DUMMYFUNCTION("""COMPUTED_VALUE"""),"rwa")</f>
        <v>rwa</v>
      </c>
      <c r="C13119" t="str">
        <f>IFERROR(__xludf.DUMMYFUNCTION("""COMPUTED_VALUE"""),"Rwanda")</f>
        <v>Rwanda</v>
      </c>
      <c r="D13119">
        <f>IFERROR(__xludf.DUMMYFUNCTION("""COMPUTED_VALUE"""),1961.0)</f>
        <v>1961</v>
      </c>
      <c r="E13119">
        <f>IFERROR(__xludf.DUMMYFUNCTION("""COMPUTED_VALUE"""),2996096.0)</f>
        <v>2996096</v>
      </c>
    </row>
    <row r="13120">
      <c r="A13120" t="str">
        <f t="shared" si="1"/>
        <v>rwa#1962</v>
      </c>
      <c r="B13120" t="str">
        <f>IFERROR(__xludf.DUMMYFUNCTION("""COMPUTED_VALUE"""),"rwa")</f>
        <v>rwa</v>
      </c>
      <c r="C13120" t="str">
        <f>IFERROR(__xludf.DUMMYFUNCTION("""COMPUTED_VALUE"""),"Rwanda")</f>
        <v>Rwanda</v>
      </c>
      <c r="D13120">
        <f>IFERROR(__xludf.DUMMYFUNCTION("""COMPUTED_VALUE"""),1962.0)</f>
        <v>1962</v>
      </c>
      <c r="E13120">
        <f>IFERROR(__xludf.DUMMYFUNCTION("""COMPUTED_VALUE"""),3050604.0)</f>
        <v>3050604</v>
      </c>
    </row>
    <row r="13121">
      <c r="A13121" t="str">
        <f t="shared" si="1"/>
        <v>rwa#1963</v>
      </c>
      <c r="B13121" t="str">
        <f>IFERROR(__xludf.DUMMYFUNCTION("""COMPUTED_VALUE"""),"rwa")</f>
        <v>rwa</v>
      </c>
      <c r="C13121" t="str">
        <f>IFERROR(__xludf.DUMMYFUNCTION("""COMPUTED_VALUE"""),"Rwanda")</f>
        <v>Rwanda</v>
      </c>
      <c r="D13121">
        <f>IFERROR(__xludf.DUMMYFUNCTION("""COMPUTED_VALUE"""),1963.0)</f>
        <v>1963</v>
      </c>
      <c r="E13121">
        <f>IFERROR(__xludf.DUMMYFUNCTION("""COMPUTED_VALUE"""),3102972.0)</f>
        <v>3102972</v>
      </c>
    </row>
    <row r="13122">
      <c r="A13122" t="str">
        <f t="shared" si="1"/>
        <v>rwa#1964</v>
      </c>
      <c r="B13122" t="str">
        <f>IFERROR(__xludf.DUMMYFUNCTION("""COMPUTED_VALUE"""),"rwa")</f>
        <v>rwa</v>
      </c>
      <c r="C13122" t="str">
        <f>IFERROR(__xludf.DUMMYFUNCTION("""COMPUTED_VALUE"""),"Rwanda")</f>
        <v>Rwanda</v>
      </c>
      <c r="D13122">
        <f>IFERROR(__xludf.DUMMYFUNCTION("""COMPUTED_VALUE"""),1964.0)</f>
        <v>1964</v>
      </c>
      <c r="E13122">
        <f>IFERROR(__xludf.DUMMYFUNCTION("""COMPUTED_VALUE"""),3161724.0)</f>
        <v>3161724</v>
      </c>
    </row>
    <row r="13123">
      <c r="A13123" t="str">
        <f t="shared" si="1"/>
        <v>rwa#1965</v>
      </c>
      <c r="B13123" t="str">
        <f>IFERROR(__xludf.DUMMYFUNCTION("""COMPUTED_VALUE"""),"rwa")</f>
        <v>rwa</v>
      </c>
      <c r="C13123" t="str">
        <f>IFERROR(__xludf.DUMMYFUNCTION("""COMPUTED_VALUE"""),"Rwanda")</f>
        <v>Rwanda</v>
      </c>
      <c r="D13123">
        <f>IFERROR(__xludf.DUMMYFUNCTION("""COMPUTED_VALUE"""),1965.0)</f>
        <v>1965</v>
      </c>
      <c r="E13123">
        <f>IFERROR(__xludf.DUMMYFUNCTION("""COMPUTED_VALUE"""),3232934.0)</f>
        <v>3232934</v>
      </c>
    </row>
    <row r="13124">
      <c r="A13124" t="str">
        <f t="shared" si="1"/>
        <v>rwa#1966</v>
      </c>
      <c r="B13124" t="str">
        <f>IFERROR(__xludf.DUMMYFUNCTION("""COMPUTED_VALUE"""),"rwa")</f>
        <v>rwa</v>
      </c>
      <c r="C13124" t="str">
        <f>IFERROR(__xludf.DUMMYFUNCTION("""COMPUTED_VALUE"""),"Rwanda")</f>
        <v>Rwanda</v>
      </c>
      <c r="D13124">
        <f>IFERROR(__xludf.DUMMYFUNCTION("""COMPUTED_VALUE"""),1966.0)</f>
        <v>1966</v>
      </c>
      <c r="E13124">
        <f>IFERROR(__xludf.DUMMYFUNCTION("""COMPUTED_VALUE"""),3319082.0)</f>
        <v>3319082</v>
      </c>
    </row>
    <row r="13125">
      <c r="A13125" t="str">
        <f t="shared" si="1"/>
        <v>rwa#1967</v>
      </c>
      <c r="B13125" t="str">
        <f>IFERROR(__xludf.DUMMYFUNCTION("""COMPUTED_VALUE"""),"rwa")</f>
        <v>rwa</v>
      </c>
      <c r="C13125" t="str">
        <f>IFERROR(__xludf.DUMMYFUNCTION("""COMPUTED_VALUE"""),"Rwanda")</f>
        <v>Rwanda</v>
      </c>
      <c r="D13125">
        <f>IFERROR(__xludf.DUMMYFUNCTION("""COMPUTED_VALUE"""),1967.0)</f>
        <v>1967</v>
      </c>
      <c r="E13125">
        <f>IFERROR(__xludf.DUMMYFUNCTION("""COMPUTED_VALUE"""),3418317.0)</f>
        <v>3418317</v>
      </c>
    </row>
    <row r="13126">
      <c r="A13126" t="str">
        <f t="shared" si="1"/>
        <v>rwa#1968</v>
      </c>
      <c r="B13126" t="str">
        <f>IFERROR(__xludf.DUMMYFUNCTION("""COMPUTED_VALUE"""),"rwa")</f>
        <v>rwa</v>
      </c>
      <c r="C13126" t="str">
        <f>IFERROR(__xludf.DUMMYFUNCTION("""COMPUTED_VALUE"""),"Rwanda")</f>
        <v>Rwanda</v>
      </c>
      <c r="D13126">
        <f>IFERROR(__xludf.DUMMYFUNCTION("""COMPUTED_VALUE"""),1968.0)</f>
        <v>1968</v>
      </c>
      <c r="E13126">
        <f>IFERROR(__xludf.DUMMYFUNCTION("""COMPUTED_VALUE"""),3527263.0)</f>
        <v>3527263</v>
      </c>
    </row>
    <row r="13127">
      <c r="A13127" t="str">
        <f t="shared" si="1"/>
        <v>rwa#1969</v>
      </c>
      <c r="B13127" t="str">
        <f>IFERROR(__xludf.DUMMYFUNCTION("""COMPUTED_VALUE"""),"rwa")</f>
        <v>rwa</v>
      </c>
      <c r="C13127" t="str">
        <f>IFERROR(__xludf.DUMMYFUNCTION("""COMPUTED_VALUE"""),"Rwanda")</f>
        <v>Rwanda</v>
      </c>
      <c r="D13127">
        <f>IFERROR(__xludf.DUMMYFUNCTION("""COMPUTED_VALUE"""),1969.0)</f>
        <v>1969</v>
      </c>
      <c r="E13127">
        <f>IFERROR(__xludf.DUMMYFUNCTION("""COMPUTED_VALUE"""),3640591.0)</f>
        <v>3640591</v>
      </c>
    </row>
    <row r="13128">
      <c r="A13128" t="str">
        <f t="shared" si="1"/>
        <v>rwa#1970</v>
      </c>
      <c r="B13128" t="str">
        <f>IFERROR(__xludf.DUMMYFUNCTION("""COMPUTED_VALUE"""),"rwa")</f>
        <v>rwa</v>
      </c>
      <c r="C13128" t="str">
        <f>IFERROR(__xludf.DUMMYFUNCTION("""COMPUTED_VALUE"""),"Rwanda")</f>
        <v>Rwanda</v>
      </c>
      <c r="D13128">
        <f>IFERROR(__xludf.DUMMYFUNCTION("""COMPUTED_VALUE"""),1970.0)</f>
        <v>1970</v>
      </c>
      <c r="E13128">
        <f>IFERROR(__xludf.DUMMYFUNCTION("""COMPUTED_VALUE"""),3754541.0)</f>
        <v>3754541</v>
      </c>
    </row>
    <row r="13129">
      <c r="A13129" t="str">
        <f t="shared" si="1"/>
        <v>rwa#1971</v>
      </c>
      <c r="B13129" t="str">
        <f>IFERROR(__xludf.DUMMYFUNCTION("""COMPUTED_VALUE"""),"rwa")</f>
        <v>rwa</v>
      </c>
      <c r="C13129" t="str">
        <f>IFERROR(__xludf.DUMMYFUNCTION("""COMPUTED_VALUE"""),"Rwanda")</f>
        <v>Rwanda</v>
      </c>
      <c r="D13129">
        <f>IFERROR(__xludf.DUMMYFUNCTION("""COMPUTED_VALUE"""),1971.0)</f>
        <v>1971</v>
      </c>
      <c r="E13129">
        <f>IFERROR(__xludf.DUMMYFUNCTION("""COMPUTED_VALUE"""),3868337.0)</f>
        <v>3868337</v>
      </c>
    </row>
    <row r="13130">
      <c r="A13130" t="str">
        <f t="shared" si="1"/>
        <v>rwa#1972</v>
      </c>
      <c r="B13130" t="str">
        <f>IFERROR(__xludf.DUMMYFUNCTION("""COMPUTED_VALUE"""),"rwa")</f>
        <v>rwa</v>
      </c>
      <c r="C13130" t="str">
        <f>IFERROR(__xludf.DUMMYFUNCTION("""COMPUTED_VALUE"""),"Rwanda")</f>
        <v>Rwanda</v>
      </c>
      <c r="D13130">
        <f>IFERROR(__xludf.DUMMYFUNCTION("""COMPUTED_VALUE"""),1972.0)</f>
        <v>1972</v>
      </c>
      <c r="E13130">
        <f>IFERROR(__xludf.DUMMYFUNCTION("""COMPUTED_VALUE"""),3983700.0)</f>
        <v>3983700</v>
      </c>
    </row>
    <row r="13131">
      <c r="A13131" t="str">
        <f t="shared" si="1"/>
        <v>rwa#1973</v>
      </c>
      <c r="B13131" t="str">
        <f>IFERROR(__xludf.DUMMYFUNCTION("""COMPUTED_VALUE"""),"rwa")</f>
        <v>rwa</v>
      </c>
      <c r="C13131" t="str">
        <f>IFERROR(__xludf.DUMMYFUNCTION("""COMPUTED_VALUE"""),"Rwanda")</f>
        <v>Rwanda</v>
      </c>
      <c r="D13131">
        <f>IFERROR(__xludf.DUMMYFUNCTION("""COMPUTED_VALUE"""),1973.0)</f>
        <v>1973</v>
      </c>
      <c r="E13131">
        <f>IFERROR(__xludf.DUMMYFUNCTION("""COMPUTED_VALUE"""),4102321.0)</f>
        <v>4102321</v>
      </c>
    </row>
    <row r="13132">
      <c r="A13132" t="str">
        <f t="shared" si="1"/>
        <v>rwa#1974</v>
      </c>
      <c r="B13132" t="str">
        <f>IFERROR(__xludf.DUMMYFUNCTION("""COMPUTED_VALUE"""),"rwa")</f>
        <v>rwa</v>
      </c>
      <c r="C13132" t="str">
        <f>IFERROR(__xludf.DUMMYFUNCTION("""COMPUTED_VALUE"""),"Rwanda")</f>
        <v>Rwanda</v>
      </c>
      <c r="D13132">
        <f>IFERROR(__xludf.DUMMYFUNCTION("""COMPUTED_VALUE"""),1974.0)</f>
        <v>1974</v>
      </c>
      <c r="E13132">
        <f>IFERROR(__xludf.DUMMYFUNCTION("""COMPUTED_VALUE"""),4226799.0)</f>
        <v>4226799</v>
      </c>
    </row>
    <row r="13133">
      <c r="A13133" t="str">
        <f t="shared" si="1"/>
        <v>rwa#1975</v>
      </c>
      <c r="B13133" t="str">
        <f>IFERROR(__xludf.DUMMYFUNCTION("""COMPUTED_VALUE"""),"rwa")</f>
        <v>rwa</v>
      </c>
      <c r="C13133" t="str">
        <f>IFERROR(__xludf.DUMMYFUNCTION("""COMPUTED_VALUE"""),"Rwanda")</f>
        <v>Rwanda</v>
      </c>
      <c r="D13133">
        <f>IFERROR(__xludf.DUMMYFUNCTION("""COMPUTED_VALUE"""),1975.0)</f>
        <v>1975</v>
      </c>
      <c r="E13133">
        <f>IFERROR(__xludf.DUMMYFUNCTION("""COMPUTED_VALUE"""),4359092.0)</f>
        <v>4359092</v>
      </c>
    </row>
    <row r="13134">
      <c r="A13134" t="str">
        <f t="shared" si="1"/>
        <v>rwa#1976</v>
      </c>
      <c r="B13134" t="str">
        <f>IFERROR(__xludf.DUMMYFUNCTION("""COMPUTED_VALUE"""),"rwa")</f>
        <v>rwa</v>
      </c>
      <c r="C13134" t="str">
        <f>IFERROR(__xludf.DUMMYFUNCTION("""COMPUTED_VALUE"""),"Rwanda")</f>
        <v>Rwanda</v>
      </c>
      <c r="D13134">
        <f>IFERROR(__xludf.DUMMYFUNCTION("""COMPUTED_VALUE"""),1976.0)</f>
        <v>1976</v>
      </c>
      <c r="E13134">
        <f>IFERROR(__xludf.DUMMYFUNCTION("""COMPUTED_VALUE"""),4499509.0)</f>
        <v>4499509</v>
      </c>
    </row>
    <row r="13135">
      <c r="A13135" t="str">
        <f t="shared" si="1"/>
        <v>rwa#1977</v>
      </c>
      <c r="B13135" t="str">
        <f>IFERROR(__xludf.DUMMYFUNCTION("""COMPUTED_VALUE"""),"rwa")</f>
        <v>rwa</v>
      </c>
      <c r="C13135" t="str">
        <f>IFERROR(__xludf.DUMMYFUNCTION("""COMPUTED_VALUE"""),"Rwanda")</f>
        <v>Rwanda</v>
      </c>
      <c r="D13135">
        <f>IFERROR(__xludf.DUMMYFUNCTION("""COMPUTED_VALUE"""),1977.0)</f>
        <v>1977</v>
      </c>
      <c r="E13135">
        <f>IFERROR(__xludf.DUMMYFUNCTION("""COMPUTED_VALUE"""),4647615.0)</f>
        <v>4647615</v>
      </c>
    </row>
    <row r="13136">
      <c r="A13136" t="str">
        <f t="shared" si="1"/>
        <v>rwa#1978</v>
      </c>
      <c r="B13136" t="str">
        <f>IFERROR(__xludf.DUMMYFUNCTION("""COMPUTED_VALUE"""),"rwa")</f>
        <v>rwa</v>
      </c>
      <c r="C13136" t="str">
        <f>IFERROR(__xludf.DUMMYFUNCTION("""COMPUTED_VALUE"""),"Rwanda")</f>
        <v>Rwanda</v>
      </c>
      <c r="D13136">
        <f>IFERROR(__xludf.DUMMYFUNCTION("""COMPUTED_VALUE"""),1978.0)</f>
        <v>1978</v>
      </c>
      <c r="E13136">
        <f>IFERROR(__xludf.DUMMYFUNCTION("""COMPUTED_VALUE"""),4803725.0)</f>
        <v>4803725</v>
      </c>
    </row>
    <row r="13137">
      <c r="A13137" t="str">
        <f t="shared" si="1"/>
        <v>rwa#1979</v>
      </c>
      <c r="B13137" t="str">
        <f>IFERROR(__xludf.DUMMYFUNCTION("""COMPUTED_VALUE"""),"rwa")</f>
        <v>rwa</v>
      </c>
      <c r="C13137" t="str">
        <f>IFERROR(__xludf.DUMMYFUNCTION("""COMPUTED_VALUE"""),"Rwanda")</f>
        <v>Rwanda</v>
      </c>
      <c r="D13137">
        <f>IFERROR(__xludf.DUMMYFUNCTION("""COMPUTED_VALUE"""),1979.0)</f>
        <v>1979</v>
      </c>
      <c r="E13137">
        <f>IFERROR(__xludf.DUMMYFUNCTION("""COMPUTED_VALUE"""),4968074.0)</f>
        <v>4968074</v>
      </c>
    </row>
    <row r="13138">
      <c r="A13138" t="str">
        <f t="shared" si="1"/>
        <v>rwa#1980</v>
      </c>
      <c r="B13138" t="str">
        <f>IFERROR(__xludf.DUMMYFUNCTION("""COMPUTED_VALUE"""),"rwa")</f>
        <v>rwa</v>
      </c>
      <c r="C13138" t="str">
        <f>IFERROR(__xludf.DUMMYFUNCTION("""COMPUTED_VALUE"""),"Rwanda")</f>
        <v>Rwanda</v>
      </c>
      <c r="D13138">
        <f>IFERROR(__xludf.DUMMYFUNCTION("""COMPUTED_VALUE"""),1980.0)</f>
        <v>1980</v>
      </c>
      <c r="E13138">
        <f>IFERROR(__xludf.DUMMYFUNCTION("""COMPUTED_VALUE"""),5140716.0)</f>
        <v>5140716</v>
      </c>
    </row>
    <row r="13139">
      <c r="A13139" t="str">
        <f t="shared" si="1"/>
        <v>rwa#1981</v>
      </c>
      <c r="B13139" t="str">
        <f>IFERROR(__xludf.DUMMYFUNCTION("""COMPUTED_VALUE"""),"rwa")</f>
        <v>rwa</v>
      </c>
      <c r="C13139" t="str">
        <f>IFERROR(__xludf.DUMMYFUNCTION("""COMPUTED_VALUE"""),"Rwanda")</f>
        <v>Rwanda</v>
      </c>
      <c r="D13139">
        <f>IFERROR(__xludf.DUMMYFUNCTION("""COMPUTED_VALUE"""),1981.0)</f>
        <v>1981</v>
      </c>
      <c r="E13139">
        <f>IFERROR(__xludf.DUMMYFUNCTION("""COMPUTED_VALUE"""),5315032.0)</f>
        <v>5315032</v>
      </c>
    </row>
    <row r="13140">
      <c r="A13140" t="str">
        <f t="shared" si="1"/>
        <v>rwa#1982</v>
      </c>
      <c r="B13140" t="str">
        <f>IFERROR(__xludf.DUMMYFUNCTION("""COMPUTED_VALUE"""),"rwa")</f>
        <v>rwa</v>
      </c>
      <c r="C13140" t="str">
        <f>IFERROR(__xludf.DUMMYFUNCTION("""COMPUTED_VALUE"""),"Rwanda")</f>
        <v>Rwanda</v>
      </c>
      <c r="D13140">
        <f>IFERROR(__xludf.DUMMYFUNCTION("""COMPUTED_VALUE"""),1982.0)</f>
        <v>1982</v>
      </c>
      <c r="E13140">
        <f>IFERROR(__xludf.DUMMYFUNCTION("""COMPUTED_VALUE"""),5489322.0)</f>
        <v>5489322</v>
      </c>
    </row>
    <row r="13141">
      <c r="A13141" t="str">
        <f t="shared" si="1"/>
        <v>rwa#1983</v>
      </c>
      <c r="B13141" t="str">
        <f>IFERROR(__xludf.DUMMYFUNCTION("""COMPUTED_VALUE"""),"rwa")</f>
        <v>rwa</v>
      </c>
      <c r="C13141" t="str">
        <f>IFERROR(__xludf.DUMMYFUNCTION("""COMPUTED_VALUE"""),"Rwanda")</f>
        <v>Rwanda</v>
      </c>
      <c r="D13141">
        <f>IFERROR(__xludf.DUMMYFUNCTION("""COMPUTED_VALUE"""),1983.0)</f>
        <v>1983</v>
      </c>
      <c r="E13141">
        <f>IFERROR(__xludf.DUMMYFUNCTION("""COMPUTED_VALUE"""),5673614.0)</f>
        <v>5673614</v>
      </c>
    </row>
    <row r="13142">
      <c r="A13142" t="str">
        <f t="shared" si="1"/>
        <v>rwa#1984</v>
      </c>
      <c r="B13142" t="str">
        <f>IFERROR(__xludf.DUMMYFUNCTION("""COMPUTED_VALUE"""),"rwa")</f>
        <v>rwa</v>
      </c>
      <c r="C13142" t="str">
        <f>IFERROR(__xludf.DUMMYFUNCTION("""COMPUTED_VALUE"""),"Rwanda")</f>
        <v>Rwanda</v>
      </c>
      <c r="D13142">
        <f>IFERROR(__xludf.DUMMYFUNCTION("""COMPUTED_VALUE"""),1984.0)</f>
        <v>1984</v>
      </c>
      <c r="E13142">
        <f>IFERROR(__xludf.DUMMYFUNCTION("""COMPUTED_VALUE"""),5881906.0)</f>
        <v>5881906</v>
      </c>
    </row>
    <row r="13143">
      <c r="A13143" t="str">
        <f t="shared" si="1"/>
        <v>rwa#1985</v>
      </c>
      <c r="B13143" t="str">
        <f>IFERROR(__xludf.DUMMYFUNCTION("""COMPUTED_VALUE"""),"rwa")</f>
        <v>rwa</v>
      </c>
      <c r="C13143" t="str">
        <f>IFERROR(__xludf.DUMMYFUNCTION("""COMPUTED_VALUE"""),"Rwanda")</f>
        <v>Rwanda</v>
      </c>
      <c r="D13143">
        <f>IFERROR(__xludf.DUMMYFUNCTION("""COMPUTED_VALUE"""),1985.0)</f>
        <v>1985</v>
      </c>
      <c r="E13143">
        <f>IFERROR(__xludf.DUMMYFUNCTION("""COMPUTED_VALUE"""),6120107.0)</f>
        <v>6120107</v>
      </c>
    </row>
    <row r="13144">
      <c r="A13144" t="str">
        <f t="shared" si="1"/>
        <v>rwa#1986</v>
      </c>
      <c r="B13144" t="str">
        <f>IFERROR(__xludf.DUMMYFUNCTION("""COMPUTED_VALUE"""),"rwa")</f>
        <v>rwa</v>
      </c>
      <c r="C13144" t="str">
        <f>IFERROR(__xludf.DUMMYFUNCTION("""COMPUTED_VALUE"""),"Rwanda")</f>
        <v>Rwanda</v>
      </c>
      <c r="D13144">
        <f>IFERROR(__xludf.DUMMYFUNCTION("""COMPUTED_VALUE"""),1986.0)</f>
        <v>1986</v>
      </c>
      <c r="E13144">
        <f>IFERROR(__xludf.DUMMYFUNCTION("""COMPUTED_VALUE"""),6407672.0)</f>
        <v>6407672</v>
      </c>
    </row>
    <row r="13145">
      <c r="A13145" t="str">
        <f t="shared" si="1"/>
        <v>rwa#1987</v>
      </c>
      <c r="B13145" t="str">
        <f>IFERROR(__xludf.DUMMYFUNCTION("""COMPUTED_VALUE"""),"rwa")</f>
        <v>rwa</v>
      </c>
      <c r="C13145" t="str">
        <f>IFERROR(__xludf.DUMMYFUNCTION("""COMPUTED_VALUE"""),"Rwanda")</f>
        <v>Rwanda</v>
      </c>
      <c r="D13145">
        <f>IFERROR(__xludf.DUMMYFUNCTION("""COMPUTED_VALUE"""),1987.0)</f>
        <v>1987</v>
      </c>
      <c r="E13145">
        <f>IFERROR(__xludf.DUMMYFUNCTION("""COMPUTED_VALUE"""),6732131.0)</f>
        <v>6732131</v>
      </c>
    </row>
    <row r="13146">
      <c r="A13146" t="str">
        <f t="shared" si="1"/>
        <v>rwa#1988</v>
      </c>
      <c r="B13146" t="str">
        <f>IFERROR(__xludf.DUMMYFUNCTION("""COMPUTED_VALUE"""),"rwa")</f>
        <v>rwa</v>
      </c>
      <c r="C13146" t="str">
        <f>IFERROR(__xludf.DUMMYFUNCTION("""COMPUTED_VALUE"""),"Rwanda")</f>
        <v>Rwanda</v>
      </c>
      <c r="D13146">
        <f>IFERROR(__xludf.DUMMYFUNCTION("""COMPUTED_VALUE"""),1988.0)</f>
        <v>1988</v>
      </c>
      <c r="E13146">
        <f>IFERROR(__xludf.DUMMYFUNCTION("""COMPUTED_VALUE"""),7030179.0)</f>
        <v>7030179</v>
      </c>
    </row>
    <row r="13147">
      <c r="A13147" t="str">
        <f t="shared" si="1"/>
        <v>rwa#1989</v>
      </c>
      <c r="B13147" t="str">
        <f>IFERROR(__xludf.DUMMYFUNCTION("""COMPUTED_VALUE"""),"rwa")</f>
        <v>rwa</v>
      </c>
      <c r="C13147" t="str">
        <f>IFERROR(__xludf.DUMMYFUNCTION("""COMPUTED_VALUE"""),"Rwanda")</f>
        <v>Rwanda</v>
      </c>
      <c r="D13147">
        <f>IFERROR(__xludf.DUMMYFUNCTION("""COMPUTED_VALUE"""),1989.0)</f>
        <v>1989</v>
      </c>
      <c r="E13147">
        <f>IFERROR(__xludf.DUMMYFUNCTION("""COMPUTED_VALUE"""),7216028.0)</f>
        <v>7216028</v>
      </c>
    </row>
    <row r="13148">
      <c r="A13148" t="str">
        <f t="shared" si="1"/>
        <v>rwa#1990</v>
      </c>
      <c r="B13148" t="str">
        <f>IFERROR(__xludf.DUMMYFUNCTION("""COMPUTED_VALUE"""),"rwa")</f>
        <v>rwa</v>
      </c>
      <c r="C13148" t="str">
        <f>IFERROR(__xludf.DUMMYFUNCTION("""COMPUTED_VALUE"""),"Rwanda")</f>
        <v>Rwanda</v>
      </c>
      <c r="D13148">
        <f>IFERROR(__xludf.DUMMYFUNCTION("""COMPUTED_VALUE"""),1990.0)</f>
        <v>1990</v>
      </c>
      <c r="E13148">
        <f>IFERROR(__xludf.DUMMYFUNCTION("""COMPUTED_VALUE"""),7235798.0)</f>
        <v>7235798</v>
      </c>
    </row>
    <row r="13149">
      <c r="A13149" t="str">
        <f t="shared" si="1"/>
        <v>rwa#1991</v>
      </c>
      <c r="B13149" t="str">
        <f>IFERROR(__xludf.DUMMYFUNCTION("""COMPUTED_VALUE"""),"rwa")</f>
        <v>rwa</v>
      </c>
      <c r="C13149" t="str">
        <f>IFERROR(__xludf.DUMMYFUNCTION("""COMPUTED_VALUE"""),"Rwanda")</f>
        <v>Rwanda</v>
      </c>
      <c r="D13149">
        <f>IFERROR(__xludf.DUMMYFUNCTION("""COMPUTED_VALUE"""),1991.0)</f>
        <v>1991</v>
      </c>
      <c r="E13149">
        <f>IFERROR(__xludf.DUMMYFUNCTION("""COMPUTED_VALUE"""),7051759.0)</f>
        <v>7051759</v>
      </c>
    </row>
    <row r="13150">
      <c r="A13150" t="str">
        <f t="shared" si="1"/>
        <v>rwa#1992</v>
      </c>
      <c r="B13150" t="str">
        <f>IFERROR(__xludf.DUMMYFUNCTION("""COMPUTED_VALUE"""),"rwa")</f>
        <v>rwa</v>
      </c>
      <c r="C13150" t="str">
        <f>IFERROR(__xludf.DUMMYFUNCTION("""COMPUTED_VALUE"""),"Rwanda")</f>
        <v>Rwanda</v>
      </c>
      <c r="D13150">
        <f>IFERROR(__xludf.DUMMYFUNCTION("""COMPUTED_VALUE"""),1992.0)</f>
        <v>1992</v>
      </c>
      <c r="E13150">
        <f>IFERROR(__xludf.DUMMYFUNCTION("""COMPUTED_VALUE"""),6701851.0)</f>
        <v>6701851</v>
      </c>
    </row>
    <row r="13151">
      <c r="A13151" t="str">
        <f t="shared" si="1"/>
        <v>rwa#1993</v>
      </c>
      <c r="B13151" t="str">
        <f>IFERROR(__xludf.DUMMYFUNCTION("""COMPUTED_VALUE"""),"rwa")</f>
        <v>rwa</v>
      </c>
      <c r="C13151" t="str">
        <f>IFERROR(__xludf.DUMMYFUNCTION("""COMPUTED_VALUE"""),"Rwanda")</f>
        <v>Rwanda</v>
      </c>
      <c r="D13151">
        <f>IFERROR(__xludf.DUMMYFUNCTION("""COMPUTED_VALUE"""),1993.0)</f>
        <v>1993</v>
      </c>
      <c r="E13151">
        <f>IFERROR(__xludf.DUMMYFUNCTION("""COMPUTED_VALUE"""),6299909.0)</f>
        <v>6299909</v>
      </c>
    </row>
    <row r="13152">
      <c r="A13152" t="str">
        <f t="shared" si="1"/>
        <v>rwa#1994</v>
      </c>
      <c r="B13152" t="str">
        <f>IFERROR(__xludf.DUMMYFUNCTION("""COMPUTED_VALUE"""),"rwa")</f>
        <v>rwa</v>
      </c>
      <c r="C13152" t="str">
        <f>IFERROR(__xludf.DUMMYFUNCTION("""COMPUTED_VALUE"""),"Rwanda")</f>
        <v>Rwanda</v>
      </c>
      <c r="D13152">
        <f>IFERROR(__xludf.DUMMYFUNCTION("""COMPUTED_VALUE"""),1994.0)</f>
        <v>1994</v>
      </c>
      <c r="E13152">
        <f>IFERROR(__xludf.DUMMYFUNCTION("""COMPUTED_VALUE"""),6005095.0)</f>
        <v>6005095</v>
      </c>
    </row>
    <row r="13153">
      <c r="A13153" t="str">
        <f t="shared" si="1"/>
        <v>rwa#1995</v>
      </c>
      <c r="B13153" t="str">
        <f>IFERROR(__xludf.DUMMYFUNCTION("""COMPUTED_VALUE"""),"rwa")</f>
        <v>rwa</v>
      </c>
      <c r="C13153" t="str">
        <f>IFERROR(__xludf.DUMMYFUNCTION("""COMPUTED_VALUE"""),"Rwanda")</f>
        <v>Rwanda</v>
      </c>
      <c r="D13153">
        <f>IFERROR(__xludf.DUMMYFUNCTION("""COMPUTED_VALUE"""),1995.0)</f>
        <v>1995</v>
      </c>
      <c r="E13153">
        <f>IFERROR(__xludf.DUMMYFUNCTION("""COMPUTED_VALUE"""),5928078.0)</f>
        <v>5928078</v>
      </c>
    </row>
    <row r="13154">
      <c r="A13154" t="str">
        <f t="shared" si="1"/>
        <v>rwa#1996</v>
      </c>
      <c r="B13154" t="str">
        <f>IFERROR(__xludf.DUMMYFUNCTION("""COMPUTED_VALUE"""),"rwa")</f>
        <v>rwa</v>
      </c>
      <c r="C13154" t="str">
        <f>IFERROR(__xludf.DUMMYFUNCTION("""COMPUTED_VALUE"""),"Rwanda")</f>
        <v>Rwanda</v>
      </c>
      <c r="D13154">
        <f>IFERROR(__xludf.DUMMYFUNCTION("""COMPUTED_VALUE"""),1996.0)</f>
        <v>1996</v>
      </c>
      <c r="E13154">
        <f>IFERROR(__xludf.DUMMYFUNCTION("""COMPUTED_VALUE"""),6115168.0)</f>
        <v>6115168</v>
      </c>
    </row>
    <row r="13155">
      <c r="A13155" t="str">
        <f t="shared" si="1"/>
        <v>rwa#1997</v>
      </c>
      <c r="B13155" t="str">
        <f>IFERROR(__xludf.DUMMYFUNCTION("""COMPUTED_VALUE"""),"rwa")</f>
        <v>rwa</v>
      </c>
      <c r="C13155" t="str">
        <f>IFERROR(__xludf.DUMMYFUNCTION("""COMPUTED_VALUE"""),"Rwanda")</f>
        <v>Rwanda</v>
      </c>
      <c r="D13155">
        <f>IFERROR(__xludf.DUMMYFUNCTION("""COMPUTED_VALUE"""),1997.0)</f>
        <v>1997</v>
      </c>
      <c r="E13155">
        <f>IFERROR(__xludf.DUMMYFUNCTION("""COMPUTED_VALUE"""),6522382.0)</f>
        <v>6522382</v>
      </c>
    </row>
    <row r="13156">
      <c r="A13156" t="str">
        <f t="shared" si="1"/>
        <v>rwa#1998</v>
      </c>
      <c r="B13156" t="str">
        <f>IFERROR(__xludf.DUMMYFUNCTION("""COMPUTED_VALUE"""),"rwa")</f>
        <v>rwa</v>
      </c>
      <c r="C13156" t="str">
        <f>IFERROR(__xludf.DUMMYFUNCTION("""COMPUTED_VALUE"""),"Rwanda")</f>
        <v>Rwanda</v>
      </c>
      <c r="D13156">
        <f>IFERROR(__xludf.DUMMYFUNCTION("""COMPUTED_VALUE"""),1998.0)</f>
        <v>1998</v>
      </c>
      <c r="E13156">
        <f>IFERROR(__xludf.DUMMYFUNCTION("""COMPUTED_VALUE"""),7059813.0)</f>
        <v>7059813</v>
      </c>
    </row>
    <row r="13157">
      <c r="A13157" t="str">
        <f t="shared" si="1"/>
        <v>rwa#1999</v>
      </c>
      <c r="B13157" t="str">
        <f>IFERROR(__xludf.DUMMYFUNCTION("""COMPUTED_VALUE"""),"rwa")</f>
        <v>rwa</v>
      </c>
      <c r="C13157" t="str">
        <f>IFERROR(__xludf.DUMMYFUNCTION("""COMPUTED_VALUE"""),"Rwanda")</f>
        <v>Rwanda</v>
      </c>
      <c r="D13157">
        <f>IFERROR(__xludf.DUMMYFUNCTION("""COMPUTED_VALUE"""),1999.0)</f>
        <v>1999</v>
      </c>
      <c r="E13157">
        <f>IFERROR(__xludf.DUMMYFUNCTION("""COMPUTED_VALUE"""),7593239.0)</f>
        <v>7593239</v>
      </c>
    </row>
    <row r="13158">
      <c r="A13158" t="str">
        <f t="shared" si="1"/>
        <v>rwa#2000</v>
      </c>
      <c r="B13158" t="str">
        <f>IFERROR(__xludf.DUMMYFUNCTION("""COMPUTED_VALUE"""),"rwa")</f>
        <v>rwa</v>
      </c>
      <c r="C13158" t="str">
        <f>IFERROR(__xludf.DUMMYFUNCTION("""COMPUTED_VALUE"""),"Rwanda")</f>
        <v>Rwanda</v>
      </c>
      <c r="D13158">
        <f>IFERROR(__xludf.DUMMYFUNCTION("""COMPUTED_VALUE"""),2000.0)</f>
        <v>2000</v>
      </c>
      <c r="E13158">
        <f>IFERROR(__xludf.DUMMYFUNCTION("""COMPUTED_VALUE"""),8025703.0)</f>
        <v>8025703</v>
      </c>
    </row>
    <row r="13159">
      <c r="A13159" t="str">
        <f t="shared" si="1"/>
        <v>rwa#2001</v>
      </c>
      <c r="B13159" t="str">
        <f>IFERROR(__xludf.DUMMYFUNCTION("""COMPUTED_VALUE"""),"rwa")</f>
        <v>rwa</v>
      </c>
      <c r="C13159" t="str">
        <f>IFERROR(__xludf.DUMMYFUNCTION("""COMPUTED_VALUE"""),"Rwanda")</f>
        <v>Rwanda</v>
      </c>
      <c r="D13159">
        <f>IFERROR(__xludf.DUMMYFUNCTION("""COMPUTED_VALUE"""),2001.0)</f>
        <v>2001</v>
      </c>
      <c r="E13159">
        <f>IFERROR(__xludf.DUMMYFUNCTION("""COMPUTED_VALUE"""),8329406.0)</f>
        <v>8329406</v>
      </c>
    </row>
    <row r="13160">
      <c r="A13160" t="str">
        <f t="shared" si="1"/>
        <v>rwa#2002</v>
      </c>
      <c r="B13160" t="str">
        <f>IFERROR(__xludf.DUMMYFUNCTION("""COMPUTED_VALUE"""),"rwa")</f>
        <v>rwa</v>
      </c>
      <c r="C13160" t="str">
        <f>IFERROR(__xludf.DUMMYFUNCTION("""COMPUTED_VALUE"""),"Rwanda")</f>
        <v>Rwanda</v>
      </c>
      <c r="D13160">
        <f>IFERROR(__xludf.DUMMYFUNCTION("""COMPUTED_VALUE"""),2002.0)</f>
        <v>2002</v>
      </c>
      <c r="E13160">
        <f>IFERROR(__xludf.DUMMYFUNCTION("""COMPUTED_VALUE"""),8536205.0)</f>
        <v>8536205</v>
      </c>
    </row>
    <row r="13161">
      <c r="A13161" t="str">
        <f t="shared" si="1"/>
        <v>rwa#2003</v>
      </c>
      <c r="B13161" t="str">
        <f>IFERROR(__xludf.DUMMYFUNCTION("""COMPUTED_VALUE"""),"rwa")</f>
        <v>rwa</v>
      </c>
      <c r="C13161" t="str">
        <f>IFERROR(__xludf.DUMMYFUNCTION("""COMPUTED_VALUE"""),"Rwanda")</f>
        <v>Rwanda</v>
      </c>
      <c r="D13161">
        <f>IFERROR(__xludf.DUMMYFUNCTION("""COMPUTED_VALUE"""),2003.0)</f>
        <v>2003</v>
      </c>
      <c r="E13161">
        <f>IFERROR(__xludf.DUMMYFUNCTION("""COMPUTED_VALUE"""),8680346.0)</f>
        <v>8680346</v>
      </c>
    </row>
    <row r="13162">
      <c r="A13162" t="str">
        <f t="shared" si="1"/>
        <v>rwa#2004</v>
      </c>
      <c r="B13162" t="str">
        <f>IFERROR(__xludf.DUMMYFUNCTION("""COMPUTED_VALUE"""),"rwa")</f>
        <v>rwa</v>
      </c>
      <c r="C13162" t="str">
        <f>IFERROR(__xludf.DUMMYFUNCTION("""COMPUTED_VALUE"""),"Rwanda")</f>
        <v>Rwanda</v>
      </c>
      <c r="D13162">
        <f>IFERROR(__xludf.DUMMYFUNCTION("""COMPUTED_VALUE"""),2004.0)</f>
        <v>2004</v>
      </c>
      <c r="E13162">
        <f>IFERROR(__xludf.DUMMYFUNCTION("""COMPUTED_VALUE"""),8818438.0)</f>
        <v>8818438</v>
      </c>
    </row>
    <row r="13163">
      <c r="A13163" t="str">
        <f t="shared" si="1"/>
        <v>rwa#2005</v>
      </c>
      <c r="B13163" t="str">
        <f>IFERROR(__xludf.DUMMYFUNCTION("""COMPUTED_VALUE"""),"rwa")</f>
        <v>rwa</v>
      </c>
      <c r="C13163" t="str">
        <f>IFERROR(__xludf.DUMMYFUNCTION("""COMPUTED_VALUE"""),"Rwanda")</f>
        <v>Rwanda</v>
      </c>
      <c r="D13163">
        <f>IFERROR(__xludf.DUMMYFUNCTION("""COMPUTED_VALUE"""),2005.0)</f>
        <v>2005</v>
      </c>
      <c r="E13163">
        <f>IFERROR(__xludf.DUMMYFUNCTION("""COMPUTED_VALUE"""),8991735.0)</f>
        <v>8991735</v>
      </c>
    </row>
    <row r="13164">
      <c r="A13164" t="str">
        <f t="shared" si="1"/>
        <v>rwa#2006</v>
      </c>
      <c r="B13164" t="str">
        <f>IFERROR(__xludf.DUMMYFUNCTION("""COMPUTED_VALUE"""),"rwa")</f>
        <v>rwa</v>
      </c>
      <c r="C13164" t="str">
        <f>IFERROR(__xludf.DUMMYFUNCTION("""COMPUTED_VALUE"""),"Rwanda")</f>
        <v>Rwanda</v>
      </c>
      <c r="D13164">
        <f>IFERROR(__xludf.DUMMYFUNCTION("""COMPUTED_VALUE"""),2006.0)</f>
        <v>2006</v>
      </c>
      <c r="E13164">
        <f>IFERROR(__xludf.DUMMYFUNCTION("""COMPUTED_VALUE"""),9206580.0)</f>
        <v>9206580</v>
      </c>
    </row>
    <row r="13165">
      <c r="A13165" t="str">
        <f t="shared" si="1"/>
        <v>rwa#2007</v>
      </c>
      <c r="B13165" t="str">
        <f>IFERROR(__xludf.DUMMYFUNCTION("""COMPUTED_VALUE"""),"rwa")</f>
        <v>rwa</v>
      </c>
      <c r="C13165" t="str">
        <f>IFERROR(__xludf.DUMMYFUNCTION("""COMPUTED_VALUE"""),"Rwanda")</f>
        <v>Rwanda</v>
      </c>
      <c r="D13165">
        <f>IFERROR(__xludf.DUMMYFUNCTION("""COMPUTED_VALUE"""),2007.0)</f>
        <v>2007</v>
      </c>
      <c r="E13165">
        <f>IFERROR(__xludf.DUMMYFUNCTION("""COMPUTED_VALUE"""),9447402.0)</f>
        <v>9447402</v>
      </c>
    </row>
    <row r="13166">
      <c r="A13166" t="str">
        <f t="shared" si="1"/>
        <v>rwa#2008</v>
      </c>
      <c r="B13166" t="str">
        <f>IFERROR(__xludf.DUMMYFUNCTION("""COMPUTED_VALUE"""),"rwa")</f>
        <v>rwa</v>
      </c>
      <c r="C13166" t="str">
        <f>IFERROR(__xludf.DUMMYFUNCTION("""COMPUTED_VALUE"""),"Rwanda")</f>
        <v>Rwanda</v>
      </c>
      <c r="D13166">
        <f>IFERROR(__xludf.DUMMYFUNCTION("""COMPUTED_VALUE"""),2008.0)</f>
        <v>2008</v>
      </c>
      <c r="E13166">
        <f>IFERROR(__xludf.DUMMYFUNCTION("""COMPUTED_VALUE"""),9708169.0)</f>
        <v>9708169</v>
      </c>
    </row>
    <row r="13167">
      <c r="A13167" t="str">
        <f t="shared" si="1"/>
        <v>rwa#2009</v>
      </c>
      <c r="B13167" t="str">
        <f>IFERROR(__xludf.DUMMYFUNCTION("""COMPUTED_VALUE"""),"rwa")</f>
        <v>rwa</v>
      </c>
      <c r="C13167" t="str">
        <f>IFERROR(__xludf.DUMMYFUNCTION("""COMPUTED_VALUE"""),"Rwanda")</f>
        <v>Rwanda</v>
      </c>
      <c r="D13167">
        <f>IFERROR(__xludf.DUMMYFUNCTION("""COMPUTED_VALUE"""),2009.0)</f>
        <v>2009</v>
      </c>
      <c r="E13167">
        <f>IFERROR(__xludf.DUMMYFUNCTION("""COMPUTED_VALUE"""),9977446.0)</f>
        <v>9977446</v>
      </c>
    </row>
    <row r="13168">
      <c r="A13168" t="str">
        <f t="shared" si="1"/>
        <v>rwa#2010</v>
      </c>
      <c r="B13168" t="str">
        <f>IFERROR(__xludf.DUMMYFUNCTION("""COMPUTED_VALUE"""),"rwa")</f>
        <v>rwa</v>
      </c>
      <c r="C13168" t="str">
        <f>IFERROR(__xludf.DUMMYFUNCTION("""COMPUTED_VALUE"""),"Rwanda")</f>
        <v>Rwanda</v>
      </c>
      <c r="D13168">
        <f>IFERROR(__xludf.DUMMYFUNCTION("""COMPUTED_VALUE"""),2010.0)</f>
        <v>2010</v>
      </c>
      <c r="E13168">
        <f>IFERROR(__xludf.DUMMYFUNCTION("""COMPUTED_VALUE"""),1.0246842E7)</f>
        <v>10246842</v>
      </c>
    </row>
    <row r="13169">
      <c r="A13169" t="str">
        <f t="shared" si="1"/>
        <v>rwa#2011</v>
      </c>
      <c r="B13169" t="str">
        <f>IFERROR(__xludf.DUMMYFUNCTION("""COMPUTED_VALUE"""),"rwa")</f>
        <v>rwa</v>
      </c>
      <c r="C13169" t="str">
        <f>IFERROR(__xludf.DUMMYFUNCTION("""COMPUTED_VALUE"""),"Rwanda")</f>
        <v>Rwanda</v>
      </c>
      <c r="D13169">
        <f>IFERROR(__xludf.DUMMYFUNCTION("""COMPUTED_VALUE"""),2011.0)</f>
        <v>2011</v>
      </c>
      <c r="E13169">
        <f>IFERROR(__xludf.DUMMYFUNCTION("""COMPUTED_VALUE"""),1.0516071E7)</f>
        <v>10516071</v>
      </c>
    </row>
    <row r="13170">
      <c r="A13170" t="str">
        <f t="shared" si="1"/>
        <v>rwa#2012</v>
      </c>
      <c r="B13170" t="str">
        <f>IFERROR(__xludf.DUMMYFUNCTION("""COMPUTED_VALUE"""),"rwa")</f>
        <v>rwa</v>
      </c>
      <c r="C13170" t="str">
        <f>IFERROR(__xludf.DUMMYFUNCTION("""COMPUTED_VALUE"""),"Rwanda")</f>
        <v>Rwanda</v>
      </c>
      <c r="D13170">
        <f>IFERROR(__xludf.DUMMYFUNCTION("""COMPUTED_VALUE"""),2012.0)</f>
        <v>2012</v>
      </c>
      <c r="E13170">
        <f>IFERROR(__xludf.DUMMYFUNCTION("""COMPUTED_VALUE"""),1.0788853E7)</f>
        <v>10788853</v>
      </c>
    </row>
    <row r="13171">
      <c r="A13171" t="str">
        <f t="shared" si="1"/>
        <v>rwa#2013</v>
      </c>
      <c r="B13171" t="str">
        <f>IFERROR(__xludf.DUMMYFUNCTION("""COMPUTED_VALUE"""),"rwa")</f>
        <v>rwa</v>
      </c>
      <c r="C13171" t="str">
        <f>IFERROR(__xludf.DUMMYFUNCTION("""COMPUTED_VALUE"""),"Rwanda")</f>
        <v>Rwanda</v>
      </c>
      <c r="D13171">
        <f>IFERROR(__xludf.DUMMYFUNCTION("""COMPUTED_VALUE"""),2013.0)</f>
        <v>2013</v>
      </c>
      <c r="E13171">
        <f>IFERROR(__xludf.DUMMYFUNCTION("""COMPUTED_VALUE"""),1.1065151E7)</f>
        <v>11065151</v>
      </c>
    </row>
    <row r="13172">
      <c r="A13172" t="str">
        <f t="shared" si="1"/>
        <v>rwa#2014</v>
      </c>
      <c r="B13172" t="str">
        <f>IFERROR(__xludf.DUMMYFUNCTION("""COMPUTED_VALUE"""),"rwa")</f>
        <v>rwa</v>
      </c>
      <c r="C13172" t="str">
        <f>IFERROR(__xludf.DUMMYFUNCTION("""COMPUTED_VALUE"""),"Rwanda")</f>
        <v>Rwanda</v>
      </c>
      <c r="D13172">
        <f>IFERROR(__xludf.DUMMYFUNCTION("""COMPUTED_VALUE"""),2014.0)</f>
        <v>2014</v>
      </c>
      <c r="E13172">
        <f>IFERROR(__xludf.DUMMYFUNCTION("""COMPUTED_VALUE"""),1.1345357E7)</f>
        <v>11345357</v>
      </c>
    </row>
    <row r="13173">
      <c r="A13173" t="str">
        <f t="shared" si="1"/>
        <v>rwa#2015</v>
      </c>
      <c r="B13173" t="str">
        <f>IFERROR(__xludf.DUMMYFUNCTION("""COMPUTED_VALUE"""),"rwa")</f>
        <v>rwa</v>
      </c>
      <c r="C13173" t="str">
        <f>IFERROR(__xludf.DUMMYFUNCTION("""COMPUTED_VALUE"""),"Rwanda")</f>
        <v>Rwanda</v>
      </c>
      <c r="D13173">
        <f>IFERROR(__xludf.DUMMYFUNCTION("""COMPUTED_VALUE"""),2015.0)</f>
        <v>2015</v>
      </c>
      <c r="E13173">
        <f>IFERROR(__xludf.DUMMYFUNCTION("""COMPUTED_VALUE"""),1.1629553E7)</f>
        <v>11629553</v>
      </c>
    </row>
    <row r="13174">
      <c r="A13174" t="str">
        <f t="shared" si="1"/>
        <v>rwa#2016</v>
      </c>
      <c r="B13174" t="str">
        <f>IFERROR(__xludf.DUMMYFUNCTION("""COMPUTED_VALUE"""),"rwa")</f>
        <v>rwa</v>
      </c>
      <c r="C13174" t="str">
        <f>IFERROR(__xludf.DUMMYFUNCTION("""COMPUTED_VALUE"""),"Rwanda")</f>
        <v>Rwanda</v>
      </c>
      <c r="D13174">
        <f>IFERROR(__xludf.DUMMYFUNCTION("""COMPUTED_VALUE"""),2016.0)</f>
        <v>2016</v>
      </c>
      <c r="E13174">
        <f>IFERROR(__xludf.DUMMYFUNCTION("""COMPUTED_VALUE"""),1.1917508E7)</f>
        <v>11917508</v>
      </c>
    </row>
    <row r="13175">
      <c r="A13175" t="str">
        <f t="shared" si="1"/>
        <v>rwa#2017</v>
      </c>
      <c r="B13175" t="str">
        <f>IFERROR(__xludf.DUMMYFUNCTION("""COMPUTED_VALUE"""),"rwa")</f>
        <v>rwa</v>
      </c>
      <c r="C13175" t="str">
        <f>IFERROR(__xludf.DUMMYFUNCTION("""COMPUTED_VALUE"""),"Rwanda")</f>
        <v>Rwanda</v>
      </c>
      <c r="D13175">
        <f>IFERROR(__xludf.DUMMYFUNCTION("""COMPUTED_VALUE"""),2017.0)</f>
        <v>2017</v>
      </c>
      <c r="E13175">
        <f>IFERROR(__xludf.DUMMYFUNCTION("""COMPUTED_VALUE"""),1.2208407E7)</f>
        <v>12208407</v>
      </c>
    </row>
    <row r="13176">
      <c r="A13176" t="str">
        <f t="shared" si="1"/>
        <v>rwa#2018</v>
      </c>
      <c r="B13176" t="str">
        <f>IFERROR(__xludf.DUMMYFUNCTION("""COMPUTED_VALUE"""),"rwa")</f>
        <v>rwa</v>
      </c>
      <c r="C13176" t="str">
        <f>IFERROR(__xludf.DUMMYFUNCTION("""COMPUTED_VALUE"""),"Rwanda")</f>
        <v>Rwanda</v>
      </c>
      <c r="D13176">
        <f>IFERROR(__xludf.DUMMYFUNCTION("""COMPUTED_VALUE"""),2018.0)</f>
        <v>2018</v>
      </c>
      <c r="E13176">
        <f>IFERROR(__xludf.DUMMYFUNCTION("""COMPUTED_VALUE"""),1.2501156E7)</f>
        <v>12501156</v>
      </c>
    </row>
    <row r="13177">
      <c r="A13177" t="str">
        <f t="shared" si="1"/>
        <v>rwa#2019</v>
      </c>
      <c r="B13177" t="str">
        <f>IFERROR(__xludf.DUMMYFUNCTION("""COMPUTED_VALUE"""),"rwa")</f>
        <v>rwa</v>
      </c>
      <c r="C13177" t="str">
        <f>IFERROR(__xludf.DUMMYFUNCTION("""COMPUTED_VALUE"""),"Rwanda")</f>
        <v>Rwanda</v>
      </c>
      <c r="D13177">
        <f>IFERROR(__xludf.DUMMYFUNCTION("""COMPUTED_VALUE"""),2019.0)</f>
        <v>2019</v>
      </c>
      <c r="E13177">
        <f>IFERROR(__xludf.DUMMYFUNCTION("""COMPUTED_VALUE"""),1.2794412E7)</f>
        <v>12794412</v>
      </c>
    </row>
    <row r="13178">
      <c r="A13178" t="str">
        <f t="shared" si="1"/>
        <v>rwa#2020</v>
      </c>
      <c r="B13178" t="str">
        <f>IFERROR(__xludf.DUMMYFUNCTION("""COMPUTED_VALUE"""),"rwa")</f>
        <v>rwa</v>
      </c>
      <c r="C13178" t="str">
        <f>IFERROR(__xludf.DUMMYFUNCTION("""COMPUTED_VALUE"""),"Rwanda")</f>
        <v>Rwanda</v>
      </c>
      <c r="D13178">
        <f>IFERROR(__xludf.DUMMYFUNCTION("""COMPUTED_VALUE"""),2020.0)</f>
        <v>2020</v>
      </c>
      <c r="E13178">
        <f>IFERROR(__xludf.DUMMYFUNCTION("""COMPUTED_VALUE"""),1.3087173E7)</f>
        <v>13087173</v>
      </c>
    </row>
    <row r="13179">
      <c r="A13179" t="str">
        <f t="shared" si="1"/>
        <v>rwa#2021</v>
      </c>
      <c r="B13179" t="str">
        <f>IFERROR(__xludf.DUMMYFUNCTION("""COMPUTED_VALUE"""),"rwa")</f>
        <v>rwa</v>
      </c>
      <c r="C13179" t="str">
        <f>IFERROR(__xludf.DUMMYFUNCTION("""COMPUTED_VALUE"""),"Rwanda")</f>
        <v>Rwanda</v>
      </c>
      <c r="D13179">
        <f>IFERROR(__xludf.DUMMYFUNCTION("""COMPUTED_VALUE"""),2021.0)</f>
        <v>2021</v>
      </c>
      <c r="E13179">
        <f>IFERROR(__xludf.DUMMYFUNCTION("""COMPUTED_VALUE"""),1.3378967E7)</f>
        <v>13378967</v>
      </c>
    </row>
    <row r="13180">
      <c r="A13180" t="str">
        <f t="shared" si="1"/>
        <v>rwa#2022</v>
      </c>
      <c r="B13180" t="str">
        <f>IFERROR(__xludf.DUMMYFUNCTION("""COMPUTED_VALUE"""),"rwa")</f>
        <v>rwa</v>
      </c>
      <c r="C13180" t="str">
        <f>IFERROR(__xludf.DUMMYFUNCTION("""COMPUTED_VALUE"""),"Rwanda")</f>
        <v>Rwanda</v>
      </c>
      <c r="D13180">
        <f>IFERROR(__xludf.DUMMYFUNCTION("""COMPUTED_VALUE"""),2022.0)</f>
        <v>2022</v>
      </c>
      <c r="E13180">
        <f>IFERROR(__xludf.DUMMYFUNCTION("""COMPUTED_VALUE"""),1.3669913E7)</f>
        <v>13669913</v>
      </c>
    </row>
    <row r="13181">
      <c r="A13181" t="str">
        <f t="shared" si="1"/>
        <v>rwa#2023</v>
      </c>
      <c r="B13181" t="str">
        <f>IFERROR(__xludf.DUMMYFUNCTION("""COMPUTED_VALUE"""),"rwa")</f>
        <v>rwa</v>
      </c>
      <c r="C13181" t="str">
        <f>IFERROR(__xludf.DUMMYFUNCTION("""COMPUTED_VALUE"""),"Rwanda")</f>
        <v>Rwanda</v>
      </c>
      <c r="D13181">
        <f>IFERROR(__xludf.DUMMYFUNCTION("""COMPUTED_VALUE"""),2023.0)</f>
        <v>2023</v>
      </c>
      <c r="E13181">
        <f>IFERROR(__xludf.DUMMYFUNCTION("""COMPUTED_VALUE"""),1.3960532E7)</f>
        <v>13960532</v>
      </c>
    </row>
    <row r="13182">
      <c r="A13182" t="str">
        <f t="shared" si="1"/>
        <v>rwa#2024</v>
      </c>
      <c r="B13182" t="str">
        <f>IFERROR(__xludf.DUMMYFUNCTION("""COMPUTED_VALUE"""),"rwa")</f>
        <v>rwa</v>
      </c>
      <c r="C13182" t="str">
        <f>IFERROR(__xludf.DUMMYFUNCTION("""COMPUTED_VALUE"""),"Rwanda")</f>
        <v>Rwanda</v>
      </c>
      <c r="D13182">
        <f>IFERROR(__xludf.DUMMYFUNCTION("""COMPUTED_VALUE"""),2024.0)</f>
        <v>2024</v>
      </c>
      <c r="E13182">
        <f>IFERROR(__xludf.DUMMYFUNCTION("""COMPUTED_VALUE"""),1.4251666E7)</f>
        <v>14251666</v>
      </c>
    </row>
    <row r="13183">
      <c r="A13183" t="str">
        <f t="shared" si="1"/>
        <v>rwa#2025</v>
      </c>
      <c r="B13183" t="str">
        <f>IFERROR(__xludf.DUMMYFUNCTION("""COMPUTED_VALUE"""),"rwa")</f>
        <v>rwa</v>
      </c>
      <c r="C13183" t="str">
        <f>IFERROR(__xludf.DUMMYFUNCTION("""COMPUTED_VALUE"""),"Rwanda")</f>
        <v>Rwanda</v>
      </c>
      <c r="D13183">
        <f>IFERROR(__xludf.DUMMYFUNCTION("""COMPUTED_VALUE"""),2025.0)</f>
        <v>2025</v>
      </c>
      <c r="E13183">
        <f>IFERROR(__xludf.DUMMYFUNCTION("""COMPUTED_VALUE"""),1.4543965E7)</f>
        <v>14543965</v>
      </c>
    </row>
    <row r="13184">
      <c r="A13184" t="str">
        <f t="shared" si="1"/>
        <v>rwa#2026</v>
      </c>
      <c r="B13184" t="str">
        <f>IFERROR(__xludf.DUMMYFUNCTION("""COMPUTED_VALUE"""),"rwa")</f>
        <v>rwa</v>
      </c>
      <c r="C13184" t="str">
        <f>IFERROR(__xludf.DUMMYFUNCTION("""COMPUTED_VALUE"""),"Rwanda")</f>
        <v>Rwanda</v>
      </c>
      <c r="D13184">
        <f>IFERROR(__xludf.DUMMYFUNCTION("""COMPUTED_VALUE"""),2026.0)</f>
        <v>2026</v>
      </c>
      <c r="E13184">
        <f>IFERROR(__xludf.DUMMYFUNCTION("""COMPUTED_VALUE"""),1.4837434E7)</f>
        <v>14837434</v>
      </c>
    </row>
    <row r="13185">
      <c r="A13185" t="str">
        <f t="shared" si="1"/>
        <v>rwa#2027</v>
      </c>
      <c r="B13185" t="str">
        <f>IFERROR(__xludf.DUMMYFUNCTION("""COMPUTED_VALUE"""),"rwa")</f>
        <v>rwa</v>
      </c>
      <c r="C13185" t="str">
        <f>IFERROR(__xludf.DUMMYFUNCTION("""COMPUTED_VALUE"""),"Rwanda")</f>
        <v>Rwanda</v>
      </c>
      <c r="D13185">
        <f>IFERROR(__xludf.DUMMYFUNCTION("""COMPUTED_VALUE"""),2027.0)</f>
        <v>2027</v>
      </c>
      <c r="E13185">
        <f>IFERROR(__xludf.DUMMYFUNCTION("""COMPUTED_VALUE"""),1.5131882E7)</f>
        <v>15131882</v>
      </c>
    </row>
    <row r="13186">
      <c r="A13186" t="str">
        <f t="shared" si="1"/>
        <v>rwa#2028</v>
      </c>
      <c r="B13186" t="str">
        <f>IFERROR(__xludf.DUMMYFUNCTION("""COMPUTED_VALUE"""),"rwa")</f>
        <v>rwa</v>
      </c>
      <c r="C13186" t="str">
        <f>IFERROR(__xludf.DUMMYFUNCTION("""COMPUTED_VALUE"""),"Rwanda")</f>
        <v>Rwanda</v>
      </c>
      <c r="D13186">
        <f>IFERROR(__xludf.DUMMYFUNCTION("""COMPUTED_VALUE"""),2028.0)</f>
        <v>2028</v>
      </c>
      <c r="E13186">
        <f>IFERROR(__xludf.DUMMYFUNCTION("""COMPUTED_VALUE"""),1.5427633E7)</f>
        <v>15427633</v>
      </c>
    </row>
    <row r="13187">
      <c r="A13187" t="str">
        <f t="shared" si="1"/>
        <v>rwa#2029</v>
      </c>
      <c r="B13187" t="str">
        <f>IFERROR(__xludf.DUMMYFUNCTION("""COMPUTED_VALUE"""),"rwa")</f>
        <v>rwa</v>
      </c>
      <c r="C13187" t="str">
        <f>IFERROR(__xludf.DUMMYFUNCTION("""COMPUTED_VALUE"""),"Rwanda")</f>
        <v>Rwanda</v>
      </c>
      <c r="D13187">
        <f>IFERROR(__xludf.DUMMYFUNCTION("""COMPUTED_VALUE"""),2029.0)</f>
        <v>2029</v>
      </c>
      <c r="E13187">
        <f>IFERROR(__xludf.DUMMYFUNCTION("""COMPUTED_VALUE"""),1.5725021E7)</f>
        <v>15725021</v>
      </c>
    </row>
    <row r="13188">
      <c r="A13188" t="str">
        <f t="shared" si="1"/>
        <v>rwa#2030</v>
      </c>
      <c r="B13188" t="str">
        <f>IFERROR(__xludf.DUMMYFUNCTION("""COMPUTED_VALUE"""),"rwa")</f>
        <v>rwa</v>
      </c>
      <c r="C13188" t="str">
        <f>IFERROR(__xludf.DUMMYFUNCTION("""COMPUTED_VALUE"""),"Rwanda")</f>
        <v>Rwanda</v>
      </c>
      <c r="D13188">
        <f>IFERROR(__xludf.DUMMYFUNCTION("""COMPUTED_VALUE"""),2030.0)</f>
        <v>2030</v>
      </c>
      <c r="E13188">
        <f>IFERROR(__xludf.DUMMYFUNCTION("""COMPUTED_VALUE"""),1.6024252E7)</f>
        <v>16024252</v>
      </c>
    </row>
    <row r="13189">
      <c r="A13189" t="str">
        <f t="shared" si="1"/>
        <v>rwa#2031</v>
      </c>
      <c r="B13189" t="str">
        <f>IFERROR(__xludf.DUMMYFUNCTION("""COMPUTED_VALUE"""),"rwa")</f>
        <v>rwa</v>
      </c>
      <c r="C13189" t="str">
        <f>IFERROR(__xludf.DUMMYFUNCTION("""COMPUTED_VALUE"""),"Rwanda")</f>
        <v>Rwanda</v>
      </c>
      <c r="D13189">
        <f>IFERROR(__xludf.DUMMYFUNCTION("""COMPUTED_VALUE"""),2031.0)</f>
        <v>2031</v>
      </c>
      <c r="E13189">
        <f>IFERROR(__xludf.DUMMYFUNCTION("""COMPUTED_VALUE"""),1.6325334E7)</f>
        <v>16325334</v>
      </c>
    </row>
    <row r="13190">
      <c r="A13190" t="str">
        <f t="shared" si="1"/>
        <v>rwa#2032</v>
      </c>
      <c r="B13190" t="str">
        <f>IFERROR(__xludf.DUMMYFUNCTION("""COMPUTED_VALUE"""),"rwa")</f>
        <v>rwa</v>
      </c>
      <c r="C13190" t="str">
        <f>IFERROR(__xludf.DUMMYFUNCTION("""COMPUTED_VALUE"""),"Rwanda")</f>
        <v>Rwanda</v>
      </c>
      <c r="D13190">
        <f>IFERROR(__xludf.DUMMYFUNCTION("""COMPUTED_VALUE"""),2032.0)</f>
        <v>2032</v>
      </c>
      <c r="E13190">
        <f>IFERROR(__xludf.DUMMYFUNCTION("""COMPUTED_VALUE"""),1.6628034E7)</f>
        <v>16628034</v>
      </c>
    </row>
    <row r="13191">
      <c r="A13191" t="str">
        <f t="shared" si="1"/>
        <v>rwa#2033</v>
      </c>
      <c r="B13191" t="str">
        <f>IFERROR(__xludf.DUMMYFUNCTION("""COMPUTED_VALUE"""),"rwa")</f>
        <v>rwa</v>
      </c>
      <c r="C13191" t="str">
        <f>IFERROR(__xludf.DUMMYFUNCTION("""COMPUTED_VALUE"""),"Rwanda")</f>
        <v>Rwanda</v>
      </c>
      <c r="D13191">
        <f>IFERROR(__xludf.DUMMYFUNCTION("""COMPUTED_VALUE"""),2033.0)</f>
        <v>2033</v>
      </c>
      <c r="E13191">
        <f>IFERROR(__xludf.DUMMYFUNCTION("""COMPUTED_VALUE"""),1.6932098E7)</f>
        <v>16932098</v>
      </c>
    </row>
    <row r="13192">
      <c r="A13192" t="str">
        <f t="shared" si="1"/>
        <v>rwa#2034</v>
      </c>
      <c r="B13192" t="str">
        <f>IFERROR(__xludf.DUMMYFUNCTION("""COMPUTED_VALUE"""),"rwa")</f>
        <v>rwa</v>
      </c>
      <c r="C13192" t="str">
        <f>IFERROR(__xludf.DUMMYFUNCTION("""COMPUTED_VALUE"""),"Rwanda")</f>
        <v>Rwanda</v>
      </c>
      <c r="D13192">
        <f>IFERROR(__xludf.DUMMYFUNCTION("""COMPUTED_VALUE"""),2034.0)</f>
        <v>2034</v>
      </c>
      <c r="E13192">
        <f>IFERROR(__xludf.DUMMYFUNCTION("""COMPUTED_VALUE"""),1.7237133E7)</f>
        <v>17237133</v>
      </c>
    </row>
    <row r="13193">
      <c r="A13193" t="str">
        <f t="shared" si="1"/>
        <v>rwa#2035</v>
      </c>
      <c r="B13193" t="str">
        <f>IFERROR(__xludf.DUMMYFUNCTION("""COMPUTED_VALUE"""),"rwa")</f>
        <v>rwa</v>
      </c>
      <c r="C13193" t="str">
        <f>IFERROR(__xludf.DUMMYFUNCTION("""COMPUTED_VALUE"""),"Rwanda")</f>
        <v>Rwanda</v>
      </c>
      <c r="D13193">
        <f>IFERROR(__xludf.DUMMYFUNCTION("""COMPUTED_VALUE"""),2035.0)</f>
        <v>2035</v>
      </c>
      <c r="E13193">
        <f>IFERROR(__xludf.DUMMYFUNCTION("""COMPUTED_VALUE"""),1.7542746E7)</f>
        <v>17542746</v>
      </c>
    </row>
    <row r="13194">
      <c r="A13194" t="str">
        <f t="shared" si="1"/>
        <v>rwa#2036</v>
      </c>
      <c r="B13194" t="str">
        <f>IFERROR(__xludf.DUMMYFUNCTION("""COMPUTED_VALUE"""),"rwa")</f>
        <v>rwa</v>
      </c>
      <c r="C13194" t="str">
        <f>IFERROR(__xludf.DUMMYFUNCTION("""COMPUTED_VALUE"""),"Rwanda")</f>
        <v>Rwanda</v>
      </c>
      <c r="D13194">
        <f>IFERROR(__xludf.DUMMYFUNCTION("""COMPUTED_VALUE"""),2036.0)</f>
        <v>2036</v>
      </c>
      <c r="E13194">
        <f>IFERROR(__xludf.DUMMYFUNCTION("""COMPUTED_VALUE"""),1.7848704E7)</f>
        <v>17848704</v>
      </c>
    </row>
    <row r="13195">
      <c r="A13195" t="str">
        <f t="shared" si="1"/>
        <v>rwa#2037</v>
      </c>
      <c r="B13195" t="str">
        <f>IFERROR(__xludf.DUMMYFUNCTION("""COMPUTED_VALUE"""),"rwa")</f>
        <v>rwa</v>
      </c>
      <c r="C13195" t="str">
        <f>IFERROR(__xludf.DUMMYFUNCTION("""COMPUTED_VALUE"""),"Rwanda")</f>
        <v>Rwanda</v>
      </c>
      <c r="D13195">
        <f>IFERROR(__xludf.DUMMYFUNCTION("""COMPUTED_VALUE"""),2037.0)</f>
        <v>2037</v>
      </c>
      <c r="E13195">
        <f>IFERROR(__xludf.DUMMYFUNCTION("""COMPUTED_VALUE"""),1.8154671E7)</f>
        <v>18154671</v>
      </c>
    </row>
    <row r="13196">
      <c r="A13196" t="str">
        <f t="shared" si="1"/>
        <v>rwa#2038</v>
      </c>
      <c r="B13196" t="str">
        <f>IFERROR(__xludf.DUMMYFUNCTION("""COMPUTED_VALUE"""),"rwa")</f>
        <v>rwa</v>
      </c>
      <c r="C13196" t="str">
        <f>IFERROR(__xludf.DUMMYFUNCTION("""COMPUTED_VALUE"""),"Rwanda")</f>
        <v>Rwanda</v>
      </c>
      <c r="D13196">
        <f>IFERROR(__xludf.DUMMYFUNCTION("""COMPUTED_VALUE"""),2038.0)</f>
        <v>2038</v>
      </c>
      <c r="E13196">
        <f>IFERROR(__xludf.DUMMYFUNCTION("""COMPUTED_VALUE"""),1.8459997E7)</f>
        <v>18459997</v>
      </c>
    </row>
    <row r="13197">
      <c r="A13197" t="str">
        <f t="shared" si="1"/>
        <v>rwa#2039</v>
      </c>
      <c r="B13197" t="str">
        <f>IFERROR(__xludf.DUMMYFUNCTION("""COMPUTED_VALUE"""),"rwa")</f>
        <v>rwa</v>
      </c>
      <c r="C13197" t="str">
        <f>IFERROR(__xludf.DUMMYFUNCTION("""COMPUTED_VALUE"""),"Rwanda")</f>
        <v>Rwanda</v>
      </c>
      <c r="D13197">
        <f>IFERROR(__xludf.DUMMYFUNCTION("""COMPUTED_VALUE"""),2039.0)</f>
        <v>2039</v>
      </c>
      <c r="E13197">
        <f>IFERROR(__xludf.DUMMYFUNCTION("""COMPUTED_VALUE"""),1.8763878E7)</f>
        <v>18763878</v>
      </c>
    </row>
    <row r="13198">
      <c r="A13198" t="str">
        <f t="shared" si="1"/>
        <v>rwa#2040</v>
      </c>
      <c r="B13198" t="str">
        <f>IFERROR(__xludf.DUMMYFUNCTION("""COMPUTED_VALUE"""),"rwa")</f>
        <v>rwa</v>
      </c>
      <c r="C13198" t="str">
        <f>IFERROR(__xludf.DUMMYFUNCTION("""COMPUTED_VALUE"""),"Rwanda")</f>
        <v>Rwanda</v>
      </c>
      <c r="D13198">
        <f>IFERROR(__xludf.DUMMYFUNCTION("""COMPUTED_VALUE"""),2040.0)</f>
        <v>2040</v>
      </c>
      <c r="E13198">
        <f>IFERROR(__xludf.DUMMYFUNCTION("""COMPUTED_VALUE"""),1.9065658E7)</f>
        <v>19065658</v>
      </c>
    </row>
    <row r="13199">
      <c r="A13199" t="str">
        <f t="shared" si="1"/>
        <v>kna#1950</v>
      </c>
      <c r="B13199" t="str">
        <f>IFERROR(__xludf.DUMMYFUNCTION("""COMPUTED_VALUE"""),"kna")</f>
        <v>kna</v>
      </c>
      <c r="C13199" t="str">
        <f>IFERROR(__xludf.DUMMYFUNCTION("""COMPUTED_VALUE"""),"St. Kitts and Nevis")</f>
        <v>St. Kitts and Nevis</v>
      </c>
      <c r="D13199">
        <f>IFERROR(__xludf.DUMMYFUNCTION("""COMPUTED_VALUE"""),1950.0)</f>
        <v>1950</v>
      </c>
      <c r="E13199">
        <f>IFERROR(__xludf.DUMMYFUNCTION("""COMPUTED_VALUE"""),46049.0)</f>
        <v>46049</v>
      </c>
    </row>
    <row r="13200">
      <c r="A13200" t="str">
        <f t="shared" si="1"/>
        <v>kna#1951</v>
      </c>
      <c r="B13200" t="str">
        <f>IFERROR(__xludf.DUMMYFUNCTION("""COMPUTED_VALUE"""),"kna")</f>
        <v>kna</v>
      </c>
      <c r="C13200" t="str">
        <f>IFERROR(__xludf.DUMMYFUNCTION("""COMPUTED_VALUE"""),"St. Kitts and Nevis")</f>
        <v>St. Kitts and Nevis</v>
      </c>
      <c r="D13200">
        <f>IFERROR(__xludf.DUMMYFUNCTION("""COMPUTED_VALUE"""),1951.0)</f>
        <v>1951</v>
      </c>
      <c r="E13200">
        <f>IFERROR(__xludf.DUMMYFUNCTION("""COMPUTED_VALUE"""),46143.0)</f>
        <v>46143</v>
      </c>
    </row>
    <row r="13201">
      <c r="A13201" t="str">
        <f t="shared" si="1"/>
        <v>kna#1952</v>
      </c>
      <c r="B13201" t="str">
        <f>IFERROR(__xludf.DUMMYFUNCTION("""COMPUTED_VALUE"""),"kna")</f>
        <v>kna</v>
      </c>
      <c r="C13201" t="str">
        <f>IFERROR(__xludf.DUMMYFUNCTION("""COMPUTED_VALUE"""),"St. Kitts and Nevis")</f>
        <v>St. Kitts and Nevis</v>
      </c>
      <c r="D13201">
        <f>IFERROR(__xludf.DUMMYFUNCTION("""COMPUTED_VALUE"""),1952.0)</f>
        <v>1952</v>
      </c>
      <c r="E13201">
        <f>IFERROR(__xludf.DUMMYFUNCTION("""COMPUTED_VALUE"""),46489.0)</f>
        <v>46489</v>
      </c>
    </row>
    <row r="13202">
      <c r="A13202" t="str">
        <f t="shared" si="1"/>
        <v>kna#1953</v>
      </c>
      <c r="B13202" t="str">
        <f>IFERROR(__xludf.DUMMYFUNCTION("""COMPUTED_VALUE"""),"kna")</f>
        <v>kna</v>
      </c>
      <c r="C13202" t="str">
        <f>IFERROR(__xludf.DUMMYFUNCTION("""COMPUTED_VALUE"""),"St. Kitts and Nevis")</f>
        <v>St. Kitts and Nevis</v>
      </c>
      <c r="D13202">
        <f>IFERROR(__xludf.DUMMYFUNCTION("""COMPUTED_VALUE"""),1953.0)</f>
        <v>1953</v>
      </c>
      <c r="E13202">
        <f>IFERROR(__xludf.DUMMYFUNCTION("""COMPUTED_VALUE"""),47053.0)</f>
        <v>47053</v>
      </c>
    </row>
    <row r="13203">
      <c r="A13203" t="str">
        <f t="shared" si="1"/>
        <v>kna#1954</v>
      </c>
      <c r="B13203" t="str">
        <f>IFERROR(__xludf.DUMMYFUNCTION("""COMPUTED_VALUE"""),"kna")</f>
        <v>kna</v>
      </c>
      <c r="C13203" t="str">
        <f>IFERROR(__xludf.DUMMYFUNCTION("""COMPUTED_VALUE"""),"St. Kitts and Nevis")</f>
        <v>St. Kitts and Nevis</v>
      </c>
      <c r="D13203">
        <f>IFERROR(__xludf.DUMMYFUNCTION("""COMPUTED_VALUE"""),1954.0)</f>
        <v>1954</v>
      </c>
      <c r="E13203">
        <f>IFERROR(__xludf.DUMMYFUNCTION("""COMPUTED_VALUE"""),47737.0)</f>
        <v>47737</v>
      </c>
    </row>
    <row r="13204">
      <c r="A13204" t="str">
        <f t="shared" si="1"/>
        <v>kna#1955</v>
      </c>
      <c r="B13204" t="str">
        <f>IFERROR(__xludf.DUMMYFUNCTION("""COMPUTED_VALUE"""),"kna")</f>
        <v>kna</v>
      </c>
      <c r="C13204" t="str">
        <f>IFERROR(__xludf.DUMMYFUNCTION("""COMPUTED_VALUE"""),"St. Kitts and Nevis")</f>
        <v>St. Kitts and Nevis</v>
      </c>
      <c r="D13204">
        <f>IFERROR(__xludf.DUMMYFUNCTION("""COMPUTED_VALUE"""),1955.0)</f>
        <v>1955</v>
      </c>
      <c r="E13204">
        <f>IFERROR(__xludf.DUMMYFUNCTION("""COMPUTED_VALUE"""),48492.0)</f>
        <v>48492</v>
      </c>
    </row>
    <row r="13205">
      <c r="A13205" t="str">
        <f t="shared" si="1"/>
        <v>kna#1956</v>
      </c>
      <c r="B13205" t="str">
        <f>IFERROR(__xludf.DUMMYFUNCTION("""COMPUTED_VALUE"""),"kna")</f>
        <v>kna</v>
      </c>
      <c r="C13205" t="str">
        <f>IFERROR(__xludf.DUMMYFUNCTION("""COMPUTED_VALUE"""),"St. Kitts and Nevis")</f>
        <v>St. Kitts and Nevis</v>
      </c>
      <c r="D13205">
        <f>IFERROR(__xludf.DUMMYFUNCTION("""COMPUTED_VALUE"""),1956.0)</f>
        <v>1956</v>
      </c>
      <c r="E13205">
        <f>IFERROR(__xludf.DUMMYFUNCTION("""COMPUTED_VALUE"""),49251.0)</f>
        <v>49251</v>
      </c>
    </row>
    <row r="13206">
      <c r="A13206" t="str">
        <f t="shared" si="1"/>
        <v>kna#1957</v>
      </c>
      <c r="B13206" t="str">
        <f>IFERROR(__xludf.DUMMYFUNCTION("""COMPUTED_VALUE"""),"kna")</f>
        <v>kna</v>
      </c>
      <c r="C13206" t="str">
        <f>IFERROR(__xludf.DUMMYFUNCTION("""COMPUTED_VALUE"""),"St. Kitts and Nevis")</f>
        <v>St. Kitts and Nevis</v>
      </c>
      <c r="D13206">
        <f>IFERROR(__xludf.DUMMYFUNCTION("""COMPUTED_VALUE"""),1957.0)</f>
        <v>1957</v>
      </c>
      <c r="E13206">
        <f>IFERROR(__xludf.DUMMYFUNCTION("""COMPUTED_VALUE"""),49955.0)</f>
        <v>49955</v>
      </c>
    </row>
    <row r="13207">
      <c r="A13207" t="str">
        <f t="shared" si="1"/>
        <v>kna#1958</v>
      </c>
      <c r="B13207" t="str">
        <f>IFERROR(__xludf.DUMMYFUNCTION("""COMPUTED_VALUE"""),"kna")</f>
        <v>kna</v>
      </c>
      <c r="C13207" t="str">
        <f>IFERROR(__xludf.DUMMYFUNCTION("""COMPUTED_VALUE"""),"St. Kitts and Nevis")</f>
        <v>St. Kitts and Nevis</v>
      </c>
      <c r="D13207">
        <f>IFERROR(__xludf.DUMMYFUNCTION("""COMPUTED_VALUE"""),1958.0)</f>
        <v>1958</v>
      </c>
      <c r="E13207">
        <f>IFERROR(__xludf.DUMMYFUNCTION("""COMPUTED_VALUE"""),50544.0)</f>
        <v>50544</v>
      </c>
    </row>
    <row r="13208">
      <c r="A13208" t="str">
        <f t="shared" si="1"/>
        <v>kna#1959</v>
      </c>
      <c r="B13208" t="str">
        <f>IFERROR(__xludf.DUMMYFUNCTION("""COMPUTED_VALUE"""),"kna")</f>
        <v>kna</v>
      </c>
      <c r="C13208" t="str">
        <f>IFERROR(__xludf.DUMMYFUNCTION("""COMPUTED_VALUE"""),"St. Kitts and Nevis")</f>
        <v>St. Kitts and Nevis</v>
      </c>
      <c r="D13208">
        <f>IFERROR(__xludf.DUMMYFUNCTION("""COMPUTED_VALUE"""),1959.0)</f>
        <v>1959</v>
      </c>
      <c r="E13208">
        <f>IFERROR(__xludf.DUMMYFUNCTION("""COMPUTED_VALUE"""),50972.0)</f>
        <v>50972</v>
      </c>
    </row>
    <row r="13209">
      <c r="A13209" t="str">
        <f t="shared" si="1"/>
        <v>kna#1960</v>
      </c>
      <c r="B13209" t="str">
        <f>IFERROR(__xludf.DUMMYFUNCTION("""COMPUTED_VALUE"""),"kna")</f>
        <v>kna</v>
      </c>
      <c r="C13209" t="str">
        <f>IFERROR(__xludf.DUMMYFUNCTION("""COMPUTED_VALUE"""),"St. Kitts and Nevis")</f>
        <v>St. Kitts and Nevis</v>
      </c>
      <c r="D13209">
        <f>IFERROR(__xludf.DUMMYFUNCTION("""COMPUTED_VALUE"""),1960.0)</f>
        <v>1960</v>
      </c>
      <c r="E13209">
        <f>IFERROR(__xludf.DUMMYFUNCTION("""COMPUTED_VALUE"""),51195.0)</f>
        <v>51195</v>
      </c>
    </row>
    <row r="13210">
      <c r="A13210" t="str">
        <f t="shared" si="1"/>
        <v>kna#1961</v>
      </c>
      <c r="B13210" t="str">
        <f>IFERROR(__xludf.DUMMYFUNCTION("""COMPUTED_VALUE"""),"kna")</f>
        <v>kna</v>
      </c>
      <c r="C13210" t="str">
        <f>IFERROR(__xludf.DUMMYFUNCTION("""COMPUTED_VALUE"""),"St. Kitts and Nevis")</f>
        <v>St. Kitts and Nevis</v>
      </c>
      <c r="D13210">
        <f>IFERROR(__xludf.DUMMYFUNCTION("""COMPUTED_VALUE"""),1961.0)</f>
        <v>1961</v>
      </c>
      <c r="E13210">
        <f>IFERROR(__xludf.DUMMYFUNCTION("""COMPUTED_VALUE"""),51193.0)</f>
        <v>51193</v>
      </c>
    </row>
    <row r="13211">
      <c r="A13211" t="str">
        <f t="shared" si="1"/>
        <v>kna#1962</v>
      </c>
      <c r="B13211" t="str">
        <f>IFERROR(__xludf.DUMMYFUNCTION("""COMPUTED_VALUE"""),"kna")</f>
        <v>kna</v>
      </c>
      <c r="C13211" t="str">
        <f>IFERROR(__xludf.DUMMYFUNCTION("""COMPUTED_VALUE"""),"St. Kitts and Nevis")</f>
        <v>St. Kitts and Nevis</v>
      </c>
      <c r="D13211">
        <f>IFERROR(__xludf.DUMMYFUNCTION("""COMPUTED_VALUE"""),1962.0)</f>
        <v>1962</v>
      </c>
      <c r="E13211">
        <f>IFERROR(__xludf.DUMMYFUNCTION("""COMPUTED_VALUE"""),50966.0)</f>
        <v>50966</v>
      </c>
    </row>
    <row r="13212">
      <c r="A13212" t="str">
        <f t="shared" si="1"/>
        <v>kna#1963</v>
      </c>
      <c r="B13212" t="str">
        <f>IFERROR(__xludf.DUMMYFUNCTION("""COMPUTED_VALUE"""),"kna")</f>
        <v>kna</v>
      </c>
      <c r="C13212" t="str">
        <f>IFERROR(__xludf.DUMMYFUNCTION("""COMPUTED_VALUE"""),"St. Kitts and Nevis")</f>
        <v>St. Kitts and Nevis</v>
      </c>
      <c r="D13212">
        <f>IFERROR(__xludf.DUMMYFUNCTION("""COMPUTED_VALUE"""),1963.0)</f>
        <v>1963</v>
      </c>
      <c r="E13212">
        <f>IFERROR(__xludf.DUMMYFUNCTION("""COMPUTED_VALUE"""),50525.0)</f>
        <v>50525</v>
      </c>
    </row>
    <row r="13213">
      <c r="A13213" t="str">
        <f t="shared" si="1"/>
        <v>kna#1964</v>
      </c>
      <c r="B13213" t="str">
        <f>IFERROR(__xludf.DUMMYFUNCTION("""COMPUTED_VALUE"""),"kna")</f>
        <v>kna</v>
      </c>
      <c r="C13213" t="str">
        <f>IFERROR(__xludf.DUMMYFUNCTION("""COMPUTED_VALUE"""),"St. Kitts and Nevis")</f>
        <v>St. Kitts and Nevis</v>
      </c>
      <c r="D13213">
        <f>IFERROR(__xludf.DUMMYFUNCTION("""COMPUTED_VALUE"""),1964.0)</f>
        <v>1964</v>
      </c>
      <c r="E13213">
        <f>IFERROR(__xludf.DUMMYFUNCTION("""COMPUTED_VALUE"""),49930.0)</f>
        <v>49930</v>
      </c>
    </row>
    <row r="13214">
      <c r="A13214" t="str">
        <f t="shared" si="1"/>
        <v>kna#1965</v>
      </c>
      <c r="B13214" t="str">
        <f>IFERROR(__xludf.DUMMYFUNCTION("""COMPUTED_VALUE"""),"kna")</f>
        <v>kna</v>
      </c>
      <c r="C13214" t="str">
        <f>IFERROR(__xludf.DUMMYFUNCTION("""COMPUTED_VALUE"""),"St. Kitts and Nevis")</f>
        <v>St. Kitts and Nevis</v>
      </c>
      <c r="D13214">
        <f>IFERROR(__xludf.DUMMYFUNCTION("""COMPUTED_VALUE"""),1965.0)</f>
        <v>1965</v>
      </c>
      <c r="E13214">
        <f>IFERROR(__xludf.DUMMYFUNCTION("""COMPUTED_VALUE"""),49214.0)</f>
        <v>49214</v>
      </c>
    </row>
    <row r="13215">
      <c r="A13215" t="str">
        <f t="shared" si="1"/>
        <v>kna#1966</v>
      </c>
      <c r="B13215" t="str">
        <f>IFERROR(__xludf.DUMMYFUNCTION("""COMPUTED_VALUE"""),"kna")</f>
        <v>kna</v>
      </c>
      <c r="C13215" t="str">
        <f>IFERROR(__xludf.DUMMYFUNCTION("""COMPUTED_VALUE"""),"St. Kitts and Nevis")</f>
        <v>St. Kitts and Nevis</v>
      </c>
      <c r="D13215">
        <f>IFERROR(__xludf.DUMMYFUNCTION("""COMPUTED_VALUE"""),1966.0)</f>
        <v>1966</v>
      </c>
      <c r="E13215">
        <f>IFERROR(__xludf.DUMMYFUNCTION("""COMPUTED_VALUE"""),48358.0)</f>
        <v>48358</v>
      </c>
    </row>
    <row r="13216">
      <c r="A13216" t="str">
        <f t="shared" si="1"/>
        <v>kna#1967</v>
      </c>
      <c r="B13216" t="str">
        <f>IFERROR(__xludf.DUMMYFUNCTION("""COMPUTED_VALUE"""),"kna")</f>
        <v>kna</v>
      </c>
      <c r="C13216" t="str">
        <f>IFERROR(__xludf.DUMMYFUNCTION("""COMPUTED_VALUE"""),"St. Kitts and Nevis")</f>
        <v>St. Kitts and Nevis</v>
      </c>
      <c r="D13216">
        <f>IFERROR(__xludf.DUMMYFUNCTION("""COMPUTED_VALUE"""),1967.0)</f>
        <v>1967</v>
      </c>
      <c r="E13216">
        <f>IFERROR(__xludf.DUMMYFUNCTION("""COMPUTED_VALUE"""),47380.0)</f>
        <v>47380</v>
      </c>
    </row>
    <row r="13217">
      <c r="A13217" t="str">
        <f t="shared" si="1"/>
        <v>kna#1968</v>
      </c>
      <c r="B13217" t="str">
        <f>IFERROR(__xludf.DUMMYFUNCTION("""COMPUTED_VALUE"""),"kna")</f>
        <v>kna</v>
      </c>
      <c r="C13217" t="str">
        <f>IFERROR(__xludf.DUMMYFUNCTION("""COMPUTED_VALUE"""),"St. Kitts and Nevis")</f>
        <v>St. Kitts and Nevis</v>
      </c>
      <c r="D13217">
        <f>IFERROR(__xludf.DUMMYFUNCTION("""COMPUTED_VALUE"""),1968.0)</f>
        <v>1968</v>
      </c>
      <c r="E13217">
        <f>IFERROR(__xludf.DUMMYFUNCTION("""COMPUTED_VALUE"""),46402.0)</f>
        <v>46402</v>
      </c>
    </row>
    <row r="13218">
      <c r="A13218" t="str">
        <f t="shared" si="1"/>
        <v>kna#1969</v>
      </c>
      <c r="B13218" t="str">
        <f>IFERROR(__xludf.DUMMYFUNCTION("""COMPUTED_VALUE"""),"kna")</f>
        <v>kna</v>
      </c>
      <c r="C13218" t="str">
        <f>IFERROR(__xludf.DUMMYFUNCTION("""COMPUTED_VALUE"""),"St. Kitts and Nevis")</f>
        <v>St. Kitts and Nevis</v>
      </c>
      <c r="D13218">
        <f>IFERROR(__xludf.DUMMYFUNCTION("""COMPUTED_VALUE"""),1969.0)</f>
        <v>1969</v>
      </c>
      <c r="E13218">
        <f>IFERROR(__xludf.DUMMYFUNCTION("""COMPUTED_VALUE"""),45534.0)</f>
        <v>45534</v>
      </c>
    </row>
    <row r="13219">
      <c r="A13219" t="str">
        <f t="shared" si="1"/>
        <v>kna#1970</v>
      </c>
      <c r="B13219" t="str">
        <f>IFERROR(__xludf.DUMMYFUNCTION("""COMPUTED_VALUE"""),"kna")</f>
        <v>kna</v>
      </c>
      <c r="C13219" t="str">
        <f>IFERROR(__xludf.DUMMYFUNCTION("""COMPUTED_VALUE"""),"St. Kitts and Nevis")</f>
        <v>St. Kitts and Nevis</v>
      </c>
      <c r="D13219">
        <f>IFERROR(__xludf.DUMMYFUNCTION("""COMPUTED_VALUE"""),1970.0)</f>
        <v>1970</v>
      </c>
      <c r="E13219">
        <f>IFERROR(__xludf.DUMMYFUNCTION("""COMPUTED_VALUE"""),44885.0)</f>
        <v>44885</v>
      </c>
    </row>
    <row r="13220">
      <c r="A13220" t="str">
        <f t="shared" si="1"/>
        <v>kna#1971</v>
      </c>
      <c r="B13220" t="str">
        <f>IFERROR(__xludf.DUMMYFUNCTION("""COMPUTED_VALUE"""),"kna")</f>
        <v>kna</v>
      </c>
      <c r="C13220" t="str">
        <f>IFERROR(__xludf.DUMMYFUNCTION("""COMPUTED_VALUE"""),"St. Kitts and Nevis")</f>
        <v>St. Kitts and Nevis</v>
      </c>
      <c r="D13220">
        <f>IFERROR(__xludf.DUMMYFUNCTION("""COMPUTED_VALUE"""),1971.0)</f>
        <v>1971</v>
      </c>
      <c r="E13220">
        <f>IFERROR(__xludf.DUMMYFUNCTION("""COMPUTED_VALUE"""),44495.0)</f>
        <v>44495</v>
      </c>
    </row>
    <row r="13221">
      <c r="A13221" t="str">
        <f t="shared" si="1"/>
        <v>kna#1972</v>
      </c>
      <c r="B13221" t="str">
        <f>IFERROR(__xludf.DUMMYFUNCTION("""COMPUTED_VALUE"""),"kna")</f>
        <v>kna</v>
      </c>
      <c r="C13221" t="str">
        <f>IFERROR(__xludf.DUMMYFUNCTION("""COMPUTED_VALUE"""),"St. Kitts and Nevis")</f>
        <v>St. Kitts and Nevis</v>
      </c>
      <c r="D13221">
        <f>IFERROR(__xludf.DUMMYFUNCTION("""COMPUTED_VALUE"""),1972.0)</f>
        <v>1972</v>
      </c>
      <c r="E13221">
        <f>IFERROR(__xludf.DUMMYFUNCTION("""COMPUTED_VALUE"""),44326.0)</f>
        <v>44326</v>
      </c>
    </row>
    <row r="13222">
      <c r="A13222" t="str">
        <f t="shared" si="1"/>
        <v>kna#1973</v>
      </c>
      <c r="B13222" t="str">
        <f>IFERROR(__xludf.DUMMYFUNCTION("""COMPUTED_VALUE"""),"kna")</f>
        <v>kna</v>
      </c>
      <c r="C13222" t="str">
        <f>IFERROR(__xludf.DUMMYFUNCTION("""COMPUTED_VALUE"""),"St. Kitts and Nevis")</f>
        <v>St. Kitts and Nevis</v>
      </c>
      <c r="D13222">
        <f>IFERROR(__xludf.DUMMYFUNCTION("""COMPUTED_VALUE"""),1973.0)</f>
        <v>1973</v>
      </c>
      <c r="E13222">
        <f>IFERROR(__xludf.DUMMYFUNCTION("""COMPUTED_VALUE"""),44316.0)</f>
        <v>44316</v>
      </c>
    </row>
    <row r="13223">
      <c r="A13223" t="str">
        <f t="shared" si="1"/>
        <v>kna#1974</v>
      </c>
      <c r="B13223" t="str">
        <f>IFERROR(__xludf.DUMMYFUNCTION("""COMPUTED_VALUE"""),"kna")</f>
        <v>kna</v>
      </c>
      <c r="C13223" t="str">
        <f>IFERROR(__xludf.DUMMYFUNCTION("""COMPUTED_VALUE"""),"St. Kitts and Nevis")</f>
        <v>St. Kitts and Nevis</v>
      </c>
      <c r="D13223">
        <f>IFERROR(__xludf.DUMMYFUNCTION("""COMPUTED_VALUE"""),1974.0)</f>
        <v>1974</v>
      </c>
      <c r="E13223">
        <f>IFERROR(__xludf.DUMMYFUNCTION("""COMPUTED_VALUE"""),44331.0)</f>
        <v>44331</v>
      </c>
    </row>
    <row r="13224">
      <c r="A13224" t="str">
        <f t="shared" si="1"/>
        <v>kna#1975</v>
      </c>
      <c r="B13224" t="str">
        <f>IFERROR(__xludf.DUMMYFUNCTION("""COMPUTED_VALUE"""),"kna")</f>
        <v>kna</v>
      </c>
      <c r="C13224" t="str">
        <f>IFERROR(__xludf.DUMMYFUNCTION("""COMPUTED_VALUE"""),"St. Kitts and Nevis")</f>
        <v>St. Kitts and Nevis</v>
      </c>
      <c r="D13224">
        <f>IFERROR(__xludf.DUMMYFUNCTION("""COMPUTED_VALUE"""),1975.0)</f>
        <v>1975</v>
      </c>
      <c r="E13224">
        <f>IFERROR(__xludf.DUMMYFUNCTION("""COMPUTED_VALUE"""),44276.0)</f>
        <v>44276</v>
      </c>
    </row>
    <row r="13225">
      <c r="A13225" t="str">
        <f t="shared" si="1"/>
        <v>kna#1976</v>
      </c>
      <c r="B13225" t="str">
        <f>IFERROR(__xludf.DUMMYFUNCTION("""COMPUTED_VALUE"""),"kna")</f>
        <v>kna</v>
      </c>
      <c r="C13225" t="str">
        <f>IFERROR(__xludf.DUMMYFUNCTION("""COMPUTED_VALUE"""),"St. Kitts and Nevis")</f>
        <v>St. Kitts and Nevis</v>
      </c>
      <c r="D13225">
        <f>IFERROR(__xludf.DUMMYFUNCTION("""COMPUTED_VALUE"""),1976.0)</f>
        <v>1976</v>
      </c>
      <c r="E13225">
        <f>IFERROR(__xludf.DUMMYFUNCTION("""COMPUTED_VALUE"""),44148.0)</f>
        <v>44148</v>
      </c>
    </row>
    <row r="13226">
      <c r="A13226" t="str">
        <f t="shared" si="1"/>
        <v>kna#1977</v>
      </c>
      <c r="B13226" t="str">
        <f>IFERROR(__xludf.DUMMYFUNCTION("""COMPUTED_VALUE"""),"kna")</f>
        <v>kna</v>
      </c>
      <c r="C13226" t="str">
        <f>IFERROR(__xludf.DUMMYFUNCTION("""COMPUTED_VALUE"""),"St. Kitts and Nevis")</f>
        <v>St. Kitts and Nevis</v>
      </c>
      <c r="D13226">
        <f>IFERROR(__xludf.DUMMYFUNCTION("""COMPUTED_VALUE"""),1977.0)</f>
        <v>1977</v>
      </c>
      <c r="E13226">
        <f>IFERROR(__xludf.DUMMYFUNCTION("""COMPUTED_VALUE"""),43942.0)</f>
        <v>43942</v>
      </c>
    </row>
    <row r="13227">
      <c r="A13227" t="str">
        <f t="shared" si="1"/>
        <v>kna#1978</v>
      </c>
      <c r="B13227" t="str">
        <f>IFERROR(__xludf.DUMMYFUNCTION("""COMPUTED_VALUE"""),"kna")</f>
        <v>kna</v>
      </c>
      <c r="C13227" t="str">
        <f>IFERROR(__xludf.DUMMYFUNCTION("""COMPUTED_VALUE"""),"St. Kitts and Nevis")</f>
        <v>St. Kitts and Nevis</v>
      </c>
      <c r="D13227">
        <f>IFERROR(__xludf.DUMMYFUNCTION("""COMPUTED_VALUE"""),1978.0)</f>
        <v>1978</v>
      </c>
      <c r="E13227">
        <f>IFERROR(__xludf.DUMMYFUNCTION("""COMPUTED_VALUE"""),43703.0)</f>
        <v>43703</v>
      </c>
    </row>
    <row r="13228">
      <c r="A13228" t="str">
        <f t="shared" si="1"/>
        <v>kna#1979</v>
      </c>
      <c r="B13228" t="str">
        <f>IFERROR(__xludf.DUMMYFUNCTION("""COMPUTED_VALUE"""),"kna")</f>
        <v>kna</v>
      </c>
      <c r="C13228" t="str">
        <f>IFERROR(__xludf.DUMMYFUNCTION("""COMPUTED_VALUE"""),"St. Kitts and Nevis")</f>
        <v>St. Kitts and Nevis</v>
      </c>
      <c r="D13228">
        <f>IFERROR(__xludf.DUMMYFUNCTION("""COMPUTED_VALUE"""),1979.0)</f>
        <v>1979</v>
      </c>
      <c r="E13228">
        <f>IFERROR(__xludf.DUMMYFUNCTION("""COMPUTED_VALUE"""),43457.0)</f>
        <v>43457</v>
      </c>
    </row>
    <row r="13229">
      <c r="A13229" t="str">
        <f t="shared" si="1"/>
        <v>kna#1980</v>
      </c>
      <c r="B13229" t="str">
        <f>IFERROR(__xludf.DUMMYFUNCTION("""COMPUTED_VALUE"""),"kna")</f>
        <v>kna</v>
      </c>
      <c r="C13229" t="str">
        <f>IFERROR(__xludf.DUMMYFUNCTION("""COMPUTED_VALUE"""),"St. Kitts and Nevis")</f>
        <v>St. Kitts and Nevis</v>
      </c>
      <c r="D13229">
        <f>IFERROR(__xludf.DUMMYFUNCTION("""COMPUTED_VALUE"""),1980.0)</f>
        <v>1980</v>
      </c>
      <c r="E13229">
        <f>IFERROR(__xludf.DUMMYFUNCTION("""COMPUTED_VALUE"""),43210.0)</f>
        <v>43210</v>
      </c>
    </row>
    <row r="13230">
      <c r="A13230" t="str">
        <f t="shared" si="1"/>
        <v>kna#1981</v>
      </c>
      <c r="B13230" t="str">
        <f>IFERROR(__xludf.DUMMYFUNCTION("""COMPUTED_VALUE"""),"kna")</f>
        <v>kna</v>
      </c>
      <c r="C13230" t="str">
        <f>IFERROR(__xludf.DUMMYFUNCTION("""COMPUTED_VALUE"""),"St. Kitts and Nevis")</f>
        <v>St. Kitts and Nevis</v>
      </c>
      <c r="D13230">
        <f>IFERROR(__xludf.DUMMYFUNCTION("""COMPUTED_VALUE"""),1981.0)</f>
        <v>1981</v>
      </c>
      <c r="E13230">
        <f>IFERROR(__xludf.DUMMYFUNCTION("""COMPUTED_VALUE"""),42976.0)</f>
        <v>42976</v>
      </c>
    </row>
    <row r="13231">
      <c r="A13231" t="str">
        <f t="shared" si="1"/>
        <v>kna#1982</v>
      </c>
      <c r="B13231" t="str">
        <f>IFERROR(__xludf.DUMMYFUNCTION("""COMPUTED_VALUE"""),"kna")</f>
        <v>kna</v>
      </c>
      <c r="C13231" t="str">
        <f>IFERROR(__xludf.DUMMYFUNCTION("""COMPUTED_VALUE"""),"St. Kitts and Nevis")</f>
        <v>St. Kitts and Nevis</v>
      </c>
      <c r="D13231">
        <f>IFERROR(__xludf.DUMMYFUNCTION("""COMPUTED_VALUE"""),1982.0)</f>
        <v>1982</v>
      </c>
      <c r="E13231">
        <f>IFERROR(__xludf.DUMMYFUNCTION("""COMPUTED_VALUE"""),42762.0)</f>
        <v>42762</v>
      </c>
    </row>
    <row r="13232">
      <c r="A13232" t="str">
        <f t="shared" si="1"/>
        <v>kna#1983</v>
      </c>
      <c r="B13232" t="str">
        <f>IFERROR(__xludf.DUMMYFUNCTION("""COMPUTED_VALUE"""),"kna")</f>
        <v>kna</v>
      </c>
      <c r="C13232" t="str">
        <f>IFERROR(__xludf.DUMMYFUNCTION("""COMPUTED_VALUE"""),"St. Kitts and Nevis")</f>
        <v>St. Kitts and Nevis</v>
      </c>
      <c r="D13232">
        <f>IFERROR(__xludf.DUMMYFUNCTION("""COMPUTED_VALUE"""),1983.0)</f>
        <v>1983</v>
      </c>
      <c r="E13232">
        <f>IFERROR(__xludf.DUMMYFUNCTION("""COMPUTED_VALUE"""),42542.0)</f>
        <v>42542</v>
      </c>
    </row>
    <row r="13233">
      <c r="A13233" t="str">
        <f t="shared" si="1"/>
        <v>kna#1984</v>
      </c>
      <c r="B13233" t="str">
        <f>IFERROR(__xludf.DUMMYFUNCTION("""COMPUTED_VALUE"""),"kna")</f>
        <v>kna</v>
      </c>
      <c r="C13233" t="str">
        <f>IFERROR(__xludf.DUMMYFUNCTION("""COMPUTED_VALUE"""),"St. Kitts and Nevis")</f>
        <v>St. Kitts and Nevis</v>
      </c>
      <c r="D13233">
        <f>IFERROR(__xludf.DUMMYFUNCTION("""COMPUTED_VALUE"""),1984.0)</f>
        <v>1984</v>
      </c>
      <c r="E13233">
        <f>IFERROR(__xludf.DUMMYFUNCTION("""COMPUTED_VALUE"""),42294.0)</f>
        <v>42294</v>
      </c>
    </row>
    <row r="13234">
      <c r="A13234" t="str">
        <f t="shared" si="1"/>
        <v>kna#1985</v>
      </c>
      <c r="B13234" t="str">
        <f>IFERROR(__xludf.DUMMYFUNCTION("""COMPUTED_VALUE"""),"kna")</f>
        <v>kna</v>
      </c>
      <c r="C13234" t="str">
        <f>IFERROR(__xludf.DUMMYFUNCTION("""COMPUTED_VALUE"""),"St. Kitts and Nevis")</f>
        <v>St. Kitts and Nevis</v>
      </c>
      <c r="D13234">
        <f>IFERROR(__xludf.DUMMYFUNCTION("""COMPUTED_VALUE"""),1985.0)</f>
        <v>1985</v>
      </c>
      <c r="E13234">
        <f>IFERROR(__xludf.DUMMYFUNCTION("""COMPUTED_VALUE"""),42013.0)</f>
        <v>42013</v>
      </c>
    </row>
    <row r="13235">
      <c r="A13235" t="str">
        <f t="shared" si="1"/>
        <v>kna#1986</v>
      </c>
      <c r="B13235" t="str">
        <f>IFERROR(__xludf.DUMMYFUNCTION("""COMPUTED_VALUE"""),"kna")</f>
        <v>kna</v>
      </c>
      <c r="C13235" t="str">
        <f>IFERROR(__xludf.DUMMYFUNCTION("""COMPUTED_VALUE"""),"St. Kitts and Nevis")</f>
        <v>St. Kitts and Nevis</v>
      </c>
      <c r="D13235">
        <f>IFERROR(__xludf.DUMMYFUNCTION("""COMPUTED_VALUE"""),1986.0)</f>
        <v>1986</v>
      </c>
      <c r="E13235">
        <f>IFERROR(__xludf.DUMMYFUNCTION("""COMPUTED_VALUE"""),41697.0)</f>
        <v>41697</v>
      </c>
    </row>
    <row r="13236">
      <c r="A13236" t="str">
        <f t="shared" si="1"/>
        <v>kna#1987</v>
      </c>
      <c r="B13236" t="str">
        <f>IFERROR(__xludf.DUMMYFUNCTION("""COMPUTED_VALUE"""),"kna")</f>
        <v>kna</v>
      </c>
      <c r="C13236" t="str">
        <f>IFERROR(__xludf.DUMMYFUNCTION("""COMPUTED_VALUE"""),"St. Kitts and Nevis")</f>
        <v>St. Kitts and Nevis</v>
      </c>
      <c r="D13236">
        <f>IFERROR(__xludf.DUMMYFUNCTION("""COMPUTED_VALUE"""),1987.0)</f>
        <v>1987</v>
      </c>
      <c r="E13236">
        <f>IFERROR(__xludf.DUMMYFUNCTION("""COMPUTED_VALUE"""),41351.0)</f>
        <v>41351</v>
      </c>
    </row>
    <row r="13237">
      <c r="A13237" t="str">
        <f t="shared" si="1"/>
        <v>kna#1988</v>
      </c>
      <c r="B13237" t="str">
        <f>IFERROR(__xludf.DUMMYFUNCTION("""COMPUTED_VALUE"""),"kna")</f>
        <v>kna</v>
      </c>
      <c r="C13237" t="str">
        <f>IFERROR(__xludf.DUMMYFUNCTION("""COMPUTED_VALUE"""),"St. Kitts and Nevis")</f>
        <v>St. Kitts and Nevis</v>
      </c>
      <c r="D13237">
        <f>IFERROR(__xludf.DUMMYFUNCTION("""COMPUTED_VALUE"""),1988.0)</f>
        <v>1988</v>
      </c>
      <c r="E13237">
        <f>IFERROR(__xludf.DUMMYFUNCTION("""COMPUTED_VALUE"""),41047.0)</f>
        <v>41047</v>
      </c>
    </row>
    <row r="13238">
      <c r="A13238" t="str">
        <f t="shared" si="1"/>
        <v>kna#1989</v>
      </c>
      <c r="B13238" t="str">
        <f>IFERROR(__xludf.DUMMYFUNCTION("""COMPUTED_VALUE"""),"kna")</f>
        <v>kna</v>
      </c>
      <c r="C13238" t="str">
        <f>IFERROR(__xludf.DUMMYFUNCTION("""COMPUTED_VALUE"""),"St. Kitts and Nevis")</f>
        <v>St. Kitts and Nevis</v>
      </c>
      <c r="D13238">
        <f>IFERROR(__xludf.DUMMYFUNCTION("""COMPUTED_VALUE"""),1989.0)</f>
        <v>1989</v>
      </c>
      <c r="E13238">
        <f>IFERROR(__xludf.DUMMYFUNCTION("""COMPUTED_VALUE"""),40852.0)</f>
        <v>40852</v>
      </c>
    </row>
    <row r="13239">
      <c r="A13239" t="str">
        <f t="shared" si="1"/>
        <v>kna#1990</v>
      </c>
      <c r="B13239" t="str">
        <f>IFERROR(__xludf.DUMMYFUNCTION("""COMPUTED_VALUE"""),"kna")</f>
        <v>kna</v>
      </c>
      <c r="C13239" t="str">
        <f>IFERROR(__xludf.DUMMYFUNCTION("""COMPUTED_VALUE"""),"St. Kitts and Nevis")</f>
        <v>St. Kitts and Nevis</v>
      </c>
      <c r="D13239">
        <f>IFERROR(__xludf.DUMMYFUNCTION("""COMPUTED_VALUE"""),1990.0)</f>
        <v>1990</v>
      </c>
      <c r="E13239">
        <f>IFERROR(__xludf.DUMMYFUNCTION("""COMPUTED_VALUE"""),40834.0)</f>
        <v>40834</v>
      </c>
    </row>
    <row r="13240">
      <c r="A13240" t="str">
        <f t="shared" si="1"/>
        <v>kna#1991</v>
      </c>
      <c r="B13240" t="str">
        <f>IFERROR(__xludf.DUMMYFUNCTION("""COMPUTED_VALUE"""),"kna")</f>
        <v>kna</v>
      </c>
      <c r="C13240" t="str">
        <f>IFERROR(__xludf.DUMMYFUNCTION("""COMPUTED_VALUE"""),"St. Kitts and Nevis")</f>
        <v>St. Kitts and Nevis</v>
      </c>
      <c r="D13240">
        <f>IFERROR(__xludf.DUMMYFUNCTION("""COMPUTED_VALUE"""),1991.0)</f>
        <v>1991</v>
      </c>
      <c r="E13240">
        <f>IFERROR(__xludf.DUMMYFUNCTION("""COMPUTED_VALUE"""),41013.0)</f>
        <v>41013</v>
      </c>
    </row>
    <row r="13241">
      <c r="A13241" t="str">
        <f t="shared" si="1"/>
        <v>kna#1992</v>
      </c>
      <c r="B13241" t="str">
        <f>IFERROR(__xludf.DUMMYFUNCTION("""COMPUTED_VALUE"""),"kna")</f>
        <v>kna</v>
      </c>
      <c r="C13241" t="str">
        <f>IFERROR(__xludf.DUMMYFUNCTION("""COMPUTED_VALUE"""),"St. Kitts and Nevis")</f>
        <v>St. Kitts and Nevis</v>
      </c>
      <c r="D13241">
        <f>IFERROR(__xludf.DUMMYFUNCTION("""COMPUTED_VALUE"""),1992.0)</f>
        <v>1992</v>
      </c>
      <c r="E13241">
        <f>IFERROR(__xludf.DUMMYFUNCTION("""COMPUTED_VALUE"""),41361.0)</f>
        <v>41361</v>
      </c>
    </row>
    <row r="13242">
      <c r="A13242" t="str">
        <f t="shared" si="1"/>
        <v>kna#1993</v>
      </c>
      <c r="B13242" t="str">
        <f>IFERROR(__xludf.DUMMYFUNCTION("""COMPUTED_VALUE"""),"kna")</f>
        <v>kna</v>
      </c>
      <c r="C13242" t="str">
        <f>IFERROR(__xludf.DUMMYFUNCTION("""COMPUTED_VALUE"""),"St. Kitts and Nevis")</f>
        <v>St. Kitts and Nevis</v>
      </c>
      <c r="D13242">
        <f>IFERROR(__xludf.DUMMYFUNCTION("""COMPUTED_VALUE"""),1993.0)</f>
        <v>1993</v>
      </c>
      <c r="E13242">
        <f>IFERROR(__xludf.DUMMYFUNCTION("""COMPUTED_VALUE"""),41846.0)</f>
        <v>41846</v>
      </c>
    </row>
    <row r="13243">
      <c r="A13243" t="str">
        <f t="shared" si="1"/>
        <v>kna#1994</v>
      </c>
      <c r="B13243" t="str">
        <f>IFERROR(__xludf.DUMMYFUNCTION("""COMPUTED_VALUE"""),"kna")</f>
        <v>kna</v>
      </c>
      <c r="C13243" t="str">
        <f>IFERROR(__xludf.DUMMYFUNCTION("""COMPUTED_VALUE"""),"St. Kitts and Nevis")</f>
        <v>St. Kitts and Nevis</v>
      </c>
      <c r="D13243">
        <f>IFERROR(__xludf.DUMMYFUNCTION("""COMPUTED_VALUE"""),1994.0)</f>
        <v>1994</v>
      </c>
      <c r="E13243">
        <f>IFERROR(__xludf.DUMMYFUNCTION("""COMPUTED_VALUE"""),42373.0)</f>
        <v>42373</v>
      </c>
    </row>
    <row r="13244">
      <c r="A13244" t="str">
        <f t="shared" si="1"/>
        <v>kna#1995</v>
      </c>
      <c r="B13244" t="str">
        <f>IFERROR(__xludf.DUMMYFUNCTION("""COMPUTED_VALUE"""),"kna")</f>
        <v>kna</v>
      </c>
      <c r="C13244" t="str">
        <f>IFERROR(__xludf.DUMMYFUNCTION("""COMPUTED_VALUE"""),"St. Kitts and Nevis")</f>
        <v>St. Kitts and Nevis</v>
      </c>
      <c r="D13244">
        <f>IFERROR(__xludf.DUMMYFUNCTION("""COMPUTED_VALUE"""),1995.0)</f>
        <v>1995</v>
      </c>
      <c r="E13244">
        <f>IFERROR(__xludf.DUMMYFUNCTION("""COMPUTED_VALUE"""),42891.0)</f>
        <v>42891</v>
      </c>
    </row>
    <row r="13245">
      <c r="A13245" t="str">
        <f t="shared" si="1"/>
        <v>kna#1996</v>
      </c>
      <c r="B13245" t="str">
        <f>IFERROR(__xludf.DUMMYFUNCTION("""COMPUTED_VALUE"""),"kna")</f>
        <v>kna</v>
      </c>
      <c r="C13245" t="str">
        <f>IFERROR(__xludf.DUMMYFUNCTION("""COMPUTED_VALUE"""),"St. Kitts and Nevis")</f>
        <v>St. Kitts and Nevis</v>
      </c>
      <c r="D13245">
        <f>IFERROR(__xludf.DUMMYFUNCTION("""COMPUTED_VALUE"""),1996.0)</f>
        <v>1996</v>
      </c>
      <c r="E13245">
        <f>IFERROR(__xludf.DUMMYFUNCTION("""COMPUTED_VALUE"""),43373.0)</f>
        <v>43373</v>
      </c>
    </row>
    <row r="13246">
      <c r="A13246" t="str">
        <f t="shared" si="1"/>
        <v>kna#1997</v>
      </c>
      <c r="B13246" t="str">
        <f>IFERROR(__xludf.DUMMYFUNCTION("""COMPUTED_VALUE"""),"kna")</f>
        <v>kna</v>
      </c>
      <c r="C13246" t="str">
        <f>IFERROR(__xludf.DUMMYFUNCTION("""COMPUTED_VALUE"""),"St. Kitts and Nevis")</f>
        <v>St. Kitts and Nevis</v>
      </c>
      <c r="D13246">
        <f>IFERROR(__xludf.DUMMYFUNCTION("""COMPUTED_VALUE"""),1997.0)</f>
        <v>1997</v>
      </c>
      <c r="E13246">
        <f>IFERROR(__xludf.DUMMYFUNCTION("""COMPUTED_VALUE"""),43846.0)</f>
        <v>43846</v>
      </c>
    </row>
    <row r="13247">
      <c r="A13247" t="str">
        <f t="shared" si="1"/>
        <v>kna#1998</v>
      </c>
      <c r="B13247" t="str">
        <f>IFERROR(__xludf.DUMMYFUNCTION("""COMPUTED_VALUE"""),"kna")</f>
        <v>kna</v>
      </c>
      <c r="C13247" t="str">
        <f>IFERROR(__xludf.DUMMYFUNCTION("""COMPUTED_VALUE"""),"St. Kitts and Nevis")</f>
        <v>St. Kitts and Nevis</v>
      </c>
      <c r="D13247">
        <f>IFERROR(__xludf.DUMMYFUNCTION("""COMPUTED_VALUE"""),1998.0)</f>
        <v>1998</v>
      </c>
      <c r="E13247">
        <f>IFERROR(__xludf.DUMMYFUNCTION("""COMPUTED_VALUE"""),44317.0)</f>
        <v>44317</v>
      </c>
    </row>
    <row r="13248">
      <c r="A13248" t="str">
        <f t="shared" si="1"/>
        <v>kna#1999</v>
      </c>
      <c r="B13248" t="str">
        <f>IFERROR(__xludf.DUMMYFUNCTION("""COMPUTED_VALUE"""),"kna")</f>
        <v>kna</v>
      </c>
      <c r="C13248" t="str">
        <f>IFERROR(__xludf.DUMMYFUNCTION("""COMPUTED_VALUE"""),"St. Kitts and Nevis")</f>
        <v>St. Kitts and Nevis</v>
      </c>
      <c r="D13248">
        <f>IFERROR(__xludf.DUMMYFUNCTION("""COMPUTED_VALUE"""),1999.0)</f>
        <v>1999</v>
      </c>
      <c r="E13248">
        <f>IFERROR(__xludf.DUMMYFUNCTION("""COMPUTED_VALUE"""),44824.0)</f>
        <v>44824</v>
      </c>
    </row>
    <row r="13249">
      <c r="A13249" t="str">
        <f t="shared" si="1"/>
        <v>kna#2000</v>
      </c>
      <c r="B13249" t="str">
        <f>IFERROR(__xludf.DUMMYFUNCTION("""COMPUTED_VALUE"""),"kna")</f>
        <v>kna</v>
      </c>
      <c r="C13249" t="str">
        <f>IFERROR(__xludf.DUMMYFUNCTION("""COMPUTED_VALUE"""),"St. Kitts and Nevis")</f>
        <v>St. Kitts and Nevis</v>
      </c>
      <c r="D13249">
        <f>IFERROR(__xludf.DUMMYFUNCTION("""COMPUTED_VALUE"""),2000.0)</f>
        <v>2000</v>
      </c>
      <c r="E13249">
        <f>IFERROR(__xludf.DUMMYFUNCTION("""COMPUTED_VALUE"""),45374.0)</f>
        <v>45374</v>
      </c>
    </row>
    <row r="13250">
      <c r="A13250" t="str">
        <f t="shared" si="1"/>
        <v>kna#2001</v>
      </c>
      <c r="B13250" t="str">
        <f>IFERROR(__xludf.DUMMYFUNCTION("""COMPUTED_VALUE"""),"kna")</f>
        <v>kna</v>
      </c>
      <c r="C13250" t="str">
        <f>IFERROR(__xludf.DUMMYFUNCTION("""COMPUTED_VALUE"""),"St. Kitts and Nevis")</f>
        <v>St. Kitts and Nevis</v>
      </c>
      <c r="D13250">
        <f>IFERROR(__xludf.DUMMYFUNCTION("""COMPUTED_VALUE"""),2001.0)</f>
        <v>2001</v>
      </c>
      <c r="E13250">
        <f>IFERROR(__xludf.DUMMYFUNCTION("""COMPUTED_VALUE"""),45990.0)</f>
        <v>45990</v>
      </c>
    </row>
    <row r="13251">
      <c r="A13251" t="str">
        <f t="shared" si="1"/>
        <v>kna#2002</v>
      </c>
      <c r="B13251" t="str">
        <f>IFERROR(__xludf.DUMMYFUNCTION("""COMPUTED_VALUE"""),"kna")</f>
        <v>kna</v>
      </c>
      <c r="C13251" t="str">
        <f>IFERROR(__xludf.DUMMYFUNCTION("""COMPUTED_VALUE"""),"St. Kitts and Nevis")</f>
        <v>St. Kitts and Nevis</v>
      </c>
      <c r="D13251">
        <f>IFERROR(__xludf.DUMMYFUNCTION("""COMPUTED_VALUE"""),2002.0)</f>
        <v>2002</v>
      </c>
      <c r="E13251">
        <f>IFERROR(__xludf.DUMMYFUNCTION("""COMPUTED_VALUE"""),46641.0)</f>
        <v>46641</v>
      </c>
    </row>
    <row r="13252">
      <c r="A13252" t="str">
        <f t="shared" si="1"/>
        <v>kna#2003</v>
      </c>
      <c r="B13252" t="str">
        <f>IFERROR(__xludf.DUMMYFUNCTION("""COMPUTED_VALUE"""),"kna")</f>
        <v>kna</v>
      </c>
      <c r="C13252" t="str">
        <f>IFERROR(__xludf.DUMMYFUNCTION("""COMPUTED_VALUE"""),"St. Kitts and Nevis")</f>
        <v>St. Kitts and Nevis</v>
      </c>
      <c r="D13252">
        <f>IFERROR(__xludf.DUMMYFUNCTION("""COMPUTED_VALUE"""),2003.0)</f>
        <v>2003</v>
      </c>
      <c r="E13252">
        <f>IFERROR(__xludf.DUMMYFUNCTION("""COMPUTED_VALUE"""),47306.0)</f>
        <v>47306</v>
      </c>
    </row>
    <row r="13253">
      <c r="A13253" t="str">
        <f t="shared" si="1"/>
        <v>kna#2004</v>
      </c>
      <c r="B13253" t="str">
        <f>IFERROR(__xludf.DUMMYFUNCTION("""COMPUTED_VALUE"""),"kna")</f>
        <v>kna</v>
      </c>
      <c r="C13253" t="str">
        <f>IFERROR(__xludf.DUMMYFUNCTION("""COMPUTED_VALUE"""),"St. Kitts and Nevis")</f>
        <v>St. Kitts and Nevis</v>
      </c>
      <c r="D13253">
        <f>IFERROR(__xludf.DUMMYFUNCTION("""COMPUTED_VALUE"""),2004.0)</f>
        <v>2004</v>
      </c>
      <c r="E13253">
        <f>IFERROR(__xludf.DUMMYFUNCTION("""COMPUTED_VALUE"""),47971.0)</f>
        <v>47971</v>
      </c>
    </row>
    <row r="13254">
      <c r="A13254" t="str">
        <f t="shared" si="1"/>
        <v>kna#2005</v>
      </c>
      <c r="B13254" t="str">
        <f>IFERROR(__xludf.DUMMYFUNCTION("""COMPUTED_VALUE"""),"kna")</f>
        <v>kna</v>
      </c>
      <c r="C13254" t="str">
        <f>IFERROR(__xludf.DUMMYFUNCTION("""COMPUTED_VALUE"""),"St. Kitts and Nevis")</f>
        <v>St. Kitts and Nevis</v>
      </c>
      <c r="D13254">
        <f>IFERROR(__xludf.DUMMYFUNCTION("""COMPUTED_VALUE"""),2005.0)</f>
        <v>2005</v>
      </c>
      <c r="E13254">
        <f>IFERROR(__xludf.DUMMYFUNCTION("""COMPUTED_VALUE"""),48611.0)</f>
        <v>48611</v>
      </c>
    </row>
    <row r="13255">
      <c r="A13255" t="str">
        <f t="shared" si="1"/>
        <v>kna#2006</v>
      </c>
      <c r="B13255" t="str">
        <f>IFERROR(__xludf.DUMMYFUNCTION("""COMPUTED_VALUE"""),"kna")</f>
        <v>kna</v>
      </c>
      <c r="C13255" t="str">
        <f>IFERROR(__xludf.DUMMYFUNCTION("""COMPUTED_VALUE"""),"St. Kitts and Nevis")</f>
        <v>St. Kitts and Nevis</v>
      </c>
      <c r="D13255">
        <f>IFERROR(__xludf.DUMMYFUNCTION("""COMPUTED_VALUE"""),2006.0)</f>
        <v>2006</v>
      </c>
      <c r="E13255">
        <f>IFERROR(__xludf.DUMMYFUNCTION("""COMPUTED_VALUE"""),49210.0)</f>
        <v>49210</v>
      </c>
    </row>
    <row r="13256">
      <c r="A13256" t="str">
        <f t="shared" si="1"/>
        <v>kna#2007</v>
      </c>
      <c r="B13256" t="str">
        <f>IFERROR(__xludf.DUMMYFUNCTION("""COMPUTED_VALUE"""),"kna")</f>
        <v>kna</v>
      </c>
      <c r="C13256" t="str">
        <f>IFERROR(__xludf.DUMMYFUNCTION("""COMPUTED_VALUE"""),"St. Kitts and Nevis")</f>
        <v>St. Kitts and Nevis</v>
      </c>
      <c r="D13256">
        <f>IFERROR(__xludf.DUMMYFUNCTION("""COMPUTED_VALUE"""),2007.0)</f>
        <v>2007</v>
      </c>
      <c r="E13256">
        <f>IFERROR(__xludf.DUMMYFUNCTION("""COMPUTED_VALUE"""),49783.0)</f>
        <v>49783</v>
      </c>
    </row>
    <row r="13257">
      <c r="A13257" t="str">
        <f t="shared" si="1"/>
        <v>kna#2008</v>
      </c>
      <c r="B13257" t="str">
        <f>IFERROR(__xludf.DUMMYFUNCTION("""COMPUTED_VALUE"""),"kna")</f>
        <v>kna</v>
      </c>
      <c r="C13257" t="str">
        <f>IFERROR(__xludf.DUMMYFUNCTION("""COMPUTED_VALUE"""),"St. Kitts and Nevis")</f>
        <v>St. Kitts and Nevis</v>
      </c>
      <c r="D13257">
        <f>IFERROR(__xludf.DUMMYFUNCTION("""COMPUTED_VALUE"""),2008.0)</f>
        <v>2008</v>
      </c>
      <c r="E13257">
        <f>IFERROR(__xludf.DUMMYFUNCTION("""COMPUTED_VALUE"""),50332.0)</f>
        <v>50332</v>
      </c>
    </row>
    <row r="13258">
      <c r="A13258" t="str">
        <f t="shared" si="1"/>
        <v>kna#2009</v>
      </c>
      <c r="B13258" t="str">
        <f>IFERROR(__xludf.DUMMYFUNCTION("""COMPUTED_VALUE"""),"kna")</f>
        <v>kna</v>
      </c>
      <c r="C13258" t="str">
        <f>IFERROR(__xludf.DUMMYFUNCTION("""COMPUTED_VALUE"""),"St. Kitts and Nevis")</f>
        <v>St. Kitts and Nevis</v>
      </c>
      <c r="D13258">
        <f>IFERROR(__xludf.DUMMYFUNCTION("""COMPUTED_VALUE"""),2009.0)</f>
        <v>2009</v>
      </c>
      <c r="E13258">
        <f>IFERROR(__xludf.DUMMYFUNCTION("""COMPUTED_VALUE"""),50886.0)</f>
        <v>50886</v>
      </c>
    </row>
    <row r="13259">
      <c r="A13259" t="str">
        <f t="shared" si="1"/>
        <v>kna#2010</v>
      </c>
      <c r="B13259" t="str">
        <f>IFERROR(__xludf.DUMMYFUNCTION("""COMPUTED_VALUE"""),"kna")</f>
        <v>kna</v>
      </c>
      <c r="C13259" t="str">
        <f>IFERROR(__xludf.DUMMYFUNCTION("""COMPUTED_VALUE"""),"St. Kitts and Nevis")</f>
        <v>St. Kitts and Nevis</v>
      </c>
      <c r="D13259">
        <f>IFERROR(__xludf.DUMMYFUNCTION("""COMPUTED_VALUE"""),2010.0)</f>
        <v>2010</v>
      </c>
      <c r="E13259">
        <f>IFERROR(__xludf.DUMMYFUNCTION("""COMPUTED_VALUE"""),51445.0)</f>
        <v>51445</v>
      </c>
    </row>
    <row r="13260">
      <c r="A13260" t="str">
        <f t="shared" si="1"/>
        <v>kna#2011</v>
      </c>
      <c r="B13260" t="str">
        <f>IFERROR(__xludf.DUMMYFUNCTION("""COMPUTED_VALUE"""),"kna")</f>
        <v>kna</v>
      </c>
      <c r="C13260" t="str">
        <f>IFERROR(__xludf.DUMMYFUNCTION("""COMPUTED_VALUE"""),"St. Kitts and Nevis")</f>
        <v>St. Kitts and Nevis</v>
      </c>
      <c r="D13260">
        <f>IFERROR(__xludf.DUMMYFUNCTION("""COMPUTED_VALUE"""),2011.0)</f>
        <v>2011</v>
      </c>
      <c r="E13260">
        <f>IFERROR(__xludf.DUMMYFUNCTION("""COMPUTED_VALUE"""),52006.0)</f>
        <v>52006</v>
      </c>
    </row>
    <row r="13261">
      <c r="A13261" t="str">
        <f t="shared" si="1"/>
        <v>kna#2012</v>
      </c>
      <c r="B13261" t="str">
        <f>IFERROR(__xludf.DUMMYFUNCTION("""COMPUTED_VALUE"""),"kna")</f>
        <v>kna</v>
      </c>
      <c r="C13261" t="str">
        <f>IFERROR(__xludf.DUMMYFUNCTION("""COMPUTED_VALUE"""),"St. Kitts and Nevis")</f>
        <v>St. Kitts and Nevis</v>
      </c>
      <c r="D13261">
        <f>IFERROR(__xludf.DUMMYFUNCTION("""COMPUTED_VALUE"""),2012.0)</f>
        <v>2012</v>
      </c>
      <c r="E13261">
        <f>IFERROR(__xludf.DUMMYFUNCTION("""COMPUTED_VALUE"""),52591.0)</f>
        <v>52591</v>
      </c>
    </row>
    <row r="13262">
      <c r="A13262" t="str">
        <f t="shared" si="1"/>
        <v>kna#2013</v>
      </c>
      <c r="B13262" t="str">
        <f>IFERROR(__xludf.DUMMYFUNCTION("""COMPUTED_VALUE"""),"kna")</f>
        <v>kna</v>
      </c>
      <c r="C13262" t="str">
        <f>IFERROR(__xludf.DUMMYFUNCTION("""COMPUTED_VALUE"""),"St. Kitts and Nevis")</f>
        <v>St. Kitts and Nevis</v>
      </c>
      <c r="D13262">
        <f>IFERROR(__xludf.DUMMYFUNCTION("""COMPUTED_VALUE"""),2013.0)</f>
        <v>2013</v>
      </c>
      <c r="E13262">
        <f>IFERROR(__xludf.DUMMYFUNCTION("""COMPUTED_VALUE"""),53169.0)</f>
        <v>53169</v>
      </c>
    </row>
    <row r="13263">
      <c r="A13263" t="str">
        <f t="shared" si="1"/>
        <v>kna#2014</v>
      </c>
      <c r="B13263" t="str">
        <f>IFERROR(__xludf.DUMMYFUNCTION("""COMPUTED_VALUE"""),"kna")</f>
        <v>kna</v>
      </c>
      <c r="C13263" t="str">
        <f>IFERROR(__xludf.DUMMYFUNCTION("""COMPUTED_VALUE"""),"St. Kitts and Nevis")</f>
        <v>St. Kitts and Nevis</v>
      </c>
      <c r="D13263">
        <f>IFERROR(__xludf.DUMMYFUNCTION("""COMPUTED_VALUE"""),2014.0)</f>
        <v>2014</v>
      </c>
      <c r="E13263">
        <f>IFERROR(__xludf.DUMMYFUNCTION("""COMPUTED_VALUE"""),53739.0)</f>
        <v>53739</v>
      </c>
    </row>
    <row r="13264">
      <c r="A13264" t="str">
        <f t="shared" si="1"/>
        <v>kna#2015</v>
      </c>
      <c r="B13264" t="str">
        <f>IFERROR(__xludf.DUMMYFUNCTION("""COMPUTED_VALUE"""),"kna")</f>
        <v>kna</v>
      </c>
      <c r="C13264" t="str">
        <f>IFERROR(__xludf.DUMMYFUNCTION("""COMPUTED_VALUE"""),"St. Kitts and Nevis")</f>
        <v>St. Kitts and Nevis</v>
      </c>
      <c r="D13264">
        <f>IFERROR(__xludf.DUMMYFUNCTION("""COMPUTED_VALUE"""),2015.0)</f>
        <v>2015</v>
      </c>
      <c r="E13264">
        <f>IFERROR(__xludf.DUMMYFUNCTION("""COMPUTED_VALUE"""),54288.0)</f>
        <v>54288</v>
      </c>
    </row>
    <row r="13265">
      <c r="A13265" t="str">
        <f t="shared" si="1"/>
        <v>kna#2016</v>
      </c>
      <c r="B13265" t="str">
        <f>IFERROR(__xludf.DUMMYFUNCTION("""COMPUTED_VALUE"""),"kna")</f>
        <v>kna</v>
      </c>
      <c r="C13265" t="str">
        <f>IFERROR(__xludf.DUMMYFUNCTION("""COMPUTED_VALUE"""),"St. Kitts and Nevis")</f>
        <v>St. Kitts and Nevis</v>
      </c>
      <c r="D13265">
        <f>IFERROR(__xludf.DUMMYFUNCTION("""COMPUTED_VALUE"""),2016.0)</f>
        <v>2016</v>
      </c>
      <c r="E13265">
        <f>IFERROR(__xludf.DUMMYFUNCTION("""COMPUTED_VALUE"""),54821.0)</f>
        <v>54821</v>
      </c>
    </row>
    <row r="13266">
      <c r="A13266" t="str">
        <f t="shared" si="1"/>
        <v>kna#2017</v>
      </c>
      <c r="B13266" t="str">
        <f>IFERROR(__xludf.DUMMYFUNCTION("""COMPUTED_VALUE"""),"kna")</f>
        <v>kna</v>
      </c>
      <c r="C13266" t="str">
        <f>IFERROR(__xludf.DUMMYFUNCTION("""COMPUTED_VALUE"""),"St. Kitts and Nevis")</f>
        <v>St. Kitts and Nevis</v>
      </c>
      <c r="D13266">
        <f>IFERROR(__xludf.DUMMYFUNCTION("""COMPUTED_VALUE"""),2017.0)</f>
        <v>2017</v>
      </c>
      <c r="E13266">
        <f>IFERROR(__xludf.DUMMYFUNCTION("""COMPUTED_VALUE"""),55345.0)</f>
        <v>55345</v>
      </c>
    </row>
    <row r="13267">
      <c r="A13267" t="str">
        <f t="shared" si="1"/>
        <v>kna#2018</v>
      </c>
      <c r="B13267" t="str">
        <f>IFERROR(__xludf.DUMMYFUNCTION("""COMPUTED_VALUE"""),"kna")</f>
        <v>kna</v>
      </c>
      <c r="C13267" t="str">
        <f>IFERROR(__xludf.DUMMYFUNCTION("""COMPUTED_VALUE"""),"St. Kitts and Nevis")</f>
        <v>St. Kitts and Nevis</v>
      </c>
      <c r="D13267">
        <f>IFERROR(__xludf.DUMMYFUNCTION("""COMPUTED_VALUE"""),2018.0)</f>
        <v>2018</v>
      </c>
      <c r="E13267">
        <f>IFERROR(__xludf.DUMMYFUNCTION("""COMPUTED_VALUE"""),55850.0)</f>
        <v>55850</v>
      </c>
    </row>
    <row r="13268">
      <c r="A13268" t="str">
        <f t="shared" si="1"/>
        <v>kna#2019</v>
      </c>
      <c r="B13268" t="str">
        <f>IFERROR(__xludf.DUMMYFUNCTION("""COMPUTED_VALUE"""),"kna")</f>
        <v>kna</v>
      </c>
      <c r="C13268" t="str">
        <f>IFERROR(__xludf.DUMMYFUNCTION("""COMPUTED_VALUE"""),"St. Kitts and Nevis")</f>
        <v>St. Kitts and Nevis</v>
      </c>
      <c r="D13268">
        <f>IFERROR(__xludf.DUMMYFUNCTION("""COMPUTED_VALUE"""),2019.0)</f>
        <v>2019</v>
      </c>
      <c r="E13268">
        <f>IFERROR(__xludf.DUMMYFUNCTION("""COMPUTED_VALUE"""),56345.0)</f>
        <v>56345</v>
      </c>
    </row>
    <row r="13269">
      <c r="A13269" t="str">
        <f t="shared" si="1"/>
        <v>kna#2020</v>
      </c>
      <c r="B13269" t="str">
        <f>IFERROR(__xludf.DUMMYFUNCTION("""COMPUTED_VALUE"""),"kna")</f>
        <v>kna</v>
      </c>
      <c r="C13269" t="str">
        <f>IFERROR(__xludf.DUMMYFUNCTION("""COMPUTED_VALUE"""),"St. Kitts and Nevis")</f>
        <v>St. Kitts and Nevis</v>
      </c>
      <c r="D13269">
        <f>IFERROR(__xludf.DUMMYFUNCTION("""COMPUTED_VALUE"""),2020.0)</f>
        <v>2020</v>
      </c>
      <c r="E13269">
        <f>IFERROR(__xludf.DUMMYFUNCTION("""COMPUTED_VALUE"""),56813.0)</f>
        <v>56813</v>
      </c>
    </row>
    <row r="13270">
      <c r="A13270" t="str">
        <f t="shared" si="1"/>
        <v>kna#2021</v>
      </c>
      <c r="B13270" t="str">
        <f>IFERROR(__xludf.DUMMYFUNCTION("""COMPUTED_VALUE"""),"kna")</f>
        <v>kna</v>
      </c>
      <c r="C13270" t="str">
        <f>IFERROR(__xludf.DUMMYFUNCTION("""COMPUTED_VALUE"""),"St. Kitts and Nevis")</f>
        <v>St. Kitts and Nevis</v>
      </c>
      <c r="D13270">
        <f>IFERROR(__xludf.DUMMYFUNCTION("""COMPUTED_VALUE"""),2021.0)</f>
        <v>2021</v>
      </c>
      <c r="E13270">
        <f>IFERROR(__xludf.DUMMYFUNCTION("""COMPUTED_VALUE"""),57269.0)</f>
        <v>57269</v>
      </c>
    </row>
    <row r="13271">
      <c r="A13271" t="str">
        <f t="shared" si="1"/>
        <v>kna#2022</v>
      </c>
      <c r="B13271" t="str">
        <f>IFERROR(__xludf.DUMMYFUNCTION("""COMPUTED_VALUE"""),"kna")</f>
        <v>kna</v>
      </c>
      <c r="C13271" t="str">
        <f>IFERROR(__xludf.DUMMYFUNCTION("""COMPUTED_VALUE"""),"St. Kitts and Nevis")</f>
        <v>St. Kitts and Nevis</v>
      </c>
      <c r="D13271">
        <f>IFERROR(__xludf.DUMMYFUNCTION("""COMPUTED_VALUE"""),2022.0)</f>
        <v>2022</v>
      </c>
      <c r="E13271">
        <f>IFERROR(__xludf.DUMMYFUNCTION("""COMPUTED_VALUE"""),57713.0)</f>
        <v>57713</v>
      </c>
    </row>
    <row r="13272">
      <c r="A13272" t="str">
        <f t="shared" si="1"/>
        <v>kna#2023</v>
      </c>
      <c r="B13272" t="str">
        <f>IFERROR(__xludf.DUMMYFUNCTION("""COMPUTED_VALUE"""),"kna")</f>
        <v>kna</v>
      </c>
      <c r="C13272" t="str">
        <f>IFERROR(__xludf.DUMMYFUNCTION("""COMPUTED_VALUE"""),"St. Kitts and Nevis")</f>
        <v>St. Kitts and Nevis</v>
      </c>
      <c r="D13272">
        <f>IFERROR(__xludf.DUMMYFUNCTION("""COMPUTED_VALUE"""),2023.0)</f>
        <v>2023</v>
      </c>
      <c r="E13272">
        <f>IFERROR(__xludf.DUMMYFUNCTION("""COMPUTED_VALUE"""),58124.0)</f>
        <v>58124</v>
      </c>
    </row>
    <row r="13273">
      <c r="A13273" t="str">
        <f t="shared" si="1"/>
        <v>kna#2024</v>
      </c>
      <c r="B13273" t="str">
        <f>IFERROR(__xludf.DUMMYFUNCTION("""COMPUTED_VALUE"""),"kna")</f>
        <v>kna</v>
      </c>
      <c r="C13273" t="str">
        <f>IFERROR(__xludf.DUMMYFUNCTION("""COMPUTED_VALUE"""),"St. Kitts and Nevis")</f>
        <v>St. Kitts and Nevis</v>
      </c>
      <c r="D13273">
        <f>IFERROR(__xludf.DUMMYFUNCTION("""COMPUTED_VALUE"""),2024.0)</f>
        <v>2024</v>
      </c>
      <c r="E13273">
        <f>IFERROR(__xludf.DUMMYFUNCTION("""COMPUTED_VALUE"""),58529.0)</f>
        <v>58529</v>
      </c>
    </row>
    <row r="13274">
      <c r="A13274" t="str">
        <f t="shared" si="1"/>
        <v>kna#2025</v>
      </c>
      <c r="B13274" t="str">
        <f>IFERROR(__xludf.DUMMYFUNCTION("""COMPUTED_VALUE"""),"kna")</f>
        <v>kna</v>
      </c>
      <c r="C13274" t="str">
        <f>IFERROR(__xludf.DUMMYFUNCTION("""COMPUTED_VALUE"""),"St. Kitts and Nevis")</f>
        <v>St. Kitts and Nevis</v>
      </c>
      <c r="D13274">
        <f>IFERROR(__xludf.DUMMYFUNCTION("""COMPUTED_VALUE"""),2025.0)</f>
        <v>2025</v>
      </c>
      <c r="E13274">
        <f>IFERROR(__xludf.DUMMYFUNCTION("""COMPUTED_VALUE"""),58917.0)</f>
        <v>58917</v>
      </c>
    </row>
    <row r="13275">
      <c r="A13275" t="str">
        <f t="shared" si="1"/>
        <v>kna#2026</v>
      </c>
      <c r="B13275" t="str">
        <f>IFERROR(__xludf.DUMMYFUNCTION("""COMPUTED_VALUE"""),"kna")</f>
        <v>kna</v>
      </c>
      <c r="C13275" t="str">
        <f>IFERROR(__xludf.DUMMYFUNCTION("""COMPUTED_VALUE"""),"St. Kitts and Nevis")</f>
        <v>St. Kitts and Nevis</v>
      </c>
      <c r="D13275">
        <f>IFERROR(__xludf.DUMMYFUNCTION("""COMPUTED_VALUE"""),2026.0)</f>
        <v>2026</v>
      </c>
      <c r="E13275">
        <f>IFERROR(__xludf.DUMMYFUNCTION("""COMPUTED_VALUE"""),59284.0)</f>
        <v>59284</v>
      </c>
    </row>
    <row r="13276">
      <c r="A13276" t="str">
        <f t="shared" si="1"/>
        <v>kna#2027</v>
      </c>
      <c r="B13276" t="str">
        <f>IFERROR(__xludf.DUMMYFUNCTION("""COMPUTED_VALUE"""),"kna")</f>
        <v>kna</v>
      </c>
      <c r="C13276" t="str">
        <f>IFERROR(__xludf.DUMMYFUNCTION("""COMPUTED_VALUE"""),"St. Kitts and Nevis")</f>
        <v>St. Kitts and Nevis</v>
      </c>
      <c r="D13276">
        <f>IFERROR(__xludf.DUMMYFUNCTION("""COMPUTED_VALUE"""),2027.0)</f>
        <v>2027</v>
      </c>
      <c r="E13276">
        <f>IFERROR(__xludf.DUMMYFUNCTION("""COMPUTED_VALUE"""),59643.0)</f>
        <v>59643</v>
      </c>
    </row>
    <row r="13277">
      <c r="A13277" t="str">
        <f t="shared" si="1"/>
        <v>kna#2028</v>
      </c>
      <c r="B13277" t="str">
        <f>IFERROR(__xludf.DUMMYFUNCTION("""COMPUTED_VALUE"""),"kna")</f>
        <v>kna</v>
      </c>
      <c r="C13277" t="str">
        <f>IFERROR(__xludf.DUMMYFUNCTION("""COMPUTED_VALUE"""),"St. Kitts and Nevis")</f>
        <v>St. Kitts and Nevis</v>
      </c>
      <c r="D13277">
        <f>IFERROR(__xludf.DUMMYFUNCTION("""COMPUTED_VALUE"""),2028.0)</f>
        <v>2028</v>
      </c>
      <c r="E13277">
        <f>IFERROR(__xludf.DUMMYFUNCTION("""COMPUTED_VALUE"""),59973.0)</f>
        <v>59973</v>
      </c>
    </row>
    <row r="13278">
      <c r="A13278" t="str">
        <f t="shared" si="1"/>
        <v>kna#2029</v>
      </c>
      <c r="B13278" t="str">
        <f>IFERROR(__xludf.DUMMYFUNCTION("""COMPUTED_VALUE"""),"kna")</f>
        <v>kna</v>
      </c>
      <c r="C13278" t="str">
        <f>IFERROR(__xludf.DUMMYFUNCTION("""COMPUTED_VALUE"""),"St. Kitts and Nevis")</f>
        <v>St. Kitts and Nevis</v>
      </c>
      <c r="D13278">
        <f>IFERROR(__xludf.DUMMYFUNCTION("""COMPUTED_VALUE"""),2029.0)</f>
        <v>2029</v>
      </c>
      <c r="E13278">
        <f>IFERROR(__xludf.DUMMYFUNCTION("""COMPUTED_VALUE"""),60296.0)</f>
        <v>60296</v>
      </c>
    </row>
    <row r="13279">
      <c r="A13279" t="str">
        <f t="shared" si="1"/>
        <v>kna#2030</v>
      </c>
      <c r="B13279" t="str">
        <f>IFERROR(__xludf.DUMMYFUNCTION("""COMPUTED_VALUE"""),"kna")</f>
        <v>kna</v>
      </c>
      <c r="C13279" t="str">
        <f>IFERROR(__xludf.DUMMYFUNCTION("""COMPUTED_VALUE"""),"St. Kitts and Nevis")</f>
        <v>St. Kitts and Nevis</v>
      </c>
      <c r="D13279">
        <f>IFERROR(__xludf.DUMMYFUNCTION("""COMPUTED_VALUE"""),2030.0)</f>
        <v>2030</v>
      </c>
      <c r="E13279">
        <f>IFERROR(__xludf.DUMMYFUNCTION("""COMPUTED_VALUE"""),60603.0)</f>
        <v>60603</v>
      </c>
    </row>
    <row r="13280">
      <c r="A13280" t="str">
        <f t="shared" si="1"/>
        <v>kna#2031</v>
      </c>
      <c r="B13280" t="str">
        <f>IFERROR(__xludf.DUMMYFUNCTION("""COMPUTED_VALUE"""),"kna")</f>
        <v>kna</v>
      </c>
      <c r="C13280" t="str">
        <f>IFERROR(__xludf.DUMMYFUNCTION("""COMPUTED_VALUE"""),"St. Kitts and Nevis")</f>
        <v>St. Kitts and Nevis</v>
      </c>
      <c r="D13280">
        <f>IFERROR(__xludf.DUMMYFUNCTION("""COMPUTED_VALUE"""),2031.0)</f>
        <v>2031</v>
      </c>
      <c r="E13280">
        <f>IFERROR(__xludf.DUMMYFUNCTION("""COMPUTED_VALUE"""),60883.0)</f>
        <v>60883</v>
      </c>
    </row>
    <row r="13281">
      <c r="A13281" t="str">
        <f t="shared" si="1"/>
        <v>kna#2032</v>
      </c>
      <c r="B13281" t="str">
        <f>IFERROR(__xludf.DUMMYFUNCTION("""COMPUTED_VALUE"""),"kna")</f>
        <v>kna</v>
      </c>
      <c r="C13281" t="str">
        <f>IFERROR(__xludf.DUMMYFUNCTION("""COMPUTED_VALUE"""),"St. Kitts and Nevis")</f>
        <v>St. Kitts and Nevis</v>
      </c>
      <c r="D13281">
        <f>IFERROR(__xludf.DUMMYFUNCTION("""COMPUTED_VALUE"""),2032.0)</f>
        <v>2032</v>
      </c>
      <c r="E13281">
        <f>IFERROR(__xludf.DUMMYFUNCTION("""COMPUTED_VALUE"""),61155.0)</f>
        <v>61155</v>
      </c>
    </row>
    <row r="13282">
      <c r="A13282" t="str">
        <f t="shared" si="1"/>
        <v>kna#2033</v>
      </c>
      <c r="B13282" t="str">
        <f>IFERROR(__xludf.DUMMYFUNCTION("""COMPUTED_VALUE"""),"kna")</f>
        <v>kna</v>
      </c>
      <c r="C13282" t="str">
        <f>IFERROR(__xludf.DUMMYFUNCTION("""COMPUTED_VALUE"""),"St. Kitts and Nevis")</f>
        <v>St. Kitts and Nevis</v>
      </c>
      <c r="D13282">
        <f>IFERROR(__xludf.DUMMYFUNCTION("""COMPUTED_VALUE"""),2033.0)</f>
        <v>2033</v>
      </c>
      <c r="E13282">
        <f>IFERROR(__xludf.DUMMYFUNCTION("""COMPUTED_VALUE"""),61410.0)</f>
        <v>61410</v>
      </c>
    </row>
    <row r="13283">
      <c r="A13283" t="str">
        <f t="shared" si="1"/>
        <v>kna#2034</v>
      </c>
      <c r="B13283" t="str">
        <f>IFERROR(__xludf.DUMMYFUNCTION("""COMPUTED_VALUE"""),"kna")</f>
        <v>kna</v>
      </c>
      <c r="C13283" t="str">
        <f>IFERROR(__xludf.DUMMYFUNCTION("""COMPUTED_VALUE"""),"St. Kitts and Nevis")</f>
        <v>St. Kitts and Nevis</v>
      </c>
      <c r="D13283">
        <f>IFERROR(__xludf.DUMMYFUNCTION("""COMPUTED_VALUE"""),2034.0)</f>
        <v>2034</v>
      </c>
      <c r="E13283">
        <f>IFERROR(__xludf.DUMMYFUNCTION("""COMPUTED_VALUE"""),61647.0)</f>
        <v>61647</v>
      </c>
    </row>
    <row r="13284">
      <c r="A13284" t="str">
        <f t="shared" si="1"/>
        <v>kna#2035</v>
      </c>
      <c r="B13284" t="str">
        <f>IFERROR(__xludf.DUMMYFUNCTION("""COMPUTED_VALUE"""),"kna")</f>
        <v>kna</v>
      </c>
      <c r="C13284" t="str">
        <f>IFERROR(__xludf.DUMMYFUNCTION("""COMPUTED_VALUE"""),"St. Kitts and Nevis")</f>
        <v>St. Kitts and Nevis</v>
      </c>
      <c r="D13284">
        <f>IFERROR(__xludf.DUMMYFUNCTION("""COMPUTED_VALUE"""),2035.0)</f>
        <v>2035</v>
      </c>
      <c r="E13284">
        <f>IFERROR(__xludf.DUMMYFUNCTION("""COMPUTED_VALUE"""),61868.0)</f>
        <v>61868</v>
      </c>
    </row>
    <row r="13285">
      <c r="A13285" t="str">
        <f t="shared" si="1"/>
        <v>kna#2036</v>
      </c>
      <c r="B13285" t="str">
        <f>IFERROR(__xludf.DUMMYFUNCTION("""COMPUTED_VALUE"""),"kna")</f>
        <v>kna</v>
      </c>
      <c r="C13285" t="str">
        <f>IFERROR(__xludf.DUMMYFUNCTION("""COMPUTED_VALUE"""),"St. Kitts and Nevis")</f>
        <v>St. Kitts and Nevis</v>
      </c>
      <c r="D13285">
        <f>IFERROR(__xludf.DUMMYFUNCTION("""COMPUTED_VALUE"""),2036.0)</f>
        <v>2036</v>
      </c>
      <c r="E13285">
        <f>IFERROR(__xludf.DUMMYFUNCTION("""COMPUTED_VALUE"""),62077.0)</f>
        <v>62077</v>
      </c>
    </row>
    <row r="13286">
      <c r="A13286" t="str">
        <f t="shared" si="1"/>
        <v>kna#2037</v>
      </c>
      <c r="B13286" t="str">
        <f>IFERROR(__xludf.DUMMYFUNCTION("""COMPUTED_VALUE"""),"kna")</f>
        <v>kna</v>
      </c>
      <c r="C13286" t="str">
        <f>IFERROR(__xludf.DUMMYFUNCTION("""COMPUTED_VALUE"""),"St. Kitts and Nevis")</f>
        <v>St. Kitts and Nevis</v>
      </c>
      <c r="D13286">
        <f>IFERROR(__xludf.DUMMYFUNCTION("""COMPUTED_VALUE"""),2037.0)</f>
        <v>2037</v>
      </c>
      <c r="E13286">
        <f>IFERROR(__xludf.DUMMYFUNCTION("""COMPUTED_VALUE"""),62261.0)</f>
        <v>62261</v>
      </c>
    </row>
    <row r="13287">
      <c r="A13287" t="str">
        <f t="shared" si="1"/>
        <v>kna#2038</v>
      </c>
      <c r="B13287" t="str">
        <f>IFERROR(__xludf.DUMMYFUNCTION("""COMPUTED_VALUE"""),"kna")</f>
        <v>kna</v>
      </c>
      <c r="C13287" t="str">
        <f>IFERROR(__xludf.DUMMYFUNCTION("""COMPUTED_VALUE"""),"St. Kitts and Nevis")</f>
        <v>St. Kitts and Nevis</v>
      </c>
      <c r="D13287">
        <f>IFERROR(__xludf.DUMMYFUNCTION("""COMPUTED_VALUE"""),2038.0)</f>
        <v>2038</v>
      </c>
      <c r="E13287">
        <f>IFERROR(__xludf.DUMMYFUNCTION("""COMPUTED_VALUE"""),62436.0)</f>
        <v>62436</v>
      </c>
    </row>
    <row r="13288">
      <c r="A13288" t="str">
        <f t="shared" si="1"/>
        <v>kna#2039</v>
      </c>
      <c r="B13288" t="str">
        <f>IFERROR(__xludf.DUMMYFUNCTION("""COMPUTED_VALUE"""),"kna")</f>
        <v>kna</v>
      </c>
      <c r="C13288" t="str">
        <f>IFERROR(__xludf.DUMMYFUNCTION("""COMPUTED_VALUE"""),"St. Kitts and Nevis")</f>
        <v>St. Kitts and Nevis</v>
      </c>
      <c r="D13288">
        <f>IFERROR(__xludf.DUMMYFUNCTION("""COMPUTED_VALUE"""),2039.0)</f>
        <v>2039</v>
      </c>
      <c r="E13288">
        <f>IFERROR(__xludf.DUMMYFUNCTION("""COMPUTED_VALUE"""),62597.0)</f>
        <v>62597</v>
      </c>
    </row>
    <row r="13289">
      <c r="A13289" t="str">
        <f t="shared" si="1"/>
        <v>kna#2040</v>
      </c>
      <c r="B13289" t="str">
        <f>IFERROR(__xludf.DUMMYFUNCTION("""COMPUTED_VALUE"""),"kna")</f>
        <v>kna</v>
      </c>
      <c r="C13289" t="str">
        <f>IFERROR(__xludf.DUMMYFUNCTION("""COMPUTED_VALUE"""),"St. Kitts and Nevis")</f>
        <v>St. Kitts and Nevis</v>
      </c>
      <c r="D13289">
        <f>IFERROR(__xludf.DUMMYFUNCTION("""COMPUTED_VALUE"""),2040.0)</f>
        <v>2040</v>
      </c>
      <c r="E13289">
        <f>IFERROR(__xludf.DUMMYFUNCTION("""COMPUTED_VALUE"""),62737.0)</f>
        <v>62737</v>
      </c>
    </row>
    <row r="13290">
      <c r="A13290" t="str">
        <f t="shared" si="1"/>
        <v>lca#1950</v>
      </c>
      <c r="B13290" t="str">
        <f>IFERROR(__xludf.DUMMYFUNCTION("""COMPUTED_VALUE"""),"lca")</f>
        <v>lca</v>
      </c>
      <c r="C13290" t="str">
        <f>IFERROR(__xludf.DUMMYFUNCTION("""COMPUTED_VALUE"""),"St. Lucia")</f>
        <v>St. Lucia</v>
      </c>
      <c r="D13290">
        <f>IFERROR(__xludf.DUMMYFUNCTION("""COMPUTED_VALUE"""),1950.0)</f>
        <v>1950</v>
      </c>
      <c r="E13290">
        <f>IFERROR(__xludf.DUMMYFUNCTION("""COMPUTED_VALUE"""),82784.0)</f>
        <v>82784</v>
      </c>
    </row>
    <row r="13291">
      <c r="A13291" t="str">
        <f t="shared" si="1"/>
        <v>lca#1951</v>
      </c>
      <c r="B13291" t="str">
        <f>IFERROR(__xludf.DUMMYFUNCTION("""COMPUTED_VALUE"""),"lca")</f>
        <v>lca</v>
      </c>
      <c r="C13291" t="str">
        <f>IFERROR(__xludf.DUMMYFUNCTION("""COMPUTED_VALUE"""),"St. Lucia")</f>
        <v>St. Lucia</v>
      </c>
      <c r="D13291">
        <f>IFERROR(__xludf.DUMMYFUNCTION("""COMPUTED_VALUE"""),1951.0)</f>
        <v>1951</v>
      </c>
      <c r="E13291">
        <f>IFERROR(__xludf.DUMMYFUNCTION("""COMPUTED_VALUE"""),83874.0)</f>
        <v>83874</v>
      </c>
    </row>
    <row r="13292">
      <c r="A13292" t="str">
        <f t="shared" si="1"/>
        <v>lca#1952</v>
      </c>
      <c r="B13292" t="str">
        <f>IFERROR(__xludf.DUMMYFUNCTION("""COMPUTED_VALUE"""),"lca")</f>
        <v>lca</v>
      </c>
      <c r="C13292" t="str">
        <f>IFERROR(__xludf.DUMMYFUNCTION("""COMPUTED_VALUE"""),"St. Lucia")</f>
        <v>St. Lucia</v>
      </c>
      <c r="D13292">
        <f>IFERROR(__xludf.DUMMYFUNCTION("""COMPUTED_VALUE"""),1952.0)</f>
        <v>1952</v>
      </c>
      <c r="E13292">
        <f>IFERROR(__xludf.DUMMYFUNCTION("""COMPUTED_VALUE"""),84763.0)</f>
        <v>84763</v>
      </c>
    </row>
    <row r="13293">
      <c r="A13293" t="str">
        <f t="shared" si="1"/>
        <v>lca#1953</v>
      </c>
      <c r="B13293" t="str">
        <f>IFERROR(__xludf.DUMMYFUNCTION("""COMPUTED_VALUE"""),"lca")</f>
        <v>lca</v>
      </c>
      <c r="C13293" t="str">
        <f>IFERROR(__xludf.DUMMYFUNCTION("""COMPUTED_VALUE"""),"St. Lucia")</f>
        <v>St. Lucia</v>
      </c>
      <c r="D13293">
        <f>IFERROR(__xludf.DUMMYFUNCTION("""COMPUTED_VALUE"""),1953.0)</f>
        <v>1953</v>
      </c>
      <c r="E13293">
        <f>IFERROR(__xludf.DUMMYFUNCTION("""COMPUTED_VALUE"""),85491.0)</f>
        <v>85491</v>
      </c>
    </row>
    <row r="13294">
      <c r="A13294" t="str">
        <f t="shared" si="1"/>
        <v>lca#1954</v>
      </c>
      <c r="B13294" t="str">
        <f>IFERROR(__xludf.DUMMYFUNCTION("""COMPUTED_VALUE"""),"lca")</f>
        <v>lca</v>
      </c>
      <c r="C13294" t="str">
        <f>IFERROR(__xludf.DUMMYFUNCTION("""COMPUTED_VALUE"""),"St. Lucia")</f>
        <v>St. Lucia</v>
      </c>
      <c r="D13294">
        <f>IFERROR(__xludf.DUMMYFUNCTION("""COMPUTED_VALUE"""),1954.0)</f>
        <v>1954</v>
      </c>
      <c r="E13294">
        <f>IFERROR(__xludf.DUMMYFUNCTION("""COMPUTED_VALUE"""),86106.0)</f>
        <v>86106</v>
      </c>
    </row>
    <row r="13295">
      <c r="A13295" t="str">
        <f t="shared" si="1"/>
        <v>lca#1955</v>
      </c>
      <c r="B13295" t="str">
        <f>IFERROR(__xludf.DUMMYFUNCTION("""COMPUTED_VALUE"""),"lca")</f>
        <v>lca</v>
      </c>
      <c r="C13295" t="str">
        <f>IFERROR(__xludf.DUMMYFUNCTION("""COMPUTED_VALUE"""),"St. Lucia")</f>
        <v>St. Lucia</v>
      </c>
      <c r="D13295">
        <f>IFERROR(__xludf.DUMMYFUNCTION("""COMPUTED_VALUE"""),1955.0)</f>
        <v>1955</v>
      </c>
      <c r="E13295">
        <f>IFERROR(__xludf.DUMMYFUNCTION("""COMPUTED_VALUE"""),86654.0)</f>
        <v>86654</v>
      </c>
    </row>
    <row r="13296">
      <c r="A13296" t="str">
        <f t="shared" si="1"/>
        <v>lca#1956</v>
      </c>
      <c r="B13296" t="str">
        <f>IFERROR(__xludf.DUMMYFUNCTION("""COMPUTED_VALUE"""),"lca")</f>
        <v>lca</v>
      </c>
      <c r="C13296" t="str">
        <f>IFERROR(__xludf.DUMMYFUNCTION("""COMPUTED_VALUE"""),"St. Lucia")</f>
        <v>St. Lucia</v>
      </c>
      <c r="D13296">
        <f>IFERROR(__xludf.DUMMYFUNCTION("""COMPUTED_VALUE"""),1956.0)</f>
        <v>1956</v>
      </c>
      <c r="E13296">
        <f>IFERROR(__xludf.DUMMYFUNCTION("""COMPUTED_VALUE"""),87178.0)</f>
        <v>87178</v>
      </c>
    </row>
    <row r="13297">
      <c r="A13297" t="str">
        <f t="shared" si="1"/>
        <v>lca#1957</v>
      </c>
      <c r="B13297" t="str">
        <f>IFERROR(__xludf.DUMMYFUNCTION("""COMPUTED_VALUE"""),"lca")</f>
        <v>lca</v>
      </c>
      <c r="C13297" t="str">
        <f>IFERROR(__xludf.DUMMYFUNCTION("""COMPUTED_VALUE"""),"St. Lucia")</f>
        <v>St. Lucia</v>
      </c>
      <c r="D13297">
        <f>IFERROR(__xludf.DUMMYFUNCTION("""COMPUTED_VALUE"""),1957.0)</f>
        <v>1957</v>
      </c>
      <c r="E13297">
        <f>IFERROR(__xludf.DUMMYFUNCTION("""COMPUTED_VALUE"""),87719.0)</f>
        <v>87719</v>
      </c>
    </row>
    <row r="13298">
      <c r="A13298" t="str">
        <f t="shared" si="1"/>
        <v>lca#1958</v>
      </c>
      <c r="B13298" t="str">
        <f>IFERROR(__xludf.DUMMYFUNCTION("""COMPUTED_VALUE"""),"lca")</f>
        <v>lca</v>
      </c>
      <c r="C13298" t="str">
        <f>IFERROR(__xludf.DUMMYFUNCTION("""COMPUTED_VALUE"""),"St. Lucia")</f>
        <v>St. Lucia</v>
      </c>
      <c r="D13298">
        <f>IFERROR(__xludf.DUMMYFUNCTION("""COMPUTED_VALUE"""),1958.0)</f>
        <v>1958</v>
      </c>
      <c r="E13298">
        <f>IFERROR(__xludf.DUMMYFUNCTION("""COMPUTED_VALUE"""),88330.0)</f>
        <v>88330</v>
      </c>
    </row>
    <row r="13299">
      <c r="A13299" t="str">
        <f t="shared" si="1"/>
        <v>lca#1959</v>
      </c>
      <c r="B13299" t="str">
        <f>IFERROR(__xludf.DUMMYFUNCTION("""COMPUTED_VALUE"""),"lca")</f>
        <v>lca</v>
      </c>
      <c r="C13299" t="str">
        <f>IFERROR(__xludf.DUMMYFUNCTION("""COMPUTED_VALUE"""),"St. Lucia")</f>
        <v>St. Lucia</v>
      </c>
      <c r="D13299">
        <f>IFERROR(__xludf.DUMMYFUNCTION("""COMPUTED_VALUE"""),1959.0)</f>
        <v>1959</v>
      </c>
      <c r="E13299">
        <f>IFERROR(__xludf.DUMMYFUNCTION("""COMPUTED_VALUE"""),89044.0)</f>
        <v>89044</v>
      </c>
    </row>
    <row r="13300">
      <c r="A13300" t="str">
        <f t="shared" si="1"/>
        <v>lca#1960</v>
      </c>
      <c r="B13300" t="str">
        <f>IFERROR(__xludf.DUMMYFUNCTION("""COMPUTED_VALUE"""),"lca")</f>
        <v>lca</v>
      </c>
      <c r="C13300" t="str">
        <f>IFERROR(__xludf.DUMMYFUNCTION("""COMPUTED_VALUE"""),"St. Lucia")</f>
        <v>St. Lucia</v>
      </c>
      <c r="D13300">
        <f>IFERROR(__xludf.DUMMYFUNCTION("""COMPUTED_VALUE"""),1960.0)</f>
        <v>1960</v>
      </c>
      <c r="E13300">
        <f>IFERROR(__xludf.DUMMYFUNCTION("""COMPUTED_VALUE"""),89897.0)</f>
        <v>89897</v>
      </c>
    </row>
    <row r="13301">
      <c r="A13301" t="str">
        <f t="shared" si="1"/>
        <v>lca#1961</v>
      </c>
      <c r="B13301" t="str">
        <f>IFERROR(__xludf.DUMMYFUNCTION("""COMPUTED_VALUE"""),"lca")</f>
        <v>lca</v>
      </c>
      <c r="C13301" t="str">
        <f>IFERROR(__xludf.DUMMYFUNCTION("""COMPUTED_VALUE"""),"St. Lucia")</f>
        <v>St. Lucia</v>
      </c>
      <c r="D13301">
        <f>IFERROR(__xludf.DUMMYFUNCTION("""COMPUTED_VALUE"""),1961.0)</f>
        <v>1961</v>
      </c>
      <c r="E13301">
        <f>IFERROR(__xludf.DUMMYFUNCTION("""COMPUTED_VALUE"""),90914.0)</f>
        <v>90914</v>
      </c>
    </row>
    <row r="13302">
      <c r="A13302" t="str">
        <f t="shared" si="1"/>
        <v>lca#1962</v>
      </c>
      <c r="B13302" t="str">
        <f>IFERROR(__xludf.DUMMYFUNCTION("""COMPUTED_VALUE"""),"lca")</f>
        <v>lca</v>
      </c>
      <c r="C13302" t="str">
        <f>IFERROR(__xludf.DUMMYFUNCTION("""COMPUTED_VALUE"""),"St. Lucia")</f>
        <v>St. Lucia</v>
      </c>
      <c r="D13302">
        <f>IFERROR(__xludf.DUMMYFUNCTION("""COMPUTED_VALUE"""),1962.0)</f>
        <v>1962</v>
      </c>
      <c r="E13302">
        <f>IFERROR(__xludf.DUMMYFUNCTION("""COMPUTED_VALUE"""),92084.0)</f>
        <v>92084</v>
      </c>
    </row>
    <row r="13303">
      <c r="A13303" t="str">
        <f t="shared" si="1"/>
        <v>lca#1963</v>
      </c>
      <c r="B13303" t="str">
        <f>IFERROR(__xludf.DUMMYFUNCTION("""COMPUTED_VALUE"""),"lca")</f>
        <v>lca</v>
      </c>
      <c r="C13303" t="str">
        <f>IFERROR(__xludf.DUMMYFUNCTION("""COMPUTED_VALUE"""),"St. Lucia")</f>
        <v>St. Lucia</v>
      </c>
      <c r="D13303">
        <f>IFERROR(__xludf.DUMMYFUNCTION("""COMPUTED_VALUE"""),1963.0)</f>
        <v>1963</v>
      </c>
      <c r="E13303">
        <f>IFERROR(__xludf.DUMMYFUNCTION("""COMPUTED_VALUE"""),93399.0)</f>
        <v>93399</v>
      </c>
    </row>
    <row r="13304">
      <c r="A13304" t="str">
        <f t="shared" si="1"/>
        <v>lca#1964</v>
      </c>
      <c r="B13304" t="str">
        <f>IFERROR(__xludf.DUMMYFUNCTION("""COMPUTED_VALUE"""),"lca")</f>
        <v>lca</v>
      </c>
      <c r="C13304" t="str">
        <f>IFERROR(__xludf.DUMMYFUNCTION("""COMPUTED_VALUE"""),"St. Lucia")</f>
        <v>St. Lucia</v>
      </c>
      <c r="D13304">
        <f>IFERROR(__xludf.DUMMYFUNCTION("""COMPUTED_VALUE"""),1964.0)</f>
        <v>1964</v>
      </c>
      <c r="E13304">
        <f>IFERROR(__xludf.DUMMYFUNCTION("""COMPUTED_VALUE"""),94814.0)</f>
        <v>94814</v>
      </c>
    </row>
    <row r="13305">
      <c r="A13305" t="str">
        <f t="shared" si="1"/>
        <v>lca#1965</v>
      </c>
      <c r="B13305" t="str">
        <f>IFERROR(__xludf.DUMMYFUNCTION("""COMPUTED_VALUE"""),"lca")</f>
        <v>lca</v>
      </c>
      <c r="C13305" t="str">
        <f>IFERROR(__xludf.DUMMYFUNCTION("""COMPUTED_VALUE"""),"St. Lucia")</f>
        <v>St. Lucia</v>
      </c>
      <c r="D13305">
        <f>IFERROR(__xludf.DUMMYFUNCTION("""COMPUTED_VALUE"""),1965.0)</f>
        <v>1965</v>
      </c>
      <c r="E13305">
        <f>IFERROR(__xludf.DUMMYFUNCTION("""COMPUTED_VALUE"""),96302.0)</f>
        <v>96302</v>
      </c>
    </row>
    <row r="13306">
      <c r="A13306" t="str">
        <f t="shared" si="1"/>
        <v>lca#1966</v>
      </c>
      <c r="B13306" t="str">
        <f>IFERROR(__xludf.DUMMYFUNCTION("""COMPUTED_VALUE"""),"lca")</f>
        <v>lca</v>
      </c>
      <c r="C13306" t="str">
        <f>IFERROR(__xludf.DUMMYFUNCTION("""COMPUTED_VALUE"""),"St. Lucia")</f>
        <v>St. Lucia</v>
      </c>
      <c r="D13306">
        <f>IFERROR(__xludf.DUMMYFUNCTION("""COMPUTED_VALUE"""),1966.0)</f>
        <v>1966</v>
      </c>
      <c r="E13306">
        <f>IFERROR(__xludf.DUMMYFUNCTION("""COMPUTED_VALUE"""),97881.0)</f>
        <v>97881</v>
      </c>
    </row>
    <row r="13307">
      <c r="A13307" t="str">
        <f t="shared" si="1"/>
        <v>lca#1967</v>
      </c>
      <c r="B13307" t="str">
        <f>IFERROR(__xludf.DUMMYFUNCTION("""COMPUTED_VALUE"""),"lca")</f>
        <v>lca</v>
      </c>
      <c r="C13307" t="str">
        <f>IFERROR(__xludf.DUMMYFUNCTION("""COMPUTED_VALUE"""),"St. Lucia")</f>
        <v>St. Lucia</v>
      </c>
      <c r="D13307">
        <f>IFERROR(__xludf.DUMMYFUNCTION("""COMPUTED_VALUE"""),1967.0)</f>
        <v>1967</v>
      </c>
      <c r="E13307">
        <f>IFERROR(__xludf.DUMMYFUNCTION("""COMPUTED_VALUE"""),99527.0)</f>
        <v>99527</v>
      </c>
    </row>
    <row r="13308">
      <c r="A13308" t="str">
        <f t="shared" si="1"/>
        <v>lca#1968</v>
      </c>
      <c r="B13308" t="str">
        <f>IFERROR(__xludf.DUMMYFUNCTION("""COMPUTED_VALUE"""),"lca")</f>
        <v>lca</v>
      </c>
      <c r="C13308" t="str">
        <f>IFERROR(__xludf.DUMMYFUNCTION("""COMPUTED_VALUE"""),"St. Lucia")</f>
        <v>St. Lucia</v>
      </c>
      <c r="D13308">
        <f>IFERROR(__xludf.DUMMYFUNCTION("""COMPUTED_VALUE"""),1968.0)</f>
        <v>1968</v>
      </c>
      <c r="E13308">
        <f>IFERROR(__xludf.DUMMYFUNCTION("""COMPUTED_VALUE"""),101179.0)</f>
        <v>101179</v>
      </c>
    </row>
    <row r="13309">
      <c r="A13309" t="str">
        <f t="shared" si="1"/>
        <v>lca#1969</v>
      </c>
      <c r="B13309" t="str">
        <f>IFERROR(__xludf.DUMMYFUNCTION("""COMPUTED_VALUE"""),"lca")</f>
        <v>lca</v>
      </c>
      <c r="C13309" t="str">
        <f>IFERROR(__xludf.DUMMYFUNCTION("""COMPUTED_VALUE"""),"St. Lucia")</f>
        <v>St. Lucia</v>
      </c>
      <c r="D13309">
        <f>IFERROR(__xludf.DUMMYFUNCTION("""COMPUTED_VALUE"""),1969.0)</f>
        <v>1969</v>
      </c>
      <c r="E13309">
        <f>IFERROR(__xludf.DUMMYFUNCTION("""COMPUTED_VALUE"""),102749.0)</f>
        <v>102749</v>
      </c>
    </row>
    <row r="13310">
      <c r="A13310" t="str">
        <f t="shared" si="1"/>
        <v>lca#1970</v>
      </c>
      <c r="B13310" t="str">
        <f>IFERROR(__xludf.DUMMYFUNCTION("""COMPUTED_VALUE"""),"lca")</f>
        <v>lca</v>
      </c>
      <c r="C13310" t="str">
        <f>IFERROR(__xludf.DUMMYFUNCTION("""COMPUTED_VALUE"""),"St. Lucia")</f>
        <v>St. Lucia</v>
      </c>
      <c r="D13310">
        <f>IFERROR(__xludf.DUMMYFUNCTION("""COMPUTED_VALUE"""),1970.0)</f>
        <v>1970</v>
      </c>
      <c r="E13310">
        <f>IFERROR(__xludf.DUMMYFUNCTION("""COMPUTED_VALUE"""),104160.0)</f>
        <v>104160</v>
      </c>
    </row>
    <row r="13311">
      <c r="A13311" t="str">
        <f t="shared" si="1"/>
        <v>lca#1971</v>
      </c>
      <c r="B13311" t="str">
        <f>IFERROR(__xludf.DUMMYFUNCTION("""COMPUTED_VALUE"""),"lca")</f>
        <v>lca</v>
      </c>
      <c r="C13311" t="str">
        <f>IFERROR(__xludf.DUMMYFUNCTION("""COMPUTED_VALUE"""),"St. Lucia")</f>
        <v>St. Lucia</v>
      </c>
      <c r="D13311">
        <f>IFERROR(__xludf.DUMMYFUNCTION("""COMPUTED_VALUE"""),1971.0)</f>
        <v>1971</v>
      </c>
      <c r="E13311">
        <f>IFERROR(__xludf.DUMMYFUNCTION("""COMPUTED_VALUE"""),105390.0)</f>
        <v>105390</v>
      </c>
    </row>
    <row r="13312">
      <c r="A13312" t="str">
        <f t="shared" si="1"/>
        <v>lca#1972</v>
      </c>
      <c r="B13312" t="str">
        <f>IFERROR(__xludf.DUMMYFUNCTION("""COMPUTED_VALUE"""),"lca")</f>
        <v>lca</v>
      </c>
      <c r="C13312" t="str">
        <f>IFERROR(__xludf.DUMMYFUNCTION("""COMPUTED_VALUE"""),"St. Lucia")</f>
        <v>St. Lucia</v>
      </c>
      <c r="D13312">
        <f>IFERROR(__xludf.DUMMYFUNCTION("""COMPUTED_VALUE"""),1972.0)</f>
        <v>1972</v>
      </c>
      <c r="E13312">
        <f>IFERROR(__xludf.DUMMYFUNCTION("""COMPUTED_VALUE"""),106455.0)</f>
        <v>106455</v>
      </c>
    </row>
    <row r="13313">
      <c r="A13313" t="str">
        <f t="shared" si="1"/>
        <v>lca#1973</v>
      </c>
      <c r="B13313" t="str">
        <f>IFERROR(__xludf.DUMMYFUNCTION("""COMPUTED_VALUE"""),"lca")</f>
        <v>lca</v>
      </c>
      <c r="C13313" t="str">
        <f>IFERROR(__xludf.DUMMYFUNCTION("""COMPUTED_VALUE"""),"St. Lucia")</f>
        <v>St. Lucia</v>
      </c>
      <c r="D13313">
        <f>IFERROR(__xludf.DUMMYFUNCTION("""COMPUTED_VALUE"""),1973.0)</f>
        <v>1973</v>
      </c>
      <c r="E13313">
        <f>IFERROR(__xludf.DUMMYFUNCTION("""COMPUTED_VALUE"""),107466.0)</f>
        <v>107466</v>
      </c>
    </row>
    <row r="13314">
      <c r="A13314" t="str">
        <f t="shared" si="1"/>
        <v>lca#1974</v>
      </c>
      <c r="B13314" t="str">
        <f>IFERROR(__xludf.DUMMYFUNCTION("""COMPUTED_VALUE"""),"lca")</f>
        <v>lca</v>
      </c>
      <c r="C13314" t="str">
        <f>IFERROR(__xludf.DUMMYFUNCTION("""COMPUTED_VALUE"""),"St. Lucia")</f>
        <v>St. Lucia</v>
      </c>
      <c r="D13314">
        <f>IFERROR(__xludf.DUMMYFUNCTION("""COMPUTED_VALUE"""),1974.0)</f>
        <v>1974</v>
      </c>
      <c r="E13314">
        <f>IFERROR(__xludf.DUMMYFUNCTION("""COMPUTED_VALUE"""),108532.0)</f>
        <v>108532</v>
      </c>
    </row>
    <row r="13315">
      <c r="A13315" t="str">
        <f t="shared" si="1"/>
        <v>lca#1975</v>
      </c>
      <c r="B13315" t="str">
        <f>IFERROR(__xludf.DUMMYFUNCTION("""COMPUTED_VALUE"""),"lca")</f>
        <v>lca</v>
      </c>
      <c r="C13315" t="str">
        <f>IFERROR(__xludf.DUMMYFUNCTION("""COMPUTED_VALUE"""),"St. Lucia")</f>
        <v>St. Lucia</v>
      </c>
      <c r="D13315">
        <f>IFERROR(__xludf.DUMMYFUNCTION("""COMPUTED_VALUE"""),1975.0)</f>
        <v>1975</v>
      </c>
      <c r="E13315">
        <f>IFERROR(__xludf.DUMMYFUNCTION("""COMPUTED_VALUE"""),109769.0)</f>
        <v>109769</v>
      </c>
    </row>
    <row r="13316">
      <c r="A13316" t="str">
        <f t="shared" si="1"/>
        <v>lca#1976</v>
      </c>
      <c r="B13316" t="str">
        <f>IFERROR(__xludf.DUMMYFUNCTION("""COMPUTED_VALUE"""),"lca")</f>
        <v>lca</v>
      </c>
      <c r="C13316" t="str">
        <f>IFERROR(__xludf.DUMMYFUNCTION("""COMPUTED_VALUE"""),"St. Lucia")</f>
        <v>St. Lucia</v>
      </c>
      <c r="D13316">
        <f>IFERROR(__xludf.DUMMYFUNCTION("""COMPUTED_VALUE"""),1976.0)</f>
        <v>1976</v>
      </c>
      <c r="E13316">
        <f>IFERROR(__xludf.DUMMYFUNCTION("""COMPUTED_VALUE"""),111208.0)</f>
        <v>111208</v>
      </c>
    </row>
    <row r="13317">
      <c r="A13317" t="str">
        <f t="shared" si="1"/>
        <v>lca#1977</v>
      </c>
      <c r="B13317" t="str">
        <f>IFERROR(__xludf.DUMMYFUNCTION("""COMPUTED_VALUE"""),"lca")</f>
        <v>lca</v>
      </c>
      <c r="C13317" t="str">
        <f>IFERROR(__xludf.DUMMYFUNCTION("""COMPUTED_VALUE"""),"St. Lucia")</f>
        <v>St. Lucia</v>
      </c>
      <c r="D13317">
        <f>IFERROR(__xludf.DUMMYFUNCTION("""COMPUTED_VALUE"""),1977.0)</f>
        <v>1977</v>
      </c>
      <c r="E13317">
        <f>IFERROR(__xludf.DUMMYFUNCTION("""COMPUTED_VALUE"""),112831.0)</f>
        <v>112831</v>
      </c>
    </row>
    <row r="13318">
      <c r="A13318" t="str">
        <f t="shared" si="1"/>
        <v>lca#1978</v>
      </c>
      <c r="B13318" t="str">
        <f>IFERROR(__xludf.DUMMYFUNCTION("""COMPUTED_VALUE"""),"lca")</f>
        <v>lca</v>
      </c>
      <c r="C13318" t="str">
        <f>IFERROR(__xludf.DUMMYFUNCTION("""COMPUTED_VALUE"""),"St. Lucia")</f>
        <v>St. Lucia</v>
      </c>
      <c r="D13318">
        <f>IFERROR(__xludf.DUMMYFUNCTION("""COMPUTED_VALUE"""),1978.0)</f>
        <v>1978</v>
      </c>
      <c r="E13318">
        <f>IFERROR(__xludf.DUMMYFUNCTION("""COMPUTED_VALUE"""),114546.0)</f>
        <v>114546</v>
      </c>
    </row>
    <row r="13319">
      <c r="A13319" t="str">
        <f t="shared" si="1"/>
        <v>lca#1979</v>
      </c>
      <c r="B13319" t="str">
        <f>IFERROR(__xludf.DUMMYFUNCTION("""COMPUTED_VALUE"""),"lca")</f>
        <v>lca</v>
      </c>
      <c r="C13319" t="str">
        <f>IFERROR(__xludf.DUMMYFUNCTION("""COMPUTED_VALUE"""),"St. Lucia")</f>
        <v>St. Lucia</v>
      </c>
      <c r="D13319">
        <f>IFERROR(__xludf.DUMMYFUNCTION("""COMPUTED_VALUE"""),1979.0)</f>
        <v>1979</v>
      </c>
      <c r="E13319">
        <f>IFERROR(__xludf.DUMMYFUNCTION("""COMPUTED_VALUE"""),116290.0)</f>
        <v>116290</v>
      </c>
    </row>
    <row r="13320">
      <c r="A13320" t="str">
        <f t="shared" si="1"/>
        <v>lca#1980</v>
      </c>
      <c r="B13320" t="str">
        <f>IFERROR(__xludf.DUMMYFUNCTION("""COMPUTED_VALUE"""),"lca")</f>
        <v>lca</v>
      </c>
      <c r="C13320" t="str">
        <f>IFERROR(__xludf.DUMMYFUNCTION("""COMPUTED_VALUE"""),"St. Lucia")</f>
        <v>St. Lucia</v>
      </c>
      <c r="D13320">
        <f>IFERROR(__xludf.DUMMYFUNCTION("""COMPUTED_VALUE"""),1980.0)</f>
        <v>1980</v>
      </c>
      <c r="E13320">
        <f>IFERROR(__xludf.DUMMYFUNCTION("""COMPUTED_VALUE"""),117987.0)</f>
        <v>117987</v>
      </c>
    </row>
    <row r="13321">
      <c r="A13321" t="str">
        <f t="shared" si="1"/>
        <v>lca#1981</v>
      </c>
      <c r="B13321" t="str">
        <f>IFERROR(__xludf.DUMMYFUNCTION("""COMPUTED_VALUE"""),"lca")</f>
        <v>lca</v>
      </c>
      <c r="C13321" t="str">
        <f>IFERROR(__xludf.DUMMYFUNCTION("""COMPUTED_VALUE"""),"St. Lucia")</f>
        <v>St. Lucia</v>
      </c>
      <c r="D13321">
        <f>IFERROR(__xludf.DUMMYFUNCTION("""COMPUTED_VALUE"""),1981.0)</f>
        <v>1981</v>
      </c>
      <c r="E13321">
        <f>IFERROR(__xludf.DUMMYFUNCTION("""COMPUTED_VALUE"""),119594.0)</f>
        <v>119594</v>
      </c>
    </row>
    <row r="13322">
      <c r="A13322" t="str">
        <f t="shared" si="1"/>
        <v>lca#1982</v>
      </c>
      <c r="B13322" t="str">
        <f>IFERROR(__xludf.DUMMYFUNCTION("""COMPUTED_VALUE"""),"lca")</f>
        <v>lca</v>
      </c>
      <c r="C13322" t="str">
        <f>IFERROR(__xludf.DUMMYFUNCTION("""COMPUTED_VALUE"""),"St. Lucia")</f>
        <v>St. Lucia</v>
      </c>
      <c r="D13322">
        <f>IFERROR(__xludf.DUMMYFUNCTION("""COMPUTED_VALUE"""),1982.0)</f>
        <v>1982</v>
      </c>
      <c r="E13322">
        <f>IFERROR(__xludf.DUMMYFUNCTION("""COMPUTED_VALUE"""),121154.0)</f>
        <v>121154</v>
      </c>
    </row>
    <row r="13323">
      <c r="A13323" t="str">
        <f t="shared" si="1"/>
        <v>lca#1983</v>
      </c>
      <c r="B13323" t="str">
        <f>IFERROR(__xludf.DUMMYFUNCTION("""COMPUTED_VALUE"""),"lca")</f>
        <v>lca</v>
      </c>
      <c r="C13323" t="str">
        <f>IFERROR(__xludf.DUMMYFUNCTION("""COMPUTED_VALUE"""),"St. Lucia")</f>
        <v>St. Lucia</v>
      </c>
      <c r="D13323">
        <f>IFERROR(__xludf.DUMMYFUNCTION("""COMPUTED_VALUE"""),1983.0)</f>
        <v>1983</v>
      </c>
      <c r="E13323">
        <f>IFERROR(__xludf.DUMMYFUNCTION("""COMPUTED_VALUE"""),122740.0)</f>
        <v>122740</v>
      </c>
    </row>
    <row r="13324">
      <c r="A13324" t="str">
        <f t="shared" si="1"/>
        <v>lca#1984</v>
      </c>
      <c r="B13324" t="str">
        <f>IFERROR(__xludf.DUMMYFUNCTION("""COMPUTED_VALUE"""),"lca")</f>
        <v>lca</v>
      </c>
      <c r="C13324" t="str">
        <f>IFERROR(__xludf.DUMMYFUNCTION("""COMPUTED_VALUE"""),"St. Lucia")</f>
        <v>St. Lucia</v>
      </c>
      <c r="D13324">
        <f>IFERROR(__xludf.DUMMYFUNCTION("""COMPUTED_VALUE"""),1984.0)</f>
        <v>1984</v>
      </c>
      <c r="E13324">
        <f>IFERROR(__xludf.DUMMYFUNCTION("""COMPUTED_VALUE"""),124468.0)</f>
        <v>124468</v>
      </c>
    </row>
    <row r="13325">
      <c r="A13325" t="str">
        <f t="shared" si="1"/>
        <v>lca#1985</v>
      </c>
      <c r="B13325" t="str">
        <f>IFERROR(__xludf.DUMMYFUNCTION("""COMPUTED_VALUE"""),"lca")</f>
        <v>lca</v>
      </c>
      <c r="C13325" t="str">
        <f>IFERROR(__xludf.DUMMYFUNCTION("""COMPUTED_VALUE"""),"St. Lucia")</f>
        <v>St. Lucia</v>
      </c>
      <c r="D13325">
        <f>IFERROR(__xludf.DUMMYFUNCTION("""COMPUTED_VALUE"""),1985.0)</f>
        <v>1985</v>
      </c>
      <c r="E13325">
        <f>IFERROR(__xludf.DUMMYFUNCTION("""COMPUTED_VALUE"""),126418.0)</f>
        <v>126418</v>
      </c>
    </row>
    <row r="13326">
      <c r="A13326" t="str">
        <f t="shared" si="1"/>
        <v>lca#1986</v>
      </c>
      <c r="B13326" t="str">
        <f>IFERROR(__xludf.DUMMYFUNCTION("""COMPUTED_VALUE"""),"lca")</f>
        <v>lca</v>
      </c>
      <c r="C13326" t="str">
        <f>IFERROR(__xludf.DUMMYFUNCTION("""COMPUTED_VALUE"""),"St. Lucia")</f>
        <v>St. Lucia</v>
      </c>
      <c r="D13326">
        <f>IFERROR(__xludf.DUMMYFUNCTION("""COMPUTED_VALUE"""),1986.0)</f>
        <v>1986</v>
      </c>
      <c r="E13326">
        <f>IFERROR(__xludf.DUMMYFUNCTION("""COMPUTED_VALUE"""),128619.0)</f>
        <v>128619</v>
      </c>
    </row>
    <row r="13327">
      <c r="A13327" t="str">
        <f t="shared" si="1"/>
        <v>lca#1987</v>
      </c>
      <c r="B13327" t="str">
        <f>IFERROR(__xludf.DUMMYFUNCTION("""COMPUTED_VALUE"""),"lca")</f>
        <v>lca</v>
      </c>
      <c r="C13327" t="str">
        <f>IFERROR(__xludf.DUMMYFUNCTION("""COMPUTED_VALUE"""),"St. Lucia")</f>
        <v>St. Lucia</v>
      </c>
      <c r="D13327">
        <f>IFERROR(__xludf.DUMMYFUNCTION("""COMPUTED_VALUE"""),1987.0)</f>
        <v>1987</v>
      </c>
      <c r="E13327">
        <f>IFERROR(__xludf.DUMMYFUNCTION("""COMPUTED_VALUE"""),131034.0)</f>
        <v>131034</v>
      </c>
    </row>
    <row r="13328">
      <c r="A13328" t="str">
        <f t="shared" si="1"/>
        <v>lca#1988</v>
      </c>
      <c r="B13328" t="str">
        <f>IFERROR(__xludf.DUMMYFUNCTION("""COMPUTED_VALUE"""),"lca")</f>
        <v>lca</v>
      </c>
      <c r="C13328" t="str">
        <f>IFERROR(__xludf.DUMMYFUNCTION("""COMPUTED_VALUE"""),"St. Lucia")</f>
        <v>St. Lucia</v>
      </c>
      <c r="D13328">
        <f>IFERROR(__xludf.DUMMYFUNCTION("""COMPUTED_VALUE"""),1988.0)</f>
        <v>1988</v>
      </c>
      <c r="E13328">
        <f>IFERROR(__xludf.DUMMYFUNCTION("""COMPUTED_VALUE"""),133533.0)</f>
        <v>133533</v>
      </c>
    </row>
    <row r="13329">
      <c r="A13329" t="str">
        <f t="shared" si="1"/>
        <v>lca#1989</v>
      </c>
      <c r="B13329" t="str">
        <f>IFERROR(__xludf.DUMMYFUNCTION("""COMPUTED_VALUE"""),"lca")</f>
        <v>lca</v>
      </c>
      <c r="C13329" t="str">
        <f>IFERROR(__xludf.DUMMYFUNCTION("""COMPUTED_VALUE"""),"St. Lucia")</f>
        <v>St. Lucia</v>
      </c>
      <c r="D13329">
        <f>IFERROR(__xludf.DUMMYFUNCTION("""COMPUTED_VALUE"""),1989.0)</f>
        <v>1989</v>
      </c>
      <c r="E13329">
        <f>IFERROR(__xludf.DUMMYFUNCTION("""COMPUTED_VALUE"""),135956.0)</f>
        <v>135956</v>
      </c>
    </row>
    <row r="13330">
      <c r="A13330" t="str">
        <f t="shared" si="1"/>
        <v>lca#1990</v>
      </c>
      <c r="B13330" t="str">
        <f>IFERROR(__xludf.DUMMYFUNCTION("""COMPUTED_VALUE"""),"lca")</f>
        <v>lca</v>
      </c>
      <c r="C13330" t="str">
        <f>IFERROR(__xludf.DUMMYFUNCTION("""COMPUTED_VALUE"""),"St. Lucia")</f>
        <v>St. Lucia</v>
      </c>
      <c r="D13330">
        <f>IFERROR(__xludf.DUMMYFUNCTION("""COMPUTED_VALUE"""),1990.0)</f>
        <v>1990</v>
      </c>
      <c r="E13330">
        <f>IFERROR(__xludf.DUMMYFUNCTION("""COMPUTED_VALUE"""),138185.0)</f>
        <v>138185</v>
      </c>
    </row>
    <row r="13331">
      <c r="A13331" t="str">
        <f t="shared" si="1"/>
        <v>lca#1991</v>
      </c>
      <c r="B13331" t="str">
        <f>IFERROR(__xludf.DUMMYFUNCTION("""COMPUTED_VALUE"""),"lca")</f>
        <v>lca</v>
      </c>
      <c r="C13331" t="str">
        <f>IFERROR(__xludf.DUMMYFUNCTION("""COMPUTED_VALUE"""),"St. Lucia")</f>
        <v>St. Lucia</v>
      </c>
      <c r="D13331">
        <f>IFERROR(__xludf.DUMMYFUNCTION("""COMPUTED_VALUE"""),1991.0)</f>
        <v>1991</v>
      </c>
      <c r="E13331">
        <f>IFERROR(__xludf.DUMMYFUNCTION("""COMPUTED_VALUE"""),140156.0)</f>
        <v>140156</v>
      </c>
    </row>
    <row r="13332">
      <c r="A13332" t="str">
        <f t="shared" si="1"/>
        <v>lca#1992</v>
      </c>
      <c r="B13332" t="str">
        <f>IFERROR(__xludf.DUMMYFUNCTION("""COMPUTED_VALUE"""),"lca")</f>
        <v>lca</v>
      </c>
      <c r="C13332" t="str">
        <f>IFERROR(__xludf.DUMMYFUNCTION("""COMPUTED_VALUE"""),"St. Lucia")</f>
        <v>St. Lucia</v>
      </c>
      <c r="D13332">
        <f>IFERROR(__xludf.DUMMYFUNCTION("""COMPUTED_VALUE"""),1992.0)</f>
        <v>1992</v>
      </c>
      <c r="E13332">
        <f>IFERROR(__xludf.DUMMYFUNCTION("""COMPUTED_VALUE"""),141925.0)</f>
        <v>141925</v>
      </c>
    </row>
    <row r="13333">
      <c r="A13333" t="str">
        <f t="shared" si="1"/>
        <v>lca#1993</v>
      </c>
      <c r="B13333" t="str">
        <f>IFERROR(__xludf.DUMMYFUNCTION("""COMPUTED_VALUE"""),"lca")</f>
        <v>lca</v>
      </c>
      <c r="C13333" t="str">
        <f>IFERROR(__xludf.DUMMYFUNCTION("""COMPUTED_VALUE"""),"St. Lucia")</f>
        <v>St. Lucia</v>
      </c>
      <c r="D13333">
        <f>IFERROR(__xludf.DUMMYFUNCTION("""COMPUTED_VALUE"""),1993.0)</f>
        <v>1993</v>
      </c>
      <c r="E13333">
        <f>IFERROR(__xludf.DUMMYFUNCTION("""COMPUTED_VALUE"""),143565.0)</f>
        <v>143565</v>
      </c>
    </row>
    <row r="13334">
      <c r="A13334" t="str">
        <f t="shared" si="1"/>
        <v>lca#1994</v>
      </c>
      <c r="B13334" t="str">
        <f>IFERROR(__xludf.DUMMYFUNCTION("""COMPUTED_VALUE"""),"lca")</f>
        <v>lca</v>
      </c>
      <c r="C13334" t="str">
        <f>IFERROR(__xludf.DUMMYFUNCTION("""COMPUTED_VALUE"""),"St. Lucia")</f>
        <v>St. Lucia</v>
      </c>
      <c r="D13334">
        <f>IFERROR(__xludf.DUMMYFUNCTION("""COMPUTED_VALUE"""),1994.0)</f>
        <v>1994</v>
      </c>
      <c r="E13334">
        <f>IFERROR(__xludf.DUMMYFUNCTION("""COMPUTED_VALUE"""),145247.0)</f>
        <v>145247</v>
      </c>
    </row>
    <row r="13335">
      <c r="A13335" t="str">
        <f t="shared" si="1"/>
        <v>lca#1995</v>
      </c>
      <c r="B13335" t="str">
        <f>IFERROR(__xludf.DUMMYFUNCTION("""COMPUTED_VALUE"""),"lca")</f>
        <v>lca</v>
      </c>
      <c r="C13335" t="str">
        <f>IFERROR(__xludf.DUMMYFUNCTION("""COMPUTED_VALUE"""),"St. Lucia")</f>
        <v>St. Lucia</v>
      </c>
      <c r="D13335">
        <f>IFERROR(__xludf.DUMMYFUNCTION("""COMPUTED_VALUE"""),1995.0)</f>
        <v>1995</v>
      </c>
      <c r="E13335">
        <f>IFERROR(__xludf.DUMMYFUNCTION("""COMPUTED_VALUE"""),147044.0)</f>
        <v>147044</v>
      </c>
    </row>
    <row r="13336">
      <c r="A13336" t="str">
        <f t="shared" si="1"/>
        <v>lca#1996</v>
      </c>
      <c r="B13336" t="str">
        <f>IFERROR(__xludf.DUMMYFUNCTION("""COMPUTED_VALUE"""),"lca")</f>
        <v>lca</v>
      </c>
      <c r="C13336" t="str">
        <f>IFERROR(__xludf.DUMMYFUNCTION("""COMPUTED_VALUE"""),"St. Lucia")</f>
        <v>St. Lucia</v>
      </c>
      <c r="D13336">
        <f>IFERROR(__xludf.DUMMYFUNCTION("""COMPUTED_VALUE"""),1996.0)</f>
        <v>1996</v>
      </c>
      <c r="E13336">
        <f>IFERROR(__xludf.DUMMYFUNCTION("""COMPUTED_VALUE"""),149004.0)</f>
        <v>149004</v>
      </c>
    </row>
    <row r="13337">
      <c r="A13337" t="str">
        <f t="shared" si="1"/>
        <v>lca#1997</v>
      </c>
      <c r="B13337" t="str">
        <f>IFERROR(__xludf.DUMMYFUNCTION("""COMPUTED_VALUE"""),"lca")</f>
        <v>lca</v>
      </c>
      <c r="C13337" t="str">
        <f>IFERROR(__xludf.DUMMYFUNCTION("""COMPUTED_VALUE"""),"St. Lucia")</f>
        <v>St. Lucia</v>
      </c>
      <c r="D13337">
        <f>IFERROR(__xludf.DUMMYFUNCTION("""COMPUTED_VALUE"""),1997.0)</f>
        <v>1997</v>
      </c>
      <c r="E13337">
        <f>IFERROR(__xludf.DUMMYFUNCTION("""COMPUTED_VALUE"""),151086.0)</f>
        <v>151086</v>
      </c>
    </row>
    <row r="13338">
      <c r="A13338" t="str">
        <f t="shared" si="1"/>
        <v>lca#1998</v>
      </c>
      <c r="B13338" t="str">
        <f>IFERROR(__xludf.DUMMYFUNCTION("""COMPUTED_VALUE"""),"lca")</f>
        <v>lca</v>
      </c>
      <c r="C13338" t="str">
        <f>IFERROR(__xludf.DUMMYFUNCTION("""COMPUTED_VALUE"""),"St. Lucia")</f>
        <v>St. Lucia</v>
      </c>
      <c r="D13338">
        <f>IFERROR(__xludf.DUMMYFUNCTION("""COMPUTED_VALUE"""),1998.0)</f>
        <v>1998</v>
      </c>
      <c r="E13338">
        <f>IFERROR(__xludf.DUMMYFUNCTION("""COMPUTED_VALUE"""),153183.0)</f>
        <v>153183</v>
      </c>
    </row>
    <row r="13339">
      <c r="A13339" t="str">
        <f t="shared" si="1"/>
        <v>lca#1999</v>
      </c>
      <c r="B13339" t="str">
        <f>IFERROR(__xludf.DUMMYFUNCTION("""COMPUTED_VALUE"""),"lca")</f>
        <v>lca</v>
      </c>
      <c r="C13339" t="str">
        <f>IFERROR(__xludf.DUMMYFUNCTION("""COMPUTED_VALUE"""),"St. Lucia")</f>
        <v>St. Lucia</v>
      </c>
      <c r="D13339">
        <f>IFERROR(__xludf.DUMMYFUNCTION("""COMPUTED_VALUE"""),1999.0)</f>
        <v>1999</v>
      </c>
      <c r="E13339">
        <f>IFERROR(__xludf.DUMMYFUNCTION("""COMPUTED_VALUE"""),155172.0)</f>
        <v>155172</v>
      </c>
    </row>
    <row r="13340">
      <c r="A13340" t="str">
        <f t="shared" si="1"/>
        <v>lca#2000</v>
      </c>
      <c r="B13340" t="str">
        <f>IFERROR(__xludf.DUMMYFUNCTION("""COMPUTED_VALUE"""),"lca")</f>
        <v>lca</v>
      </c>
      <c r="C13340" t="str">
        <f>IFERROR(__xludf.DUMMYFUNCTION("""COMPUTED_VALUE"""),"St. Lucia")</f>
        <v>St. Lucia</v>
      </c>
      <c r="D13340">
        <f>IFERROR(__xludf.DUMMYFUNCTION("""COMPUTED_VALUE"""),2000.0)</f>
        <v>2000</v>
      </c>
      <c r="E13340">
        <f>IFERROR(__xludf.DUMMYFUNCTION("""COMPUTED_VALUE"""),156949.0)</f>
        <v>156949</v>
      </c>
    </row>
    <row r="13341">
      <c r="A13341" t="str">
        <f t="shared" si="1"/>
        <v>lca#2001</v>
      </c>
      <c r="B13341" t="str">
        <f>IFERROR(__xludf.DUMMYFUNCTION("""COMPUTED_VALUE"""),"lca")</f>
        <v>lca</v>
      </c>
      <c r="C13341" t="str">
        <f>IFERROR(__xludf.DUMMYFUNCTION("""COMPUTED_VALUE"""),"St. Lucia")</f>
        <v>St. Lucia</v>
      </c>
      <c r="D13341">
        <f>IFERROR(__xludf.DUMMYFUNCTION("""COMPUTED_VALUE"""),2001.0)</f>
        <v>2001</v>
      </c>
      <c r="E13341">
        <f>IFERROR(__xludf.DUMMYFUNCTION("""COMPUTED_VALUE"""),158464.0)</f>
        <v>158464</v>
      </c>
    </row>
    <row r="13342">
      <c r="A13342" t="str">
        <f t="shared" si="1"/>
        <v>lca#2002</v>
      </c>
      <c r="B13342" t="str">
        <f>IFERROR(__xludf.DUMMYFUNCTION("""COMPUTED_VALUE"""),"lca")</f>
        <v>lca</v>
      </c>
      <c r="C13342" t="str">
        <f>IFERROR(__xludf.DUMMYFUNCTION("""COMPUTED_VALUE"""),"St. Lucia")</f>
        <v>St. Lucia</v>
      </c>
      <c r="D13342">
        <f>IFERROR(__xludf.DUMMYFUNCTION("""COMPUTED_VALUE"""),2002.0)</f>
        <v>2002</v>
      </c>
      <c r="E13342">
        <f>IFERROR(__xludf.DUMMYFUNCTION("""COMPUTED_VALUE"""),159763.0)</f>
        <v>159763</v>
      </c>
    </row>
    <row r="13343">
      <c r="A13343" t="str">
        <f t="shared" si="1"/>
        <v>lca#2003</v>
      </c>
      <c r="B13343" t="str">
        <f>IFERROR(__xludf.DUMMYFUNCTION("""COMPUTED_VALUE"""),"lca")</f>
        <v>lca</v>
      </c>
      <c r="C13343" t="str">
        <f>IFERROR(__xludf.DUMMYFUNCTION("""COMPUTED_VALUE"""),"St. Lucia")</f>
        <v>St. Lucia</v>
      </c>
      <c r="D13343">
        <f>IFERROR(__xludf.DUMMYFUNCTION("""COMPUTED_VALUE"""),2003.0)</f>
        <v>2003</v>
      </c>
      <c r="E13343">
        <f>IFERROR(__xludf.DUMMYFUNCTION("""COMPUTED_VALUE"""),160973.0)</f>
        <v>160973</v>
      </c>
    </row>
    <row r="13344">
      <c r="A13344" t="str">
        <f t="shared" si="1"/>
        <v>lca#2004</v>
      </c>
      <c r="B13344" t="str">
        <f>IFERROR(__xludf.DUMMYFUNCTION("""COMPUTED_VALUE"""),"lca")</f>
        <v>lca</v>
      </c>
      <c r="C13344" t="str">
        <f>IFERROR(__xludf.DUMMYFUNCTION("""COMPUTED_VALUE"""),"St. Lucia")</f>
        <v>St. Lucia</v>
      </c>
      <c r="D13344">
        <f>IFERROR(__xludf.DUMMYFUNCTION("""COMPUTED_VALUE"""),2004.0)</f>
        <v>2004</v>
      </c>
      <c r="E13344">
        <f>IFERROR(__xludf.DUMMYFUNCTION("""COMPUTED_VALUE"""),162251.0)</f>
        <v>162251</v>
      </c>
    </row>
    <row r="13345">
      <c r="A13345" t="str">
        <f t="shared" si="1"/>
        <v>lca#2005</v>
      </c>
      <c r="B13345" t="str">
        <f>IFERROR(__xludf.DUMMYFUNCTION("""COMPUTED_VALUE"""),"lca")</f>
        <v>lca</v>
      </c>
      <c r="C13345" t="str">
        <f>IFERROR(__xludf.DUMMYFUNCTION("""COMPUTED_VALUE"""),"St. Lucia")</f>
        <v>St. Lucia</v>
      </c>
      <c r="D13345">
        <f>IFERROR(__xludf.DUMMYFUNCTION("""COMPUTED_VALUE"""),2005.0)</f>
        <v>2005</v>
      </c>
      <c r="E13345">
        <f>IFERROR(__xludf.DUMMYFUNCTION("""COMPUTED_VALUE"""),163714.0)</f>
        <v>163714</v>
      </c>
    </row>
    <row r="13346">
      <c r="A13346" t="str">
        <f t="shared" si="1"/>
        <v>lca#2006</v>
      </c>
      <c r="B13346" t="str">
        <f>IFERROR(__xludf.DUMMYFUNCTION("""COMPUTED_VALUE"""),"lca")</f>
        <v>lca</v>
      </c>
      <c r="C13346" t="str">
        <f>IFERROR(__xludf.DUMMYFUNCTION("""COMPUTED_VALUE"""),"St. Lucia")</f>
        <v>St. Lucia</v>
      </c>
      <c r="D13346">
        <f>IFERROR(__xludf.DUMMYFUNCTION("""COMPUTED_VALUE"""),2006.0)</f>
        <v>2006</v>
      </c>
      <c r="E13346">
        <f>IFERROR(__xludf.DUMMYFUNCTION("""COMPUTED_VALUE"""),165407.0)</f>
        <v>165407</v>
      </c>
    </row>
    <row r="13347">
      <c r="A13347" t="str">
        <f t="shared" si="1"/>
        <v>lca#2007</v>
      </c>
      <c r="B13347" t="str">
        <f>IFERROR(__xludf.DUMMYFUNCTION("""COMPUTED_VALUE"""),"lca")</f>
        <v>lca</v>
      </c>
      <c r="C13347" t="str">
        <f>IFERROR(__xludf.DUMMYFUNCTION("""COMPUTED_VALUE"""),"St. Lucia")</f>
        <v>St. Lucia</v>
      </c>
      <c r="D13347">
        <f>IFERROR(__xludf.DUMMYFUNCTION("""COMPUTED_VALUE"""),2007.0)</f>
        <v>2007</v>
      </c>
      <c r="E13347">
        <f>IFERROR(__xludf.DUMMYFUNCTION("""COMPUTED_VALUE"""),167288.0)</f>
        <v>167288</v>
      </c>
    </row>
    <row r="13348">
      <c r="A13348" t="str">
        <f t="shared" si="1"/>
        <v>lca#2008</v>
      </c>
      <c r="B13348" t="str">
        <f>IFERROR(__xludf.DUMMYFUNCTION("""COMPUTED_VALUE"""),"lca")</f>
        <v>lca</v>
      </c>
      <c r="C13348" t="str">
        <f>IFERROR(__xludf.DUMMYFUNCTION("""COMPUTED_VALUE"""),"St. Lucia")</f>
        <v>St. Lucia</v>
      </c>
      <c r="D13348">
        <f>IFERROR(__xludf.DUMMYFUNCTION("""COMPUTED_VALUE"""),2008.0)</f>
        <v>2008</v>
      </c>
      <c r="E13348">
        <f>IFERROR(__xludf.DUMMYFUNCTION("""COMPUTED_VALUE"""),169220.0)</f>
        <v>169220</v>
      </c>
    </row>
    <row r="13349">
      <c r="A13349" t="str">
        <f t="shared" si="1"/>
        <v>lca#2009</v>
      </c>
      <c r="B13349" t="str">
        <f>IFERROR(__xludf.DUMMYFUNCTION("""COMPUTED_VALUE"""),"lca")</f>
        <v>lca</v>
      </c>
      <c r="C13349" t="str">
        <f>IFERROR(__xludf.DUMMYFUNCTION("""COMPUTED_VALUE"""),"St. Lucia")</f>
        <v>St. Lucia</v>
      </c>
      <c r="D13349">
        <f>IFERROR(__xludf.DUMMYFUNCTION("""COMPUTED_VALUE"""),2009.0)</f>
        <v>2009</v>
      </c>
      <c r="E13349">
        <f>IFERROR(__xludf.DUMMYFUNCTION("""COMPUTED_VALUE"""),171022.0)</f>
        <v>171022</v>
      </c>
    </row>
    <row r="13350">
      <c r="A13350" t="str">
        <f t="shared" si="1"/>
        <v>lca#2010</v>
      </c>
      <c r="B13350" t="str">
        <f>IFERROR(__xludf.DUMMYFUNCTION("""COMPUTED_VALUE"""),"lca")</f>
        <v>lca</v>
      </c>
      <c r="C13350" t="str">
        <f>IFERROR(__xludf.DUMMYFUNCTION("""COMPUTED_VALUE"""),"St. Lucia")</f>
        <v>St. Lucia</v>
      </c>
      <c r="D13350">
        <f>IFERROR(__xludf.DUMMYFUNCTION("""COMPUTED_VALUE"""),2010.0)</f>
        <v>2010</v>
      </c>
      <c r="E13350">
        <f>IFERROR(__xludf.DUMMYFUNCTION("""COMPUTED_VALUE"""),172580.0)</f>
        <v>172580</v>
      </c>
    </row>
    <row r="13351">
      <c r="A13351" t="str">
        <f t="shared" si="1"/>
        <v>lca#2011</v>
      </c>
      <c r="B13351" t="str">
        <f>IFERROR(__xludf.DUMMYFUNCTION("""COMPUTED_VALUE"""),"lca")</f>
        <v>lca</v>
      </c>
      <c r="C13351" t="str">
        <f>IFERROR(__xludf.DUMMYFUNCTION("""COMPUTED_VALUE"""),"St. Lucia")</f>
        <v>St. Lucia</v>
      </c>
      <c r="D13351">
        <f>IFERROR(__xludf.DUMMYFUNCTION("""COMPUTED_VALUE"""),2011.0)</f>
        <v>2011</v>
      </c>
      <c r="E13351">
        <f>IFERROR(__xludf.DUMMYFUNCTION("""COMPUTED_VALUE"""),173832.0)</f>
        <v>173832</v>
      </c>
    </row>
    <row r="13352">
      <c r="A13352" t="str">
        <f t="shared" si="1"/>
        <v>lca#2012</v>
      </c>
      <c r="B13352" t="str">
        <f>IFERROR(__xludf.DUMMYFUNCTION("""COMPUTED_VALUE"""),"lca")</f>
        <v>lca</v>
      </c>
      <c r="C13352" t="str">
        <f>IFERROR(__xludf.DUMMYFUNCTION("""COMPUTED_VALUE"""),"St. Lucia")</f>
        <v>St. Lucia</v>
      </c>
      <c r="D13352">
        <f>IFERROR(__xludf.DUMMYFUNCTION("""COMPUTED_VALUE"""),2012.0)</f>
        <v>2012</v>
      </c>
      <c r="E13352">
        <f>IFERROR(__xludf.DUMMYFUNCTION("""COMPUTED_VALUE"""),174835.0)</f>
        <v>174835</v>
      </c>
    </row>
    <row r="13353">
      <c r="A13353" t="str">
        <f t="shared" si="1"/>
        <v>lca#2013</v>
      </c>
      <c r="B13353" t="str">
        <f>IFERROR(__xludf.DUMMYFUNCTION("""COMPUTED_VALUE"""),"lca")</f>
        <v>lca</v>
      </c>
      <c r="C13353" t="str">
        <f>IFERROR(__xludf.DUMMYFUNCTION("""COMPUTED_VALUE"""),"St. Lucia")</f>
        <v>St. Lucia</v>
      </c>
      <c r="D13353">
        <f>IFERROR(__xludf.DUMMYFUNCTION("""COMPUTED_VALUE"""),2013.0)</f>
        <v>2013</v>
      </c>
      <c r="E13353">
        <f>IFERROR(__xludf.DUMMYFUNCTION("""COMPUTED_VALUE"""),175660.0)</f>
        <v>175660</v>
      </c>
    </row>
    <row r="13354">
      <c r="A13354" t="str">
        <f t="shared" si="1"/>
        <v>lca#2014</v>
      </c>
      <c r="B13354" t="str">
        <f>IFERROR(__xludf.DUMMYFUNCTION("""COMPUTED_VALUE"""),"lca")</f>
        <v>lca</v>
      </c>
      <c r="C13354" t="str">
        <f>IFERROR(__xludf.DUMMYFUNCTION("""COMPUTED_VALUE"""),"St. Lucia")</f>
        <v>St. Lucia</v>
      </c>
      <c r="D13354">
        <f>IFERROR(__xludf.DUMMYFUNCTION("""COMPUTED_VALUE"""),2014.0)</f>
        <v>2014</v>
      </c>
      <c r="E13354">
        <f>IFERROR(__xludf.DUMMYFUNCTION("""COMPUTED_VALUE"""),176421.0)</f>
        <v>176421</v>
      </c>
    </row>
    <row r="13355">
      <c r="A13355" t="str">
        <f t="shared" si="1"/>
        <v>lca#2015</v>
      </c>
      <c r="B13355" t="str">
        <f>IFERROR(__xludf.DUMMYFUNCTION("""COMPUTED_VALUE"""),"lca")</f>
        <v>lca</v>
      </c>
      <c r="C13355" t="str">
        <f>IFERROR(__xludf.DUMMYFUNCTION("""COMPUTED_VALUE"""),"St. Lucia")</f>
        <v>St. Lucia</v>
      </c>
      <c r="D13355">
        <f>IFERROR(__xludf.DUMMYFUNCTION("""COMPUTED_VALUE"""),2015.0)</f>
        <v>2015</v>
      </c>
      <c r="E13355">
        <f>IFERROR(__xludf.DUMMYFUNCTION("""COMPUTED_VALUE"""),177206.0)</f>
        <v>177206</v>
      </c>
    </row>
    <row r="13356">
      <c r="A13356" t="str">
        <f t="shared" si="1"/>
        <v>lca#2016</v>
      </c>
      <c r="B13356" t="str">
        <f>IFERROR(__xludf.DUMMYFUNCTION("""COMPUTED_VALUE"""),"lca")</f>
        <v>lca</v>
      </c>
      <c r="C13356" t="str">
        <f>IFERROR(__xludf.DUMMYFUNCTION("""COMPUTED_VALUE"""),"St. Lucia")</f>
        <v>St. Lucia</v>
      </c>
      <c r="D13356">
        <f>IFERROR(__xludf.DUMMYFUNCTION("""COMPUTED_VALUE"""),2016.0)</f>
        <v>2016</v>
      </c>
      <c r="E13356">
        <f>IFERROR(__xludf.DUMMYFUNCTION("""COMPUTED_VALUE"""),178015.0)</f>
        <v>178015</v>
      </c>
    </row>
    <row r="13357">
      <c r="A13357" t="str">
        <f t="shared" si="1"/>
        <v>lca#2017</v>
      </c>
      <c r="B13357" t="str">
        <f>IFERROR(__xludf.DUMMYFUNCTION("""COMPUTED_VALUE"""),"lca")</f>
        <v>lca</v>
      </c>
      <c r="C13357" t="str">
        <f>IFERROR(__xludf.DUMMYFUNCTION("""COMPUTED_VALUE"""),"St. Lucia")</f>
        <v>St. Lucia</v>
      </c>
      <c r="D13357">
        <f>IFERROR(__xludf.DUMMYFUNCTION("""COMPUTED_VALUE"""),2017.0)</f>
        <v>2017</v>
      </c>
      <c r="E13357">
        <f>IFERROR(__xludf.DUMMYFUNCTION("""COMPUTED_VALUE"""),178844.0)</f>
        <v>178844</v>
      </c>
    </row>
    <row r="13358">
      <c r="A13358" t="str">
        <f t="shared" si="1"/>
        <v>lca#2018</v>
      </c>
      <c r="B13358" t="str">
        <f>IFERROR(__xludf.DUMMYFUNCTION("""COMPUTED_VALUE"""),"lca")</f>
        <v>lca</v>
      </c>
      <c r="C13358" t="str">
        <f>IFERROR(__xludf.DUMMYFUNCTION("""COMPUTED_VALUE"""),"St. Lucia")</f>
        <v>St. Lucia</v>
      </c>
      <c r="D13358">
        <f>IFERROR(__xludf.DUMMYFUNCTION("""COMPUTED_VALUE"""),2018.0)</f>
        <v>2018</v>
      </c>
      <c r="E13358">
        <f>IFERROR(__xludf.DUMMYFUNCTION("""COMPUTED_VALUE"""),179667.0)</f>
        <v>179667</v>
      </c>
    </row>
    <row r="13359">
      <c r="A13359" t="str">
        <f t="shared" si="1"/>
        <v>lca#2019</v>
      </c>
      <c r="B13359" t="str">
        <f>IFERROR(__xludf.DUMMYFUNCTION("""COMPUTED_VALUE"""),"lca")</f>
        <v>lca</v>
      </c>
      <c r="C13359" t="str">
        <f>IFERROR(__xludf.DUMMYFUNCTION("""COMPUTED_VALUE"""),"St. Lucia")</f>
        <v>St. Lucia</v>
      </c>
      <c r="D13359">
        <f>IFERROR(__xludf.DUMMYFUNCTION("""COMPUTED_VALUE"""),2019.0)</f>
        <v>2019</v>
      </c>
      <c r="E13359">
        <f>IFERROR(__xludf.DUMMYFUNCTION("""COMPUTED_VALUE"""),180454.0)</f>
        <v>180454</v>
      </c>
    </row>
    <row r="13360">
      <c r="A13360" t="str">
        <f t="shared" si="1"/>
        <v>lca#2020</v>
      </c>
      <c r="B13360" t="str">
        <f>IFERROR(__xludf.DUMMYFUNCTION("""COMPUTED_VALUE"""),"lca")</f>
        <v>lca</v>
      </c>
      <c r="C13360" t="str">
        <f>IFERROR(__xludf.DUMMYFUNCTION("""COMPUTED_VALUE"""),"St. Lucia")</f>
        <v>St. Lucia</v>
      </c>
      <c r="D13360">
        <f>IFERROR(__xludf.DUMMYFUNCTION("""COMPUTED_VALUE"""),2020.0)</f>
        <v>2020</v>
      </c>
      <c r="E13360">
        <f>IFERROR(__xludf.DUMMYFUNCTION("""COMPUTED_VALUE"""),181203.0)</f>
        <v>181203</v>
      </c>
    </row>
    <row r="13361">
      <c r="A13361" t="str">
        <f t="shared" si="1"/>
        <v>lca#2021</v>
      </c>
      <c r="B13361" t="str">
        <f>IFERROR(__xludf.DUMMYFUNCTION("""COMPUTED_VALUE"""),"lca")</f>
        <v>lca</v>
      </c>
      <c r="C13361" t="str">
        <f>IFERROR(__xludf.DUMMYFUNCTION("""COMPUTED_VALUE"""),"St. Lucia")</f>
        <v>St. Lucia</v>
      </c>
      <c r="D13361">
        <f>IFERROR(__xludf.DUMMYFUNCTION("""COMPUTED_VALUE"""),2021.0)</f>
        <v>2021</v>
      </c>
      <c r="E13361">
        <f>IFERROR(__xludf.DUMMYFUNCTION("""COMPUTED_VALUE"""),181909.0)</f>
        <v>181909</v>
      </c>
    </row>
    <row r="13362">
      <c r="A13362" t="str">
        <f t="shared" si="1"/>
        <v>lca#2022</v>
      </c>
      <c r="B13362" t="str">
        <f>IFERROR(__xludf.DUMMYFUNCTION("""COMPUTED_VALUE"""),"lca")</f>
        <v>lca</v>
      </c>
      <c r="C13362" t="str">
        <f>IFERROR(__xludf.DUMMYFUNCTION("""COMPUTED_VALUE"""),"St. Lucia")</f>
        <v>St. Lucia</v>
      </c>
      <c r="D13362">
        <f>IFERROR(__xludf.DUMMYFUNCTION("""COMPUTED_VALUE"""),2022.0)</f>
        <v>2022</v>
      </c>
      <c r="E13362">
        <f>IFERROR(__xludf.DUMMYFUNCTION("""COMPUTED_VALUE"""),182563.0)</f>
        <v>182563</v>
      </c>
    </row>
    <row r="13363">
      <c r="A13363" t="str">
        <f t="shared" si="1"/>
        <v>lca#2023</v>
      </c>
      <c r="B13363" t="str">
        <f>IFERROR(__xludf.DUMMYFUNCTION("""COMPUTED_VALUE"""),"lca")</f>
        <v>lca</v>
      </c>
      <c r="C13363" t="str">
        <f>IFERROR(__xludf.DUMMYFUNCTION("""COMPUTED_VALUE"""),"St. Lucia")</f>
        <v>St. Lucia</v>
      </c>
      <c r="D13363">
        <f>IFERROR(__xludf.DUMMYFUNCTION("""COMPUTED_VALUE"""),2023.0)</f>
        <v>2023</v>
      </c>
      <c r="E13363">
        <f>IFERROR(__xludf.DUMMYFUNCTION("""COMPUTED_VALUE"""),183188.0)</f>
        <v>183188</v>
      </c>
    </row>
    <row r="13364">
      <c r="A13364" t="str">
        <f t="shared" si="1"/>
        <v>lca#2024</v>
      </c>
      <c r="B13364" t="str">
        <f>IFERROR(__xludf.DUMMYFUNCTION("""COMPUTED_VALUE"""),"lca")</f>
        <v>lca</v>
      </c>
      <c r="C13364" t="str">
        <f>IFERROR(__xludf.DUMMYFUNCTION("""COMPUTED_VALUE"""),"St. Lucia")</f>
        <v>St. Lucia</v>
      </c>
      <c r="D13364">
        <f>IFERROR(__xludf.DUMMYFUNCTION("""COMPUTED_VALUE"""),2024.0)</f>
        <v>2024</v>
      </c>
      <c r="E13364">
        <f>IFERROR(__xludf.DUMMYFUNCTION("""COMPUTED_VALUE"""),183774.0)</f>
        <v>183774</v>
      </c>
    </row>
    <row r="13365">
      <c r="A13365" t="str">
        <f t="shared" si="1"/>
        <v>lca#2025</v>
      </c>
      <c r="B13365" t="str">
        <f>IFERROR(__xludf.DUMMYFUNCTION("""COMPUTED_VALUE"""),"lca")</f>
        <v>lca</v>
      </c>
      <c r="C13365" t="str">
        <f>IFERROR(__xludf.DUMMYFUNCTION("""COMPUTED_VALUE"""),"St. Lucia")</f>
        <v>St. Lucia</v>
      </c>
      <c r="D13365">
        <f>IFERROR(__xludf.DUMMYFUNCTION("""COMPUTED_VALUE"""),2025.0)</f>
        <v>2025</v>
      </c>
      <c r="E13365">
        <f>IFERROR(__xludf.DUMMYFUNCTION("""COMPUTED_VALUE"""),184321.0)</f>
        <v>184321</v>
      </c>
    </row>
    <row r="13366">
      <c r="A13366" t="str">
        <f t="shared" si="1"/>
        <v>lca#2026</v>
      </c>
      <c r="B13366" t="str">
        <f>IFERROR(__xludf.DUMMYFUNCTION("""COMPUTED_VALUE"""),"lca")</f>
        <v>lca</v>
      </c>
      <c r="C13366" t="str">
        <f>IFERROR(__xludf.DUMMYFUNCTION("""COMPUTED_VALUE"""),"St. Lucia")</f>
        <v>St. Lucia</v>
      </c>
      <c r="D13366">
        <f>IFERROR(__xludf.DUMMYFUNCTION("""COMPUTED_VALUE"""),2026.0)</f>
        <v>2026</v>
      </c>
      <c r="E13366">
        <f>IFERROR(__xludf.DUMMYFUNCTION("""COMPUTED_VALUE"""),184812.0)</f>
        <v>184812</v>
      </c>
    </row>
    <row r="13367">
      <c r="A13367" t="str">
        <f t="shared" si="1"/>
        <v>lca#2027</v>
      </c>
      <c r="B13367" t="str">
        <f>IFERROR(__xludf.DUMMYFUNCTION("""COMPUTED_VALUE"""),"lca")</f>
        <v>lca</v>
      </c>
      <c r="C13367" t="str">
        <f>IFERROR(__xludf.DUMMYFUNCTION("""COMPUTED_VALUE"""),"St. Lucia")</f>
        <v>St. Lucia</v>
      </c>
      <c r="D13367">
        <f>IFERROR(__xludf.DUMMYFUNCTION("""COMPUTED_VALUE"""),2027.0)</f>
        <v>2027</v>
      </c>
      <c r="E13367">
        <f>IFERROR(__xludf.DUMMYFUNCTION("""COMPUTED_VALUE"""),185271.0)</f>
        <v>185271</v>
      </c>
    </row>
    <row r="13368">
      <c r="A13368" t="str">
        <f t="shared" si="1"/>
        <v>lca#2028</v>
      </c>
      <c r="B13368" t="str">
        <f>IFERROR(__xludf.DUMMYFUNCTION("""COMPUTED_VALUE"""),"lca")</f>
        <v>lca</v>
      </c>
      <c r="C13368" t="str">
        <f>IFERROR(__xludf.DUMMYFUNCTION("""COMPUTED_VALUE"""),"St. Lucia")</f>
        <v>St. Lucia</v>
      </c>
      <c r="D13368">
        <f>IFERROR(__xludf.DUMMYFUNCTION("""COMPUTED_VALUE"""),2028.0)</f>
        <v>2028</v>
      </c>
      <c r="E13368">
        <f>IFERROR(__xludf.DUMMYFUNCTION("""COMPUTED_VALUE"""),185686.0)</f>
        <v>185686</v>
      </c>
    </row>
    <row r="13369">
      <c r="A13369" t="str">
        <f t="shared" si="1"/>
        <v>lca#2029</v>
      </c>
      <c r="B13369" t="str">
        <f>IFERROR(__xludf.DUMMYFUNCTION("""COMPUTED_VALUE"""),"lca")</f>
        <v>lca</v>
      </c>
      <c r="C13369" t="str">
        <f>IFERROR(__xludf.DUMMYFUNCTION("""COMPUTED_VALUE"""),"St. Lucia")</f>
        <v>St. Lucia</v>
      </c>
      <c r="D13369">
        <f>IFERROR(__xludf.DUMMYFUNCTION("""COMPUTED_VALUE"""),2029.0)</f>
        <v>2029</v>
      </c>
      <c r="E13369">
        <f>IFERROR(__xludf.DUMMYFUNCTION("""COMPUTED_VALUE"""),186047.0)</f>
        <v>186047</v>
      </c>
    </row>
    <row r="13370">
      <c r="A13370" t="str">
        <f t="shared" si="1"/>
        <v>lca#2030</v>
      </c>
      <c r="B13370" t="str">
        <f>IFERROR(__xludf.DUMMYFUNCTION("""COMPUTED_VALUE"""),"lca")</f>
        <v>lca</v>
      </c>
      <c r="C13370" t="str">
        <f>IFERROR(__xludf.DUMMYFUNCTION("""COMPUTED_VALUE"""),"St. Lucia")</f>
        <v>St. Lucia</v>
      </c>
      <c r="D13370">
        <f>IFERROR(__xludf.DUMMYFUNCTION("""COMPUTED_VALUE"""),2030.0)</f>
        <v>2030</v>
      </c>
      <c r="E13370">
        <f>IFERROR(__xludf.DUMMYFUNCTION("""COMPUTED_VALUE"""),186369.0)</f>
        <v>186369</v>
      </c>
    </row>
    <row r="13371">
      <c r="A13371" t="str">
        <f t="shared" si="1"/>
        <v>lca#2031</v>
      </c>
      <c r="B13371" t="str">
        <f>IFERROR(__xludf.DUMMYFUNCTION("""COMPUTED_VALUE"""),"lca")</f>
        <v>lca</v>
      </c>
      <c r="C13371" t="str">
        <f>IFERROR(__xludf.DUMMYFUNCTION("""COMPUTED_VALUE"""),"St. Lucia")</f>
        <v>St. Lucia</v>
      </c>
      <c r="D13371">
        <f>IFERROR(__xludf.DUMMYFUNCTION("""COMPUTED_VALUE"""),2031.0)</f>
        <v>2031</v>
      </c>
      <c r="E13371">
        <f>IFERROR(__xludf.DUMMYFUNCTION("""COMPUTED_VALUE"""),186631.0)</f>
        <v>186631</v>
      </c>
    </row>
    <row r="13372">
      <c r="A13372" t="str">
        <f t="shared" si="1"/>
        <v>lca#2032</v>
      </c>
      <c r="B13372" t="str">
        <f>IFERROR(__xludf.DUMMYFUNCTION("""COMPUTED_VALUE"""),"lca")</f>
        <v>lca</v>
      </c>
      <c r="C13372" t="str">
        <f>IFERROR(__xludf.DUMMYFUNCTION("""COMPUTED_VALUE"""),"St. Lucia")</f>
        <v>St. Lucia</v>
      </c>
      <c r="D13372">
        <f>IFERROR(__xludf.DUMMYFUNCTION("""COMPUTED_VALUE"""),2032.0)</f>
        <v>2032</v>
      </c>
      <c r="E13372">
        <f>IFERROR(__xludf.DUMMYFUNCTION("""COMPUTED_VALUE"""),186838.0)</f>
        <v>186838</v>
      </c>
    </row>
    <row r="13373">
      <c r="A13373" t="str">
        <f t="shared" si="1"/>
        <v>lca#2033</v>
      </c>
      <c r="B13373" t="str">
        <f>IFERROR(__xludf.DUMMYFUNCTION("""COMPUTED_VALUE"""),"lca")</f>
        <v>lca</v>
      </c>
      <c r="C13373" t="str">
        <f>IFERROR(__xludf.DUMMYFUNCTION("""COMPUTED_VALUE"""),"St. Lucia")</f>
        <v>St. Lucia</v>
      </c>
      <c r="D13373">
        <f>IFERROR(__xludf.DUMMYFUNCTION("""COMPUTED_VALUE"""),2033.0)</f>
        <v>2033</v>
      </c>
      <c r="E13373">
        <f>IFERROR(__xludf.DUMMYFUNCTION("""COMPUTED_VALUE"""),187005.0)</f>
        <v>187005</v>
      </c>
    </row>
    <row r="13374">
      <c r="A13374" t="str">
        <f t="shared" si="1"/>
        <v>lca#2034</v>
      </c>
      <c r="B13374" t="str">
        <f>IFERROR(__xludf.DUMMYFUNCTION("""COMPUTED_VALUE"""),"lca")</f>
        <v>lca</v>
      </c>
      <c r="C13374" t="str">
        <f>IFERROR(__xludf.DUMMYFUNCTION("""COMPUTED_VALUE"""),"St. Lucia")</f>
        <v>St. Lucia</v>
      </c>
      <c r="D13374">
        <f>IFERROR(__xludf.DUMMYFUNCTION("""COMPUTED_VALUE"""),2034.0)</f>
        <v>2034</v>
      </c>
      <c r="E13374">
        <f>IFERROR(__xludf.DUMMYFUNCTION("""COMPUTED_VALUE"""),187112.0)</f>
        <v>187112</v>
      </c>
    </row>
    <row r="13375">
      <c r="A13375" t="str">
        <f t="shared" si="1"/>
        <v>lca#2035</v>
      </c>
      <c r="B13375" t="str">
        <f>IFERROR(__xludf.DUMMYFUNCTION("""COMPUTED_VALUE"""),"lca")</f>
        <v>lca</v>
      </c>
      <c r="C13375" t="str">
        <f>IFERROR(__xludf.DUMMYFUNCTION("""COMPUTED_VALUE"""),"St. Lucia")</f>
        <v>St. Lucia</v>
      </c>
      <c r="D13375">
        <f>IFERROR(__xludf.DUMMYFUNCTION("""COMPUTED_VALUE"""),2035.0)</f>
        <v>2035</v>
      </c>
      <c r="E13375">
        <f>IFERROR(__xludf.DUMMYFUNCTION("""COMPUTED_VALUE"""),187162.0)</f>
        <v>187162</v>
      </c>
    </row>
    <row r="13376">
      <c r="A13376" t="str">
        <f t="shared" si="1"/>
        <v>lca#2036</v>
      </c>
      <c r="B13376" t="str">
        <f>IFERROR(__xludf.DUMMYFUNCTION("""COMPUTED_VALUE"""),"lca")</f>
        <v>lca</v>
      </c>
      <c r="C13376" t="str">
        <f>IFERROR(__xludf.DUMMYFUNCTION("""COMPUTED_VALUE"""),"St. Lucia")</f>
        <v>St. Lucia</v>
      </c>
      <c r="D13376">
        <f>IFERROR(__xludf.DUMMYFUNCTION("""COMPUTED_VALUE"""),2036.0)</f>
        <v>2036</v>
      </c>
      <c r="E13376">
        <f>IFERROR(__xludf.DUMMYFUNCTION("""COMPUTED_VALUE"""),187158.0)</f>
        <v>187158</v>
      </c>
    </row>
    <row r="13377">
      <c r="A13377" t="str">
        <f t="shared" si="1"/>
        <v>lca#2037</v>
      </c>
      <c r="B13377" t="str">
        <f>IFERROR(__xludf.DUMMYFUNCTION("""COMPUTED_VALUE"""),"lca")</f>
        <v>lca</v>
      </c>
      <c r="C13377" t="str">
        <f>IFERROR(__xludf.DUMMYFUNCTION("""COMPUTED_VALUE"""),"St. Lucia")</f>
        <v>St. Lucia</v>
      </c>
      <c r="D13377">
        <f>IFERROR(__xludf.DUMMYFUNCTION("""COMPUTED_VALUE"""),2037.0)</f>
        <v>2037</v>
      </c>
      <c r="E13377">
        <f>IFERROR(__xludf.DUMMYFUNCTION("""COMPUTED_VALUE"""),187104.0)</f>
        <v>187104</v>
      </c>
    </row>
    <row r="13378">
      <c r="A13378" t="str">
        <f t="shared" si="1"/>
        <v>lca#2038</v>
      </c>
      <c r="B13378" t="str">
        <f>IFERROR(__xludf.DUMMYFUNCTION("""COMPUTED_VALUE"""),"lca")</f>
        <v>lca</v>
      </c>
      <c r="C13378" t="str">
        <f>IFERROR(__xludf.DUMMYFUNCTION("""COMPUTED_VALUE"""),"St. Lucia")</f>
        <v>St. Lucia</v>
      </c>
      <c r="D13378">
        <f>IFERROR(__xludf.DUMMYFUNCTION("""COMPUTED_VALUE"""),2038.0)</f>
        <v>2038</v>
      </c>
      <c r="E13378">
        <f>IFERROR(__xludf.DUMMYFUNCTION("""COMPUTED_VALUE"""),186997.0)</f>
        <v>186997</v>
      </c>
    </row>
    <row r="13379">
      <c r="A13379" t="str">
        <f t="shared" si="1"/>
        <v>lca#2039</v>
      </c>
      <c r="B13379" t="str">
        <f>IFERROR(__xludf.DUMMYFUNCTION("""COMPUTED_VALUE"""),"lca")</f>
        <v>lca</v>
      </c>
      <c r="C13379" t="str">
        <f>IFERROR(__xludf.DUMMYFUNCTION("""COMPUTED_VALUE"""),"St. Lucia")</f>
        <v>St. Lucia</v>
      </c>
      <c r="D13379">
        <f>IFERROR(__xludf.DUMMYFUNCTION("""COMPUTED_VALUE"""),2039.0)</f>
        <v>2039</v>
      </c>
      <c r="E13379">
        <f>IFERROR(__xludf.DUMMYFUNCTION("""COMPUTED_VALUE"""),186840.0)</f>
        <v>186840</v>
      </c>
    </row>
    <row r="13380">
      <c r="A13380" t="str">
        <f t="shared" si="1"/>
        <v>lca#2040</v>
      </c>
      <c r="B13380" t="str">
        <f>IFERROR(__xludf.DUMMYFUNCTION("""COMPUTED_VALUE"""),"lca")</f>
        <v>lca</v>
      </c>
      <c r="C13380" t="str">
        <f>IFERROR(__xludf.DUMMYFUNCTION("""COMPUTED_VALUE"""),"St. Lucia")</f>
        <v>St. Lucia</v>
      </c>
      <c r="D13380">
        <f>IFERROR(__xludf.DUMMYFUNCTION("""COMPUTED_VALUE"""),2040.0)</f>
        <v>2040</v>
      </c>
      <c r="E13380">
        <f>IFERROR(__xludf.DUMMYFUNCTION("""COMPUTED_VALUE"""),186636.0)</f>
        <v>186636</v>
      </c>
    </row>
    <row r="13381">
      <c r="A13381" t="str">
        <f t="shared" si="1"/>
        <v>vct#1950</v>
      </c>
      <c r="B13381" t="str">
        <f>IFERROR(__xludf.DUMMYFUNCTION("""COMPUTED_VALUE"""),"vct")</f>
        <v>vct</v>
      </c>
      <c r="C13381" t="str">
        <f>IFERROR(__xludf.DUMMYFUNCTION("""COMPUTED_VALUE"""),"St. Vincent and the Grenadines")</f>
        <v>St. Vincent and the Grenadines</v>
      </c>
      <c r="D13381">
        <f>IFERROR(__xludf.DUMMYFUNCTION("""COMPUTED_VALUE"""),1950.0)</f>
        <v>1950</v>
      </c>
      <c r="E13381">
        <f>IFERROR(__xludf.DUMMYFUNCTION("""COMPUTED_VALUE"""),66998.0)</f>
        <v>66998</v>
      </c>
    </row>
    <row r="13382">
      <c r="A13382" t="str">
        <f t="shared" si="1"/>
        <v>vct#1951</v>
      </c>
      <c r="B13382" t="str">
        <f>IFERROR(__xludf.DUMMYFUNCTION("""COMPUTED_VALUE"""),"vct")</f>
        <v>vct</v>
      </c>
      <c r="C13382" t="str">
        <f>IFERROR(__xludf.DUMMYFUNCTION("""COMPUTED_VALUE"""),"St. Vincent and the Grenadines")</f>
        <v>St. Vincent and the Grenadines</v>
      </c>
      <c r="D13382">
        <f>IFERROR(__xludf.DUMMYFUNCTION("""COMPUTED_VALUE"""),1951.0)</f>
        <v>1951</v>
      </c>
      <c r="E13382">
        <f>IFERROR(__xludf.DUMMYFUNCTION("""COMPUTED_VALUE"""),68059.0)</f>
        <v>68059</v>
      </c>
    </row>
    <row r="13383">
      <c r="A13383" t="str">
        <f t="shared" si="1"/>
        <v>vct#1952</v>
      </c>
      <c r="B13383" t="str">
        <f>IFERROR(__xludf.DUMMYFUNCTION("""COMPUTED_VALUE"""),"vct")</f>
        <v>vct</v>
      </c>
      <c r="C13383" t="str">
        <f>IFERROR(__xludf.DUMMYFUNCTION("""COMPUTED_VALUE"""),"St. Vincent and the Grenadines")</f>
        <v>St. Vincent and the Grenadines</v>
      </c>
      <c r="D13383">
        <f>IFERROR(__xludf.DUMMYFUNCTION("""COMPUTED_VALUE"""),1952.0)</f>
        <v>1952</v>
      </c>
      <c r="E13383">
        <f>IFERROR(__xludf.DUMMYFUNCTION("""COMPUTED_VALUE"""),69271.0)</f>
        <v>69271</v>
      </c>
    </row>
    <row r="13384">
      <c r="A13384" t="str">
        <f t="shared" si="1"/>
        <v>vct#1953</v>
      </c>
      <c r="B13384" t="str">
        <f>IFERROR(__xludf.DUMMYFUNCTION("""COMPUTED_VALUE"""),"vct")</f>
        <v>vct</v>
      </c>
      <c r="C13384" t="str">
        <f>IFERROR(__xludf.DUMMYFUNCTION("""COMPUTED_VALUE"""),"St. Vincent and the Grenadines")</f>
        <v>St. Vincent and the Grenadines</v>
      </c>
      <c r="D13384">
        <f>IFERROR(__xludf.DUMMYFUNCTION("""COMPUTED_VALUE"""),1953.0)</f>
        <v>1953</v>
      </c>
      <c r="E13384">
        <f>IFERROR(__xludf.DUMMYFUNCTION("""COMPUTED_VALUE"""),70593.0)</f>
        <v>70593</v>
      </c>
    </row>
    <row r="13385">
      <c r="A13385" t="str">
        <f t="shared" si="1"/>
        <v>vct#1954</v>
      </c>
      <c r="B13385" t="str">
        <f>IFERROR(__xludf.DUMMYFUNCTION("""COMPUTED_VALUE"""),"vct")</f>
        <v>vct</v>
      </c>
      <c r="C13385" t="str">
        <f>IFERROR(__xludf.DUMMYFUNCTION("""COMPUTED_VALUE"""),"St. Vincent and the Grenadines")</f>
        <v>St. Vincent and the Grenadines</v>
      </c>
      <c r="D13385">
        <f>IFERROR(__xludf.DUMMYFUNCTION("""COMPUTED_VALUE"""),1954.0)</f>
        <v>1954</v>
      </c>
      <c r="E13385">
        <f>IFERROR(__xludf.DUMMYFUNCTION("""COMPUTED_VALUE"""),72022.0)</f>
        <v>72022</v>
      </c>
    </row>
    <row r="13386">
      <c r="A13386" t="str">
        <f t="shared" si="1"/>
        <v>vct#1955</v>
      </c>
      <c r="B13386" t="str">
        <f>IFERROR(__xludf.DUMMYFUNCTION("""COMPUTED_VALUE"""),"vct")</f>
        <v>vct</v>
      </c>
      <c r="C13386" t="str">
        <f>IFERROR(__xludf.DUMMYFUNCTION("""COMPUTED_VALUE"""),"St. Vincent and the Grenadines")</f>
        <v>St. Vincent and the Grenadines</v>
      </c>
      <c r="D13386">
        <f>IFERROR(__xludf.DUMMYFUNCTION("""COMPUTED_VALUE"""),1955.0)</f>
        <v>1955</v>
      </c>
      <c r="E13386">
        <f>IFERROR(__xludf.DUMMYFUNCTION("""COMPUTED_VALUE"""),73523.0)</f>
        <v>73523</v>
      </c>
    </row>
    <row r="13387">
      <c r="A13387" t="str">
        <f t="shared" si="1"/>
        <v>vct#1956</v>
      </c>
      <c r="B13387" t="str">
        <f>IFERROR(__xludf.DUMMYFUNCTION("""COMPUTED_VALUE"""),"vct")</f>
        <v>vct</v>
      </c>
      <c r="C13387" t="str">
        <f>IFERROR(__xludf.DUMMYFUNCTION("""COMPUTED_VALUE"""),"St. Vincent and the Grenadines")</f>
        <v>St. Vincent and the Grenadines</v>
      </c>
      <c r="D13387">
        <f>IFERROR(__xludf.DUMMYFUNCTION("""COMPUTED_VALUE"""),1956.0)</f>
        <v>1956</v>
      </c>
      <c r="E13387">
        <f>IFERROR(__xludf.DUMMYFUNCTION("""COMPUTED_VALUE"""),75080.0)</f>
        <v>75080</v>
      </c>
    </row>
    <row r="13388">
      <c r="A13388" t="str">
        <f t="shared" si="1"/>
        <v>vct#1957</v>
      </c>
      <c r="B13388" t="str">
        <f>IFERROR(__xludf.DUMMYFUNCTION("""COMPUTED_VALUE"""),"vct")</f>
        <v>vct</v>
      </c>
      <c r="C13388" t="str">
        <f>IFERROR(__xludf.DUMMYFUNCTION("""COMPUTED_VALUE"""),"St. Vincent and the Grenadines")</f>
        <v>St. Vincent and the Grenadines</v>
      </c>
      <c r="D13388">
        <f>IFERROR(__xludf.DUMMYFUNCTION("""COMPUTED_VALUE"""),1957.0)</f>
        <v>1957</v>
      </c>
      <c r="E13388">
        <f>IFERROR(__xludf.DUMMYFUNCTION("""COMPUTED_VALUE"""),76635.0)</f>
        <v>76635</v>
      </c>
    </row>
    <row r="13389">
      <c r="A13389" t="str">
        <f t="shared" si="1"/>
        <v>vct#1958</v>
      </c>
      <c r="B13389" t="str">
        <f>IFERROR(__xludf.DUMMYFUNCTION("""COMPUTED_VALUE"""),"vct")</f>
        <v>vct</v>
      </c>
      <c r="C13389" t="str">
        <f>IFERROR(__xludf.DUMMYFUNCTION("""COMPUTED_VALUE"""),"St. Vincent and the Grenadines")</f>
        <v>St. Vincent and the Grenadines</v>
      </c>
      <c r="D13389">
        <f>IFERROR(__xludf.DUMMYFUNCTION("""COMPUTED_VALUE"""),1958.0)</f>
        <v>1958</v>
      </c>
      <c r="E13389">
        <f>IFERROR(__xludf.DUMMYFUNCTION("""COMPUTED_VALUE"""),78168.0)</f>
        <v>78168</v>
      </c>
    </row>
    <row r="13390">
      <c r="A13390" t="str">
        <f t="shared" si="1"/>
        <v>vct#1959</v>
      </c>
      <c r="B13390" t="str">
        <f>IFERROR(__xludf.DUMMYFUNCTION("""COMPUTED_VALUE"""),"vct")</f>
        <v>vct</v>
      </c>
      <c r="C13390" t="str">
        <f>IFERROR(__xludf.DUMMYFUNCTION("""COMPUTED_VALUE"""),"St. Vincent and the Grenadines")</f>
        <v>St. Vincent and the Grenadines</v>
      </c>
      <c r="D13390">
        <f>IFERROR(__xludf.DUMMYFUNCTION("""COMPUTED_VALUE"""),1959.0)</f>
        <v>1959</v>
      </c>
      <c r="E13390">
        <f>IFERROR(__xludf.DUMMYFUNCTION("""COMPUTED_VALUE"""),79618.0)</f>
        <v>79618</v>
      </c>
    </row>
    <row r="13391">
      <c r="A13391" t="str">
        <f t="shared" si="1"/>
        <v>vct#1960</v>
      </c>
      <c r="B13391" t="str">
        <f>IFERROR(__xludf.DUMMYFUNCTION("""COMPUTED_VALUE"""),"vct")</f>
        <v>vct</v>
      </c>
      <c r="C13391" t="str">
        <f>IFERROR(__xludf.DUMMYFUNCTION("""COMPUTED_VALUE"""),"St. Vincent and the Grenadines")</f>
        <v>St. Vincent and the Grenadines</v>
      </c>
      <c r="D13391">
        <f>IFERROR(__xludf.DUMMYFUNCTION("""COMPUTED_VALUE"""),1960.0)</f>
        <v>1960</v>
      </c>
      <c r="E13391">
        <f>IFERROR(__xludf.DUMMYFUNCTION("""COMPUTED_VALUE"""),80949.0)</f>
        <v>80949</v>
      </c>
    </row>
    <row r="13392">
      <c r="A13392" t="str">
        <f t="shared" si="1"/>
        <v>vct#1961</v>
      </c>
      <c r="B13392" t="str">
        <f>IFERROR(__xludf.DUMMYFUNCTION("""COMPUTED_VALUE"""),"vct")</f>
        <v>vct</v>
      </c>
      <c r="C13392" t="str">
        <f>IFERROR(__xludf.DUMMYFUNCTION("""COMPUTED_VALUE"""),"St. Vincent and the Grenadines")</f>
        <v>St. Vincent and the Grenadines</v>
      </c>
      <c r="D13392">
        <f>IFERROR(__xludf.DUMMYFUNCTION("""COMPUTED_VALUE"""),1961.0)</f>
        <v>1961</v>
      </c>
      <c r="E13392">
        <f>IFERROR(__xludf.DUMMYFUNCTION("""COMPUTED_VALUE"""),82142.0)</f>
        <v>82142</v>
      </c>
    </row>
    <row r="13393">
      <c r="A13393" t="str">
        <f t="shared" si="1"/>
        <v>vct#1962</v>
      </c>
      <c r="B13393" t="str">
        <f>IFERROR(__xludf.DUMMYFUNCTION("""COMPUTED_VALUE"""),"vct")</f>
        <v>vct</v>
      </c>
      <c r="C13393" t="str">
        <f>IFERROR(__xludf.DUMMYFUNCTION("""COMPUTED_VALUE"""),"St. Vincent and the Grenadines")</f>
        <v>St. Vincent and the Grenadines</v>
      </c>
      <c r="D13393">
        <f>IFERROR(__xludf.DUMMYFUNCTION("""COMPUTED_VALUE"""),1962.0)</f>
        <v>1962</v>
      </c>
      <c r="E13393">
        <f>IFERROR(__xludf.DUMMYFUNCTION("""COMPUTED_VALUE"""),83206.0)</f>
        <v>83206</v>
      </c>
    </row>
    <row r="13394">
      <c r="A13394" t="str">
        <f t="shared" si="1"/>
        <v>vct#1963</v>
      </c>
      <c r="B13394" t="str">
        <f>IFERROR(__xludf.DUMMYFUNCTION("""COMPUTED_VALUE"""),"vct")</f>
        <v>vct</v>
      </c>
      <c r="C13394" t="str">
        <f>IFERROR(__xludf.DUMMYFUNCTION("""COMPUTED_VALUE"""),"St. Vincent and the Grenadines")</f>
        <v>St. Vincent and the Grenadines</v>
      </c>
      <c r="D13394">
        <f>IFERROR(__xludf.DUMMYFUNCTION("""COMPUTED_VALUE"""),1963.0)</f>
        <v>1963</v>
      </c>
      <c r="E13394">
        <f>IFERROR(__xludf.DUMMYFUNCTION("""COMPUTED_VALUE"""),84167.0)</f>
        <v>84167</v>
      </c>
    </row>
    <row r="13395">
      <c r="A13395" t="str">
        <f t="shared" si="1"/>
        <v>vct#1964</v>
      </c>
      <c r="B13395" t="str">
        <f>IFERROR(__xludf.DUMMYFUNCTION("""COMPUTED_VALUE"""),"vct")</f>
        <v>vct</v>
      </c>
      <c r="C13395" t="str">
        <f>IFERROR(__xludf.DUMMYFUNCTION("""COMPUTED_VALUE"""),"St. Vincent and the Grenadines")</f>
        <v>St. Vincent and the Grenadines</v>
      </c>
      <c r="D13395">
        <f>IFERROR(__xludf.DUMMYFUNCTION("""COMPUTED_VALUE"""),1964.0)</f>
        <v>1964</v>
      </c>
      <c r="E13395">
        <f>IFERROR(__xludf.DUMMYFUNCTION("""COMPUTED_VALUE"""),85069.0)</f>
        <v>85069</v>
      </c>
    </row>
    <row r="13396">
      <c r="A13396" t="str">
        <f t="shared" si="1"/>
        <v>vct#1965</v>
      </c>
      <c r="B13396" t="str">
        <f>IFERROR(__xludf.DUMMYFUNCTION("""COMPUTED_VALUE"""),"vct")</f>
        <v>vct</v>
      </c>
      <c r="C13396" t="str">
        <f>IFERROR(__xludf.DUMMYFUNCTION("""COMPUTED_VALUE"""),"St. Vincent and the Grenadines")</f>
        <v>St. Vincent and the Grenadines</v>
      </c>
      <c r="D13396">
        <f>IFERROR(__xludf.DUMMYFUNCTION("""COMPUTED_VALUE"""),1965.0)</f>
        <v>1965</v>
      </c>
      <c r="E13396">
        <f>IFERROR(__xludf.DUMMYFUNCTION("""COMPUTED_VALUE"""),85970.0)</f>
        <v>85970</v>
      </c>
    </row>
    <row r="13397">
      <c r="A13397" t="str">
        <f t="shared" si="1"/>
        <v>vct#1966</v>
      </c>
      <c r="B13397" t="str">
        <f>IFERROR(__xludf.DUMMYFUNCTION("""COMPUTED_VALUE"""),"vct")</f>
        <v>vct</v>
      </c>
      <c r="C13397" t="str">
        <f>IFERROR(__xludf.DUMMYFUNCTION("""COMPUTED_VALUE"""),"St. Vincent and the Grenadines")</f>
        <v>St. Vincent and the Grenadines</v>
      </c>
      <c r="D13397">
        <f>IFERROR(__xludf.DUMMYFUNCTION("""COMPUTED_VALUE"""),1966.0)</f>
        <v>1966</v>
      </c>
      <c r="E13397">
        <f>IFERROR(__xludf.DUMMYFUNCTION("""COMPUTED_VALUE"""),86857.0)</f>
        <v>86857</v>
      </c>
    </row>
    <row r="13398">
      <c r="A13398" t="str">
        <f t="shared" si="1"/>
        <v>vct#1967</v>
      </c>
      <c r="B13398" t="str">
        <f>IFERROR(__xludf.DUMMYFUNCTION("""COMPUTED_VALUE"""),"vct")</f>
        <v>vct</v>
      </c>
      <c r="C13398" t="str">
        <f>IFERROR(__xludf.DUMMYFUNCTION("""COMPUTED_VALUE"""),"St. Vincent and the Grenadines")</f>
        <v>St. Vincent and the Grenadines</v>
      </c>
      <c r="D13398">
        <f>IFERROR(__xludf.DUMMYFUNCTION("""COMPUTED_VALUE"""),1967.0)</f>
        <v>1967</v>
      </c>
      <c r="E13398">
        <f>IFERROR(__xludf.DUMMYFUNCTION("""COMPUTED_VALUE"""),87736.0)</f>
        <v>87736</v>
      </c>
    </row>
    <row r="13399">
      <c r="A13399" t="str">
        <f t="shared" si="1"/>
        <v>vct#1968</v>
      </c>
      <c r="B13399" t="str">
        <f>IFERROR(__xludf.DUMMYFUNCTION("""COMPUTED_VALUE"""),"vct")</f>
        <v>vct</v>
      </c>
      <c r="C13399" t="str">
        <f>IFERROR(__xludf.DUMMYFUNCTION("""COMPUTED_VALUE"""),"St. Vincent and the Grenadines")</f>
        <v>St. Vincent and the Grenadines</v>
      </c>
      <c r="D13399">
        <f>IFERROR(__xludf.DUMMYFUNCTION("""COMPUTED_VALUE"""),1968.0)</f>
        <v>1968</v>
      </c>
      <c r="E13399">
        <f>IFERROR(__xludf.DUMMYFUNCTION("""COMPUTED_VALUE"""),88613.0)</f>
        <v>88613</v>
      </c>
    </row>
    <row r="13400">
      <c r="A13400" t="str">
        <f t="shared" si="1"/>
        <v>vct#1969</v>
      </c>
      <c r="B13400" t="str">
        <f>IFERROR(__xludf.DUMMYFUNCTION("""COMPUTED_VALUE"""),"vct")</f>
        <v>vct</v>
      </c>
      <c r="C13400" t="str">
        <f>IFERROR(__xludf.DUMMYFUNCTION("""COMPUTED_VALUE"""),"St. Vincent and the Grenadines")</f>
        <v>St. Vincent and the Grenadines</v>
      </c>
      <c r="D13400">
        <f>IFERROR(__xludf.DUMMYFUNCTION("""COMPUTED_VALUE"""),1969.0)</f>
        <v>1969</v>
      </c>
      <c r="E13400">
        <f>IFERROR(__xludf.DUMMYFUNCTION("""COMPUTED_VALUE"""),89516.0)</f>
        <v>89516</v>
      </c>
    </row>
    <row r="13401">
      <c r="A13401" t="str">
        <f t="shared" si="1"/>
        <v>vct#1970</v>
      </c>
      <c r="B13401" t="str">
        <f>IFERROR(__xludf.DUMMYFUNCTION("""COMPUTED_VALUE"""),"vct")</f>
        <v>vct</v>
      </c>
      <c r="C13401" t="str">
        <f>IFERROR(__xludf.DUMMYFUNCTION("""COMPUTED_VALUE"""),"St. Vincent and the Grenadines")</f>
        <v>St. Vincent and the Grenadines</v>
      </c>
      <c r="D13401">
        <f>IFERROR(__xludf.DUMMYFUNCTION("""COMPUTED_VALUE"""),1970.0)</f>
        <v>1970</v>
      </c>
      <c r="E13401">
        <f>IFERROR(__xludf.DUMMYFUNCTION("""COMPUTED_VALUE"""),90452.0)</f>
        <v>90452</v>
      </c>
    </row>
    <row r="13402">
      <c r="A13402" t="str">
        <f t="shared" si="1"/>
        <v>vct#1971</v>
      </c>
      <c r="B13402" t="str">
        <f>IFERROR(__xludf.DUMMYFUNCTION("""COMPUTED_VALUE"""),"vct")</f>
        <v>vct</v>
      </c>
      <c r="C13402" t="str">
        <f>IFERROR(__xludf.DUMMYFUNCTION("""COMPUTED_VALUE"""),"St. Vincent and the Grenadines")</f>
        <v>St. Vincent and the Grenadines</v>
      </c>
      <c r="D13402">
        <f>IFERROR(__xludf.DUMMYFUNCTION("""COMPUTED_VALUE"""),1971.0)</f>
        <v>1971</v>
      </c>
      <c r="E13402">
        <f>IFERROR(__xludf.DUMMYFUNCTION("""COMPUTED_VALUE"""),91440.0)</f>
        <v>91440</v>
      </c>
    </row>
    <row r="13403">
      <c r="A13403" t="str">
        <f t="shared" si="1"/>
        <v>vct#1972</v>
      </c>
      <c r="B13403" t="str">
        <f>IFERROR(__xludf.DUMMYFUNCTION("""COMPUTED_VALUE"""),"vct")</f>
        <v>vct</v>
      </c>
      <c r="C13403" t="str">
        <f>IFERROR(__xludf.DUMMYFUNCTION("""COMPUTED_VALUE"""),"St. Vincent and the Grenadines")</f>
        <v>St. Vincent and the Grenadines</v>
      </c>
      <c r="D13403">
        <f>IFERROR(__xludf.DUMMYFUNCTION("""COMPUTED_VALUE"""),1972.0)</f>
        <v>1972</v>
      </c>
      <c r="E13403">
        <f>IFERROR(__xludf.DUMMYFUNCTION("""COMPUTED_VALUE"""),92463.0)</f>
        <v>92463</v>
      </c>
    </row>
    <row r="13404">
      <c r="A13404" t="str">
        <f t="shared" si="1"/>
        <v>vct#1973</v>
      </c>
      <c r="B13404" t="str">
        <f>IFERROR(__xludf.DUMMYFUNCTION("""COMPUTED_VALUE"""),"vct")</f>
        <v>vct</v>
      </c>
      <c r="C13404" t="str">
        <f>IFERROR(__xludf.DUMMYFUNCTION("""COMPUTED_VALUE"""),"St. Vincent and the Grenadines")</f>
        <v>St. Vincent and the Grenadines</v>
      </c>
      <c r="D13404">
        <f>IFERROR(__xludf.DUMMYFUNCTION("""COMPUTED_VALUE"""),1973.0)</f>
        <v>1973</v>
      </c>
      <c r="E13404">
        <f>IFERROR(__xludf.DUMMYFUNCTION("""COMPUTED_VALUE"""),93517.0)</f>
        <v>93517</v>
      </c>
    </row>
    <row r="13405">
      <c r="A13405" t="str">
        <f t="shared" si="1"/>
        <v>vct#1974</v>
      </c>
      <c r="B13405" t="str">
        <f>IFERROR(__xludf.DUMMYFUNCTION("""COMPUTED_VALUE"""),"vct")</f>
        <v>vct</v>
      </c>
      <c r="C13405" t="str">
        <f>IFERROR(__xludf.DUMMYFUNCTION("""COMPUTED_VALUE"""),"St. Vincent and the Grenadines")</f>
        <v>St. Vincent and the Grenadines</v>
      </c>
      <c r="D13405">
        <f>IFERROR(__xludf.DUMMYFUNCTION("""COMPUTED_VALUE"""),1974.0)</f>
        <v>1974</v>
      </c>
      <c r="E13405">
        <f>IFERROR(__xludf.DUMMYFUNCTION("""COMPUTED_VALUE"""),94568.0)</f>
        <v>94568</v>
      </c>
    </row>
    <row r="13406">
      <c r="A13406" t="str">
        <f t="shared" si="1"/>
        <v>vct#1975</v>
      </c>
      <c r="B13406" t="str">
        <f>IFERROR(__xludf.DUMMYFUNCTION("""COMPUTED_VALUE"""),"vct")</f>
        <v>vct</v>
      </c>
      <c r="C13406" t="str">
        <f>IFERROR(__xludf.DUMMYFUNCTION("""COMPUTED_VALUE"""),"St. Vincent and the Grenadines")</f>
        <v>St. Vincent and the Grenadines</v>
      </c>
      <c r="D13406">
        <f>IFERROR(__xludf.DUMMYFUNCTION("""COMPUTED_VALUE"""),1975.0)</f>
        <v>1975</v>
      </c>
      <c r="E13406">
        <f>IFERROR(__xludf.DUMMYFUNCTION("""COMPUTED_VALUE"""),95611.0)</f>
        <v>95611</v>
      </c>
    </row>
    <row r="13407">
      <c r="A13407" t="str">
        <f t="shared" si="1"/>
        <v>vct#1976</v>
      </c>
      <c r="B13407" t="str">
        <f>IFERROR(__xludf.DUMMYFUNCTION("""COMPUTED_VALUE"""),"vct")</f>
        <v>vct</v>
      </c>
      <c r="C13407" t="str">
        <f>IFERROR(__xludf.DUMMYFUNCTION("""COMPUTED_VALUE"""),"St. Vincent and the Grenadines")</f>
        <v>St. Vincent and the Grenadines</v>
      </c>
      <c r="D13407">
        <f>IFERROR(__xludf.DUMMYFUNCTION("""COMPUTED_VALUE"""),1976.0)</f>
        <v>1976</v>
      </c>
      <c r="E13407">
        <f>IFERROR(__xludf.DUMMYFUNCTION("""COMPUTED_VALUE"""),96641.0)</f>
        <v>96641</v>
      </c>
    </row>
    <row r="13408">
      <c r="A13408" t="str">
        <f t="shared" si="1"/>
        <v>vct#1977</v>
      </c>
      <c r="B13408" t="str">
        <f>IFERROR(__xludf.DUMMYFUNCTION("""COMPUTED_VALUE"""),"vct")</f>
        <v>vct</v>
      </c>
      <c r="C13408" t="str">
        <f>IFERROR(__xludf.DUMMYFUNCTION("""COMPUTED_VALUE"""),"St. Vincent and the Grenadines")</f>
        <v>St. Vincent and the Grenadines</v>
      </c>
      <c r="D13408">
        <f>IFERROR(__xludf.DUMMYFUNCTION("""COMPUTED_VALUE"""),1977.0)</f>
        <v>1977</v>
      </c>
      <c r="E13408">
        <f>IFERROR(__xludf.DUMMYFUNCTION("""COMPUTED_VALUE"""),97649.0)</f>
        <v>97649</v>
      </c>
    </row>
    <row r="13409">
      <c r="A13409" t="str">
        <f t="shared" si="1"/>
        <v>vct#1978</v>
      </c>
      <c r="B13409" t="str">
        <f>IFERROR(__xludf.DUMMYFUNCTION("""COMPUTED_VALUE"""),"vct")</f>
        <v>vct</v>
      </c>
      <c r="C13409" t="str">
        <f>IFERROR(__xludf.DUMMYFUNCTION("""COMPUTED_VALUE"""),"St. Vincent and the Grenadines")</f>
        <v>St. Vincent and the Grenadines</v>
      </c>
      <c r="D13409">
        <f>IFERROR(__xludf.DUMMYFUNCTION("""COMPUTED_VALUE"""),1978.0)</f>
        <v>1978</v>
      </c>
      <c r="E13409">
        <f>IFERROR(__xludf.DUMMYFUNCTION("""COMPUTED_VALUE"""),98633.0)</f>
        <v>98633</v>
      </c>
    </row>
    <row r="13410">
      <c r="A13410" t="str">
        <f t="shared" si="1"/>
        <v>vct#1979</v>
      </c>
      <c r="B13410" t="str">
        <f>IFERROR(__xludf.DUMMYFUNCTION("""COMPUTED_VALUE"""),"vct")</f>
        <v>vct</v>
      </c>
      <c r="C13410" t="str">
        <f>IFERROR(__xludf.DUMMYFUNCTION("""COMPUTED_VALUE"""),"St. Vincent and the Grenadines")</f>
        <v>St. Vincent and the Grenadines</v>
      </c>
      <c r="D13410">
        <f>IFERROR(__xludf.DUMMYFUNCTION("""COMPUTED_VALUE"""),1979.0)</f>
        <v>1979</v>
      </c>
      <c r="E13410">
        <f>IFERROR(__xludf.DUMMYFUNCTION("""COMPUTED_VALUE"""),99590.0)</f>
        <v>99590</v>
      </c>
    </row>
    <row r="13411">
      <c r="A13411" t="str">
        <f t="shared" si="1"/>
        <v>vct#1980</v>
      </c>
      <c r="B13411" t="str">
        <f>IFERROR(__xludf.DUMMYFUNCTION("""COMPUTED_VALUE"""),"vct")</f>
        <v>vct</v>
      </c>
      <c r="C13411" t="str">
        <f>IFERROR(__xludf.DUMMYFUNCTION("""COMPUTED_VALUE"""),"St. Vincent and the Grenadines")</f>
        <v>St. Vincent and the Grenadines</v>
      </c>
      <c r="D13411">
        <f>IFERROR(__xludf.DUMMYFUNCTION("""COMPUTED_VALUE"""),1980.0)</f>
        <v>1980</v>
      </c>
      <c r="E13411">
        <f>IFERROR(__xludf.DUMMYFUNCTION("""COMPUTED_VALUE"""),100505.0)</f>
        <v>100505</v>
      </c>
    </row>
    <row r="13412">
      <c r="A13412" t="str">
        <f t="shared" si="1"/>
        <v>vct#1981</v>
      </c>
      <c r="B13412" t="str">
        <f>IFERROR(__xludf.DUMMYFUNCTION("""COMPUTED_VALUE"""),"vct")</f>
        <v>vct</v>
      </c>
      <c r="C13412" t="str">
        <f>IFERROR(__xludf.DUMMYFUNCTION("""COMPUTED_VALUE"""),"St. Vincent and the Grenadines")</f>
        <v>St. Vincent and the Grenadines</v>
      </c>
      <c r="D13412">
        <f>IFERROR(__xludf.DUMMYFUNCTION("""COMPUTED_VALUE"""),1981.0)</f>
        <v>1981</v>
      </c>
      <c r="E13412">
        <f>IFERROR(__xludf.DUMMYFUNCTION("""COMPUTED_VALUE"""),101379.0)</f>
        <v>101379</v>
      </c>
    </row>
    <row r="13413">
      <c r="A13413" t="str">
        <f t="shared" si="1"/>
        <v>vct#1982</v>
      </c>
      <c r="B13413" t="str">
        <f>IFERROR(__xludf.DUMMYFUNCTION("""COMPUTED_VALUE"""),"vct")</f>
        <v>vct</v>
      </c>
      <c r="C13413" t="str">
        <f>IFERROR(__xludf.DUMMYFUNCTION("""COMPUTED_VALUE"""),"St. Vincent and the Grenadines")</f>
        <v>St. Vincent and the Grenadines</v>
      </c>
      <c r="D13413">
        <f>IFERROR(__xludf.DUMMYFUNCTION("""COMPUTED_VALUE"""),1982.0)</f>
        <v>1982</v>
      </c>
      <c r="E13413">
        <f>IFERROR(__xludf.DUMMYFUNCTION("""COMPUTED_VALUE"""),102204.0)</f>
        <v>102204</v>
      </c>
    </row>
    <row r="13414">
      <c r="A13414" t="str">
        <f t="shared" si="1"/>
        <v>vct#1983</v>
      </c>
      <c r="B13414" t="str">
        <f>IFERROR(__xludf.DUMMYFUNCTION("""COMPUTED_VALUE"""),"vct")</f>
        <v>vct</v>
      </c>
      <c r="C13414" t="str">
        <f>IFERROR(__xludf.DUMMYFUNCTION("""COMPUTED_VALUE"""),"St. Vincent and the Grenadines")</f>
        <v>St. Vincent and the Grenadines</v>
      </c>
      <c r="D13414">
        <f>IFERROR(__xludf.DUMMYFUNCTION("""COMPUTED_VALUE"""),1983.0)</f>
        <v>1983</v>
      </c>
      <c r="E13414">
        <f>IFERROR(__xludf.DUMMYFUNCTION("""COMPUTED_VALUE"""),102984.0)</f>
        <v>102984</v>
      </c>
    </row>
    <row r="13415">
      <c r="A13415" t="str">
        <f t="shared" si="1"/>
        <v>vct#1984</v>
      </c>
      <c r="B13415" t="str">
        <f>IFERROR(__xludf.DUMMYFUNCTION("""COMPUTED_VALUE"""),"vct")</f>
        <v>vct</v>
      </c>
      <c r="C13415" t="str">
        <f>IFERROR(__xludf.DUMMYFUNCTION("""COMPUTED_VALUE"""),"St. Vincent and the Grenadines")</f>
        <v>St. Vincent and the Grenadines</v>
      </c>
      <c r="D13415">
        <f>IFERROR(__xludf.DUMMYFUNCTION("""COMPUTED_VALUE"""),1984.0)</f>
        <v>1984</v>
      </c>
      <c r="E13415">
        <f>IFERROR(__xludf.DUMMYFUNCTION("""COMPUTED_VALUE"""),103742.0)</f>
        <v>103742</v>
      </c>
    </row>
    <row r="13416">
      <c r="A13416" t="str">
        <f t="shared" si="1"/>
        <v>vct#1985</v>
      </c>
      <c r="B13416" t="str">
        <f>IFERROR(__xludf.DUMMYFUNCTION("""COMPUTED_VALUE"""),"vct")</f>
        <v>vct</v>
      </c>
      <c r="C13416" t="str">
        <f>IFERROR(__xludf.DUMMYFUNCTION("""COMPUTED_VALUE"""),"St. Vincent and the Grenadines")</f>
        <v>St. Vincent and the Grenadines</v>
      </c>
      <c r="D13416">
        <f>IFERROR(__xludf.DUMMYFUNCTION("""COMPUTED_VALUE"""),1985.0)</f>
        <v>1985</v>
      </c>
      <c r="E13416">
        <f>IFERROR(__xludf.DUMMYFUNCTION("""COMPUTED_VALUE"""),104477.0)</f>
        <v>104477</v>
      </c>
    </row>
    <row r="13417">
      <c r="A13417" t="str">
        <f t="shared" si="1"/>
        <v>vct#1986</v>
      </c>
      <c r="B13417" t="str">
        <f>IFERROR(__xludf.DUMMYFUNCTION("""COMPUTED_VALUE"""),"vct")</f>
        <v>vct</v>
      </c>
      <c r="C13417" t="str">
        <f>IFERROR(__xludf.DUMMYFUNCTION("""COMPUTED_VALUE"""),"St. Vincent and the Grenadines")</f>
        <v>St. Vincent and the Grenadines</v>
      </c>
      <c r="D13417">
        <f>IFERROR(__xludf.DUMMYFUNCTION("""COMPUTED_VALUE"""),1986.0)</f>
        <v>1986</v>
      </c>
      <c r="E13417">
        <f>IFERROR(__xludf.DUMMYFUNCTION("""COMPUTED_VALUE"""),105198.0)</f>
        <v>105198</v>
      </c>
    </row>
    <row r="13418">
      <c r="A13418" t="str">
        <f t="shared" si="1"/>
        <v>vct#1987</v>
      </c>
      <c r="B13418" t="str">
        <f>IFERROR(__xludf.DUMMYFUNCTION("""COMPUTED_VALUE"""),"vct")</f>
        <v>vct</v>
      </c>
      <c r="C13418" t="str">
        <f>IFERROR(__xludf.DUMMYFUNCTION("""COMPUTED_VALUE"""),"St. Vincent and the Grenadines")</f>
        <v>St. Vincent and the Grenadines</v>
      </c>
      <c r="D13418">
        <f>IFERROR(__xludf.DUMMYFUNCTION("""COMPUTED_VALUE"""),1987.0)</f>
        <v>1987</v>
      </c>
      <c r="E13418">
        <f>IFERROR(__xludf.DUMMYFUNCTION("""COMPUTED_VALUE"""),105896.0)</f>
        <v>105896</v>
      </c>
    </row>
    <row r="13419">
      <c r="A13419" t="str">
        <f t="shared" si="1"/>
        <v>vct#1988</v>
      </c>
      <c r="B13419" t="str">
        <f>IFERROR(__xludf.DUMMYFUNCTION("""COMPUTED_VALUE"""),"vct")</f>
        <v>vct</v>
      </c>
      <c r="C13419" t="str">
        <f>IFERROR(__xludf.DUMMYFUNCTION("""COMPUTED_VALUE"""),"St. Vincent and the Grenadines")</f>
        <v>St. Vincent and the Grenadines</v>
      </c>
      <c r="D13419">
        <f>IFERROR(__xludf.DUMMYFUNCTION("""COMPUTED_VALUE"""),1988.0)</f>
        <v>1988</v>
      </c>
      <c r="E13419">
        <f>IFERROR(__xludf.DUMMYFUNCTION("""COMPUTED_VALUE"""),106536.0)</f>
        <v>106536</v>
      </c>
    </row>
    <row r="13420">
      <c r="A13420" t="str">
        <f t="shared" si="1"/>
        <v>vct#1989</v>
      </c>
      <c r="B13420" t="str">
        <f>IFERROR(__xludf.DUMMYFUNCTION("""COMPUTED_VALUE"""),"vct")</f>
        <v>vct</v>
      </c>
      <c r="C13420" t="str">
        <f>IFERROR(__xludf.DUMMYFUNCTION("""COMPUTED_VALUE"""),"St. Vincent and the Grenadines")</f>
        <v>St. Vincent and the Grenadines</v>
      </c>
      <c r="D13420">
        <f>IFERROR(__xludf.DUMMYFUNCTION("""COMPUTED_VALUE"""),1989.0)</f>
        <v>1989</v>
      </c>
      <c r="E13420">
        <f>IFERROR(__xludf.DUMMYFUNCTION("""COMPUTED_VALUE"""),107084.0)</f>
        <v>107084</v>
      </c>
    </row>
    <row r="13421">
      <c r="A13421" t="str">
        <f t="shared" si="1"/>
        <v>vct#1990</v>
      </c>
      <c r="B13421" t="str">
        <f>IFERROR(__xludf.DUMMYFUNCTION("""COMPUTED_VALUE"""),"vct")</f>
        <v>vct</v>
      </c>
      <c r="C13421" t="str">
        <f>IFERROR(__xludf.DUMMYFUNCTION("""COMPUTED_VALUE"""),"St. Vincent and the Grenadines")</f>
        <v>St. Vincent and the Grenadines</v>
      </c>
      <c r="D13421">
        <f>IFERROR(__xludf.DUMMYFUNCTION("""COMPUTED_VALUE"""),1990.0)</f>
        <v>1990</v>
      </c>
      <c r="E13421">
        <f>IFERROR(__xludf.DUMMYFUNCTION("""COMPUTED_VALUE"""),107505.0)</f>
        <v>107505</v>
      </c>
    </row>
    <row r="13422">
      <c r="A13422" t="str">
        <f t="shared" si="1"/>
        <v>vct#1991</v>
      </c>
      <c r="B13422" t="str">
        <f>IFERROR(__xludf.DUMMYFUNCTION("""COMPUTED_VALUE"""),"vct")</f>
        <v>vct</v>
      </c>
      <c r="C13422" t="str">
        <f>IFERROR(__xludf.DUMMYFUNCTION("""COMPUTED_VALUE"""),"St. Vincent and the Grenadines")</f>
        <v>St. Vincent and the Grenadines</v>
      </c>
      <c r="D13422">
        <f>IFERROR(__xludf.DUMMYFUNCTION("""COMPUTED_VALUE"""),1991.0)</f>
        <v>1991</v>
      </c>
      <c r="E13422">
        <f>IFERROR(__xludf.DUMMYFUNCTION("""COMPUTED_VALUE"""),107814.0)</f>
        <v>107814</v>
      </c>
    </row>
    <row r="13423">
      <c r="A13423" t="str">
        <f t="shared" si="1"/>
        <v>vct#1992</v>
      </c>
      <c r="B13423" t="str">
        <f>IFERROR(__xludf.DUMMYFUNCTION("""COMPUTED_VALUE"""),"vct")</f>
        <v>vct</v>
      </c>
      <c r="C13423" t="str">
        <f>IFERROR(__xludf.DUMMYFUNCTION("""COMPUTED_VALUE"""),"St. Vincent and the Grenadines")</f>
        <v>St. Vincent and the Grenadines</v>
      </c>
      <c r="D13423">
        <f>IFERROR(__xludf.DUMMYFUNCTION("""COMPUTED_VALUE"""),1992.0)</f>
        <v>1992</v>
      </c>
      <c r="E13423">
        <f>IFERROR(__xludf.DUMMYFUNCTION("""COMPUTED_VALUE"""),108003.0)</f>
        <v>108003</v>
      </c>
    </row>
    <row r="13424">
      <c r="A13424" t="str">
        <f t="shared" si="1"/>
        <v>vct#1993</v>
      </c>
      <c r="B13424" t="str">
        <f>IFERROR(__xludf.DUMMYFUNCTION("""COMPUTED_VALUE"""),"vct")</f>
        <v>vct</v>
      </c>
      <c r="C13424" t="str">
        <f>IFERROR(__xludf.DUMMYFUNCTION("""COMPUTED_VALUE"""),"St. Vincent and the Grenadines")</f>
        <v>St. Vincent and the Grenadines</v>
      </c>
      <c r="D13424">
        <f>IFERROR(__xludf.DUMMYFUNCTION("""COMPUTED_VALUE"""),1993.0)</f>
        <v>1993</v>
      </c>
      <c r="E13424">
        <f>IFERROR(__xludf.DUMMYFUNCTION("""COMPUTED_VALUE"""),108092.0)</f>
        <v>108092</v>
      </c>
    </row>
    <row r="13425">
      <c r="A13425" t="str">
        <f t="shared" si="1"/>
        <v>vct#1994</v>
      </c>
      <c r="B13425" t="str">
        <f>IFERROR(__xludf.DUMMYFUNCTION("""COMPUTED_VALUE"""),"vct")</f>
        <v>vct</v>
      </c>
      <c r="C13425" t="str">
        <f>IFERROR(__xludf.DUMMYFUNCTION("""COMPUTED_VALUE"""),"St. Vincent and the Grenadines")</f>
        <v>St. Vincent and the Grenadines</v>
      </c>
      <c r="D13425">
        <f>IFERROR(__xludf.DUMMYFUNCTION("""COMPUTED_VALUE"""),1994.0)</f>
        <v>1994</v>
      </c>
      <c r="E13425">
        <f>IFERROR(__xludf.DUMMYFUNCTION("""COMPUTED_VALUE"""),108129.0)</f>
        <v>108129</v>
      </c>
    </row>
    <row r="13426">
      <c r="A13426" t="str">
        <f t="shared" si="1"/>
        <v>vct#1995</v>
      </c>
      <c r="B13426" t="str">
        <f>IFERROR(__xludf.DUMMYFUNCTION("""COMPUTED_VALUE"""),"vct")</f>
        <v>vct</v>
      </c>
      <c r="C13426" t="str">
        <f>IFERROR(__xludf.DUMMYFUNCTION("""COMPUTED_VALUE"""),"St. Vincent and the Grenadines")</f>
        <v>St. Vincent and the Grenadines</v>
      </c>
      <c r="D13426">
        <f>IFERROR(__xludf.DUMMYFUNCTION("""COMPUTED_VALUE"""),1995.0)</f>
        <v>1995</v>
      </c>
      <c r="E13426">
        <f>IFERROR(__xludf.DUMMYFUNCTION("""COMPUTED_VALUE"""),108122.0)</f>
        <v>108122</v>
      </c>
    </row>
    <row r="13427">
      <c r="A13427" t="str">
        <f t="shared" si="1"/>
        <v>vct#1996</v>
      </c>
      <c r="B13427" t="str">
        <f>IFERROR(__xludf.DUMMYFUNCTION("""COMPUTED_VALUE"""),"vct")</f>
        <v>vct</v>
      </c>
      <c r="C13427" t="str">
        <f>IFERROR(__xludf.DUMMYFUNCTION("""COMPUTED_VALUE"""),"St. Vincent and the Grenadines")</f>
        <v>St. Vincent and the Grenadines</v>
      </c>
      <c r="D13427">
        <f>IFERROR(__xludf.DUMMYFUNCTION("""COMPUTED_VALUE"""),1996.0)</f>
        <v>1996</v>
      </c>
      <c r="E13427">
        <f>IFERROR(__xludf.DUMMYFUNCTION("""COMPUTED_VALUE"""),108075.0)</f>
        <v>108075</v>
      </c>
    </row>
    <row r="13428">
      <c r="A13428" t="str">
        <f t="shared" si="1"/>
        <v>vct#1997</v>
      </c>
      <c r="B13428" t="str">
        <f>IFERROR(__xludf.DUMMYFUNCTION("""COMPUTED_VALUE"""),"vct")</f>
        <v>vct</v>
      </c>
      <c r="C13428" t="str">
        <f>IFERROR(__xludf.DUMMYFUNCTION("""COMPUTED_VALUE"""),"St. Vincent and the Grenadines")</f>
        <v>St. Vincent and the Grenadines</v>
      </c>
      <c r="D13428">
        <f>IFERROR(__xludf.DUMMYFUNCTION("""COMPUTED_VALUE"""),1997.0)</f>
        <v>1997</v>
      </c>
      <c r="E13428">
        <f>IFERROR(__xludf.DUMMYFUNCTION("""COMPUTED_VALUE"""),108004.0)</f>
        <v>108004</v>
      </c>
    </row>
    <row r="13429">
      <c r="A13429" t="str">
        <f t="shared" si="1"/>
        <v>vct#1998</v>
      </c>
      <c r="B13429" t="str">
        <f>IFERROR(__xludf.DUMMYFUNCTION("""COMPUTED_VALUE"""),"vct")</f>
        <v>vct</v>
      </c>
      <c r="C13429" t="str">
        <f>IFERROR(__xludf.DUMMYFUNCTION("""COMPUTED_VALUE"""),"St. Vincent and the Grenadines")</f>
        <v>St. Vincent and the Grenadines</v>
      </c>
      <c r="D13429">
        <f>IFERROR(__xludf.DUMMYFUNCTION("""COMPUTED_VALUE"""),1998.0)</f>
        <v>1998</v>
      </c>
      <c r="E13429">
        <f>IFERROR(__xludf.DUMMYFUNCTION("""COMPUTED_VALUE"""),107922.0)</f>
        <v>107922</v>
      </c>
    </row>
    <row r="13430">
      <c r="A13430" t="str">
        <f t="shared" si="1"/>
        <v>vct#1999</v>
      </c>
      <c r="B13430" t="str">
        <f>IFERROR(__xludf.DUMMYFUNCTION("""COMPUTED_VALUE"""),"vct")</f>
        <v>vct</v>
      </c>
      <c r="C13430" t="str">
        <f>IFERROR(__xludf.DUMMYFUNCTION("""COMPUTED_VALUE"""),"St. Vincent and the Grenadines")</f>
        <v>St. Vincent and the Grenadines</v>
      </c>
      <c r="D13430">
        <f>IFERROR(__xludf.DUMMYFUNCTION("""COMPUTED_VALUE"""),1999.0)</f>
        <v>1999</v>
      </c>
      <c r="E13430">
        <f>IFERROR(__xludf.DUMMYFUNCTION("""COMPUTED_VALUE"""),107880.0)</f>
        <v>107880</v>
      </c>
    </row>
    <row r="13431">
      <c r="A13431" t="str">
        <f t="shared" si="1"/>
        <v>vct#2000</v>
      </c>
      <c r="B13431" t="str">
        <f>IFERROR(__xludf.DUMMYFUNCTION("""COMPUTED_VALUE"""),"vct")</f>
        <v>vct</v>
      </c>
      <c r="C13431" t="str">
        <f>IFERROR(__xludf.DUMMYFUNCTION("""COMPUTED_VALUE"""),"St. Vincent and the Grenadines")</f>
        <v>St. Vincent and the Grenadines</v>
      </c>
      <c r="D13431">
        <f>IFERROR(__xludf.DUMMYFUNCTION("""COMPUTED_VALUE"""),2000.0)</f>
        <v>2000</v>
      </c>
      <c r="E13431">
        <f>IFERROR(__xludf.DUMMYFUNCTION("""COMPUTED_VALUE"""),107898.0)</f>
        <v>107898</v>
      </c>
    </row>
    <row r="13432">
      <c r="A13432" t="str">
        <f t="shared" si="1"/>
        <v>vct#2001</v>
      </c>
      <c r="B13432" t="str">
        <f>IFERROR(__xludf.DUMMYFUNCTION("""COMPUTED_VALUE"""),"vct")</f>
        <v>vct</v>
      </c>
      <c r="C13432" t="str">
        <f>IFERROR(__xludf.DUMMYFUNCTION("""COMPUTED_VALUE"""),"St. Vincent and the Grenadines")</f>
        <v>St. Vincent and the Grenadines</v>
      </c>
      <c r="D13432">
        <f>IFERROR(__xludf.DUMMYFUNCTION("""COMPUTED_VALUE"""),2001.0)</f>
        <v>2001</v>
      </c>
      <c r="E13432">
        <f>IFERROR(__xludf.DUMMYFUNCTION("""COMPUTED_VALUE"""),107988.0)</f>
        <v>107988</v>
      </c>
    </row>
    <row r="13433">
      <c r="A13433" t="str">
        <f t="shared" si="1"/>
        <v>vct#2002</v>
      </c>
      <c r="B13433" t="str">
        <f>IFERROR(__xludf.DUMMYFUNCTION("""COMPUTED_VALUE"""),"vct")</f>
        <v>vct</v>
      </c>
      <c r="C13433" t="str">
        <f>IFERROR(__xludf.DUMMYFUNCTION("""COMPUTED_VALUE"""),"St. Vincent and the Grenadines")</f>
        <v>St. Vincent and the Grenadines</v>
      </c>
      <c r="D13433">
        <f>IFERROR(__xludf.DUMMYFUNCTION("""COMPUTED_VALUE"""),2002.0)</f>
        <v>2002</v>
      </c>
      <c r="E13433">
        <f>IFERROR(__xludf.DUMMYFUNCTION("""COMPUTED_VALUE"""),108146.0)</f>
        <v>108146</v>
      </c>
    </row>
    <row r="13434">
      <c r="A13434" t="str">
        <f t="shared" si="1"/>
        <v>vct#2003</v>
      </c>
      <c r="B13434" t="str">
        <f>IFERROR(__xludf.DUMMYFUNCTION("""COMPUTED_VALUE"""),"vct")</f>
        <v>vct</v>
      </c>
      <c r="C13434" t="str">
        <f>IFERROR(__xludf.DUMMYFUNCTION("""COMPUTED_VALUE"""),"St. Vincent and the Grenadines")</f>
        <v>St. Vincent and the Grenadines</v>
      </c>
      <c r="D13434">
        <f>IFERROR(__xludf.DUMMYFUNCTION("""COMPUTED_VALUE"""),2003.0)</f>
        <v>2003</v>
      </c>
      <c r="E13434">
        <f>IFERROR(__xludf.DUMMYFUNCTION("""COMPUTED_VALUE"""),108350.0)</f>
        <v>108350</v>
      </c>
    </row>
    <row r="13435">
      <c r="A13435" t="str">
        <f t="shared" si="1"/>
        <v>vct#2004</v>
      </c>
      <c r="B13435" t="str">
        <f>IFERROR(__xludf.DUMMYFUNCTION("""COMPUTED_VALUE"""),"vct")</f>
        <v>vct</v>
      </c>
      <c r="C13435" t="str">
        <f>IFERROR(__xludf.DUMMYFUNCTION("""COMPUTED_VALUE"""),"St. Vincent and the Grenadines")</f>
        <v>St. Vincent and the Grenadines</v>
      </c>
      <c r="D13435">
        <f>IFERROR(__xludf.DUMMYFUNCTION("""COMPUTED_VALUE"""),2004.0)</f>
        <v>2004</v>
      </c>
      <c r="E13435">
        <f>IFERROR(__xludf.DUMMYFUNCTION("""COMPUTED_VALUE"""),108559.0)</f>
        <v>108559</v>
      </c>
    </row>
    <row r="13436">
      <c r="A13436" t="str">
        <f t="shared" si="1"/>
        <v>vct#2005</v>
      </c>
      <c r="B13436" t="str">
        <f>IFERROR(__xludf.DUMMYFUNCTION("""COMPUTED_VALUE"""),"vct")</f>
        <v>vct</v>
      </c>
      <c r="C13436" t="str">
        <f>IFERROR(__xludf.DUMMYFUNCTION("""COMPUTED_VALUE"""),"St. Vincent and the Grenadines")</f>
        <v>St. Vincent and the Grenadines</v>
      </c>
      <c r="D13436">
        <f>IFERROR(__xludf.DUMMYFUNCTION("""COMPUTED_VALUE"""),2005.0)</f>
        <v>2005</v>
      </c>
      <c r="E13436">
        <f>IFERROR(__xludf.DUMMYFUNCTION("""COMPUTED_VALUE"""),108744.0)</f>
        <v>108744</v>
      </c>
    </row>
    <row r="13437">
      <c r="A13437" t="str">
        <f t="shared" si="1"/>
        <v>vct#2006</v>
      </c>
      <c r="B13437" t="str">
        <f>IFERROR(__xludf.DUMMYFUNCTION("""COMPUTED_VALUE"""),"vct")</f>
        <v>vct</v>
      </c>
      <c r="C13437" t="str">
        <f>IFERROR(__xludf.DUMMYFUNCTION("""COMPUTED_VALUE"""),"St. Vincent and the Grenadines")</f>
        <v>St. Vincent and the Grenadines</v>
      </c>
      <c r="D13437">
        <f>IFERROR(__xludf.DUMMYFUNCTION("""COMPUTED_VALUE"""),2006.0)</f>
        <v>2006</v>
      </c>
      <c r="E13437">
        <f>IFERROR(__xludf.DUMMYFUNCTION("""COMPUTED_VALUE"""),108907.0)</f>
        <v>108907</v>
      </c>
    </row>
    <row r="13438">
      <c r="A13438" t="str">
        <f t="shared" si="1"/>
        <v>vct#2007</v>
      </c>
      <c r="B13438" t="str">
        <f>IFERROR(__xludf.DUMMYFUNCTION("""COMPUTED_VALUE"""),"vct")</f>
        <v>vct</v>
      </c>
      <c r="C13438" t="str">
        <f>IFERROR(__xludf.DUMMYFUNCTION("""COMPUTED_VALUE"""),"St. Vincent and the Grenadines")</f>
        <v>St. Vincent and the Grenadines</v>
      </c>
      <c r="D13438">
        <f>IFERROR(__xludf.DUMMYFUNCTION("""COMPUTED_VALUE"""),2007.0)</f>
        <v>2007</v>
      </c>
      <c r="E13438">
        <f>IFERROR(__xludf.DUMMYFUNCTION("""COMPUTED_VALUE"""),109047.0)</f>
        <v>109047</v>
      </c>
    </row>
    <row r="13439">
      <c r="A13439" t="str">
        <f t="shared" si="1"/>
        <v>vct#2008</v>
      </c>
      <c r="B13439" t="str">
        <f>IFERROR(__xludf.DUMMYFUNCTION("""COMPUTED_VALUE"""),"vct")</f>
        <v>vct</v>
      </c>
      <c r="C13439" t="str">
        <f>IFERROR(__xludf.DUMMYFUNCTION("""COMPUTED_VALUE"""),"St. Vincent and the Grenadines")</f>
        <v>St. Vincent and the Grenadines</v>
      </c>
      <c r="D13439">
        <f>IFERROR(__xludf.DUMMYFUNCTION("""COMPUTED_VALUE"""),2008.0)</f>
        <v>2008</v>
      </c>
      <c r="E13439">
        <f>IFERROR(__xludf.DUMMYFUNCTION("""COMPUTED_VALUE"""),109165.0)</f>
        <v>109165</v>
      </c>
    </row>
    <row r="13440">
      <c r="A13440" t="str">
        <f t="shared" si="1"/>
        <v>vct#2009</v>
      </c>
      <c r="B13440" t="str">
        <f>IFERROR(__xludf.DUMMYFUNCTION("""COMPUTED_VALUE"""),"vct")</f>
        <v>vct</v>
      </c>
      <c r="C13440" t="str">
        <f>IFERROR(__xludf.DUMMYFUNCTION("""COMPUTED_VALUE"""),"St. Vincent and the Grenadines")</f>
        <v>St. Vincent and the Grenadines</v>
      </c>
      <c r="D13440">
        <f>IFERROR(__xludf.DUMMYFUNCTION("""COMPUTED_VALUE"""),2009.0)</f>
        <v>2009</v>
      </c>
      <c r="E13440">
        <f>IFERROR(__xludf.DUMMYFUNCTION("""COMPUTED_VALUE"""),109253.0)</f>
        <v>109253</v>
      </c>
    </row>
    <row r="13441">
      <c r="A13441" t="str">
        <f t="shared" si="1"/>
        <v>vct#2010</v>
      </c>
      <c r="B13441" t="str">
        <f>IFERROR(__xludf.DUMMYFUNCTION("""COMPUTED_VALUE"""),"vct")</f>
        <v>vct</v>
      </c>
      <c r="C13441" t="str">
        <f>IFERROR(__xludf.DUMMYFUNCTION("""COMPUTED_VALUE"""),"St. Vincent and the Grenadines")</f>
        <v>St. Vincent and the Grenadines</v>
      </c>
      <c r="D13441">
        <f>IFERROR(__xludf.DUMMYFUNCTION("""COMPUTED_VALUE"""),2010.0)</f>
        <v>2010</v>
      </c>
      <c r="E13441">
        <f>IFERROR(__xludf.DUMMYFUNCTION("""COMPUTED_VALUE"""),109315.0)</f>
        <v>109315</v>
      </c>
    </row>
    <row r="13442">
      <c r="A13442" t="str">
        <f t="shared" si="1"/>
        <v>vct#2011</v>
      </c>
      <c r="B13442" t="str">
        <f>IFERROR(__xludf.DUMMYFUNCTION("""COMPUTED_VALUE"""),"vct")</f>
        <v>vct</v>
      </c>
      <c r="C13442" t="str">
        <f>IFERROR(__xludf.DUMMYFUNCTION("""COMPUTED_VALUE"""),"St. Vincent and the Grenadines")</f>
        <v>St. Vincent and the Grenadines</v>
      </c>
      <c r="D13442">
        <f>IFERROR(__xludf.DUMMYFUNCTION("""COMPUTED_VALUE"""),2011.0)</f>
        <v>2011</v>
      </c>
      <c r="E13442">
        <f>IFERROR(__xludf.DUMMYFUNCTION("""COMPUTED_VALUE"""),109341.0)</f>
        <v>109341</v>
      </c>
    </row>
    <row r="13443">
      <c r="A13443" t="str">
        <f t="shared" si="1"/>
        <v>vct#2012</v>
      </c>
      <c r="B13443" t="str">
        <f>IFERROR(__xludf.DUMMYFUNCTION("""COMPUTED_VALUE"""),"vct")</f>
        <v>vct</v>
      </c>
      <c r="C13443" t="str">
        <f>IFERROR(__xludf.DUMMYFUNCTION("""COMPUTED_VALUE"""),"St. Vincent and the Grenadines")</f>
        <v>St. Vincent and the Grenadines</v>
      </c>
      <c r="D13443">
        <f>IFERROR(__xludf.DUMMYFUNCTION("""COMPUTED_VALUE"""),2012.0)</f>
        <v>2012</v>
      </c>
      <c r="E13443">
        <f>IFERROR(__xludf.DUMMYFUNCTION("""COMPUTED_VALUE"""),109328.0)</f>
        <v>109328</v>
      </c>
    </row>
    <row r="13444">
      <c r="A13444" t="str">
        <f t="shared" si="1"/>
        <v>vct#2013</v>
      </c>
      <c r="B13444" t="str">
        <f>IFERROR(__xludf.DUMMYFUNCTION("""COMPUTED_VALUE"""),"vct")</f>
        <v>vct</v>
      </c>
      <c r="C13444" t="str">
        <f>IFERROR(__xludf.DUMMYFUNCTION("""COMPUTED_VALUE"""),"St. Vincent and the Grenadines")</f>
        <v>St. Vincent and the Grenadines</v>
      </c>
      <c r="D13444">
        <f>IFERROR(__xludf.DUMMYFUNCTION("""COMPUTED_VALUE"""),2013.0)</f>
        <v>2013</v>
      </c>
      <c r="E13444">
        <f>IFERROR(__xludf.DUMMYFUNCTION("""COMPUTED_VALUE"""),109320.0)</f>
        <v>109320</v>
      </c>
    </row>
    <row r="13445">
      <c r="A13445" t="str">
        <f t="shared" si="1"/>
        <v>vct#2014</v>
      </c>
      <c r="B13445" t="str">
        <f>IFERROR(__xludf.DUMMYFUNCTION("""COMPUTED_VALUE"""),"vct")</f>
        <v>vct</v>
      </c>
      <c r="C13445" t="str">
        <f>IFERROR(__xludf.DUMMYFUNCTION("""COMPUTED_VALUE"""),"St. Vincent and the Grenadines")</f>
        <v>St. Vincent and the Grenadines</v>
      </c>
      <c r="D13445">
        <f>IFERROR(__xludf.DUMMYFUNCTION("""COMPUTED_VALUE"""),2014.0)</f>
        <v>2014</v>
      </c>
      <c r="E13445">
        <f>IFERROR(__xludf.DUMMYFUNCTION("""COMPUTED_VALUE"""),109357.0)</f>
        <v>109357</v>
      </c>
    </row>
    <row r="13446">
      <c r="A13446" t="str">
        <f t="shared" si="1"/>
        <v>vct#2015</v>
      </c>
      <c r="B13446" t="str">
        <f>IFERROR(__xludf.DUMMYFUNCTION("""COMPUTED_VALUE"""),"vct")</f>
        <v>vct</v>
      </c>
      <c r="C13446" t="str">
        <f>IFERROR(__xludf.DUMMYFUNCTION("""COMPUTED_VALUE"""),"St. Vincent and the Grenadines")</f>
        <v>St. Vincent and the Grenadines</v>
      </c>
      <c r="D13446">
        <f>IFERROR(__xludf.DUMMYFUNCTION("""COMPUTED_VALUE"""),2015.0)</f>
        <v>2015</v>
      </c>
      <c r="E13446">
        <f>IFERROR(__xludf.DUMMYFUNCTION("""COMPUTED_VALUE"""),109455.0)</f>
        <v>109455</v>
      </c>
    </row>
    <row r="13447">
      <c r="A13447" t="str">
        <f t="shared" si="1"/>
        <v>vct#2016</v>
      </c>
      <c r="B13447" t="str">
        <f>IFERROR(__xludf.DUMMYFUNCTION("""COMPUTED_VALUE"""),"vct")</f>
        <v>vct</v>
      </c>
      <c r="C13447" t="str">
        <f>IFERROR(__xludf.DUMMYFUNCTION("""COMPUTED_VALUE"""),"St. Vincent and the Grenadines")</f>
        <v>St. Vincent and the Grenadines</v>
      </c>
      <c r="D13447">
        <f>IFERROR(__xludf.DUMMYFUNCTION("""COMPUTED_VALUE"""),2016.0)</f>
        <v>2016</v>
      </c>
      <c r="E13447">
        <f>IFERROR(__xludf.DUMMYFUNCTION("""COMPUTED_VALUE"""),109643.0)</f>
        <v>109643</v>
      </c>
    </row>
    <row r="13448">
      <c r="A13448" t="str">
        <f t="shared" si="1"/>
        <v>vct#2017</v>
      </c>
      <c r="B13448" t="str">
        <f>IFERROR(__xludf.DUMMYFUNCTION("""COMPUTED_VALUE"""),"vct")</f>
        <v>vct</v>
      </c>
      <c r="C13448" t="str">
        <f>IFERROR(__xludf.DUMMYFUNCTION("""COMPUTED_VALUE"""),"St. Vincent and the Grenadines")</f>
        <v>St. Vincent and the Grenadines</v>
      </c>
      <c r="D13448">
        <f>IFERROR(__xludf.DUMMYFUNCTION("""COMPUTED_VALUE"""),2017.0)</f>
        <v>2017</v>
      </c>
      <c r="E13448">
        <f>IFERROR(__xludf.DUMMYFUNCTION("""COMPUTED_VALUE"""),109897.0)</f>
        <v>109897</v>
      </c>
    </row>
    <row r="13449">
      <c r="A13449" t="str">
        <f t="shared" si="1"/>
        <v>vct#2018</v>
      </c>
      <c r="B13449" t="str">
        <f>IFERROR(__xludf.DUMMYFUNCTION("""COMPUTED_VALUE"""),"vct")</f>
        <v>vct</v>
      </c>
      <c r="C13449" t="str">
        <f>IFERROR(__xludf.DUMMYFUNCTION("""COMPUTED_VALUE"""),"St. Vincent and the Grenadines")</f>
        <v>St. Vincent and the Grenadines</v>
      </c>
      <c r="D13449">
        <f>IFERROR(__xludf.DUMMYFUNCTION("""COMPUTED_VALUE"""),2018.0)</f>
        <v>2018</v>
      </c>
      <c r="E13449">
        <f>IFERROR(__xludf.DUMMYFUNCTION("""COMPUTED_VALUE"""),110200.0)</f>
        <v>110200</v>
      </c>
    </row>
    <row r="13450">
      <c r="A13450" t="str">
        <f t="shared" si="1"/>
        <v>vct#2019</v>
      </c>
      <c r="B13450" t="str">
        <f>IFERROR(__xludf.DUMMYFUNCTION("""COMPUTED_VALUE"""),"vct")</f>
        <v>vct</v>
      </c>
      <c r="C13450" t="str">
        <f>IFERROR(__xludf.DUMMYFUNCTION("""COMPUTED_VALUE"""),"St. Vincent and the Grenadines")</f>
        <v>St. Vincent and the Grenadines</v>
      </c>
      <c r="D13450">
        <f>IFERROR(__xludf.DUMMYFUNCTION("""COMPUTED_VALUE"""),2019.0)</f>
        <v>2019</v>
      </c>
      <c r="E13450">
        <f>IFERROR(__xludf.DUMMYFUNCTION("""COMPUTED_VALUE"""),110488.0)</f>
        <v>110488</v>
      </c>
    </row>
    <row r="13451">
      <c r="A13451" t="str">
        <f t="shared" si="1"/>
        <v>vct#2020</v>
      </c>
      <c r="B13451" t="str">
        <f>IFERROR(__xludf.DUMMYFUNCTION("""COMPUTED_VALUE"""),"vct")</f>
        <v>vct</v>
      </c>
      <c r="C13451" t="str">
        <f>IFERROR(__xludf.DUMMYFUNCTION("""COMPUTED_VALUE"""),"St. Vincent and the Grenadines")</f>
        <v>St. Vincent and the Grenadines</v>
      </c>
      <c r="D13451">
        <f>IFERROR(__xludf.DUMMYFUNCTION("""COMPUTED_VALUE"""),2020.0)</f>
        <v>2020</v>
      </c>
      <c r="E13451">
        <f>IFERROR(__xludf.DUMMYFUNCTION("""COMPUTED_VALUE"""),110757.0)</f>
        <v>110757</v>
      </c>
    </row>
    <row r="13452">
      <c r="A13452" t="str">
        <f t="shared" si="1"/>
        <v>vct#2021</v>
      </c>
      <c r="B13452" t="str">
        <f>IFERROR(__xludf.DUMMYFUNCTION("""COMPUTED_VALUE"""),"vct")</f>
        <v>vct</v>
      </c>
      <c r="C13452" t="str">
        <f>IFERROR(__xludf.DUMMYFUNCTION("""COMPUTED_VALUE"""),"St. Vincent and the Grenadines")</f>
        <v>St. Vincent and the Grenadines</v>
      </c>
      <c r="D13452">
        <f>IFERROR(__xludf.DUMMYFUNCTION("""COMPUTED_VALUE"""),2021.0)</f>
        <v>2021</v>
      </c>
      <c r="E13452">
        <f>IFERROR(__xludf.DUMMYFUNCTION("""COMPUTED_VALUE"""),110986.0)</f>
        <v>110986</v>
      </c>
    </row>
    <row r="13453">
      <c r="A13453" t="str">
        <f t="shared" si="1"/>
        <v>vct#2022</v>
      </c>
      <c r="B13453" t="str">
        <f>IFERROR(__xludf.DUMMYFUNCTION("""COMPUTED_VALUE"""),"vct")</f>
        <v>vct</v>
      </c>
      <c r="C13453" t="str">
        <f>IFERROR(__xludf.DUMMYFUNCTION("""COMPUTED_VALUE"""),"St. Vincent and the Grenadines")</f>
        <v>St. Vincent and the Grenadines</v>
      </c>
      <c r="D13453">
        <f>IFERROR(__xludf.DUMMYFUNCTION("""COMPUTED_VALUE"""),2022.0)</f>
        <v>2022</v>
      </c>
      <c r="E13453">
        <f>IFERROR(__xludf.DUMMYFUNCTION("""COMPUTED_VALUE"""),111184.0)</f>
        <v>111184</v>
      </c>
    </row>
    <row r="13454">
      <c r="A13454" t="str">
        <f t="shared" si="1"/>
        <v>vct#2023</v>
      </c>
      <c r="B13454" t="str">
        <f>IFERROR(__xludf.DUMMYFUNCTION("""COMPUTED_VALUE"""),"vct")</f>
        <v>vct</v>
      </c>
      <c r="C13454" t="str">
        <f>IFERROR(__xludf.DUMMYFUNCTION("""COMPUTED_VALUE"""),"St. Vincent and the Grenadines")</f>
        <v>St. Vincent and the Grenadines</v>
      </c>
      <c r="D13454">
        <f>IFERROR(__xludf.DUMMYFUNCTION("""COMPUTED_VALUE"""),2023.0)</f>
        <v>2023</v>
      </c>
      <c r="E13454">
        <f>IFERROR(__xludf.DUMMYFUNCTION("""COMPUTED_VALUE"""),111348.0)</f>
        <v>111348</v>
      </c>
    </row>
    <row r="13455">
      <c r="A13455" t="str">
        <f t="shared" si="1"/>
        <v>vct#2024</v>
      </c>
      <c r="B13455" t="str">
        <f>IFERROR(__xludf.DUMMYFUNCTION("""COMPUTED_VALUE"""),"vct")</f>
        <v>vct</v>
      </c>
      <c r="C13455" t="str">
        <f>IFERROR(__xludf.DUMMYFUNCTION("""COMPUTED_VALUE"""),"St. Vincent and the Grenadines")</f>
        <v>St. Vincent and the Grenadines</v>
      </c>
      <c r="D13455">
        <f>IFERROR(__xludf.DUMMYFUNCTION("""COMPUTED_VALUE"""),2024.0)</f>
        <v>2024</v>
      </c>
      <c r="E13455">
        <f>IFERROR(__xludf.DUMMYFUNCTION("""COMPUTED_VALUE"""),111506.0)</f>
        <v>111506</v>
      </c>
    </row>
    <row r="13456">
      <c r="A13456" t="str">
        <f t="shared" si="1"/>
        <v>vct#2025</v>
      </c>
      <c r="B13456" t="str">
        <f>IFERROR(__xludf.DUMMYFUNCTION("""COMPUTED_VALUE"""),"vct")</f>
        <v>vct</v>
      </c>
      <c r="C13456" t="str">
        <f>IFERROR(__xludf.DUMMYFUNCTION("""COMPUTED_VALUE"""),"St. Vincent and the Grenadines")</f>
        <v>St. Vincent and the Grenadines</v>
      </c>
      <c r="D13456">
        <f>IFERROR(__xludf.DUMMYFUNCTION("""COMPUTED_VALUE"""),2025.0)</f>
        <v>2025</v>
      </c>
      <c r="E13456">
        <f>IFERROR(__xludf.DUMMYFUNCTION("""COMPUTED_VALUE"""),111643.0)</f>
        <v>111643</v>
      </c>
    </row>
    <row r="13457">
      <c r="A13457" t="str">
        <f t="shared" si="1"/>
        <v>vct#2026</v>
      </c>
      <c r="B13457" t="str">
        <f>IFERROR(__xludf.DUMMYFUNCTION("""COMPUTED_VALUE"""),"vct")</f>
        <v>vct</v>
      </c>
      <c r="C13457" t="str">
        <f>IFERROR(__xludf.DUMMYFUNCTION("""COMPUTED_VALUE"""),"St. Vincent and the Grenadines")</f>
        <v>St. Vincent and the Grenadines</v>
      </c>
      <c r="D13457">
        <f>IFERROR(__xludf.DUMMYFUNCTION("""COMPUTED_VALUE"""),2026.0)</f>
        <v>2026</v>
      </c>
      <c r="E13457">
        <f>IFERROR(__xludf.DUMMYFUNCTION("""COMPUTED_VALUE"""),111773.0)</f>
        <v>111773</v>
      </c>
    </row>
    <row r="13458">
      <c r="A13458" t="str">
        <f t="shared" si="1"/>
        <v>vct#2027</v>
      </c>
      <c r="B13458" t="str">
        <f>IFERROR(__xludf.DUMMYFUNCTION("""COMPUTED_VALUE"""),"vct")</f>
        <v>vct</v>
      </c>
      <c r="C13458" t="str">
        <f>IFERROR(__xludf.DUMMYFUNCTION("""COMPUTED_VALUE"""),"St. Vincent and the Grenadines")</f>
        <v>St. Vincent and the Grenadines</v>
      </c>
      <c r="D13458">
        <f>IFERROR(__xludf.DUMMYFUNCTION("""COMPUTED_VALUE"""),2027.0)</f>
        <v>2027</v>
      </c>
      <c r="E13458">
        <f>IFERROR(__xludf.DUMMYFUNCTION("""COMPUTED_VALUE"""),111877.0)</f>
        <v>111877</v>
      </c>
    </row>
    <row r="13459">
      <c r="A13459" t="str">
        <f t="shared" si="1"/>
        <v>vct#2028</v>
      </c>
      <c r="B13459" t="str">
        <f>IFERROR(__xludf.DUMMYFUNCTION("""COMPUTED_VALUE"""),"vct")</f>
        <v>vct</v>
      </c>
      <c r="C13459" t="str">
        <f>IFERROR(__xludf.DUMMYFUNCTION("""COMPUTED_VALUE"""),"St. Vincent and the Grenadines")</f>
        <v>St. Vincent and the Grenadines</v>
      </c>
      <c r="D13459">
        <f>IFERROR(__xludf.DUMMYFUNCTION("""COMPUTED_VALUE"""),2028.0)</f>
        <v>2028</v>
      </c>
      <c r="E13459">
        <f>IFERROR(__xludf.DUMMYFUNCTION("""COMPUTED_VALUE"""),111974.0)</f>
        <v>111974</v>
      </c>
    </row>
    <row r="13460">
      <c r="A13460" t="str">
        <f t="shared" si="1"/>
        <v>vct#2029</v>
      </c>
      <c r="B13460" t="str">
        <f>IFERROR(__xludf.DUMMYFUNCTION("""COMPUTED_VALUE"""),"vct")</f>
        <v>vct</v>
      </c>
      <c r="C13460" t="str">
        <f>IFERROR(__xludf.DUMMYFUNCTION("""COMPUTED_VALUE"""),"St. Vincent and the Grenadines")</f>
        <v>St. Vincent and the Grenadines</v>
      </c>
      <c r="D13460">
        <f>IFERROR(__xludf.DUMMYFUNCTION("""COMPUTED_VALUE"""),2029.0)</f>
        <v>2029</v>
      </c>
      <c r="E13460">
        <f>IFERROR(__xludf.DUMMYFUNCTION("""COMPUTED_VALUE"""),112049.0)</f>
        <v>112049</v>
      </c>
    </row>
    <row r="13461">
      <c r="A13461" t="str">
        <f t="shared" si="1"/>
        <v>vct#2030</v>
      </c>
      <c r="B13461" t="str">
        <f>IFERROR(__xludf.DUMMYFUNCTION("""COMPUTED_VALUE"""),"vct")</f>
        <v>vct</v>
      </c>
      <c r="C13461" t="str">
        <f>IFERROR(__xludf.DUMMYFUNCTION("""COMPUTED_VALUE"""),"St. Vincent and the Grenadines")</f>
        <v>St. Vincent and the Grenadines</v>
      </c>
      <c r="D13461">
        <f>IFERROR(__xludf.DUMMYFUNCTION("""COMPUTED_VALUE"""),2030.0)</f>
        <v>2030</v>
      </c>
      <c r="E13461">
        <f>IFERROR(__xludf.DUMMYFUNCTION("""COMPUTED_VALUE"""),112106.0)</f>
        <v>112106</v>
      </c>
    </row>
    <row r="13462">
      <c r="A13462" t="str">
        <f t="shared" si="1"/>
        <v>vct#2031</v>
      </c>
      <c r="B13462" t="str">
        <f>IFERROR(__xludf.DUMMYFUNCTION("""COMPUTED_VALUE"""),"vct")</f>
        <v>vct</v>
      </c>
      <c r="C13462" t="str">
        <f>IFERROR(__xludf.DUMMYFUNCTION("""COMPUTED_VALUE"""),"St. Vincent and the Grenadines")</f>
        <v>St. Vincent and the Grenadines</v>
      </c>
      <c r="D13462">
        <f>IFERROR(__xludf.DUMMYFUNCTION("""COMPUTED_VALUE"""),2031.0)</f>
        <v>2031</v>
      </c>
      <c r="E13462">
        <f>IFERROR(__xludf.DUMMYFUNCTION("""COMPUTED_VALUE"""),112163.0)</f>
        <v>112163</v>
      </c>
    </row>
    <row r="13463">
      <c r="A13463" t="str">
        <f t="shared" si="1"/>
        <v>vct#2032</v>
      </c>
      <c r="B13463" t="str">
        <f>IFERROR(__xludf.DUMMYFUNCTION("""COMPUTED_VALUE"""),"vct")</f>
        <v>vct</v>
      </c>
      <c r="C13463" t="str">
        <f>IFERROR(__xludf.DUMMYFUNCTION("""COMPUTED_VALUE"""),"St. Vincent and the Grenadines")</f>
        <v>St. Vincent and the Grenadines</v>
      </c>
      <c r="D13463">
        <f>IFERROR(__xludf.DUMMYFUNCTION("""COMPUTED_VALUE"""),2032.0)</f>
        <v>2032</v>
      </c>
      <c r="E13463">
        <f>IFERROR(__xludf.DUMMYFUNCTION("""COMPUTED_VALUE"""),112187.0)</f>
        <v>112187</v>
      </c>
    </row>
    <row r="13464">
      <c r="A13464" t="str">
        <f t="shared" si="1"/>
        <v>vct#2033</v>
      </c>
      <c r="B13464" t="str">
        <f>IFERROR(__xludf.DUMMYFUNCTION("""COMPUTED_VALUE"""),"vct")</f>
        <v>vct</v>
      </c>
      <c r="C13464" t="str">
        <f>IFERROR(__xludf.DUMMYFUNCTION("""COMPUTED_VALUE"""),"St. Vincent and the Grenadines")</f>
        <v>St. Vincent and the Grenadines</v>
      </c>
      <c r="D13464">
        <f>IFERROR(__xludf.DUMMYFUNCTION("""COMPUTED_VALUE"""),2033.0)</f>
        <v>2033</v>
      </c>
      <c r="E13464">
        <f>IFERROR(__xludf.DUMMYFUNCTION("""COMPUTED_VALUE"""),112208.0)</f>
        <v>112208</v>
      </c>
    </row>
    <row r="13465">
      <c r="A13465" t="str">
        <f t="shared" si="1"/>
        <v>vct#2034</v>
      </c>
      <c r="B13465" t="str">
        <f>IFERROR(__xludf.DUMMYFUNCTION("""COMPUTED_VALUE"""),"vct")</f>
        <v>vct</v>
      </c>
      <c r="C13465" t="str">
        <f>IFERROR(__xludf.DUMMYFUNCTION("""COMPUTED_VALUE"""),"St. Vincent and the Grenadines")</f>
        <v>St. Vincent and the Grenadines</v>
      </c>
      <c r="D13465">
        <f>IFERROR(__xludf.DUMMYFUNCTION("""COMPUTED_VALUE"""),2034.0)</f>
        <v>2034</v>
      </c>
      <c r="E13465">
        <f>IFERROR(__xludf.DUMMYFUNCTION("""COMPUTED_VALUE"""),112216.0)</f>
        <v>112216</v>
      </c>
    </row>
    <row r="13466">
      <c r="A13466" t="str">
        <f t="shared" si="1"/>
        <v>vct#2035</v>
      </c>
      <c r="B13466" t="str">
        <f>IFERROR(__xludf.DUMMYFUNCTION("""COMPUTED_VALUE"""),"vct")</f>
        <v>vct</v>
      </c>
      <c r="C13466" t="str">
        <f>IFERROR(__xludf.DUMMYFUNCTION("""COMPUTED_VALUE"""),"St. Vincent and the Grenadines")</f>
        <v>St. Vincent and the Grenadines</v>
      </c>
      <c r="D13466">
        <f>IFERROR(__xludf.DUMMYFUNCTION("""COMPUTED_VALUE"""),2035.0)</f>
        <v>2035</v>
      </c>
      <c r="E13466">
        <f>IFERROR(__xludf.DUMMYFUNCTION("""COMPUTED_VALUE"""),112219.0)</f>
        <v>112219</v>
      </c>
    </row>
    <row r="13467">
      <c r="A13467" t="str">
        <f t="shared" si="1"/>
        <v>vct#2036</v>
      </c>
      <c r="B13467" t="str">
        <f>IFERROR(__xludf.DUMMYFUNCTION("""COMPUTED_VALUE"""),"vct")</f>
        <v>vct</v>
      </c>
      <c r="C13467" t="str">
        <f>IFERROR(__xludf.DUMMYFUNCTION("""COMPUTED_VALUE"""),"St. Vincent and the Grenadines")</f>
        <v>St. Vincent and the Grenadines</v>
      </c>
      <c r="D13467">
        <f>IFERROR(__xludf.DUMMYFUNCTION("""COMPUTED_VALUE"""),2036.0)</f>
        <v>2036</v>
      </c>
      <c r="E13467">
        <f>IFERROR(__xludf.DUMMYFUNCTION("""COMPUTED_VALUE"""),112207.0)</f>
        <v>112207</v>
      </c>
    </row>
    <row r="13468">
      <c r="A13468" t="str">
        <f t="shared" si="1"/>
        <v>vct#2037</v>
      </c>
      <c r="B13468" t="str">
        <f>IFERROR(__xludf.DUMMYFUNCTION("""COMPUTED_VALUE"""),"vct")</f>
        <v>vct</v>
      </c>
      <c r="C13468" t="str">
        <f>IFERROR(__xludf.DUMMYFUNCTION("""COMPUTED_VALUE"""),"St. Vincent and the Grenadines")</f>
        <v>St. Vincent and the Grenadines</v>
      </c>
      <c r="D13468">
        <f>IFERROR(__xludf.DUMMYFUNCTION("""COMPUTED_VALUE"""),2037.0)</f>
        <v>2037</v>
      </c>
      <c r="E13468">
        <f>IFERROR(__xludf.DUMMYFUNCTION("""COMPUTED_VALUE"""),112190.0)</f>
        <v>112190</v>
      </c>
    </row>
    <row r="13469">
      <c r="A13469" t="str">
        <f t="shared" si="1"/>
        <v>vct#2038</v>
      </c>
      <c r="B13469" t="str">
        <f>IFERROR(__xludf.DUMMYFUNCTION("""COMPUTED_VALUE"""),"vct")</f>
        <v>vct</v>
      </c>
      <c r="C13469" t="str">
        <f>IFERROR(__xludf.DUMMYFUNCTION("""COMPUTED_VALUE"""),"St. Vincent and the Grenadines")</f>
        <v>St. Vincent and the Grenadines</v>
      </c>
      <c r="D13469">
        <f>IFERROR(__xludf.DUMMYFUNCTION("""COMPUTED_VALUE"""),2038.0)</f>
        <v>2038</v>
      </c>
      <c r="E13469">
        <f>IFERROR(__xludf.DUMMYFUNCTION("""COMPUTED_VALUE"""),112160.0)</f>
        <v>112160</v>
      </c>
    </row>
    <row r="13470">
      <c r="A13470" t="str">
        <f t="shared" si="1"/>
        <v>vct#2039</v>
      </c>
      <c r="B13470" t="str">
        <f>IFERROR(__xludf.DUMMYFUNCTION("""COMPUTED_VALUE"""),"vct")</f>
        <v>vct</v>
      </c>
      <c r="C13470" t="str">
        <f>IFERROR(__xludf.DUMMYFUNCTION("""COMPUTED_VALUE"""),"St. Vincent and the Grenadines")</f>
        <v>St. Vincent and the Grenadines</v>
      </c>
      <c r="D13470">
        <f>IFERROR(__xludf.DUMMYFUNCTION("""COMPUTED_VALUE"""),2039.0)</f>
        <v>2039</v>
      </c>
      <c r="E13470">
        <f>IFERROR(__xludf.DUMMYFUNCTION("""COMPUTED_VALUE"""),112099.0)</f>
        <v>112099</v>
      </c>
    </row>
    <row r="13471">
      <c r="A13471" t="str">
        <f t="shared" si="1"/>
        <v>vct#2040</v>
      </c>
      <c r="B13471" t="str">
        <f>IFERROR(__xludf.DUMMYFUNCTION("""COMPUTED_VALUE"""),"vct")</f>
        <v>vct</v>
      </c>
      <c r="C13471" t="str">
        <f>IFERROR(__xludf.DUMMYFUNCTION("""COMPUTED_VALUE"""),"St. Vincent and the Grenadines")</f>
        <v>St. Vincent and the Grenadines</v>
      </c>
      <c r="D13471">
        <f>IFERROR(__xludf.DUMMYFUNCTION("""COMPUTED_VALUE"""),2040.0)</f>
        <v>2040</v>
      </c>
      <c r="E13471">
        <f>IFERROR(__xludf.DUMMYFUNCTION("""COMPUTED_VALUE"""),112012.0)</f>
        <v>112012</v>
      </c>
    </row>
    <row r="13472">
      <c r="A13472" t="str">
        <f t="shared" si="1"/>
        <v>wsm#1950</v>
      </c>
      <c r="B13472" t="str">
        <f>IFERROR(__xludf.DUMMYFUNCTION("""COMPUTED_VALUE"""),"wsm")</f>
        <v>wsm</v>
      </c>
      <c r="C13472" t="str">
        <f>IFERROR(__xludf.DUMMYFUNCTION("""COMPUTED_VALUE"""),"Samoa")</f>
        <v>Samoa</v>
      </c>
      <c r="D13472">
        <f>IFERROR(__xludf.DUMMYFUNCTION("""COMPUTED_VALUE"""),1950.0)</f>
        <v>1950</v>
      </c>
      <c r="E13472">
        <f>IFERROR(__xludf.DUMMYFUNCTION("""COMPUTED_VALUE"""),82097.0)</f>
        <v>82097</v>
      </c>
    </row>
    <row r="13473">
      <c r="A13473" t="str">
        <f t="shared" si="1"/>
        <v>wsm#1951</v>
      </c>
      <c r="B13473" t="str">
        <f>IFERROR(__xludf.DUMMYFUNCTION("""COMPUTED_VALUE"""),"wsm")</f>
        <v>wsm</v>
      </c>
      <c r="C13473" t="str">
        <f>IFERROR(__xludf.DUMMYFUNCTION("""COMPUTED_VALUE"""),"Samoa")</f>
        <v>Samoa</v>
      </c>
      <c r="D13473">
        <f>IFERROR(__xludf.DUMMYFUNCTION("""COMPUTED_VALUE"""),1951.0)</f>
        <v>1951</v>
      </c>
      <c r="E13473">
        <f>IFERROR(__xludf.DUMMYFUNCTION("""COMPUTED_VALUE"""),84437.0)</f>
        <v>84437</v>
      </c>
    </row>
    <row r="13474">
      <c r="A13474" t="str">
        <f t="shared" si="1"/>
        <v>wsm#1952</v>
      </c>
      <c r="B13474" t="str">
        <f>IFERROR(__xludf.DUMMYFUNCTION("""COMPUTED_VALUE"""),"wsm")</f>
        <v>wsm</v>
      </c>
      <c r="C13474" t="str">
        <f>IFERROR(__xludf.DUMMYFUNCTION("""COMPUTED_VALUE"""),"Samoa")</f>
        <v>Samoa</v>
      </c>
      <c r="D13474">
        <f>IFERROR(__xludf.DUMMYFUNCTION("""COMPUTED_VALUE"""),1952.0)</f>
        <v>1952</v>
      </c>
      <c r="E13474">
        <f>IFERROR(__xludf.DUMMYFUNCTION("""COMPUTED_VALUE"""),86819.0)</f>
        <v>86819</v>
      </c>
    </row>
    <row r="13475">
      <c r="A13475" t="str">
        <f t="shared" si="1"/>
        <v>wsm#1953</v>
      </c>
      <c r="B13475" t="str">
        <f>IFERROR(__xludf.DUMMYFUNCTION("""COMPUTED_VALUE"""),"wsm")</f>
        <v>wsm</v>
      </c>
      <c r="C13475" t="str">
        <f>IFERROR(__xludf.DUMMYFUNCTION("""COMPUTED_VALUE"""),"Samoa")</f>
        <v>Samoa</v>
      </c>
      <c r="D13475">
        <f>IFERROR(__xludf.DUMMYFUNCTION("""COMPUTED_VALUE"""),1953.0)</f>
        <v>1953</v>
      </c>
      <c r="E13475">
        <f>IFERROR(__xludf.DUMMYFUNCTION("""COMPUTED_VALUE"""),89238.0)</f>
        <v>89238</v>
      </c>
    </row>
    <row r="13476">
      <c r="A13476" t="str">
        <f t="shared" si="1"/>
        <v>wsm#1954</v>
      </c>
      <c r="B13476" t="str">
        <f>IFERROR(__xludf.DUMMYFUNCTION("""COMPUTED_VALUE"""),"wsm")</f>
        <v>wsm</v>
      </c>
      <c r="C13476" t="str">
        <f>IFERROR(__xludf.DUMMYFUNCTION("""COMPUTED_VALUE"""),"Samoa")</f>
        <v>Samoa</v>
      </c>
      <c r="D13476">
        <f>IFERROR(__xludf.DUMMYFUNCTION("""COMPUTED_VALUE"""),1954.0)</f>
        <v>1954</v>
      </c>
      <c r="E13476">
        <f>IFERROR(__xludf.DUMMYFUNCTION("""COMPUTED_VALUE"""),91696.0)</f>
        <v>91696</v>
      </c>
    </row>
    <row r="13477">
      <c r="A13477" t="str">
        <f t="shared" si="1"/>
        <v>wsm#1955</v>
      </c>
      <c r="B13477" t="str">
        <f>IFERROR(__xludf.DUMMYFUNCTION("""COMPUTED_VALUE"""),"wsm")</f>
        <v>wsm</v>
      </c>
      <c r="C13477" t="str">
        <f>IFERROR(__xludf.DUMMYFUNCTION("""COMPUTED_VALUE"""),"Samoa")</f>
        <v>Samoa</v>
      </c>
      <c r="D13477">
        <f>IFERROR(__xludf.DUMMYFUNCTION("""COMPUTED_VALUE"""),1955.0)</f>
        <v>1955</v>
      </c>
      <c r="E13477">
        <f>IFERROR(__xludf.DUMMYFUNCTION("""COMPUTED_VALUE"""),94208.0)</f>
        <v>94208</v>
      </c>
    </row>
    <row r="13478">
      <c r="A13478" t="str">
        <f t="shared" si="1"/>
        <v>wsm#1956</v>
      </c>
      <c r="B13478" t="str">
        <f>IFERROR(__xludf.DUMMYFUNCTION("""COMPUTED_VALUE"""),"wsm")</f>
        <v>wsm</v>
      </c>
      <c r="C13478" t="str">
        <f>IFERROR(__xludf.DUMMYFUNCTION("""COMPUTED_VALUE"""),"Samoa")</f>
        <v>Samoa</v>
      </c>
      <c r="D13478">
        <f>IFERROR(__xludf.DUMMYFUNCTION("""COMPUTED_VALUE"""),1956.0)</f>
        <v>1956</v>
      </c>
      <c r="E13478">
        <f>IFERROR(__xludf.DUMMYFUNCTION("""COMPUTED_VALUE"""),96799.0)</f>
        <v>96799</v>
      </c>
    </row>
    <row r="13479">
      <c r="A13479" t="str">
        <f t="shared" si="1"/>
        <v>wsm#1957</v>
      </c>
      <c r="B13479" t="str">
        <f>IFERROR(__xludf.DUMMYFUNCTION("""COMPUTED_VALUE"""),"wsm")</f>
        <v>wsm</v>
      </c>
      <c r="C13479" t="str">
        <f>IFERROR(__xludf.DUMMYFUNCTION("""COMPUTED_VALUE"""),"Samoa")</f>
        <v>Samoa</v>
      </c>
      <c r="D13479">
        <f>IFERROR(__xludf.DUMMYFUNCTION("""COMPUTED_VALUE"""),1957.0)</f>
        <v>1957</v>
      </c>
      <c r="E13479">
        <f>IFERROR(__xludf.DUMMYFUNCTION("""COMPUTED_VALUE"""),99500.0)</f>
        <v>99500</v>
      </c>
    </row>
    <row r="13480">
      <c r="A13480" t="str">
        <f t="shared" si="1"/>
        <v>wsm#1958</v>
      </c>
      <c r="B13480" t="str">
        <f>IFERROR(__xludf.DUMMYFUNCTION("""COMPUTED_VALUE"""),"wsm")</f>
        <v>wsm</v>
      </c>
      <c r="C13480" t="str">
        <f>IFERROR(__xludf.DUMMYFUNCTION("""COMPUTED_VALUE"""),"Samoa")</f>
        <v>Samoa</v>
      </c>
      <c r="D13480">
        <f>IFERROR(__xludf.DUMMYFUNCTION("""COMPUTED_VALUE"""),1958.0)</f>
        <v>1958</v>
      </c>
      <c r="E13480">
        <f>IFERROR(__xludf.DUMMYFUNCTION("""COMPUTED_VALUE"""),102353.0)</f>
        <v>102353</v>
      </c>
    </row>
    <row r="13481">
      <c r="A13481" t="str">
        <f t="shared" si="1"/>
        <v>wsm#1959</v>
      </c>
      <c r="B13481" t="str">
        <f>IFERROR(__xludf.DUMMYFUNCTION("""COMPUTED_VALUE"""),"wsm")</f>
        <v>wsm</v>
      </c>
      <c r="C13481" t="str">
        <f>IFERROR(__xludf.DUMMYFUNCTION("""COMPUTED_VALUE"""),"Samoa")</f>
        <v>Samoa</v>
      </c>
      <c r="D13481">
        <f>IFERROR(__xludf.DUMMYFUNCTION("""COMPUTED_VALUE"""),1959.0)</f>
        <v>1959</v>
      </c>
      <c r="E13481">
        <f>IFERROR(__xludf.DUMMYFUNCTION("""COMPUTED_VALUE"""),105380.0)</f>
        <v>105380</v>
      </c>
    </row>
    <row r="13482">
      <c r="A13482" t="str">
        <f t="shared" si="1"/>
        <v>wsm#1960</v>
      </c>
      <c r="B13482" t="str">
        <f>IFERROR(__xludf.DUMMYFUNCTION("""COMPUTED_VALUE"""),"wsm")</f>
        <v>wsm</v>
      </c>
      <c r="C13482" t="str">
        <f>IFERROR(__xludf.DUMMYFUNCTION("""COMPUTED_VALUE"""),"Samoa")</f>
        <v>Samoa</v>
      </c>
      <c r="D13482">
        <f>IFERROR(__xludf.DUMMYFUNCTION("""COMPUTED_VALUE"""),1960.0)</f>
        <v>1960</v>
      </c>
      <c r="E13482">
        <f>IFERROR(__xludf.DUMMYFUNCTION("""COMPUTED_VALUE"""),108646.0)</f>
        <v>108646</v>
      </c>
    </row>
    <row r="13483">
      <c r="A13483" t="str">
        <f t="shared" si="1"/>
        <v>wsm#1961</v>
      </c>
      <c r="B13483" t="str">
        <f>IFERROR(__xludf.DUMMYFUNCTION("""COMPUTED_VALUE"""),"wsm")</f>
        <v>wsm</v>
      </c>
      <c r="C13483" t="str">
        <f>IFERROR(__xludf.DUMMYFUNCTION("""COMPUTED_VALUE"""),"Samoa")</f>
        <v>Samoa</v>
      </c>
      <c r="D13483">
        <f>IFERROR(__xludf.DUMMYFUNCTION("""COMPUTED_VALUE"""),1961.0)</f>
        <v>1961</v>
      </c>
      <c r="E13483">
        <f>IFERROR(__xludf.DUMMYFUNCTION("""COMPUTED_VALUE"""),112119.0)</f>
        <v>112119</v>
      </c>
    </row>
    <row r="13484">
      <c r="A13484" t="str">
        <f t="shared" si="1"/>
        <v>wsm#1962</v>
      </c>
      <c r="B13484" t="str">
        <f>IFERROR(__xludf.DUMMYFUNCTION("""COMPUTED_VALUE"""),"wsm")</f>
        <v>wsm</v>
      </c>
      <c r="C13484" t="str">
        <f>IFERROR(__xludf.DUMMYFUNCTION("""COMPUTED_VALUE"""),"Samoa")</f>
        <v>Samoa</v>
      </c>
      <c r="D13484">
        <f>IFERROR(__xludf.DUMMYFUNCTION("""COMPUTED_VALUE"""),1962.0)</f>
        <v>1962</v>
      </c>
      <c r="E13484">
        <f>IFERROR(__xludf.DUMMYFUNCTION("""COMPUTED_VALUE"""),115788.0)</f>
        <v>115788</v>
      </c>
    </row>
    <row r="13485">
      <c r="A13485" t="str">
        <f t="shared" si="1"/>
        <v>wsm#1963</v>
      </c>
      <c r="B13485" t="str">
        <f>IFERROR(__xludf.DUMMYFUNCTION("""COMPUTED_VALUE"""),"wsm")</f>
        <v>wsm</v>
      </c>
      <c r="C13485" t="str">
        <f>IFERROR(__xludf.DUMMYFUNCTION("""COMPUTED_VALUE"""),"Samoa")</f>
        <v>Samoa</v>
      </c>
      <c r="D13485">
        <f>IFERROR(__xludf.DUMMYFUNCTION("""COMPUTED_VALUE"""),1963.0)</f>
        <v>1963</v>
      </c>
      <c r="E13485">
        <f>IFERROR(__xludf.DUMMYFUNCTION("""COMPUTED_VALUE"""),119561.0)</f>
        <v>119561</v>
      </c>
    </row>
    <row r="13486">
      <c r="A13486" t="str">
        <f t="shared" si="1"/>
        <v>wsm#1964</v>
      </c>
      <c r="B13486" t="str">
        <f>IFERROR(__xludf.DUMMYFUNCTION("""COMPUTED_VALUE"""),"wsm")</f>
        <v>wsm</v>
      </c>
      <c r="C13486" t="str">
        <f>IFERROR(__xludf.DUMMYFUNCTION("""COMPUTED_VALUE"""),"Samoa")</f>
        <v>Samoa</v>
      </c>
      <c r="D13486">
        <f>IFERROR(__xludf.DUMMYFUNCTION("""COMPUTED_VALUE"""),1964.0)</f>
        <v>1964</v>
      </c>
      <c r="E13486">
        <f>IFERROR(__xludf.DUMMYFUNCTION("""COMPUTED_VALUE"""),123354.0)</f>
        <v>123354</v>
      </c>
    </row>
    <row r="13487">
      <c r="A13487" t="str">
        <f t="shared" si="1"/>
        <v>wsm#1965</v>
      </c>
      <c r="B13487" t="str">
        <f>IFERROR(__xludf.DUMMYFUNCTION("""COMPUTED_VALUE"""),"wsm")</f>
        <v>wsm</v>
      </c>
      <c r="C13487" t="str">
        <f>IFERROR(__xludf.DUMMYFUNCTION("""COMPUTED_VALUE"""),"Samoa")</f>
        <v>Samoa</v>
      </c>
      <c r="D13487">
        <f>IFERROR(__xludf.DUMMYFUNCTION("""COMPUTED_VALUE"""),1965.0)</f>
        <v>1965</v>
      </c>
      <c r="E13487">
        <f>IFERROR(__xludf.DUMMYFUNCTION("""COMPUTED_VALUE"""),127068.0)</f>
        <v>127068</v>
      </c>
    </row>
    <row r="13488">
      <c r="A13488" t="str">
        <f t="shared" si="1"/>
        <v>wsm#1966</v>
      </c>
      <c r="B13488" t="str">
        <f>IFERROR(__xludf.DUMMYFUNCTION("""COMPUTED_VALUE"""),"wsm")</f>
        <v>wsm</v>
      </c>
      <c r="C13488" t="str">
        <f>IFERROR(__xludf.DUMMYFUNCTION("""COMPUTED_VALUE"""),"Samoa")</f>
        <v>Samoa</v>
      </c>
      <c r="D13488">
        <f>IFERROR(__xludf.DUMMYFUNCTION("""COMPUTED_VALUE"""),1966.0)</f>
        <v>1966</v>
      </c>
      <c r="E13488">
        <f>IFERROR(__xludf.DUMMYFUNCTION("""COMPUTED_VALUE"""),130688.0)</f>
        <v>130688</v>
      </c>
    </row>
    <row r="13489">
      <c r="A13489" t="str">
        <f t="shared" si="1"/>
        <v>wsm#1967</v>
      </c>
      <c r="B13489" t="str">
        <f>IFERROR(__xludf.DUMMYFUNCTION("""COMPUTED_VALUE"""),"wsm")</f>
        <v>wsm</v>
      </c>
      <c r="C13489" t="str">
        <f>IFERROR(__xludf.DUMMYFUNCTION("""COMPUTED_VALUE"""),"Samoa")</f>
        <v>Samoa</v>
      </c>
      <c r="D13489">
        <f>IFERROR(__xludf.DUMMYFUNCTION("""COMPUTED_VALUE"""),1967.0)</f>
        <v>1967</v>
      </c>
      <c r="E13489">
        <f>IFERROR(__xludf.DUMMYFUNCTION("""COMPUTED_VALUE"""),134193.0)</f>
        <v>134193</v>
      </c>
    </row>
    <row r="13490">
      <c r="A13490" t="str">
        <f t="shared" si="1"/>
        <v>wsm#1968</v>
      </c>
      <c r="B13490" t="str">
        <f>IFERROR(__xludf.DUMMYFUNCTION("""COMPUTED_VALUE"""),"wsm")</f>
        <v>wsm</v>
      </c>
      <c r="C13490" t="str">
        <f>IFERROR(__xludf.DUMMYFUNCTION("""COMPUTED_VALUE"""),"Samoa")</f>
        <v>Samoa</v>
      </c>
      <c r="D13490">
        <f>IFERROR(__xludf.DUMMYFUNCTION("""COMPUTED_VALUE"""),1968.0)</f>
        <v>1968</v>
      </c>
      <c r="E13490">
        <f>IFERROR(__xludf.DUMMYFUNCTION("""COMPUTED_VALUE"""),137506.0)</f>
        <v>137506</v>
      </c>
    </row>
    <row r="13491">
      <c r="A13491" t="str">
        <f t="shared" si="1"/>
        <v>wsm#1969</v>
      </c>
      <c r="B13491" t="str">
        <f>IFERROR(__xludf.DUMMYFUNCTION("""COMPUTED_VALUE"""),"wsm")</f>
        <v>wsm</v>
      </c>
      <c r="C13491" t="str">
        <f>IFERROR(__xludf.DUMMYFUNCTION("""COMPUTED_VALUE"""),"Samoa")</f>
        <v>Samoa</v>
      </c>
      <c r="D13491">
        <f>IFERROR(__xludf.DUMMYFUNCTION("""COMPUTED_VALUE"""),1969.0)</f>
        <v>1969</v>
      </c>
      <c r="E13491">
        <f>IFERROR(__xludf.DUMMYFUNCTION("""COMPUTED_VALUE"""),140518.0)</f>
        <v>140518</v>
      </c>
    </row>
    <row r="13492">
      <c r="A13492" t="str">
        <f t="shared" si="1"/>
        <v>wsm#1970</v>
      </c>
      <c r="B13492" t="str">
        <f>IFERROR(__xludf.DUMMYFUNCTION("""COMPUTED_VALUE"""),"wsm")</f>
        <v>wsm</v>
      </c>
      <c r="C13492" t="str">
        <f>IFERROR(__xludf.DUMMYFUNCTION("""COMPUTED_VALUE"""),"Samoa")</f>
        <v>Samoa</v>
      </c>
      <c r="D13492">
        <f>IFERROR(__xludf.DUMMYFUNCTION("""COMPUTED_VALUE"""),1970.0)</f>
        <v>1970</v>
      </c>
      <c r="E13492">
        <f>IFERROR(__xludf.DUMMYFUNCTION("""COMPUTED_VALUE"""),143176.0)</f>
        <v>143176</v>
      </c>
    </row>
    <row r="13493">
      <c r="A13493" t="str">
        <f t="shared" si="1"/>
        <v>wsm#1971</v>
      </c>
      <c r="B13493" t="str">
        <f>IFERROR(__xludf.DUMMYFUNCTION("""COMPUTED_VALUE"""),"wsm")</f>
        <v>wsm</v>
      </c>
      <c r="C13493" t="str">
        <f>IFERROR(__xludf.DUMMYFUNCTION("""COMPUTED_VALUE"""),"Samoa")</f>
        <v>Samoa</v>
      </c>
      <c r="D13493">
        <f>IFERROR(__xludf.DUMMYFUNCTION("""COMPUTED_VALUE"""),1971.0)</f>
        <v>1971</v>
      </c>
      <c r="E13493">
        <f>IFERROR(__xludf.DUMMYFUNCTION("""COMPUTED_VALUE"""),145439.0)</f>
        <v>145439</v>
      </c>
    </row>
    <row r="13494">
      <c r="A13494" t="str">
        <f t="shared" si="1"/>
        <v>wsm#1972</v>
      </c>
      <c r="B13494" t="str">
        <f>IFERROR(__xludf.DUMMYFUNCTION("""COMPUTED_VALUE"""),"wsm")</f>
        <v>wsm</v>
      </c>
      <c r="C13494" t="str">
        <f>IFERROR(__xludf.DUMMYFUNCTION("""COMPUTED_VALUE"""),"Samoa")</f>
        <v>Samoa</v>
      </c>
      <c r="D13494">
        <f>IFERROR(__xludf.DUMMYFUNCTION("""COMPUTED_VALUE"""),1972.0)</f>
        <v>1972</v>
      </c>
      <c r="E13494">
        <f>IFERROR(__xludf.DUMMYFUNCTION("""COMPUTED_VALUE"""),147321.0)</f>
        <v>147321</v>
      </c>
    </row>
    <row r="13495">
      <c r="A13495" t="str">
        <f t="shared" si="1"/>
        <v>wsm#1973</v>
      </c>
      <c r="B13495" t="str">
        <f>IFERROR(__xludf.DUMMYFUNCTION("""COMPUTED_VALUE"""),"wsm")</f>
        <v>wsm</v>
      </c>
      <c r="C13495" t="str">
        <f>IFERROR(__xludf.DUMMYFUNCTION("""COMPUTED_VALUE"""),"Samoa")</f>
        <v>Samoa</v>
      </c>
      <c r="D13495">
        <f>IFERROR(__xludf.DUMMYFUNCTION("""COMPUTED_VALUE"""),1973.0)</f>
        <v>1973</v>
      </c>
      <c r="E13495">
        <f>IFERROR(__xludf.DUMMYFUNCTION("""COMPUTED_VALUE"""),148889.0)</f>
        <v>148889</v>
      </c>
    </row>
    <row r="13496">
      <c r="A13496" t="str">
        <f t="shared" si="1"/>
        <v>wsm#1974</v>
      </c>
      <c r="B13496" t="str">
        <f>IFERROR(__xludf.DUMMYFUNCTION("""COMPUTED_VALUE"""),"wsm")</f>
        <v>wsm</v>
      </c>
      <c r="C13496" t="str">
        <f>IFERROR(__xludf.DUMMYFUNCTION("""COMPUTED_VALUE"""),"Samoa")</f>
        <v>Samoa</v>
      </c>
      <c r="D13496">
        <f>IFERROR(__xludf.DUMMYFUNCTION("""COMPUTED_VALUE"""),1974.0)</f>
        <v>1974</v>
      </c>
      <c r="E13496">
        <f>IFERROR(__xludf.DUMMYFUNCTION("""COMPUTED_VALUE"""),150221.0)</f>
        <v>150221</v>
      </c>
    </row>
    <row r="13497">
      <c r="A13497" t="str">
        <f t="shared" si="1"/>
        <v>wsm#1975</v>
      </c>
      <c r="B13497" t="str">
        <f>IFERROR(__xludf.DUMMYFUNCTION("""COMPUTED_VALUE"""),"wsm")</f>
        <v>wsm</v>
      </c>
      <c r="C13497" t="str">
        <f>IFERROR(__xludf.DUMMYFUNCTION("""COMPUTED_VALUE"""),"Samoa")</f>
        <v>Samoa</v>
      </c>
      <c r="D13497">
        <f>IFERROR(__xludf.DUMMYFUNCTION("""COMPUTED_VALUE"""),1975.0)</f>
        <v>1975</v>
      </c>
      <c r="E13497">
        <f>IFERROR(__xludf.DUMMYFUNCTION("""COMPUTED_VALUE"""),151387.0)</f>
        <v>151387</v>
      </c>
    </row>
    <row r="13498">
      <c r="A13498" t="str">
        <f t="shared" si="1"/>
        <v>wsm#1976</v>
      </c>
      <c r="B13498" t="str">
        <f>IFERROR(__xludf.DUMMYFUNCTION("""COMPUTED_VALUE"""),"wsm")</f>
        <v>wsm</v>
      </c>
      <c r="C13498" t="str">
        <f>IFERROR(__xludf.DUMMYFUNCTION("""COMPUTED_VALUE"""),"Samoa")</f>
        <v>Samoa</v>
      </c>
      <c r="D13498">
        <f>IFERROR(__xludf.DUMMYFUNCTION("""COMPUTED_VALUE"""),1976.0)</f>
        <v>1976</v>
      </c>
      <c r="E13498">
        <f>IFERROR(__xludf.DUMMYFUNCTION("""COMPUTED_VALUE"""),152390.0)</f>
        <v>152390</v>
      </c>
    </row>
    <row r="13499">
      <c r="A13499" t="str">
        <f t="shared" si="1"/>
        <v>wsm#1977</v>
      </c>
      <c r="B13499" t="str">
        <f>IFERROR(__xludf.DUMMYFUNCTION("""COMPUTED_VALUE"""),"wsm")</f>
        <v>wsm</v>
      </c>
      <c r="C13499" t="str">
        <f>IFERROR(__xludf.DUMMYFUNCTION("""COMPUTED_VALUE"""),"Samoa")</f>
        <v>Samoa</v>
      </c>
      <c r="D13499">
        <f>IFERROR(__xludf.DUMMYFUNCTION("""COMPUTED_VALUE"""),1977.0)</f>
        <v>1977</v>
      </c>
      <c r="E13499">
        <f>IFERROR(__xludf.DUMMYFUNCTION("""COMPUTED_VALUE"""),153247.0)</f>
        <v>153247</v>
      </c>
    </row>
    <row r="13500">
      <c r="A13500" t="str">
        <f t="shared" si="1"/>
        <v>wsm#1978</v>
      </c>
      <c r="B13500" t="str">
        <f>IFERROR(__xludf.DUMMYFUNCTION("""COMPUTED_VALUE"""),"wsm")</f>
        <v>wsm</v>
      </c>
      <c r="C13500" t="str">
        <f>IFERROR(__xludf.DUMMYFUNCTION("""COMPUTED_VALUE"""),"Samoa")</f>
        <v>Samoa</v>
      </c>
      <c r="D13500">
        <f>IFERROR(__xludf.DUMMYFUNCTION("""COMPUTED_VALUE"""),1978.0)</f>
        <v>1978</v>
      </c>
      <c r="E13500">
        <f>IFERROR(__xludf.DUMMYFUNCTION("""COMPUTED_VALUE"""),154007.0)</f>
        <v>154007</v>
      </c>
    </row>
    <row r="13501">
      <c r="A13501" t="str">
        <f t="shared" si="1"/>
        <v>wsm#1979</v>
      </c>
      <c r="B13501" t="str">
        <f>IFERROR(__xludf.DUMMYFUNCTION("""COMPUTED_VALUE"""),"wsm")</f>
        <v>wsm</v>
      </c>
      <c r="C13501" t="str">
        <f>IFERROR(__xludf.DUMMYFUNCTION("""COMPUTED_VALUE"""),"Samoa")</f>
        <v>Samoa</v>
      </c>
      <c r="D13501">
        <f>IFERROR(__xludf.DUMMYFUNCTION("""COMPUTED_VALUE"""),1979.0)</f>
        <v>1979</v>
      </c>
      <c r="E13501">
        <f>IFERROR(__xludf.DUMMYFUNCTION("""COMPUTED_VALUE"""),154760.0)</f>
        <v>154760</v>
      </c>
    </row>
    <row r="13502">
      <c r="A13502" t="str">
        <f t="shared" si="1"/>
        <v>wsm#1980</v>
      </c>
      <c r="B13502" t="str">
        <f>IFERROR(__xludf.DUMMYFUNCTION("""COMPUTED_VALUE"""),"wsm")</f>
        <v>wsm</v>
      </c>
      <c r="C13502" t="str">
        <f>IFERROR(__xludf.DUMMYFUNCTION("""COMPUTED_VALUE"""),"Samoa")</f>
        <v>Samoa</v>
      </c>
      <c r="D13502">
        <f>IFERROR(__xludf.DUMMYFUNCTION("""COMPUTED_VALUE"""),1980.0)</f>
        <v>1980</v>
      </c>
      <c r="E13502">
        <f>IFERROR(__xludf.DUMMYFUNCTION("""COMPUTED_VALUE"""),155557.0)</f>
        <v>155557</v>
      </c>
    </row>
    <row r="13503">
      <c r="A13503" t="str">
        <f t="shared" si="1"/>
        <v>wsm#1981</v>
      </c>
      <c r="B13503" t="str">
        <f>IFERROR(__xludf.DUMMYFUNCTION("""COMPUTED_VALUE"""),"wsm")</f>
        <v>wsm</v>
      </c>
      <c r="C13503" t="str">
        <f>IFERROR(__xludf.DUMMYFUNCTION("""COMPUTED_VALUE"""),"Samoa")</f>
        <v>Samoa</v>
      </c>
      <c r="D13503">
        <f>IFERROR(__xludf.DUMMYFUNCTION("""COMPUTED_VALUE"""),1981.0)</f>
        <v>1981</v>
      </c>
      <c r="E13503">
        <f>IFERROR(__xludf.DUMMYFUNCTION("""COMPUTED_VALUE"""),156428.0)</f>
        <v>156428</v>
      </c>
    </row>
    <row r="13504">
      <c r="A13504" t="str">
        <f t="shared" si="1"/>
        <v>wsm#1982</v>
      </c>
      <c r="B13504" t="str">
        <f>IFERROR(__xludf.DUMMYFUNCTION("""COMPUTED_VALUE"""),"wsm")</f>
        <v>wsm</v>
      </c>
      <c r="C13504" t="str">
        <f>IFERROR(__xludf.DUMMYFUNCTION("""COMPUTED_VALUE"""),"Samoa")</f>
        <v>Samoa</v>
      </c>
      <c r="D13504">
        <f>IFERROR(__xludf.DUMMYFUNCTION("""COMPUTED_VALUE"""),1982.0)</f>
        <v>1982</v>
      </c>
      <c r="E13504">
        <f>IFERROR(__xludf.DUMMYFUNCTION("""COMPUTED_VALUE"""),157403.0)</f>
        <v>157403</v>
      </c>
    </row>
    <row r="13505">
      <c r="A13505" t="str">
        <f t="shared" si="1"/>
        <v>wsm#1983</v>
      </c>
      <c r="B13505" t="str">
        <f>IFERROR(__xludf.DUMMYFUNCTION("""COMPUTED_VALUE"""),"wsm")</f>
        <v>wsm</v>
      </c>
      <c r="C13505" t="str">
        <f>IFERROR(__xludf.DUMMYFUNCTION("""COMPUTED_VALUE"""),"Samoa")</f>
        <v>Samoa</v>
      </c>
      <c r="D13505">
        <f>IFERROR(__xludf.DUMMYFUNCTION("""COMPUTED_VALUE"""),1983.0)</f>
        <v>1983</v>
      </c>
      <c r="E13505">
        <f>IFERROR(__xludf.DUMMYFUNCTION("""COMPUTED_VALUE"""),158384.0)</f>
        <v>158384</v>
      </c>
    </row>
    <row r="13506">
      <c r="A13506" t="str">
        <f t="shared" si="1"/>
        <v>wsm#1984</v>
      </c>
      <c r="B13506" t="str">
        <f>IFERROR(__xludf.DUMMYFUNCTION("""COMPUTED_VALUE"""),"wsm")</f>
        <v>wsm</v>
      </c>
      <c r="C13506" t="str">
        <f>IFERROR(__xludf.DUMMYFUNCTION("""COMPUTED_VALUE"""),"Samoa")</f>
        <v>Samoa</v>
      </c>
      <c r="D13506">
        <f>IFERROR(__xludf.DUMMYFUNCTION("""COMPUTED_VALUE"""),1984.0)</f>
        <v>1984</v>
      </c>
      <c r="E13506">
        <f>IFERROR(__xludf.DUMMYFUNCTION("""COMPUTED_VALUE"""),159283.0)</f>
        <v>159283</v>
      </c>
    </row>
    <row r="13507">
      <c r="A13507" t="str">
        <f t="shared" si="1"/>
        <v>wsm#1985</v>
      </c>
      <c r="B13507" t="str">
        <f>IFERROR(__xludf.DUMMYFUNCTION("""COMPUTED_VALUE"""),"wsm")</f>
        <v>wsm</v>
      </c>
      <c r="C13507" t="str">
        <f>IFERROR(__xludf.DUMMYFUNCTION("""COMPUTED_VALUE"""),"Samoa")</f>
        <v>Samoa</v>
      </c>
      <c r="D13507">
        <f>IFERROR(__xludf.DUMMYFUNCTION("""COMPUTED_VALUE"""),1985.0)</f>
        <v>1985</v>
      </c>
      <c r="E13507">
        <f>IFERROR(__xludf.DUMMYFUNCTION("""COMPUTED_VALUE"""),160031.0)</f>
        <v>160031</v>
      </c>
    </row>
    <row r="13508">
      <c r="A13508" t="str">
        <f t="shared" si="1"/>
        <v>wsm#1986</v>
      </c>
      <c r="B13508" t="str">
        <f>IFERROR(__xludf.DUMMYFUNCTION("""COMPUTED_VALUE"""),"wsm")</f>
        <v>wsm</v>
      </c>
      <c r="C13508" t="str">
        <f>IFERROR(__xludf.DUMMYFUNCTION("""COMPUTED_VALUE"""),"Samoa")</f>
        <v>Samoa</v>
      </c>
      <c r="D13508">
        <f>IFERROR(__xludf.DUMMYFUNCTION("""COMPUTED_VALUE"""),1986.0)</f>
        <v>1986</v>
      </c>
      <c r="E13508">
        <f>IFERROR(__xludf.DUMMYFUNCTION("""COMPUTED_VALUE"""),160592.0)</f>
        <v>160592</v>
      </c>
    </row>
    <row r="13509">
      <c r="A13509" t="str">
        <f t="shared" si="1"/>
        <v>wsm#1987</v>
      </c>
      <c r="B13509" t="str">
        <f>IFERROR(__xludf.DUMMYFUNCTION("""COMPUTED_VALUE"""),"wsm")</f>
        <v>wsm</v>
      </c>
      <c r="C13509" t="str">
        <f>IFERROR(__xludf.DUMMYFUNCTION("""COMPUTED_VALUE"""),"Samoa")</f>
        <v>Samoa</v>
      </c>
      <c r="D13509">
        <f>IFERROR(__xludf.DUMMYFUNCTION("""COMPUTED_VALUE"""),1987.0)</f>
        <v>1987</v>
      </c>
      <c r="E13509">
        <f>IFERROR(__xludf.DUMMYFUNCTION("""COMPUTED_VALUE"""),161015.0)</f>
        <v>161015</v>
      </c>
    </row>
    <row r="13510">
      <c r="A13510" t="str">
        <f t="shared" si="1"/>
        <v>wsm#1988</v>
      </c>
      <c r="B13510" t="str">
        <f>IFERROR(__xludf.DUMMYFUNCTION("""COMPUTED_VALUE"""),"wsm")</f>
        <v>wsm</v>
      </c>
      <c r="C13510" t="str">
        <f>IFERROR(__xludf.DUMMYFUNCTION("""COMPUTED_VALUE"""),"Samoa")</f>
        <v>Samoa</v>
      </c>
      <c r="D13510">
        <f>IFERROR(__xludf.DUMMYFUNCTION("""COMPUTED_VALUE"""),1988.0)</f>
        <v>1988</v>
      </c>
      <c r="E13510">
        <f>IFERROR(__xludf.DUMMYFUNCTION("""COMPUTED_VALUE"""),161421.0)</f>
        <v>161421</v>
      </c>
    </row>
    <row r="13511">
      <c r="A13511" t="str">
        <f t="shared" si="1"/>
        <v>wsm#1989</v>
      </c>
      <c r="B13511" t="str">
        <f>IFERROR(__xludf.DUMMYFUNCTION("""COMPUTED_VALUE"""),"wsm")</f>
        <v>wsm</v>
      </c>
      <c r="C13511" t="str">
        <f>IFERROR(__xludf.DUMMYFUNCTION("""COMPUTED_VALUE"""),"Samoa")</f>
        <v>Samoa</v>
      </c>
      <c r="D13511">
        <f>IFERROR(__xludf.DUMMYFUNCTION("""COMPUTED_VALUE"""),1989.0)</f>
        <v>1989</v>
      </c>
      <c r="E13511">
        <f>IFERROR(__xludf.DUMMYFUNCTION("""COMPUTED_VALUE"""),161998.0)</f>
        <v>161998</v>
      </c>
    </row>
    <row r="13512">
      <c r="A13512" t="str">
        <f t="shared" si="1"/>
        <v>wsm#1990</v>
      </c>
      <c r="B13512" t="str">
        <f>IFERROR(__xludf.DUMMYFUNCTION("""COMPUTED_VALUE"""),"wsm")</f>
        <v>wsm</v>
      </c>
      <c r="C13512" t="str">
        <f>IFERROR(__xludf.DUMMYFUNCTION("""COMPUTED_VALUE"""),"Samoa")</f>
        <v>Samoa</v>
      </c>
      <c r="D13512">
        <f>IFERROR(__xludf.DUMMYFUNCTION("""COMPUTED_VALUE"""),1990.0)</f>
        <v>1990</v>
      </c>
      <c r="E13512">
        <f>IFERROR(__xludf.DUMMYFUNCTION("""COMPUTED_VALUE"""),162866.0)</f>
        <v>162866</v>
      </c>
    </row>
    <row r="13513">
      <c r="A13513" t="str">
        <f t="shared" si="1"/>
        <v>wsm#1991</v>
      </c>
      <c r="B13513" t="str">
        <f>IFERROR(__xludf.DUMMYFUNCTION("""COMPUTED_VALUE"""),"wsm")</f>
        <v>wsm</v>
      </c>
      <c r="C13513" t="str">
        <f>IFERROR(__xludf.DUMMYFUNCTION("""COMPUTED_VALUE"""),"Samoa")</f>
        <v>Samoa</v>
      </c>
      <c r="D13513">
        <f>IFERROR(__xludf.DUMMYFUNCTION("""COMPUTED_VALUE"""),1991.0)</f>
        <v>1991</v>
      </c>
      <c r="E13513">
        <f>IFERROR(__xludf.DUMMYFUNCTION("""COMPUTED_VALUE"""),164076.0)</f>
        <v>164076</v>
      </c>
    </row>
    <row r="13514">
      <c r="A13514" t="str">
        <f t="shared" si="1"/>
        <v>wsm#1992</v>
      </c>
      <c r="B13514" t="str">
        <f>IFERROR(__xludf.DUMMYFUNCTION("""COMPUTED_VALUE"""),"wsm")</f>
        <v>wsm</v>
      </c>
      <c r="C13514" t="str">
        <f>IFERROR(__xludf.DUMMYFUNCTION("""COMPUTED_VALUE"""),"Samoa")</f>
        <v>Samoa</v>
      </c>
      <c r="D13514">
        <f>IFERROR(__xludf.DUMMYFUNCTION("""COMPUTED_VALUE"""),1992.0)</f>
        <v>1992</v>
      </c>
      <c r="E13514">
        <f>IFERROR(__xludf.DUMMYFUNCTION("""COMPUTED_VALUE"""),165570.0)</f>
        <v>165570</v>
      </c>
    </row>
    <row r="13515">
      <c r="A13515" t="str">
        <f t="shared" si="1"/>
        <v>wsm#1993</v>
      </c>
      <c r="B13515" t="str">
        <f>IFERROR(__xludf.DUMMYFUNCTION("""COMPUTED_VALUE"""),"wsm")</f>
        <v>wsm</v>
      </c>
      <c r="C13515" t="str">
        <f>IFERROR(__xludf.DUMMYFUNCTION("""COMPUTED_VALUE"""),"Samoa")</f>
        <v>Samoa</v>
      </c>
      <c r="D13515">
        <f>IFERROR(__xludf.DUMMYFUNCTION("""COMPUTED_VALUE"""),1993.0)</f>
        <v>1993</v>
      </c>
      <c r="E13515">
        <f>IFERROR(__xludf.DUMMYFUNCTION("""COMPUTED_VALUE"""),167207.0)</f>
        <v>167207</v>
      </c>
    </row>
    <row r="13516">
      <c r="A13516" t="str">
        <f t="shared" si="1"/>
        <v>wsm#1994</v>
      </c>
      <c r="B13516" t="str">
        <f>IFERROR(__xludf.DUMMYFUNCTION("""COMPUTED_VALUE"""),"wsm")</f>
        <v>wsm</v>
      </c>
      <c r="C13516" t="str">
        <f>IFERROR(__xludf.DUMMYFUNCTION("""COMPUTED_VALUE"""),"Samoa")</f>
        <v>Samoa</v>
      </c>
      <c r="D13516">
        <f>IFERROR(__xludf.DUMMYFUNCTION("""COMPUTED_VALUE"""),1994.0)</f>
        <v>1994</v>
      </c>
      <c r="E13516">
        <f>IFERROR(__xludf.DUMMYFUNCTION("""COMPUTED_VALUE"""),168788.0)</f>
        <v>168788</v>
      </c>
    </row>
    <row r="13517">
      <c r="A13517" t="str">
        <f t="shared" si="1"/>
        <v>wsm#1995</v>
      </c>
      <c r="B13517" t="str">
        <f>IFERROR(__xludf.DUMMYFUNCTION("""COMPUTED_VALUE"""),"wsm")</f>
        <v>wsm</v>
      </c>
      <c r="C13517" t="str">
        <f>IFERROR(__xludf.DUMMYFUNCTION("""COMPUTED_VALUE"""),"Samoa")</f>
        <v>Samoa</v>
      </c>
      <c r="D13517">
        <f>IFERROR(__xludf.DUMMYFUNCTION("""COMPUTED_VALUE"""),1995.0)</f>
        <v>1995</v>
      </c>
      <c r="E13517">
        <f>IFERROR(__xludf.DUMMYFUNCTION("""COMPUTED_VALUE"""),170157.0)</f>
        <v>170157</v>
      </c>
    </row>
    <row r="13518">
      <c r="A13518" t="str">
        <f t="shared" si="1"/>
        <v>wsm#1996</v>
      </c>
      <c r="B13518" t="str">
        <f>IFERROR(__xludf.DUMMYFUNCTION("""COMPUTED_VALUE"""),"wsm")</f>
        <v>wsm</v>
      </c>
      <c r="C13518" t="str">
        <f>IFERROR(__xludf.DUMMYFUNCTION("""COMPUTED_VALUE"""),"Samoa")</f>
        <v>Samoa</v>
      </c>
      <c r="D13518">
        <f>IFERROR(__xludf.DUMMYFUNCTION("""COMPUTED_VALUE"""),1996.0)</f>
        <v>1996</v>
      </c>
      <c r="E13518">
        <f>IFERROR(__xludf.DUMMYFUNCTION("""COMPUTED_VALUE"""),171283.0)</f>
        <v>171283</v>
      </c>
    </row>
    <row r="13519">
      <c r="A13519" t="str">
        <f t="shared" si="1"/>
        <v>wsm#1997</v>
      </c>
      <c r="B13519" t="str">
        <f>IFERROR(__xludf.DUMMYFUNCTION("""COMPUTED_VALUE"""),"wsm")</f>
        <v>wsm</v>
      </c>
      <c r="C13519" t="str">
        <f>IFERROR(__xludf.DUMMYFUNCTION("""COMPUTED_VALUE"""),"Samoa")</f>
        <v>Samoa</v>
      </c>
      <c r="D13519">
        <f>IFERROR(__xludf.DUMMYFUNCTION("""COMPUTED_VALUE"""),1997.0)</f>
        <v>1997</v>
      </c>
      <c r="E13519">
        <f>IFERROR(__xludf.DUMMYFUNCTION("""COMPUTED_VALUE"""),172198.0)</f>
        <v>172198</v>
      </c>
    </row>
    <row r="13520">
      <c r="A13520" t="str">
        <f t="shared" si="1"/>
        <v>wsm#1998</v>
      </c>
      <c r="B13520" t="str">
        <f>IFERROR(__xludf.DUMMYFUNCTION("""COMPUTED_VALUE"""),"wsm")</f>
        <v>wsm</v>
      </c>
      <c r="C13520" t="str">
        <f>IFERROR(__xludf.DUMMYFUNCTION("""COMPUTED_VALUE"""),"Samoa")</f>
        <v>Samoa</v>
      </c>
      <c r="D13520">
        <f>IFERROR(__xludf.DUMMYFUNCTION("""COMPUTED_VALUE"""),1998.0)</f>
        <v>1998</v>
      </c>
      <c r="E13520">
        <f>IFERROR(__xludf.DUMMYFUNCTION("""COMPUTED_VALUE"""),172981.0)</f>
        <v>172981</v>
      </c>
    </row>
    <row r="13521">
      <c r="A13521" t="str">
        <f t="shared" si="1"/>
        <v>wsm#1999</v>
      </c>
      <c r="B13521" t="str">
        <f>IFERROR(__xludf.DUMMYFUNCTION("""COMPUTED_VALUE"""),"wsm")</f>
        <v>wsm</v>
      </c>
      <c r="C13521" t="str">
        <f>IFERROR(__xludf.DUMMYFUNCTION("""COMPUTED_VALUE"""),"Samoa")</f>
        <v>Samoa</v>
      </c>
      <c r="D13521">
        <f>IFERROR(__xludf.DUMMYFUNCTION("""COMPUTED_VALUE"""),1999.0)</f>
        <v>1999</v>
      </c>
      <c r="E13521">
        <f>IFERROR(__xludf.DUMMYFUNCTION("""COMPUTED_VALUE"""),173755.0)</f>
        <v>173755</v>
      </c>
    </row>
    <row r="13522">
      <c r="A13522" t="str">
        <f t="shared" si="1"/>
        <v>wsm#2000</v>
      </c>
      <c r="B13522" t="str">
        <f>IFERROR(__xludf.DUMMYFUNCTION("""COMPUTED_VALUE"""),"wsm")</f>
        <v>wsm</v>
      </c>
      <c r="C13522" t="str">
        <f>IFERROR(__xludf.DUMMYFUNCTION("""COMPUTED_VALUE"""),"Samoa")</f>
        <v>Samoa</v>
      </c>
      <c r="D13522">
        <f>IFERROR(__xludf.DUMMYFUNCTION("""COMPUTED_VALUE"""),2000.0)</f>
        <v>2000</v>
      </c>
      <c r="E13522">
        <f>IFERROR(__xludf.DUMMYFUNCTION("""COMPUTED_VALUE"""),174610.0)</f>
        <v>174610</v>
      </c>
    </row>
    <row r="13523">
      <c r="A13523" t="str">
        <f t="shared" si="1"/>
        <v>wsm#2001</v>
      </c>
      <c r="B13523" t="str">
        <f>IFERROR(__xludf.DUMMYFUNCTION("""COMPUTED_VALUE"""),"wsm")</f>
        <v>wsm</v>
      </c>
      <c r="C13523" t="str">
        <f>IFERROR(__xludf.DUMMYFUNCTION("""COMPUTED_VALUE"""),"Samoa")</f>
        <v>Samoa</v>
      </c>
      <c r="D13523">
        <f>IFERROR(__xludf.DUMMYFUNCTION("""COMPUTED_VALUE"""),2001.0)</f>
        <v>2001</v>
      </c>
      <c r="E13523">
        <f>IFERROR(__xludf.DUMMYFUNCTION("""COMPUTED_VALUE"""),175566.0)</f>
        <v>175566</v>
      </c>
    </row>
    <row r="13524">
      <c r="A13524" t="str">
        <f t="shared" si="1"/>
        <v>wsm#2002</v>
      </c>
      <c r="B13524" t="str">
        <f>IFERROR(__xludf.DUMMYFUNCTION("""COMPUTED_VALUE"""),"wsm")</f>
        <v>wsm</v>
      </c>
      <c r="C13524" t="str">
        <f>IFERROR(__xludf.DUMMYFUNCTION("""COMPUTED_VALUE"""),"Samoa")</f>
        <v>Samoa</v>
      </c>
      <c r="D13524">
        <f>IFERROR(__xludf.DUMMYFUNCTION("""COMPUTED_VALUE"""),2002.0)</f>
        <v>2002</v>
      </c>
      <c r="E13524">
        <f>IFERROR(__xludf.DUMMYFUNCTION("""COMPUTED_VALUE"""),176582.0)</f>
        <v>176582</v>
      </c>
    </row>
    <row r="13525">
      <c r="A13525" t="str">
        <f t="shared" si="1"/>
        <v>wsm#2003</v>
      </c>
      <c r="B13525" t="str">
        <f>IFERROR(__xludf.DUMMYFUNCTION("""COMPUTED_VALUE"""),"wsm")</f>
        <v>wsm</v>
      </c>
      <c r="C13525" t="str">
        <f>IFERROR(__xludf.DUMMYFUNCTION("""COMPUTED_VALUE"""),"Samoa")</f>
        <v>Samoa</v>
      </c>
      <c r="D13525">
        <f>IFERROR(__xludf.DUMMYFUNCTION("""COMPUTED_VALUE"""),2003.0)</f>
        <v>2003</v>
      </c>
      <c r="E13525">
        <f>IFERROR(__xludf.DUMMYFUNCTION("""COMPUTED_VALUE"""),177662.0)</f>
        <v>177662</v>
      </c>
    </row>
    <row r="13526">
      <c r="A13526" t="str">
        <f t="shared" si="1"/>
        <v>wsm#2004</v>
      </c>
      <c r="B13526" t="str">
        <f>IFERROR(__xludf.DUMMYFUNCTION("""COMPUTED_VALUE"""),"wsm")</f>
        <v>wsm</v>
      </c>
      <c r="C13526" t="str">
        <f>IFERROR(__xludf.DUMMYFUNCTION("""COMPUTED_VALUE"""),"Samoa")</f>
        <v>Samoa</v>
      </c>
      <c r="D13526">
        <f>IFERROR(__xludf.DUMMYFUNCTION("""COMPUTED_VALUE"""),2004.0)</f>
        <v>2004</v>
      </c>
      <c r="E13526">
        <f>IFERROR(__xludf.DUMMYFUNCTION("""COMPUTED_VALUE"""),178781.0)</f>
        <v>178781</v>
      </c>
    </row>
    <row r="13527">
      <c r="A13527" t="str">
        <f t="shared" si="1"/>
        <v>wsm#2005</v>
      </c>
      <c r="B13527" t="str">
        <f>IFERROR(__xludf.DUMMYFUNCTION("""COMPUTED_VALUE"""),"wsm")</f>
        <v>wsm</v>
      </c>
      <c r="C13527" t="str">
        <f>IFERROR(__xludf.DUMMYFUNCTION("""COMPUTED_VALUE"""),"Samoa")</f>
        <v>Samoa</v>
      </c>
      <c r="D13527">
        <f>IFERROR(__xludf.DUMMYFUNCTION("""COMPUTED_VALUE"""),2005.0)</f>
        <v>2005</v>
      </c>
      <c r="E13527">
        <f>IFERROR(__xludf.DUMMYFUNCTION("""COMPUTED_VALUE"""),179929.0)</f>
        <v>179929</v>
      </c>
    </row>
    <row r="13528">
      <c r="A13528" t="str">
        <f t="shared" si="1"/>
        <v>wsm#2006</v>
      </c>
      <c r="B13528" t="str">
        <f>IFERROR(__xludf.DUMMYFUNCTION("""COMPUTED_VALUE"""),"wsm")</f>
        <v>wsm</v>
      </c>
      <c r="C13528" t="str">
        <f>IFERROR(__xludf.DUMMYFUNCTION("""COMPUTED_VALUE"""),"Samoa")</f>
        <v>Samoa</v>
      </c>
      <c r="D13528">
        <f>IFERROR(__xludf.DUMMYFUNCTION("""COMPUTED_VALUE"""),2006.0)</f>
        <v>2006</v>
      </c>
      <c r="E13528">
        <f>IFERROR(__xludf.DUMMYFUNCTION("""COMPUTED_VALUE"""),181094.0)</f>
        <v>181094</v>
      </c>
    </row>
    <row r="13529">
      <c r="A13529" t="str">
        <f t="shared" si="1"/>
        <v>wsm#2007</v>
      </c>
      <c r="B13529" t="str">
        <f>IFERROR(__xludf.DUMMYFUNCTION("""COMPUTED_VALUE"""),"wsm")</f>
        <v>wsm</v>
      </c>
      <c r="C13529" t="str">
        <f>IFERROR(__xludf.DUMMYFUNCTION("""COMPUTED_VALUE"""),"Samoa")</f>
        <v>Samoa</v>
      </c>
      <c r="D13529">
        <f>IFERROR(__xludf.DUMMYFUNCTION("""COMPUTED_VALUE"""),2007.0)</f>
        <v>2007</v>
      </c>
      <c r="E13529">
        <f>IFERROR(__xludf.DUMMYFUNCTION("""COMPUTED_VALUE"""),182286.0)</f>
        <v>182286</v>
      </c>
    </row>
    <row r="13530">
      <c r="A13530" t="str">
        <f t="shared" si="1"/>
        <v>wsm#2008</v>
      </c>
      <c r="B13530" t="str">
        <f>IFERROR(__xludf.DUMMYFUNCTION("""COMPUTED_VALUE"""),"wsm")</f>
        <v>wsm</v>
      </c>
      <c r="C13530" t="str">
        <f>IFERROR(__xludf.DUMMYFUNCTION("""COMPUTED_VALUE"""),"Samoa")</f>
        <v>Samoa</v>
      </c>
      <c r="D13530">
        <f>IFERROR(__xludf.DUMMYFUNCTION("""COMPUTED_VALUE"""),2008.0)</f>
        <v>2008</v>
      </c>
      <c r="E13530">
        <f>IFERROR(__xludf.DUMMYFUNCTION("""COMPUTED_VALUE"""),183526.0)</f>
        <v>183526</v>
      </c>
    </row>
    <row r="13531">
      <c r="A13531" t="str">
        <f t="shared" si="1"/>
        <v>wsm#2009</v>
      </c>
      <c r="B13531" t="str">
        <f>IFERROR(__xludf.DUMMYFUNCTION("""COMPUTED_VALUE"""),"wsm")</f>
        <v>wsm</v>
      </c>
      <c r="C13531" t="str">
        <f>IFERROR(__xludf.DUMMYFUNCTION("""COMPUTED_VALUE"""),"Samoa")</f>
        <v>Samoa</v>
      </c>
      <c r="D13531">
        <f>IFERROR(__xludf.DUMMYFUNCTION("""COMPUTED_VALUE"""),2009.0)</f>
        <v>2009</v>
      </c>
      <c r="E13531">
        <f>IFERROR(__xludf.DUMMYFUNCTION("""COMPUTED_VALUE"""),184826.0)</f>
        <v>184826</v>
      </c>
    </row>
    <row r="13532">
      <c r="A13532" t="str">
        <f t="shared" si="1"/>
        <v>wsm#2010</v>
      </c>
      <c r="B13532" t="str">
        <f>IFERROR(__xludf.DUMMYFUNCTION("""COMPUTED_VALUE"""),"wsm")</f>
        <v>wsm</v>
      </c>
      <c r="C13532" t="str">
        <f>IFERROR(__xludf.DUMMYFUNCTION("""COMPUTED_VALUE"""),"Samoa")</f>
        <v>Samoa</v>
      </c>
      <c r="D13532">
        <f>IFERROR(__xludf.DUMMYFUNCTION("""COMPUTED_VALUE"""),2010.0)</f>
        <v>2010</v>
      </c>
      <c r="E13532">
        <f>IFERROR(__xludf.DUMMYFUNCTION("""COMPUTED_VALUE"""),186205.0)</f>
        <v>186205</v>
      </c>
    </row>
    <row r="13533">
      <c r="A13533" t="str">
        <f t="shared" si="1"/>
        <v>wsm#2011</v>
      </c>
      <c r="B13533" t="str">
        <f>IFERROR(__xludf.DUMMYFUNCTION("""COMPUTED_VALUE"""),"wsm")</f>
        <v>wsm</v>
      </c>
      <c r="C13533" t="str">
        <f>IFERROR(__xludf.DUMMYFUNCTION("""COMPUTED_VALUE"""),"Samoa")</f>
        <v>Samoa</v>
      </c>
      <c r="D13533">
        <f>IFERROR(__xludf.DUMMYFUNCTION("""COMPUTED_VALUE"""),2011.0)</f>
        <v>2011</v>
      </c>
      <c r="E13533">
        <f>IFERROR(__xludf.DUMMYFUNCTION("""COMPUTED_VALUE"""),187665.0)</f>
        <v>187665</v>
      </c>
    </row>
    <row r="13534">
      <c r="A13534" t="str">
        <f t="shared" si="1"/>
        <v>wsm#2012</v>
      </c>
      <c r="B13534" t="str">
        <f>IFERROR(__xludf.DUMMYFUNCTION("""COMPUTED_VALUE"""),"wsm")</f>
        <v>wsm</v>
      </c>
      <c r="C13534" t="str">
        <f>IFERROR(__xludf.DUMMYFUNCTION("""COMPUTED_VALUE"""),"Samoa")</f>
        <v>Samoa</v>
      </c>
      <c r="D13534">
        <f>IFERROR(__xludf.DUMMYFUNCTION("""COMPUTED_VALUE"""),2012.0)</f>
        <v>2012</v>
      </c>
      <c r="E13534">
        <f>IFERROR(__xludf.DUMMYFUNCTION("""COMPUTED_VALUE"""),189194.0)</f>
        <v>189194</v>
      </c>
    </row>
    <row r="13535">
      <c r="A13535" t="str">
        <f t="shared" si="1"/>
        <v>wsm#2013</v>
      </c>
      <c r="B13535" t="str">
        <f>IFERROR(__xludf.DUMMYFUNCTION("""COMPUTED_VALUE"""),"wsm")</f>
        <v>wsm</v>
      </c>
      <c r="C13535" t="str">
        <f>IFERROR(__xludf.DUMMYFUNCTION("""COMPUTED_VALUE"""),"Samoa")</f>
        <v>Samoa</v>
      </c>
      <c r="D13535">
        <f>IFERROR(__xludf.DUMMYFUNCTION("""COMPUTED_VALUE"""),2013.0)</f>
        <v>2013</v>
      </c>
      <c r="E13535">
        <f>IFERROR(__xludf.DUMMYFUNCTION("""COMPUTED_VALUE"""),190757.0)</f>
        <v>190757</v>
      </c>
    </row>
    <row r="13536">
      <c r="A13536" t="str">
        <f t="shared" si="1"/>
        <v>wsm#2014</v>
      </c>
      <c r="B13536" t="str">
        <f>IFERROR(__xludf.DUMMYFUNCTION("""COMPUTED_VALUE"""),"wsm")</f>
        <v>wsm</v>
      </c>
      <c r="C13536" t="str">
        <f>IFERROR(__xludf.DUMMYFUNCTION("""COMPUTED_VALUE"""),"Samoa")</f>
        <v>Samoa</v>
      </c>
      <c r="D13536">
        <f>IFERROR(__xludf.DUMMYFUNCTION("""COMPUTED_VALUE"""),2014.0)</f>
        <v>2014</v>
      </c>
      <c r="E13536">
        <f>IFERROR(__xludf.DUMMYFUNCTION("""COMPUTED_VALUE"""),192290.0)</f>
        <v>192290</v>
      </c>
    </row>
    <row r="13537">
      <c r="A13537" t="str">
        <f t="shared" si="1"/>
        <v>wsm#2015</v>
      </c>
      <c r="B13537" t="str">
        <f>IFERROR(__xludf.DUMMYFUNCTION("""COMPUTED_VALUE"""),"wsm")</f>
        <v>wsm</v>
      </c>
      <c r="C13537" t="str">
        <f>IFERROR(__xludf.DUMMYFUNCTION("""COMPUTED_VALUE"""),"Samoa")</f>
        <v>Samoa</v>
      </c>
      <c r="D13537">
        <f>IFERROR(__xludf.DUMMYFUNCTION("""COMPUTED_VALUE"""),2015.0)</f>
        <v>2015</v>
      </c>
      <c r="E13537">
        <f>IFERROR(__xludf.DUMMYFUNCTION("""COMPUTED_VALUE"""),193759.0)</f>
        <v>193759</v>
      </c>
    </row>
    <row r="13538">
      <c r="A13538" t="str">
        <f t="shared" si="1"/>
        <v>wsm#2016</v>
      </c>
      <c r="B13538" t="str">
        <f>IFERROR(__xludf.DUMMYFUNCTION("""COMPUTED_VALUE"""),"wsm")</f>
        <v>wsm</v>
      </c>
      <c r="C13538" t="str">
        <f>IFERROR(__xludf.DUMMYFUNCTION("""COMPUTED_VALUE"""),"Samoa")</f>
        <v>Samoa</v>
      </c>
      <c r="D13538">
        <f>IFERROR(__xludf.DUMMYFUNCTION("""COMPUTED_VALUE"""),2016.0)</f>
        <v>2016</v>
      </c>
      <c r="E13538">
        <f>IFERROR(__xludf.DUMMYFUNCTION("""COMPUTED_VALUE"""),195125.0)</f>
        <v>195125</v>
      </c>
    </row>
    <row r="13539">
      <c r="A13539" t="str">
        <f t="shared" si="1"/>
        <v>wsm#2017</v>
      </c>
      <c r="B13539" t="str">
        <f>IFERROR(__xludf.DUMMYFUNCTION("""COMPUTED_VALUE"""),"wsm")</f>
        <v>wsm</v>
      </c>
      <c r="C13539" t="str">
        <f>IFERROR(__xludf.DUMMYFUNCTION("""COMPUTED_VALUE"""),"Samoa")</f>
        <v>Samoa</v>
      </c>
      <c r="D13539">
        <f>IFERROR(__xludf.DUMMYFUNCTION("""COMPUTED_VALUE"""),2017.0)</f>
        <v>2017</v>
      </c>
      <c r="E13539">
        <f>IFERROR(__xludf.DUMMYFUNCTION("""COMPUTED_VALUE"""),196440.0)</f>
        <v>196440</v>
      </c>
    </row>
    <row r="13540">
      <c r="A13540" t="str">
        <f t="shared" si="1"/>
        <v>wsm#2018</v>
      </c>
      <c r="B13540" t="str">
        <f>IFERROR(__xludf.DUMMYFUNCTION("""COMPUTED_VALUE"""),"wsm")</f>
        <v>wsm</v>
      </c>
      <c r="C13540" t="str">
        <f>IFERROR(__xludf.DUMMYFUNCTION("""COMPUTED_VALUE"""),"Samoa")</f>
        <v>Samoa</v>
      </c>
      <c r="D13540">
        <f>IFERROR(__xludf.DUMMYFUNCTION("""COMPUTED_VALUE"""),2018.0)</f>
        <v>2018</v>
      </c>
      <c r="E13540">
        <f>IFERROR(__xludf.DUMMYFUNCTION("""COMPUTED_VALUE"""),197695.0)</f>
        <v>197695</v>
      </c>
    </row>
    <row r="13541">
      <c r="A13541" t="str">
        <f t="shared" si="1"/>
        <v>wsm#2019</v>
      </c>
      <c r="B13541" t="str">
        <f>IFERROR(__xludf.DUMMYFUNCTION("""COMPUTED_VALUE"""),"wsm")</f>
        <v>wsm</v>
      </c>
      <c r="C13541" t="str">
        <f>IFERROR(__xludf.DUMMYFUNCTION("""COMPUTED_VALUE"""),"Samoa")</f>
        <v>Samoa</v>
      </c>
      <c r="D13541">
        <f>IFERROR(__xludf.DUMMYFUNCTION("""COMPUTED_VALUE"""),2019.0)</f>
        <v>2019</v>
      </c>
      <c r="E13541">
        <f>IFERROR(__xludf.DUMMYFUNCTION("""COMPUTED_VALUE"""),198909.0)</f>
        <v>198909</v>
      </c>
    </row>
    <row r="13542">
      <c r="A13542" t="str">
        <f t="shared" si="1"/>
        <v>wsm#2020</v>
      </c>
      <c r="B13542" t="str">
        <f>IFERROR(__xludf.DUMMYFUNCTION("""COMPUTED_VALUE"""),"wsm")</f>
        <v>wsm</v>
      </c>
      <c r="C13542" t="str">
        <f>IFERROR(__xludf.DUMMYFUNCTION("""COMPUTED_VALUE"""),"Samoa")</f>
        <v>Samoa</v>
      </c>
      <c r="D13542">
        <f>IFERROR(__xludf.DUMMYFUNCTION("""COMPUTED_VALUE"""),2020.0)</f>
        <v>2020</v>
      </c>
      <c r="E13542">
        <f>IFERROR(__xludf.DUMMYFUNCTION("""COMPUTED_VALUE"""),200117.0)</f>
        <v>200117</v>
      </c>
    </row>
    <row r="13543">
      <c r="A13543" t="str">
        <f t="shared" si="1"/>
        <v>wsm#2021</v>
      </c>
      <c r="B13543" t="str">
        <f>IFERROR(__xludf.DUMMYFUNCTION("""COMPUTED_VALUE"""),"wsm")</f>
        <v>wsm</v>
      </c>
      <c r="C13543" t="str">
        <f>IFERROR(__xludf.DUMMYFUNCTION("""COMPUTED_VALUE"""),"Samoa")</f>
        <v>Samoa</v>
      </c>
      <c r="D13543">
        <f>IFERROR(__xludf.DUMMYFUNCTION("""COMPUTED_VALUE"""),2021.0)</f>
        <v>2021</v>
      </c>
      <c r="E13543">
        <f>IFERROR(__xludf.DUMMYFUNCTION("""COMPUTED_VALUE"""),201318.0)</f>
        <v>201318</v>
      </c>
    </row>
    <row r="13544">
      <c r="A13544" t="str">
        <f t="shared" si="1"/>
        <v>wsm#2022</v>
      </c>
      <c r="B13544" t="str">
        <f>IFERROR(__xludf.DUMMYFUNCTION("""COMPUTED_VALUE"""),"wsm")</f>
        <v>wsm</v>
      </c>
      <c r="C13544" t="str">
        <f>IFERROR(__xludf.DUMMYFUNCTION("""COMPUTED_VALUE"""),"Samoa")</f>
        <v>Samoa</v>
      </c>
      <c r="D13544">
        <f>IFERROR(__xludf.DUMMYFUNCTION("""COMPUTED_VALUE"""),2022.0)</f>
        <v>2022</v>
      </c>
      <c r="E13544">
        <f>IFERROR(__xludf.DUMMYFUNCTION("""COMPUTED_VALUE"""),202508.0)</f>
        <v>202508</v>
      </c>
    </row>
    <row r="13545">
      <c r="A13545" t="str">
        <f t="shared" si="1"/>
        <v>wsm#2023</v>
      </c>
      <c r="B13545" t="str">
        <f>IFERROR(__xludf.DUMMYFUNCTION("""COMPUTED_VALUE"""),"wsm")</f>
        <v>wsm</v>
      </c>
      <c r="C13545" t="str">
        <f>IFERROR(__xludf.DUMMYFUNCTION("""COMPUTED_VALUE"""),"Samoa")</f>
        <v>Samoa</v>
      </c>
      <c r="D13545">
        <f>IFERROR(__xludf.DUMMYFUNCTION("""COMPUTED_VALUE"""),2023.0)</f>
        <v>2023</v>
      </c>
      <c r="E13545">
        <f>IFERROR(__xludf.DUMMYFUNCTION("""COMPUTED_VALUE"""),203702.0)</f>
        <v>203702</v>
      </c>
    </row>
    <row r="13546">
      <c r="A13546" t="str">
        <f t="shared" si="1"/>
        <v>wsm#2024</v>
      </c>
      <c r="B13546" t="str">
        <f>IFERROR(__xludf.DUMMYFUNCTION("""COMPUTED_VALUE"""),"wsm")</f>
        <v>wsm</v>
      </c>
      <c r="C13546" t="str">
        <f>IFERROR(__xludf.DUMMYFUNCTION("""COMPUTED_VALUE"""),"Samoa")</f>
        <v>Samoa</v>
      </c>
      <c r="D13546">
        <f>IFERROR(__xludf.DUMMYFUNCTION("""COMPUTED_VALUE"""),2024.0)</f>
        <v>2024</v>
      </c>
      <c r="E13546">
        <f>IFERROR(__xludf.DUMMYFUNCTION("""COMPUTED_VALUE"""),204864.0)</f>
        <v>204864</v>
      </c>
    </row>
    <row r="13547">
      <c r="A13547" t="str">
        <f t="shared" si="1"/>
        <v>wsm#2025</v>
      </c>
      <c r="B13547" t="str">
        <f>IFERROR(__xludf.DUMMYFUNCTION("""COMPUTED_VALUE"""),"wsm")</f>
        <v>wsm</v>
      </c>
      <c r="C13547" t="str">
        <f>IFERROR(__xludf.DUMMYFUNCTION("""COMPUTED_VALUE"""),"Samoa")</f>
        <v>Samoa</v>
      </c>
      <c r="D13547">
        <f>IFERROR(__xludf.DUMMYFUNCTION("""COMPUTED_VALUE"""),2025.0)</f>
        <v>2025</v>
      </c>
      <c r="E13547">
        <f>IFERROR(__xludf.DUMMYFUNCTION("""COMPUTED_VALUE"""),206018.0)</f>
        <v>206018</v>
      </c>
    </row>
    <row r="13548">
      <c r="A13548" t="str">
        <f t="shared" si="1"/>
        <v>wsm#2026</v>
      </c>
      <c r="B13548" t="str">
        <f>IFERROR(__xludf.DUMMYFUNCTION("""COMPUTED_VALUE"""),"wsm")</f>
        <v>wsm</v>
      </c>
      <c r="C13548" t="str">
        <f>IFERROR(__xludf.DUMMYFUNCTION("""COMPUTED_VALUE"""),"Samoa")</f>
        <v>Samoa</v>
      </c>
      <c r="D13548">
        <f>IFERROR(__xludf.DUMMYFUNCTION("""COMPUTED_VALUE"""),2026.0)</f>
        <v>2026</v>
      </c>
      <c r="E13548">
        <f>IFERROR(__xludf.DUMMYFUNCTION("""COMPUTED_VALUE"""),207133.0)</f>
        <v>207133</v>
      </c>
    </row>
    <row r="13549">
      <c r="A13549" t="str">
        <f t="shared" si="1"/>
        <v>wsm#2027</v>
      </c>
      <c r="B13549" t="str">
        <f>IFERROR(__xludf.DUMMYFUNCTION("""COMPUTED_VALUE"""),"wsm")</f>
        <v>wsm</v>
      </c>
      <c r="C13549" t="str">
        <f>IFERROR(__xludf.DUMMYFUNCTION("""COMPUTED_VALUE"""),"Samoa")</f>
        <v>Samoa</v>
      </c>
      <c r="D13549">
        <f>IFERROR(__xludf.DUMMYFUNCTION("""COMPUTED_VALUE"""),2027.0)</f>
        <v>2027</v>
      </c>
      <c r="E13549">
        <f>IFERROR(__xludf.DUMMYFUNCTION("""COMPUTED_VALUE"""),208243.0)</f>
        <v>208243</v>
      </c>
    </row>
    <row r="13550">
      <c r="A13550" t="str">
        <f t="shared" si="1"/>
        <v>wsm#2028</v>
      </c>
      <c r="B13550" t="str">
        <f>IFERROR(__xludf.DUMMYFUNCTION("""COMPUTED_VALUE"""),"wsm")</f>
        <v>wsm</v>
      </c>
      <c r="C13550" t="str">
        <f>IFERROR(__xludf.DUMMYFUNCTION("""COMPUTED_VALUE"""),"Samoa")</f>
        <v>Samoa</v>
      </c>
      <c r="D13550">
        <f>IFERROR(__xludf.DUMMYFUNCTION("""COMPUTED_VALUE"""),2028.0)</f>
        <v>2028</v>
      </c>
      <c r="E13550">
        <f>IFERROR(__xludf.DUMMYFUNCTION("""COMPUTED_VALUE"""),209403.0)</f>
        <v>209403</v>
      </c>
    </row>
    <row r="13551">
      <c r="A13551" t="str">
        <f t="shared" si="1"/>
        <v>wsm#2029</v>
      </c>
      <c r="B13551" t="str">
        <f>IFERROR(__xludf.DUMMYFUNCTION("""COMPUTED_VALUE"""),"wsm")</f>
        <v>wsm</v>
      </c>
      <c r="C13551" t="str">
        <f>IFERROR(__xludf.DUMMYFUNCTION("""COMPUTED_VALUE"""),"Samoa")</f>
        <v>Samoa</v>
      </c>
      <c r="D13551">
        <f>IFERROR(__xludf.DUMMYFUNCTION("""COMPUTED_VALUE"""),2029.0)</f>
        <v>2029</v>
      </c>
      <c r="E13551">
        <f>IFERROR(__xludf.DUMMYFUNCTION("""COMPUTED_VALUE"""),210660.0)</f>
        <v>210660</v>
      </c>
    </row>
    <row r="13552">
      <c r="A13552" t="str">
        <f t="shared" si="1"/>
        <v>wsm#2030</v>
      </c>
      <c r="B13552" t="str">
        <f>IFERROR(__xludf.DUMMYFUNCTION("""COMPUTED_VALUE"""),"wsm")</f>
        <v>wsm</v>
      </c>
      <c r="C13552" t="str">
        <f>IFERROR(__xludf.DUMMYFUNCTION("""COMPUTED_VALUE"""),"Samoa")</f>
        <v>Samoa</v>
      </c>
      <c r="D13552">
        <f>IFERROR(__xludf.DUMMYFUNCTION("""COMPUTED_VALUE"""),2030.0)</f>
        <v>2030</v>
      </c>
      <c r="E13552">
        <f>IFERROR(__xludf.DUMMYFUNCTION("""COMPUTED_VALUE"""),212095.0)</f>
        <v>212095</v>
      </c>
    </row>
    <row r="13553">
      <c r="A13553" t="str">
        <f t="shared" si="1"/>
        <v>wsm#2031</v>
      </c>
      <c r="B13553" t="str">
        <f>IFERROR(__xludf.DUMMYFUNCTION("""COMPUTED_VALUE"""),"wsm")</f>
        <v>wsm</v>
      </c>
      <c r="C13553" t="str">
        <f>IFERROR(__xludf.DUMMYFUNCTION("""COMPUTED_VALUE"""),"Samoa")</f>
        <v>Samoa</v>
      </c>
      <c r="D13553">
        <f>IFERROR(__xludf.DUMMYFUNCTION("""COMPUTED_VALUE"""),2031.0)</f>
        <v>2031</v>
      </c>
      <c r="E13553">
        <f>IFERROR(__xludf.DUMMYFUNCTION("""COMPUTED_VALUE"""),213698.0)</f>
        <v>213698</v>
      </c>
    </row>
    <row r="13554">
      <c r="A13554" t="str">
        <f t="shared" si="1"/>
        <v>wsm#2032</v>
      </c>
      <c r="B13554" t="str">
        <f>IFERROR(__xludf.DUMMYFUNCTION("""COMPUTED_VALUE"""),"wsm")</f>
        <v>wsm</v>
      </c>
      <c r="C13554" t="str">
        <f>IFERROR(__xludf.DUMMYFUNCTION("""COMPUTED_VALUE"""),"Samoa")</f>
        <v>Samoa</v>
      </c>
      <c r="D13554">
        <f>IFERROR(__xludf.DUMMYFUNCTION("""COMPUTED_VALUE"""),2032.0)</f>
        <v>2032</v>
      </c>
      <c r="E13554">
        <f>IFERROR(__xludf.DUMMYFUNCTION("""COMPUTED_VALUE"""),215459.0)</f>
        <v>215459</v>
      </c>
    </row>
    <row r="13555">
      <c r="A13555" t="str">
        <f t="shared" si="1"/>
        <v>wsm#2033</v>
      </c>
      <c r="B13555" t="str">
        <f>IFERROR(__xludf.DUMMYFUNCTION("""COMPUTED_VALUE"""),"wsm")</f>
        <v>wsm</v>
      </c>
      <c r="C13555" t="str">
        <f>IFERROR(__xludf.DUMMYFUNCTION("""COMPUTED_VALUE"""),"Samoa")</f>
        <v>Samoa</v>
      </c>
      <c r="D13555">
        <f>IFERROR(__xludf.DUMMYFUNCTION("""COMPUTED_VALUE"""),2033.0)</f>
        <v>2033</v>
      </c>
      <c r="E13555">
        <f>IFERROR(__xludf.DUMMYFUNCTION("""COMPUTED_VALUE"""),217327.0)</f>
        <v>217327</v>
      </c>
    </row>
    <row r="13556">
      <c r="A13556" t="str">
        <f t="shared" si="1"/>
        <v>wsm#2034</v>
      </c>
      <c r="B13556" t="str">
        <f>IFERROR(__xludf.DUMMYFUNCTION("""COMPUTED_VALUE"""),"wsm")</f>
        <v>wsm</v>
      </c>
      <c r="C13556" t="str">
        <f>IFERROR(__xludf.DUMMYFUNCTION("""COMPUTED_VALUE"""),"Samoa")</f>
        <v>Samoa</v>
      </c>
      <c r="D13556">
        <f>IFERROR(__xludf.DUMMYFUNCTION("""COMPUTED_VALUE"""),2034.0)</f>
        <v>2034</v>
      </c>
      <c r="E13556">
        <f>IFERROR(__xludf.DUMMYFUNCTION("""COMPUTED_VALUE"""),219221.0)</f>
        <v>219221</v>
      </c>
    </row>
    <row r="13557">
      <c r="A13557" t="str">
        <f t="shared" si="1"/>
        <v>wsm#2035</v>
      </c>
      <c r="B13557" t="str">
        <f>IFERROR(__xludf.DUMMYFUNCTION("""COMPUTED_VALUE"""),"wsm")</f>
        <v>wsm</v>
      </c>
      <c r="C13557" t="str">
        <f>IFERROR(__xludf.DUMMYFUNCTION("""COMPUTED_VALUE"""),"Samoa")</f>
        <v>Samoa</v>
      </c>
      <c r="D13557">
        <f>IFERROR(__xludf.DUMMYFUNCTION("""COMPUTED_VALUE"""),2035.0)</f>
        <v>2035</v>
      </c>
      <c r="E13557">
        <f>IFERROR(__xludf.DUMMYFUNCTION("""COMPUTED_VALUE"""),221098.0)</f>
        <v>221098</v>
      </c>
    </row>
    <row r="13558">
      <c r="A13558" t="str">
        <f t="shared" si="1"/>
        <v>wsm#2036</v>
      </c>
      <c r="B13558" t="str">
        <f>IFERROR(__xludf.DUMMYFUNCTION("""COMPUTED_VALUE"""),"wsm")</f>
        <v>wsm</v>
      </c>
      <c r="C13558" t="str">
        <f>IFERROR(__xludf.DUMMYFUNCTION("""COMPUTED_VALUE"""),"Samoa")</f>
        <v>Samoa</v>
      </c>
      <c r="D13558">
        <f>IFERROR(__xludf.DUMMYFUNCTION("""COMPUTED_VALUE"""),2036.0)</f>
        <v>2036</v>
      </c>
      <c r="E13558">
        <f>IFERROR(__xludf.DUMMYFUNCTION("""COMPUTED_VALUE"""),222937.0)</f>
        <v>222937</v>
      </c>
    </row>
    <row r="13559">
      <c r="A13559" t="str">
        <f t="shared" si="1"/>
        <v>wsm#2037</v>
      </c>
      <c r="B13559" t="str">
        <f>IFERROR(__xludf.DUMMYFUNCTION("""COMPUTED_VALUE"""),"wsm")</f>
        <v>wsm</v>
      </c>
      <c r="C13559" t="str">
        <f>IFERROR(__xludf.DUMMYFUNCTION("""COMPUTED_VALUE"""),"Samoa")</f>
        <v>Samoa</v>
      </c>
      <c r="D13559">
        <f>IFERROR(__xludf.DUMMYFUNCTION("""COMPUTED_VALUE"""),2037.0)</f>
        <v>2037</v>
      </c>
      <c r="E13559">
        <f>IFERROR(__xludf.DUMMYFUNCTION("""COMPUTED_VALUE"""),224746.0)</f>
        <v>224746</v>
      </c>
    </row>
    <row r="13560">
      <c r="A13560" t="str">
        <f t="shared" si="1"/>
        <v>wsm#2038</v>
      </c>
      <c r="B13560" t="str">
        <f>IFERROR(__xludf.DUMMYFUNCTION("""COMPUTED_VALUE"""),"wsm")</f>
        <v>wsm</v>
      </c>
      <c r="C13560" t="str">
        <f>IFERROR(__xludf.DUMMYFUNCTION("""COMPUTED_VALUE"""),"Samoa")</f>
        <v>Samoa</v>
      </c>
      <c r="D13560">
        <f>IFERROR(__xludf.DUMMYFUNCTION("""COMPUTED_VALUE"""),2038.0)</f>
        <v>2038</v>
      </c>
      <c r="E13560">
        <f>IFERROR(__xludf.DUMMYFUNCTION("""COMPUTED_VALUE"""),226512.0)</f>
        <v>226512</v>
      </c>
    </row>
    <row r="13561">
      <c r="A13561" t="str">
        <f t="shared" si="1"/>
        <v>wsm#2039</v>
      </c>
      <c r="B13561" t="str">
        <f>IFERROR(__xludf.DUMMYFUNCTION("""COMPUTED_VALUE"""),"wsm")</f>
        <v>wsm</v>
      </c>
      <c r="C13561" t="str">
        <f>IFERROR(__xludf.DUMMYFUNCTION("""COMPUTED_VALUE"""),"Samoa")</f>
        <v>Samoa</v>
      </c>
      <c r="D13561">
        <f>IFERROR(__xludf.DUMMYFUNCTION("""COMPUTED_VALUE"""),2039.0)</f>
        <v>2039</v>
      </c>
      <c r="E13561">
        <f>IFERROR(__xludf.DUMMYFUNCTION("""COMPUTED_VALUE"""),228240.0)</f>
        <v>228240</v>
      </c>
    </row>
    <row r="13562">
      <c r="A13562" t="str">
        <f t="shared" si="1"/>
        <v>wsm#2040</v>
      </c>
      <c r="B13562" t="str">
        <f>IFERROR(__xludf.DUMMYFUNCTION("""COMPUTED_VALUE"""),"wsm")</f>
        <v>wsm</v>
      </c>
      <c r="C13562" t="str">
        <f>IFERROR(__xludf.DUMMYFUNCTION("""COMPUTED_VALUE"""),"Samoa")</f>
        <v>Samoa</v>
      </c>
      <c r="D13562">
        <f>IFERROR(__xludf.DUMMYFUNCTION("""COMPUTED_VALUE"""),2040.0)</f>
        <v>2040</v>
      </c>
      <c r="E13562">
        <f>IFERROR(__xludf.DUMMYFUNCTION("""COMPUTED_VALUE"""),229926.0)</f>
        <v>229926</v>
      </c>
    </row>
    <row r="13563">
      <c r="A13563" t="str">
        <f t="shared" si="1"/>
        <v>smr#1950</v>
      </c>
      <c r="B13563" t="str">
        <f>IFERROR(__xludf.DUMMYFUNCTION("""COMPUTED_VALUE"""),"smr")</f>
        <v>smr</v>
      </c>
      <c r="C13563" t="str">
        <f>IFERROR(__xludf.DUMMYFUNCTION("""COMPUTED_VALUE"""),"San Marino")</f>
        <v>San Marino</v>
      </c>
      <c r="D13563">
        <f>IFERROR(__xludf.DUMMYFUNCTION("""COMPUTED_VALUE"""),1950.0)</f>
        <v>1950</v>
      </c>
      <c r="E13563">
        <f>IFERROR(__xludf.DUMMYFUNCTION("""COMPUTED_VALUE"""),12781.0)</f>
        <v>12781</v>
      </c>
    </row>
    <row r="13564">
      <c r="A13564" t="str">
        <f t="shared" si="1"/>
        <v>smr#1951</v>
      </c>
      <c r="B13564" t="str">
        <f>IFERROR(__xludf.DUMMYFUNCTION("""COMPUTED_VALUE"""),"smr")</f>
        <v>smr</v>
      </c>
      <c r="C13564" t="str">
        <f>IFERROR(__xludf.DUMMYFUNCTION("""COMPUTED_VALUE"""),"San Marino")</f>
        <v>San Marino</v>
      </c>
      <c r="D13564">
        <f>IFERROR(__xludf.DUMMYFUNCTION("""COMPUTED_VALUE"""),1951.0)</f>
        <v>1951</v>
      </c>
      <c r="E13564">
        <f>IFERROR(__xludf.DUMMYFUNCTION("""COMPUTED_VALUE"""),12917.0)</f>
        <v>12917</v>
      </c>
    </row>
    <row r="13565">
      <c r="A13565" t="str">
        <f t="shared" si="1"/>
        <v>smr#1952</v>
      </c>
      <c r="B13565" t="str">
        <f>IFERROR(__xludf.DUMMYFUNCTION("""COMPUTED_VALUE"""),"smr")</f>
        <v>smr</v>
      </c>
      <c r="C13565" t="str">
        <f>IFERROR(__xludf.DUMMYFUNCTION("""COMPUTED_VALUE"""),"San Marino")</f>
        <v>San Marino</v>
      </c>
      <c r="D13565">
        <f>IFERROR(__xludf.DUMMYFUNCTION("""COMPUTED_VALUE"""),1952.0)</f>
        <v>1952</v>
      </c>
      <c r="E13565">
        <f>IFERROR(__xludf.DUMMYFUNCTION("""COMPUTED_VALUE"""),13092.0)</f>
        <v>13092</v>
      </c>
    </row>
    <row r="13566">
      <c r="A13566" t="str">
        <f t="shared" si="1"/>
        <v>smr#1953</v>
      </c>
      <c r="B13566" t="str">
        <f>IFERROR(__xludf.DUMMYFUNCTION("""COMPUTED_VALUE"""),"smr")</f>
        <v>smr</v>
      </c>
      <c r="C13566" t="str">
        <f>IFERROR(__xludf.DUMMYFUNCTION("""COMPUTED_VALUE"""),"San Marino")</f>
        <v>San Marino</v>
      </c>
      <c r="D13566">
        <f>IFERROR(__xludf.DUMMYFUNCTION("""COMPUTED_VALUE"""),1953.0)</f>
        <v>1953</v>
      </c>
      <c r="E13566">
        <f>IFERROR(__xludf.DUMMYFUNCTION("""COMPUTED_VALUE"""),13290.0)</f>
        <v>13290</v>
      </c>
    </row>
    <row r="13567">
      <c r="A13567" t="str">
        <f t="shared" si="1"/>
        <v>smr#1954</v>
      </c>
      <c r="B13567" t="str">
        <f>IFERROR(__xludf.DUMMYFUNCTION("""COMPUTED_VALUE"""),"smr")</f>
        <v>smr</v>
      </c>
      <c r="C13567" t="str">
        <f>IFERROR(__xludf.DUMMYFUNCTION("""COMPUTED_VALUE"""),"San Marino")</f>
        <v>San Marino</v>
      </c>
      <c r="D13567">
        <f>IFERROR(__xludf.DUMMYFUNCTION("""COMPUTED_VALUE"""),1954.0)</f>
        <v>1954</v>
      </c>
      <c r="E13567">
        <f>IFERROR(__xludf.DUMMYFUNCTION("""COMPUTED_VALUE"""),13511.0)</f>
        <v>13511</v>
      </c>
    </row>
    <row r="13568">
      <c r="A13568" t="str">
        <f t="shared" si="1"/>
        <v>smr#1955</v>
      </c>
      <c r="B13568" t="str">
        <f>IFERROR(__xludf.DUMMYFUNCTION("""COMPUTED_VALUE"""),"smr")</f>
        <v>smr</v>
      </c>
      <c r="C13568" t="str">
        <f>IFERROR(__xludf.DUMMYFUNCTION("""COMPUTED_VALUE"""),"San Marino")</f>
        <v>San Marino</v>
      </c>
      <c r="D13568">
        <f>IFERROR(__xludf.DUMMYFUNCTION("""COMPUTED_VALUE"""),1955.0)</f>
        <v>1955</v>
      </c>
      <c r="E13568">
        <f>IFERROR(__xludf.DUMMYFUNCTION("""COMPUTED_VALUE"""),13772.0)</f>
        <v>13772</v>
      </c>
    </row>
    <row r="13569">
      <c r="A13569" t="str">
        <f t="shared" si="1"/>
        <v>smr#1956</v>
      </c>
      <c r="B13569" t="str">
        <f>IFERROR(__xludf.DUMMYFUNCTION("""COMPUTED_VALUE"""),"smr")</f>
        <v>smr</v>
      </c>
      <c r="C13569" t="str">
        <f>IFERROR(__xludf.DUMMYFUNCTION("""COMPUTED_VALUE"""),"San Marino")</f>
        <v>San Marino</v>
      </c>
      <c r="D13569">
        <f>IFERROR(__xludf.DUMMYFUNCTION("""COMPUTED_VALUE"""),1956.0)</f>
        <v>1956</v>
      </c>
      <c r="E13569">
        <f>IFERROR(__xludf.DUMMYFUNCTION("""COMPUTED_VALUE"""),14048.0)</f>
        <v>14048</v>
      </c>
    </row>
    <row r="13570">
      <c r="A13570" t="str">
        <f t="shared" si="1"/>
        <v>smr#1957</v>
      </c>
      <c r="B13570" t="str">
        <f>IFERROR(__xludf.DUMMYFUNCTION("""COMPUTED_VALUE"""),"smr")</f>
        <v>smr</v>
      </c>
      <c r="C13570" t="str">
        <f>IFERROR(__xludf.DUMMYFUNCTION("""COMPUTED_VALUE"""),"San Marino")</f>
        <v>San Marino</v>
      </c>
      <c r="D13570">
        <f>IFERROR(__xludf.DUMMYFUNCTION("""COMPUTED_VALUE"""),1957.0)</f>
        <v>1957</v>
      </c>
      <c r="E13570">
        <f>IFERROR(__xludf.DUMMYFUNCTION("""COMPUTED_VALUE"""),14346.0)</f>
        <v>14346</v>
      </c>
    </row>
    <row r="13571">
      <c r="A13571" t="str">
        <f t="shared" si="1"/>
        <v>smr#1958</v>
      </c>
      <c r="B13571" t="str">
        <f>IFERROR(__xludf.DUMMYFUNCTION("""COMPUTED_VALUE"""),"smr")</f>
        <v>smr</v>
      </c>
      <c r="C13571" t="str">
        <f>IFERROR(__xludf.DUMMYFUNCTION("""COMPUTED_VALUE"""),"San Marino")</f>
        <v>San Marino</v>
      </c>
      <c r="D13571">
        <f>IFERROR(__xludf.DUMMYFUNCTION("""COMPUTED_VALUE"""),1958.0)</f>
        <v>1958</v>
      </c>
      <c r="E13571">
        <f>IFERROR(__xludf.DUMMYFUNCTION("""COMPUTED_VALUE"""),14669.0)</f>
        <v>14669</v>
      </c>
    </row>
    <row r="13572">
      <c r="A13572" t="str">
        <f t="shared" si="1"/>
        <v>smr#1959</v>
      </c>
      <c r="B13572" t="str">
        <f>IFERROR(__xludf.DUMMYFUNCTION("""COMPUTED_VALUE"""),"smr")</f>
        <v>smr</v>
      </c>
      <c r="C13572" t="str">
        <f>IFERROR(__xludf.DUMMYFUNCTION("""COMPUTED_VALUE"""),"San Marino")</f>
        <v>San Marino</v>
      </c>
      <c r="D13572">
        <f>IFERROR(__xludf.DUMMYFUNCTION("""COMPUTED_VALUE"""),1959.0)</f>
        <v>1959</v>
      </c>
      <c r="E13572">
        <f>IFERROR(__xludf.DUMMYFUNCTION("""COMPUTED_VALUE"""),15021.0)</f>
        <v>15021</v>
      </c>
    </row>
    <row r="13573">
      <c r="A13573" t="str">
        <f t="shared" si="1"/>
        <v>smr#1960</v>
      </c>
      <c r="B13573" t="str">
        <f>IFERROR(__xludf.DUMMYFUNCTION("""COMPUTED_VALUE"""),"smr")</f>
        <v>smr</v>
      </c>
      <c r="C13573" t="str">
        <f>IFERROR(__xludf.DUMMYFUNCTION("""COMPUTED_VALUE"""),"San Marino")</f>
        <v>San Marino</v>
      </c>
      <c r="D13573">
        <f>IFERROR(__xludf.DUMMYFUNCTION("""COMPUTED_VALUE"""),1960.0)</f>
        <v>1960</v>
      </c>
      <c r="E13573">
        <f>IFERROR(__xludf.DUMMYFUNCTION("""COMPUTED_VALUE"""),15397.0)</f>
        <v>15397</v>
      </c>
    </row>
    <row r="13574">
      <c r="A13574" t="str">
        <f t="shared" si="1"/>
        <v>smr#1961</v>
      </c>
      <c r="B13574" t="str">
        <f>IFERROR(__xludf.DUMMYFUNCTION("""COMPUTED_VALUE"""),"smr")</f>
        <v>smr</v>
      </c>
      <c r="C13574" t="str">
        <f>IFERROR(__xludf.DUMMYFUNCTION("""COMPUTED_VALUE"""),"San Marino")</f>
        <v>San Marino</v>
      </c>
      <c r="D13574">
        <f>IFERROR(__xludf.DUMMYFUNCTION("""COMPUTED_VALUE"""),1961.0)</f>
        <v>1961</v>
      </c>
      <c r="E13574">
        <f>IFERROR(__xludf.DUMMYFUNCTION("""COMPUTED_VALUE"""),15789.0)</f>
        <v>15789</v>
      </c>
    </row>
    <row r="13575">
      <c r="A13575" t="str">
        <f t="shared" si="1"/>
        <v>smr#1962</v>
      </c>
      <c r="B13575" t="str">
        <f>IFERROR(__xludf.DUMMYFUNCTION("""COMPUTED_VALUE"""),"smr")</f>
        <v>smr</v>
      </c>
      <c r="C13575" t="str">
        <f>IFERROR(__xludf.DUMMYFUNCTION("""COMPUTED_VALUE"""),"San Marino")</f>
        <v>San Marino</v>
      </c>
      <c r="D13575">
        <f>IFERROR(__xludf.DUMMYFUNCTION("""COMPUTED_VALUE"""),1962.0)</f>
        <v>1962</v>
      </c>
      <c r="E13575">
        <f>IFERROR(__xludf.DUMMYFUNCTION("""COMPUTED_VALUE"""),16199.0)</f>
        <v>16199</v>
      </c>
    </row>
    <row r="13576">
      <c r="A13576" t="str">
        <f t="shared" si="1"/>
        <v>smr#1963</v>
      </c>
      <c r="B13576" t="str">
        <f>IFERROR(__xludf.DUMMYFUNCTION("""COMPUTED_VALUE"""),"smr")</f>
        <v>smr</v>
      </c>
      <c r="C13576" t="str">
        <f>IFERROR(__xludf.DUMMYFUNCTION("""COMPUTED_VALUE"""),"San Marino")</f>
        <v>San Marino</v>
      </c>
      <c r="D13576">
        <f>IFERROR(__xludf.DUMMYFUNCTION("""COMPUTED_VALUE"""),1963.0)</f>
        <v>1963</v>
      </c>
      <c r="E13576">
        <f>IFERROR(__xludf.DUMMYFUNCTION("""COMPUTED_VALUE"""),16621.0)</f>
        <v>16621</v>
      </c>
    </row>
    <row r="13577">
      <c r="A13577" t="str">
        <f t="shared" si="1"/>
        <v>smr#1964</v>
      </c>
      <c r="B13577" t="str">
        <f>IFERROR(__xludf.DUMMYFUNCTION("""COMPUTED_VALUE"""),"smr")</f>
        <v>smr</v>
      </c>
      <c r="C13577" t="str">
        <f>IFERROR(__xludf.DUMMYFUNCTION("""COMPUTED_VALUE"""),"San Marino")</f>
        <v>San Marino</v>
      </c>
      <c r="D13577">
        <f>IFERROR(__xludf.DUMMYFUNCTION("""COMPUTED_VALUE"""),1964.0)</f>
        <v>1964</v>
      </c>
      <c r="E13577">
        <f>IFERROR(__xludf.DUMMYFUNCTION("""COMPUTED_VALUE"""),17032.0)</f>
        <v>17032</v>
      </c>
    </row>
    <row r="13578">
      <c r="A13578" t="str">
        <f t="shared" si="1"/>
        <v>smr#1965</v>
      </c>
      <c r="B13578" t="str">
        <f>IFERROR(__xludf.DUMMYFUNCTION("""COMPUTED_VALUE"""),"smr")</f>
        <v>smr</v>
      </c>
      <c r="C13578" t="str">
        <f>IFERROR(__xludf.DUMMYFUNCTION("""COMPUTED_VALUE"""),"San Marino")</f>
        <v>San Marino</v>
      </c>
      <c r="D13578">
        <f>IFERROR(__xludf.DUMMYFUNCTION("""COMPUTED_VALUE"""),1965.0)</f>
        <v>1965</v>
      </c>
      <c r="E13578">
        <f>IFERROR(__xludf.DUMMYFUNCTION("""COMPUTED_VALUE"""),17441.0)</f>
        <v>17441</v>
      </c>
    </row>
    <row r="13579">
      <c r="A13579" t="str">
        <f t="shared" si="1"/>
        <v>smr#1966</v>
      </c>
      <c r="B13579" t="str">
        <f>IFERROR(__xludf.DUMMYFUNCTION("""COMPUTED_VALUE"""),"smr")</f>
        <v>smr</v>
      </c>
      <c r="C13579" t="str">
        <f>IFERROR(__xludf.DUMMYFUNCTION("""COMPUTED_VALUE"""),"San Marino")</f>
        <v>San Marino</v>
      </c>
      <c r="D13579">
        <f>IFERROR(__xludf.DUMMYFUNCTION("""COMPUTED_VALUE"""),1966.0)</f>
        <v>1966</v>
      </c>
      <c r="E13579">
        <f>IFERROR(__xludf.DUMMYFUNCTION("""COMPUTED_VALUE"""),17835.0)</f>
        <v>17835</v>
      </c>
    </row>
    <row r="13580">
      <c r="A13580" t="str">
        <f t="shared" si="1"/>
        <v>smr#1967</v>
      </c>
      <c r="B13580" t="str">
        <f>IFERROR(__xludf.DUMMYFUNCTION("""COMPUTED_VALUE"""),"smr")</f>
        <v>smr</v>
      </c>
      <c r="C13580" t="str">
        <f>IFERROR(__xludf.DUMMYFUNCTION("""COMPUTED_VALUE"""),"San Marino")</f>
        <v>San Marino</v>
      </c>
      <c r="D13580">
        <f>IFERROR(__xludf.DUMMYFUNCTION("""COMPUTED_VALUE"""),1967.0)</f>
        <v>1967</v>
      </c>
      <c r="E13580">
        <f>IFERROR(__xludf.DUMMYFUNCTION("""COMPUTED_VALUE"""),18229.0)</f>
        <v>18229</v>
      </c>
    </row>
    <row r="13581">
      <c r="A13581" t="str">
        <f t="shared" si="1"/>
        <v>smr#1968</v>
      </c>
      <c r="B13581" t="str">
        <f>IFERROR(__xludf.DUMMYFUNCTION("""COMPUTED_VALUE"""),"smr")</f>
        <v>smr</v>
      </c>
      <c r="C13581" t="str">
        <f>IFERROR(__xludf.DUMMYFUNCTION("""COMPUTED_VALUE"""),"San Marino")</f>
        <v>San Marino</v>
      </c>
      <c r="D13581">
        <f>IFERROR(__xludf.DUMMYFUNCTION("""COMPUTED_VALUE"""),1968.0)</f>
        <v>1968</v>
      </c>
      <c r="E13581">
        <f>IFERROR(__xludf.DUMMYFUNCTION("""COMPUTED_VALUE"""),18589.0)</f>
        <v>18589</v>
      </c>
    </row>
    <row r="13582">
      <c r="A13582" t="str">
        <f t="shared" si="1"/>
        <v>smr#1969</v>
      </c>
      <c r="B13582" t="str">
        <f>IFERROR(__xludf.DUMMYFUNCTION("""COMPUTED_VALUE"""),"smr")</f>
        <v>smr</v>
      </c>
      <c r="C13582" t="str">
        <f>IFERROR(__xludf.DUMMYFUNCTION("""COMPUTED_VALUE"""),"San Marino")</f>
        <v>San Marino</v>
      </c>
      <c r="D13582">
        <f>IFERROR(__xludf.DUMMYFUNCTION("""COMPUTED_VALUE"""),1969.0)</f>
        <v>1969</v>
      </c>
      <c r="E13582">
        <f>IFERROR(__xludf.DUMMYFUNCTION("""COMPUTED_VALUE"""),18895.0)</f>
        <v>18895</v>
      </c>
    </row>
    <row r="13583">
      <c r="A13583" t="str">
        <f t="shared" si="1"/>
        <v>smr#1970</v>
      </c>
      <c r="B13583" t="str">
        <f>IFERROR(__xludf.DUMMYFUNCTION("""COMPUTED_VALUE"""),"smr")</f>
        <v>smr</v>
      </c>
      <c r="C13583" t="str">
        <f>IFERROR(__xludf.DUMMYFUNCTION("""COMPUTED_VALUE"""),"San Marino")</f>
        <v>San Marino</v>
      </c>
      <c r="D13583">
        <f>IFERROR(__xludf.DUMMYFUNCTION("""COMPUTED_VALUE"""),1970.0)</f>
        <v>1970</v>
      </c>
      <c r="E13583">
        <f>IFERROR(__xludf.DUMMYFUNCTION("""COMPUTED_VALUE"""),19138.0)</f>
        <v>19138</v>
      </c>
    </row>
    <row r="13584">
      <c r="A13584" t="str">
        <f t="shared" si="1"/>
        <v>smr#1971</v>
      </c>
      <c r="B13584" t="str">
        <f>IFERROR(__xludf.DUMMYFUNCTION("""COMPUTED_VALUE"""),"smr")</f>
        <v>smr</v>
      </c>
      <c r="C13584" t="str">
        <f>IFERROR(__xludf.DUMMYFUNCTION("""COMPUTED_VALUE"""),"San Marino")</f>
        <v>San Marino</v>
      </c>
      <c r="D13584">
        <f>IFERROR(__xludf.DUMMYFUNCTION("""COMPUTED_VALUE"""),1971.0)</f>
        <v>1971</v>
      </c>
      <c r="E13584">
        <f>IFERROR(__xludf.DUMMYFUNCTION("""COMPUTED_VALUE"""),19303.0)</f>
        <v>19303</v>
      </c>
    </row>
    <row r="13585">
      <c r="A13585" t="str">
        <f t="shared" si="1"/>
        <v>smr#1972</v>
      </c>
      <c r="B13585" t="str">
        <f>IFERROR(__xludf.DUMMYFUNCTION("""COMPUTED_VALUE"""),"smr")</f>
        <v>smr</v>
      </c>
      <c r="C13585" t="str">
        <f>IFERROR(__xludf.DUMMYFUNCTION("""COMPUTED_VALUE"""),"San Marino")</f>
        <v>San Marino</v>
      </c>
      <c r="D13585">
        <f>IFERROR(__xludf.DUMMYFUNCTION("""COMPUTED_VALUE"""),1972.0)</f>
        <v>1972</v>
      </c>
      <c r="E13585">
        <f>IFERROR(__xludf.DUMMYFUNCTION("""COMPUTED_VALUE"""),19398.0)</f>
        <v>19398</v>
      </c>
    </row>
    <row r="13586">
      <c r="A13586" t="str">
        <f t="shared" si="1"/>
        <v>smr#1973</v>
      </c>
      <c r="B13586" t="str">
        <f>IFERROR(__xludf.DUMMYFUNCTION("""COMPUTED_VALUE"""),"smr")</f>
        <v>smr</v>
      </c>
      <c r="C13586" t="str">
        <f>IFERROR(__xludf.DUMMYFUNCTION("""COMPUTED_VALUE"""),"San Marino")</f>
        <v>San Marino</v>
      </c>
      <c r="D13586">
        <f>IFERROR(__xludf.DUMMYFUNCTION("""COMPUTED_VALUE"""),1973.0)</f>
        <v>1973</v>
      </c>
      <c r="E13586">
        <f>IFERROR(__xludf.DUMMYFUNCTION("""COMPUTED_VALUE"""),19466.0)</f>
        <v>19466</v>
      </c>
    </row>
    <row r="13587">
      <c r="A13587" t="str">
        <f t="shared" si="1"/>
        <v>smr#1974</v>
      </c>
      <c r="B13587" t="str">
        <f>IFERROR(__xludf.DUMMYFUNCTION("""COMPUTED_VALUE"""),"smr")</f>
        <v>smr</v>
      </c>
      <c r="C13587" t="str">
        <f>IFERROR(__xludf.DUMMYFUNCTION("""COMPUTED_VALUE"""),"San Marino")</f>
        <v>San Marino</v>
      </c>
      <c r="D13587">
        <f>IFERROR(__xludf.DUMMYFUNCTION("""COMPUTED_VALUE"""),1974.0)</f>
        <v>1974</v>
      </c>
      <c r="E13587">
        <f>IFERROR(__xludf.DUMMYFUNCTION("""COMPUTED_VALUE"""),19562.0)</f>
        <v>19562</v>
      </c>
    </row>
    <row r="13588">
      <c r="A13588" t="str">
        <f t="shared" si="1"/>
        <v>smr#1975</v>
      </c>
      <c r="B13588" t="str">
        <f>IFERROR(__xludf.DUMMYFUNCTION("""COMPUTED_VALUE"""),"smr")</f>
        <v>smr</v>
      </c>
      <c r="C13588" t="str">
        <f>IFERROR(__xludf.DUMMYFUNCTION("""COMPUTED_VALUE"""),"San Marino")</f>
        <v>San Marino</v>
      </c>
      <c r="D13588">
        <f>IFERROR(__xludf.DUMMYFUNCTION("""COMPUTED_VALUE"""),1975.0)</f>
        <v>1975</v>
      </c>
      <c r="E13588">
        <f>IFERROR(__xludf.DUMMYFUNCTION("""COMPUTED_VALUE"""),19735.0)</f>
        <v>19735</v>
      </c>
    </row>
    <row r="13589">
      <c r="A13589" t="str">
        <f t="shared" si="1"/>
        <v>smr#1976</v>
      </c>
      <c r="B13589" t="str">
        <f>IFERROR(__xludf.DUMMYFUNCTION("""COMPUTED_VALUE"""),"smr")</f>
        <v>smr</v>
      </c>
      <c r="C13589" t="str">
        <f>IFERROR(__xludf.DUMMYFUNCTION("""COMPUTED_VALUE"""),"San Marino")</f>
        <v>San Marino</v>
      </c>
      <c r="D13589">
        <f>IFERROR(__xludf.DUMMYFUNCTION("""COMPUTED_VALUE"""),1976.0)</f>
        <v>1976</v>
      </c>
      <c r="E13589">
        <f>IFERROR(__xludf.DUMMYFUNCTION("""COMPUTED_VALUE"""),19980.0)</f>
        <v>19980</v>
      </c>
    </row>
    <row r="13590">
      <c r="A13590" t="str">
        <f t="shared" si="1"/>
        <v>smr#1977</v>
      </c>
      <c r="B13590" t="str">
        <f>IFERROR(__xludf.DUMMYFUNCTION("""COMPUTED_VALUE"""),"smr")</f>
        <v>smr</v>
      </c>
      <c r="C13590" t="str">
        <f>IFERROR(__xludf.DUMMYFUNCTION("""COMPUTED_VALUE"""),"San Marino")</f>
        <v>San Marino</v>
      </c>
      <c r="D13590">
        <f>IFERROR(__xludf.DUMMYFUNCTION("""COMPUTED_VALUE"""),1977.0)</f>
        <v>1977</v>
      </c>
      <c r="E13590">
        <f>IFERROR(__xludf.DUMMYFUNCTION("""COMPUTED_VALUE"""),20296.0)</f>
        <v>20296</v>
      </c>
    </row>
    <row r="13591">
      <c r="A13591" t="str">
        <f t="shared" si="1"/>
        <v>smr#1978</v>
      </c>
      <c r="B13591" t="str">
        <f>IFERROR(__xludf.DUMMYFUNCTION("""COMPUTED_VALUE"""),"smr")</f>
        <v>smr</v>
      </c>
      <c r="C13591" t="str">
        <f>IFERROR(__xludf.DUMMYFUNCTION("""COMPUTED_VALUE"""),"San Marino")</f>
        <v>San Marino</v>
      </c>
      <c r="D13591">
        <f>IFERROR(__xludf.DUMMYFUNCTION("""COMPUTED_VALUE"""),1978.0)</f>
        <v>1978</v>
      </c>
      <c r="E13591">
        <f>IFERROR(__xludf.DUMMYFUNCTION("""COMPUTED_VALUE"""),20660.0)</f>
        <v>20660</v>
      </c>
    </row>
    <row r="13592">
      <c r="A13592" t="str">
        <f t="shared" si="1"/>
        <v>smr#1979</v>
      </c>
      <c r="B13592" t="str">
        <f>IFERROR(__xludf.DUMMYFUNCTION("""COMPUTED_VALUE"""),"smr")</f>
        <v>smr</v>
      </c>
      <c r="C13592" t="str">
        <f>IFERROR(__xludf.DUMMYFUNCTION("""COMPUTED_VALUE"""),"San Marino")</f>
        <v>San Marino</v>
      </c>
      <c r="D13592">
        <f>IFERROR(__xludf.DUMMYFUNCTION("""COMPUTED_VALUE"""),1979.0)</f>
        <v>1979</v>
      </c>
      <c r="E13592">
        <f>IFERROR(__xludf.DUMMYFUNCTION("""COMPUTED_VALUE"""),21030.0)</f>
        <v>21030</v>
      </c>
    </row>
    <row r="13593">
      <c r="A13593" t="str">
        <f t="shared" si="1"/>
        <v>smr#1980</v>
      </c>
      <c r="B13593" t="str">
        <f>IFERROR(__xludf.DUMMYFUNCTION("""COMPUTED_VALUE"""),"smr")</f>
        <v>smr</v>
      </c>
      <c r="C13593" t="str">
        <f>IFERROR(__xludf.DUMMYFUNCTION("""COMPUTED_VALUE"""),"San Marino")</f>
        <v>San Marino</v>
      </c>
      <c r="D13593">
        <f>IFERROR(__xludf.DUMMYFUNCTION("""COMPUTED_VALUE"""),1980.0)</f>
        <v>1980</v>
      </c>
      <c r="E13593">
        <f>IFERROR(__xludf.DUMMYFUNCTION("""COMPUTED_VALUE"""),21361.0)</f>
        <v>21361</v>
      </c>
    </row>
    <row r="13594">
      <c r="A13594" t="str">
        <f t="shared" si="1"/>
        <v>smr#1981</v>
      </c>
      <c r="B13594" t="str">
        <f>IFERROR(__xludf.DUMMYFUNCTION("""COMPUTED_VALUE"""),"smr")</f>
        <v>smr</v>
      </c>
      <c r="C13594" t="str">
        <f>IFERROR(__xludf.DUMMYFUNCTION("""COMPUTED_VALUE"""),"San Marino")</f>
        <v>San Marino</v>
      </c>
      <c r="D13594">
        <f>IFERROR(__xludf.DUMMYFUNCTION("""COMPUTED_VALUE"""),1981.0)</f>
        <v>1981</v>
      </c>
      <c r="E13594">
        <f>IFERROR(__xludf.DUMMYFUNCTION("""COMPUTED_VALUE"""),21666.0)</f>
        <v>21666</v>
      </c>
    </row>
    <row r="13595">
      <c r="A13595" t="str">
        <f t="shared" si="1"/>
        <v>smr#1982</v>
      </c>
      <c r="B13595" t="str">
        <f>IFERROR(__xludf.DUMMYFUNCTION("""COMPUTED_VALUE"""),"smr")</f>
        <v>smr</v>
      </c>
      <c r="C13595" t="str">
        <f>IFERROR(__xludf.DUMMYFUNCTION("""COMPUTED_VALUE"""),"San Marino")</f>
        <v>San Marino</v>
      </c>
      <c r="D13595">
        <f>IFERROR(__xludf.DUMMYFUNCTION("""COMPUTED_VALUE"""),1982.0)</f>
        <v>1982</v>
      </c>
      <c r="E13595">
        <f>IFERROR(__xludf.DUMMYFUNCTION("""COMPUTED_VALUE"""),21943.0)</f>
        <v>21943</v>
      </c>
    </row>
    <row r="13596">
      <c r="A13596" t="str">
        <f t="shared" si="1"/>
        <v>smr#1983</v>
      </c>
      <c r="B13596" t="str">
        <f>IFERROR(__xludf.DUMMYFUNCTION("""COMPUTED_VALUE"""),"smr")</f>
        <v>smr</v>
      </c>
      <c r="C13596" t="str">
        <f>IFERROR(__xludf.DUMMYFUNCTION("""COMPUTED_VALUE"""),"San Marino")</f>
        <v>San Marino</v>
      </c>
      <c r="D13596">
        <f>IFERROR(__xludf.DUMMYFUNCTION("""COMPUTED_VALUE"""),1983.0)</f>
        <v>1983</v>
      </c>
      <c r="E13596">
        <f>IFERROR(__xludf.DUMMYFUNCTION("""COMPUTED_VALUE"""),22210.0)</f>
        <v>22210</v>
      </c>
    </row>
    <row r="13597">
      <c r="A13597" t="str">
        <f t="shared" si="1"/>
        <v>smr#1984</v>
      </c>
      <c r="B13597" t="str">
        <f>IFERROR(__xludf.DUMMYFUNCTION("""COMPUTED_VALUE"""),"smr")</f>
        <v>smr</v>
      </c>
      <c r="C13597" t="str">
        <f>IFERROR(__xludf.DUMMYFUNCTION("""COMPUTED_VALUE"""),"San Marino")</f>
        <v>San Marino</v>
      </c>
      <c r="D13597">
        <f>IFERROR(__xludf.DUMMYFUNCTION("""COMPUTED_VALUE"""),1984.0)</f>
        <v>1984</v>
      </c>
      <c r="E13597">
        <f>IFERROR(__xludf.DUMMYFUNCTION("""COMPUTED_VALUE"""),22455.0)</f>
        <v>22455</v>
      </c>
    </row>
    <row r="13598">
      <c r="A13598" t="str">
        <f t="shared" si="1"/>
        <v>smr#1985</v>
      </c>
      <c r="B13598" t="str">
        <f>IFERROR(__xludf.DUMMYFUNCTION("""COMPUTED_VALUE"""),"smr")</f>
        <v>smr</v>
      </c>
      <c r="C13598" t="str">
        <f>IFERROR(__xludf.DUMMYFUNCTION("""COMPUTED_VALUE"""),"San Marino")</f>
        <v>San Marino</v>
      </c>
      <c r="D13598">
        <f>IFERROR(__xludf.DUMMYFUNCTION("""COMPUTED_VALUE"""),1985.0)</f>
        <v>1985</v>
      </c>
      <c r="E13598">
        <f>IFERROR(__xludf.DUMMYFUNCTION("""COMPUTED_VALUE"""),22708.0)</f>
        <v>22708</v>
      </c>
    </row>
    <row r="13599">
      <c r="A13599" t="str">
        <f t="shared" si="1"/>
        <v>smr#1986</v>
      </c>
      <c r="B13599" t="str">
        <f>IFERROR(__xludf.DUMMYFUNCTION("""COMPUTED_VALUE"""),"smr")</f>
        <v>smr</v>
      </c>
      <c r="C13599" t="str">
        <f>IFERROR(__xludf.DUMMYFUNCTION("""COMPUTED_VALUE"""),"San Marino")</f>
        <v>San Marino</v>
      </c>
      <c r="D13599">
        <f>IFERROR(__xludf.DUMMYFUNCTION("""COMPUTED_VALUE"""),1986.0)</f>
        <v>1986</v>
      </c>
      <c r="E13599">
        <f>IFERROR(__xludf.DUMMYFUNCTION("""COMPUTED_VALUE"""),22961.0)</f>
        <v>22961</v>
      </c>
    </row>
    <row r="13600">
      <c r="A13600" t="str">
        <f t="shared" si="1"/>
        <v>smr#1987</v>
      </c>
      <c r="B13600" t="str">
        <f>IFERROR(__xludf.DUMMYFUNCTION("""COMPUTED_VALUE"""),"smr")</f>
        <v>smr</v>
      </c>
      <c r="C13600" t="str">
        <f>IFERROR(__xludf.DUMMYFUNCTION("""COMPUTED_VALUE"""),"San Marino")</f>
        <v>San Marino</v>
      </c>
      <c r="D13600">
        <f>IFERROR(__xludf.DUMMYFUNCTION("""COMPUTED_VALUE"""),1987.0)</f>
        <v>1987</v>
      </c>
      <c r="E13600">
        <f>IFERROR(__xludf.DUMMYFUNCTION("""COMPUTED_VALUE"""),23210.0)</f>
        <v>23210</v>
      </c>
    </row>
    <row r="13601">
      <c r="A13601" t="str">
        <f t="shared" si="1"/>
        <v>smr#1988</v>
      </c>
      <c r="B13601" t="str">
        <f>IFERROR(__xludf.DUMMYFUNCTION("""COMPUTED_VALUE"""),"smr")</f>
        <v>smr</v>
      </c>
      <c r="C13601" t="str">
        <f>IFERROR(__xludf.DUMMYFUNCTION("""COMPUTED_VALUE"""),"San Marino")</f>
        <v>San Marino</v>
      </c>
      <c r="D13601">
        <f>IFERROR(__xludf.DUMMYFUNCTION("""COMPUTED_VALUE"""),1988.0)</f>
        <v>1988</v>
      </c>
      <c r="E13601">
        <f>IFERROR(__xludf.DUMMYFUNCTION("""COMPUTED_VALUE"""),23466.0)</f>
        <v>23466</v>
      </c>
    </row>
    <row r="13602">
      <c r="A13602" t="str">
        <f t="shared" si="1"/>
        <v>smr#1989</v>
      </c>
      <c r="B13602" t="str">
        <f>IFERROR(__xludf.DUMMYFUNCTION("""COMPUTED_VALUE"""),"smr")</f>
        <v>smr</v>
      </c>
      <c r="C13602" t="str">
        <f>IFERROR(__xludf.DUMMYFUNCTION("""COMPUTED_VALUE"""),"San Marino")</f>
        <v>San Marino</v>
      </c>
      <c r="D13602">
        <f>IFERROR(__xludf.DUMMYFUNCTION("""COMPUTED_VALUE"""),1989.0)</f>
        <v>1989</v>
      </c>
      <c r="E13602">
        <f>IFERROR(__xludf.DUMMYFUNCTION("""COMPUTED_VALUE"""),23740.0)</f>
        <v>23740</v>
      </c>
    </row>
    <row r="13603">
      <c r="A13603" t="str">
        <f t="shared" si="1"/>
        <v>smr#1990</v>
      </c>
      <c r="B13603" t="str">
        <f>IFERROR(__xludf.DUMMYFUNCTION("""COMPUTED_VALUE"""),"smr")</f>
        <v>smr</v>
      </c>
      <c r="C13603" t="str">
        <f>IFERROR(__xludf.DUMMYFUNCTION("""COMPUTED_VALUE"""),"San Marino")</f>
        <v>San Marino</v>
      </c>
      <c r="D13603">
        <f>IFERROR(__xludf.DUMMYFUNCTION("""COMPUTED_VALUE"""),1990.0)</f>
        <v>1990</v>
      </c>
      <c r="E13603">
        <f>IFERROR(__xludf.DUMMYFUNCTION("""COMPUTED_VALUE"""),24043.0)</f>
        <v>24043</v>
      </c>
    </row>
    <row r="13604">
      <c r="A13604" t="str">
        <f t="shared" si="1"/>
        <v>smr#1991</v>
      </c>
      <c r="B13604" t="str">
        <f>IFERROR(__xludf.DUMMYFUNCTION("""COMPUTED_VALUE"""),"smr")</f>
        <v>smr</v>
      </c>
      <c r="C13604" t="str">
        <f>IFERROR(__xludf.DUMMYFUNCTION("""COMPUTED_VALUE"""),"San Marino")</f>
        <v>San Marino</v>
      </c>
      <c r="D13604">
        <f>IFERROR(__xludf.DUMMYFUNCTION("""COMPUTED_VALUE"""),1991.0)</f>
        <v>1991</v>
      </c>
      <c r="E13604">
        <f>IFERROR(__xludf.DUMMYFUNCTION("""COMPUTED_VALUE"""),24386.0)</f>
        <v>24386</v>
      </c>
    </row>
    <row r="13605">
      <c r="A13605" t="str">
        <f t="shared" si="1"/>
        <v>smr#1992</v>
      </c>
      <c r="B13605" t="str">
        <f>IFERROR(__xludf.DUMMYFUNCTION("""COMPUTED_VALUE"""),"smr")</f>
        <v>smr</v>
      </c>
      <c r="C13605" t="str">
        <f>IFERROR(__xludf.DUMMYFUNCTION("""COMPUTED_VALUE"""),"San Marino")</f>
        <v>San Marino</v>
      </c>
      <c r="D13605">
        <f>IFERROR(__xludf.DUMMYFUNCTION("""COMPUTED_VALUE"""),1992.0)</f>
        <v>1992</v>
      </c>
      <c r="E13605">
        <f>IFERROR(__xludf.DUMMYFUNCTION("""COMPUTED_VALUE"""),24749.0)</f>
        <v>24749</v>
      </c>
    </row>
    <row r="13606">
      <c r="A13606" t="str">
        <f t="shared" si="1"/>
        <v>smr#1993</v>
      </c>
      <c r="B13606" t="str">
        <f>IFERROR(__xludf.DUMMYFUNCTION("""COMPUTED_VALUE"""),"smr")</f>
        <v>smr</v>
      </c>
      <c r="C13606" t="str">
        <f>IFERROR(__xludf.DUMMYFUNCTION("""COMPUTED_VALUE"""),"San Marino")</f>
        <v>San Marino</v>
      </c>
      <c r="D13606">
        <f>IFERROR(__xludf.DUMMYFUNCTION("""COMPUTED_VALUE"""),1993.0)</f>
        <v>1993</v>
      </c>
      <c r="E13606">
        <f>IFERROR(__xludf.DUMMYFUNCTION("""COMPUTED_VALUE"""),25141.0)</f>
        <v>25141</v>
      </c>
    </row>
    <row r="13607">
      <c r="A13607" t="str">
        <f t="shared" si="1"/>
        <v>smr#1994</v>
      </c>
      <c r="B13607" t="str">
        <f>IFERROR(__xludf.DUMMYFUNCTION("""COMPUTED_VALUE"""),"smr")</f>
        <v>smr</v>
      </c>
      <c r="C13607" t="str">
        <f>IFERROR(__xludf.DUMMYFUNCTION("""COMPUTED_VALUE"""),"San Marino")</f>
        <v>San Marino</v>
      </c>
      <c r="D13607">
        <f>IFERROR(__xludf.DUMMYFUNCTION("""COMPUTED_VALUE"""),1994.0)</f>
        <v>1994</v>
      </c>
      <c r="E13607">
        <f>IFERROR(__xludf.DUMMYFUNCTION("""COMPUTED_VALUE"""),25516.0)</f>
        <v>25516</v>
      </c>
    </row>
    <row r="13608">
      <c r="A13608" t="str">
        <f t="shared" si="1"/>
        <v>smr#1995</v>
      </c>
      <c r="B13608" t="str">
        <f>IFERROR(__xludf.DUMMYFUNCTION("""COMPUTED_VALUE"""),"smr")</f>
        <v>smr</v>
      </c>
      <c r="C13608" t="str">
        <f>IFERROR(__xludf.DUMMYFUNCTION("""COMPUTED_VALUE"""),"San Marino")</f>
        <v>San Marino</v>
      </c>
      <c r="D13608">
        <f>IFERROR(__xludf.DUMMYFUNCTION("""COMPUTED_VALUE"""),1995.0)</f>
        <v>1995</v>
      </c>
      <c r="E13608">
        <f>IFERROR(__xludf.DUMMYFUNCTION("""COMPUTED_VALUE"""),25877.0)</f>
        <v>25877</v>
      </c>
    </row>
    <row r="13609">
      <c r="A13609" t="str">
        <f t="shared" si="1"/>
        <v>smr#1996</v>
      </c>
      <c r="B13609" t="str">
        <f>IFERROR(__xludf.DUMMYFUNCTION("""COMPUTED_VALUE"""),"smr")</f>
        <v>smr</v>
      </c>
      <c r="C13609" t="str">
        <f>IFERROR(__xludf.DUMMYFUNCTION("""COMPUTED_VALUE"""),"San Marino")</f>
        <v>San Marino</v>
      </c>
      <c r="D13609">
        <f>IFERROR(__xludf.DUMMYFUNCTION("""COMPUTED_VALUE"""),1996.0)</f>
        <v>1996</v>
      </c>
      <c r="E13609">
        <f>IFERROR(__xludf.DUMMYFUNCTION("""COMPUTED_VALUE"""),26209.0)</f>
        <v>26209</v>
      </c>
    </row>
    <row r="13610">
      <c r="A13610" t="str">
        <f t="shared" si="1"/>
        <v>smr#1997</v>
      </c>
      <c r="B13610" t="str">
        <f>IFERROR(__xludf.DUMMYFUNCTION("""COMPUTED_VALUE"""),"smr")</f>
        <v>smr</v>
      </c>
      <c r="C13610" t="str">
        <f>IFERROR(__xludf.DUMMYFUNCTION("""COMPUTED_VALUE"""),"San Marino")</f>
        <v>San Marino</v>
      </c>
      <c r="D13610">
        <f>IFERROR(__xludf.DUMMYFUNCTION("""COMPUTED_VALUE"""),1997.0)</f>
        <v>1997</v>
      </c>
      <c r="E13610">
        <f>IFERROR(__xludf.DUMMYFUNCTION("""COMPUTED_VALUE"""),26508.0)</f>
        <v>26508</v>
      </c>
    </row>
    <row r="13611">
      <c r="A13611" t="str">
        <f t="shared" si="1"/>
        <v>smr#1998</v>
      </c>
      <c r="B13611" t="str">
        <f>IFERROR(__xludf.DUMMYFUNCTION("""COMPUTED_VALUE"""),"smr")</f>
        <v>smr</v>
      </c>
      <c r="C13611" t="str">
        <f>IFERROR(__xludf.DUMMYFUNCTION("""COMPUTED_VALUE"""),"San Marino")</f>
        <v>San Marino</v>
      </c>
      <c r="D13611">
        <f>IFERROR(__xludf.DUMMYFUNCTION("""COMPUTED_VALUE"""),1998.0)</f>
        <v>1998</v>
      </c>
      <c r="E13611">
        <f>IFERROR(__xludf.DUMMYFUNCTION("""COMPUTED_VALUE"""),26799.0)</f>
        <v>26799</v>
      </c>
    </row>
    <row r="13612">
      <c r="A13612" t="str">
        <f t="shared" si="1"/>
        <v>smr#1999</v>
      </c>
      <c r="B13612" t="str">
        <f>IFERROR(__xludf.DUMMYFUNCTION("""COMPUTED_VALUE"""),"smr")</f>
        <v>smr</v>
      </c>
      <c r="C13612" t="str">
        <f>IFERROR(__xludf.DUMMYFUNCTION("""COMPUTED_VALUE"""),"San Marino")</f>
        <v>San Marino</v>
      </c>
      <c r="D13612">
        <f>IFERROR(__xludf.DUMMYFUNCTION("""COMPUTED_VALUE"""),1999.0)</f>
        <v>1999</v>
      </c>
      <c r="E13612">
        <f>IFERROR(__xludf.DUMMYFUNCTION("""COMPUTED_VALUE"""),27096.0)</f>
        <v>27096</v>
      </c>
    </row>
    <row r="13613">
      <c r="A13613" t="str">
        <f t="shared" si="1"/>
        <v>smr#2000</v>
      </c>
      <c r="B13613" t="str">
        <f>IFERROR(__xludf.DUMMYFUNCTION("""COMPUTED_VALUE"""),"smr")</f>
        <v>smr</v>
      </c>
      <c r="C13613" t="str">
        <f>IFERROR(__xludf.DUMMYFUNCTION("""COMPUTED_VALUE"""),"San Marino")</f>
        <v>San Marino</v>
      </c>
      <c r="D13613">
        <f>IFERROR(__xludf.DUMMYFUNCTION("""COMPUTED_VALUE"""),2000.0)</f>
        <v>2000</v>
      </c>
      <c r="E13613">
        <f>IFERROR(__xludf.DUMMYFUNCTION("""COMPUTED_VALUE"""),27418.0)</f>
        <v>27418</v>
      </c>
    </row>
    <row r="13614">
      <c r="A13614" t="str">
        <f t="shared" si="1"/>
        <v>smr#2001</v>
      </c>
      <c r="B13614" t="str">
        <f>IFERROR(__xludf.DUMMYFUNCTION("""COMPUTED_VALUE"""),"smr")</f>
        <v>smr</v>
      </c>
      <c r="C13614" t="str">
        <f>IFERROR(__xludf.DUMMYFUNCTION("""COMPUTED_VALUE"""),"San Marino")</f>
        <v>San Marino</v>
      </c>
      <c r="D13614">
        <f>IFERROR(__xludf.DUMMYFUNCTION("""COMPUTED_VALUE"""),2001.0)</f>
        <v>2001</v>
      </c>
      <c r="E13614">
        <f>IFERROR(__xludf.DUMMYFUNCTION("""COMPUTED_VALUE"""),27762.0)</f>
        <v>27762</v>
      </c>
    </row>
    <row r="13615">
      <c r="A13615" t="str">
        <f t="shared" si="1"/>
        <v>smr#2002</v>
      </c>
      <c r="B13615" t="str">
        <f>IFERROR(__xludf.DUMMYFUNCTION("""COMPUTED_VALUE"""),"smr")</f>
        <v>smr</v>
      </c>
      <c r="C13615" t="str">
        <f>IFERROR(__xludf.DUMMYFUNCTION("""COMPUTED_VALUE"""),"San Marino")</f>
        <v>San Marino</v>
      </c>
      <c r="D13615">
        <f>IFERROR(__xludf.DUMMYFUNCTION("""COMPUTED_VALUE"""),2002.0)</f>
        <v>2002</v>
      </c>
      <c r="E13615">
        <f>IFERROR(__xludf.DUMMYFUNCTION("""COMPUTED_VALUE"""),28121.0)</f>
        <v>28121</v>
      </c>
    </row>
    <row r="13616">
      <c r="A13616" t="str">
        <f t="shared" si="1"/>
        <v>smr#2003</v>
      </c>
      <c r="B13616" t="str">
        <f>IFERROR(__xludf.DUMMYFUNCTION("""COMPUTED_VALUE"""),"smr")</f>
        <v>smr</v>
      </c>
      <c r="C13616" t="str">
        <f>IFERROR(__xludf.DUMMYFUNCTION("""COMPUTED_VALUE"""),"San Marino")</f>
        <v>San Marino</v>
      </c>
      <c r="D13616">
        <f>IFERROR(__xludf.DUMMYFUNCTION("""COMPUTED_VALUE"""),2003.0)</f>
        <v>2003</v>
      </c>
      <c r="E13616">
        <f>IFERROR(__xludf.DUMMYFUNCTION("""COMPUTED_VALUE"""),28494.0)</f>
        <v>28494</v>
      </c>
    </row>
    <row r="13617">
      <c r="A13617" t="str">
        <f t="shared" si="1"/>
        <v>smr#2004</v>
      </c>
      <c r="B13617" t="str">
        <f>IFERROR(__xludf.DUMMYFUNCTION("""COMPUTED_VALUE"""),"smr")</f>
        <v>smr</v>
      </c>
      <c r="C13617" t="str">
        <f>IFERROR(__xludf.DUMMYFUNCTION("""COMPUTED_VALUE"""),"San Marino")</f>
        <v>San Marino</v>
      </c>
      <c r="D13617">
        <f>IFERROR(__xludf.DUMMYFUNCTION("""COMPUTED_VALUE"""),2004.0)</f>
        <v>2004</v>
      </c>
      <c r="E13617">
        <f>IFERROR(__xludf.DUMMYFUNCTION("""COMPUTED_VALUE"""),28866.0)</f>
        <v>28866</v>
      </c>
    </row>
    <row r="13618">
      <c r="A13618" t="str">
        <f t="shared" si="1"/>
        <v>smr#2005</v>
      </c>
      <c r="B13618" t="str">
        <f>IFERROR(__xludf.DUMMYFUNCTION("""COMPUTED_VALUE"""),"smr")</f>
        <v>smr</v>
      </c>
      <c r="C13618" t="str">
        <f>IFERROR(__xludf.DUMMYFUNCTION("""COMPUTED_VALUE"""),"San Marino")</f>
        <v>San Marino</v>
      </c>
      <c r="D13618">
        <f>IFERROR(__xludf.DUMMYFUNCTION("""COMPUTED_VALUE"""),2005.0)</f>
        <v>2005</v>
      </c>
      <c r="E13618">
        <f>IFERROR(__xludf.DUMMYFUNCTION("""COMPUTED_VALUE"""),29240.0)</f>
        <v>29240</v>
      </c>
    </row>
    <row r="13619">
      <c r="A13619" t="str">
        <f t="shared" si="1"/>
        <v>smr#2006</v>
      </c>
      <c r="B13619" t="str">
        <f>IFERROR(__xludf.DUMMYFUNCTION("""COMPUTED_VALUE"""),"smr")</f>
        <v>smr</v>
      </c>
      <c r="C13619" t="str">
        <f>IFERROR(__xludf.DUMMYFUNCTION("""COMPUTED_VALUE"""),"San Marino")</f>
        <v>San Marino</v>
      </c>
      <c r="D13619">
        <f>IFERROR(__xludf.DUMMYFUNCTION("""COMPUTED_VALUE"""),2006.0)</f>
        <v>2006</v>
      </c>
      <c r="E13619">
        <f>IFERROR(__xludf.DUMMYFUNCTION("""COMPUTED_VALUE"""),29614.0)</f>
        <v>29614</v>
      </c>
    </row>
    <row r="13620">
      <c r="A13620" t="str">
        <f t="shared" si="1"/>
        <v>smr#2007</v>
      </c>
      <c r="B13620" t="str">
        <f>IFERROR(__xludf.DUMMYFUNCTION("""COMPUTED_VALUE"""),"smr")</f>
        <v>smr</v>
      </c>
      <c r="C13620" t="str">
        <f>IFERROR(__xludf.DUMMYFUNCTION("""COMPUTED_VALUE"""),"San Marino")</f>
        <v>San Marino</v>
      </c>
      <c r="D13620">
        <f>IFERROR(__xludf.DUMMYFUNCTION("""COMPUTED_VALUE"""),2007.0)</f>
        <v>2007</v>
      </c>
      <c r="E13620">
        <f>IFERROR(__xludf.DUMMYFUNCTION("""COMPUTED_VALUE"""),29977.0)</f>
        <v>29977</v>
      </c>
    </row>
    <row r="13621">
      <c r="A13621" t="str">
        <f t="shared" si="1"/>
        <v>smr#2008</v>
      </c>
      <c r="B13621" t="str">
        <f>IFERROR(__xludf.DUMMYFUNCTION("""COMPUTED_VALUE"""),"smr")</f>
        <v>smr</v>
      </c>
      <c r="C13621" t="str">
        <f>IFERROR(__xludf.DUMMYFUNCTION("""COMPUTED_VALUE"""),"San Marino")</f>
        <v>San Marino</v>
      </c>
      <c r="D13621">
        <f>IFERROR(__xludf.DUMMYFUNCTION("""COMPUTED_VALUE"""),2008.0)</f>
        <v>2008</v>
      </c>
      <c r="E13621">
        <f>IFERROR(__xludf.DUMMYFUNCTION("""COMPUTED_VALUE"""),30351.0)</f>
        <v>30351</v>
      </c>
    </row>
    <row r="13622">
      <c r="A13622" t="str">
        <f t="shared" si="1"/>
        <v>smr#2009</v>
      </c>
      <c r="B13622" t="str">
        <f>IFERROR(__xludf.DUMMYFUNCTION("""COMPUTED_VALUE"""),"smr")</f>
        <v>smr</v>
      </c>
      <c r="C13622" t="str">
        <f>IFERROR(__xludf.DUMMYFUNCTION("""COMPUTED_VALUE"""),"San Marino")</f>
        <v>San Marino</v>
      </c>
      <c r="D13622">
        <f>IFERROR(__xludf.DUMMYFUNCTION("""COMPUTED_VALUE"""),2009.0)</f>
        <v>2009</v>
      </c>
      <c r="E13622">
        <f>IFERROR(__xludf.DUMMYFUNCTION("""COMPUTED_VALUE"""),30723.0)</f>
        <v>30723</v>
      </c>
    </row>
    <row r="13623">
      <c r="A13623" t="str">
        <f t="shared" si="1"/>
        <v>smr#2010</v>
      </c>
      <c r="B13623" t="str">
        <f>IFERROR(__xludf.DUMMYFUNCTION("""COMPUTED_VALUE"""),"smr")</f>
        <v>smr</v>
      </c>
      <c r="C13623" t="str">
        <f>IFERROR(__xludf.DUMMYFUNCTION("""COMPUTED_VALUE"""),"San Marino")</f>
        <v>San Marino</v>
      </c>
      <c r="D13623">
        <f>IFERROR(__xludf.DUMMYFUNCTION("""COMPUTED_VALUE"""),2010.0)</f>
        <v>2010</v>
      </c>
      <c r="E13623">
        <f>IFERROR(__xludf.DUMMYFUNCTION("""COMPUTED_VALUE"""),31110.0)</f>
        <v>31110</v>
      </c>
    </row>
    <row r="13624">
      <c r="A13624" t="str">
        <f t="shared" si="1"/>
        <v>smr#2011</v>
      </c>
      <c r="B13624" t="str">
        <f>IFERROR(__xludf.DUMMYFUNCTION("""COMPUTED_VALUE"""),"smr")</f>
        <v>smr</v>
      </c>
      <c r="C13624" t="str">
        <f>IFERROR(__xludf.DUMMYFUNCTION("""COMPUTED_VALUE"""),"San Marino")</f>
        <v>San Marino</v>
      </c>
      <c r="D13624">
        <f>IFERROR(__xludf.DUMMYFUNCTION("""COMPUTED_VALUE"""),2011.0)</f>
        <v>2011</v>
      </c>
      <c r="E13624">
        <f>IFERROR(__xludf.DUMMYFUNCTION("""COMPUTED_VALUE"""),31504.0)</f>
        <v>31504</v>
      </c>
    </row>
    <row r="13625">
      <c r="A13625" t="str">
        <f t="shared" si="1"/>
        <v>smr#2012</v>
      </c>
      <c r="B13625" t="str">
        <f>IFERROR(__xludf.DUMMYFUNCTION("""COMPUTED_VALUE"""),"smr")</f>
        <v>smr</v>
      </c>
      <c r="C13625" t="str">
        <f>IFERROR(__xludf.DUMMYFUNCTION("""COMPUTED_VALUE"""),"San Marino")</f>
        <v>San Marino</v>
      </c>
      <c r="D13625">
        <f>IFERROR(__xludf.DUMMYFUNCTION("""COMPUTED_VALUE"""),2012.0)</f>
        <v>2012</v>
      </c>
      <c r="E13625">
        <f>IFERROR(__xludf.DUMMYFUNCTION("""COMPUTED_VALUE"""),31914.0)</f>
        <v>31914</v>
      </c>
    </row>
    <row r="13626">
      <c r="A13626" t="str">
        <f t="shared" si="1"/>
        <v>smr#2013</v>
      </c>
      <c r="B13626" t="str">
        <f>IFERROR(__xludf.DUMMYFUNCTION("""COMPUTED_VALUE"""),"smr")</f>
        <v>smr</v>
      </c>
      <c r="C13626" t="str">
        <f>IFERROR(__xludf.DUMMYFUNCTION("""COMPUTED_VALUE"""),"San Marino")</f>
        <v>San Marino</v>
      </c>
      <c r="D13626">
        <f>IFERROR(__xludf.DUMMYFUNCTION("""COMPUTED_VALUE"""),2013.0)</f>
        <v>2013</v>
      </c>
      <c r="E13626">
        <f>IFERROR(__xludf.DUMMYFUNCTION("""COMPUTED_VALUE"""),32303.0)</f>
        <v>32303</v>
      </c>
    </row>
    <row r="13627">
      <c r="A13627" t="str">
        <f t="shared" si="1"/>
        <v>smr#2014</v>
      </c>
      <c r="B13627" t="str">
        <f>IFERROR(__xludf.DUMMYFUNCTION("""COMPUTED_VALUE"""),"smr")</f>
        <v>smr</v>
      </c>
      <c r="C13627" t="str">
        <f>IFERROR(__xludf.DUMMYFUNCTION("""COMPUTED_VALUE"""),"San Marino")</f>
        <v>San Marino</v>
      </c>
      <c r="D13627">
        <f>IFERROR(__xludf.DUMMYFUNCTION("""COMPUTED_VALUE"""),2014.0)</f>
        <v>2014</v>
      </c>
      <c r="E13627">
        <f>IFERROR(__xludf.DUMMYFUNCTION("""COMPUTED_VALUE"""),32657.0)</f>
        <v>32657</v>
      </c>
    </row>
    <row r="13628">
      <c r="A13628" t="str">
        <f t="shared" si="1"/>
        <v>smr#2015</v>
      </c>
      <c r="B13628" t="str">
        <f>IFERROR(__xludf.DUMMYFUNCTION("""COMPUTED_VALUE"""),"smr")</f>
        <v>smr</v>
      </c>
      <c r="C13628" t="str">
        <f>IFERROR(__xludf.DUMMYFUNCTION("""COMPUTED_VALUE"""),"San Marino")</f>
        <v>San Marino</v>
      </c>
      <c r="D13628">
        <f>IFERROR(__xludf.DUMMYFUNCTION("""COMPUTED_VALUE"""),2015.0)</f>
        <v>2015</v>
      </c>
      <c r="E13628">
        <f>IFERROR(__xludf.DUMMYFUNCTION("""COMPUTED_VALUE"""),32960.0)</f>
        <v>32960</v>
      </c>
    </row>
    <row r="13629">
      <c r="A13629" t="str">
        <f t="shared" si="1"/>
        <v>smr#2016</v>
      </c>
      <c r="B13629" t="str">
        <f>IFERROR(__xludf.DUMMYFUNCTION("""COMPUTED_VALUE"""),"smr")</f>
        <v>smr</v>
      </c>
      <c r="C13629" t="str">
        <f>IFERROR(__xludf.DUMMYFUNCTION("""COMPUTED_VALUE"""),"San Marino")</f>
        <v>San Marino</v>
      </c>
      <c r="D13629">
        <f>IFERROR(__xludf.DUMMYFUNCTION("""COMPUTED_VALUE"""),2016.0)</f>
        <v>2016</v>
      </c>
      <c r="E13629">
        <f>IFERROR(__xludf.DUMMYFUNCTION("""COMPUTED_VALUE"""),33203.0)</f>
        <v>33203</v>
      </c>
    </row>
    <row r="13630">
      <c r="A13630" t="str">
        <f t="shared" si="1"/>
        <v>smr#2017</v>
      </c>
      <c r="B13630" t="str">
        <f>IFERROR(__xludf.DUMMYFUNCTION("""COMPUTED_VALUE"""),"smr")</f>
        <v>smr</v>
      </c>
      <c r="C13630" t="str">
        <f>IFERROR(__xludf.DUMMYFUNCTION("""COMPUTED_VALUE"""),"San Marino")</f>
        <v>San Marino</v>
      </c>
      <c r="D13630">
        <f>IFERROR(__xludf.DUMMYFUNCTION("""COMPUTED_VALUE"""),2017.0)</f>
        <v>2017</v>
      </c>
      <c r="E13630">
        <f>IFERROR(__xludf.DUMMYFUNCTION("""COMPUTED_VALUE"""),33400.0)</f>
        <v>33400</v>
      </c>
    </row>
    <row r="13631">
      <c r="A13631" t="str">
        <f t="shared" si="1"/>
        <v>smr#2018</v>
      </c>
      <c r="B13631" t="str">
        <f>IFERROR(__xludf.DUMMYFUNCTION("""COMPUTED_VALUE"""),"smr")</f>
        <v>smr</v>
      </c>
      <c r="C13631" t="str">
        <f>IFERROR(__xludf.DUMMYFUNCTION("""COMPUTED_VALUE"""),"San Marino")</f>
        <v>San Marino</v>
      </c>
      <c r="D13631">
        <f>IFERROR(__xludf.DUMMYFUNCTION("""COMPUTED_VALUE"""),2018.0)</f>
        <v>2018</v>
      </c>
      <c r="E13631">
        <f>IFERROR(__xludf.DUMMYFUNCTION("""COMPUTED_VALUE"""),33557.0)</f>
        <v>33557</v>
      </c>
    </row>
    <row r="13632">
      <c r="A13632" t="str">
        <f t="shared" si="1"/>
        <v>smr#2019</v>
      </c>
      <c r="B13632" t="str">
        <f>IFERROR(__xludf.DUMMYFUNCTION("""COMPUTED_VALUE"""),"smr")</f>
        <v>smr</v>
      </c>
      <c r="C13632" t="str">
        <f>IFERROR(__xludf.DUMMYFUNCTION("""COMPUTED_VALUE"""),"San Marino")</f>
        <v>San Marino</v>
      </c>
      <c r="D13632">
        <f>IFERROR(__xludf.DUMMYFUNCTION("""COMPUTED_VALUE"""),2019.0)</f>
        <v>2019</v>
      </c>
      <c r="E13632">
        <f>IFERROR(__xludf.DUMMYFUNCTION("""COMPUTED_VALUE"""),33683.0)</f>
        <v>33683</v>
      </c>
    </row>
    <row r="13633">
      <c r="A13633" t="str">
        <f t="shared" si="1"/>
        <v>smr#2020</v>
      </c>
      <c r="B13633" t="str">
        <f>IFERROR(__xludf.DUMMYFUNCTION("""COMPUTED_VALUE"""),"smr")</f>
        <v>smr</v>
      </c>
      <c r="C13633" t="str">
        <f>IFERROR(__xludf.DUMMYFUNCTION("""COMPUTED_VALUE"""),"San Marino")</f>
        <v>San Marino</v>
      </c>
      <c r="D13633">
        <f>IFERROR(__xludf.DUMMYFUNCTION("""COMPUTED_VALUE"""),2020.0)</f>
        <v>2020</v>
      </c>
      <c r="E13633">
        <f>IFERROR(__xludf.DUMMYFUNCTION("""COMPUTED_VALUE"""),33809.0)</f>
        <v>33809</v>
      </c>
    </row>
    <row r="13634">
      <c r="A13634" t="str">
        <f t="shared" si="1"/>
        <v>smr#2021</v>
      </c>
      <c r="B13634" t="str">
        <f>IFERROR(__xludf.DUMMYFUNCTION("""COMPUTED_VALUE"""),"smr")</f>
        <v>smr</v>
      </c>
      <c r="C13634" t="str">
        <f>IFERROR(__xludf.DUMMYFUNCTION("""COMPUTED_VALUE"""),"San Marino")</f>
        <v>San Marino</v>
      </c>
      <c r="D13634">
        <f>IFERROR(__xludf.DUMMYFUNCTION("""COMPUTED_VALUE"""),2021.0)</f>
        <v>2021</v>
      </c>
      <c r="E13634">
        <f>IFERROR(__xludf.DUMMYFUNCTION("""COMPUTED_VALUE"""),33924.0)</f>
        <v>33924</v>
      </c>
    </row>
    <row r="13635">
      <c r="A13635" t="str">
        <f t="shared" si="1"/>
        <v>smr#2022</v>
      </c>
      <c r="B13635" t="str">
        <f>IFERROR(__xludf.DUMMYFUNCTION("""COMPUTED_VALUE"""),"smr")</f>
        <v>smr</v>
      </c>
      <c r="C13635" t="str">
        <f>IFERROR(__xludf.DUMMYFUNCTION("""COMPUTED_VALUE"""),"San Marino")</f>
        <v>San Marino</v>
      </c>
      <c r="D13635">
        <f>IFERROR(__xludf.DUMMYFUNCTION("""COMPUTED_VALUE"""),2022.0)</f>
        <v>2022</v>
      </c>
      <c r="E13635">
        <f>IFERROR(__xludf.DUMMYFUNCTION("""COMPUTED_VALUE"""),34037.0)</f>
        <v>34037</v>
      </c>
    </row>
    <row r="13636">
      <c r="A13636" t="str">
        <f t="shared" si="1"/>
        <v>smr#2023</v>
      </c>
      <c r="B13636" t="str">
        <f>IFERROR(__xludf.DUMMYFUNCTION("""COMPUTED_VALUE"""),"smr")</f>
        <v>smr</v>
      </c>
      <c r="C13636" t="str">
        <f>IFERROR(__xludf.DUMMYFUNCTION("""COMPUTED_VALUE"""),"San Marino")</f>
        <v>San Marino</v>
      </c>
      <c r="D13636">
        <f>IFERROR(__xludf.DUMMYFUNCTION("""COMPUTED_VALUE"""),2023.0)</f>
        <v>2023</v>
      </c>
      <c r="E13636">
        <f>IFERROR(__xludf.DUMMYFUNCTION("""COMPUTED_VALUE"""),34138.0)</f>
        <v>34138</v>
      </c>
    </row>
    <row r="13637">
      <c r="A13637" t="str">
        <f t="shared" si="1"/>
        <v>smr#2024</v>
      </c>
      <c r="B13637" t="str">
        <f>IFERROR(__xludf.DUMMYFUNCTION("""COMPUTED_VALUE"""),"smr")</f>
        <v>smr</v>
      </c>
      <c r="C13637" t="str">
        <f>IFERROR(__xludf.DUMMYFUNCTION("""COMPUTED_VALUE"""),"San Marino")</f>
        <v>San Marino</v>
      </c>
      <c r="D13637">
        <f>IFERROR(__xludf.DUMMYFUNCTION("""COMPUTED_VALUE"""),2024.0)</f>
        <v>2024</v>
      </c>
      <c r="E13637">
        <f>IFERROR(__xludf.DUMMYFUNCTION("""COMPUTED_VALUE"""),34238.0)</f>
        <v>34238</v>
      </c>
    </row>
    <row r="13638">
      <c r="A13638" t="str">
        <f t="shared" si="1"/>
        <v>smr#2025</v>
      </c>
      <c r="B13638" t="str">
        <f>IFERROR(__xludf.DUMMYFUNCTION("""COMPUTED_VALUE"""),"smr")</f>
        <v>smr</v>
      </c>
      <c r="C13638" t="str">
        <f>IFERROR(__xludf.DUMMYFUNCTION("""COMPUTED_VALUE"""),"San Marino")</f>
        <v>San Marino</v>
      </c>
      <c r="D13638">
        <f>IFERROR(__xludf.DUMMYFUNCTION("""COMPUTED_VALUE"""),2025.0)</f>
        <v>2025</v>
      </c>
      <c r="E13638">
        <f>IFERROR(__xludf.DUMMYFUNCTION("""COMPUTED_VALUE"""),34327.0)</f>
        <v>34327</v>
      </c>
    </row>
    <row r="13639">
      <c r="A13639" t="str">
        <f t="shared" si="1"/>
        <v>smr#2026</v>
      </c>
      <c r="B13639" t="str">
        <f>IFERROR(__xludf.DUMMYFUNCTION("""COMPUTED_VALUE"""),"smr")</f>
        <v>smr</v>
      </c>
      <c r="C13639" t="str">
        <f>IFERROR(__xludf.DUMMYFUNCTION("""COMPUTED_VALUE"""),"San Marino")</f>
        <v>San Marino</v>
      </c>
      <c r="D13639">
        <f>IFERROR(__xludf.DUMMYFUNCTION("""COMPUTED_VALUE"""),2026.0)</f>
        <v>2026</v>
      </c>
      <c r="E13639">
        <f>IFERROR(__xludf.DUMMYFUNCTION("""COMPUTED_VALUE"""),34410.0)</f>
        <v>34410</v>
      </c>
    </row>
    <row r="13640">
      <c r="A13640" t="str">
        <f t="shared" si="1"/>
        <v>smr#2027</v>
      </c>
      <c r="B13640" t="str">
        <f>IFERROR(__xludf.DUMMYFUNCTION("""COMPUTED_VALUE"""),"smr")</f>
        <v>smr</v>
      </c>
      <c r="C13640" t="str">
        <f>IFERROR(__xludf.DUMMYFUNCTION("""COMPUTED_VALUE"""),"San Marino")</f>
        <v>San Marino</v>
      </c>
      <c r="D13640">
        <f>IFERROR(__xludf.DUMMYFUNCTION("""COMPUTED_VALUE"""),2027.0)</f>
        <v>2027</v>
      </c>
      <c r="E13640">
        <f>IFERROR(__xludf.DUMMYFUNCTION("""COMPUTED_VALUE"""),34493.0)</f>
        <v>34493</v>
      </c>
    </row>
    <row r="13641">
      <c r="A13641" t="str">
        <f t="shared" si="1"/>
        <v>smr#2028</v>
      </c>
      <c r="B13641" t="str">
        <f>IFERROR(__xludf.DUMMYFUNCTION("""COMPUTED_VALUE"""),"smr")</f>
        <v>smr</v>
      </c>
      <c r="C13641" t="str">
        <f>IFERROR(__xludf.DUMMYFUNCTION("""COMPUTED_VALUE"""),"San Marino")</f>
        <v>San Marino</v>
      </c>
      <c r="D13641">
        <f>IFERROR(__xludf.DUMMYFUNCTION("""COMPUTED_VALUE"""),2028.0)</f>
        <v>2028</v>
      </c>
      <c r="E13641">
        <f>IFERROR(__xludf.DUMMYFUNCTION("""COMPUTED_VALUE"""),34568.0)</f>
        <v>34568</v>
      </c>
    </row>
    <row r="13642">
      <c r="A13642" t="str">
        <f t="shared" si="1"/>
        <v>smr#2029</v>
      </c>
      <c r="B13642" t="str">
        <f>IFERROR(__xludf.DUMMYFUNCTION("""COMPUTED_VALUE"""),"smr")</f>
        <v>smr</v>
      </c>
      <c r="C13642" t="str">
        <f>IFERROR(__xludf.DUMMYFUNCTION("""COMPUTED_VALUE"""),"San Marino")</f>
        <v>San Marino</v>
      </c>
      <c r="D13642">
        <f>IFERROR(__xludf.DUMMYFUNCTION("""COMPUTED_VALUE"""),2029.0)</f>
        <v>2029</v>
      </c>
      <c r="E13642">
        <f>IFERROR(__xludf.DUMMYFUNCTION("""COMPUTED_VALUE"""),34632.0)</f>
        <v>34632</v>
      </c>
    </row>
    <row r="13643">
      <c r="A13643" t="str">
        <f t="shared" si="1"/>
        <v>smr#2030</v>
      </c>
      <c r="B13643" t="str">
        <f>IFERROR(__xludf.DUMMYFUNCTION("""COMPUTED_VALUE"""),"smr")</f>
        <v>smr</v>
      </c>
      <c r="C13643" t="str">
        <f>IFERROR(__xludf.DUMMYFUNCTION("""COMPUTED_VALUE"""),"San Marino")</f>
        <v>San Marino</v>
      </c>
      <c r="D13643">
        <f>IFERROR(__xludf.DUMMYFUNCTION("""COMPUTED_VALUE"""),2030.0)</f>
        <v>2030</v>
      </c>
      <c r="E13643">
        <f>IFERROR(__xludf.DUMMYFUNCTION("""COMPUTED_VALUE"""),34688.0)</f>
        <v>34688</v>
      </c>
    </row>
    <row r="13644">
      <c r="A13644" t="str">
        <f t="shared" si="1"/>
        <v>smr#2031</v>
      </c>
      <c r="B13644" t="str">
        <f>IFERROR(__xludf.DUMMYFUNCTION("""COMPUTED_VALUE"""),"smr")</f>
        <v>smr</v>
      </c>
      <c r="C13644" t="str">
        <f>IFERROR(__xludf.DUMMYFUNCTION("""COMPUTED_VALUE"""),"San Marino")</f>
        <v>San Marino</v>
      </c>
      <c r="D13644">
        <f>IFERROR(__xludf.DUMMYFUNCTION("""COMPUTED_VALUE"""),2031.0)</f>
        <v>2031</v>
      </c>
      <c r="E13644">
        <f>IFERROR(__xludf.DUMMYFUNCTION("""COMPUTED_VALUE"""),34750.0)</f>
        <v>34750</v>
      </c>
    </row>
    <row r="13645">
      <c r="A13645" t="str">
        <f t="shared" si="1"/>
        <v>smr#2032</v>
      </c>
      <c r="B13645" t="str">
        <f>IFERROR(__xludf.DUMMYFUNCTION("""COMPUTED_VALUE"""),"smr")</f>
        <v>smr</v>
      </c>
      <c r="C13645" t="str">
        <f>IFERROR(__xludf.DUMMYFUNCTION("""COMPUTED_VALUE"""),"San Marino")</f>
        <v>San Marino</v>
      </c>
      <c r="D13645">
        <f>IFERROR(__xludf.DUMMYFUNCTION("""COMPUTED_VALUE"""),2032.0)</f>
        <v>2032</v>
      </c>
      <c r="E13645">
        <f>IFERROR(__xludf.DUMMYFUNCTION("""COMPUTED_VALUE"""),34800.0)</f>
        <v>34800</v>
      </c>
    </row>
    <row r="13646">
      <c r="A13646" t="str">
        <f t="shared" si="1"/>
        <v>smr#2033</v>
      </c>
      <c r="B13646" t="str">
        <f>IFERROR(__xludf.DUMMYFUNCTION("""COMPUTED_VALUE"""),"smr")</f>
        <v>smr</v>
      </c>
      <c r="C13646" t="str">
        <f>IFERROR(__xludf.DUMMYFUNCTION("""COMPUTED_VALUE"""),"San Marino")</f>
        <v>San Marino</v>
      </c>
      <c r="D13646">
        <f>IFERROR(__xludf.DUMMYFUNCTION("""COMPUTED_VALUE"""),2033.0)</f>
        <v>2033</v>
      </c>
      <c r="E13646">
        <f>IFERROR(__xludf.DUMMYFUNCTION("""COMPUTED_VALUE"""),34838.0)</f>
        <v>34838</v>
      </c>
    </row>
    <row r="13647">
      <c r="A13647" t="str">
        <f t="shared" si="1"/>
        <v>smr#2034</v>
      </c>
      <c r="B13647" t="str">
        <f>IFERROR(__xludf.DUMMYFUNCTION("""COMPUTED_VALUE"""),"smr")</f>
        <v>smr</v>
      </c>
      <c r="C13647" t="str">
        <f>IFERROR(__xludf.DUMMYFUNCTION("""COMPUTED_VALUE"""),"San Marino")</f>
        <v>San Marino</v>
      </c>
      <c r="D13647">
        <f>IFERROR(__xludf.DUMMYFUNCTION("""COMPUTED_VALUE"""),2034.0)</f>
        <v>2034</v>
      </c>
      <c r="E13647">
        <f>IFERROR(__xludf.DUMMYFUNCTION("""COMPUTED_VALUE"""),34870.0)</f>
        <v>34870</v>
      </c>
    </row>
    <row r="13648">
      <c r="A13648" t="str">
        <f t="shared" si="1"/>
        <v>smr#2035</v>
      </c>
      <c r="B13648" t="str">
        <f>IFERROR(__xludf.DUMMYFUNCTION("""COMPUTED_VALUE"""),"smr")</f>
        <v>smr</v>
      </c>
      <c r="C13648" t="str">
        <f>IFERROR(__xludf.DUMMYFUNCTION("""COMPUTED_VALUE"""),"San Marino")</f>
        <v>San Marino</v>
      </c>
      <c r="D13648">
        <f>IFERROR(__xludf.DUMMYFUNCTION("""COMPUTED_VALUE"""),2035.0)</f>
        <v>2035</v>
      </c>
      <c r="E13648">
        <f>IFERROR(__xludf.DUMMYFUNCTION("""COMPUTED_VALUE"""),34902.0)</f>
        <v>34902</v>
      </c>
    </row>
    <row r="13649">
      <c r="A13649" t="str">
        <f t="shared" si="1"/>
        <v>smr#2036</v>
      </c>
      <c r="B13649" t="str">
        <f>IFERROR(__xludf.DUMMYFUNCTION("""COMPUTED_VALUE"""),"smr")</f>
        <v>smr</v>
      </c>
      <c r="C13649" t="str">
        <f>IFERROR(__xludf.DUMMYFUNCTION("""COMPUTED_VALUE"""),"San Marino")</f>
        <v>San Marino</v>
      </c>
      <c r="D13649">
        <f>IFERROR(__xludf.DUMMYFUNCTION("""COMPUTED_VALUE"""),2036.0)</f>
        <v>2036</v>
      </c>
      <c r="E13649">
        <f>IFERROR(__xludf.DUMMYFUNCTION("""COMPUTED_VALUE"""),34927.0)</f>
        <v>34927</v>
      </c>
    </row>
    <row r="13650">
      <c r="A13650" t="str">
        <f t="shared" si="1"/>
        <v>smr#2037</v>
      </c>
      <c r="B13650" t="str">
        <f>IFERROR(__xludf.DUMMYFUNCTION("""COMPUTED_VALUE"""),"smr")</f>
        <v>smr</v>
      </c>
      <c r="C13650" t="str">
        <f>IFERROR(__xludf.DUMMYFUNCTION("""COMPUTED_VALUE"""),"San Marino")</f>
        <v>San Marino</v>
      </c>
      <c r="D13650">
        <f>IFERROR(__xludf.DUMMYFUNCTION("""COMPUTED_VALUE"""),2037.0)</f>
        <v>2037</v>
      </c>
      <c r="E13650">
        <f>IFERROR(__xludf.DUMMYFUNCTION("""COMPUTED_VALUE"""),34945.0)</f>
        <v>34945</v>
      </c>
    </row>
    <row r="13651">
      <c r="A13651" t="str">
        <f t="shared" si="1"/>
        <v>smr#2038</v>
      </c>
      <c r="B13651" t="str">
        <f>IFERROR(__xludf.DUMMYFUNCTION("""COMPUTED_VALUE"""),"smr")</f>
        <v>smr</v>
      </c>
      <c r="C13651" t="str">
        <f>IFERROR(__xludf.DUMMYFUNCTION("""COMPUTED_VALUE"""),"San Marino")</f>
        <v>San Marino</v>
      </c>
      <c r="D13651">
        <f>IFERROR(__xludf.DUMMYFUNCTION("""COMPUTED_VALUE"""),2038.0)</f>
        <v>2038</v>
      </c>
      <c r="E13651">
        <f>IFERROR(__xludf.DUMMYFUNCTION("""COMPUTED_VALUE"""),34959.0)</f>
        <v>34959</v>
      </c>
    </row>
    <row r="13652">
      <c r="A13652" t="str">
        <f t="shared" si="1"/>
        <v>smr#2039</v>
      </c>
      <c r="B13652" t="str">
        <f>IFERROR(__xludf.DUMMYFUNCTION("""COMPUTED_VALUE"""),"smr")</f>
        <v>smr</v>
      </c>
      <c r="C13652" t="str">
        <f>IFERROR(__xludf.DUMMYFUNCTION("""COMPUTED_VALUE"""),"San Marino")</f>
        <v>San Marino</v>
      </c>
      <c r="D13652">
        <f>IFERROR(__xludf.DUMMYFUNCTION("""COMPUTED_VALUE"""),2039.0)</f>
        <v>2039</v>
      </c>
      <c r="E13652">
        <f>IFERROR(__xludf.DUMMYFUNCTION("""COMPUTED_VALUE"""),34968.0)</f>
        <v>34968</v>
      </c>
    </row>
    <row r="13653">
      <c r="A13653" t="str">
        <f t="shared" si="1"/>
        <v>smr#2040</v>
      </c>
      <c r="B13653" t="str">
        <f>IFERROR(__xludf.DUMMYFUNCTION("""COMPUTED_VALUE"""),"smr")</f>
        <v>smr</v>
      </c>
      <c r="C13653" t="str">
        <f>IFERROR(__xludf.DUMMYFUNCTION("""COMPUTED_VALUE"""),"San Marino")</f>
        <v>San Marino</v>
      </c>
      <c r="D13653">
        <f>IFERROR(__xludf.DUMMYFUNCTION("""COMPUTED_VALUE"""),2040.0)</f>
        <v>2040</v>
      </c>
      <c r="E13653">
        <f>IFERROR(__xludf.DUMMYFUNCTION("""COMPUTED_VALUE"""),34965.0)</f>
        <v>34965</v>
      </c>
    </row>
    <row r="13654">
      <c r="A13654" t="str">
        <f t="shared" si="1"/>
        <v>stp#1950</v>
      </c>
      <c r="B13654" t="str">
        <f>IFERROR(__xludf.DUMMYFUNCTION("""COMPUTED_VALUE"""),"stp")</f>
        <v>stp</v>
      </c>
      <c r="C13654" t="str">
        <f>IFERROR(__xludf.DUMMYFUNCTION("""COMPUTED_VALUE"""),"Sao Tome and Principe")</f>
        <v>Sao Tome and Principe</v>
      </c>
      <c r="D13654">
        <f>IFERROR(__xludf.DUMMYFUNCTION("""COMPUTED_VALUE"""),1950.0)</f>
        <v>1950</v>
      </c>
      <c r="E13654">
        <f>IFERROR(__xludf.DUMMYFUNCTION("""COMPUTED_VALUE"""),60002.0)</f>
        <v>60002</v>
      </c>
    </row>
    <row r="13655">
      <c r="A13655" t="str">
        <f t="shared" si="1"/>
        <v>stp#1951</v>
      </c>
      <c r="B13655" t="str">
        <f>IFERROR(__xludf.DUMMYFUNCTION("""COMPUTED_VALUE"""),"stp")</f>
        <v>stp</v>
      </c>
      <c r="C13655" t="str">
        <f>IFERROR(__xludf.DUMMYFUNCTION("""COMPUTED_VALUE"""),"Sao Tome and Principe")</f>
        <v>Sao Tome and Principe</v>
      </c>
      <c r="D13655">
        <f>IFERROR(__xludf.DUMMYFUNCTION("""COMPUTED_VALUE"""),1951.0)</f>
        <v>1951</v>
      </c>
      <c r="E13655">
        <f>IFERROR(__xludf.DUMMYFUNCTION("""COMPUTED_VALUE"""),59202.0)</f>
        <v>59202</v>
      </c>
    </row>
    <row r="13656">
      <c r="A13656" t="str">
        <f t="shared" si="1"/>
        <v>stp#1952</v>
      </c>
      <c r="B13656" t="str">
        <f>IFERROR(__xludf.DUMMYFUNCTION("""COMPUTED_VALUE"""),"stp")</f>
        <v>stp</v>
      </c>
      <c r="C13656" t="str">
        <f>IFERROR(__xludf.DUMMYFUNCTION("""COMPUTED_VALUE"""),"Sao Tome and Principe")</f>
        <v>Sao Tome and Principe</v>
      </c>
      <c r="D13656">
        <f>IFERROR(__xludf.DUMMYFUNCTION("""COMPUTED_VALUE"""),1952.0)</f>
        <v>1952</v>
      </c>
      <c r="E13656">
        <f>IFERROR(__xludf.DUMMYFUNCTION("""COMPUTED_VALUE"""),58523.0)</f>
        <v>58523</v>
      </c>
    </row>
    <row r="13657">
      <c r="A13657" t="str">
        <f t="shared" si="1"/>
        <v>stp#1953</v>
      </c>
      <c r="B13657" t="str">
        <f>IFERROR(__xludf.DUMMYFUNCTION("""COMPUTED_VALUE"""),"stp")</f>
        <v>stp</v>
      </c>
      <c r="C13657" t="str">
        <f>IFERROR(__xludf.DUMMYFUNCTION("""COMPUTED_VALUE"""),"Sao Tome and Principe")</f>
        <v>Sao Tome and Principe</v>
      </c>
      <c r="D13657">
        <f>IFERROR(__xludf.DUMMYFUNCTION("""COMPUTED_VALUE"""),1953.0)</f>
        <v>1953</v>
      </c>
      <c r="E13657">
        <f>IFERROR(__xludf.DUMMYFUNCTION("""COMPUTED_VALUE"""),58165.0)</f>
        <v>58165</v>
      </c>
    </row>
    <row r="13658">
      <c r="A13658" t="str">
        <f t="shared" si="1"/>
        <v>stp#1954</v>
      </c>
      <c r="B13658" t="str">
        <f>IFERROR(__xludf.DUMMYFUNCTION("""COMPUTED_VALUE"""),"stp")</f>
        <v>stp</v>
      </c>
      <c r="C13658" t="str">
        <f>IFERROR(__xludf.DUMMYFUNCTION("""COMPUTED_VALUE"""),"Sao Tome and Principe")</f>
        <v>Sao Tome and Principe</v>
      </c>
      <c r="D13658">
        <f>IFERROR(__xludf.DUMMYFUNCTION("""COMPUTED_VALUE"""),1954.0)</f>
        <v>1954</v>
      </c>
      <c r="E13658">
        <f>IFERROR(__xludf.DUMMYFUNCTION("""COMPUTED_VALUE"""),58234.0)</f>
        <v>58234</v>
      </c>
    </row>
    <row r="13659">
      <c r="A13659" t="str">
        <f t="shared" si="1"/>
        <v>stp#1955</v>
      </c>
      <c r="B13659" t="str">
        <f>IFERROR(__xludf.DUMMYFUNCTION("""COMPUTED_VALUE"""),"stp")</f>
        <v>stp</v>
      </c>
      <c r="C13659" t="str">
        <f>IFERROR(__xludf.DUMMYFUNCTION("""COMPUTED_VALUE"""),"Sao Tome and Principe")</f>
        <v>Sao Tome and Principe</v>
      </c>
      <c r="D13659">
        <f>IFERROR(__xludf.DUMMYFUNCTION("""COMPUTED_VALUE"""),1955.0)</f>
        <v>1955</v>
      </c>
      <c r="E13659">
        <f>IFERROR(__xludf.DUMMYFUNCTION("""COMPUTED_VALUE"""),58783.0)</f>
        <v>58783</v>
      </c>
    </row>
    <row r="13660">
      <c r="A13660" t="str">
        <f t="shared" si="1"/>
        <v>stp#1956</v>
      </c>
      <c r="B13660" t="str">
        <f>IFERROR(__xludf.DUMMYFUNCTION("""COMPUTED_VALUE"""),"stp")</f>
        <v>stp</v>
      </c>
      <c r="C13660" t="str">
        <f>IFERROR(__xludf.DUMMYFUNCTION("""COMPUTED_VALUE"""),"Sao Tome and Principe")</f>
        <v>Sao Tome and Principe</v>
      </c>
      <c r="D13660">
        <f>IFERROR(__xludf.DUMMYFUNCTION("""COMPUTED_VALUE"""),1956.0)</f>
        <v>1956</v>
      </c>
      <c r="E13660">
        <f>IFERROR(__xludf.DUMMYFUNCTION("""COMPUTED_VALUE"""),59746.0)</f>
        <v>59746</v>
      </c>
    </row>
    <row r="13661">
      <c r="A13661" t="str">
        <f t="shared" si="1"/>
        <v>stp#1957</v>
      </c>
      <c r="B13661" t="str">
        <f>IFERROR(__xludf.DUMMYFUNCTION("""COMPUTED_VALUE"""),"stp")</f>
        <v>stp</v>
      </c>
      <c r="C13661" t="str">
        <f>IFERROR(__xludf.DUMMYFUNCTION("""COMPUTED_VALUE"""),"Sao Tome and Principe")</f>
        <v>Sao Tome and Principe</v>
      </c>
      <c r="D13661">
        <f>IFERROR(__xludf.DUMMYFUNCTION("""COMPUTED_VALUE"""),1957.0)</f>
        <v>1957</v>
      </c>
      <c r="E13661">
        <f>IFERROR(__xludf.DUMMYFUNCTION("""COMPUTED_VALUE"""),60991.0)</f>
        <v>60991</v>
      </c>
    </row>
    <row r="13662">
      <c r="A13662" t="str">
        <f t="shared" si="1"/>
        <v>stp#1958</v>
      </c>
      <c r="B13662" t="str">
        <f>IFERROR(__xludf.DUMMYFUNCTION("""COMPUTED_VALUE"""),"stp")</f>
        <v>stp</v>
      </c>
      <c r="C13662" t="str">
        <f>IFERROR(__xludf.DUMMYFUNCTION("""COMPUTED_VALUE"""),"Sao Tome and Principe")</f>
        <v>Sao Tome and Principe</v>
      </c>
      <c r="D13662">
        <f>IFERROR(__xludf.DUMMYFUNCTION("""COMPUTED_VALUE"""),1958.0)</f>
        <v>1958</v>
      </c>
      <c r="E13662">
        <f>IFERROR(__xludf.DUMMYFUNCTION("""COMPUTED_VALUE"""),62319.0)</f>
        <v>62319</v>
      </c>
    </row>
    <row r="13663">
      <c r="A13663" t="str">
        <f t="shared" si="1"/>
        <v>stp#1959</v>
      </c>
      <c r="B13663" t="str">
        <f>IFERROR(__xludf.DUMMYFUNCTION("""COMPUTED_VALUE"""),"stp")</f>
        <v>stp</v>
      </c>
      <c r="C13663" t="str">
        <f>IFERROR(__xludf.DUMMYFUNCTION("""COMPUTED_VALUE"""),"Sao Tome and Principe")</f>
        <v>Sao Tome and Principe</v>
      </c>
      <c r="D13663">
        <f>IFERROR(__xludf.DUMMYFUNCTION("""COMPUTED_VALUE"""),1959.0)</f>
        <v>1959</v>
      </c>
      <c r="E13663">
        <f>IFERROR(__xludf.DUMMYFUNCTION("""COMPUTED_VALUE"""),63478.0)</f>
        <v>63478</v>
      </c>
    </row>
    <row r="13664">
      <c r="A13664" t="str">
        <f t="shared" si="1"/>
        <v>stp#1960</v>
      </c>
      <c r="B13664" t="str">
        <f>IFERROR(__xludf.DUMMYFUNCTION("""COMPUTED_VALUE"""),"stp")</f>
        <v>stp</v>
      </c>
      <c r="C13664" t="str">
        <f>IFERROR(__xludf.DUMMYFUNCTION("""COMPUTED_VALUE"""),"Sao Tome and Principe")</f>
        <v>Sao Tome and Principe</v>
      </c>
      <c r="D13664">
        <f>IFERROR(__xludf.DUMMYFUNCTION("""COMPUTED_VALUE"""),1960.0)</f>
        <v>1960</v>
      </c>
      <c r="E13664">
        <f>IFERROR(__xludf.DUMMYFUNCTION("""COMPUTED_VALUE"""),64253.0)</f>
        <v>64253</v>
      </c>
    </row>
    <row r="13665">
      <c r="A13665" t="str">
        <f t="shared" si="1"/>
        <v>stp#1961</v>
      </c>
      <c r="B13665" t="str">
        <f>IFERROR(__xludf.DUMMYFUNCTION("""COMPUTED_VALUE"""),"stp")</f>
        <v>stp</v>
      </c>
      <c r="C13665" t="str">
        <f>IFERROR(__xludf.DUMMYFUNCTION("""COMPUTED_VALUE"""),"Sao Tome and Principe")</f>
        <v>Sao Tome and Principe</v>
      </c>
      <c r="D13665">
        <f>IFERROR(__xludf.DUMMYFUNCTION("""COMPUTED_VALUE"""),1961.0)</f>
        <v>1961</v>
      </c>
      <c r="E13665">
        <f>IFERROR(__xludf.DUMMYFUNCTION("""COMPUTED_VALUE"""),64551.0)</f>
        <v>64551</v>
      </c>
    </row>
    <row r="13666">
      <c r="A13666" t="str">
        <f t="shared" si="1"/>
        <v>stp#1962</v>
      </c>
      <c r="B13666" t="str">
        <f>IFERROR(__xludf.DUMMYFUNCTION("""COMPUTED_VALUE"""),"stp")</f>
        <v>stp</v>
      </c>
      <c r="C13666" t="str">
        <f>IFERROR(__xludf.DUMMYFUNCTION("""COMPUTED_VALUE"""),"Sao Tome and Principe")</f>
        <v>Sao Tome and Principe</v>
      </c>
      <c r="D13666">
        <f>IFERROR(__xludf.DUMMYFUNCTION("""COMPUTED_VALUE"""),1962.0)</f>
        <v>1962</v>
      </c>
      <c r="E13666">
        <f>IFERROR(__xludf.DUMMYFUNCTION("""COMPUTED_VALUE"""),64432.0)</f>
        <v>64432</v>
      </c>
    </row>
    <row r="13667">
      <c r="A13667" t="str">
        <f t="shared" si="1"/>
        <v>stp#1963</v>
      </c>
      <c r="B13667" t="str">
        <f>IFERROR(__xludf.DUMMYFUNCTION("""COMPUTED_VALUE"""),"stp")</f>
        <v>stp</v>
      </c>
      <c r="C13667" t="str">
        <f>IFERROR(__xludf.DUMMYFUNCTION("""COMPUTED_VALUE"""),"Sao Tome and Principe")</f>
        <v>Sao Tome and Principe</v>
      </c>
      <c r="D13667">
        <f>IFERROR(__xludf.DUMMYFUNCTION("""COMPUTED_VALUE"""),1963.0)</f>
        <v>1963</v>
      </c>
      <c r="E13667">
        <f>IFERROR(__xludf.DUMMYFUNCTION("""COMPUTED_VALUE"""),64177.0)</f>
        <v>64177</v>
      </c>
    </row>
    <row r="13668">
      <c r="A13668" t="str">
        <f t="shared" si="1"/>
        <v>stp#1964</v>
      </c>
      <c r="B13668" t="str">
        <f>IFERROR(__xludf.DUMMYFUNCTION("""COMPUTED_VALUE"""),"stp")</f>
        <v>stp</v>
      </c>
      <c r="C13668" t="str">
        <f>IFERROR(__xludf.DUMMYFUNCTION("""COMPUTED_VALUE"""),"Sao Tome and Principe")</f>
        <v>Sao Tome and Principe</v>
      </c>
      <c r="D13668">
        <f>IFERROR(__xludf.DUMMYFUNCTION("""COMPUTED_VALUE"""),1964.0)</f>
        <v>1964</v>
      </c>
      <c r="E13668">
        <f>IFERROR(__xludf.DUMMYFUNCTION("""COMPUTED_VALUE"""),64212.0)</f>
        <v>64212</v>
      </c>
    </row>
    <row r="13669">
      <c r="A13669" t="str">
        <f t="shared" si="1"/>
        <v>stp#1965</v>
      </c>
      <c r="B13669" t="str">
        <f>IFERROR(__xludf.DUMMYFUNCTION("""COMPUTED_VALUE"""),"stp")</f>
        <v>stp</v>
      </c>
      <c r="C13669" t="str">
        <f>IFERROR(__xludf.DUMMYFUNCTION("""COMPUTED_VALUE"""),"Sao Tome and Principe")</f>
        <v>Sao Tome and Principe</v>
      </c>
      <c r="D13669">
        <f>IFERROR(__xludf.DUMMYFUNCTION("""COMPUTED_VALUE"""),1965.0)</f>
        <v>1965</v>
      </c>
      <c r="E13669">
        <f>IFERROR(__xludf.DUMMYFUNCTION("""COMPUTED_VALUE"""),64796.0)</f>
        <v>64796</v>
      </c>
    </row>
    <row r="13670">
      <c r="A13670" t="str">
        <f t="shared" si="1"/>
        <v>stp#1966</v>
      </c>
      <c r="B13670" t="str">
        <f>IFERROR(__xludf.DUMMYFUNCTION("""COMPUTED_VALUE"""),"stp")</f>
        <v>stp</v>
      </c>
      <c r="C13670" t="str">
        <f>IFERROR(__xludf.DUMMYFUNCTION("""COMPUTED_VALUE"""),"Sao Tome and Principe")</f>
        <v>Sao Tome and Principe</v>
      </c>
      <c r="D13670">
        <f>IFERROR(__xludf.DUMMYFUNCTION("""COMPUTED_VALUE"""),1966.0)</f>
        <v>1966</v>
      </c>
      <c r="E13670">
        <f>IFERROR(__xludf.DUMMYFUNCTION("""COMPUTED_VALUE"""),66063.0)</f>
        <v>66063</v>
      </c>
    </row>
    <row r="13671">
      <c r="A13671" t="str">
        <f t="shared" si="1"/>
        <v>stp#1967</v>
      </c>
      <c r="B13671" t="str">
        <f>IFERROR(__xludf.DUMMYFUNCTION("""COMPUTED_VALUE"""),"stp")</f>
        <v>stp</v>
      </c>
      <c r="C13671" t="str">
        <f>IFERROR(__xludf.DUMMYFUNCTION("""COMPUTED_VALUE"""),"Sao Tome and Principe")</f>
        <v>Sao Tome and Principe</v>
      </c>
      <c r="D13671">
        <f>IFERROR(__xludf.DUMMYFUNCTION("""COMPUTED_VALUE"""),1967.0)</f>
        <v>1967</v>
      </c>
      <c r="E13671">
        <f>IFERROR(__xludf.DUMMYFUNCTION("""COMPUTED_VALUE"""),67873.0)</f>
        <v>67873</v>
      </c>
    </row>
    <row r="13672">
      <c r="A13672" t="str">
        <f t="shared" si="1"/>
        <v>stp#1968</v>
      </c>
      <c r="B13672" t="str">
        <f>IFERROR(__xludf.DUMMYFUNCTION("""COMPUTED_VALUE"""),"stp")</f>
        <v>stp</v>
      </c>
      <c r="C13672" t="str">
        <f>IFERROR(__xludf.DUMMYFUNCTION("""COMPUTED_VALUE"""),"Sao Tome and Principe")</f>
        <v>Sao Tome and Principe</v>
      </c>
      <c r="D13672">
        <f>IFERROR(__xludf.DUMMYFUNCTION("""COMPUTED_VALUE"""),1968.0)</f>
        <v>1968</v>
      </c>
      <c r="E13672">
        <f>IFERROR(__xludf.DUMMYFUNCTION("""COMPUTED_VALUE"""),70046.0)</f>
        <v>70046</v>
      </c>
    </row>
    <row r="13673">
      <c r="A13673" t="str">
        <f t="shared" si="1"/>
        <v>stp#1969</v>
      </c>
      <c r="B13673" t="str">
        <f>IFERROR(__xludf.DUMMYFUNCTION("""COMPUTED_VALUE"""),"stp")</f>
        <v>stp</v>
      </c>
      <c r="C13673" t="str">
        <f>IFERROR(__xludf.DUMMYFUNCTION("""COMPUTED_VALUE"""),"Sao Tome and Principe")</f>
        <v>Sao Tome and Principe</v>
      </c>
      <c r="D13673">
        <f>IFERROR(__xludf.DUMMYFUNCTION("""COMPUTED_VALUE"""),1969.0)</f>
        <v>1969</v>
      </c>
      <c r="E13673">
        <f>IFERROR(__xludf.DUMMYFUNCTION("""COMPUTED_VALUE"""),72241.0)</f>
        <v>72241</v>
      </c>
    </row>
    <row r="13674">
      <c r="A13674" t="str">
        <f t="shared" si="1"/>
        <v>stp#1970</v>
      </c>
      <c r="B13674" t="str">
        <f>IFERROR(__xludf.DUMMYFUNCTION("""COMPUTED_VALUE"""),"stp")</f>
        <v>stp</v>
      </c>
      <c r="C13674" t="str">
        <f>IFERROR(__xludf.DUMMYFUNCTION("""COMPUTED_VALUE"""),"Sao Tome and Principe")</f>
        <v>Sao Tome and Principe</v>
      </c>
      <c r="D13674">
        <f>IFERROR(__xludf.DUMMYFUNCTION("""COMPUTED_VALUE"""),1970.0)</f>
        <v>1970</v>
      </c>
      <c r="E13674">
        <f>IFERROR(__xludf.DUMMYFUNCTION("""COMPUTED_VALUE"""),74253.0)</f>
        <v>74253</v>
      </c>
    </row>
    <row r="13675">
      <c r="A13675" t="str">
        <f t="shared" si="1"/>
        <v>stp#1971</v>
      </c>
      <c r="B13675" t="str">
        <f>IFERROR(__xludf.DUMMYFUNCTION("""COMPUTED_VALUE"""),"stp")</f>
        <v>stp</v>
      </c>
      <c r="C13675" t="str">
        <f>IFERROR(__xludf.DUMMYFUNCTION("""COMPUTED_VALUE"""),"Sao Tome and Principe")</f>
        <v>Sao Tome and Principe</v>
      </c>
      <c r="D13675">
        <f>IFERROR(__xludf.DUMMYFUNCTION("""COMPUTED_VALUE"""),1971.0)</f>
        <v>1971</v>
      </c>
      <c r="E13675">
        <f>IFERROR(__xludf.DUMMYFUNCTION("""COMPUTED_VALUE"""),75988.0)</f>
        <v>75988</v>
      </c>
    </row>
    <row r="13676">
      <c r="A13676" t="str">
        <f t="shared" si="1"/>
        <v>stp#1972</v>
      </c>
      <c r="B13676" t="str">
        <f>IFERROR(__xludf.DUMMYFUNCTION("""COMPUTED_VALUE"""),"stp")</f>
        <v>stp</v>
      </c>
      <c r="C13676" t="str">
        <f>IFERROR(__xludf.DUMMYFUNCTION("""COMPUTED_VALUE"""),"Sao Tome and Principe")</f>
        <v>Sao Tome and Principe</v>
      </c>
      <c r="D13676">
        <f>IFERROR(__xludf.DUMMYFUNCTION("""COMPUTED_VALUE"""),1972.0)</f>
        <v>1972</v>
      </c>
      <c r="E13676">
        <f>IFERROR(__xludf.DUMMYFUNCTION("""COMPUTED_VALUE"""),77537.0)</f>
        <v>77537</v>
      </c>
    </row>
    <row r="13677">
      <c r="A13677" t="str">
        <f t="shared" si="1"/>
        <v>stp#1973</v>
      </c>
      <c r="B13677" t="str">
        <f>IFERROR(__xludf.DUMMYFUNCTION("""COMPUTED_VALUE"""),"stp")</f>
        <v>stp</v>
      </c>
      <c r="C13677" t="str">
        <f>IFERROR(__xludf.DUMMYFUNCTION("""COMPUTED_VALUE"""),"Sao Tome and Principe")</f>
        <v>Sao Tome and Principe</v>
      </c>
      <c r="D13677">
        <f>IFERROR(__xludf.DUMMYFUNCTION("""COMPUTED_VALUE"""),1973.0)</f>
        <v>1973</v>
      </c>
      <c r="E13677">
        <f>IFERROR(__xludf.DUMMYFUNCTION("""COMPUTED_VALUE"""),79022.0)</f>
        <v>79022</v>
      </c>
    </row>
    <row r="13678">
      <c r="A13678" t="str">
        <f t="shared" si="1"/>
        <v>stp#1974</v>
      </c>
      <c r="B13678" t="str">
        <f>IFERROR(__xludf.DUMMYFUNCTION("""COMPUTED_VALUE"""),"stp")</f>
        <v>stp</v>
      </c>
      <c r="C13678" t="str">
        <f>IFERROR(__xludf.DUMMYFUNCTION("""COMPUTED_VALUE"""),"Sao Tome and Principe")</f>
        <v>Sao Tome and Principe</v>
      </c>
      <c r="D13678">
        <f>IFERROR(__xludf.DUMMYFUNCTION("""COMPUTED_VALUE"""),1974.0)</f>
        <v>1974</v>
      </c>
      <c r="E13678">
        <f>IFERROR(__xludf.DUMMYFUNCTION("""COMPUTED_VALUE"""),80670.0)</f>
        <v>80670</v>
      </c>
    </row>
    <row r="13679">
      <c r="A13679" t="str">
        <f t="shared" si="1"/>
        <v>stp#1975</v>
      </c>
      <c r="B13679" t="str">
        <f>IFERROR(__xludf.DUMMYFUNCTION("""COMPUTED_VALUE"""),"stp")</f>
        <v>stp</v>
      </c>
      <c r="C13679" t="str">
        <f>IFERROR(__xludf.DUMMYFUNCTION("""COMPUTED_VALUE"""),"Sao Tome and Principe")</f>
        <v>Sao Tome and Principe</v>
      </c>
      <c r="D13679">
        <f>IFERROR(__xludf.DUMMYFUNCTION("""COMPUTED_VALUE"""),1975.0)</f>
        <v>1975</v>
      </c>
      <c r="E13679">
        <f>IFERROR(__xludf.DUMMYFUNCTION("""COMPUTED_VALUE"""),82607.0)</f>
        <v>82607</v>
      </c>
    </row>
    <row r="13680">
      <c r="A13680" t="str">
        <f t="shared" si="1"/>
        <v>stp#1976</v>
      </c>
      <c r="B13680" t="str">
        <f>IFERROR(__xludf.DUMMYFUNCTION("""COMPUTED_VALUE"""),"stp")</f>
        <v>stp</v>
      </c>
      <c r="C13680" t="str">
        <f>IFERROR(__xludf.DUMMYFUNCTION("""COMPUTED_VALUE"""),"Sao Tome and Principe")</f>
        <v>Sao Tome and Principe</v>
      </c>
      <c r="D13680">
        <f>IFERROR(__xludf.DUMMYFUNCTION("""COMPUTED_VALUE"""),1976.0)</f>
        <v>1976</v>
      </c>
      <c r="E13680">
        <f>IFERROR(__xludf.DUMMYFUNCTION("""COMPUTED_VALUE"""),84885.0)</f>
        <v>84885</v>
      </c>
    </row>
    <row r="13681">
      <c r="A13681" t="str">
        <f t="shared" si="1"/>
        <v>stp#1977</v>
      </c>
      <c r="B13681" t="str">
        <f>IFERROR(__xludf.DUMMYFUNCTION("""COMPUTED_VALUE"""),"stp")</f>
        <v>stp</v>
      </c>
      <c r="C13681" t="str">
        <f>IFERROR(__xludf.DUMMYFUNCTION("""COMPUTED_VALUE"""),"Sao Tome and Principe")</f>
        <v>Sao Tome and Principe</v>
      </c>
      <c r="D13681">
        <f>IFERROR(__xludf.DUMMYFUNCTION("""COMPUTED_VALUE"""),1977.0)</f>
        <v>1977</v>
      </c>
      <c r="E13681">
        <f>IFERROR(__xludf.DUMMYFUNCTION("""COMPUTED_VALUE"""),87434.0)</f>
        <v>87434</v>
      </c>
    </row>
    <row r="13682">
      <c r="A13682" t="str">
        <f t="shared" si="1"/>
        <v>stp#1978</v>
      </c>
      <c r="B13682" t="str">
        <f>IFERROR(__xludf.DUMMYFUNCTION("""COMPUTED_VALUE"""),"stp")</f>
        <v>stp</v>
      </c>
      <c r="C13682" t="str">
        <f>IFERROR(__xludf.DUMMYFUNCTION("""COMPUTED_VALUE"""),"Sao Tome and Principe")</f>
        <v>Sao Tome and Principe</v>
      </c>
      <c r="D13682">
        <f>IFERROR(__xludf.DUMMYFUNCTION("""COMPUTED_VALUE"""),1978.0)</f>
        <v>1978</v>
      </c>
      <c r="E13682">
        <f>IFERROR(__xludf.DUMMYFUNCTION("""COMPUTED_VALUE"""),90089.0)</f>
        <v>90089</v>
      </c>
    </row>
    <row r="13683">
      <c r="A13683" t="str">
        <f t="shared" si="1"/>
        <v>stp#1979</v>
      </c>
      <c r="B13683" t="str">
        <f>IFERROR(__xludf.DUMMYFUNCTION("""COMPUTED_VALUE"""),"stp")</f>
        <v>stp</v>
      </c>
      <c r="C13683" t="str">
        <f>IFERROR(__xludf.DUMMYFUNCTION("""COMPUTED_VALUE"""),"Sao Tome and Principe")</f>
        <v>Sao Tome and Principe</v>
      </c>
      <c r="D13683">
        <f>IFERROR(__xludf.DUMMYFUNCTION("""COMPUTED_VALUE"""),1979.0)</f>
        <v>1979</v>
      </c>
      <c r="E13683">
        <f>IFERROR(__xludf.DUMMYFUNCTION("""COMPUTED_VALUE"""),92649.0)</f>
        <v>92649</v>
      </c>
    </row>
    <row r="13684">
      <c r="A13684" t="str">
        <f t="shared" si="1"/>
        <v>stp#1980</v>
      </c>
      <c r="B13684" t="str">
        <f>IFERROR(__xludf.DUMMYFUNCTION("""COMPUTED_VALUE"""),"stp")</f>
        <v>stp</v>
      </c>
      <c r="C13684" t="str">
        <f>IFERROR(__xludf.DUMMYFUNCTION("""COMPUTED_VALUE"""),"Sao Tome and Principe")</f>
        <v>Sao Tome and Principe</v>
      </c>
      <c r="D13684">
        <f>IFERROR(__xludf.DUMMYFUNCTION("""COMPUTED_VALUE"""),1980.0)</f>
        <v>1980</v>
      </c>
      <c r="E13684">
        <f>IFERROR(__xludf.DUMMYFUNCTION("""COMPUTED_VALUE"""),94949.0)</f>
        <v>94949</v>
      </c>
    </row>
    <row r="13685">
      <c r="A13685" t="str">
        <f t="shared" si="1"/>
        <v>stp#1981</v>
      </c>
      <c r="B13685" t="str">
        <f>IFERROR(__xludf.DUMMYFUNCTION("""COMPUTED_VALUE"""),"stp")</f>
        <v>stp</v>
      </c>
      <c r="C13685" t="str">
        <f>IFERROR(__xludf.DUMMYFUNCTION("""COMPUTED_VALUE"""),"Sao Tome and Principe")</f>
        <v>Sao Tome and Principe</v>
      </c>
      <c r="D13685">
        <f>IFERROR(__xludf.DUMMYFUNCTION("""COMPUTED_VALUE"""),1981.0)</f>
        <v>1981</v>
      </c>
      <c r="E13685">
        <f>IFERROR(__xludf.DUMMYFUNCTION("""COMPUTED_VALUE"""),96950.0)</f>
        <v>96950</v>
      </c>
    </row>
    <row r="13686">
      <c r="A13686" t="str">
        <f t="shared" si="1"/>
        <v>stp#1982</v>
      </c>
      <c r="B13686" t="str">
        <f>IFERROR(__xludf.DUMMYFUNCTION("""COMPUTED_VALUE"""),"stp")</f>
        <v>stp</v>
      </c>
      <c r="C13686" t="str">
        <f>IFERROR(__xludf.DUMMYFUNCTION("""COMPUTED_VALUE"""),"Sao Tome and Principe")</f>
        <v>Sao Tome and Principe</v>
      </c>
      <c r="D13686">
        <f>IFERROR(__xludf.DUMMYFUNCTION("""COMPUTED_VALUE"""),1982.0)</f>
        <v>1982</v>
      </c>
      <c r="E13686">
        <f>IFERROR(__xludf.DUMMYFUNCTION("""COMPUTED_VALUE"""),98706.0)</f>
        <v>98706</v>
      </c>
    </row>
    <row r="13687">
      <c r="A13687" t="str">
        <f t="shared" si="1"/>
        <v>stp#1983</v>
      </c>
      <c r="B13687" t="str">
        <f>IFERROR(__xludf.DUMMYFUNCTION("""COMPUTED_VALUE"""),"stp")</f>
        <v>stp</v>
      </c>
      <c r="C13687" t="str">
        <f>IFERROR(__xludf.DUMMYFUNCTION("""COMPUTED_VALUE"""),"Sao Tome and Principe")</f>
        <v>Sao Tome and Principe</v>
      </c>
      <c r="D13687">
        <f>IFERROR(__xludf.DUMMYFUNCTION("""COMPUTED_VALUE"""),1983.0)</f>
        <v>1983</v>
      </c>
      <c r="E13687">
        <f>IFERROR(__xludf.DUMMYFUNCTION("""COMPUTED_VALUE"""),100318.0)</f>
        <v>100318</v>
      </c>
    </row>
    <row r="13688">
      <c r="A13688" t="str">
        <f t="shared" si="1"/>
        <v>stp#1984</v>
      </c>
      <c r="B13688" t="str">
        <f>IFERROR(__xludf.DUMMYFUNCTION("""COMPUTED_VALUE"""),"stp")</f>
        <v>stp</v>
      </c>
      <c r="C13688" t="str">
        <f>IFERROR(__xludf.DUMMYFUNCTION("""COMPUTED_VALUE"""),"Sao Tome and Principe")</f>
        <v>Sao Tome and Principe</v>
      </c>
      <c r="D13688">
        <f>IFERROR(__xludf.DUMMYFUNCTION("""COMPUTED_VALUE"""),1984.0)</f>
        <v>1984</v>
      </c>
      <c r="E13688">
        <f>IFERROR(__xludf.DUMMYFUNCTION("""COMPUTED_VALUE"""),101915.0)</f>
        <v>101915</v>
      </c>
    </row>
    <row r="13689">
      <c r="A13689" t="str">
        <f t="shared" si="1"/>
        <v>stp#1985</v>
      </c>
      <c r="B13689" t="str">
        <f>IFERROR(__xludf.DUMMYFUNCTION("""COMPUTED_VALUE"""),"stp")</f>
        <v>stp</v>
      </c>
      <c r="C13689" t="str">
        <f>IFERROR(__xludf.DUMMYFUNCTION("""COMPUTED_VALUE"""),"Sao Tome and Principe")</f>
        <v>Sao Tome and Principe</v>
      </c>
      <c r="D13689">
        <f>IFERROR(__xludf.DUMMYFUNCTION("""COMPUTED_VALUE"""),1985.0)</f>
        <v>1985</v>
      </c>
      <c r="E13689">
        <f>IFERROR(__xludf.DUMMYFUNCTION("""COMPUTED_VALUE"""),103634.0)</f>
        <v>103634</v>
      </c>
    </row>
    <row r="13690">
      <c r="A13690" t="str">
        <f t="shared" si="1"/>
        <v>stp#1986</v>
      </c>
      <c r="B13690" t="str">
        <f>IFERROR(__xludf.DUMMYFUNCTION("""COMPUTED_VALUE"""),"stp")</f>
        <v>stp</v>
      </c>
      <c r="C13690" t="str">
        <f>IFERROR(__xludf.DUMMYFUNCTION("""COMPUTED_VALUE"""),"Sao Tome and Principe")</f>
        <v>Sao Tome and Principe</v>
      </c>
      <c r="D13690">
        <f>IFERROR(__xludf.DUMMYFUNCTION("""COMPUTED_VALUE"""),1986.0)</f>
        <v>1986</v>
      </c>
      <c r="E13690">
        <f>IFERROR(__xludf.DUMMYFUNCTION("""COMPUTED_VALUE"""),105474.0)</f>
        <v>105474</v>
      </c>
    </row>
    <row r="13691">
      <c r="A13691" t="str">
        <f t="shared" si="1"/>
        <v>stp#1987</v>
      </c>
      <c r="B13691" t="str">
        <f>IFERROR(__xludf.DUMMYFUNCTION("""COMPUTED_VALUE"""),"stp")</f>
        <v>stp</v>
      </c>
      <c r="C13691" t="str">
        <f>IFERROR(__xludf.DUMMYFUNCTION("""COMPUTED_VALUE"""),"Sao Tome and Principe")</f>
        <v>Sao Tome and Principe</v>
      </c>
      <c r="D13691">
        <f>IFERROR(__xludf.DUMMYFUNCTION("""COMPUTED_VALUE"""),1987.0)</f>
        <v>1987</v>
      </c>
      <c r="E13691">
        <f>IFERROR(__xludf.DUMMYFUNCTION("""COMPUTED_VALUE"""),107415.0)</f>
        <v>107415</v>
      </c>
    </row>
    <row r="13692">
      <c r="A13692" t="str">
        <f t="shared" si="1"/>
        <v>stp#1988</v>
      </c>
      <c r="B13692" t="str">
        <f>IFERROR(__xludf.DUMMYFUNCTION("""COMPUTED_VALUE"""),"stp")</f>
        <v>stp</v>
      </c>
      <c r="C13692" t="str">
        <f>IFERROR(__xludf.DUMMYFUNCTION("""COMPUTED_VALUE"""),"Sao Tome and Principe")</f>
        <v>Sao Tome and Principe</v>
      </c>
      <c r="D13692">
        <f>IFERROR(__xludf.DUMMYFUNCTION("""COMPUTED_VALUE"""),1988.0)</f>
        <v>1988</v>
      </c>
      <c r="E13692">
        <f>IFERROR(__xludf.DUMMYFUNCTION("""COMPUTED_VALUE"""),109470.0)</f>
        <v>109470</v>
      </c>
    </row>
    <row r="13693">
      <c r="A13693" t="str">
        <f t="shared" si="1"/>
        <v>stp#1989</v>
      </c>
      <c r="B13693" t="str">
        <f>IFERROR(__xludf.DUMMYFUNCTION("""COMPUTED_VALUE"""),"stp")</f>
        <v>stp</v>
      </c>
      <c r="C13693" t="str">
        <f>IFERROR(__xludf.DUMMYFUNCTION("""COMPUTED_VALUE"""),"Sao Tome and Principe")</f>
        <v>Sao Tome and Principe</v>
      </c>
      <c r="D13693">
        <f>IFERROR(__xludf.DUMMYFUNCTION("""COMPUTED_VALUE"""),1989.0)</f>
        <v>1989</v>
      </c>
      <c r="E13693">
        <f>IFERROR(__xludf.DUMMYFUNCTION("""COMPUTED_VALUE"""),111627.0)</f>
        <v>111627</v>
      </c>
    </row>
    <row r="13694">
      <c r="A13694" t="str">
        <f t="shared" si="1"/>
        <v>stp#1990</v>
      </c>
      <c r="B13694" t="str">
        <f>IFERROR(__xludf.DUMMYFUNCTION("""COMPUTED_VALUE"""),"stp")</f>
        <v>stp</v>
      </c>
      <c r="C13694" t="str">
        <f>IFERROR(__xludf.DUMMYFUNCTION("""COMPUTED_VALUE"""),"Sao Tome and Principe")</f>
        <v>Sao Tome and Principe</v>
      </c>
      <c r="D13694">
        <f>IFERROR(__xludf.DUMMYFUNCTION("""COMPUTED_VALUE"""),1990.0)</f>
        <v>1990</v>
      </c>
      <c r="E13694">
        <f>IFERROR(__xludf.DUMMYFUNCTION("""COMPUTED_VALUE"""),113893.0)</f>
        <v>113893</v>
      </c>
    </row>
    <row r="13695">
      <c r="A13695" t="str">
        <f t="shared" si="1"/>
        <v>stp#1991</v>
      </c>
      <c r="B13695" t="str">
        <f>IFERROR(__xludf.DUMMYFUNCTION("""COMPUTED_VALUE"""),"stp")</f>
        <v>stp</v>
      </c>
      <c r="C13695" t="str">
        <f>IFERROR(__xludf.DUMMYFUNCTION("""COMPUTED_VALUE"""),"Sao Tome and Principe")</f>
        <v>Sao Tome and Principe</v>
      </c>
      <c r="D13695">
        <f>IFERROR(__xludf.DUMMYFUNCTION("""COMPUTED_VALUE"""),1991.0)</f>
        <v>1991</v>
      </c>
      <c r="E13695">
        <f>IFERROR(__xludf.DUMMYFUNCTION("""COMPUTED_VALUE"""),116294.0)</f>
        <v>116294</v>
      </c>
    </row>
    <row r="13696">
      <c r="A13696" t="str">
        <f t="shared" si="1"/>
        <v>stp#1992</v>
      </c>
      <c r="B13696" t="str">
        <f>IFERROR(__xludf.DUMMYFUNCTION("""COMPUTED_VALUE"""),"stp")</f>
        <v>stp</v>
      </c>
      <c r="C13696" t="str">
        <f>IFERROR(__xludf.DUMMYFUNCTION("""COMPUTED_VALUE"""),"Sao Tome and Principe")</f>
        <v>Sao Tome and Principe</v>
      </c>
      <c r="D13696">
        <f>IFERROR(__xludf.DUMMYFUNCTION("""COMPUTED_VALUE"""),1992.0)</f>
        <v>1992</v>
      </c>
      <c r="E13696">
        <f>IFERROR(__xludf.DUMMYFUNCTION("""COMPUTED_VALUE"""),118816.0)</f>
        <v>118816</v>
      </c>
    </row>
    <row r="13697">
      <c r="A13697" t="str">
        <f t="shared" si="1"/>
        <v>stp#1993</v>
      </c>
      <c r="B13697" t="str">
        <f>IFERROR(__xludf.DUMMYFUNCTION("""COMPUTED_VALUE"""),"stp")</f>
        <v>stp</v>
      </c>
      <c r="C13697" t="str">
        <f>IFERROR(__xludf.DUMMYFUNCTION("""COMPUTED_VALUE"""),"Sao Tome and Principe")</f>
        <v>Sao Tome and Principe</v>
      </c>
      <c r="D13697">
        <f>IFERROR(__xludf.DUMMYFUNCTION("""COMPUTED_VALUE"""),1993.0)</f>
        <v>1993</v>
      </c>
      <c r="E13697">
        <f>IFERROR(__xludf.DUMMYFUNCTION("""COMPUTED_VALUE"""),121407.0)</f>
        <v>121407</v>
      </c>
    </row>
    <row r="13698">
      <c r="A13698" t="str">
        <f t="shared" si="1"/>
        <v>stp#1994</v>
      </c>
      <c r="B13698" t="str">
        <f>IFERROR(__xludf.DUMMYFUNCTION("""COMPUTED_VALUE"""),"stp")</f>
        <v>stp</v>
      </c>
      <c r="C13698" t="str">
        <f>IFERROR(__xludf.DUMMYFUNCTION("""COMPUTED_VALUE"""),"Sao Tome and Principe")</f>
        <v>Sao Tome and Principe</v>
      </c>
      <c r="D13698">
        <f>IFERROR(__xludf.DUMMYFUNCTION("""COMPUTED_VALUE"""),1994.0)</f>
        <v>1994</v>
      </c>
      <c r="E13698">
        <f>IFERROR(__xludf.DUMMYFUNCTION("""COMPUTED_VALUE"""),123973.0)</f>
        <v>123973</v>
      </c>
    </row>
    <row r="13699">
      <c r="A13699" t="str">
        <f t="shared" si="1"/>
        <v>stp#1995</v>
      </c>
      <c r="B13699" t="str">
        <f>IFERROR(__xludf.DUMMYFUNCTION("""COMPUTED_VALUE"""),"stp")</f>
        <v>stp</v>
      </c>
      <c r="C13699" t="str">
        <f>IFERROR(__xludf.DUMMYFUNCTION("""COMPUTED_VALUE"""),"Sao Tome and Principe")</f>
        <v>Sao Tome and Principe</v>
      </c>
      <c r="D13699">
        <f>IFERROR(__xludf.DUMMYFUNCTION("""COMPUTED_VALUE"""),1995.0)</f>
        <v>1995</v>
      </c>
      <c r="E13699">
        <f>IFERROR(__xludf.DUMMYFUNCTION("""COMPUTED_VALUE"""),126454.0)</f>
        <v>126454</v>
      </c>
    </row>
    <row r="13700">
      <c r="A13700" t="str">
        <f t="shared" si="1"/>
        <v>stp#1996</v>
      </c>
      <c r="B13700" t="str">
        <f>IFERROR(__xludf.DUMMYFUNCTION("""COMPUTED_VALUE"""),"stp")</f>
        <v>stp</v>
      </c>
      <c r="C13700" t="str">
        <f>IFERROR(__xludf.DUMMYFUNCTION("""COMPUTED_VALUE"""),"Sao Tome and Principe")</f>
        <v>Sao Tome and Principe</v>
      </c>
      <c r="D13700">
        <f>IFERROR(__xludf.DUMMYFUNCTION("""COMPUTED_VALUE"""),1996.0)</f>
        <v>1996</v>
      </c>
      <c r="E13700">
        <f>IFERROR(__xludf.DUMMYFUNCTION("""COMPUTED_VALUE"""),128821.0)</f>
        <v>128821</v>
      </c>
    </row>
    <row r="13701">
      <c r="A13701" t="str">
        <f t="shared" si="1"/>
        <v>stp#1997</v>
      </c>
      <c r="B13701" t="str">
        <f>IFERROR(__xludf.DUMMYFUNCTION("""COMPUTED_VALUE"""),"stp")</f>
        <v>stp</v>
      </c>
      <c r="C13701" t="str">
        <f>IFERROR(__xludf.DUMMYFUNCTION("""COMPUTED_VALUE"""),"Sao Tome and Principe")</f>
        <v>Sao Tome and Principe</v>
      </c>
      <c r="D13701">
        <f>IFERROR(__xludf.DUMMYFUNCTION("""COMPUTED_VALUE"""),1997.0)</f>
        <v>1997</v>
      </c>
      <c r="E13701">
        <f>IFERROR(__xludf.DUMMYFUNCTION("""COMPUTED_VALUE"""),131107.0)</f>
        <v>131107</v>
      </c>
    </row>
    <row r="13702">
      <c r="A13702" t="str">
        <f t="shared" si="1"/>
        <v>stp#1998</v>
      </c>
      <c r="B13702" t="str">
        <f>IFERROR(__xludf.DUMMYFUNCTION("""COMPUTED_VALUE"""),"stp")</f>
        <v>stp</v>
      </c>
      <c r="C13702" t="str">
        <f>IFERROR(__xludf.DUMMYFUNCTION("""COMPUTED_VALUE"""),"Sao Tome and Principe")</f>
        <v>Sao Tome and Principe</v>
      </c>
      <c r="D13702">
        <f>IFERROR(__xludf.DUMMYFUNCTION("""COMPUTED_VALUE"""),1998.0)</f>
        <v>1998</v>
      </c>
      <c r="E13702">
        <f>IFERROR(__xludf.DUMMYFUNCTION("""COMPUTED_VALUE"""),133418.0)</f>
        <v>133418</v>
      </c>
    </row>
    <row r="13703">
      <c r="A13703" t="str">
        <f t="shared" si="1"/>
        <v>stp#1999</v>
      </c>
      <c r="B13703" t="str">
        <f>IFERROR(__xludf.DUMMYFUNCTION("""COMPUTED_VALUE"""),"stp")</f>
        <v>stp</v>
      </c>
      <c r="C13703" t="str">
        <f>IFERROR(__xludf.DUMMYFUNCTION("""COMPUTED_VALUE"""),"Sao Tome and Principe")</f>
        <v>Sao Tome and Principe</v>
      </c>
      <c r="D13703">
        <f>IFERROR(__xludf.DUMMYFUNCTION("""COMPUTED_VALUE"""),1999.0)</f>
        <v>1999</v>
      </c>
      <c r="E13703">
        <f>IFERROR(__xludf.DUMMYFUNCTION("""COMPUTED_VALUE"""),135886.0)</f>
        <v>135886</v>
      </c>
    </row>
    <row r="13704">
      <c r="A13704" t="str">
        <f t="shared" si="1"/>
        <v>stp#2000</v>
      </c>
      <c r="B13704" t="str">
        <f>IFERROR(__xludf.DUMMYFUNCTION("""COMPUTED_VALUE"""),"stp")</f>
        <v>stp</v>
      </c>
      <c r="C13704" t="str">
        <f>IFERROR(__xludf.DUMMYFUNCTION("""COMPUTED_VALUE"""),"Sao Tome and Principe")</f>
        <v>Sao Tome and Principe</v>
      </c>
      <c r="D13704">
        <f>IFERROR(__xludf.DUMMYFUNCTION("""COMPUTED_VALUE"""),2000.0)</f>
        <v>2000</v>
      </c>
      <c r="E13704">
        <f>IFERROR(__xludf.DUMMYFUNCTION("""COMPUTED_VALUE"""),138606.0)</f>
        <v>138606</v>
      </c>
    </row>
    <row r="13705">
      <c r="A13705" t="str">
        <f t="shared" si="1"/>
        <v>stp#2001</v>
      </c>
      <c r="B13705" t="str">
        <f>IFERROR(__xludf.DUMMYFUNCTION("""COMPUTED_VALUE"""),"stp")</f>
        <v>stp</v>
      </c>
      <c r="C13705" t="str">
        <f>IFERROR(__xludf.DUMMYFUNCTION("""COMPUTED_VALUE"""),"Sao Tome and Principe")</f>
        <v>Sao Tome and Principe</v>
      </c>
      <c r="D13705">
        <f>IFERROR(__xludf.DUMMYFUNCTION("""COMPUTED_VALUE"""),2001.0)</f>
        <v>2001</v>
      </c>
      <c r="E13705">
        <f>IFERROR(__xludf.DUMMYFUNCTION("""COMPUTED_VALUE"""),141622.0)</f>
        <v>141622</v>
      </c>
    </row>
    <row r="13706">
      <c r="A13706" t="str">
        <f t="shared" si="1"/>
        <v>stp#2002</v>
      </c>
      <c r="B13706" t="str">
        <f>IFERROR(__xludf.DUMMYFUNCTION("""COMPUTED_VALUE"""),"stp")</f>
        <v>stp</v>
      </c>
      <c r="C13706" t="str">
        <f>IFERROR(__xludf.DUMMYFUNCTION("""COMPUTED_VALUE"""),"Sao Tome and Principe")</f>
        <v>Sao Tome and Principe</v>
      </c>
      <c r="D13706">
        <f>IFERROR(__xludf.DUMMYFUNCTION("""COMPUTED_VALUE"""),2002.0)</f>
        <v>2002</v>
      </c>
      <c r="E13706">
        <f>IFERROR(__xludf.DUMMYFUNCTION("""COMPUTED_VALUE"""),144889.0)</f>
        <v>144889</v>
      </c>
    </row>
    <row r="13707">
      <c r="A13707" t="str">
        <f t="shared" si="1"/>
        <v>stp#2003</v>
      </c>
      <c r="B13707" t="str">
        <f>IFERROR(__xludf.DUMMYFUNCTION("""COMPUTED_VALUE"""),"stp")</f>
        <v>stp</v>
      </c>
      <c r="C13707" t="str">
        <f>IFERROR(__xludf.DUMMYFUNCTION("""COMPUTED_VALUE"""),"Sao Tome and Principe")</f>
        <v>Sao Tome and Principe</v>
      </c>
      <c r="D13707">
        <f>IFERROR(__xludf.DUMMYFUNCTION("""COMPUTED_VALUE"""),2003.0)</f>
        <v>2003</v>
      </c>
      <c r="E13707">
        <f>IFERROR(__xludf.DUMMYFUNCTION("""COMPUTED_VALUE"""),148372.0)</f>
        <v>148372</v>
      </c>
    </row>
    <row r="13708">
      <c r="A13708" t="str">
        <f t="shared" si="1"/>
        <v>stp#2004</v>
      </c>
      <c r="B13708" t="str">
        <f>IFERROR(__xludf.DUMMYFUNCTION("""COMPUTED_VALUE"""),"stp")</f>
        <v>stp</v>
      </c>
      <c r="C13708" t="str">
        <f>IFERROR(__xludf.DUMMYFUNCTION("""COMPUTED_VALUE"""),"Sao Tome and Principe")</f>
        <v>Sao Tome and Principe</v>
      </c>
      <c r="D13708">
        <f>IFERROR(__xludf.DUMMYFUNCTION("""COMPUTED_VALUE"""),2004.0)</f>
        <v>2004</v>
      </c>
      <c r="E13708">
        <f>IFERROR(__xludf.DUMMYFUNCTION("""COMPUTED_VALUE"""),151969.0)</f>
        <v>151969</v>
      </c>
    </row>
    <row r="13709">
      <c r="A13709" t="str">
        <f t="shared" si="1"/>
        <v>stp#2005</v>
      </c>
      <c r="B13709" t="str">
        <f>IFERROR(__xludf.DUMMYFUNCTION("""COMPUTED_VALUE"""),"stp")</f>
        <v>stp</v>
      </c>
      <c r="C13709" t="str">
        <f>IFERROR(__xludf.DUMMYFUNCTION("""COMPUTED_VALUE"""),"Sao Tome and Principe")</f>
        <v>Sao Tome and Principe</v>
      </c>
      <c r="D13709">
        <f>IFERROR(__xludf.DUMMYFUNCTION("""COMPUTED_VALUE"""),2005.0)</f>
        <v>2005</v>
      </c>
      <c r="E13709">
        <f>IFERROR(__xludf.DUMMYFUNCTION("""COMPUTED_VALUE"""),155630.0)</f>
        <v>155630</v>
      </c>
    </row>
    <row r="13710">
      <c r="A13710" t="str">
        <f t="shared" si="1"/>
        <v>stp#2006</v>
      </c>
      <c r="B13710" t="str">
        <f>IFERROR(__xludf.DUMMYFUNCTION("""COMPUTED_VALUE"""),"stp")</f>
        <v>stp</v>
      </c>
      <c r="C13710" t="str">
        <f>IFERROR(__xludf.DUMMYFUNCTION("""COMPUTED_VALUE"""),"Sao Tome and Principe")</f>
        <v>Sao Tome and Principe</v>
      </c>
      <c r="D13710">
        <f>IFERROR(__xludf.DUMMYFUNCTION("""COMPUTED_VALUE"""),2006.0)</f>
        <v>2006</v>
      </c>
      <c r="E13710">
        <f>IFERROR(__xludf.DUMMYFUNCTION("""COMPUTED_VALUE"""),159328.0)</f>
        <v>159328</v>
      </c>
    </row>
    <row r="13711">
      <c r="A13711" t="str">
        <f t="shared" si="1"/>
        <v>stp#2007</v>
      </c>
      <c r="B13711" t="str">
        <f>IFERROR(__xludf.DUMMYFUNCTION("""COMPUTED_VALUE"""),"stp")</f>
        <v>stp</v>
      </c>
      <c r="C13711" t="str">
        <f>IFERROR(__xludf.DUMMYFUNCTION("""COMPUTED_VALUE"""),"Sao Tome and Principe")</f>
        <v>Sao Tome and Principe</v>
      </c>
      <c r="D13711">
        <f>IFERROR(__xludf.DUMMYFUNCTION("""COMPUTED_VALUE"""),2007.0)</f>
        <v>2007</v>
      </c>
      <c r="E13711">
        <f>IFERROR(__xludf.DUMMYFUNCTION("""COMPUTED_VALUE"""),163101.0)</f>
        <v>163101</v>
      </c>
    </row>
    <row r="13712">
      <c r="A13712" t="str">
        <f t="shared" si="1"/>
        <v>stp#2008</v>
      </c>
      <c r="B13712" t="str">
        <f>IFERROR(__xludf.DUMMYFUNCTION("""COMPUTED_VALUE"""),"stp")</f>
        <v>stp</v>
      </c>
      <c r="C13712" t="str">
        <f>IFERROR(__xludf.DUMMYFUNCTION("""COMPUTED_VALUE"""),"Sao Tome and Principe")</f>
        <v>Sao Tome and Principe</v>
      </c>
      <c r="D13712">
        <f>IFERROR(__xludf.DUMMYFUNCTION("""COMPUTED_VALUE"""),2008.0)</f>
        <v>2008</v>
      </c>
      <c r="E13712">
        <f>IFERROR(__xludf.DUMMYFUNCTION("""COMPUTED_VALUE"""),166913.0)</f>
        <v>166913</v>
      </c>
    </row>
    <row r="13713">
      <c r="A13713" t="str">
        <f t="shared" si="1"/>
        <v>stp#2009</v>
      </c>
      <c r="B13713" t="str">
        <f>IFERROR(__xludf.DUMMYFUNCTION("""COMPUTED_VALUE"""),"stp")</f>
        <v>stp</v>
      </c>
      <c r="C13713" t="str">
        <f>IFERROR(__xludf.DUMMYFUNCTION("""COMPUTED_VALUE"""),"Sao Tome and Principe")</f>
        <v>Sao Tome and Principe</v>
      </c>
      <c r="D13713">
        <f>IFERROR(__xludf.DUMMYFUNCTION("""COMPUTED_VALUE"""),2009.0)</f>
        <v>2009</v>
      </c>
      <c r="E13713">
        <f>IFERROR(__xludf.DUMMYFUNCTION("""COMPUTED_VALUE"""),170813.0)</f>
        <v>170813</v>
      </c>
    </row>
    <row r="13714">
      <c r="A13714" t="str">
        <f t="shared" si="1"/>
        <v>stp#2010</v>
      </c>
      <c r="B13714" t="str">
        <f>IFERROR(__xludf.DUMMYFUNCTION("""COMPUTED_VALUE"""),"stp")</f>
        <v>stp</v>
      </c>
      <c r="C13714" t="str">
        <f>IFERROR(__xludf.DUMMYFUNCTION("""COMPUTED_VALUE"""),"Sao Tome and Principe")</f>
        <v>Sao Tome and Principe</v>
      </c>
      <c r="D13714">
        <f>IFERROR(__xludf.DUMMYFUNCTION("""COMPUTED_VALUE"""),2010.0)</f>
        <v>2010</v>
      </c>
      <c r="E13714">
        <f>IFERROR(__xludf.DUMMYFUNCTION("""COMPUTED_VALUE"""),174776.0)</f>
        <v>174776</v>
      </c>
    </row>
    <row r="13715">
      <c r="A13715" t="str">
        <f t="shared" si="1"/>
        <v>stp#2011</v>
      </c>
      <c r="B13715" t="str">
        <f>IFERROR(__xludf.DUMMYFUNCTION("""COMPUTED_VALUE"""),"stp")</f>
        <v>stp</v>
      </c>
      <c r="C13715" t="str">
        <f>IFERROR(__xludf.DUMMYFUNCTION("""COMPUTED_VALUE"""),"Sao Tome and Principe")</f>
        <v>Sao Tome and Principe</v>
      </c>
      <c r="D13715">
        <f>IFERROR(__xludf.DUMMYFUNCTION("""COMPUTED_VALUE"""),2011.0)</f>
        <v>2011</v>
      </c>
      <c r="E13715">
        <f>IFERROR(__xludf.DUMMYFUNCTION("""COMPUTED_VALUE"""),178800.0)</f>
        <v>178800</v>
      </c>
    </row>
    <row r="13716">
      <c r="A13716" t="str">
        <f t="shared" si="1"/>
        <v>stp#2012</v>
      </c>
      <c r="B13716" t="str">
        <f>IFERROR(__xludf.DUMMYFUNCTION("""COMPUTED_VALUE"""),"stp")</f>
        <v>stp</v>
      </c>
      <c r="C13716" t="str">
        <f>IFERROR(__xludf.DUMMYFUNCTION("""COMPUTED_VALUE"""),"Sao Tome and Principe")</f>
        <v>Sao Tome and Principe</v>
      </c>
      <c r="D13716">
        <f>IFERROR(__xludf.DUMMYFUNCTION("""COMPUTED_VALUE"""),2012.0)</f>
        <v>2012</v>
      </c>
      <c r="E13716">
        <f>IFERROR(__xludf.DUMMYFUNCTION("""COMPUTED_VALUE"""),182889.0)</f>
        <v>182889</v>
      </c>
    </row>
    <row r="13717">
      <c r="A13717" t="str">
        <f t="shared" si="1"/>
        <v>stp#2013</v>
      </c>
      <c r="B13717" t="str">
        <f>IFERROR(__xludf.DUMMYFUNCTION("""COMPUTED_VALUE"""),"stp")</f>
        <v>stp</v>
      </c>
      <c r="C13717" t="str">
        <f>IFERROR(__xludf.DUMMYFUNCTION("""COMPUTED_VALUE"""),"Sao Tome and Principe")</f>
        <v>Sao Tome and Principe</v>
      </c>
      <c r="D13717">
        <f>IFERROR(__xludf.DUMMYFUNCTION("""COMPUTED_VALUE"""),2013.0)</f>
        <v>2013</v>
      </c>
      <c r="E13717">
        <f>IFERROR(__xludf.DUMMYFUNCTION("""COMPUTED_VALUE"""),187045.0)</f>
        <v>187045</v>
      </c>
    </row>
    <row r="13718">
      <c r="A13718" t="str">
        <f t="shared" si="1"/>
        <v>stp#2014</v>
      </c>
      <c r="B13718" t="str">
        <f>IFERROR(__xludf.DUMMYFUNCTION("""COMPUTED_VALUE"""),"stp")</f>
        <v>stp</v>
      </c>
      <c r="C13718" t="str">
        <f>IFERROR(__xludf.DUMMYFUNCTION("""COMPUTED_VALUE"""),"Sao Tome and Principe")</f>
        <v>Sao Tome and Principe</v>
      </c>
      <c r="D13718">
        <f>IFERROR(__xludf.DUMMYFUNCTION("""COMPUTED_VALUE"""),2014.0)</f>
        <v>2014</v>
      </c>
      <c r="E13718">
        <f>IFERROR(__xludf.DUMMYFUNCTION("""COMPUTED_VALUE"""),191266.0)</f>
        <v>191266</v>
      </c>
    </row>
    <row r="13719">
      <c r="A13719" t="str">
        <f t="shared" si="1"/>
        <v>stp#2015</v>
      </c>
      <c r="B13719" t="str">
        <f>IFERROR(__xludf.DUMMYFUNCTION("""COMPUTED_VALUE"""),"stp")</f>
        <v>stp</v>
      </c>
      <c r="C13719" t="str">
        <f>IFERROR(__xludf.DUMMYFUNCTION("""COMPUTED_VALUE"""),"Sao Tome and Principe")</f>
        <v>Sao Tome and Principe</v>
      </c>
      <c r="D13719">
        <f>IFERROR(__xludf.DUMMYFUNCTION("""COMPUTED_VALUE"""),2015.0)</f>
        <v>2015</v>
      </c>
      <c r="E13719">
        <f>IFERROR(__xludf.DUMMYFUNCTION("""COMPUTED_VALUE"""),195553.0)</f>
        <v>195553</v>
      </c>
    </row>
    <row r="13720">
      <c r="A13720" t="str">
        <f t="shared" si="1"/>
        <v>stp#2016</v>
      </c>
      <c r="B13720" t="str">
        <f>IFERROR(__xludf.DUMMYFUNCTION("""COMPUTED_VALUE"""),"stp")</f>
        <v>stp</v>
      </c>
      <c r="C13720" t="str">
        <f>IFERROR(__xludf.DUMMYFUNCTION("""COMPUTED_VALUE"""),"Sao Tome and Principe")</f>
        <v>Sao Tome and Principe</v>
      </c>
      <c r="D13720">
        <f>IFERROR(__xludf.DUMMYFUNCTION("""COMPUTED_VALUE"""),2016.0)</f>
        <v>2016</v>
      </c>
      <c r="E13720">
        <f>IFERROR(__xludf.DUMMYFUNCTION("""COMPUTED_VALUE"""),199910.0)</f>
        <v>199910</v>
      </c>
    </row>
    <row r="13721">
      <c r="A13721" t="str">
        <f t="shared" si="1"/>
        <v>stp#2017</v>
      </c>
      <c r="B13721" t="str">
        <f>IFERROR(__xludf.DUMMYFUNCTION("""COMPUTED_VALUE"""),"stp")</f>
        <v>stp</v>
      </c>
      <c r="C13721" t="str">
        <f>IFERROR(__xludf.DUMMYFUNCTION("""COMPUTED_VALUE"""),"Sao Tome and Principe")</f>
        <v>Sao Tome and Principe</v>
      </c>
      <c r="D13721">
        <f>IFERROR(__xludf.DUMMYFUNCTION("""COMPUTED_VALUE"""),2017.0)</f>
        <v>2017</v>
      </c>
      <c r="E13721">
        <f>IFERROR(__xludf.DUMMYFUNCTION("""COMPUTED_VALUE"""),204327.0)</f>
        <v>204327</v>
      </c>
    </row>
    <row r="13722">
      <c r="A13722" t="str">
        <f t="shared" si="1"/>
        <v>stp#2018</v>
      </c>
      <c r="B13722" t="str">
        <f>IFERROR(__xludf.DUMMYFUNCTION("""COMPUTED_VALUE"""),"stp")</f>
        <v>stp</v>
      </c>
      <c r="C13722" t="str">
        <f>IFERROR(__xludf.DUMMYFUNCTION("""COMPUTED_VALUE"""),"Sao Tome and Principe")</f>
        <v>Sao Tome and Principe</v>
      </c>
      <c r="D13722">
        <f>IFERROR(__xludf.DUMMYFUNCTION("""COMPUTED_VALUE"""),2018.0)</f>
        <v>2018</v>
      </c>
      <c r="E13722">
        <f>IFERROR(__xludf.DUMMYFUNCTION("""COMPUTED_VALUE"""),208818.0)</f>
        <v>208818</v>
      </c>
    </row>
    <row r="13723">
      <c r="A13723" t="str">
        <f t="shared" si="1"/>
        <v>stp#2019</v>
      </c>
      <c r="B13723" t="str">
        <f>IFERROR(__xludf.DUMMYFUNCTION("""COMPUTED_VALUE"""),"stp")</f>
        <v>stp</v>
      </c>
      <c r="C13723" t="str">
        <f>IFERROR(__xludf.DUMMYFUNCTION("""COMPUTED_VALUE"""),"Sao Tome and Principe")</f>
        <v>Sao Tome and Principe</v>
      </c>
      <c r="D13723">
        <f>IFERROR(__xludf.DUMMYFUNCTION("""COMPUTED_VALUE"""),2019.0)</f>
        <v>2019</v>
      </c>
      <c r="E13723">
        <f>IFERROR(__xludf.DUMMYFUNCTION("""COMPUTED_VALUE"""),213379.0)</f>
        <v>213379</v>
      </c>
    </row>
    <row r="13724">
      <c r="A13724" t="str">
        <f t="shared" si="1"/>
        <v>stp#2020</v>
      </c>
      <c r="B13724" t="str">
        <f>IFERROR(__xludf.DUMMYFUNCTION("""COMPUTED_VALUE"""),"stp")</f>
        <v>stp</v>
      </c>
      <c r="C13724" t="str">
        <f>IFERROR(__xludf.DUMMYFUNCTION("""COMPUTED_VALUE"""),"Sao Tome and Principe")</f>
        <v>Sao Tome and Principe</v>
      </c>
      <c r="D13724">
        <f>IFERROR(__xludf.DUMMYFUNCTION("""COMPUTED_VALUE"""),2020.0)</f>
        <v>2020</v>
      </c>
      <c r="E13724">
        <f>IFERROR(__xludf.DUMMYFUNCTION("""COMPUTED_VALUE"""),218011.0)</f>
        <v>218011</v>
      </c>
    </row>
    <row r="13725">
      <c r="A13725" t="str">
        <f t="shared" si="1"/>
        <v>stp#2021</v>
      </c>
      <c r="B13725" t="str">
        <f>IFERROR(__xludf.DUMMYFUNCTION("""COMPUTED_VALUE"""),"stp")</f>
        <v>stp</v>
      </c>
      <c r="C13725" t="str">
        <f>IFERROR(__xludf.DUMMYFUNCTION("""COMPUTED_VALUE"""),"Sao Tome and Principe")</f>
        <v>Sao Tome and Principe</v>
      </c>
      <c r="D13725">
        <f>IFERROR(__xludf.DUMMYFUNCTION("""COMPUTED_VALUE"""),2021.0)</f>
        <v>2021</v>
      </c>
      <c r="E13725">
        <f>IFERROR(__xludf.DUMMYFUNCTION("""COMPUTED_VALUE"""),222718.0)</f>
        <v>222718</v>
      </c>
    </row>
    <row r="13726">
      <c r="A13726" t="str">
        <f t="shared" si="1"/>
        <v>stp#2022</v>
      </c>
      <c r="B13726" t="str">
        <f>IFERROR(__xludf.DUMMYFUNCTION("""COMPUTED_VALUE"""),"stp")</f>
        <v>stp</v>
      </c>
      <c r="C13726" t="str">
        <f>IFERROR(__xludf.DUMMYFUNCTION("""COMPUTED_VALUE"""),"Sao Tome and Principe")</f>
        <v>Sao Tome and Principe</v>
      </c>
      <c r="D13726">
        <f>IFERROR(__xludf.DUMMYFUNCTION("""COMPUTED_VALUE"""),2022.0)</f>
        <v>2022</v>
      </c>
      <c r="E13726">
        <f>IFERROR(__xludf.DUMMYFUNCTION("""COMPUTED_VALUE"""),227489.0)</f>
        <v>227489</v>
      </c>
    </row>
    <row r="13727">
      <c r="A13727" t="str">
        <f t="shared" si="1"/>
        <v>stp#2023</v>
      </c>
      <c r="B13727" t="str">
        <f>IFERROR(__xludf.DUMMYFUNCTION("""COMPUTED_VALUE"""),"stp")</f>
        <v>stp</v>
      </c>
      <c r="C13727" t="str">
        <f>IFERROR(__xludf.DUMMYFUNCTION("""COMPUTED_VALUE"""),"Sao Tome and Principe")</f>
        <v>Sao Tome and Principe</v>
      </c>
      <c r="D13727">
        <f>IFERROR(__xludf.DUMMYFUNCTION("""COMPUTED_VALUE"""),2023.0)</f>
        <v>2023</v>
      </c>
      <c r="E13727">
        <f>IFERROR(__xludf.DUMMYFUNCTION("""COMPUTED_VALUE"""),232342.0)</f>
        <v>232342</v>
      </c>
    </row>
    <row r="13728">
      <c r="A13728" t="str">
        <f t="shared" si="1"/>
        <v>stp#2024</v>
      </c>
      <c r="B13728" t="str">
        <f>IFERROR(__xludf.DUMMYFUNCTION("""COMPUTED_VALUE"""),"stp")</f>
        <v>stp</v>
      </c>
      <c r="C13728" t="str">
        <f>IFERROR(__xludf.DUMMYFUNCTION("""COMPUTED_VALUE"""),"Sao Tome and Principe")</f>
        <v>Sao Tome and Principe</v>
      </c>
      <c r="D13728">
        <f>IFERROR(__xludf.DUMMYFUNCTION("""COMPUTED_VALUE"""),2024.0)</f>
        <v>2024</v>
      </c>
      <c r="E13728">
        <f>IFERROR(__xludf.DUMMYFUNCTION("""COMPUTED_VALUE"""),237266.0)</f>
        <v>237266</v>
      </c>
    </row>
    <row r="13729">
      <c r="A13729" t="str">
        <f t="shared" si="1"/>
        <v>stp#2025</v>
      </c>
      <c r="B13729" t="str">
        <f>IFERROR(__xludf.DUMMYFUNCTION("""COMPUTED_VALUE"""),"stp")</f>
        <v>stp</v>
      </c>
      <c r="C13729" t="str">
        <f>IFERROR(__xludf.DUMMYFUNCTION("""COMPUTED_VALUE"""),"Sao Tome and Principe")</f>
        <v>Sao Tome and Principe</v>
      </c>
      <c r="D13729">
        <f>IFERROR(__xludf.DUMMYFUNCTION("""COMPUTED_VALUE"""),2025.0)</f>
        <v>2025</v>
      </c>
      <c r="E13729">
        <f>IFERROR(__xludf.DUMMYFUNCTION("""COMPUTED_VALUE"""),242282.0)</f>
        <v>242282</v>
      </c>
    </row>
    <row r="13730">
      <c r="A13730" t="str">
        <f t="shared" si="1"/>
        <v>stp#2026</v>
      </c>
      <c r="B13730" t="str">
        <f>IFERROR(__xludf.DUMMYFUNCTION("""COMPUTED_VALUE"""),"stp")</f>
        <v>stp</v>
      </c>
      <c r="C13730" t="str">
        <f>IFERROR(__xludf.DUMMYFUNCTION("""COMPUTED_VALUE"""),"Sao Tome and Principe")</f>
        <v>Sao Tome and Principe</v>
      </c>
      <c r="D13730">
        <f>IFERROR(__xludf.DUMMYFUNCTION("""COMPUTED_VALUE"""),2026.0)</f>
        <v>2026</v>
      </c>
      <c r="E13730">
        <f>IFERROR(__xludf.DUMMYFUNCTION("""COMPUTED_VALUE"""),247375.0)</f>
        <v>247375</v>
      </c>
    </row>
    <row r="13731">
      <c r="A13731" t="str">
        <f t="shared" si="1"/>
        <v>stp#2027</v>
      </c>
      <c r="B13731" t="str">
        <f>IFERROR(__xludf.DUMMYFUNCTION("""COMPUTED_VALUE"""),"stp")</f>
        <v>stp</v>
      </c>
      <c r="C13731" t="str">
        <f>IFERROR(__xludf.DUMMYFUNCTION("""COMPUTED_VALUE"""),"Sao Tome and Principe")</f>
        <v>Sao Tome and Principe</v>
      </c>
      <c r="D13731">
        <f>IFERROR(__xludf.DUMMYFUNCTION("""COMPUTED_VALUE"""),2027.0)</f>
        <v>2027</v>
      </c>
      <c r="E13731">
        <f>IFERROR(__xludf.DUMMYFUNCTION("""COMPUTED_VALUE"""),252551.0)</f>
        <v>252551</v>
      </c>
    </row>
    <row r="13732">
      <c r="A13732" t="str">
        <f t="shared" si="1"/>
        <v>stp#2028</v>
      </c>
      <c r="B13732" t="str">
        <f>IFERROR(__xludf.DUMMYFUNCTION("""COMPUTED_VALUE"""),"stp")</f>
        <v>stp</v>
      </c>
      <c r="C13732" t="str">
        <f>IFERROR(__xludf.DUMMYFUNCTION("""COMPUTED_VALUE"""),"Sao Tome and Principe")</f>
        <v>Sao Tome and Principe</v>
      </c>
      <c r="D13732">
        <f>IFERROR(__xludf.DUMMYFUNCTION("""COMPUTED_VALUE"""),2028.0)</f>
        <v>2028</v>
      </c>
      <c r="E13732">
        <f>IFERROR(__xludf.DUMMYFUNCTION("""COMPUTED_VALUE"""),257802.0)</f>
        <v>257802</v>
      </c>
    </row>
    <row r="13733">
      <c r="A13733" t="str">
        <f t="shared" si="1"/>
        <v>stp#2029</v>
      </c>
      <c r="B13733" t="str">
        <f>IFERROR(__xludf.DUMMYFUNCTION("""COMPUTED_VALUE"""),"stp")</f>
        <v>stp</v>
      </c>
      <c r="C13733" t="str">
        <f>IFERROR(__xludf.DUMMYFUNCTION("""COMPUTED_VALUE"""),"Sao Tome and Principe")</f>
        <v>Sao Tome and Principe</v>
      </c>
      <c r="D13733">
        <f>IFERROR(__xludf.DUMMYFUNCTION("""COMPUTED_VALUE"""),2029.0)</f>
        <v>2029</v>
      </c>
      <c r="E13733">
        <f>IFERROR(__xludf.DUMMYFUNCTION("""COMPUTED_VALUE"""),263107.0)</f>
        <v>263107</v>
      </c>
    </row>
    <row r="13734">
      <c r="A13734" t="str">
        <f t="shared" si="1"/>
        <v>stp#2030</v>
      </c>
      <c r="B13734" t="str">
        <f>IFERROR(__xludf.DUMMYFUNCTION("""COMPUTED_VALUE"""),"stp")</f>
        <v>stp</v>
      </c>
      <c r="C13734" t="str">
        <f>IFERROR(__xludf.DUMMYFUNCTION("""COMPUTED_VALUE"""),"Sao Tome and Principe")</f>
        <v>Sao Tome and Principe</v>
      </c>
      <c r="D13734">
        <f>IFERROR(__xludf.DUMMYFUNCTION("""COMPUTED_VALUE"""),2030.0)</f>
        <v>2030</v>
      </c>
      <c r="E13734">
        <f>IFERROR(__xludf.DUMMYFUNCTION("""COMPUTED_VALUE"""),268471.0)</f>
        <v>268471</v>
      </c>
    </row>
    <row r="13735">
      <c r="A13735" t="str">
        <f t="shared" si="1"/>
        <v>stp#2031</v>
      </c>
      <c r="B13735" t="str">
        <f>IFERROR(__xludf.DUMMYFUNCTION("""COMPUTED_VALUE"""),"stp")</f>
        <v>stp</v>
      </c>
      <c r="C13735" t="str">
        <f>IFERROR(__xludf.DUMMYFUNCTION("""COMPUTED_VALUE"""),"Sao Tome and Principe")</f>
        <v>Sao Tome and Principe</v>
      </c>
      <c r="D13735">
        <f>IFERROR(__xludf.DUMMYFUNCTION("""COMPUTED_VALUE"""),2031.0)</f>
        <v>2031</v>
      </c>
      <c r="E13735">
        <f>IFERROR(__xludf.DUMMYFUNCTION("""COMPUTED_VALUE"""),273872.0)</f>
        <v>273872</v>
      </c>
    </row>
    <row r="13736">
      <c r="A13736" t="str">
        <f t="shared" si="1"/>
        <v>stp#2032</v>
      </c>
      <c r="B13736" t="str">
        <f>IFERROR(__xludf.DUMMYFUNCTION("""COMPUTED_VALUE"""),"stp")</f>
        <v>stp</v>
      </c>
      <c r="C13736" t="str">
        <f>IFERROR(__xludf.DUMMYFUNCTION("""COMPUTED_VALUE"""),"Sao Tome and Principe")</f>
        <v>Sao Tome and Principe</v>
      </c>
      <c r="D13736">
        <f>IFERROR(__xludf.DUMMYFUNCTION("""COMPUTED_VALUE"""),2032.0)</f>
        <v>2032</v>
      </c>
      <c r="E13736">
        <f>IFERROR(__xludf.DUMMYFUNCTION("""COMPUTED_VALUE"""),279317.0)</f>
        <v>279317</v>
      </c>
    </row>
    <row r="13737">
      <c r="A13737" t="str">
        <f t="shared" si="1"/>
        <v>stp#2033</v>
      </c>
      <c r="B13737" t="str">
        <f>IFERROR(__xludf.DUMMYFUNCTION("""COMPUTED_VALUE"""),"stp")</f>
        <v>stp</v>
      </c>
      <c r="C13737" t="str">
        <f>IFERROR(__xludf.DUMMYFUNCTION("""COMPUTED_VALUE"""),"Sao Tome and Principe")</f>
        <v>Sao Tome and Principe</v>
      </c>
      <c r="D13737">
        <f>IFERROR(__xludf.DUMMYFUNCTION("""COMPUTED_VALUE"""),2033.0)</f>
        <v>2033</v>
      </c>
      <c r="E13737">
        <f>IFERROR(__xludf.DUMMYFUNCTION("""COMPUTED_VALUE"""),284804.0)</f>
        <v>284804</v>
      </c>
    </row>
    <row r="13738">
      <c r="A13738" t="str">
        <f t="shared" si="1"/>
        <v>stp#2034</v>
      </c>
      <c r="B13738" t="str">
        <f>IFERROR(__xludf.DUMMYFUNCTION("""COMPUTED_VALUE"""),"stp")</f>
        <v>stp</v>
      </c>
      <c r="C13738" t="str">
        <f>IFERROR(__xludf.DUMMYFUNCTION("""COMPUTED_VALUE"""),"Sao Tome and Principe")</f>
        <v>Sao Tome and Principe</v>
      </c>
      <c r="D13738">
        <f>IFERROR(__xludf.DUMMYFUNCTION("""COMPUTED_VALUE"""),2034.0)</f>
        <v>2034</v>
      </c>
      <c r="E13738">
        <f>IFERROR(__xludf.DUMMYFUNCTION("""COMPUTED_VALUE"""),290321.0)</f>
        <v>290321</v>
      </c>
    </row>
    <row r="13739">
      <c r="A13739" t="str">
        <f t="shared" si="1"/>
        <v>stp#2035</v>
      </c>
      <c r="B13739" t="str">
        <f>IFERROR(__xludf.DUMMYFUNCTION("""COMPUTED_VALUE"""),"stp")</f>
        <v>stp</v>
      </c>
      <c r="C13739" t="str">
        <f>IFERROR(__xludf.DUMMYFUNCTION("""COMPUTED_VALUE"""),"Sao Tome and Principe")</f>
        <v>Sao Tome and Principe</v>
      </c>
      <c r="D13739">
        <f>IFERROR(__xludf.DUMMYFUNCTION("""COMPUTED_VALUE"""),2035.0)</f>
        <v>2035</v>
      </c>
      <c r="E13739">
        <f>IFERROR(__xludf.DUMMYFUNCTION("""COMPUTED_VALUE"""),295864.0)</f>
        <v>295864</v>
      </c>
    </row>
    <row r="13740">
      <c r="A13740" t="str">
        <f t="shared" si="1"/>
        <v>stp#2036</v>
      </c>
      <c r="B13740" t="str">
        <f>IFERROR(__xludf.DUMMYFUNCTION("""COMPUTED_VALUE"""),"stp")</f>
        <v>stp</v>
      </c>
      <c r="C13740" t="str">
        <f>IFERROR(__xludf.DUMMYFUNCTION("""COMPUTED_VALUE"""),"Sao Tome and Principe")</f>
        <v>Sao Tome and Principe</v>
      </c>
      <c r="D13740">
        <f>IFERROR(__xludf.DUMMYFUNCTION("""COMPUTED_VALUE"""),2036.0)</f>
        <v>2036</v>
      </c>
      <c r="E13740">
        <f>IFERROR(__xludf.DUMMYFUNCTION("""COMPUTED_VALUE"""),301424.0)</f>
        <v>301424</v>
      </c>
    </row>
    <row r="13741">
      <c r="A13741" t="str">
        <f t="shared" si="1"/>
        <v>stp#2037</v>
      </c>
      <c r="B13741" t="str">
        <f>IFERROR(__xludf.DUMMYFUNCTION("""COMPUTED_VALUE"""),"stp")</f>
        <v>stp</v>
      </c>
      <c r="C13741" t="str">
        <f>IFERROR(__xludf.DUMMYFUNCTION("""COMPUTED_VALUE"""),"Sao Tome and Principe")</f>
        <v>Sao Tome and Principe</v>
      </c>
      <c r="D13741">
        <f>IFERROR(__xludf.DUMMYFUNCTION("""COMPUTED_VALUE"""),2037.0)</f>
        <v>2037</v>
      </c>
      <c r="E13741">
        <f>IFERROR(__xludf.DUMMYFUNCTION("""COMPUTED_VALUE"""),307000.0)</f>
        <v>307000</v>
      </c>
    </row>
    <row r="13742">
      <c r="A13742" t="str">
        <f t="shared" si="1"/>
        <v>stp#2038</v>
      </c>
      <c r="B13742" t="str">
        <f>IFERROR(__xludf.DUMMYFUNCTION("""COMPUTED_VALUE"""),"stp")</f>
        <v>stp</v>
      </c>
      <c r="C13742" t="str">
        <f>IFERROR(__xludf.DUMMYFUNCTION("""COMPUTED_VALUE"""),"Sao Tome and Principe")</f>
        <v>Sao Tome and Principe</v>
      </c>
      <c r="D13742">
        <f>IFERROR(__xludf.DUMMYFUNCTION("""COMPUTED_VALUE"""),2038.0)</f>
        <v>2038</v>
      </c>
      <c r="E13742">
        <f>IFERROR(__xludf.DUMMYFUNCTION("""COMPUTED_VALUE"""),312597.0)</f>
        <v>312597</v>
      </c>
    </row>
    <row r="13743">
      <c r="A13743" t="str">
        <f t="shared" si="1"/>
        <v>stp#2039</v>
      </c>
      <c r="B13743" t="str">
        <f>IFERROR(__xludf.DUMMYFUNCTION("""COMPUTED_VALUE"""),"stp")</f>
        <v>stp</v>
      </c>
      <c r="C13743" t="str">
        <f>IFERROR(__xludf.DUMMYFUNCTION("""COMPUTED_VALUE"""),"Sao Tome and Principe")</f>
        <v>Sao Tome and Principe</v>
      </c>
      <c r="D13743">
        <f>IFERROR(__xludf.DUMMYFUNCTION("""COMPUTED_VALUE"""),2039.0)</f>
        <v>2039</v>
      </c>
      <c r="E13743">
        <f>IFERROR(__xludf.DUMMYFUNCTION("""COMPUTED_VALUE"""),318201.0)</f>
        <v>318201</v>
      </c>
    </row>
    <row r="13744">
      <c r="A13744" t="str">
        <f t="shared" si="1"/>
        <v>stp#2040</v>
      </c>
      <c r="B13744" t="str">
        <f>IFERROR(__xludf.DUMMYFUNCTION("""COMPUTED_VALUE"""),"stp")</f>
        <v>stp</v>
      </c>
      <c r="C13744" t="str">
        <f>IFERROR(__xludf.DUMMYFUNCTION("""COMPUTED_VALUE"""),"Sao Tome and Principe")</f>
        <v>Sao Tome and Principe</v>
      </c>
      <c r="D13744">
        <f>IFERROR(__xludf.DUMMYFUNCTION("""COMPUTED_VALUE"""),2040.0)</f>
        <v>2040</v>
      </c>
      <c r="E13744">
        <f>IFERROR(__xludf.DUMMYFUNCTION("""COMPUTED_VALUE"""),323814.0)</f>
        <v>323814</v>
      </c>
    </row>
    <row r="13745">
      <c r="A13745" t="str">
        <f t="shared" si="1"/>
        <v>sau#1950</v>
      </c>
      <c r="B13745" t="str">
        <f>IFERROR(__xludf.DUMMYFUNCTION("""COMPUTED_VALUE"""),"sau")</f>
        <v>sau</v>
      </c>
      <c r="C13745" t="str">
        <f>IFERROR(__xludf.DUMMYFUNCTION("""COMPUTED_VALUE"""),"Saudi Arabia")</f>
        <v>Saudi Arabia</v>
      </c>
      <c r="D13745">
        <f>IFERROR(__xludf.DUMMYFUNCTION("""COMPUTED_VALUE"""),1950.0)</f>
        <v>1950</v>
      </c>
      <c r="E13745">
        <f>IFERROR(__xludf.DUMMYFUNCTION("""COMPUTED_VALUE"""),3121335.0)</f>
        <v>3121335</v>
      </c>
    </row>
    <row r="13746">
      <c r="A13746" t="str">
        <f t="shared" si="1"/>
        <v>sau#1951</v>
      </c>
      <c r="B13746" t="str">
        <f>IFERROR(__xludf.DUMMYFUNCTION("""COMPUTED_VALUE"""),"sau")</f>
        <v>sau</v>
      </c>
      <c r="C13746" t="str">
        <f>IFERROR(__xludf.DUMMYFUNCTION("""COMPUTED_VALUE"""),"Saudi Arabia")</f>
        <v>Saudi Arabia</v>
      </c>
      <c r="D13746">
        <f>IFERROR(__xludf.DUMMYFUNCTION("""COMPUTED_VALUE"""),1951.0)</f>
        <v>1951</v>
      </c>
      <c r="E13746">
        <f>IFERROR(__xludf.DUMMYFUNCTION("""COMPUTED_VALUE"""),3198551.0)</f>
        <v>3198551</v>
      </c>
    </row>
    <row r="13747">
      <c r="A13747" t="str">
        <f t="shared" si="1"/>
        <v>sau#1952</v>
      </c>
      <c r="B13747" t="str">
        <f>IFERROR(__xludf.DUMMYFUNCTION("""COMPUTED_VALUE"""),"sau")</f>
        <v>sau</v>
      </c>
      <c r="C13747" t="str">
        <f>IFERROR(__xludf.DUMMYFUNCTION("""COMPUTED_VALUE"""),"Saudi Arabia")</f>
        <v>Saudi Arabia</v>
      </c>
      <c r="D13747">
        <f>IFERROR(__xludf.DUMMYFUNCTION("""COMPUTED_VALUE"""),1952.0)</f>
        <v>1952</v>
      </c>
      <c r="E13747">
        <f>IFERROR(__xludf.DUMMYFUNCTION("""COMPUTED_VALUE"""),3283300.0)</f>
        <v>3283300</v>
      </c>
    </row>
    <row r="13748">
      <c r="A13748" t="str">
        <f t="shared" si="1"/>
        <v>sau#1953</v>
      </c>
      <c r="B13748" t="str">
        <f>IFERROR(__xludf.DUMMYFUNCTION("""COMPUTED_VALUE"""),"sau")</f>
        <v>sau</v>
      </c>
      <c r="C13748" t="str">
        <f>IFERROR(__xludf.DUMMYFUNCTION("""COMPUTED_VALUE"""),"Saudi Arabia")</f>
        <v>Saudi Arabia</v>
      </c>
      <c r="D13748">
        <f>IFERROR(__xludf.DUMMYFUNCTION("""COMPUTED_VALUE"""),1953.0)</f>
        <v>1953</v>
      </c>
      <c r="E13748">
        <f>IFERROR(__xludf.DUMMYFUNCTION("""COMPUTED_VALUE"""),3372617.0)</f>
        <v>3372617</v>
      </c>
    </row>
    <row r="13749">
      <c r="A13749" t="str">
        <f t="shared" si="1"/>
        <v>sau#1954</v>
      </c>
      <c r="B13749" t="str">
        <f>IFERROR(__xludf.DUMMYFUNCTION("""COMPUTED_VALUE"""),"sau")</f>
        <v>sau</v>
      </c>
      <c r="C13749" t="str">
        <f>IFERROR(__xludf.DUMMYFUNCTION("""COMPUTED_VALUE"""),"Saudi Arabia")</f>
        <v>Saudi Arabia</v>
      </c>
      <c r="D13749">
        <f>IFERROR(__xludf.DUMMYFUNCTION("""COMPUTED_VALUE"""),1954.0)</f>
        <v>1954</v>
      </c>
      <c r="E13749">
        <f>IFERROR(__xludf.DUMMYFUNCTION("""COMPUTED_VALUE"""),3464552.0)</f>
        <v>3464552</v>
      </c>
    </row>
    <row r="13750">
      <c r="A13750" t="str">
        <f t="shared" si="1"/>
        <v>sau#1955</v>
      </c>
      <c r="B13750" t="str">
        <f>IFERROR(__xludf.DUMMYFUNCTION("""COMPUTED_VALUE"""),"sau")</f>
        <v>sau</v>
      </c>
      <c r="C13750" t="str">
        <f>IFERROR(__xludf.DUMMYFUNCTION("""COMPUTED_VALUE"""),"Saudi Arabia")</f>
        <v>Saudi Arabia</v>
      </c>
      <c r="D13750">
        <f>IFERROR(__xludf.DUMMYFUNCTION("""COMPUTED_VALUE"""),1955.0)</f>
        <v>1955</v>
      </c>
      <c r="E13750">
        <f>IFERROR(__xludf.DUMMYFUNCTION("""COMPUTED_VALUE"""),3558155.0)</f>
        <v>3558155</v>
      </c>
    </row>
    <row r="13751">
      <c r="A13751" t="str">
        <f t="shared" si="1"/>
        <v>sau#1956</v>
      </c>
      <c r="B13751" t="str">
        <f>IFERROR(__xludf.DUMMYFUNCTION("""COMPUTED_VALUE"""),"sau")</f>
        <v>sau</v>
      </c>
      <c r="C13751" t="str">
        <f>IFERROR(__xludf.DUMMYFUNCTION("""COMPUTED_VALUE"""),"Saudi Arabia")</f>
        <v>Saudi Arabia</v>
      </c>
      <c r="D13751">
        <f>IFERROR(__xludf.DUMMYFUNCTION("""COMPUTED_VALUE"""),1956.0)</f>
        <v>1956</v>
      </c>
      <c r="E13751">
        <f>IFERROR(__xludf.DUMMYFUNCTION("""COMPUTED_VALUE"""),3653561.0)</f>
        <v>3653561</v>
      </c>
    </row>
    <row r="13752">
      <c r="A13752" t="str">
        <f t="shared" si="1"/>
        <v>sau#1957</v>
      </c>
      <c r="B13752" t="str">
        <f>IFERROR(__xludf.DUMMYFUNCTION("""COMPUTED_VALUE"""),"sau")</f>
        <v>sau</v>
      </c>
      <c r="C13752" t="str">
        <f>IFERROR(__xludf.DUMMYFUNCTION("""COMPUTED_VALUE"""),"Saudi Arabia")</f>
        <v>Saudi Arabia</v>
      </c>
      <c r="D13752">
        <f>IFERROR(__xludf.DUMMYFUNCTION("""COMPUTED_VALUE"""),1957.0)</f>
        <v>1957</v>
      </c>
      <c r="E13752">
        <f>IFERROR(__xludf.DUMMYFUNCTION("""COMPUTED_VALUE"""),3751875.0)</f>
        <v>3751875</v>
      </c>
    </row>
    <row r="13753">
      <c r="A13753" t="str">
        <f t="shared" si="1"/>
        <v>sau#1958</v>
      </c>
      <c r="B13753" t="str">
        <f>IFERROR(__xludf.DUMMYFUNCTION("""COMPUTED_VALUE"""),"sau")</f>
        <v>sau</v>
      </c>
      <c r="C13753" t="str">
        <f>IFERROR(__xludf.DUMMYFUNCTION("""COMPUTED_VALUE"""),"Saudi Arabia")</f>
        <v>Saudi Arabia</v>
      </c>
      <c r="D13753">
        <f>IFERROR(__xludf.DUMMYFUNCTION("""COMPUTED_VALUE"""),1958.0)</f>
        <v>1958</v>
      </c>
      <c r="E13753">
        <f>IFERROR(__xludf.DUMMYFUNCTION("""COMPUTED_VALUE"""),3855084.0)</f>
        <v>3855084</v>
      </c>
    </row>
    <row r="13754">
      <c r="A13754" t="str">
        <f t="shared" si="1"/>
        <v>sau#1959</v>
      </c>
      <c r="B13754" t="str">
        <f>IFERROR(__xludf.DUMMYFUNCTION("""COMPUTED_VALUE"""),"sau")</f>
        <v>sau</v>
      </c>
      <c r="C13754" t="str">
        <f>IFERROR(__xludf.DUMMYFUNCTION("""COMPUTED_VALUE"""),"Saudi Arabia")</f>
        <v>Saudi Arabia</v>
      </c>
      <c r="D13754">
        <f>IFERROR(__xludf.DUMMYFUNCTION("""COMPUTED_VALUE"""),1959.0)</f>
        <v>1959</v>
      </c>
      <c r="E13754">
        <f>IFERROR(__xludf.DUMMYFUNCTION("""COMPUTED_VALUE"""),3965815.0)</f>
        <v>3965815</v>
      </c>
    </row>
    <row r="13755">
      <c r="A13755" t="str">
        <f t="shared" si="1"/>
        <v>sau#1960</v>
      </c>
      <c r="B13755" t="str">
        <f>IFERROR(__xludf.DUMMYFUNCTION("""COMPUTED_VALUE"""),"sau")</f>
        <v>sau</v>
      </c>
      <c r="C13755" t="str">
        <f>IFERROR(__xludf.DUMMYFUNCTION("""COMPUTED_VALUE"""),"Saudi Arabia")</f>
        <v>Saudi Arabia</v>
      </c>
      <c r="D13755">
        <f>IFERROR(__xludf.DUMMYFUNCTION("""COMPUTED_VALUE"""),1960.0)</f>
        <v>1960</v>
      </c>
      <c r="E13755">
        <f>IFERROR(__xludf.DUMMYFUNCTION("""COMPUTED_VALUE"""),4086539.0)</f>
        <v>4086539</v>
      </c>
    </row>
    <row r="13756">
      <c r="A13756" t="str">
        <f t="shared" si="1"/>
        <v>sau#1961</v>
      </c>
      <c r="B13756" t="str">
        <f>IFERROR(__xludf.DUMMYFUNCTION("""COMPUTED_VALUE"""),"sau")</f>
        <v>sau</v>
      </c>
      <c r="C13756" t="str">
        <f>IFERROR(__xludf.DUMMYFUNCTION("""COMPUTED_VALUE"""),"Saudi Arabia")</f>
        <v>Saudi Arabia</v>
      </c>
      <c r="D13756">
        <f>IFERROR(__xludf.DUMMYFUNCTION("""COMPUTED_VALUE"""),1961.0)</f>
        <v>1961</v>
      </c>
      <c r="E13756">
        <f>IFERROR(__xludf.DUMMYFUNCTION("""COMPUTED_VALUE"""),4218879.0)</f>
        <v>4218879</v>
      </c>
    </row>
    <row r="13757">
      <c r="A13757" t="str">
        <f t="shared" si="1"/>
        <v>sau#1962</v>
      </c>
      <c r="B13757" t="str">
        <f>IFERROR(__xludf.DUMMYFUNCTION("""COMPUTED_VALUE"""),"sau")</f>
        <v>sau</v>
      </c>
      <c r="C13757" t="str">
        <f>IFERROR(__xludf.DUMMYFUNCTION("""COMPUTED_VALUE"""),"Saudi Arabia")</f>
        <v>Saudi Arabia</v>
      </c>
      <c r="D13757">
        <f>IFERROR(__xludf.DUMMYFUNCTION("""COMPUTED_VALUE"""),1962.0)</f>
        <v>1962</v>
      </c>
      <c r="E13757">
        <f>IFERROR(__xludf.DUMMYFUNCTION("""COMPUTED_VALUE"""),4362864.0)</f>
        <v>4362864</v>
      </c>
    </row>
    <row r="13758">
      <c r="A13758" t="str">
        <f t="shared" si="1"/>
        <v>sau#1963</v>
      </c>
      <c r="B13758" t="str">
        <f>IFERROR(__xludf.DUMMYFUNCTION("""COMPUTED_VALUE"""),"sau")</f>
        <v>sau</v>
      </c>
      <c r="C13758" t="str">
        <f>IFERROR(__xludf.DUMMYFUNCTION("""COMPUTED_VALUE"""),"Saudi Arabia")</f>
        <v>Saudi Arabia</v>
      </c>
      <c r="D13758">
        <f>IFERROR(__xludf.DUMMYFUNCTION("""COMPUTED_VALUE"""),1963.0)</f>
        <v>1963</v>
      </c>
      <c r="E13758">
        <f>IFERROR(__xludf.DUMMYFUNCTION("""COMPUTED_VALUE"""),4516659.0)</f>
        <v>4516659</v>
      </c>
    </row>
    <row r="13759">
      <c r="A13759" t="str">
        <f t="shared" si="1"/>
        <v>sau#1964</v>
      </c>
      <c r="B13759" t="str">
        <f>IFERROR(__xludf.DUMMYFUNCTION("""COMPUTED_VALUE"""),"sau")</f>
        <v>sau</v>
      </c>
      <c r="C13759" t="str">
        <f>IFERROR(__xludf.DUMMYFUNCTION("""COMPUTED_VALUE"""),"Saudi Arabia")</f>
        <v>Saudi Arabia</v>
      </c>
      <c r="D13759">
        <f>IFERROR(__xludf.DUMMYFUNCTION("""COMPUTED_VALUE"""),1964.0)</f>
        <v>1964</v>
      </c>
      <c r="E13759">
        <f>IFERROR(__xludf.DUMMYFUNCTION("""COMPUTED_VALUE"""),4677404.0)</f>
        <v>4677404</v>
      </c>
    </row>
    <row r="13760">
      <c r="A13760" t="str">
        <f t="shared" si="1"/>
        <v>sau#1965</v>
      </c>
      <c r="B13760" t="str">
        <f>IFERROR(__xludf.DUMMYFUNCTION("""COMPUTED_VALUE"""),"sau")</f>
        <v>sau</v>
      </c>
      <c r="C13760" t="str">
        <f>IFERROR(__xludf.DUMMYFUNCTION("""COMPUTED_VALUE"""),"Saudi Arabia")</f>
        <v>Saudi Arabia</v>
      </c>
      <c r="D13760">
        <f>IFERROR(__xludf.DUMMYFUNCTION("""COMPUTED_VALUE"""),1965.0)</f>
        <v>1965</v>
      </c>
      <c r="E13760">
        <f>IFERROR(__xludf.DUMMYFUNCTION("""COMPUTED_VALUE"""),4843635.0)</f>
        <v>4843635</v>
      </c>
    </row>
    <row r="13761">
      <c r="A13761" t="str">
        <f t="shared" si="1"/>
        <v>sau#1966</v>
      </c>
      <c r="B13761" t="str">
        <f>IFERROR(__xludf.DUMMYFUNCTION("""COMPUTED_VALUE"""),"sau")</f>
        <v>sau</v>
      </c>
      <c r="C13761" t="str">
        <f>IFERROR(__xludf.DUMMYFUNCTION("""COMPUTED_VALUE"""),"Saudi Arabia")</f>
        <v>Saudi Arabia</v>
      </c>
      <c r="D13761">
        <f>IFERROR(__xludf.DUMMYFUNCTION("""COMPUTED_VALUE"""),1966.0)</f>
        <v>1966</v>
      </c>
      <c r="E13761">
        <f>IFERROR(__xludf.DUMMYFUNCTION("""COMPUTED_VALUE"""),5015204.0)</f>
        <v>5015204</v>
      </c>
    </row>
    <row r="13762">
      <c r="A13762" t="str">
        <f t="shared" si="1"/>
        <v>sau#1967</v>
      </c>
      <c r="B13762" t="str">
        <f>IFERROR(__xludf.DUMMYFUNCTION("""COMPUTED_VALUE"""),"sau")</f>
        <v>sau</v>
      </c>
      <c r="C13762" t="str">
        <f>IFERROR(__xludf.DUMMYFUNCTION("""COMPUTED_VALUE"""),"Saudi Arabia")</f>
        <v>Saudi Arabia</v>
      </c>
      <c r="D13762">
        <f>IFERROR(__xludf.DUMMYFUNCTION("""COMPUTED_VALUE"""),1967.0)</f>
        <v>1967</v>
      </c>
      <c r="E13762">
        <f>IFERROR(__xludf.DUMMYFUNCTION("""COMPUTED_VALUE"""),5194846.0)</f>
        <v>5194846</v>
      </c>
    </row>
    <row r="13763">
      <c r="A13763" t="str">
        <f t="shared" si="1"/>
        <v>sau#1968</v>
      </c>
      <c r="B13763" t="str">
        <f>IFERROR(__xludf.DUMMYFUNCTION("""COMPUTED_VALUE"""),"sau")</f>
        <v>sau</v>
      </c>
      <c r="C13763" t="str">
        <f>IFERROR(__xludf.DUMMYFUNCTION("""COMPUTED_VALUE"""),"Saudi Arabia")</f>
        <v>Saudi Arabia</v>
      </c>
      <c r="D13763">
        <f>IFERROR(__xludf.DUMMYFUNCTION("""COMPUTED_VALUE"""),1968.0)</f>
        <v>1968</v>
      </c>
      <c r="E13763">
        <f>IFERROR(__xludf.DUMMYFUNCTION("""COMPUTED_VALUE"""),5387486.0)</f>
        <v>5387486</v>
      </c>
    </row>
    <row r="13764">
      <c r="A13764" t="str">
        <f t="shared" si="1"/>
        <v>sau#1969</v>
      </c>
      <c r="B13764" t="str">
        <f>IFERROR(__xludf.DUMMYFUNCTION("""COMPUTED_VALUE"""),"sau")</f>
        <v>sau</v>
      </c>
      <c r="C13764" t="str">
        <f>IFERROR(__xludf.DUMMYFUNCTION("""COMPUTED_VALUE"""),"Saudi Arabia")</f>
        <v>Saudi Arabia</v>
      </c>
      <c r="D13764">
        <f>IFERROR(__xludf.DUMMYFUNCTION("""COMPUTED_VALUE"""),1969.0)</f>
        <v>1969</v>
      </c>
      <c r="E13764">
        <f>IFERROR(__xludf.DUMMYFUNCTION("""COMPUTED_VALUE"""),5599628.0)</f>
        <v>5599628</v>
      </c>
    </row>
    <row r="13765">
      <c r="A13765" t="str">
        <f t="shared" si="1"/>
        <v>sau#1970</v>
      </c>
      <c r="B13765" t="str">
        <f>IFERROR(__xludf.DUMMYFUNCTION("""COMPUTED_VALUE"""),"sau")</f>
        <v>sau</v>
      </c>
      <c r="C13765" t="str">
        <f>IFERROR(__xludf.DUMMYFUNCTION("""COMPUTED_VALUE"""),"Saudi Arabia")</f>
        <v>Saudi Arabia</v>
      </c>
      <c r="D13765">
        <f>IFERROR(__xludf.DUMMYFUNCTION("""COMPUTED_VALUE"""),1970.0)</f>
        <v>1970</v>
      </c>
      <c r="E13765">
        <f>IFERROR(__xludf.DUMMYFUNCTION("""COMPUTED_VALUE"""),5836389.0)</f>
        <v>5836389</v>
      </c>
    </row>
    <row r="13766">
      <c r="A13766" t="str">
        <f t="shared" si="1"/>
        <v>sau#1971</v>
      </c>
      <c r="B13766" t="str">
        <f>IFERROR(__xludf.DUMMYFUNCTION("""COMPUTED_VALUE"""),"sau")</f>
        <v>sau</v>
      </c>
      <c r="C13766" t="str">
        <f>IFERROR(__xludf.DUMMYFUNCTION("""COMPUTED_VALUE"""),"Saudi Arabia")</f>
        <v>Saudi Arabia</v>
      </c>
      <c r="D13766">
        <f>IFERROR(__xludf.DUMMYFUNCTION("""COMPUTED_VALUE"""),1971.0)</f>
        <v>1971</v>
      </c>
      <c r="E13766">
        <f>IFERROR(__xludf.DUMMYFUNCTION("""COMPUTED_VALUE"""),6100994.0)</f>
        <v>6100994</v>
      </c>
    </row>
    <row r="13767">
      <c r="A13767" t="str">
        <f t="shared" si="1"/>
        <v>sau#1972</v>
      </c>
      <c r="B13767" t="str">
        <f>IFERROR(__xludf.DUMMYFUNCTION("""COMPUTED_VALUE"""),"sau")</f>
        <v>sau</v>
      </c>
      <c r="C13767" t="str">
        <f>IFERROR(__xludf.DUMMYFUNCTION("""COMPUTED_VALUE"""),"Saudi Arabia")</f>
        <v>Saudi Arabia</v>
      </c>
      <c r="D13767">
        <f>IFERROR(__xludf.DUMMYFUNCTION("""COMPUTED_VALUE"""),1972.0)</f>
        <v>1972</v>
      </c>
      <c r="E13767">
        <f>IFERROR(__xludf.DUMMYFUNCTION("""COMPUTED_VALUE"""),6393894.0)</f>
        <v>6393894</v>
      </c>
    </row>
    <row r="13768">
      <c r="A13768" t="str">
        <f t="shared" si="1"/>
        <v>sau#1973</v>
      </c>
      <c r="B13768" t="str">
        <f>IFERROR(__xludf.DUMMYFUNCTION("""COMPUTED_VALUE"""),"sau")</f>
        <v>sau</v>
      </c>
      <c r="C13768" t="str">
        <f>IFERROR(__xludf.DUMMYFUNCTION("""COMPUTED_VALUE"""),"Saudi Arabia")</f>
        <v>Saudi Arabia</v>
      </c>
      <c r="D13768">
        <f>IFERROR(__xludf.DUMMYFUNCTION("""COMPUTED_VALUE"""),1973.0)</f>
        <v>1973</v>
      </c>
      <c r="E13768">
        <f>IFERROR(__xludf.DUMMYFUNCTION("""COMPUTED_VALUE"""),6714095.0)</f>
        <v>6714095</v>
      </c>
    </row>
    <row r="13769">
      <c r="A13769" t="str">
        <f t="shared" si="1"/>
        <v>sau#1974</v>
      </c>
      <c r="B13769" t="str">
        <f>IFERROR(__xludf.DUMMYFUNCTION("""COMPUTED_VALUE"""),"sau")</f>
        <v>sau</v>
      </c>
      <c r="C13769" t="str">
        <f>IFERROR(__xludf.DUMMYFUNCTION("""COMPUTED_VALUE"""),"Saudi Arabia")</f>
        <v>Saudi Arabia</v>
      </c>
      <c r="D13769">
        <f>IFERROR(__xludf.DUMMYFUNCTION("""COMPUTED_VALUE"""),1974.0)</f>
        <v>1974</v>
      </c>
      <c r="E13769">
        <f>IFERROR(__xludf.DUMMYFUNCTION("""COMPUTED_VALUE"""),7059334.0)</f>
        <v>7059334</v>
      </c>
    </row>
    <row r="13770">
      <c r="A13770" t="str">
        <f t="shared" si="1"/>
        <v>sau#1975</v>
      </c>
      <c r="B13770" t="str">
        <f>IFERROR(__xludf.DUMMYFUNCTION("""COMPUTED_VALUE"""),"sau")</f>
        <v>sau</v>
      </c>
      <c r="C13770" t="str">
        <f>IFERROR(__xludf.DUMMYFUNCTION("""COMPUTED_VALUE"""),"Saudi Arabia")</f>
        <v>Saudi Arabia</v>
      </c>
      <c r="D13770">
        <f>IFERROR(__xludf.DUMMYFUNCTION("""COMPUTED_VALUE"""),1975.0)</f>
        <v>1975</v>
      </c>
      <c r="E13770">
        <f>IFERROR(__xludf.DUMMYFUNCTION("""COMPUTED_VALUE"""),7428703.0)</f>
        <v>7428703</v>
      </c>
    </row>
    <row r="13771">
      <c r="A13771" t="str">
        <f t="shared" si="1"/>
        <v>sau#1976</v>
      </c>
      <c r="B13771" t="str">
        <f>IFERROR(__xludf.DUMMYFUNCTION("""COMPUTED_VALUE"""),"sau")</f>
        <v>sau</v>
      </c>
      <c r="C13771" t="str">
        <f>IFERROR(__xludf.DUMMYFUNCTION("""COMPUTED_VALUE"""),"Saudi Arabia")</f>
        <v>Saudi Arabia</v>
      </c>
      <c r="D13771">
        <f>IFERROR(__xludf.DUMMYFUNCTION("""COMPUTED_VALUE"""),1976.0)</f>
        <v>1976</v>
      </c>
      <c r="E13771">
        <f>IFERROR(__xludf.DUMMYFUNCTION("""COMPUTED_VALUE"""),7818613.0)</f>
        <v>7818613</v>
      </c>
    </row>
    <row r="13772">
      <c r="A13772" t="str">
        <f t="shared" si="1"/>
        <v>sau#1977</v>
      </c>
      <c r="B13772" t="str">
        <f>IFERROR(__xludf.DUMMYFUNCTION("""COMPUTED_VALUE"""),"sau")</f>
        <v>sau</v>
      </c>
      <c r="C13772" t="str">
        <f>IFERROR(__xludf.DUMMYFUNCTION("""COMPUTED_VALUE"""),"Saudi Arabia")</f>
        <v>Saudi Arabia</v>
      </c>
      <c r="D13772">
        <f>IFERROR(__xludf.DUMMYFUNCTION("""COMPUTED_VALUE"""),1977.0)</f>
        <v>1977</v>
      </c>
      <c r="E13772">
        <f>IFERROR(__xludf.DUMMYFUNCTION("""COMPUTED_VALUE"""),8231604.0)</f>
        <v>8231604</v>
      </c>
    </row>
    <row r="13773">
      <c r="A13773" t="str">
        <f t="shared" si="1"/>
        <v>sau#1978</v>
      </c>
      <c r="B13773" t="str">
        <f>IFERROR(__xludf.DUMMYFUNCTION("""COMPUTED_VALUE"""),"sau")</f>
        <v>sau</v>
      </c>
      <c r="C13773" t="str">
        <f>IFERROR(__xludf.DUMMYFUNCTION("""COMPUTED_VALUE"""),"Saudi Arabia")</f>
        <v>Saudi Arabia</v>
      </c>
      <c r="D13773">
        <f>IFERROR(__xludf.DUMMYFUNCTION("""COMPUTED_VALUE"""),1978.0)</f>
        <v>1978</v>
      </c>
      <c r="E13773">
        <f>IFERROR(__xludf.DUMMYFUNCTION("""COMPUTED_VALUE"""),8679840.0)</f>
        <v>8679840</v>
      </c>
    </row>
    <row r="13774">
      <c r="A13774" t="str">
        <f t="shared" si="1"/>
        <v>sau#1979</v>
      </c>
      <c r="B13774" t="str">
        <f>IFERROR(__xludf.DUMMYFUNCTION("""COMPUTED_VALUE"""),"sau")</f>
        <v>sau</v>
      </c>
      <c r="C13774" t="str">
        <f>IFERROR(__xludf.DUMMYFUNCTION("""COMPUTED_VALUE"""),"Saudi Arabia")</f>
        <v>Saudi Arabia</v>
      </c>
      <c r="D13774">
        <f>IFERROR(__xludf.DUMMYFUNCTION("""COMPUTED_VALUE"""),1979.0)</f>
        <v>1979</v>
      </c>
      <c r="E13774">
        <f>IFERROR(__xludf.DUMMYFUNCTION("""COMPUTED_VALUE"""),9179621.0)</f>
        <v>9179621</v>
      </c>
    </row>
    <row r="13775">
      <c r="A13775" t="str">
        <f t="shared" si="1"/>
        <v>sau#1980</v>
      </c>
      <c r="B13775" t="str">
        <f>IFERROR(__xludf.DUMMYFUNCTION("""COMPUTED_VALUE"""),"sau")</f>
        <v>sau</v>
      </c>
      <c r="C13775" t="str">
        <f>IFERROR(__xludf.DUMMYFUNCTION("""COMPUTED_VALUE"""),"Saudi Arabia")</f>
        <v>Saudi Arabia</v>
      </c>
      <c r="D13775">
        <f>IFERROR(__xludf.DUMMYFUNCTION("""COMPUTED_VALUE"""),1980.0)</f>
        <v>1980</v>
      </c>
      <c r="E13775">
        <f>IFERROR(__xludf.DUMMYFUNCTION("""COMPUTED_VALUE"""),9740599.0)</f>
        <v>9740599</v>
      </c>
    </row>
    <row r="13776">
      <c r="A13776" t="str">
        <f t="shared" si="1"/>
        <v>sau#1981</v>
      </c>
      <c r="B13776" t="str">
        <f>IFERROR(__xludf.DUMMYFUNCTION("""COMPUTED_VALUE"""),"sau")</f>
        <v>sau</v>
      </c>
      <c r="C13776" t="str">
        <f>IFERROR(__xludf.DUMMYFUNCTION("""COMPUTED_VALUE"""),"Saudi Arabia")</f>
        <v>Saudi Arabia</v>
      </c>
      <c r="D13776">
        <f>IFERROR(__xludf.DUMMYFUNCTION("""COMPUTED_VALUE"""),1981.0)</f>
        <v>1981</v>
      </c>
      <c r="E13776">
        <f>IFERROR(__xludf.DUMMYFUNCTION("""COMPUTED_VALUE"""),1.0366661E7)</f>
        <v>10366661</v>
      </c>
    </row>
    <row r="13777">
      <c r="A13777" t="str">
        <f t="shared" si="1"/>
        <v>sau#1982</v>
      </c>
      <c r="B13777" t="str">
        <f>IFERROR(__xludf.DUMMYFUNCTION("""COMPUTED_VALUE"""),"sau")</f>
        <v>sau</v>
      </c>
      <c r="C13777" t="str">
        <f>IFERROR(__xludf.DUMMYFUNCTION("""COMPUTED_VALUE"""),"Saudi Arabia")</f>
        <v>Saudi Arabia</v>
      </c>
      <c r="D13777">
        <f>IFERROR(__xludf.DUMMYFUNCTION("""COMPUTED_VALUE"""),1982.0)</f>
        <v>1982</v>
      </c>
      <c r="E13777">
        <f>IFERROR(__xludf.DUMMYFUNCTION("""COMPUTED_VALUE"""),1.104808E7)</f>
        <v>11048080</v>
      </c>
    </row>
    <row r="13778">
      <c r="A13778" t="str">
        <f t="shared" si="1"/>
        <v>sau#1983</v>
      </c>
      <c r="B13778" t="str">
        <f>IFERROR(__xludf.DUMMYFUNCTION("""COMPUTED_VALUE"""),"sau")</f>
        <v>sau</v>
      </c>
      <c r="C13778" t="str">
        <f>IFERROR(__xludf.DUMMYFUNCTION("""COMPUTED_VALUE"""),"Saudi Arabia")</f>
        <v>Saudi Arabia</v>
      </c>
      <c r="D13778">
        <f>IFERROR(__xludf.DUMMYFUNCTION("""COMPUTED_VALUE"""),1983.0)</f>
        <v>1983</v>
      </c>
      <c r="E13778">
        <f>IFERROR(__xludf.DUMMYFUNCTION("""COMPUTED_VALUE"""),1.1763837E7)</f>
        <v>11763837</v>
      </c>
    </row>
    <row r="13779">
      <c r="A13779" t="str">
        <f t="shared" si="1"/>
        <v>sau#1984</v>
      </c>
      <c r="B13779" t="str">
        <f>IFERROR(__xludf.DUMMYFUNCTION("""COMPUTED_VALUE"""),"sau")</f>
        <v>sau</v>
      </c>
      <c r="C13779" t="str">
        <f>IFERROR(__xludf.DUMMYFUNCTION("""COMPUTED_VALUE"""),"Saudi Arabia")</f>
        <v>Saudi Arabia</v>
      </c>
      <c r="D13779">
        <f>IFERROR(__xludf.DUMMYFUNCTION("""COMPUTED_VALUE"""),1984.0)</f>
        <v>1984</v>
      </c>
      <c r="E13779">
        <f>IFERROR(__xludf.DUMMYFUNCTION("""COMPUTED_VALUE"""),1.2484967E7)</f>
        <v>12484967</v>
      </c>
    </row>
    <row r="13780">
      <c r="A13780" t="str">
        <f t="shared" si="1"/>
        <v>sau#1985</v>
      </c>
      <c r="B13780" t="str">
        <f>IFERROR(__xludf.DUMMYFUNCTION("""COMPUTED_VALUE"""),"sau")</f>
        <v>sau</v>
      </c>
      <c r="C13780" t="str">
        <f>IFERROR(__xludf.DUMMYFUNCTION("""COMPUTED_VALUE"""),"Saudi Arabia")</f>
        <v>Saudi Arabia</v>
      </c>
      <c r="D13780">
        <f>IFERROR(__xludf.DUMMYFUNCTION("""COMPUTED_VALUE"""),1985.0)</f>
        <v>1985</v>
      </c>
      <c r="E13780">
        <f>IFERROR(__xludf.DUMMYFUNCTION("""COMPUTED_VALUE"""),1.3189115E7)</f>
        <v>13189115</v>
      </c>
    </row>
    <row r="13781">
      <c r="A13781" t="str">
        <f t="shared" si="1"/>
        <v>sau#1986</v>
      </c>
      <c r="B13781" t="str">
        <f>IFERROR(__xludf.DUMMYFUNCTION("""COMPUTED_VALUE"""),"sau")</f>
        <v>sau</v>
      </c>
      <c r="C13781" t="str">
        <f>IFERROR(__xludf.DUMMYFUNCTION("""COMPUTED_VALUE"""),"Saudi Arabia")</f>
        <v>Saudi Arabia</v>
      </c>
      <c r="D13781">
        <f>IFERROR(__xludf.DUMMYFUNCTION("""COMPUTED_VALUE"""),1986.0)</f>
        <v>1986</v>
      </c>
      <c r="E13781">
        <f>IFERROR(__xludf.DUMMYFUNCTION("""COMPUTED_VALUE"""),1.3869012E7)</f>
        <v>13869012</v>
      </c>
    </row>
    <row r="13782">
      <c r="A13782" t="str">
        <f t="shared" si="1"/>
        <v>sau#1987</v>
      </c>
      <c r="B13782" t="str">
        <f>IFERROR(__xludf.DUMMYFUNCTION("""COMPUTED_VALUE"""),"sau")</f>
        <v>sau</v>
      </c>
      <c r="C13782" t="str">
        <f>IFERROR(__xludf.DUMMYFUNCTION("""COMPUTED_VALUE"""),"Saudi Arabia")</f>
        <v>Saudi Arabia</v>
      </c>
      <c r="D13782">
        <f>IFERROR(__xludf.DUMMYFUNCTION("""COMPUTED_VALUE"""),1987.0)</f>
        <v>1987</v>
      </c>
      <c r="E13782">
        <f>IFERROR(__xludf.DUMMYFUNCTION("""COMPUTED_VALUE"""),1.452566E7)</f>
        <v>14525660</v>
      </c>
    </row>
    <row r="13783">
      <c r="A13783" t="str">
        <f t="shared" si="1"/>
        <v>sau#1988</v>
      </c>
      <c r="B13783" t="str">
        <f>IFERROR(__xludf.DUMMYFUNCTION("""COMPUTED_VALUE"""),"sau")</f>
        <v>sau</v>
      </c>
      <c r="C13783" t="str">
        <f>IFERROR(__xludf.DUMMYFUNCTION("""COMPUTED_VALUE"""),"Saudi Arabia")</f>
        <v>Saudi Arabia</v>
      </c>
      <c r="D13783">
        <f>IFERROR(__xludf.DUMMYFUNCTION("""COMPUTED_VALUE"""),1988.0)</f>
        <v>1988</v>
      </c>
      <c r="E13783">
        <f>IFERROR(__xludf.DUMMYFUNCTION("""COMPUTED_VALUE"""),1.5155223E7)</f>
        <v>15155223</v>
      </c>
    </row>
    <row r="13784">
      <c r="A13784" t="str">
        <f t="shared" si="1"/>
        <v>sau#1989</v>
      </c>
      <c r="B13784" t="str">
        <f>IFERROR(__xludf.DUMMYFUNCTION("""COMPUTED_VALUE"""),"sau")</f>
        <v>sau</v>
      </c>
      <c r="C13784" t="str">
        <f>IFERROR(__xludf.DUMMYFUNCTION("""COMPUTED_VALUE"""),"Saudi Arabia")</f>
        <v>Saudi Arabia</v>
      </c>
      <c r="D13784">
        <f>IFERROR(__xludf.DUMMYFUNCTION("""COMPUTED_VALUE"""),1989.0)</f>
        <v>1989</v>
      </c>
      <c r="E13784">
        <f>IFERROR(__xludf.DUMMYFUNCTION("""COMPUTED_VALUE"""),1.5755944E7)</f>
        <v>15755944</v>
      </c>
    </row>
    <row r="13785">
      <c r="A13785" t="str">
        <f t="shared" si="1"/>
        <v>sau#1990</v>
      </c>
      <c r="B13785" t="str">
        <f>IFERROR(__xludf.DUMMYFUNCTION("""COMPUTED_VALUE"""),"sau")</f>
        <v>sau</v>
      </c>
      <c r="C13785" t="str">
        <f>IFERROR(__xludf.DUMMYFUNCTION("""COMPUTED_VALUE"""),"Saudi Arabia")</f>
        <v>Saudi Arabia</v>
      </c>
      <c r="D13785">
        <f>IFERROR(__xludf.DUMMYFUNCTION("""COMPUTED_VALUE"""),1990.0)</f>
        <v>1990</v>
      </c>
      <c r="E13785">
        <f>IFERROR(__xludf.DUMMYFUNCTION("""COMPUTED_VALUE"""),1.6326815E7)</f>
        <v>16326815</v>
      </c>
    </row>
    <row r="13786">
      <c r="A13786" t="str">
        <f t="shared" si="1"/>
        <v>sau#1991</v>
      </c>
      <c r="B13786" t="str">
        <f>IFERROR(__xludf.DUMMYFUNCTION("""COMPUTED_VALUE"""),"sau")</f>
        <v>sau</v>
      </c>
      <c r="C13786" t="str">
        <f>IFERROR(__xludf.DUMMYFUNCTION("""COMPUTED_VALUE"""),"Saudi Arabia")</f>
        <v>Saudi Arabia</v>
      </c>
      <c r="D13786">
        <f>IFERROR(__xludf.DUMMYFUNCTION("""COMPUTED_VALUE"""),1991.0)</f>
        <v>1991</v>
      </c>
      <c r="E13786">
        <f>IFERROR(__xludf.DUMMYFUNCTION("""COMPUTED_VALUE"""),1.6867829E7)</f>
        <v>16867829</v>
      </c>
    </row>
    <row r="13787">
      <c r="A13787" t="str">
        <f t="shared" si="1"/>
        <v>sau#1992</v>
      </c>
      <c r="B13787" t="str">
        <f>IFERROR(__xludf.DUMMYFUNCTION("""COMPUTED_VALUE"""),"sau")</f>
        <v>sau</v>
      </c>
      <c r="C13787" t="str">
        <f>IFERROR(__xludf.DUMMYFUNCTION("""COMPUTED_VALUE"""),"Saudi Arabia")</f>
        <v>Saudi Arabia</v>
      </c>
      <c r="D13787">
        <f>IFERROR(__xludf.DUMMYFUNCTION("""COMPUTED_VALUE"""),1992.0)</f>
        <v>1992</v>
      </c>
      <c r="E13787">
        <f>IFERROR(__xludf.DUMMYFUNCTION("""COMPUTED_VALUE"""),1.7378833E7)</f>
        <v>17378833</v>
      </c>
    </row>
    <row r="13788">
      <c r="A13788" t="str">
        <f t="shared" si="1"/>
        <v>sau#1993</v>
      </c>
      <c r="B13788" t="str">
        <f>IFERROR(__xludf.DUMMYFUNCTION("""COMPUTED_VALUE"""),"sau")</f>
        <v>sau</v>
      </c>
      <c r="C13788" t="str">
        <f>IFERROR(__xludf.DUMMYFUNCTION("""COMPUTED_VALUE"""),"Saudi Arabia")</f>
        <v>Saudi Arabia</v>
      </c>
      <c r="D13788">
        <f>IFERROR(__xludf.DUMMYFUNCTION("""COMPUTED_VALUE"""),1993.0)</f>
        <v>1993</v>
      </c>
      <c r="E13788">
        <f>IFERROR(__xludf.DUMMYFUNCTION("""COMPUTED_VALUE"""),1.785975E7)</f>
        <v>17859750</v>
      </c>
    </row>
    <row r="13789">
      <c r="A13789" t="str">
        <f t="shared" si="1"/>
        <v>sau#1994</v>
      </c>
      <c r="B13789" t="str">
        <f>IFERROR(__xludf.DUMMYFUNCTION("""COMPUTED_VALUE"""),"sau")</f>
        <v>sau</v>
      </c>
      <c r="C13789" t="str">
        <f>IFERROR(__xludf.DUMMYFUNCTION("""COMPUTED_VALUE"""),"Saudi Arabia")</f>
        <v>Saudi Arabia</v>
      </c>
      <c r="D13789">
        <f>IFERROR(__xludf.DUMMYFUNCTION("""COMPUTED_VALUE"""),1994.0)</f>
        <v>1994</v>
      </c>
      <c r="E13789">
        <f>IFERROR(__xludf.DUMMYFUNCTION("""COMPUTED_VALUE"""),1.831109E7)</f>
        <v>18311090</v>
      </c>
    </row>
    <row r="13790">
      <c r="A13790" t="str">
        <f t="shared" si="1"/>
        <v>sau#1995</v>
      </c>
      <c r="B13790" t="str">
        <f>IFERROR(__xludf.DUMMYFUNCTION("""COMPUTED_VALUE"""),"sau")</f>
        <v>sau</v>
      </c>
      <c r="C13790" t="str">
        <f>IFERROR(__xludf.DUMMYFUNCTION("""COMPUTED_VALUE"""),"Saudi Arabia")</f>
        <v>Saudi Arabia</v>
      </c>
      <c r="D13790">
        <f>IFERROR(__xludf.DUMMYFUNCTION("""COMPUTED_VALUE"""),1995.0)</f>
        <v>1995</v>
      </c>
      <c r="E13790">
        <f>IFERROR(__xludf.DUMMYFUNCTION("""COMPUTED_VALUE"""),1.8735841E7)</f>
        <v>18735841</v>
      </c>
    </row>
    <row r="13791">
      <c r="A13791" t="str">
        <f t="shared" si="1"/>
        <v>sau#1996</v>
      </c>
      <c r="B13791" t="str">
        <f>IFERROR(__xludf.DUMMYFUNCTION("""COMPUTED_VALUE"""),"sau")</f>
        <v>sau</v>
      </c>
      <c r="C13791" t="str">
        <f>IFERROR(__xludf.DUMMYFUNCTION("""COMPUTED_VALUE"""),"Saudi Arabia")</f>
        <v>Saudi Arabia</v>
      </c>
      <c r="D13791">
        <f>IFERROR(__xludf.DUMMYFUNCTION("""COMPUTED_VALUE"""),1996.0)</f>
        <v>1996</v>
      </c>
      <c r="E13791">
        <f>IFERROR(__xludf.DUMMYFUNCTION("""COMPUTED_VALUE"""),1.9131578E7)</f>
        <v>19131578</v>
      </c>
    </row>
    <row r="13792">
      <c r="A13792" t="str">
        <f t="shared" si="1"/>
        <v>sau#1997</v>
      </c>
      <c r="B13792" t="str">
        <f>IFERROR(__xludf.DUMMYFUNCTION("""COMPUTED_VALUE"""),"sau")</f>
        <v>sau</v>
      </c>
      <c r="C13792" t="str">
        <f>IFERROR(__xludf.DUMMYFUNCTION("""COMPUTED_VALUE"""),"Saudi Arabia")</f>
        <v>Saudi Arabia</v>
      </c>
      <c r="D13792">
        <f>IFERROR(__xludf.DUMMYFUNCTION("""COMPUTED_VALUE"""),1997.0)</f>
        <v>1997</v>
      </c>
      <c r="E13792">
        <f>IFERROR(__xludf.DUMMYFUNCTION("""COMPUTED_VALUE"""),1.9505576E7)</f>
        <v>19505576</v>
      </c>
    </row>
    <row r="13793">
      <c r="A13793" t="str">
        <f t="shared" si="1"/>
        <v>sau#1998</v>
      </c>
      <c r="B13793" t="str">
        <f>IFERROR(__xludf.DUMMYFUNCTION("""COMPUTED_VALUE"""),"sau")</f>
        <v>sau</v>
      </c>
      <c r="C13793" t="str">
        <f>IFERROR(__xludf.DUMMYFUNCTION("""COMPUTED_VALUE"""),"Saudi Arabia")</f>
        <v>Saudi Arabia</v>
      </c>
      <c r="D13793">
        <f>IFERROR(__xludf.DUMMYFUNCTION("""COMPUTED_VALUE"""),1998.0)</f>
        <v>1998</v>
      </c>
      <c r="E13793">
        <f>IFERROR(__xludf.DUMMYFUNCTION("""COMPUTED_VALUE"""),1.9882458E7)</f>
        <v>19882458</v>
      </c>
    </row>
    <row r="13794">
      <c r="A13794" t="str">
        <f t="shared" si="1"/>
        <v>sau#1999</v>
      </c>
      <c r="B13794" t="str">
        <f>IFERROR(__xludf.DUMMYFUNCTION("""COMPUTED_VALUE"""),"sau")</f>
        <v>sau</v>
      </c>
      <c r="C13794" t="str">
        <f>IFERROR(__xludf.DUMMYFUNCTION("""COMPUTED_VALUE"""),"Saudi Arabia")</f>
        <v>Saudi Arabia</v>
      </c>
      <c r="D13794">
        <f>IFERROR(__xludf.DUMMYFUNCTION("""COMPUTED_VALUE"""),1999.0)</f>
        <v>1999</v>
      </c>
      <c r="E13794">
        <f>IFERROR(__xludf.DUMMYFUNCTION("""COMPUTED_VALUE"""),2.0294406E7)</f>
        <v>20294406</v>
      </c>
    </row>
    <row r="13795">
      <c r="A13795" t="str">
        <f t="shared" si="1"/>
        <v>sau#2000</v>
      </c>
      <c r="B13795" t="str">
        <f>IFERROR(__xludf.DUMMYFUNCTION("""COMPUTED_VALUE"""),"sau")</f>
        <v>sau</v>
      </c>
      <c r="C13795" t="str">
        <f>IFERROR(__xludf.DUMMYFUNCTION("""COMPUTED_VALUE"""),"Saudi Arabia")</f>
        <v>Saudi Arabia</v>
      </c>
      <c r="D13795">
        <f>IFERROR(__xludf.DUMMYFUNCTION("""COMPUTED_VALUE"""),2000.0)</f>
        <v>2000</v>
      </c>
      <c r="E13795">
        <f>IFERROR(__xludf.DUMMYFUNCTION("""COMPUTED_VALUE"""),2.0764312E7)</f>
        <v>20764312</v>
      </c>
    </row>
    <row r="13796">
      <c r="A13796" t="str">
        <f t="shared" si="1"/>
        <v>sau#2001</v>
      </c>
      <c r="B13796" t="str">
        <f>IFERROR(__xludf.DUMMYFUNCTION("""COMPUTED_VALUE"""),"sau")</f>
        <v>sau</v>
      </c>
      <c r="C13796" t="str">
        <f>IFERROR(__xludf.DUMMYFUNCTION("""COMPUTED_VALUE"""),"Saudi Arabia")</f>
        <v>Saudi Arabia</v>
      </c>
      <c r="D13796">
        <f>IFERROR(__xludf.DUMMYFUNCTION("""COMPUTED_VALUE"""),2001.0)</f>
        <v>2001</v>
      </c>
      <c r="E13796">
        <f>IFERROR(__xludf.DUMMYFUNCTION("""COMPUTED_VALUE"""),2.1303592E7)</f>
        <v>21303592</v>
      </c>
    </row>
    <row r="13797">
      <c r="A13797" t="str">
        <f t="shared" si="1"/>
        <v>sau#2002</v>
      </c>
      <c r="B13797" t="str">
        <f>IFERROR(__xludf.DUMMYFUNCTION("""COMPUTED_VALUE"""),"sau")</f>
        <v>sau</v>
      </c>
      <c r="C13797" t="str">
        <f>IFERROR(__xludf.DUMMYFUNCTION("""COMPUTED_VALUE"""),"Saudi Arabia")</f>
        <v>Saudi Arabia</v>
      </c>
      <c r="D13797">
        <f>IFERROR(__xludf.DUMMYFUNCTION("""COMPUTED_VALUE"""),2002.0)</f>
        <v>2002</v>
      </c>
      <c r="E13797">
        <f>IFERROR(__xludf.DUMMYFUNCTION("""COMPUTED_VALUE"""),2.1906308E7)</f>
        <v>21906308</v>
      </c>
    </row>
    <row r="13798">
      <c r="A13798" t="str">
        <f t="shared" si="1"/>
        <v>sau#2003</v>
      </c>
      <c r="B13798" t="str">
        <f>IFERROR(__xludf.DUMMYFUNCTION("""COMPUTED_VALUE"""),"sau")</f>
        <v>sau</v>
      </c>
      <c r="C13798" t="str">
        <f>IFERROR(__xludf.DUMMYFUNCTION("""COMPUTED_VALUE"""),"Saudi Arabia")</f>
        <v>Saudi Arabia</v>
      </c>
      <c r="D13798">
        <f>IFERROR(__xludf.DUMMYFUNCTION("""COMPUTED_VALUE"""),2003.0)</f>
        <v>2003</v>
      </c>
      <c r="E13798">
        <f>IFERROR(__xludf.DUMMYFUNCTION("""COMPUTED_VALUE"""),2.2556425E7)</f>
        <v>22556425</v>
      </c>
    </row>
    <row r="13799">
      <c r="A13799" t="str">
        <f t="shared" si="1"/>
        <v>sau#2004</v>
      </c>
      <c r="B13799" t="str">
        <f>IFERROR(__xludf.DUMMYFUNCTION("""COMPUTED_VALUE"""),"sau")</f>
        <v>sau</v>
      </c>
      <c r="C13799" t="str">
        <f>IFERROR(__xludf.DUMMYFUNCTION("""COMPUTED_VALUE"""),"Saudi Arabia")</f>
        <v>Saudi Arabia</v>
      </c>
      <c r="D13799">
        <f>IFERROR(__xludf.DUMMYFUNCTION("""COMPUTED_VALUE"""),2004.0)</f>
        <v>2004</v>
      </c>
      <c r="E13799">
        <f>IFERROR(__xludf.DUMMYFUNCTION("""COMPUTED_VALUE"""),2.322889E7)</f>
        <v>23228890</v>
      </c>
    </row>
    <row r="13800">
      <c r="A13800" t="str">
        <f t="shared" si="1"/>
        <v>sau#2005</v>
      </c>
      <c r="B13800" t="str">
        <f>IFERROR(__xludf.DUMMYFUNCTION("""COMPUTED_VALUE"""),"sau")</f>
        <v>sau</v>
      </c>
      <c r="C13800" t="str">
        <f>IFERROR(__xludf.DUMMYFUNCTION("""COMPUTED_VALUE"""),"Saudi Arabia")</f>
        <v>Saudi Arabia</v>
      </c>
      <c r="D13800">
        <f>IFERROR(__xludf.DUMMYFUNCTION("""COMPUTED_VALUE"""),2005.0)</f>
        <v>2005</v>
      </c>
      <c r="E13800">
        <f>IFERROR(__xludf.DUMMYFUNCTION("""COMPUTED_VALUE"""),2.3905654E7)</f>
        <v>23905654</v>
      </c>
    </row>
    <row r="13801">
      <c r="A13801" t="str">
        <f t="shared" si="1"/>
        <v>sau#2006</v>
      </c>
      <c r="B13801" t="str">
        <f>IFERROR(__xludf.DUMMYFUNCTION("""COMPUTED_VALUE"""),"sau")</f>
        <v>sau</v>
      </c>
      <c r="C13801" t="str">
        <f>IFERROR(__xludf.DUMMYFUNCTION("""COMPUTED_VALUE"""),"Saudi Arabia")</f>
        <v>Saudi Arabia</v>
      </c>
      <c r="D13801">
        <f>IFERROR(__xludf.DUMMYFUNCTION("""COMPUTED_VALUE"""),2006.0)</f>
        <v>2006</v>
      </c>
      <c r="E13801">
        <f>IFERROR(__xludf.DUMMYFUNCTION("""COMPUTED_VALUE"""),2.4578301E7)</f>
        <v>24578301</v>
      </c>
    </row>
    <row r="13802">
      <c r="A13802" t="str">
        <f t="shared" si="1"/>
        <v>sau#2007</v>
      </c>
      <c r="B13802" t="str">
        <f>IFERROR(__xludf.DUMMYFUNCTION("""COMPUTED_VALUE"""),"sau")</f>
        <v>sau</v>
      </c>
      <c r="C13802" t="str">
        <f>IFERROR(__xludf.DUMMYFUNCTION("""COMPUTED_VALUE"""),"Saudi Arabia")</f>
        <v>Saudi Arabia</v>
      </c>
      <c r="D13802">
        <f>IFERROR(__xludf.DUMMYFUNCTION("""COMPUTED_VALUE"""),2007.0)</f>
        <v>2007</v>
      </c>
      <c r="E13802">
        <f>IFERROR(__xludf.DUMMYFUNCTION("""COMPUTED_VALUE"""),2.5252569E7)</f>
        <v>25252569</v>
      </c>
    </row>
    <row r="13803">
      <c r="A13803" t="str">
        <f t="shared" si="1"/>
        <v>sau#2008</v>
      </c>
      <c r="B13803" t="str">
        <f>IFERROR(__xludf.DUMMYFUNCTION("""COMPUTED_VALUE"""),"sau")</f>
        <v>sau</v>
      </c>
      <c r="C13803" t="str">
        <f>IFERROR(__xludf.DUMMYFUNCTION("""COMPUTED_VALUE"""),"Saudi Arabia")</f>
        <v>Saudi Arabia</v>
      </c>
      <c r="D13803">
        <f>IFERROR(__xludf.DUMMYFUNCTION("""COMPUTED_VALUE"""),2008.0)</f>
        <v>2008</v>
      </c>
      <c r="E13803">
        <f>IFERROR(__xludf.DUMMYFUNCTION("""COMPUTED_VALUE"""),2.594077E7)</f>
        <v>25940770</v>
      </c>
    </row>
    <row r="13804">
      <c r="A13804" t="str">
        <f t="shared" si="1"/>
        <v>sau#2009</v>
      </c>
      <c r="B13804" t="str">
        <f>IFERROR(__xludf.DUMMYFUNCTION("""COMPUTED_VALUE"""),"sau")</f>
        <v>sau</v>
      </c>
      <c r="C13804" t="str">
        <f>IFERROR(__xludf.DUMMYFUNCTION("""COMPUTED_VALUE"""),"Saudi Arabia")</f>
        <v>Saudi Arabia</v>
      </c>
      <c r="D13804">
        <f>IFERROR(__xludf.DUMMYFUNCTION("""COMPUTED_VALUE"""),2009.0)</f>
        <v>2009</v>
      </c>
      <c r="E13804">
        <f>IFERROR(__xludf.DUMMYFUNCTION("""COMPUTED_VALUE"""),2.6661492E7)</f>
        <v>26661492</v>
      </c>
    </row>
    <row r="13805">
      <c r="A13805" t="str">
        <f t="shared" si="1"/>
        <v>sau#2010</v>
      </c>
      <c r="B13805" t="str">
        <f>IFERROR(__xludf.DUMMYFUNCTION("""COMPUTED_VALUE"""),"sau")</f>
        <v>sau</v>
      </c>
      <c r="C13805" t="str">
        <f>IFERROR(__xludf.DUMMYFUNCTION("""COMPUTED_VALUE"""),"Saudi Arabia")</f>
        <v>Saudi Arabia</v>
      </c>
      <c r="D13805">
        <f>IFERROR(__xludf.DUMMYFUNCTION("""COMPUTED_VALUE"""),2010.0)</f>
        <v>2010</v>
      </c>
      <c r="E13805">
        <f>IFERROR(__xludf.DUMMYFUNCTION("""COMPUTED_VALUE"""),2.7425676E7)</f>
        <v>27425676</v>
      </c>
    </row>
    <row r="13806">
      <c r="A13806" t="str">
        <f t="shared" si="1"/>
        <v>sau#2011</v>
      </c>
      <c r="B13806" t="str">
        <f>IFERROR(__xludf.DUMMYFUNCTION("""COMPUTED_VALUE"""),"sau")</f>
        <v>sau</v>
      </c>
      <c r="C13806" t="str">
        <f>IFERROR(__xludf.DUMMYFUNCTION("""COMPUTED_VALUE"""),"Saudi Arabia")</f>
        <v>Saudi Arabia</v>
      </c>
      <c r="D13806">
        <f>IFERROR(__xludf.DUMMYFUNCTION("""COMPUTED_VALUE"""),2011.0)</f>
        <v>2011</v>
      </c>
      <c r="E13806">
        <f>IFERROR(__xludf.DUMMYFUNCTION("""COMPUTED_VALUE"""),2.823802E7)</f>
        <v>28238020</v>
      </c>
    </row>
    <row r="13807">
      <c r="A13807" t="str">
        <f t="shared" si="1"/>
        <v>sau#2012</v>
      </c>
      <c r="B13807" t="str">
        <f>IFERROR(__xludf.DUMMYFUNCTION("""COMPUTED_VALUE"""),"sau")</f>
        <v>sau</v>
      </c>
      <c r="C13807" t="str">
        <f>IFERROR(__xludf.DUMMYFUNCTION("""COMPUTED_VALUE"""),"Saudi Arabia")</f>
        <v>Saudi Arabia</v>
      </c>
      <c r="D13807">
        <f>IFERROR(__xludf.DUMMYFUNCTION("""COMPUTED_VALUE"""),2012.0)</f>
        <v>2012</v>
      </c>
      <c r="E13807">
        <f>IFERROR(__xludf.DUMMYFUNCTION("""COMPUTED_VALUE"""),2.9086357E7)</f>
        <v>29086357</v>
      </c>
    </row>
    <row r="13808">
      <c r="A13808" t="str">
        <f t="shared" si="1"/>
        <v>sau#2013</v>
      </c>
      <c r="B13808" t="str">
        <f>IFERROR(__xludf.DUMMYFUNCTION("""COMPUTED_VALUE"""),"sau")</f>
        <v>sau</v>
      </c>
      <c r="C13808" t="str">
        <f>IFERROR(__xludf.DUMMYFUNCTION("""COMPUTED_VALUE"""),"Saudi Arabia")</f>
        <v>Saudi Arabia</v>
      </c>
      <c r="D13808">
        <f>IFERROR(__xludf.DUMMYFUNCTION("""COMPUTED_VALUE"""),2013.0)</f>
        <v>2013</v>
      </c>
      <c r="E13808">
        <f>IFERROR(__xludf.DUMMYFUNCTION("""COMPUTED_VALUE"""),2.9944476E7)</f>
        <v>29944476</v>
      </c>
    </row>
    <row r="13809">
      <c r="A13809" t="str">
        <f t="shared" si="1"/>
        <v>sau#2014</v>
      </c>
      <c r="B13809" t="str">
        <f>IFERROR(__xludf.DUMMYFUNCTION("""COMPUTED_VALUE"""),"sau")</f>
        <v>sau</v>
      </c>
      <c r="C13809" t="str">
        <f>IFERROR(__xludf.DUMMYFUNCTION("""COMPUTED_VALUE"""),"Saudi Arabia")</f>
        <v>Saudi Arabia</v>
      </c>
      <c r="D13809">
        <f>IFERROR(__xludf.DUMMYFUNCTION("""COMPUTED_VALUE"""),2014.0)</f>
        <v>2014</v>
      </c>
      <c r="E13809">
        <f>IFERROR(__xludf.DUMMYFUNCTION("""COMPUTED_VALUE"""),3.0776722E7)</f>
        <v>30776722</v>
      </c>
    </row>
    <row r="13810">
      <c r="A13810" t="str">
        <f t="shared" si="1"/>
        <v>sau#2015</v>
      </c>
      <c r="B13810" t="str">
        <f>IFERROR(__xludf.DUMMYFUNCTION("""COMPUTED_VALUE"""),"sau")</f>
        <v>sau</v>
      </c>
      <c r="C13810" t="str">
        <f>IFERROR(__xludf.DUMMYFUNCTION("""COMPUTED_VALUE"""),"Saudi Arabia")</f>
        <v>Saudi Arabia</v>
      </c>
      <c r="D13810">
        <f>IFERROR(__xludf.DUMMYFUNCTION("""COMPUTED_VALUE"""),2015.0)</f>
        <v>2015</v>
      </c>
      <c r="E13810">
        <f>IFERROR(__xludf.DUMMYFUNCTION("""COMPUTED_VALUE"""),3.1557144E7)</f>
        <v>31557144</v>
      </c>
    </row>
    <row r="13811">
      <c r="A13811" t="str">
        <f t="shared" si="1"/>
        <v>sau#2016</v>
      </c>
      <c r="B13811" t="str">
        <f>IFERROR(__xludf.DUMMYFUNCTION("""COMPUTED_VALUE"""),"sau")</f>
        <v>sau</v>
      </c>
      <c r="C13811" t="str">
        <f>IFERROR(__xludf.DUMMYFUNCTION("""COMPUTED_VALUE"""),"Saudi Arabia")</f>
        <v>Saudi Arabia</v>
      </c>
      <c r="D13811">
        <f>IFERROR(__xludf.DUMMYFUNCTION("""COMPUTED_VALUE"""),2016.0)</f>
        <v>2016</v>
      </c>
      <c r="E13811">
        <f>IFERROR(__xludf.DUMMYFUNCTION("""COMPUTED_VALUE"""),3.2275687E7)</f>
        <v>32275687</v>
      </c>
    </row>
    <row r="13812">
      <c r="A13812" t="str">
        <f t="shared" si="1"/>
        <v>sau#2017</v>
      </c>
      <c r="B13812" t="str">
        <f>IFERROR(__xludf.DUMMYFUNCTION("""COMPUTED_VALUE"""),"sau")</f>
        <v>sau</v>
      </c>
      <c r="C13812" t="str">
        <f>IFERROR(__xludf.DUMMYFUNCTION("""COMPUTED_VALUE"""),"Saudi Arabia")</f>
        <v>Saudi Arabia</v>
      </c>
      <c r="D13812">
        <f>IFERROR(__xludf.DUMMYFUNCTION("""COMPUTED_VALUE"""),2017.0)</f>
        <v>2017</v>
      </c>
      <c r="E13812">
        <f>IFERROR(__xludf.DUMMYFUNCTION("""COMPUTED_VALUE"""),3.2938213E7)</f>
        <v>32938213</v>
      </c>
    </row>
    <row r="13813">
      <c r="A13813" t="str">
        <f t="shared" si="1"/>
        <v>sau#2018</v>
      </c>
      <c r="B13813" t="str">
        <f>IFERROR(__xludf.DUMMYFUNCTION("""COMPUTED_VALUE"""),"sau")</f>
        <v>sau</v>
      </c>
      <c r="C13813" t="str">
        <f>IFERROR(__xludf.DUMMYFUNCTION("""COMPUTED_VALUE"""),"Saudi Arabia")</f>
        <v>Saudi Arabia</v>
      </c>
      <c r="D13813">
        <f>IFERROR(__xludf.DUMMYFUNCTION("""COMPUTED_VALUE"""),2018.0)</f>
        <v>2018</v>
      </c>
      <c r="E13813">
        <f>IFERROR(__xludf.DUMMYFUNCTION("""COMPUTED_VALUE"""),3.3554343E7)</f>
        <v>33554343</v>
      </c>
    </row>
    <row r="13814">
      <c r="A13814" t="str">
        <f t="shared" si="1"/>
        <v>sau#2019</v>
      </c>
      <c r="B13814" t="str">
        <f>IFERROR(__xludf.DUMMYFUNCTION("""COMPUTED_VALUE"""),"sau")</f>
        <v>sau</v>
      </c>
      <c r="C13814" t="str">
        <f>IFERROR(__xludf.DUMMYFUNCTION("""COMPUTED_VALUE"""),"Saudi Arabia")</f>
        <v>Saudi Arabia</v>
      </c>
      <c r="D13814">
        <f>IFERROR(__xludf.DUMMYFUNCTION("""COMPUTED_VALUE"""),2019.0)</f>
        <v>2019</v>
      </c>
      <c r="E13814">
        <f>IFERROR(__xludf.DUMMYFUNCTION("""COMPUTED_VALUE"""),3.4140662E7)</f>
        <v>34140662</v>
      </c>
    </row>
    <row r="13815">
      <c r="A13815" t="str">
        <f t="shared" si="1"/>
        <v>sau#2020</v>
      </c>
      <c r="B13815" t="str">
        <f>IFERROR(__xludf.DUMMYFUNCTION("""COMPUTED_VALUE"""),"sau")</f>
        <v>sau</v>
      </c>
      <c r="C13815" t="str">
        <f>IFERROR(__xludf.DUMMYFUNCTION("""COMPUTED_VALUE"""),"Saudi Arabia")</f>
        <v>Saudi Arabia</v>
      </c>
      <c r="D13815">
        <f>IFERROR(__xludf.DUMMYFUNCTION("""COMPUTED_VALUE"""),2020.0)</f>
        <v>2020</v>
      </c>
      <c r="E13815">
        <f>IFERROR(__xludf.DUMMYFUNCTION("""COMPUTED_VALUE"""),3.470964E7)</f>
        <v>34709640</v>
      </c>
    </row>
    <row r="13816">
      <c r="A13816" t="str">
        <f t="shared" si="1"/>
        <v>sau#2021</v>
      </c>
      <c r="B13816" t="str">
        <f>IFERROR(__xludf.DUMMYFUNCTION("""COMPUTED_VALUE"""),"sau")</f>
        <v>sau</v>
      </c>
      <c r="C13816" t="str">
        <f>IFERROR(__xludf.DUMMYFUNCTION("""COMPUTED_VALUE"""),"Saudi Arabia")</f>
        <v>Saudi Arabia</v>
      </c>
      <c r="D13816">
        <f>IFERROR(__xludf.DUMMYFUNCTION("""COMPUTED_VALUE"""),2021.0)</f>
        <v>2021</v>
      </c>
      <c r="E13816">
        <f>IFERROR(__xludf.DUMMYFUNCTION("""COMPUTED_VALUE"""),3.5262692E7)</f>
        <v>35262692</v>
      </c>
    </row>
    <row r="13817">
      <c r="A13817" t="str">
        <f t="shared" si="1"/>
        <v>sau#2022</v>
      </c>
      <c r="B13817" t="str">
        <f>IFERROR(__xludf.DUMMYFUNCTION("""COMPUTED_VALUE"""),"sau")</f>
        <v>sau</v>
      </c>
      <c r="C13817" t="str">
        <f>IFERROR(__xludf.DUMMYFUNCTION("""COMPUTED_VALUE"""),"Saudi Arabia")</f>
        <v>Saudi Arabia</v>
      </c>
      <c r="D13817">
        <f>IFERROR(__xludf.DUMMYFUNCTION("""COMPUTED_VALUE"""),2022.0)</f>
        <v>2022</v>
      </c>
      <c r="E13817">
        <f>IFERROR(__xludf.DUMMYFUNCTION("""COMPUTED_VALUE"""),3.579603E7)</f>
        <v>35796030</v>
      </c>
    </row>
    <row r="13818">
      <c r="A13818" t="str">
        <f t="shared" si="1"/>
        <v>sau#2023</v>
      </c>
      <c r="B13818" t="str">
        <f>IFERROR(__xludf.DUMMYFUNCTION("""COMPUTED_VALUE"""),"sau")</f>
        <v>sau</v>
      </c>
      <c r="C13818" t="str">
        <f>IFERROR(__xludf.DUMMYFUNCTION("""COMPUTED_VALUE"""),"Saudi Arabia")</f>
        <v>Saudi Arabia</v>
      </c>
      <c r="D13818">
        <f>IFERROR(__xludf.DUMMYFUNCTION("""COMPUTED_VALUE"""),2023.0)</f>
        <v>2023</v>
      </c>
      <c r="E13818">
        <f>IFERROR(__xludf.DUMMYFUNCTION("""COMPUTED_VALUE"""),3.6311124E7)</f>
        <v>36311124</v>
      </c>
    </row>
    <row r="13819">
      <c r="A13819" t="str">
        <f t="shared" si="1"/>
        <v>sau#2024</v>
      </c>
      <c r="B13819" t="str">
        <f>IFERROR(__xludf.DUMMYFUNCTION("""COMPUTED_VALUE"""),"sau")</f>
        <v>sau</v>
      </c>
      <c r="C13819" t="str">
        <f>IFERROR(__xludf.DUMMYFUNCTION("""COMPUTED_VALUE"""),"Saudi Arabia")</f>
        <v>Saudi Arabia</v>
      </c>
      <c r="D13819">
        <f>IFERROR(__xludf.DUMMYFUNCTION("""COMPUTED_VALUE"""),2024.0)</f>
        <v>2024</v>
      </c>
      <c r="E13819">
        <f>IFERROR(__xludf.DUMMYFUNCTION("""COMPUTED_VALUE"""),3.6808935E7)</f>
        <v>36808935</v>
      </c>
    </row>
    <row r="13820">
      <c r="A13820" t="str">
        <f t="shared" si="1"/>
        <v>sau#2025</v>
      </c>
      <c r="B13820" t="str">
        <f>IFERROR(__xludf.DUMMYFUNCTION("""COMPUTED_VALUE"""),"sau")</f>
        <v>sau</v>
      </c>
      <c r="C13820" t="str">
        <f>IFERROR(__xludf.DUMMYFUNCTION("""COMPUTED_VALUE"""),"Saudi Arabia")</f>
        <v>Saudi Arabia</v>
      </c>
      <c r="D13820">
        <f>IFERROR(__xludf.DUMMYFUNCTION("""COMPUTED_VALUE"""),2025.0)</f>
        <v>2025</v>
      </c>
      <c r="E13820">
        <f>IFERROR(__xludf.DUMMYFUNCTION("""COMPUTED_VALUE"""),3.7290305E7)</f>
        <v>37290305</v>
      </c>
    </row>
    <row r="13821">
      <c r="A13821" t="str">
        <f t="shared" si="1"/>
        <v>sau#2026</v>
      </c>
      <c r="B13821" t="str">
        <f>IFERROR(__xludf.DUMMYFUNCTION("""COMPUTED_VALUE"""),"sau")</f>
        <v>sau</v>
      </c>
      <c r="C13821" t="str">
        <f>IFERROR(__xludf.DUMMYFUNCTION("""COMPUTED_VALUE"""),"Saudi Arabia")</f>
        <v>Saudi Arabia</v>
      </c>
      <c r="D13821">
        <f>IFERROR(__xludf.DUMMYFUNCTION("""COMPUTED_VALUE"""),2026.0)</f>
        <v>2026</v>
      </c>
      <c r="E13821">
        <f>IFERROR(__xludf.DUMMYFUNCTION("""COMPUTED_VALUE"""),3.7756514E7)</f>
        <v>37756514</v>
      </c>
    </row>
    <row r="13822">
      <c r="A13822" t="str">
        <f t="shared" si="1"/>
        <v>sau#2027</v>
      </c>
      <c r="B13822" t="str">
        <f>IFERROR(__xludf.DUMMYFUNCTION("""COMPUTED_VALUE"""),"sau")</f>
        <v>sau</v>
      </c>
      <c r="C13822" t="str">
        <f>IFERROR(__xludf.DUMMYFUNCTION("""COMPUTED_VALUE"""),"Saudi Arabia")</f>
        <v>Saudi Arabia</v>
      </c>
      <c r="D13822">
        <f>IFERROR(__xludf.DUMMYFUNCTION("""COMPUTED_VALUE"""),2027.0)</f>
        <v>2027</v>
      </c>
      <c r="E13822">
        <f>IFERROR(__xludf.DUMMYFUNCTION("""COMPUTED_VALUE"""),3.8208593E7)</f>
        <v>38208593</v>
      </c>
    </row>
    <row r="13823">
      <c r="A13823" t="str">
        <f t="shared" si="1"/>
        <v>sau#2028</v>
      </c>
      <c r="B13823" t="str">
        <f>IFERROR(__xludf.DUMMYFUNCTION("""COMPUTED_VALUE"""),"sau")</f>
        <v>sau</v>
      </c>
      <c r="C13823" t="str">
        <f>IFERROR(__xludf.DUMMYFUNCTION("""COMPUTED_VALUE"""),"Saudi Arabia")</f>
        <v>Saudi Arabia</v>
      </c>
      <c r="D13823">
        <f>IFERROR(__xludf.DUMMYFUNCTION("""COMPUTED_VALUE"""),2028.0)</f>
        <v>2028</v>
      </c>
      <c r="E13823">
        <f>IFERROR(__xludf.DUMMYFUNCTION("""COMPUTED_VALUE"""),3.8646705E7)</f>
        <v>38646705</v>
      </c>
    </row>
    <row r="13824">
      <c r="A13824" t="str">
        <f t="shared" si="1"/>
        <v>sau#2029</v>
      </c>
      <c r="B13824" t="str">
        <f>IFERROR(__xludf.DUMMYFUNCTION("""COMPUTED_VALUE"""),"sau")</f>
        <v>sau</v>
      </c>
      <c r="C13824" t="str">
        <f>IFERROR(__xludf.DUMMYFUNCTION("""COMPUTED_VALUE"""),"Saudi Arabia")</f>
        <v>Saudi Arabia</v>
      </c>
      <c r="D13824">
        <f>IFERROR(__xludf.DUMMYFUNCTION("""COMPUTED_VALUE"""),2029.0)</f>
        <v>2029</v>
      </c>
      <c r="E13824">
        <f>IFERROR(__xludf.DUMMYFUNCTION("""COMPUTED_VALUE"""),3.9070672E7)</f>
        <v>39070672</v>
      </c>
    </row>
    <row r="13825">
      <c r="A13825" t="str">
        <f t="shared" si="1"/>
        <v>sau#2030</v>
      </c>
      <c r="B13825" t="str">
        <f>IFERROR(__xludf.DUMMYFUNCTION("""COMPUTED_VALUE"""),"sau")</f>
        <v>sau</v>
      </c>
      <c r="C13825" t="str">
        <f>IFERROR(__xludf.DUMMYFUNCTION("""COMPUTED_VALUE"""),"Saudi Arabia")</f>
        <v>Saudi Arabia</v>
      </c>
      <c r="D13825">
        <f>IFERROR(__xludf.DUMMYFUNCTION("""COMPUTED_VALUE"""),2030.0)</f>
        <v>2030</v>
      </c>
      <c r="E13825">
        <f>IFERROR(__xludf.DUMMYFUNCTION("""COMPUTED_VALUE"""),3.9480349E7)</f>
        <v>39480349</v>
      </c>
    </row>
    <row r="13826">
      <c r="A13826" t="str">
        <f t="shared" si="1"/>
        <v>sau#2031</v>
      </c>
      <c r="B13826" t="str">
        <f>IFERROR(__xludf.DUMMYFUNCTION("""COMPUTED_VALUE"""),"sau")</f>
        <v>sau</v>
      </c>
      <c r="C13826" t="str">
        <f>IFERROR(__xludf.DUMMYFUNCTION("""COMPUTED_VALUE"""),"Saudi Arabia")</f>
        <v>Saudi Arabia</v>
      </c>
      <c r="D13826">
        <f>IFERROR(__xludf.DUMMYFUNCTION("""COMPUTED_VALUE"""),2031.0)</f>
        <v>2031</v>
      </c>
      <c r="E13826">
        <f>IFERROR(__xludf.DUMMYFUNCTION("""COMPUTED_VALUE"""),3.9876559E7)</f>
        <v>39876559</v>
      </c>
    </row>
    <row r="13827">
      <c r="A13827" t="str">
        <f t="shared" si="1"/>
        <v>sau#2032</v>
      </c>
      <c r="B13827" t="str">
        <f>IFERROR(__xludf.DUMMYFUNCTION("""COMPUTED_VALUE"""),"sau")</f>
        <v>sau</v>
      </c>
      <c r="C13827" t="str">
        <f>IFERROR(__xludf.DUMMYFUNCTION("""COMPUTED_VALUE"""),"Saudi Arabia")</f>
        <v>Saudi Arabia</v>
      </c>
      <c r="D13827">
        <f>IFERROR(__xludf.DUMMYFUNCTION("""COMPUTED_VALUE"""),2032.0)</f>
        <v>2032</v>
      </c>
      <c r="E13827">
        <f>IFERROR(__xludf.DUMMYFUNCTION("""COMPUTED_VALUE"""),4.0259678E7)</f>
        <v>40259678</v>
      </c>
    </row>
    <row r="13828">
      <c r="A13828" t="str">
        <f t="shared" si="1"/>
        <v>sau#2033</v>
      </c>
      <c r="B13828" t="str">
        <f>IFERROR(__xludf.DUMMYFUNCTION("""COMPUTED_VALUE"""),"sau")</f>
        <v>sau</v>
      </c>
      <c r="C13828" t="str">
        <f>IFERROR(__xludf.DUMMYFUNCTION("""COMPUTED_VALUE"""),"Saudi Arabia")</f>
        <v>Saudi Arabia</v>
      </c>
      <c r="D13828">
        <f>IFERROR(__xludf.DUMMYFUNCTION("""COMPUTED_VALUE"""),2033.0)</f>
        <v>2033</v>
      </c>
      <c r="E13828">
        <f>IFERROR(__xludf.DUMMYFUNCTION("""COMPUTED_VALUE"""),4.0628538E7)</f>
        <v>40628538</v>
      </c>
    </row>
    <row r="13829">
      <c r="A13829" t="str">
        <f t="shared" si="1"/>
        <v>sau#2034</v>
      </c>
      <c r="B13829" t="str">
        <f>IFERROR(__xludf.DUMMYFUNCTION("""COMPUTED_VALUE"""),"sau")</f>
        <v>sau</v>
      </c>
      <c r="C13829" t="str">
        <f>IFERROR(__xludf.DUMMYFUNCTION("""COMPUTED_VALUE"""),"Saudi Arabia")</f>
        <v>Saudi Arabia</v>
      </c>
      <c r="D13829">
        <f>IFERROR(__xludf.DUMMYFUNCTION("""COMPUTED_VALUE"""),2034.0)</f>
        <v>2034</v>
      </c>
      <c r="E13829">
        <f>IFERROR(__xludf.DUMMYFUNCTION("""COMPUTED_VALUE"""),4.0981439E7)</f>
        <v>40981439</v>
      </c>
    </row>
    <row r="13830">
      <c r="A13830" t="str">
        <f t="shared" si="1"/>
        <v>sau#2035</v>
      </c>
      <c r="B13830" t="str">
        <f>IFERROR(__xludf.DUMMYFUNCTION("""COMPUTED_VALUE"""),"sau")</f>
        <v>sau</v>
      </c>
      <c r="C13830" t="str">
        <f>IFERROR(__xludf.DUMMYFUNCTION("""COMPUTED_VALUE"""),"Saudi Arabia")</f>
        <v>Saudi Arabia</v>
      </c>
      <c r="D13830">
        <f>IFERROR(__xludf.DUMMYFUNCTION("""COMPUTED_VALUE"""),2035.0)</f>
        <v>2035</v>
      </c>
      <c r="E13830">
        <f>IFERROR(__xludf.DUMMYFUNCTION("""COMPUTED_VALUE"""),4.1317419E7)</f>
        <v>41317419</v>
      </c>
    </row>
    <row r="13831">
      <c r="A13831" t="str">
        <f t="shared" si="1"/>
        <v>sau#2036</v>
      </c>
      <c r="B13831" t="str">
        <f>IFERROR(__xludf.DUMMYFUNCTION("""COMPUTED_VALUE"""),"sau")</f>
        <v>sau</v>
      </c>
      <c r="C13831" t="str">
        <f>IFERROR(__xludf.DUMMYFUNCTION("""COMPUTED_VALUE"""),"Saudi Arabia")</f>
        <v>Saudi Arabia</v>
      </c>
      <c r="D13831">
        <f>IFERROR(__xludf.DUMMYFUNCTION("""COMPUTED_VALUE"""),2036.0)</f>
        <v>2036</v>
      </c>
      <c r="E13831">
        <f>IFERROR(__xludf.DUMMYFUNCTION("""COMPUTED_VALUE"""),4.1636053E7)</f>
        <v>41636053</v>
      </c>
    </row>
    <row r="13832">
      <c r="A13832" t="str">
        <f t="shared" si="1"/>
        <v>sau#2037</v>
      </c>
      <c r="B13832" t="str">
        <f>IFERROR(__xludf.DUMMYFUNCTION("""COMPUTED_VALUE"""),"sau")</f>
        <v>sau</v>
      </c>
      <c r="C13832" t="str">
        <f>IFERROR(__xludf.DUMMYFUNCTION("""COMPUTED_VALUE"""),"Saudi Arabia")</f>
        <v>Saudi Arabia</v>
      </c>
      <c r="D13832">
        <f>IFERROR(__xludf.DUMMYFUNCTION("""COMPUTED_VALUE"""),2037.0)</f>
        <v>2037</v>
      </c>
      <c r="E13832">
        <f>IFERROR(__xludf.DUMMYFUNCTION("""COMPUTED_VALUE"""),4.1938531E7)</f>
        <v>41938531</v>
      </c>
    </row>
    <row r="13833">
      <c r="A13833" t="str">
        <f t="shared" si="1"/>
        <v>sau#2038</v>
      </c>
      <c r="B13833" t="str">
        <f>IFERROR(__xludf.DUMMYFUNCTION("""COMPUTED_VALUE"""),"sau")</f>
        <v>sau</v>
      </c>
      <c r="C13833" t="str">
        <f>IFERROR(__xludf.DUMMYFUNCTION("""COMPUTED_VALUE"""),"Saudi Arabia")</f>
        <v>Saudi Arabia</v>
      </c>
      <c r="D13833">
        <f>IFERROR(__xludf.DUMMYFUNCTION("""COMPUTED_VALUE"""),2038.0)</f>
        <v>2038</v>
      </c>
      <c r="E13833">
        <f>IFERROR(__xludf.DUMMYFUNCTION("""COMPUTED_VALUE"""),4.2227432E7)</f>
        <v>42227432</v>
      </c>
    </row>
    <row r="13834">
      <c r="A13834" t="str">
        <f t="shared" si="1"/>
        <v>sau#2039</v>
      </c>
      <c r="B13834" t="str">
        <f>IFERROR(__xludf.DUMMYFUNCTION("""COMPUTED_VALUE"""),"sau")</f>
        <v>sau</v>
      </c>
      <c r="C13834" t="str">
        <f>IFERROR(__xludf.DUMMYFUNCTION("""COMPUTED_VALUE"""),"Saudi Arabia")</f>
        <v>Saudi Arabia</v>
      </c>
      <c r="D13834">
        <f>IFERROR(__xludf.DUMMYFUNCTION("""COMPUTED_VALUE"""),2039.0)</f>
        <v>2039</v>
      </c>
      <c r="E13834">
        <f>IFERROR(__xludf.DUMMYFUNCTION("""COMPUTED_VALUE"""),4.2506254E7)</f>
        <v>42506254</v>
      </c>
    </row>
    <row r="13835">
      <c r="A13835" t="str">
        <f t="shared" si="1"/>
        <v>sau#2040</v>
      </c>
      <c r="B13835" t="str">
        <f>IFERROR(__xludf.DUMMYFUNCTION("""COMPUTED_VALUE"""),"sau")</f>
        <v>sau</v>
      </c>
      <c r="C13835" t="str">
        <f>IFERROR(__xludf.DUMMYFUNCTION("""COMPUTED_VALUE"""),"Saudi Arabia")</f>
        <v>Saudi Arabia</v>
      </c>
      <c r="D13835">
        <f>IFERROR(__xludf.DUMMYFUNCTION("""COMPUTED_VALUE"""),2040.0)</f>
        <v>2040</v>
      </c>
      <c r="E13835">
        <f>IFERROR(__xludf.DUMMYFUNCTION("""COMPUTED_VALUE"""),4.2777611E7)</f>
        <v>42777611</v>
      </c>
    </row>
    <row r="13836">
      <c r="A13836" t="str">
        <f t="shared" si="1"/>
        <v>sen#1950</v>
      </c>
      <c r="B13836" t="str">
        <f>IFERROR(__xludf.DUMMYFUNCTION("""COMPUTED_VALUE"""),"sen")</f>
        <v>sen</v>
      </c>
      <c r="C13836" t="str">
        <f>IFERROR(__xludf.DUMMYFUNCTION("""COMPUTED_VALUE"""),"Senegal")</f>
        <v>Senegal</v>
      </c>
      <c r="D13836">
        <f>IFERROR(__xludf.DUMMYFUNCTION("""COMPUTED_VALUE"""),1950.0)</f>
        <v>1950</v>
      </c>
      <c r="E13836">
        <f>IFERROR(__xludf.DUMMYFUNCTION("""COMPUTED_VALUE"""),2486635.0)</f>
        <v>2486635</v>
      </c>
    </row>
    <row r="13837">
      <c r="A13837" t="str">
        <f t="shared" si="1"/>
        <v>sen#1951</v>
      </c>
      <c r="B13837" t="str">
        <f>IFERROR(__xludf.DUMMYFUNCTION("""COMPUTED_VALUE"""),"sen")</f>
        <v>sen</v>
      </c>
      <c r="C13837" t="str">
        <f>IFERROR(__xludf.DUMMYFUNCTION("""COMPUTED_VALUE"""),"Senegal")</f>
        <v>Senegal</v>
      </c>
      <c r="D13837">
        <f>IFERROR(__xludf.DUMMYFUNCTION("""COMPUTED_VALUE"""),1951.0)</f>
        <v>1951</v>
      </c>
      <c r="E13837">
        <f>IFERROR(__xludf.DUMMYFUNCTION("""COMPUTED_VALUE"""),2545160.0)</f>
        <v>2545160</v>
      </c>
    </row>
    <row r="13838">
      <c r="A13838" t="str">
        <f t="shared" si="1"/>
        <v>sen#1952</v>
      </c>
      <c r="B13838" t="str">
        <f>IFERROR(__xludf.DUMMYFUNCTION("""COMPUTED_VALUE"""),"sen")</f>
        <v>sen</v>
      </c>
      <c r="C13838" t="str">
        <f>IFERROR(__xludf.DUMMYFUNCTION("""COMPUTED_VALUE"""),"Senegal")</f>
        <v>Senegal</v>
      </c>
      <c r="D13838">
        <f>IFERROR(__xludf.DUMMYFUNCTION("""COMPUTED_VALUE"""),1952.0)</f>
        <v>1952</v>
      </c>
      <c r="E13838">
        <f>IFERROR(__xludf.DUMMYFUNCTION("""COMPUTED_VALUE"""),2606415.0)</f>
        <v>2606415</v>
      </c>
    </row>
    <row r="13839">
      <c r="A13839" t="str">
        <f t="shared" si="1"/>
        <v>sen#1953</v>
      </c>
      <c r="B13839" t="str">
        <f>IFERROR(__xludf.DUMMYFUNCTION("""COMPUTED_VALUE"""),"sen")</f>
        <v>sen</v>
      </c>
      <c r="C13839" t="str">
        <f>IFERROR(__xludf.DUMMYFUNCTION("""COMPUTED_VALUE"""),"Senegal")</f>
        <v>Senegal</v>
      </c>
      <c r="D13839">
        <f>IFERROR(__xludf.DUMMYFUNCTION("""COMPUTED_VALUE"""),1953.0)</f>
        <v>1953</v>
      </c>
      <c r="E13839">
        <f>IFERROR(__xludf.DUMMYFUNCTION("""COMPUTED_VALUE"""),2670589.0)</f>
        <v>2670589</v>
      </c>
    </row>
    <row r="13840">
      <c r="A13840" t="str">
        <f t="shared" si="1"/>
        <v>sen#1954</v>
      </c>
      <c r="B13840" t="str">
        <f>IFERROR(__xludf.DUMMYFUNCTION("""COMPUTED_VALUE"""),"sen")</f>
        <v>sen</v>
      </c>
      <c r="C13840" t="str">
        <f>IFERROR(__xludf.DUMMYFUNCTION("""COMPUTED_VALUE"""),"Senegal")</f>
        <v>Senegal</v>
      </c>
      <c r="D13840">
        <f>IFERROR(__xludf.DUMMYFUNCTION("""COMPUTED_VALUE"""),1954.0)</f>
        <v>1954</v>
      </c>
      <c r="E13840">
        <f>IFERROR(__xludf.DUMMYFUNCTION("""COMPUTED_VALUE"""),2737833.0)</f>
        <v>2737833</v>
      </c>
    </row>
    <row r="13841">
      <c r="A13841" t="str">
        <f t="shared" si="1"/>
        <v>sen#1955</v>
      </c>
      <c r="B13841" t="str">
        <f>IFERROR(__xludf.DUMMYFUNCTION("""COMPUTED_VALUE"""),"sen")</f>
        <v>sen</v>
      </c>
      <c r="C13841" t="str">
        <f>IFERROR(__xludf.DUMMYFUNCTION("""COMPUTED_VALUE"""),"Senegal")</f>
        <v>Senegal</v>
      </c>
      <c r="D13841">
        <f>IFERROR(__xludf.DUMMYFUNCTION("""COMPUTED_VALUE"""),1955.0)</f>
        <v>1955</v>
      </c>
      <c r="E13841">
        <f>IFERROR(__xludf.DUMMYFUNCTION("""COMPUTED_VALUE"""),2808225.0)</f>
        <v>2808225</v>
      </c>
    </row>
    <row r="13842">
      <c r="A13842" t="str">
        <f t="shared" si="1"/>
        <v>sen#1956</v>
      </c>
      <c r="B13842" t="str">
        <f>IFERROR(__xludf.DUMMYFUNCTION("""COMPUTED_VALUE"""),"sen")</f>
        <v>sen</v>
      </c>
      <c r="C13842" t="str">
        <f>IFERROR(__xludf.DUMMYFUNCTION("""COMPUTED_VALUE"""),"Senegal")</f>
        <v>Senegal</v>
      </c>
      <c r="D13842">
        <f>IFERROR(__xludf.DUMMYFUNCTION("""COMPUTED_VALUE"""),1956.0)</f>
        <v>1956</v>
      </c>
      <c r="E13842">
        <f>IFERROR(__xludf.DUMMYFUNCTION("""COMPUTED_VALUE"""),2881808.0)</f>
        <v>2881808</v>
      </c>
    </row>
    <row r="13843">
      <c r="A13843" t="str">
        <f t="shared" si="1"/>
        <v>sen#1957</v>
      </c>
      <c r="B13843" t="str">
        <f>IFERROR(__xludf.DUMMYFUNCTION("""COMPUTED_VALUE"""),"sen")</f>
        <v>sen</v>
      </c>
      <c r="C13843" t="str">
        <f>IFERROR(__xludf.DUMMYFUNCTION("""COMPUTED_VALUE"""),"Senegal")</f>
        <v>Senegal</v>
      </c>
      <c r="D13843">
        <f>IFERROR(__xludf.DUMMYFUNCTION("""COMPUTED_VALUE"""),1957.0)</f>
        <v>1957</v>
      </c>
      <c r="E13843">
        <f>IFERROR(__xludf.DUMMYFUNCTION("""COMPUTED_VALUE"""),2958536.0)</f>
        <v>2958536</v>
      </c>
    </row>
    <row r="13844">
      <c r="A13844" t="str">
        <f t="shared" si="1"/>
        <v>sen#1958</v>
      </c>
      <c r="B13844" t="str">
        <f>IFERROR(__xludf.DUMMYFUNCTION("""COMPUTED_VALUE"""),"sen")</f>
        <v>sen</v>
      </c>
      <c r="C13844" t="str">
        <f>IFERROR(__xludf.DUMMYFUNCTION("""COMPUTED_VALUE"""),"Senegal")</f>
        <v>Senegal</v>
      </c>
      <c r="D13844">
        <f>IFERROR(__xludf.DUMMYFUNCTION("""COMPUTED_VALUE"""),1958.0)</f>
        <v>1958</v>
      </c>
      <c r="E13844">
        <f>IFERROR(__xludf.DUMMYFUNCTION("""COMPUTED_VALUE"""),3038333.0)</f>
        <v>3038333</v>
      </c>
    </row>
    <row r="13845">
      <c r="A13845" t="str">
        <f t="shared" si="1"/>
        <v>sen#1959</v>
      </c>
      <c r="B13845" t="str">
        <f>IFERROR(__xludf.DUMMYFUNCTION("""COMPUTED_VALUE"""),"sen")</f>
        <v>sen</v>
      </c>
      <c r="C13845" t="str">
        <f>IFERROR(__xludf.DUMMYFUNCTION("""COMPUTED_VALUE"""),"Senegal")</f>
        <v>Senegal</v>
      </c>
      <c r="D13845">
        <f>IFERROR(__xludf.DUMMYFUNCTION("""COMPUTED_VALUE"""),1959.0)</f>
        <v>1959</v>
      </c>
      <c r="E13845">
        <f>IFERROR(__xludf.DUMMYFUNCTION("""COMPUTED_VALUE"""),3121092.0)</f>
        <v>3121092</v>
      </c>
    </row>
    <row r="13846">
      <c r="A13846" t="str">
        <f t="shared" si="1"/>
        <v>sen#1960</v>
      </c>
      <c r="B13846" t="str">
        <f>IFERROR(__xludf.DUMMYFUNCTION("""COMPUTED_VALUE"""),"sen")</f>
        <v>sen</v>
      </c>
      <c r="C13846" t="str">
        <f>IFERROR(__xludf.DUMMYFUNCTION("""COMPUTED_VALUE"""),"Senegal")</f>
        <v>Senegal</v>
      </c>
      <c r="D13846">
        <f>IFERROR(__xludf.DUMMYFUNCTION("""COMPUTED_VALUE"""),1960.0)</f>
        <v>1960</v>
      </c>
      <c r="E13846">
        <f>IFERROR(__xludf.DUMMYFUNCTION("""COMPUTED_VALUE"""),3206749.0)</f>
        <v>3206749</v>
      </c>
    </row>
    <row r="13847">
      <c r="A13847" t="str">
        <f t="shared" si="1"/>
        <v>sen#1961</v>
      </c>
      <c r="B13847" t="str">
        <f>IFERROR(__xludf.DUMMYFUNCTION("""COMPUTED_VALUE"""),"sen")</f>
        <v>sen</v>
      </c>
      <c r="C13847" t="str">
        <f>IFERROR(__xludf.DUMMYFUNCTION("""COMPUTED_VALUE"""),"Senegal")</f>
        <v>Senegal</v>
      </c>
      <c r="D13847">
        <f>IFERROR(__xludf.DUMMYFUNCTION("""COMPUTED_VALUE"""),1961.0)</f>
        <v>1961</v>
      </c>
      <c r="E13847">
        <f>IFERROR(__xludf.DUMMYFUNCTION("""COMPUTED_VALUE"""),3295293.0)</f>
        <v>3295293</v>
      </c>
    </row>
    <row r="13848">
      <c r="A13848" t="str">
        <f t="shared" si="1"/>
        <v>sen#1962</v>
      </c>
      <c r="B13848" t="str">
        <f>IFERROR(__xludf.DUMMYFUNCTION("""COMPUTED_VALUE"""),"sen")</f>
        <v>sen</v>
      </c>
      <c r="C13848" t="str">
        <f>IFERROR(__xludf.DUMMYFUNCTION("""COMPUTED_VALUE"""),"Senegal")</f>
        <v>Senegal</v>
      </c>
      <c r="D13848">
        <f>IFERROR(__xludf.DUMMYFUNCTION("""COMPUTED_VALUE"""),1962.0)</f>
        <v>1962</v>
      </c>
      <c r="E13848">
        <f>IFERROR(__xludf.DUMMYFUNCTION("""COMPUTED_VALUE"""),3386863.0)</f>
        <v>3386863</v>
      </c>
    </row>
    <row r="13849">
      <c r="A13849" t="str">
        <f t="shared" si="1"/>
        <v>sen#1963</v>
      </c>
      <c r="B13849" t="str">
        <f>IFERROR(__xludf.DUMMYFUNCTION("""COMPUTED_VALUE"""),"sen")</f>
        <v>sen</v>
      </c>
      <c r="C13849" t="str">
        <f>IFERROR(__xludf.DUMMYFUNCTION("""COMPUTED_VALUE"""),"Senegal")</f>
        <v>Senegal</v>
      </c>
      <c r="D13849">
        <f>IFERROR(__xludf.DUMMYFUNCTION("""COMPUTED_VALUE"""),1963.0)</f>
        <v>1963</v>
      </c>
      <c r="E13849">
        <f>IFERROR(__xludf.DUMMYFUNCTION("""COMPUTED_VALUE"""),3481745.0)</f>
        <v>3481745</v>
      </c>
    </row>
    <row r="13850">
      <c r="A13850" t="str">
        <f t="shared" si="1"/>
        <v>sen#1964</v>
      </c>
      <c r="B13850" t="str">
        <f>IFERROR(__xludf.DUMMYFUNCTION("""COMPUTED_VALUE"""),"sen")</f>
        <v>sen</v>
      </c>
      <c r="C13850" t="str">
        <f>IFERROR(__xludf.DUMMYFUNCTION("""COMPUTED_VALUE"""),"Senegal")</f>
        <v>Senegal</v>
      </c>
      <c r="D13850">
        <f>IFERROR(__xludf.DUMMYFUNCTION("""COMPUTED_VALUE"""),1964.0)</f>
        <v>1964</v>
      </c>
      <c r="E13850">
        <f>IFERROR(__xludf.DUMMYFUNCTION("""COMPUTED_VALUE"""),3580312.0)</f>
        <v>3580312</v>
      </c>
    </row>
    <row r="13851">
      <c r="A13851" t="str">
        <f t="shared" si="1"/>
        <v>sen#1965</v>
      </c>
      <c r="B13851" t="str">
        <f>IFERROR(__xludf.DUMMYFUNCTION("""COMPUTED_VALUE"""),"sen")</f>
        <v>sen</v>
      </c>
      <c r="C13851" t="str">
        <f>IFERROR(__xludf.DUMMYFUNCTION("""COMPUTED_VALUE"""),"Senegal")</f>
        <v>Senegal</v>
      </c>
      <c r="D13851">
        <f>IFERROR(__xludf.DUMMYFUNCTION("""COMPUTED_VALUE"""),1965.0)</f>
        <v>1965</v>
      </c>
      <c r="E13851">
        <f>IFERROR(__xludf.DUMMYFUNCTION("""COMPUTED_VALUE"""),3682876.0)</f>
        <v>3682876</v>
      </c>
    </row>
    <row r="13852">
      <c r="A13852" t="str">
        <f t="shared" si="1"/>
        <v>sen#1966</v>
      </c>
      <c r="B13852" t="str">
        <f>IFERROR(__xludf.DUMMYFUNCTION("""COMPUTED_VALUE"""),"sen")</f>
        <v>sen</v>
      </c>
      <c r="C13852" t="str">
        <f>IFERROR(__xludf.DUMMYFUNCTION("""COMPUTED_VALUE"""),"Senegal")</f>
        <v>Senegal</v>
      </c>
      <c r="D13852">
        <f>IFERROR(__xludf.DUMMYFUNCTION("""COMPUTED_VALUE"""),1966.0)</f>
        <v>1966</v>
      </c>
      <c r="E13852">
        <f>IFERROR(__xludf.DUMMYFUNCTION("""COMPUTED_VALUE"""),3789211.0)</f>
        <v>3789211</v>
      </c>
    </row>
    <row r="13853">
      <c r="A13853" t="str">
        <f t="shared" si="1"/>
        <v>sen#1967</v>
      </c>
      <c r="B13853" t="str">
        <f>IFERROR(__xludf.DUMMYFUNCTION("""COMPUTED_VALUE"""),"sen")</f>
        <v>sen</v>
      </c>
      <c r="C13853" t="str">
        <f>IFERROR(__xludf.DUMMYFUNCTION("""COMPUTED_VALUE"""),"Senegal")</f>
        <v>Senegal</v>
      </c>
      <c r="D13853">
        <f>IFERROR(__xludf.DUMMYFUNCTION("""COMPUTED_VALUE"""),1967.0)</f>
        <v>1967</v>
      </c>
      <c r="E13853">
        <f>IFERROR(__xludf.DUMMYFUNCTION("""COMPUTED_VALUE"""),3899237.0)</f>
        <v>3899237</v>
      </c>
    </row>
    <row r="13854">
      <c r="A13854" t="str">
        <f t="shared" si="1"/>
        <v>sen#1968</v>
      </c>
      <c r="B13854" t="str">
        <f>IFERROR(__xludf.DUMMYFUNCTION("""COMPUTED_VALUE"""),"sen")</f>
        <v>sen</v>
      </c>
      <c r="C13854" t="str">
        <f>IFERROR(__xludf.DUMMYFUNCTION("""COMPUTED_VALUE"""),"Senegal")</f>
        <v>Senegal</v>
      </c>
      <c r="D13854">
        <f>IFERROR(__xludf.DUMMYFUNCTION("""COMPUTED_VALUE"""),1968.0)</f>
        <v>1968</v>
      </c>
      <c r="E13854">
        <f>IFERROR(__xludf.DUMMYFUNCTION("""COMPUTED_VALUE"""),4013539.0)</f>
        <v>4013539</v>
      </c>
    </row>
    <row r="13855">
      <c r="A13855" t="str">
        <f t="shared" si="1"/>
        <v>sen#1969</v>
      </c>
      <c r="B13855" t="str">
        <f>IFERROR(__xludf.DUMMYFUNCTION("""COMPUTED_VALUE"""),"sen")</f>
        <v>sen</v>
      </c>
      <c r="C13855" t="str">
        <f>IFERROR(__xludf.DUMMYFUNCTION("""COMPUTED_VALUE"""),"Senegal")</f>
        <v>Senegal</v>
      </c>
      <c r="D13855">
        <f>IFERROR(__xludf.DUMMYFUNCTION("""COMPUTED_VALUE"""),1969.0)</f>
        <v>1969</v>
      </c>
      <c r="E13855">
        <f>IFERROR(__xludf.DUMMYFUNCTION("""COMPUTED_VALUE"""),4132844.0)</f>
        <v>4132844</v>
      </c>
    </row>
    <row r="13856">
      <c r="A13856" t="str">
        <f t="shared" si="1"/>
        <v>sen#1970</v>
      </c>
      <c r="B13856" t="str">
        <f>IFERROR(__xludf.DUMMYFUNCTION("""COMPUTED_VALUE"""),"sen")</f>
        <v>sen</v>
      </c>
      <c r="C13856" t="str">
        <f>IFERROR(__xludf.DUMMYFUNCTION("""COMPUTED_VALUE"""),"Senegal")</f>
        <v>Senegal</v>
      </c>
      <c r="D13856">
        <f>IFERROR(__xludf.DUMMYFUNCTION("""COMPUTED_VALUE"""),1970.0)</f>
        <v>1970</v>
      </c>
      <c r="E13856">
        <f>IFERROR(__xludf.DUMMYFUNCTION("""COMPUTED_VALUE"""),4257505.0)</f>
        <v>4257505</v>
      </c>
    </row>
    <row r="13857">
      <c r="A13857" t="str">
        <f t="shared" si="1"/>
        <v>sen#1971</v>
      </c>
      <c r="B13857" t="str">
        <f>IFERROR(__xludf.DUMMYFUNCTION("""COMPUTED_VALUE"""),"sen")</f>
        <v>sen</v>
      </c>
      <c r="C13857" t="str">
        <f>IFERROR(__xludf.DUMMYFUNCTION("""COMPUTED_VALUE"""),"Senegal")</f>
        <v>Senegal</v>
      </c>
      <c r="D13857">
        <f>IFERROR(__xludf.DUMMYFUNCTION("""COMPUTED_VALUE"""),1971.0)</f>
        <v>1971</v>
      </c>
      <c r="E13857">
        <f>IFERROR(__xludf.DUMMYFUNCTION("""COMPUTED_VALUE"""),4388458.0)</f>
        <v>4388458</v>
      </c>
    </row>
    <row r="13858">
      <c r="A13858" t="str">
        <f t="shared" si="1"/>
        <v>sen#1972</v>
      </c>
      <c r="B13858" t="str">
        <f>IFERROR(__xludf.DUMMYFUNCTION("""COMPUTED_VALUE"""),"sen")</f>
        <v>sen</v>
      </c>
      <c r="C13858" t="str">
        <f>IFERROR(__xludf.DUMMYFUNCTION("""COMPUTED_VALUE"""),"Senegal")</f>
        <v>Senegal</v>
      </c>
      <c r="D13858">
        <f>IFERROR(__xludf.DUMMYFUNCTION("""COMPUTED_VALUE"""),1972.0)</f>
        <v>1972</v>
      </c>
      <c r="E13858">
        <f>IFERROR(__xludf.DUMMYFUNCTION("""COMPUTED_VALUE"""),4525114.0)</f>
        <v>4525114</v>
      </c>
    </row>
    <row r="13859">
      <c r="A13859" t="str">
        <f t="shared" si="1"/>
        <v>sen#1973</v>
      </c>
      <c r="B13859" t="str">
        <f>IFERROR(__xludf.DUMMYFUNCTION("""COMPUTED_VALUE"""),"sen")</f>
        <v>sen</v>
      </c>
      <c r="C13859" t="str">
        <f>IFERROR(__xludf.DUMMYFUNCTION("""COMPUTED_VALUE"""),"Senegal")</f>
        <v>Senegal</v>
      </c>
      <c r="D13859">
        <f>IFERROR(__xludf.DUMMYFUNCTION("""COMPUTED_VALUE"""),1973.0)</f>
        <v>1973</v>
      </c>
      <c r="E13859">
        <f>IFERROR(__xludf.DUMMYFUNCTION("""COMPUTED_VALUE"""),4664444.0)</f>
        <v>4664444</v>
      </c>
    </row>
    <row r="13860">
      <c r="A13860" t="str">
        <f t="shared" si="1"/>
        <v>sen#1974</v>
      </c>
      <c r="B13860" t="str">
        <f>IFERROR(__xludf.DUMMYFUNCTION("""COMPUTED_VALUE"""),"sen")</f>
        <v>sen</v>
      </c>
      <c r="C13860" t="str">
        <f>IFERROR(__xludf.DUMMYFUNCTION("""COMPUTED_VALUE"""),"Senegal")</f>
        <v>Senegal</v>
      </c>
      <c r="D13860">
        <f>IFERROR(__xludf.DUMMYFUNCTION("""COMPUTED_VALUE"""),1974.0)</f>
        <v>1974</v>
      </c>
      <c r="E13860">
        <f>IFERROR(__xludf.DUMMYFUNCTION("""COMPUTED_VALUE"""),4802348.0)</f>
        <v>4802348</v>
      </c>
    </row>
    <row r="13861">
      <c r="A13861" t="str">
        <f t="shared" si="1"/>
        <v>sen#1975</v>
      </c>
      <c r="B13861" t="str">
        <f>IFERROR(__xludf.DUMMYFUNCTION("""COMPUTED_VALUE"""),"sen")</f>
        <v>sen</v>
      </c>
      <c r="C13861" t="str">
        <f>IFERROR(__xludf.DUMMYFUNCTION("""COMPUTED_VALUE"""),"Senegal")</f>
        <v>Senegal</v>
      </c>
      <c r="D13861">
        <f>IFERROR(__xludf.DUMMYFUNCTION("""COMPUTED_VALUE"""),1975.0)</f>
        <v>1975</v>
      </c>
      <c r="E13861">
        <f>IFERROR(__xludf.DUMMYFUNCTION("""COMPUTED_VALUE"""),4936209.0)</f>
        <v>4936209</v>
      </c>
    </row>
    <row r="13862">
      <c r="A13862" t="str">
        <f t="shared" si="1"/>
        <v>sen#1976</v>
      </c>
      <c r="B13862" t="str">
        <f>IFERROR(__xludf.DUMMYFUNCTION("""COMPUTED_VALUE"""),"sen")</f>
        <v>sen</v>
      </c>
      <c r="C13862" t="str">
        <f>IFERROR(__xludf.DUMMYFUNCTION("""COMPUTED_VALUE"""),"Senegal")</f>
        <v>Senegal</v>
      </c>
      <c r="D13862">
        <f>IFERROR(__xludf.DUMMYFUNCTION("""COMPUTED_VALUE"""),1976.0)</f>
        <v>1976</v>
      </c>
      <c r="E13862">
        <f>IFERROR(__xludf.DUMMYFUNCTION("""COMPUTED_VALUE"""),5064674.0)</f>
        <v>5064674</v>
      </c>
    </row>
    <row r="13863">
      <c r="A13863" t="str">
        <f t="shared" si="1"/>
        <v>sen#1977</v>
      </c>
      <c r="B13863" t="str">
        <f>IFERROR(__xludf.DUMMYFUNCTION("""COMPUTED_VALUE"""),"sen")</f>
        <v>sen</v>
      </c>
      <c r="C13863" t="str">
        <f>IFERROR(__xludf.DUMMYFUNCTION("""COMPUTED_VALUE"""),"Senegal")</f>
        <v>Senegal</v>
      </c>
      <c r="D13863">
        <f>IFERROR(__xludf.DUMMYFUNCTION("""COMPUTED_VALUE"""),1977.0)</f>
        <v>1977</v>
      </c>
      <c r="E13863">
        <f>IFERROR(__xludf.DUMMYFUNCTION("""COMPUTED_VALUE"""),5189539.0)</f>
        <v>5189539</v>
      </c>
    </row>
    <row r="13864">
      <c r="A13864" t="str">
        <f t="shared" si="1"/>
        <v>sen#1978</v>
      </c>
      <c r="B13864" t="str">
        <f>IFERROR(__xludf.DUMMYFUNCTION("""COMPUTED_VALUE"""),"sen")</f>
        <v>sen</v>
      </c>
      <c r="C13864" t="str">
        <f>IFERROR(__xludf.DUMMYFUNCTION("""COMPUTED_VALUE"""),"Senegal")</f>
        <v>Senegal</v>
      </c>
      <c r="D13864">
        <f>IFERROR(__xludf.DUMMYFUNCTION("""COMPUTED_VALUE"""),1978.0)</f>
        <v>1978</v>
      </c>
      <c r="E13864">
        <f>IFERROR(__xludf.DUMMYFUNCTION("""COMPUTED_VALUE"""),5315265.0)</f>
        <v>5315265</v>
      </c>
    </row>
    <row r="13865">
      <c r="A13865" t="str">
        <f t="shared" si="1"/>
        <v>sen#1979</v>
      </c>
      <c r="B13865" t="str">
        <f>IFERROR(__xludf.DUMMYFUNCTION("""COMPUTED_VALUE"""),"sen")</f>
        <v>sen</v>
      </c>
      <c r="C13865" t="str">
        <f>IFERROR(__xludf.DUMMYFUNCTION("""COMPUTED_VALUE"""),"Senegal")</f>
        <v>Senegal</v>
      </c>
      <c r="D13865">
        <f>IFERROR(__xludf.DUMMYFUNCTION("""COMPUTED_VALUE"""),1979.0)</f>
        <v>1979</v>
      </c>
      <c r="E13865">
        <f>IFERROR(__xludf.DUMMYFUNCTION("""COMPUTED_VALUE"""),5448110.0)</f>
        <v>5448110</v>
      </c>
    </row>
    <row r="13866">
      <c r="A13866" t="str">
        <f t="shared" si="1"/>
        <v>sen#1980</v>
      </c>
      <c r="B13866" t="str">
        <f>IFERROR(__xludf.DUMMYFUNCTION("""COMPUTED_VALUE"""),"sen")</f>
        <v>sen</v>
      </c>
      <c r="C13866" t="str">
        <f>IFERROR(__xludf.DUMMYFUNCTION("""COMPUTED_VALUE"""),"Senegal")</f>
        <v>Senegal</v>
      </c>
      <c r="D13866">
        <f>IFERROR(__xludf.DUMMYFUNCTION("""COMPUTED_VALUE"""),1980.0)</f>
        <v>1980</v>
      </c>
      <c r="E13866">
        <f>IFERROR(__xludf.DUMMYFUNCTION("""COMPUTED_VALUE"""),5592646.0)</f>
        <v>5592646</v>
      </c>
    </row>
    <row r="13867">
      <c r="A13867" t="str">
        <f t="shared" si="1"/>
        <v>sen#1981</v>
      </c>
      <c r="B13867" t="str">
        <f>IFERROR(__xludf.DUMMYFUNCTION("""COMPUTED_VALUE"""),"sen")</f>
        <v>sen</v>
      </c>
      <c r="C13867" t="str">
        <f>IFERROR(__xludf.DUMMYFUNCTION("""COMPUTED_VALUE"""),"Senegal")</f>
        <v>Senegal</v>
      </c>
      <c r="D13867">
        <f>IFERROR(__xludf.DUMMYFUNCTION("""COMPUTED_VALUE"""),1981.0)</f>
        <v>1981</v>
      </c>
      <c r="E13867">
        <f>IFERROR(__xludf.DUMMYFUNCTION("""COMPUTED_VALUE"""),5750338.0)</f>
        <v>5750338</v>
      </c>
    </row>
    <row r="13868">
      <c r="A13868" t="str">
        <f t="shared" si="1"/>
        <v>sen#1982</v>
      </c>
      <c r="B13868" t="str">
        <f>IFERROR(__xludf.DUMMYFUNCTION("""COMPUTED_VALUE"""),"sen")</f>
        <v>sen</v>
      </c>
      <c r="C13868" t="str">
        <f>IFERROR(__xludf.DUMMYFUNCTION("""COMPUTED_VALUE"""),"Senegal")</f>
        <v>Senegal</v>
      </c>
      <c r="D13868">
        <f>IFERROR(__xludf.DUMMYFUNCTION("""COMPUTED_VALUE"""),1982.0)</f>
        <v>1982</v>
      </c>
      <c r="E13868">
        <f>IFERROR(__xludf.DUMMYFUNCTION("""COMPUTED_VALUE"""),5920059.0)</f>
        <v>5920059</v>
      </c>
    </row>
    <row r="13869">
      <c r="A13869" t="str">
        <f t="shared" si="1"/>
        <v>sen#1983</v>
      </c>
      <c r="B13869" t="str">
        <f>IFERROR(__xludf.DUMMYFUNCTION("""COMPUTED_VALUE"""),"sen")</f>
        <v>sen</v>
      </c>
      <c r="C13869" t="str">
        <f>IFERROR(__xludf.DUMMYFUNCTION("""COMPUTED_VALUE"""),"Senegal")</f>
        <v>Senegal</v>
      </c>
      <c r="D13869">
        <f>IFERROR(__xludf.DUMMYFUNCTION("""COMPUTED_VALUE"""),1983.0)</f>
        <v>1983</v>
      </c>
      <c r="E13869">
        <f>IFERROR(__xludf.DUMMYFUNCTION("""COMPUTED_VALUE"""),6100495.0)</f>
        <v>6100495</v>
      </c>
    </row>
    <row r="13870">
      <c r="A13870" t="str">
        <f t="shared" si="1"/>
        <v>sen#1984</v>
      </c>
      <c r="B13870" t="str">
        <f>IFERROR(__xludf.DUMMYFUNCTION("""COMPUTED_VALUE"""),"sen")</f>
        <v>sen</v>
      </c>
      <c r="C13870" t="str">
        <f>IFERROR(__xludf.DUMMYFUNCTION("""COMPUTED_VALUE"""),"Senegal")</f>
        <v>Senegal</v>
      </c>
      <c r="D13870">
        <f>IFERROR(__xludf.DUMMYFUNCTION("""COMPUTED_VALUE"""),1984.0)</f>
        <v>1984</v>
      </c>
      <c r="E13870">
        <f>IFERROR(__xludf.DUMMYFUNCTION("""COMPUTED_VALUE"""),6289327.0)</f>
        <v>6289327</v>
      </c>
    </row>
    <row r="13871">
      <c r="A13871" t="str">
        <f t="shared" si="1"/>
        <v>sen#1985</v>
      </c>
      <c r="B13871" t="str">
        <f>IFERROR(__xludf.DUMMYFUNCTION("""COMPUTED_VALUE"""),"sen")</f>
        <v>sen</v>
      </c>
      <c r="C13871" t="str">
        <f>IFERROR(__xludf.DUMMYFUNCTION("""COMPUTED_VALUE"""),"Senegal")</f>
        <v>Senegal</v>
      </c>
      <c r="D13871">
        <f>IFERROR(__xludf.DUMMYFUNCTION("""COMPUTED_VALUE"""),1985.0)</f>
        <v>1985</v>
      </c>
      <c r="E13871">
        <f>IFERROR(__xludf.DUMMYFUNCTION("""COMPUTED_VALUE"""),6484738.0)</f>
        <v>6484738</v>
      </c>
    </row>
    <row r="13872">
      <c r="A13872" t="str">
        <f t="shared" si="1"/>
        <v>sen#1986</v>
      </c>
      <c r="B13872" t="str">
        <f>IFERROR(__xludf.DUMMYFUNCTION("""COMPUTED_VALUE"""),"sen")</f>
        <v>sen</v>
      </c>
      <c r="C13872" t="str">
        <f>IFERROR(__xludf.DUMMYFUNCTION("""COMPUTED_VALUE"""),"Senegal")</f>
        <v>Senegal</v>
      </c>
      <c r="D13872">
        <f>IFERROR(__xludf.DUMMYFUNCTION("""COMPUTED_VALUE"""),1986.0)</f>
        <v>1986</v>
      </c>
      <c r="E13872">
        <f>IFERROR(__xludf.DUMMYFUNCTION("""COMPUTED_VALUE"""),6686159.0)</f>
        <v>6686159</v>
      </c>
    </row>
    <row r="13873">
      <c r="A13873" t="str">
        <f t="shared" si="1"/>
        <v>sen#1987</v>
      </c>
      <c r="B13873" t="str">
        <f>IFERROR(__xludf.DUMMYFUNCTION("""COMPUTED_VALUE"""),"sen")</f>
        <v>sen</v>
      </c>
      <c r="C13873" t="str">
        <f>IFERROR(__xludf.DUMMYFUNCTION("""COMPUTED_VALUE"""),"Senegal")</f>
        <v>Senegal</v>
      </c>
      <c r="D13873">
        <f>IFERROR(__xludf.DUMMYFUNCTION("""COMPUTED_VALUE"""),1987.0)</f>
        <v>1987</v>
      </c>
      <c r="E13873">
        <f>IFERROR(__xludf.DUMMYFUNCTION("""COMPUTED_VALUE"""),6893896.0)</f>
        <v>6893896</v>
      </c>
    </row>
    <row r="13874">
      <c r="A13874" t="str">
        <f t="shared" si="1"/>
        <v>sen#1988</v>
      </c>
      <c r="B13874" t="str">
        <f>IFERROR(__xludf.DUMMYFUNCTION("""COMPUTED_VALUE"""),"sen")</f>
        <v>sen</v>
      </c>
      <c r="C13874" t="str">
        <f>IFERROR(__xludf.DUMMYFUNCTION("""COMPUTED_VALUE"""),"Senegal")</f>
        <v>Senegal</v>
      </c>
      <c r="D13874">
        <f>IFERROR(__xludf.DUMMYFUNCTION("""COMPUTED_VALUE"""),1988.0)</f>
        <v>1988</v>
      </c>
      <c r="E13874">
        <f>IFERROR(__xludf.DUMMYFUNCTION("""COMPUTED_VALUE"""),7107976.0)</f>
        <v>7107976</v>
      </c>
    </row>
    <row r="13875">
      <c r="A13875" t="str">
        <f t="shared" si="1"/>
        <v>sen#1989</v>
      </c>
      <c r="B13875" t="str">
        <f>IFERROR(__xludf.DUMMYFUNCTION("""COMPUTED_VALUE"""),"sen")</f>
        <v>sen</v>
      </c>
      <c r="C13875" t="str">
        <f>IFERROR(__xludf.DUMMYFUNCTION("""COMPUTED_VALUE"""),"Senegal")</f>
        <v>Senegal</v>
      </c>
      <c r="D13875">
        <f>IFERROR(__xludf.DUMMYFUNCTION("""COMPUTED_VALUE"""),1989.0)</f>
        <v>1989</v>
      </c>
      <c r="E13875">
        <f>IFERROR(__xludf.DUMMYFUNCTION("""COMPUTED_VALUE"""),7328600.0)</f>
        <v>7328600</v>
      </c>
    </row>
    <row r="13876">
      <c r="A13876" t="str">
        <f t="shared" si="1"/>
        <v>sen#1990</v>
      </c>
      <c r="B13876" t="str">
        <f>IFERROR(__xludf.DUMMYFUNCTION("""COMPUTED_VALUE"""),"sen")</f>
        <v>sen</v>
      </c>
      <c r="C13876" t="str">
        <f>IFERROR(__xludf.DUMMYFUNCTION("""COMPUTED_VALUE"""),"Senegal")</f>
        <v>Senegal</v>
      </c>
      <c r="D13876">
        <f>IFERROR(__xludf.DUMMYFUNCTION("""COMPUTED_VALUE"""),1990.0)</f>
        <v>1990</v>
      </c>
      <c r="E13876">
        <f>IFERROR(__xludf.DUMMYFUNCTION("""COMPUTED_VALUE"""),7555617.0)</f>
        <v>7555617</v>
      </c>
    </row>
    <row r="13877">
      <c r="A13877" t="str">
        <f t="shared" si="1"/>
        <v>sen#1991</v>
      </c>
      <c r="B13877" t="str">
        <f>IFERROR(__xludf.DUMMYFUNCTION("""COMPUTED_VALUE"""),"sen")</f>
        <v>sen</v>
      </c>
      <c r="C13877" t="str">
        <f>IFERROR(__xludf.DUMMYFUNCTION("""COMPUTED_VALUE"""),"Senegal")</f>
        <v>Senegal</v>
      </c>
      <c r="D13877">
        <f>IFERROR(__xludf.DUMMYFUNCTION("""COMPUTED_VALUE"""),1991.0)</f>
        <v>1991</v>
      </c>
      <c r="E13877">
        <f>IFERROR(__xludf.DUMMYFUNCTION("""COMPUTED_VALUE"""),7789653.0)</f>
        <v>7789653</v>
      </c>
    </row>
    <row r="13878">
      <c r="A13878" t="str">
        <f t="shared" si="1"/>
        <v>sen#1992</v>
      </c>
      <c r="B13878" t="str">
        <f>IFERROR(__xludf.DUMMYFUNCTION("""COMPUTED_VALUE"""),"sen")</f>
        <v>sen</v>
      </c>
      <c r="C13878" t="str">
        <f>IFERROR(__xludf.DUMMYFUNCTION("""COMPUTED_VALUE"""),"Senegal")</f>
        <v>Senegal</v>
      </c>
      <c r="D13878">
        <f>IFERROR(__xludf.DUMMYFUNCTION("""COMPUTED_VALUE"""),1992.0)</f>
        <v>1992</v>
      </c>
      <c r="E13878">
        <f>IFERROR(__xludf.DUMMYFUNCTION("""COMPUTED_VALUE"""),8029725.0)</f>
        <v>8029725</v>
      </c>
    </row>
    <row r="13879">
      <c r="A13879" t="str">
        <f t="shared" si="1"/>
        <v>sen#1993</v>
      </c>
      <c r="B13879" t="str">
        <f>IFERROR(__xludf.DUMMYFUNCTION("""COMPUTED_VALUE"""),"sen")</f>
        <v>sen</v>
      </c>
      <c r="C13879" t="str">
        <f>IFERROR(__xludf.DUMMYFUNCTION("""COMPUTED_VALUE"""),"Senegal")</f>
        <v>Senegal</v>
      </c>
      <c r="D13879">
        <f>IFERROR(__xludf.DUMMYFUNCTION("""COMPUTED_VALUE"""),1993.0)</f>
        <v>1993</v>
      </c>
      <c r="E13879">
        <f>IFERROR(__xludf.DUMMYFUNCTION("""COMPUTED_VALUE"""),8272170.0)</f>
        <v>8272170</v>
      </c>
    </row>
    <row r="13880">
      <c r="A13880" t="str">
        <f t="shared" si="1"/>
        <v>sen#1994</v>
      </c>
      <c r="B13880" t="str">
        <f>IFERROR(__xludf.DUMMYFUNCTION("""COMPUTED_VALUE"""),"sen")</f>
        <v>sen</v>
      </c>
      <c r="C13880" t="str">
        <f>IFERROR(__xludf.DUMMYFUNCTION("""COMPUTED_VALUE"""),"Senegal")</f>
        <v>Senegal</v>
      </c>
      <c r="D13880">
        <f>IFERROR(__xludf.DUMMYFUNCTION("""COMPUTED_VALUE"""),1994.0)</f>
        <v>1994</v>
      </c>
      <c r="E13880">
        <f>IFERROR(__xludf.DUMMYFUNCTION("""COMPUTED_VALUE"""),8512173.0)</f>
        <v>8512173</v>
      </c>
    </row>
    <row r="13881">
      <c r="A13881" t="str">
        <f t="shared" si="1"/>
        <v>sen#1995</v>
      </c>
      <c r="B13881" t="str">
        <f>IFERROR(__xludf.DUMMYFUNCTION("""COMPUTED_VALUE"""),"sen")</f>
        <v>sen</v>
      </c>
      <c r="C13881" t="str">
        <f>IFERROR(__xludf.DUMMYFUNCTION("""COMPUTED_VALUE"""),"Senegal")</f>
        <v>Senegal</v>
      </c>
      <c r="D13881">
        <f>IFERROR(__xludf.DUMMYFUNCTION("""COMPUTED_VALUE"""),1995.0)</f>
        <v>1995</v>
      </c>
      <c r="E13881">
        <f>IFERROR(__xludf.DUMMYFUNCTION("""COMPUTED_VALUE"""),8746606.0)</f>
        <v>8746606</v>
      </c>
    </row>
    <row r="13882">
      <c r="A13882" t="str">
        <f t="shared" si="1"/>
        <v>sen#1996</v>
      </c>
      <c r="B13882" t="str">
        <f>IFERROR(__xludf.DUMMYFUNCTION("""COMPUTED_VALUE"""),"sen")</f>
        <v>sen</v>
      </c>
      <c r="C13882" t="str">
        <f>IFERROR(__xludf.DUMMYFUNCTION("""COMPUTED_VALUE"""),"Senegal")</f>
        <v>Senegal</v>
      </c>
      <c r="D13882">
        <f>IFERROR(__xludf.DUMMYFUNCTION("""COMPUTED_VALUE"""),1996.0)</f>
        <v>1996</v>
      </c>
      <c r="E13882">
        <f>IFERROR(__xludf.DUMMYFUNCTION("""COMPUTED_VALUE"""),8974077.0)</f>
        <v>8974077</v>
      </c>
    </row>
    <row r="13883">
      <c r="A13883" t="str">
        <f t="shared" si="1"/>
        <v>sen#1997</v>
      </c>
      <c r="B13883" t="str">
        <f>IFERROR(__xludf.DUMMYFUNCTION("""COMPUTED_VALUE"""),"sen")</f>
        <v>sen</v>
      </c>
      <c r="C13883" t="str">
        <f>IFERROR(__xludf.DUMMYFUNCTION("""COMPUTED_VALUE"""),"Senegal")</f>
        <v>Senegal</v>
      </c>
      <c r="D13883">
        <f>IFERROR(__xludf.DUMMYFUNCTION("""COMPUTED_VALUE"""),1997.0)</f>
        <v>1997</v>
      </c>
      <c r="E13883">
        <f>IFERROR(__xludf.DUMMYFUNCTION("""COMPUTED_VALUE"""),9196528.0)</f>
        <v>9196528</v>
      </c>
    </row>
    <row r="13884">
      <c r="A13884" t="str">
        <f t="shared" si="1"/>
        <v>sen#1998</v>
      </c>
      <c r="B13884" t="str">
        <f>IFERROR(__xludf.DUMMYFUNCTION("""COMPUTED_VALUE"""),"sen")</f>
        <v>sen</v>
      </c>
      <c r="C13884" t="str">
        <f>IFERROR(__xludf.DUMMYFUNCTION("""COMPUTED_VALUE"""),"Senegal")</f>
        <v>Senegal</v>
      </c>
      <c r="D13884">
        <f>IFERROR(__xludf.DUMMYFUNCTION("""COMPUTED_VALUE"""),1998.0)</f>
        <v>1998</v>
      </c>
      <c r="E13884">
        <f>IFERROR(__xludf.DUMMYFUNCTION("""COMPUTED_VALUE"""),9418393.0)</f>
        <v>9418393</v>
      </c>
    </row>
    <row r="13885">
      <c r="A13885" t="str">
        <f t="shared" si="1"/>
        <v>sen#1999</v>
      </c>
      <c r="B13885" t="str">
        <f>IFERROR(__xludf.DUMMYFUNCTION("""COMPUTED_VALUE"""),"sen")</f>
        <v>sen</v>
      </c>
      <c r="C13885" t="str">
        <f>IFERROR(__xludf.DUMMYFUNCTION("""COMPUTED_VALUE"""),"Senegal")</f>
        <v>Senegal</v>
      </c>
      <c r="D13885">
        <f>IFERROR(__xludf.DUMMYFUNCTION("""COMPUTED_VALUE"""),1999.0)</f>
        <v>1999</v>
      </c>
      <c r="E13885">
        <f>IFERROR(__xludf.DUMMYFUNCTION("""COMPUTED_VALUE"""),9645957.0)</f>
        <v>9645957</v>
      </c>
    </row>
    <row r="13886">
      <c r="A13886" t="str">
        <f t="shared" si="1"/>
        <v>sen#2000</v>
      </c>
      <c r="B13886" t="str">
        <f>IFERROR(__xludf.DUMMYFUNCTION("""COMPUTED_VALUE"""),"sen")</f>
        <v>sen</v>
      </c>
      <c r="C13886" t="str">
        <f>IFERROR(__xludf.DUMMYFUNCTION("""COMPUTED_VALUE"""),"Senegal")</f>
        <v>Senegal</v>
      </c>
      <c r="D13886">
        <f>IFERROR(__xludf.DUMMYFUNCTION("""COMPUTED_VALUE"""),2000.0)</f>
        <v>2000</v>
      </c>
      <c r="E13886">
        <f>IFERROR(__xludf.DUMMYFUNCTION("""COMPUTED_VALUE"""),9884052.0)</f>
        <v>9884052</v>
      </c>
    </row>
    <row r="13887">
      <c r="A13887" t="str">
        <f t="shared" si="1"/>
        <v>sen#2001</v>
      </c>
      <c r="B13887" t="str">
        <f>IFERROR(__xludf.DUMMYFUNCTION("""COMPUTED_VALUE"""),"sen")</f>
        <v>sen</v>
      </c>
      <c r="C13887" t="str">
        <f>IFERROR(__xludf.DUMMYFUNCTION("""COMPUTED_VALUE"""),"Senegal")</f>
        <v>Senegal</v>
      </c>
      <c r="D13887">
        <f>IFERROR(__xludf.DUMMYFUNCTION("""COMPUTED_VALUE"""),2001.0)</f>
        <v>2001</v>
      </c>
      <c r="E13887">
        <f>IFERROR(__xludf.DUMMYFUNCTION("""COMPUTED_VALUE"""),1.0134497E7)</f>
        <v>10134497</v>
      </c>
    </row>
    <row r="13888">
      <c r="A13888" t="str">
        <f t="shared" si="1"/>
        <v>sen#2002</v>
      </c>
      <c r="B13888" t="str">
        <f>IFERROR(__xludf.DUMMYFUNCTION("""COMPUTED_VALUE"""),"sen")</f>
        <v>sen</v>
      </c>
      <c r="C13888" t="str">
        <f>IFERROR(__xludf.DUMMYFUNCTION("""COMPUTED_VALUE"""),"Senegal")</f>
        <v>Senegal</v>
      </c>
      <c r="D13888">
        <f>IFERROR(__xludf.DUMMYFUNCTION("""COMPUTED_VALUE"""),2002.0)</f>
        <v>2002</v>
      </c>
      <c r="E13888">
        <f>IFERROR(__xludf.DUMMYFUNCTION("""COMPUTED_VALUE"""),1.0396861E7)</f>
        <v>10396861</v>
      </c>
    </row>
    <row r="13889">
      <c r="A13889" t="str">
        <f t="shared" si="1"/>
        <v>sen#2003</v>
      </c>
      <c r="B13889" t="str">
        <f>IFERROR(__xludf.DUMMYFUNCTION("""COMPUTED_VALUE"""),"sen")</f>
        <v>sen</v>
      </c>
      <c r="C13889" t="str">
        <f>IFERROR(__xludf.DUMMYFUNCTION("""COMPUTED_VALUE"""),"Senegal")</f>
        <v>Senegal</v>
      </c>
      <c r="D13889">
        <f>IFERROR(__xludf.DUMMYFUNCTION("""COMPUTED_VALUE"""),2003.0)</f>
        <v>2003</v>
      </c>
      <c r="E13889">
        <f>IFERROR(__xludf.DUMMYFUNCTION("""COMPUTED_VALUE"""),1.067099E7)</f>
        <v>10670990</v>
      </c>
    </row>
    <row r="13890">
      <c r="A13890" t="str">
        <f t="shared" si="1"/>
        <v>sen#2004</v>
      </c>
      <c r="B13890" t="str">
        <f>IFERROR(__xludf.DUMMYFUNCTION("""COMPUTED_VALUE"""),"sen")</f>
        <v>sen</v>
      </c>
      <c r="C13890" t="str">
        <f>IFERROR(__xludf.DUMMYFUNCTION("""COMPUTED_VALUE"""),"Senegal")</f>
        <v>Senegal</v>
      </c>
      <c r="D13890">
        <f>IFERROR(__xludf.DUMMYFUNCTION("""COMPUTED_VALUE"""),2004.0)</f>
        <v>2004</v>
      </c>
      <c r="E13890">
        <f>IFERROR(__xludf.DUMMYFUNCTION("""COMPUTED_VALUE"""),1.0955944E7)</f>
        <v>10955944</v>
      </c>
    </row>
    <row r="13891">
      <c r="A13891" t="str">
        <f t="shared" si="1"/>
        <v>sen#2005</v>
      </c>
      <c r="B13891" t="str">
        <f>IFERROR(__xludf.DUMMYFUNCTION("""COMPUTED_VALUE"""),"sen")</f>
        <v>sen</v>
      </c>
      <c r="C13891" t="str">
        <f>IFERROR(__xludf.DUMMYFUNCTION("""COMPUTED_VALUE"""),"Senegal")</f>
        <v>Senegal</v>
      </c>
      <c r="D13891">
        <f>IFERROR(__xludf.DUMMYFUNCTION("""COMPUTED_VALUE"""),2005.0)</f>
        <v>2005</v>
      </c>
      <c r="E13891">
        <f>IFERROR(__xludf.DUMMYFUNCTION("""COMPUTED_VALUE"""),1.1251266E7)</f>
        <v>11251266</v>
      </c>
    </row>
    <row r="13892">
      <c r="A13892" t="str">
        <f t="shared" si="1"/>
        <v>sen#2006</v>
      </c>
      <c r="B13892" t="str">
        <f>IFERROR(__xludf.DUMMYFUNCTION("""COMPUTED_VALUE"""),"sen")</f>
        <v>sen</v>
      </c>
      <c r="C13892" t="str">
        <f>IFERROR(__xludf.DUMMYFUNCTION("""COMPUTED_VALUE"""),"Senegal")</f>
        <v>Senegal</v>
      </c>
      <c r="D13892">
        <f>IFERROR(__xludf.DUMMYFUNCTION("""COMPUTED_VALUE"""),2006.0)</f>
        <v>2006</v>
      </c>
      <c r="E13892">
        <f>IFERROR(__xludf.DUMMYFUNCTION("""COMPUTED_VALUE"""),1.1556763E7)</f>
        <v>11556763</v>
      </c>
    </row>
    <row r="13893">
      <c r="A13893" t="str">
        <f t="shared" si="1"/>
        <v>sen#2007</v>
      </c>
      <c r="B13893" t="str">
        <f>IFERROR(__xludf.DUMMYFUNCTION("""COMPUTED_VALUE"""),"sen")</f>
        <v>sen</v>
      </c>
      <c r="C13893" t="str">
        <f>IFERROR(__xludf.DUMMYFUNCTION("""COMPUTED_VALUE"""),"Senegal")</f>
        <v>Senegal</v>
      </c>
      <c r="D13893">
        <f>IFERROR(__xludf.DUMMYFUNCTION("""COMPUTED_VALUE"""),2007.0)</f>
        <v>2007</v>
      </c>
      <c r="E13893">
        <f>IFERROR(__xludf.DUMMYFUNCTION("""COMPUTED_VALUE"""),1.1873557E7)</f>
        <v>11873557</v>
      </c>
    </row>
    <row r="13894">
      <c r="A13894" t="str">
        <f t="shared" si="1"/>
        <v>sen#2008</v>
      </c>
      <c r="B13894" t="str">
        <f>IFERROR(__xludf.DUMMYFUNCTION("""COMPUTED_VALUE"""),"sen")</f>
        <v>sen</v>
      </c>
      <c r="C13894" t="str">
        <f>IFERROR(__xludf.DUMMYFUNCTION("""COMPUTED_VALUE"""),"Senegal")</f>
        <v>Senegal</v>
      </c>
      <c r="D13894">
        <f>IFERROR(__xludf.DUMMYFUNCTION("""COMPUTED_VALUE"""),2008.0)</f>
        <v>2008</v>
      </c>
      <c r="E13894">
        <f>IFERROR(__xludf.DUMMYFUNCTION("""COMPUTED_VALUE"""),1.2203957E7)</f>
        <v>12203957</v>
      </c>
    </row>
    <row r="13895">
      <c r="A13895" t="str">
        <f t="shared" si="1"/>
        <v>sen#2009</v>
      </c>
      <c r="B13895" t="str">
        <f>IFERROR(__xludf.DUMMYFUNCTION("""COMPUTED_VALUE"""),"sen")</f>
        <v>sen</v>
      </c>
      <c r="C13895" t="str">
        <f>IFERROR(__xludf.DUMMYFUNCTION("""COMPUTED_VALUE"""),"Senegal")</f>
        <v>Senegal</v>
      </c>
      <c r="D13895">
        <f>IFERROR(__xludf.DUMMYFUNCTION("""COMPUTED_VALUE"""),2009.0)</f>
        <v>2009</v>
      </c>
      <c r="E13895">
        <f>IFERROR(__xludf.DUMMYFUNCTION("""COMPUTED_VALUE"""),1.2550917E7)</f>
        <v>12550917</v>
      </c>
    </row>
    <row r="13896">
      <c r="A13896" t="str">
        <f t="shared" si="1"/>
        <v>sen#2010</v>
      </c>
      <c r="B13896" t="str">
        <f>IFERROR(__xludf.DUMMYFUNCTION("""COMPUTED_VALUE"""),"sen")</f>
        <v>sen</v>
      </c>
      <c r="C13896" t="str">
        <f>IFERROR(__xludf.DUMMYFUNCTION("""COMPUTED_VALUE"""),"Senegal")</f>
        <v>Senegal</v>
      </c>
      <c r="D13896">
        <f>IFERROR(__xludf.DUMMYFUNCTION("""COMPUTED_VALUE"""),2010.0)</f>
        <v>2010</v>
      </c>
      <c r="E13896">
        <f>IFERROR(__xludf.DUMMYFUNCTION("""COMPUTED_VALUE"""),1.2916229E7)</f>
        <v>12916229</v>
      </c>
    </row>
    <row r="13897">
      <c r="A13897" t="str">
        <f t="shared" si="1"/>
        <v>sen#2011</v>
      </c>
      <c r="B13897" t="str">
        <f>IFERROR(__xludf.DUMMYFUNCTION("""COMPUTED_VALUE"""),"sen")</f>
        <v>sen</v>
      </c>
      <c r="C13897" t="str">
        <f>IFERROR(__xludf.DUMMYFUNCTION("""COMPUTED_VALUE"""),"Senegal")</f>
        <v>Senegal</v>
      </c>
      <c r="D13897">
        <f>IFERROR(__xludf.DUMMYFUNCTION("""COMPUTED_VALUE"""),2011.0)</f>
        <v>2011</v>
      </c>
      <c r="E13897">
        <f>IFERROR(__xludf.DUMMYFUNCTION("""COMPUTED_VALUE"""),1.330091E7)</f>
        <v>13300910</v>
      </c>
    </row>
    <row r="13898">
      <c r="A13898" t="str">
        <f t="shared" si="1"/>
        <v>sen#2012</v>
      </c>
      <c r="B13898" t="str">
        <f>IFERROR(__xludf.DUMMYFUNCTION("""COMPUTED_VALUE"""),"sen")</f>
        <v>sen</v>
      </c>
      <c r="C13898" t="str">
        <f>IFERROR(__xludf.DUMMYFUNCTION("""COMPUTED_VALUE"""),"Senegal")</f>
        <v>Senegal</v>
      </c>
      <c r="D13898">
        <f>IFERROR(__xludf.DUMMYFUNCTION("""COMPUTED_VALUE"""),2012.0)</f>
        <v>2012</v>
      </c>
      <c r="E13898">
        <f>IFERROR(__xludf.DUMMYFUNCTION("""COMPUTED_VALUE"""),1.3703513E7)</f>
        <v>13703513</v>
      </c>
    </row>
    <row r="13899">
      <c r="A13899" t="str">
        <f t="shared" si="1"/>
        <v>sen#2013</v>
      </c>
      <c r="B13899" t="str">
        <f>IFERROR(__xludf.DUMMYFUNCTION("""COMPUTED_VALUE"""),"sen")</f>
        <v>sen</v>
      </c>
      <c r="C13899" t="str">
        <f>IFERROR(__xludf.DUMMYFUNCTION("""COMPUTED_VALUE"""),"Senegal")</f>
        <v>Senegal</v>
      </c>
      <c r="D13899">
        <f>IFERROR(__xludf.DUMMYFUNCTION("""COMPUTED_VALUE"""),2013.0)</f>
        <v>2013</v>
      </c>
      <c r="E13899">
        <f>IFERROR(__xludf.DUMMYFUNCTION("""COMPUTED_VALUE"""),1.412032E7)</f>
        <v>14120320</v>
      </c>
    </row>
    <row r="13900">
      <c r="A13900" t="str">
        <f t="shared" si="1"/>
        <v>sen#2014</v>
      </c>
      <c r="B13900" t="str">
        <f>IFERROR(__xludf.DUMMYFUNCTION("""COMPUTED_VALUE"""),"sen")</f>
        <v>sen</v>
      </c>
      <c r="C13900" t="str">
        <f>IFERROR(__xludf.DUMMYFUNCTION("""COMPUTED_VALUE"""),"Senegal")</f>
        <v>Senegal</v>
      </c>
      <c r="D13900">
        <f>IFERROR(__xludf.DUMMYFUNCTION("""COMPUTED_VALUE"""),2014.0)</f>
        <v>2014</v>
      </c>
      <c r="E13900">
        <f>IFERROR(__xludf.DUMMYFUNCTION("""COMPUTED_VALUE"""),1.4546111E7)</f>
        <v>14546111</v>
      </c>
    </row>
    <row r="13901">
      <c r="A13901" t="str">
        <f t="shared" si="1"/>
        <v>sen#2015</v>
      </c>
      <c r="B13901" t="str">
        <f>IFERROR(__xludf.DUMMYFUNCTION("""COMPUTED_VALUE"""),"sen")</f>
        <v>sen</v>
      </c>
      <c r="C13901" t="str">
        <f>IFERROR(__xludf.DUMMYFUNCTION("""COMPUTED_VALUE"""),"Senegal")</f>
        <v>Senegal</v>
      </c>
      <c r="D13901">
        <f>IFERROR(__xludf.DUMMYFUNCTION("""COMPUTED_VALUE"""),2015.0)</f>
        <v>2015</v>
      </c>
      <c r="E13901">
        <f>IFERROR(__xludf.DUMMYFUNCTION("""COMPUTED_VALUE"""),1.4976994E7)</f>
        <v>14976994</v>
      </c>
    </row>
    <row r="13902">
      <c r="A13902" t="str">
        <f t="shared" si="1"/>
        <v>sen#2016</v>
      </c>
      <c r="B13902" t="str">
        <f>IFERROR(__xludf.DUMMYFUNCTION("""COMPUTED_VALUE"""),"sen")</f>
        <v>sen</v>
      </c>
      <c r="C13902" t="str">
        <f>IFERROR(__xludf.DUMMYFUNCTION("""COMPUTED_VALUE"""),"Senegal")</f>
        <v>Senegal</v>
      </c>
      <c r="D13902">
        <f>IFERROR(__xludf.DUMMYFUNCTION("""COMPUTED_VALUE"""),2016.0)</f>
        <v>2016</v>
      </c>
      <c r="E13902">
        <f>IFERROR(__xludf.DUMMYFUNCTION("""COMPUTED_VALUE"""),1.5411614E7)</f>
        <v>15411614</v>
      </c>
    </row>
    <row r="13903">
      <c r="A13903" t="str">
        <f t="shared" si="1"/>
        <v>sen#2017</v>
      </c>
      <c r="B13903" t="str">
        <f>IFERROR(__xludf.DUMMYFUNCTION("""COMPUTED_VALUE"""),"sen")</f>
        <v>sen</v>
      </c>
      <c r="C13903" t="str">
        <f>IFERROR(__xludf.DUMMYFUNCTION("""COMPUTED_VALUE"""),"Senegal")</f>
        <v>Senegal</v>
      </c>
      <c r="D13903">
        <f>IFERROR(__xludf.DUMMYFUNCTION("""COMPUTED_VALUE"""),2017.0)</f>
        <v>2017</v>
      </c>
      <c r="E13903">
        <f>IFERROR(__xludf.DUMMYFUNCTION("""COMPUTED_VALUE"""),1.5850567E7)</f>
        <v>15850567</v>
      </c>
    </row>
    <row r="13904">
      <c r="A13904" t="str">
        <f t="shared" si="1"/>
        <v>sen#2018</v>
      </c>
      <c r="B13904" t="str">
        <f>IFERROR(__xludf.DUMMYFUNCTION("""COMPUTED_VALUE"""),"sen")</f>
        <v>sen</v>
      </c>
      <c r="C13904" t="str">
        <f>IFERROR(__xludf.DUMMYFUNCTION("""COMPUTED_VALUE"""),"Senegal")</f>
        <v>Senegal</v>
      </c>
      <c r="D13904">
        <f>IFERROR(__xludf.DUMMYFUNCTION("""COMPUTED_VALUE"""),2018.0)</f>
        <v>2018</v>
      </c>
      <c r="E13904">
        <f>IFERROR(__xludf.DUMMYFUNCTION("""COMPUTED_VALUE"""),1.629427E7)</f>
        <v>16294270</v>
      </c>
    </row>
    <row r="13905">
      <c r="A13905" t="str">
        <f t="shared" si="1"/>
        <v>sen#2019</v>
      </c>
      <c r="B13905" t="str">
        <f>IFERROR(__xludf.DUMMYFUNCTION("""COMPUTED_VALUE"""),"sen")</f>
        <v>sen</v>
      </c>
      <c r="C13905" t="str">
        <f>IFERROR(__xludf.DUMMYFUNCTION("""COMPUTED_VALUE"""),"Senegal")</f>
        <v>Senegal</v>
      </c>
      <c r="D13905">
        <f>IFERROR(__xludf.DUMMYFUNCTION("""COMPUTED_VALUE"""),2019.0)</f>
        <v>2019</v>
      </c>
      <c r="E13905">
        <f>IFERROR(__xludf.DUMMYFUNCTION("""COMPUTED_VALUE"""),1.6743859E7)</f>
        <v>16743859</v>
      </c>
    </row>
    <row r="13906">
      <c r="A13906" t="str">
        <f t="shared" si="1"/>
        <v>sen#2020</v>
      </c>
      <c r="B13906" t="str">
        <f>IFERROR(__xludf.DUMMYFUNCTION("""COMPUTED_VALUE"""),"sen")</f>
        <v>sen</v>
      </c>
      <c r="C13906" t="str">
        <f>IFERROR(__xludf.DUMMYFUNCTION("""COMPUTED_VALUE"""),"Senegal")</f>
        <v>Senegal</v>
      </c>
      <c r="D13906">
        <f>IFERROR(__xludf.DUMMYFUNCTION("""COMPUTED_VALUE"""),2020.0)</f>
        <v>2020</v>
      </c>
      <c r="E13906">
        <f>IFERROR(__xludf.DUMMYFUNCTION("""COMPUTED_VALUE"""),1.7200154E7)</f>
        <v>17200154</v>
      </c>
    </row>
    <row r="13907">
      <c r="A13907" t="str">
        <f t="shared" si="1"/>
        <v>sen#2021</v>
      </c>
      <c r="B13907" t="str">
        <f>IFERROR(__xludf.DUMMYFUNCTION("""COMPUTED_VALUE"""),"sen")</f>
        <v>sen</v>
      </c>
      <c r="C13907" t="str">
        <f>IFERROR(__xludf.DUMMYFUNCTION("""COMPUTED_VALUE"""),"Senegal")</f>
        <v>Senegal</v>
      </c>
      <c r="D13907">
        <f>IFERROR(__xludf.DUMMYFUNCTION("""COMPUTED_VALUE"""),2021.0)</f>
        <v>2021</v>
      </c>
      <c r="E13907">
        <f>IFERROR(__xludf.DUMMYFUNCTION("""COMPUTED_VALUE"""),1.7662986E7)</f>
        <v>17662986</v>
      </c>
    </row>
    <row r="13908">
      <c r="A13908" t="str">
        <f t="shared" si="1"/>
        <v>sen#2022</v>
      </c>
      <c r="B13908" t="str">
        <f>IFERROR(__xludf.DUMMYFUNCTION("""COMPUTED_VALUE"""),"sen")</f>
        <v>sen</v>
      </c>
      <c r="C13908" t="str">
        <f>IFERROR(__xludf.DUMMYFUNCTION("""COMPUTED_VALUE"""),"Senegal")</f>
        <v>Senegal</v>
      </c>
      <c r="D13908">
        <f>IFERROR(__xludf.DUMMYFUNCTION("""COMPUTED_VALUE"""),2022.0)</f>
        <v>2022</v>
      </c>
      <c r="E13908">
        <f>IFERROR(__xludf.DUMMYFUNCTION("""COMPUTED_VALUE"""),1.8131864E7)</f>
        <v>18131864</v>
      </c>
    </row>
    <row r="13909">
      <c r="A13909" t="str">
        <f t="shared" si="1"/>
        <v>sen#2023</v>
      </c>
      <c r="B13909" t="str">
        <f>IFERROR(__xludf.DUMMYFUNCTION("""COMPUTED_VALUE"""),"sen")</f>
        <v>sen</v>
      </c>
      <c r="C13909" t="str">
        <f>IFERROR(__xludf.DUMMYFUNCTION("""COMPUTED_VALUE"""),"Senegal")</f>
        <v>Senegal</v>
      </c>
      <c r="D13909">
        <f>IFERROR(__xludf.DUMMYFUNCTION("""COMPUTED_VALUE"""),2023.0)</f>
        <v>2023</v>
      </c>
      <c r="E13909">
        <f>IFERROR(__xludf.DUMMYFUNCTION("""COMPUTED_VALUE"""),1.8606962E7)</f>
        <v>18606962</v>
      </c>
    </row>
    <row r="13910">
      <c r="A13910" t="str">
        <f t="shared" si="1"/>
        <v>sen#2024</v>
      </c>
      <c r="B13910" t="str">
        <f>IFERROR(__xludf.DUMMYFUNCTION("""COMPUTED_VALUE"""),"sen")</f>
        <v>sen</v>
      </c>
      <c r="C13910" t="str">
        <f>IFERROR(__xludf.DUMMYFUNCTION("""COMPUTED_VALUE"""),"Senegal")</f>
        <v>Senegal</v>
      </c>
      <c r="D13910">
        <f>IFERROR(__xludf.DUMMYFUNCTION("""COMPUTED_VALUE"""),2024.0)</f>
        <v>2024</v>
      </c>
      <c r="E13910">
        <f>IFERROR(__xludf.DUMMYFUNCTION("""COMPUTED_VALUE"""),1.9088521E7)</f>
        <v>19088521</v>
      </c>
    </row>
    <row r="13911">
      <c r="A13911" t="str">
        <f t="shared" si="1"/>
        <v>sen#2025</v>
      </c>
      <c r="B13911" t="str">
        <f>IFERROR(__xludf.DUMMYFUNCTION("""COMPUTED_VALUE"""),"sen")</f>
        <v>sen</v>
      </c>
      <c r="C13911" t="str">
        <f>IFERROR(__xludf.DUMMYFUNCTION("""COMPUTED_VALUE"""),"Senegal")</f>
        <v>Senegal</v>
      </c>
      <c r="D13911">
        <f>IFERROR(__xludf.DUMMYFUNCTION("""COMPUTED_VALUE"""),2025.0)</f>
        <v>2025</v>
      </c>
      <c r="E13911">
        <f>IFERROR(__xludf.DUMMYFUNCTION("""COMPUTED_VALUE"""),1.957678E7)</f>
        <v>19576780</v>
      </c>
    </row>
    <row r="13912">
      <c r="A13912" t="str">
        <f t="shared" si="1"/>
        <v>sen#2026</v>
      </c>
      <c r="B13912" t="str">
        <f>IFERROR(__xludf.DUMMYFUNCTION("""COMPUTED_VALUE"""),"sen")</f>
        <v>sen</v>
      </c>
      <c r="C13912" t="str">
        <f>IFERROR(__xludf.DUMMYFUNCTION("""COMPUTED_VALUE"""),"Senegal")</f>
        <v>Senegal</v>
      </c>
      <c r="D13912">
        <f>IFERROR(__xludf.DUMMYFUNCTION("""COMPUTED_VALUE"""),2026.0)</f>
        <v>2026</v>
      </c>
      <c r="E13912">
        <f>IFERROR(__xludf.DUMMYFUNCTION("""COMPUTED_VALUE"""),2.0071771E7)</f>
        <v>20071771</v>
      </c>
    </row>
    <row r="13913">
      <c r="A13913" t="str">
        <f t="shared" si="1"/>
        <v>sen#2027</v>
      </c>
      <c r="B13913" t="str">
        <f>IFERROR(__xludf.DUMMYFUNCTION("""COMPUTED_VALUE"""),"sen")</f>
        <v>sen</v>
      </c>
      <c r="C13913" t="str">
        <f>IFERROR(__xludf.DUMMYFUNCTION("""COMPUTED_VALUE"""),"Senegal")</f>
        <v>Senegal</v>
      </c>
      <c r="D13913">
        <f>IFERROR(__xludf.DUMMYFUNCTION("""COMPUTED_VALUE"""),2027.0)</f>
        <v>2027</v>
      </c>
      <c r="E13913">
        <f>IFERROR(__xludf.DUMMYFUNCTION("""COMPUTED_VALUE"""),2.0573592E7)</f>
        <v>20573592</v>
      </c>
    </row>
    <row r="13914">
      <c r="A13914" t="str">
        <f t="shared" si="1"/>
        <v>sen#2028</v>
      </c>
      <c r="B13914" t="str">
        <f>IFERROR(__xludf.DUMMYFUNCTION("""COMPUTED_VALUE"""),"sen")</f>
        <v>sen</v>
      </c>
      <c r="C13914" t="str">
        <f>IFERROR(__xludf.DUMMYFUNCTION("""COMPUTED_VALUE"""),"Senegal")</f>
        <v>Senegal</v>
      </c>
      <c r="D13914">
        <f>IFERROR(__xludf.DUMMYFUNCTION("""COMPUTED_VALUE"""),2028.0)</f>
        <v>2028</v>
      </c>
      <c r="E13914">
        <f>IFERROR(__xludf.DUMMYFUNCTION("""COMPUTED_VALUE"""),2.1082543E7)</f>
        <v>21082543</v>
      </c>
    </row>
    <row r="13915">
      <c r="A13915" t="str">
        <f t="shared" si="1"/>
        <v>sen#2029</v>
      </c>
      <c r="B13915" t="str">
        <f>IFERROR(__xludf.DUMMYFUNCTION("""COMPUTED_VALUE"""),"sen")</f>
        <v>sen</v>
      </c>
      <c r="C13915" t="str">
        <f>IFERROR(__xludf.DUMMYFUNCTION("""COMPUTED_VALUE"""),"Senegal")</f>
        <v>Senegal</v>
      </c>
      <c r="D13915">
        <f>IFERROR(__xludf.DUMMYFUNCTION("""COMPUTED_VALUE"""),2029.0)</f>
        <v>2029</v>
      </c>
      <c r="E13915">
        <f>IFERROR(__xludf.DUMMYFUNCTION("""COMPUTED_VALUE"""),2.1599E7)</f>
        <v>21599000</v>
      </c>
    </row>
    <row r="13916">
      <c r="A13916" t="str">
        <f t="shared" si="1"/>
        <v>sen#2030</v>
      </c>
      <c r="B13916" t="str">
        <f>IFERROR(__xludf.DUMMYFUNCTION("""COMPUTED_VALUE"""),"sen")</f>
        <v>sen</v>
      </c>
      <c r="C13916" t="str">
        <f>IFERROR(__xludf.DUMMYFUNCTION("""COMPUTED_VALUE"""),"Senegal")</f>
        <v>Senegal</v>
      </c>
      <c r="D13916">
        <f>IFERROR(__xludf.DUMMYFUNCTION("""COMPUTED_VALUE"""),2030.0)</f>
        <v>2030</v>
      </c>
      <c r="E13916">
        <f>IFERROR(__xludf.DUMMYFUNCTION("""COMPUTED_VALUE"""),2.212323E7)</f>
        <v>22123230</v>
      </c>
    </row>
    <row r="13917">
      <c r="A13917" t="str">
        <f t="shared" si="1"/>
        <v>sen#2031</v>
      </c>
      <c r="B13917" t="str">
        <f>IFERROR(__xludf.DUMMYFUNCTION("""COMPUTED_VALUE"""),"sen")</f>
        <v>sen</v>
      </c>
      <c r="C13917" t="str">
        <f>IFERROR(__xludf.DUMMYFUNCTION("""COMPUTED_VALUE"""),"Senegal")</f>
        <v>Senegal</v>
      </c>
      <c r="D13917">
        <f>IFERROR(__xludf.DUMMYFUNCTION("""COMPUTED_VALUE"""),2031.0)</f>
        <v>2031</v>
      </c>
      <c r="E13917">
        <f>IFERROR(__xludf.DUMMYFUNCTION("""COMPUTED_VALUE"""),2.2655295E7)</f>
        <v>22655295</v>
      </c>
    </row>
    <row r="13918">
      <c r="A13918" t="str">
        <f t="shared" si="1"/>
        <v>sen#2032</v>
      </c>
      <c r="B13918" t="str">
        <f>IFERROR(__xludf.DUMMYFUNCTION("""COMPUTED_VALUE"""),"sen")</f>
        <v>sen</v>
      </c>
      <c r="C13918" t="str">
        <f>IFERROR(__xludf.DUMMYFUNCTION("""COMPUTED_VALUE"""),"Senegal")</f>
        <v>Senegal</v>
      </c>
      <c r="D13918">
        <f>IFERROR(__xludf.DUMMYFUNCTION("""COMPUTED_VALUE"""),2032.0)</f>
        <v>2032</v>
      </c>
      <c r="E13918">
        <f>IFERROR(__xludf.DUMMYFUNCTION("""COMPUTED_VALUE"""),2.3195138E7)</f>
        <v>23195138</v>
      </c>
    </row>
    <row r="13919">
      <c r="A13919" t="str">
        <f t="shared" si="1"/>
        <v>sen#2033</v>
      </c>
      <c r="B13919" t="str">
        <f>IFERROR(__xludf.DUMMYFUNCTION("""COMPUTED_VALUE"""),"sen")</f>
        <v>sen</v>
      </c>
      <c r="C13919" t="str">
        <f>IFERROR(__xludf.DUMMYFUNCTION("""COMPUTED_VALUE"""),"Senegal")</f>
        <v>Senegal</v>
      </c>
      <c r="D13919">
        <f>IFERROR(__xludf.DUMMYFUNCTION("""COMPUTED_VALUE"""),2033.0)</f>
        <v>2033</v>
      </c>
      <c r="E13919">
        <f>IFERROR(__xludf.DUMMYFUNCTION("""COMPUTED_VALUE"""),2.3742785E7)</f>
        <v>23742785</v>
      </c>
    </row>
    <row r="13920">
      <c r="A13920" t="str">
        <f t="shared" si="1"/>
        <v>sen#2034</v>
      </c>
      <c r="B13920" t="str">
        <f>IFERROR(__xludf.DUMMYFUNCTION("""COMPUTED_VALUE"""),"sen")</f>
        <v>sen</v>
      </c>
      <c r="C13920" t="str">
        <f>IFERROR(__xludf.DUMMYFUNCTION("""COMPUTED_VALUE"""),"Senegal")</f>
        <v>Senegal</v>
      </c>
      <c r="D13920">
        <f>IFERROR(__xludf.DUMMYFUNCTION("""COMPUTED_VALUE"""),2034.0)</f>
        <v>2034</v>
      </c>
      <c r="E13920">
        <f>IFERROR(__xludf.DUMMYFUNCTION("""COMPUTED_VALUE"""),2.4298189E7)</f>
        <v>24298189</v>
      </c>
    </row>
    <row r="13921">
      <c r="A13921" t="str">
        <f t="shared" si="1"/>
        <v>sen#2035</v>
      </c>
      <c r="B13921" t="str">
        <f>IFERROR(__xludf.DUMMYFUNCTION("""COMPUTED_VALUE"""),"sen")</f>
        <v>sen</v>
      </c>
      <c r="C13921" t="str">
        <f>IFERROR(__xludf.DUMMYFUNCTION("""COMPUTED_VALUE"""),"Senegal")</f>
        <v>Senegal</v>
      </c>
      <c r="D13921">
        <f>IFERROR(__xludf.DUMMYFUNCTION("""COMPUTED_VALUE"""),2035.0)</f>
        <v>2035</v>
      </c>
      <c r="E13921">
        <f>IFERROR(__xludf.DUMMYFUNCTION("""COMPUTED_VALUE"""),2.4861284E7)</f>
        <v>24861284</v>
      </c>
    </row>
    <row r="13922">
      <c r="A13922" t="str">
        <f t="shared" si="1"/>
        <v>sen#2036</v>
      </c>
      <c r="B13922" t="str">
        <f>IFERROR(__xludf.DUMMYFUNCTION("""COMPUTED_VALUE"""),"sen")</f>
        <v>sen</v>
      </c>
      <c r="C13922" t="str">
        <f>IFERROR(__xludf.DUMMYFUNCTION("""COMPUTED_VALUE"""),"Senegal")</f>
        <v>Senegal</v>
      </c>
      <c r="D13922">
        <f>IFERROR(__xludf.DUMMYFUNCTION("""COMPUTED_VALUE"""),2036.0)</f>
        <v>2036</v>
      </c>
      <c r="E13922">
        <f>IFERROR(__xludf.DUMMYFUNCTION("""COMPUTED_VALUE"""),2.5431934E7)</f>
        <v>25431934</v>
      </c>
    </row>
    <row r="13923">
      <c r="A13923" t="str">
        <f t="shared" si="1"/>
        <v>sen#2037</v>
      </c>
      <c r="B13923" t="str">
        <f>IFERROR(__xludf.DUMMYFUNCTION("""COMPUTED_VALUE"""),"sen")</f>
        <v>sen</v>
      </c>
      <c r="C13923" t="str">
        <f>IFERROR(__xludf.DUMMYFUNCTION("""COMPUTED_VALUE"""),"Senegal")</f>
        <v>Senegal</v>
      </c>
      <c r="D13923">
        <f>IFERROR(__xludf.DUMMYFUNCTION("""COMPUTED_VALUE"""),2037.0)</f>
        <v>2037</v>
      </c>
      <c r="E13923">
        <f>IFERROR(__xludf.DUMMYFUNCTION("""COMPUTED_VALUE"""),2.6009975E7)</f>
        <v>26009975</v>
      </c>
    </row>
    <row r="13924">
      <c r="A13924" t="str">
        <f t="shared" si="1"/>
        <v>sen#2038</v>
      </c>
      <c r="B13924" t="str">
        <f>IFERROR(__xludf.DUMMYFUNCTION("""COMPUTED_VALUE"""),"sen")</f>
        <v>sen</v>
      </c>
      <c r="C13924" t="str">
        <f>IFERROR(__xludf.DUMMYFUNCTION("""COMPUTED_VALUE"""),"Senegal")</f>
        <v>Senegal</v>
      </c>
      <c r="D13924">
        <f>IFERROR(__xludf.DUMMYFUNCTION("""COMPUTED_VALUE"""),2038.0)</f>
        <v>2038</v>
      </c>
      <c r="E13924">
        <f>IFERROR(__xludf.DUMMYFUNCTION("""COMPUTED_VALUE"""),2.6595099E7)</f>
        <v>26595099</v>
      </c>
    </row>
    <row r="13925">
      <c r="A13925" t="str">
        <f t="shared" si="1"/>
        <v>sen#2039</v>
      </c>
      <c r="B13925" t="str">
        <f>IFERROR(__xludf.DUMMYFUNCTION("""COMPUTED_VALUE"""),"sen")</f>
        <v>sen</v>
      </c>
      <c r="C13925" t="str">
        <f>IFERROR(__xludf.DUMMYFUNCTION("""COMPUTED_VALUE"""),"Senegal")</f>
        <v>Senegal</v>
      </c>
      <c r="D13925">
        <f>IFERROR(__xludf.DUMMYFUNCTION("""COMPUTED_VALUE"""),2039.0)</f>
        <v>2039</v>
      </c>
      <c r="E13925">
        <f>IFERROR(__xludf.DUMMYFUNCTION("""COMPUTED_VALUE"""),2.7186954E7)</f>
        <v>27186954</v>
      </c>
    </row>
    <row r="13926">
      <c r="A13926" t="str">
        <f t="shared" si="1"/>
        <v>sen#2040</v>
      </c>
      <c r="B13926" t="str">
        <f>IFERROR(__xludf.DUMMYFUNCTION("""COMPUTED_VALUE"""),"sen")</f>
        <v>sen</v>
      </c>
      <c r="C13926" t="str">
        <f>IFERROR(__xludf.DUMMYFUNCTION("""COMPUTED_VALUE"""),"Senegal")</f>
        <v>Senegal</v>
      </c>
      <c r="D13926">
        <f>IFERROR(__xludf.DUMMYFUNCTION("""COMPUTED_VALUE"""),2040.0)</f>
        <v>2040</v>
      </c>
      <c r="E13926">
        <f>IFERROR(__xludf.DUMMYFUNCTION("""COMPUTED_VALUE"""),2.7785159E7)</f>
        <v>27785159</v>
      </c>
    </row>
    <row r="13927">
      <c r="A13927" t="str">
        <f t="shared" si="1"/>
        <v>srb#1950</v>
      </c>
      <c r="B13927" t="str">
        <f>IFERROR(__xludf.DUMMYFUNCTION("""COMPUTED_VALUE"""),"srb")</f>
        <v>srb</v>
      </c>
      <c r="C13927" t="str">
        <f>IFERROR(__xludf.DUMMYFUNCTION("""COMPUTED_VALUE"""),"Serbia")</f>
        <v>Serbia</v>
      </c>
      <c r="D13927">
        <f>IFERROR(__xludf.DUMMYFUNCTION("""COMPUTED_VALUE"""),1950.0)</f>
        <v>1950</v>
      </c>
      <c r="E13927">
        <f>IFERROR(__xludf.DUMMYFUNCTION("""COMPUTED_VALUE"""),6732256.0)</f>
        <v>6732256</v>
      </c>
    </row>
    <row r="13928">
      <c r="A13928" t="str">
        <f t="shared" si="1"/>
        <v>srb#1951</v>
      </c>
      <c r="B13928" t="str">
        <f>IFERROR(__xludf.DUMMYFUNCTION("""COMPUTED_VALUE"""),"srb")</f>
        <v>srb</v>
      </c>
      <c r="C13928" t="str">
        <f>IFERROR(__xludf.DUMMYFUNCTION("""COMPUTED_VALUE"""),"Serbia")</f>
        <v>Serbia</v>
      </c>
      <c r="D13928">
        <f>IFERROR(__xludf.DUMMYFUNCTION("""COMPUTED_VALUE"""),1951.0)</f>
        <v>1951</v>
      </c>
      <c r="E13928">
        <f>IFERROR(__xludf.DUMMYFUNCTION("""COMPUTED_VALUE"""),6853292.0)</f>
        <v>6853292</v>
      </c>
    </row>
    <row r="13929">
      <c r="A13929" t="str">
        <f t="shared" si="1"/>
        <v>srb#1952</v>
      </c>
      <c r="B13929" t="str">
        <f>IFERROR(__xludf.DUMMYFUNCTION("""COMPUTED_VALUE"""),"srb")</f>
        <v>srb</v>
      </c>
      <c r="C13929" t="str">
        <f>IFERROR(__xludf.DUMMYFUNCTION("""COMPUTED_VALUE"""),"Serbia")</f>
        <v>Serbia</v>
      </c>
      <c r="D13929">
        <f>IFERROR(__xludf.DUMMYFUNCTION("""COMPUTED_VALUE"""),1952.0)</f>
        <v>1952</v>
      </c>
      <c r="E13929">
        <f>IFERROR(__xludf.DUMMYFUNCTION("""COMPUTED_VALUE"""),6963401.0)</f>
        <v>6963401</v>
      </c>
    </row>
    <row r="13930">
      <c r="A13930" t="str">
        <f t="shared" si="1"/>
        <v>srb#1953</v>
      </c>
      <c r="B13930" t="str">
        <f>IFERROR(__xludf.DUMMYFUNCTION("""COMPUTED_VALUE"""),"srb")</f>
        <v>srb</v>
      </c>
      <c r="C13930" t="str">
        <f>IFERROR(__xludf.DUMMYFUNCTION("""COMPUTED_VALUE"""),"Serbia")</f>
        <v>Serbia</v>
      </c>
      <c r="D13930">
        <f>IFERROR(__xludf.DUMMYFUNCTION("""COMPUTED_VALUE"""),1953.0)</f>
        <v>1953</v>
      </c>
      <c r="E13930">
        <f>IFERROR(__xludf.DUMMYFUNCTION("""COMPUTED_VALUE"""),7063163.0)</f>
        <v>7063163</v>
      </c>
    </row>
    <row r="13931">
      <c r="A13931" t="str">
        <f t="shared" si="1"/>
        <v>srb#1954</v>
      </c>
      <c r="B13931" t="str">
        <f>IFERROR(__xludf.DUMMYFUNCTION("""COMPUTED_VALUE"""),"srb")</f>
        <v>srb</v>
      </c>
      <c r="C13931" t="str">
        <f>IFERROR(__xludf.DUMMYFUNCTION("""COMPUTED_VALUE"""),"Serbia")</f>
        <v>Serbia</v>
      </c>
      <c r="D13931">
        <f>IFERROR(__xludf.DUMMYFUNCTION("""COMPUTED_VALUE"""),1954.0)</f>
        <v>1954</v>
      </c>
      <c r="E13931">
        <f>IFERROR(__xludf.DUMMYFUNCTION("""COMPUTED_VALUE"""),7153364.0)</f>
        <v>7153364</v>
      </c>
    </row>
    <row r="13932">
      <c r="A13932" t="str">
        <f t="shared" si="1"/>
        <v>srb#1955</v>
      </c>
      <c r="B13932" t="str">
        <f>IFERROR(__xludf.DUMMYFUNCTION("""COMPUTED_VALUE"""),"srb")</f>
        <v>srb</v>
      </c>
      <c r="C13932" t="str">
        <f>IFERROR(__xludf.DUMMYFUNCTION("""COMPUTED_VALUE"""),"Serbia")</f>
        <v>Serbia</v>
      </c>
      <c r="D13932">
        <f>IFERROR(__xludf.DUMMYFUNCTION("""COMPUTED_VALUE"""),1955.0)</f>
        <v>1955</v>
      </c>
      <c r="E13932">
        <f>IFERROR(__xludf.DUMMYFUNCTION("""COMPUTED_VALUE"""),7234922.0)</f>
        <v>7234922</v>
      </c>
    </row>
    <row r="13933">
      <c r="A13933" t="str">
        <f t="shared" si="1"/>
        <v>srb#1956</v>
      </c>
      <c r="B13933" t="str">
        <f>IFERROR(__xludf.DUMMYFUNCTION("""COMPUTED_VALUE"""),"srb")</f>
        <v>srb</v>
      </c>
      <c r="C13933" t="str">
        <f>IFERROR(__xludf.DUMMYFUNCTION("""COMPUTED_VALUE"""),"Serbia")</f>
        <v>Serbia</v>
      </c>
      <c r="D13933">
        <f>IFERROR(__xludf.DUMMYFUNCTION("""COMPUTED_VALUE"""),1956.0)</f>
        <v>1956</v>
      </c>
      <c r="E13933">
        <f>IFERROR(__xludf.DUMMYFUNCTION("""COMPUTED_VALUE"""),7308930.0)</f>
        <v>7308930</v>
      </c>
    </row>
    <row r="13934">
      <c r="A13934" t="str">
        <f t="shared" si="1"/>
        <v>srb#1957</v>
      </c>
      <c r="B13934" t="str">
        <f>IFERROR(__xludf.DUMMYFUNCTION("""COMPUTED_VALUE"""),"srb")</f>
        <v>srb</v>
      </c>
      <c r="C13934" t="str">
        <f>IFERROR(__xludf.DUMMYFUNCTION("""COMPUTED_VALUE"""),"Serbia")</f>
        <v>Serbia</v>
      </c>
      <c r="D13934">
        <f>IFERROR(__xludf.DUMMYFUNCTION("""COMPUTED_VALUE"""),1957.0)</f>
        <v>1957</v>
      </c>
      <c r="E13934">
        <f>IFERROR(__xludf.DUMMYFUNCTION("""COMPUTED_VALUE"""),7376685.0)</f>
        <v>7376685</v>
      </c>
    </row>
    <row r="13935">
      <c r="A13935" t="str">
        <f t="shared" si="1"/>
        <v>srb#1958</v>
      </c>
      <c r="B13935" t="str">
        <f>IFERROR(__xludf.DUMMYFUNCTION("""COMPUTED_VALUE"""),"srb")</f>
        <v>srb</v>
      </c>
      <c r="C13935" t="str">
        <f>IFERROR(__xludf.DUMMYFUNCTION("""COMPUTED_VALUE"""),"Serbia")</f>
        <v>Serbia</v>
      </c>
      <c r="D13935">
        <f>IFERROR(__xludf.DUMMYFUNCTION("""COMPUTED_VALUE"""),1958.0)</f>
        <v>1958</v>
      </c>
      <c r="E13935">
        <f>IFERROR(__xludf.DUMMYFUNCTION("""COMPUTED_VALUE"""),7439606.0)</f>
        <v>7439606</v>
      </c>
    </row>
    <row r="13936">
      <c r="A13936" t="str">
        <f t="shared" si="1"/>
        <v>srb#1959</v>
      </c>
      <c r="B13936" t="str">
        <f>IFERROR(__xludf.DUMMYFUNCTION("""COMPUTED_VALUE"""),"srb")</f>
        <v>srb</v>
      </c>
      <c r="C13936" t="str">
        <f>IFERROR(__xludf.DUMMYFUNCTION("""COMPUTED_VALUE"""),"Serbia")</f>
        <v>Serbia</v>
      </c>
      <c r="D13936">
        <f>IFERROR(__xludf.DUMMYFUNCTION("""COMPUTED_VALUE"""),1959.0)</f>
        <v>1959</v>
      </c>
      <c r="E13936">
        <f>IFERROR(__xludf.DUMMYFUNCTION("""COMPUTED_VALUE"""),7499166.0)</f>
        <v>7499166</v>
      </c>
    </row>
    <row r="13937">
      <c r="A13937" t="str">
        <f t="shared" si="1"/>
        <v>srb#1960</v>
      </c>
      <c r="B13937" t="str">
        <f>IFERROR(__xludf.DUMMYFUNCTION("""COMPUTED_VALUE"""),"srb")</f>
        <v>srb</v>
      </c>
      <c r="C13937" t="str">
        <f>IFERROR(__xludf.DUMMYFUNCTION("""COMPUTED_VALUE"""),"Serbia")</f>
        <v>Serbia</v>
      </c>
      <c r="D13937">
        <f>IFERROR(__xludf.DUMMYFUNCTION("""COMPUTED_VALUE"""),1960.0)</f>
        <v>1960</v>
      </c>
      <c r="E13937">
        <f>IFERROR(__xludf.DUMMYFUNCTION("""COMPUTED_VALUE"""),7556725.0)</f>
        <v>7556725</v>
      </c>
    </row>
    <row r="13938">
      <c r="A13938" t="str">
        <f t="shared" si="1"/>
        <v>srb#1961</v>
      </c>
      <c r="B13938" t="str">
        <f>IFERROR(__xludf.DUMMYFUNCTION("""COMPUTED_VALUE"""),"srb")</f>
        <v>srb</v>
      </c>
      <c r="C13938" t="str">
        <f>IFERROR(__xludf.DUMMYFUNCTION("""COMPUTED_VALUE"""),"Serbia")</f>
        <v>Serbia</v>
      </c>
      <c r="D13938">
        <f>IFERROR(__xludf.DUMMYFUNCTION("""COMPUTED_VALUE"""),1961.0)</f>
        <v>1961</v>
      </c>
      <c r="E13938">
        <f>IFERROR(__xludf.DUMMYFUNCTION("""COMPUTED_VALUE"""),7613352.0)</f>
        <v>7613352</v>
      </c>
    </row>
    <row r="13939">
      <c r="A13939" t="str">
        <f t="shared" si="1"/>
        <v>srb#1962</v>
      </c>
      <c r="B13939" t="str">
        <f>IFERROR(__xludf.DUMMYFUNCTION("""COMPUTED_VALUE"""),"srb")</f>
        <v>srb</v>
      </c>
      <c r="C13939" t="str">
        <f>IFERROR(__xludf.DUMMYFUNCTION("""COMPUTED_VALUE"""),"Serbia")</f>
        <v>Serbia</v>
      </c>
      <c r="D13939">
        <f>IFERROR(__xludf.DUMMYFUNCTION("""COMPUTED_VALUE"""),1962.0)</f>
        <v>1962</v>
      </c>
      <c r="E13939">
        <f>IFERROR(__xludf.DUMMYFUNCTION("""COMPUTED_VALUE"""),7669609.0)</f>
        <v>7669609</v>
      </c>
    </row>
    <row r="13940">
      <c r="A13940" t="str">
        <f t="shared" si="1"/>
        <v>srb#1963</v>
      </c>
      <c r="B13940" t="str">
        <f>IFERROR(__xludf.DUMMYFUNCTION("""COMPUTED_VALUE"""),"srb")</f>
        <v>srb</v>
      </c>
      <c r="C13940" t="str">
        <f>IFERROR(__xludf.DUMMYFUNCTION("""COMPUTED_VALUE"""),"Serbia")</f>
        <v>Serbia</v>
      </c>
      <c r="D13940">
        <f>IFERROR(__xludf.DUMMYFUNCTION("""COMPUTED_VALUE"""),1963.0)</f>
        <v>1963</v>
      </c>
      <c r="E13940">
        <f>IFERROR(__xludf.DUMMYFUNCTION("""COMPUTED_VALUE"""),7725503.0)</f>
        <v>7725503</v>
      </c>
    </row>
    <row r="13941">
      <c r="A13941" t="str">
        <f t="shared" si="1"/>
        <v>srb#1964</v>
      </c>
      <c r="B13941" t="str">
        <f>IFERROR(__xludf.DUMMYFUNCTION("""COMPUTED_VALUE"""),"srb")</f>
        <v>srb</v>
      </c>
      <c r="C13941" t="str">
        <f>IFERROR(__xludf.DUMMYFUNCTION("""COMPUTED_VALUE"""),"Serbia")</f>
        <v>Serbia</v>
      </c>
      <c r="D13941">
        <f>IFERROR(__xludf.DUMMYFUNCTION("""COMPUTED_VALUE"""),1964.0)</f>
        <v>1964</v>
      </c>
      <c r="E13941">
        <f>IFERROR(__xludf.DUMMYFUNCTION("""COMPUTED_VALUE"""),7780685.0)</f>
        <v>7780685</v>
      </c>
    </row>
    <row r="13942">
      <c r="A13942" t="str">
        <f t="shared" si="1"/>
        <v>srb#1965</v>
      </c>
      <c r="B13942" t="str">
        <f>IFERROR(__xludf.DUMMYFUNCTION("""COMPUTED_VALUE"""),"srb")</f>
        <v>srb</v>
      </c>
      <c r="C13942" t="str">
        <f>IFERROR(__xludf.DUMMYFUNCTION("""COMPUTED_VALUE"""),"Serbia")</f>
        <v>Serbia</v>
      </c>
      <c r="D13942">
        <f>IFERROR(__xludf.DUMMYFUNCTION("""COMPUTED_VALUE"""),1965.0)</f>
        <v>1965</v>
      </c>
      <c r="E13942">
        <f>IFERROR(__xludf.DUMMYFUNCTION("""COMPUTED_VALUE"""),7835082.0)</f>
        <v>7835082</v>
      </c>
    </row>
    <row r="13943">
      <c r="A13943" t="str">
        <f t="shared" si="1"/>
        <v>srb#1966</v>
      </c>
      <c r="B13943" t="str">
        <f>IFERROR(__xludf.DUMMYFUNCTION("""COMPUTED_VALUE"""),"srb")</f>
        <v>srb</v>
      </c>
      <c r="C13943" t="str">
        <f>IFERROR(__xludf.DUMMYFUNCTION("""COMPUTED_VALUE"""),"Serbia")</f>
        <v>Serbia</v>
      </c>
      <c r="D13943">
        <f>IFERROR(__xludf.DUMMYFUNCTION("""COMPUTED_VALUE"""),1966.0)</f>
        <v>1966</v>
      </c>
      <c r="E13943">
        <f>IFERROR(__xludf.DUMMYFUNCTION("""COMPUTED_VALUE"""),7888804.0)</f>
        <v>7888804</v>
      </c>
    </row>
    <row r="13944">
      <c r="A13944" t="str">
        <f t="shared" si="1"/>
        <v>srb#1967</v>
      </c>
      <c r="B13944" t="str">
        <f>IFERROR(__xludf.DUMMYFUNCTION("""COMPUTED_VALUE"""),"srb")</f>
        <v>srb</v>
      </c>
      <c r="C13944" t="str">
        <f>IFERROR(__xludf.DUMMYFUNCTION("""COMPUTED_VALUE"""),"Serbia")</f>
        <v>Serbia</v>
      </c>
      <c r="D13944">
        <f>IFERROR(__xludf.DUMMYFUNCTION("""COMPUTED_VALUE"""),1967.0)</f>
        <v>1967</v>
      </c>
      <c r="E13944">
        <f>IFERROR(__xludf.DUMMYFUNCTION("""COMPUTED_VALUE"""),7942640.0)</f>
        <v>7942640</v>
      </c>
    </row>
    <row r="13945">
      <c r="A13945" t="str">
        <f t="shared" si="1"/>
        <v>srb#1968</v>
      </c>
      <c r="B13945" t="str">
        <f>IFERROR(__xludf.DUMMYFUNCTION("""COMPUTED_VALUE"""),"srb")</f>
        <v>srb</v>
      </c>
      <c r="C13945" t="str">
        <f>IFERROR(__xludf.DUMMYFUNCTION("""COMPUTED_VALUE"""),"Serbia")</f>
        <v>Serbia</v>
      </c>
      <c r="D13945">
        <f>IFERROR(__xludf.DUMMYFUNCTION("""COMPUTED_VALUE"""),1968.0)</f>
        <v>1968</v>
      </c>
      <c r="E13945">
        <f>IFERROR(__xludf.DUMMYFUNCTION("""COMPUTED_VALUE"""),7998002.0)</f>
        <v>7998002</v>
      </c>
    </row>
    <row r="13946">
      <c r="A13946" t="str">
        <f t="shared" si="1"/>
        <v>srb#1969</v>
      </c>
      <c r="B13946" t="str">
        <f>IFERROR(__xludf.DUMMYFUNCTION("""COMPUTED_VALUE"""),"srb")</f>
        <v>srb</v>
      </c>
      <c r="C13946" t="str">
        <f>IFERROR(__xludf.DUMMYFUNCTION("""COMPUTED_VALUE"""),"Serbia")</f>
        <v>Serbia</v>
      </c>
      <c r="D13946">
        <f>IFERROR(__xludf.DUMMYFUNCTION("""COMPUTED_VALUE"""),1969.0)</f>
        <v>1969</v>
      </c>
      <c r="E13946">
        <f>IFERROR(__xludf.DUMMYFUNCTION("""COMPUTED_VALUE"""),8056665.0)</f>
        <v>8056665</v>
      </c>
    </row>
    <row r="13947">
      <c r="A13947" t="str">
        <f t="shared" si="1"/>
        <v>srb#1970</v>
      </c>
      <c r="B13947" t="str">
        <f>IFERROR(__xludf.DUMMYFUNCTION("""COMPUTED_VALUE"""),"srb")</f>
        <v>srb</v>
      </c>
      <c r="C13947" t="str">
        <f>IFERROR(__xludf.DUMMYFUNCTION("""COMPUTED_VALUE"""),"Serbia")</f>
        <v>Serbia</v>
      </c>
      <c r="D13947">
        <f>IFERROR(__xludf.DUMMYFUNCTION("""COMPUTED_VALUE"""),1970.0)</f>
        <v>1970</v>
      </c>
      <c r="E13947">
        <f>IFERROR(__xludf.DUMMYFUNCTION("""COMPUTED_VALUE"""),8119860.0)</f>
        <v>8119860</v>
      </c>
    </row>
    <row r="13948">
      <c r="A13948" t="str">
        <f t="shared" si="1"/>
        <v>srb#1971</v>
      </c>
      <c r="B13948" t="str">
        <f>IFERROR(__xludf.DUMMYFUNCTION("""COMPUTED_VALUE"""),"srb")</f>
        <v>srb</v>
      </c>
      <c r="C13948" t="str">
        <f>IFERROR(__xludf.DUMMYFUNCTION("""COMPUTED_VALUE"""),"Serbia")</f>
        <v>Serbia</v>
      </c>
      <c r="D13948">
        <f>IFERROR(__xludf.DUMMYFUNCTION("""COMPUTED_VALUE"""),1971.0)</f>
        <v>1971</v>
      </c>
      <c r="E13948">
        <f>IFERROR(__xludf.DUMMYFUNCTION("""COMPUTED_VALUE"""),8187991.0)</f>
        <v>8187991</v>
      </c>
    </row>
    <row r="13949">
      <c r="A13949" t="str">
        <f t="shared" si="1"/>
        <v>srb#1972</v>
      </c>
      <c r="B13949" t="str">
        <f>IFERROR(__xludf.DUMMYFUNCTION("""COMPUTED_VALUE"""),"srb")</f>
        <v>srb</v>
      </c>
      <c r="C13949" t="str">
        <f>IFERROR(__xludf.DUMMYFUNCTION("""COMPUTED_VALUE"""),"Serbia")</f>
        <v>Serbia</v>
      </c>
      <c r="D13949">
        <f>IFERROR(__xludf.DUMMYFUNCTION("""COMPUTED_VALUE"""),1972.0)</f>
        <v>1972</v>
      </c>
      <c r="E13949">
        <f>IFERROR(__xludf.DUMMYFUNCTION("""COMPUTED_VALUE"""),8260625.0)</f>
        <v>8260625</v>
      </c>
    </row>
    <row r="13950">
      <c r="A13950" t="str">
        <f t="shared" si="1"/>
        <v>srb#1973</v>
      </c>
      <c r="B13950" t="str">
        <f>IFERROR(__xludf.DUMMYFUNCTION("""COMPUTED_VALUE"""),"srb")</f>
        <v>srb</v>
      </c>
      <c r="C13950" t="str">
        <f>IFERROR(__xludf.DUMMYFUNCTION("""COMPUTED_VALUE"""),"Serbia")</f>
        <v>Serbia</v>
      </c>
      <c r="D13950">
        <f>IFERROR(__xludf.DUMMYFUNCTION("""COMPUTED_VALUE"""),1973.0)</f>
        <v>1973</v>
      </c>
      <c r="E13950">
        <f>IFERROR(__xludf.DUMMYFUNCTION("""COMPUTED_VALUE"""),8337076.0)</f>
        <v>8337076</v>
      </c>
    </row>
    <row r="13951">
      <c r="A13951" t="str">
        <f t="shared" si="1"/>
        <v>srb#1974</v>
      </c>
      <c r="B13951" t="str">
        <f>IFERROR(__xludf.DUMMYFUNCTION("""COMPUTED_VALUE"""),"srb")</f>
        <v>srb</v>
      </c>
      <c r="C13951" t="str">
        <f>IFERROR(__xludf.DUMMYFUNCTION("""COMPUTED_VALUE"""),"Serbia")</f>
        <v>Serbia</v>
      </c>
      <c r="D13951">
        <f>IFERROR(__xludf.DUMMYFUNCTION("""COMPUTED_VALUE"""),1974.0)</f>
        <v>1974</v>
      </c>
      <c r="E13951">
        <f>IFERROR(__xludf.DUMMYFUNCTION("""COMPUTED_VALUE"""),8416250.0)</f>
        <v>8416250</v>
      </c>
    </row>
    <row r="13952">
      <c r="A13952" t="str">
        <f t="shared" si="1"/>
        <v>srb#1975</v>
      </c>
      <c r="B13952" t="str">
        <f>IFERROR(__xludf.DUMMYFUNCTION("""COMPUTED_VALUE"""),"srb")</f>
        <v>srb</v>
      </c>
      <c r="C13952" t="str">
        <f>IFERROR(__xludf.DUMMYFUNCTION("""COMPUTED_VALUE"""),"Serbia")</f>
        <v>Serbia</v>
      </c>
      <c r="D13952">
        <f>IFERROR(__xludf.DUMMYFUNCTION("""COMPUTED_VALUE"""),1975.0)</f>
        <v>1975</v>
      </c>
      <c r="E13952">
        <f>IFERROR(__xludf.DUMMYFUNCTION("""COMPUTED_VALUE"""),8497170.0)</f>
        <v>8497170</v>
      </c>
    </row>
    <row r="13953">
      <c r="A13953" t="str">
        <f t="shared" si="1"/>
        <v>srb#1976</v>
      </c>
      <c r="B13953" t="str">
        <f>IFERROR(__xludf.DUMMYFUNCTION("""COMPUTED_VALUE"""),"srb")</f>
        <v>srb</v>
      </c>
      <c r="C13953" t="str">
        <f>IFERROR(__xludf.DUMMYFUNCTION("""COMPUTED_VALUE"""),"Serbia")</f>
        <v>Serbia</v>
      </c>
      <c r="D13953">
        <f>IFERROR(__xludf.DUMMYFUNCTION("""COMPUTED_VALUE"""),1976.0)</f>
        <v>1976</v>
      </c>
      <c r="E13953">
        <f>IFERROR(__xludf.DUMMYFUNCTION("""COMPUTED_VALUE"""),8579630.0)</f>
        <v>8579630</v>
      </c>
    </row>
    <row r="13954">
      <c r="A13954" t="str">
        <f t="shared" si="1"/>
        <v>srb#1977</v>
      </c>
      <c r="B13954" t="str">
        <f>IFERROR(__xludf.DUMMYFUNCTION("""COMPUTED_VALUE"""),"srb")</f>
        <v>srb</v>
      </c>
      <c r="C13954" t="str">
        <f>IFERROR(__xludf.DUMMYFUNCTION("""COMPUTED_VALUE"""),"Serbia")</f>
        <v>Serbia</v>
      </c>
      <c r="D13954">
        <f>IFERROR(__xludf.DUMMYFUNCTION("""COMPUTED_VALUE"""),1977.0)</f>
        <v>1977</v>
      </c>
      <c r="E13954">
        <f>IFERROR(__xludf.DUMMYFUNCTION("""COMPUTED_VALUE"""),8663325.0)</f>
        <v>8663325</v>
      </c>
    </row>
    <row r="13955">
      <c r="A13955" t="str">
        <f t="shared" si="1"/>
        <v>srb#1978</v>
      </c>
      <c r="B13955" t="str">
        <f>IFERROR(__xludf.DUMMYFUNCTION("""COMPUTED_VALUE"""),"srb")</f>
        <v>srb</v>
      </c>
      <c r="C13955" t="str">
        <f>IFERROR(__xludf.DUMMYFUNCTION("""COMPUTED_VALUE"""),"Serbia")</f>
        <v>Serbia</v>
      </c>
      <c r="D13955">
        <f>IFERROR(__xludf.DUMMYFUNCTION("""COMPUTED_VALUE"""),1978.0)</f>
        <v>1978</v>
      </c>
      <c r="E13955">
        <f>IFERROR(__xludf.DUMMYFUNCTION("""COMPUTED_VALUE"""),8746980.0)</f>
        <v>8746980</v>
      </c>
    </row>
    <row r="13956">
      <c r="A13956" t="str">
        <f t="shared" si="1"/>
        <v>srb#1979</v>
      </c>
      <c r="B13956" t="str">
        <f>IFERROR(__xludf.DUMMYFUNCTION("""COMPUTED_VALUE"""),"srb")</f>
        <v>srb</v>
      </c>
      <c r="C13956" t="str">
        <f>IFERROR(__xludf.DUMMYFUNCTION("""COMPUTED_VALUE"""),"Serbia")</f>
        <v>Serbia</v>
      </c>
      <c r="D13956">
        <f>IFERROR(__xludf.DUMMYFUNCTION("""COMPUTED_VALUE"""),1979.0)</f>
        <v>1979</v>
      </c>
      <c r="E13956">
        <f>IFERROR(__xludf.DUMMYFUNCTION("""COMPUTED_VALUE"""),8829036.0)</f>
        <v>8829036</v>
      </c>
    </row>
    <row r="13957">
      <c r="A13957" t="str">
        <f t="shared" si="1"/>
        <v>srb#1980</v>
      </c>
      <c r="B13957" t="str">
        <f>IFERROR(__xludf.DUMMYFUNCTION("""COMPUTED_VALUE"""),"srb")</f>
        <v>srb</v>
      </c>
      <c r="C13957" t="str">
        <f>IFERROR(__xludf.DUMMYFUNCTION("""COMPUTED_VALUE"""),"Serbia")</f>
        <v>Serbia</v>
      </c>
      <c r="D13957">
        <f>IFERROR(__xludf.DUMMYFUNCTION("""COMPUTED_VALUE"""),1980.0)</f>
        <v>1980</v>
      </c>
      <c r="E13957">
        <f>IFERROR(__xludf.DUMMYFUNCTION("""COMPUTED_VALUE"""),8908293.0)</f>
        <v>8908293</v>
      </c>
    </row>
    <row r="13958">
      <c r="A13958" t="str">
        <f t="shared" si="1"/>
        <v>srb#1981</v>
      </c>
      <c r="B13958" t="str">
        <f>IFERROR(__xludf.DUMMYFUNCTION("""COMPUTED_VALUE"""),"srb")</f>
        <v>srb</v>
      </c>
      <c r="C13958" t="str">
        <f>IFERROR(__xludf.DUMMYFUNCTION("""COMPUTED_VALUE"""),"Serbia")</f>
        <v>Serbia</v>
      </c>
      <c r="D13958">
        <f>IFERROR(__xludf.DUMMYFUNCTION("""COMPUTED_VALUE"""),1981.0)</f>
        <v>1981</v>
      </c>
      <c r="E13958">
        <f>IFERROR(__xludf.DUMMYFUNCTION("""COMPUTED_VALUE"""),8984594.0)</f>
        <v>8984594</v>
      </c>
    </row>
    <row r="13959">
      <c r="A13959" t="str">
        <f t="shared" si="1"/>
        <v>srb#1982</v>
      </c>
      <c r="B13959" t="str">
        <f>IFERROR(__xludf.DUMMYFUNCTION("""COMPUTED_VALUE"""),"srb")</f>
        <v>srb</v>
      </c>
      <c r="C13959" t="str">
        <f>IFERROR(__xludf.DUMMYFUNCTION("""COMPUTED_VALUE"""),"Serbia")</f>
        <v>Serbia</v>
      </c>
      <c r="D13959">
        <f>IFERROR(__xludf.DUMMYFUNCTION("""COMPUTED_VALUE"""),1982.0)</f>
        <v>1982</v>
      </c>
      <c r="E13959">
        <f>IFERROR(__xludf.DUMMYFUNCTION("""COMPUTED_VALUE"""),9057978.0)</f>
        <v>9057978</v>
      </c>
    </row>
    <row r="13960">
      <c r="A13960" t="str">
        <f t="shared" si="1"/>
        <v>srb#1983</v>
      </c>
      <c r="B13960" t="str">
        <f>IFERROR(__xludf.DUMMYFUNCTION("""COMPUTED_VALUE"""),"srb")</f>
        <v>srb</v>
      </c>
      <c r="C13960" t="str">
        <f>IFERROR(__xludf.DUMMYFUNCTION("""COMPUTED_VALUE"""),"Serbia")</f>
        <v>Serbia</v>
      </c>
      <c r="D13960">
        <f>IFERROR(__xludf.DUMMYFUNCTION("""COMPUTED_VALUE"""),1983.0)</f>
        <v>1983</v>
      </c>
      <c r="E13960">
        <f>IFERROR(__xludf.DUMMYFUNCTION("""COMPUTED_VALUE"""),9127677.0)</f>
        <v>9127677</v>
      </c>
    </row>
    <row r="13961">
      <c r="A13961" t="str">
        <f t="shared" si="1"/>
        <v>srb#1984</v>
      </c>
      <c r="B13961" t="str">
        <f>IFERROR(__xludf.DUMMYFUNCTION("""COMPUTED_VALUE"""),"srb")</f>
        <v>srb</v>
      </c>
      <c r="C13961" t="str">
        <f>IFERROR(__xludf.DUMMYFUNCTION("""COMPUTED_VALUE"""),"Serbia")</f>
        <v>Serbia</v>
      </c>
      <c r="D13961">
        <f>IFERROR(__xludf.DUMMYFUNCTION("""COMPUTED_VALUE"""),1984.0)</f>
        <v>1984</v>
      </c>
      <c r="E13961">
        <f>IFERROR(__xludf.DUMMYFUNCTION("""COMPUTED_VALUE"""),9192920.0)</f>
        <v>9192920</v>
      </c>
    </row>
    <row r="13962">
      <c r="A13962" t="str">
        <f t="shared" si="1"/>
        <v>srb#1985</v>
      </c>
      <c r="B13962" t="str">
        <f>IFERROR(__xludf.DUMMYFUNCTION("""COMPUTED_VALUE"""),"srb")</f>
        <v>srb</v>
      </c>
      <c r="C13962" t="str">
        <f>IFERROR(__xludf.DUMMYFUNCTION("""COMPUTED_VALUE"""),"Serbia")</f>
        <v>Serbia</v>
      </c>
      <c r="D13962">
        <f>IFERROR(__xludf.DUMMYFUNCTION("""COMPUTED_VALUE"""),1985.0)</f>
        <v>1985</v>
      </c>
      <c r="E13962">
        <f>IFERROR(__xludf.DUMMYFUNCTION("""COMPUTED_VALUE"""),9253405.0)</f>
        <v>9253405</v>
      </c>
    </row>
    <row r="13963">
      <c r="A13963" t="str">
        <f t="shared" si="1"/>
        <v>srb#1986</v>
      </c>
      <c r="B13963" t="str">
        <f>IFERROR(__xludf.DUMMYFUNCTION("""COMPUTED_VALUE"""),"srb")</f>
        <v>srb</v>
      </c>
      <c r="C13963" t="str">
        <f>IFERROR(__xludf.DUMMYFUNCTION("""COMPUTED_VALUE"""),"Serbia")</f>
        <v>Serbia</v>
      </c>
      <c r="D13963">
        <f>IFERROR(__xludf.DUMMYFUNCTION("""COMPUTED_VALUE"""),1986.0)</f>
        <v>1986</v>
      </c>
      <c r="E13963">
        <f>IFERROR(__xludf.DUMMYFUNCTION("""COMPUTED_VALUE"""),9306347.0)</f>
        <v>9306347</v>
      </c>
    </row>
    <row r="13964">
      <c r="A13964" t="str">
        <f t="shared" si="1"/>
        <v>srb#1987</v>
      </c>
      <c r="B13964" t="str">
        <f>IFERROR(__xludf.DUMMYFUNCTION("""COMPUTED_VALUE"""),"srb")</f>
        <v>srb</v>
      </c>
      <c r="C13964" t="str">
        <f>IFERROR(__xludf.DUMMYFUNCTION("""COMPUTED_VALUE"""),"Serbia")</f>
        <v>Serbia</v>
      </c>
      <c r="D13964">
        <f>IFERROR(__xludf.DUMMYFUNCTION("""COMPUTED_VALUE"""),1987.0)</f>
        <v>1987</v>
      </c>
      <c r="E13964">
        <f>IFERROR(__xludf.DUMMYFUNCTION("""COMPUTED_VALUE"""),9352150.0)</f>
        <v>9352150</v>
      </c>
    </row>
    <row r="13965">
      <c r="A13965" t="str">
        <f t="shared" si="1"/>
        <v>srb#1988</v>
      </c>
      <c r="B13965" t="str">
        <f>IFERROR(__xludf.DUMMYFUNCTION("""COMPUTED_VALUE"""),"srb")</f>
        <v>srb</v>
      </c>
      <c r="C13965" t="str">
        <f>IFERROR(__xludf.DUMMYFUNCTION("""COMPUTED_VALUE"""),"Serbia")</f>
        <v>Serbia</v>
      </c>
      <c r="D13965">
        <f>IFERROR(__xludf.DUMMYFUNCTION("""COMPUTED_VALUE"""),1988.0)</f>
        <v>1988</v>
      </c>
      <c r="E13965">
        <f>IFERROR(__xludf.DUMMYFUNCTION("""COMPUTED_VALUE"""),9397313.0)</f>
        <v>9397313</v>
      </c>
    </row>
    <row r="13966">
      <c r="A13966" t="str">
        <f t="shared" si="1"/>
        <v>srb#1989</v>
      </c>
      <c r="B13966" t="str">
        <f>IFERROR(__xludf.DUMMYFUNCTION("""COMPUTED_VALUE"""),"srb")</f>
        <v>srb</v>
      </c>
      <c r="C13966" t="str">
        <f>IFERROR(__xludf.DUMMYFUNCTION("""COMPUTED_VALUE"""),"Serbia")</f>
        <v>Serbia</v>
      </c>
      <c r="D13966">
        <f>IFERROR(__xludf.DUMMYFUNCTION("""COMPUTED_VALUE"""),1989.0)</f>
        <v>1989</v>
      </c>
      <c r="E13966">
        <f>IFERROR(__xludf.DUMMYFUNCTION("""COMPUTED_VALUE"""),9450770.0)</f>
        <v>9450770</v>
      </c>
    </row>
    <row r="13967">
      <c r="A13967" t="str">
        <f t="shared" si="1"/>
        <v>srb#1990</v>
      </c>
      <c r="B13967" t="str">
        <f>IFERROR(__xludf.DUMMYFUNCTION("""COMPUTED_VALUE"""),"srb")</f>
        <v>srb</v>
      </c>
      <c r="C13967" t="str">
        <f>IFERROR(__xludf.DUMMYFUNCTION("""COMPUTED_VALUE"""),"Serbia")</f>
        <v>Serbia</v>
      </c>
      <c r="D13967">
        <f>IFERROR(__xludf.DUMMYFUNCTION("""COMPUTED_VALUE"""),1990.0)</f>
        <v>1990</v>
      </c>
      <c r="E13967">
        <f>IFERROR(__xludf.DUMMYFUNCTION("""COMPUTED_VALUE"""),9517674.0)</f>
        <v>9517674</v>
      </c>
    </row>
    <row r="13968">
      <c r="A13968" t="str">
        <f t="shared" si="1"/>
        <v>srb#1991</v>
      </c>
      <c r="B13968" t="str">
        <f>IFERROR(__xludf.DUMMYFUNCTION("""COMPUTED_VALUE"""),"srb")</f>
        <v>srb</v>
      </c>
      <c r="C13968" t="str">
        <f>IFERROR(__xludf.DUMMYFUNCTION("""COMPUTED_VALUE"""),"Serbia")</f>
        <v>Serbia</v>
      </c>
      <c r="D13968">
        <f>IFERROR(__xludf.DUMMYFUNCTION("""COMPUTED_VALUE"""),1991.0)</f>
        <v>1991</v>
      </c>
      <c r="E13968">
        <f>IFERROR(__xludf.DUMMYFUNCTION("""COMPUTED_VALUE"""),9602941.0)</f>
        <v>9602941</v>
      </c>
    </row>
    <row r="13969">
      <c r="A13969" t="str">
        <f t="shared" si="1"/>
        <v>srb#1992</v>
      </c>
      <c r="B13969" t="str">
        <f>IFERROR(__xludf.DUMMYFUNCTION("""COMPUTED_VALUE"""),"srb")</f>
        <v>srb</v>
      </c>
      <c r="C13969" t="str">
        <f>IFERROR(__xludf.DUMMYFUNCTION("""COMPUTED_VALUE"""),"Serbia")</f>
        <v>Serbia</v>
      </c>
      <c r="D13969">
        <f>IFERROR(__xludf.DUMMYFUNCTION("""COMPUTED_VALUE"""),1992.0)</f>
        <v>1992</v>
      </c>
      <c r="E13969">
        <f>IFERROR(__xludf.DUMMYFUNCTION("""COMPUTED_VALUE"""),9701331.0)</f>
        <v>9701331</v>
      </c>
    </row>
    <row r="13970">
      <c r="A13970" t="str">
        <f t="shared" si="1"/>
        <v>srb#1993</v>
      </c>
      <c r="B13970" t="str">
        <f>IFERROR(__xludf.DUMMYFUNCTION("""COMPUTED_VALUE"""),"srb")</f>
        <v>srb</v>
      </c>
      <c r="C13970" t="str">
        <f>IFERROR(__xludf.DUMMYFUNCTION("""COMPUTED_VALUE"""),"Serbia")</f>
        <v>Serbia</v>
      </c>
      <c r="D13970">
        <f>IFERROR(__xludf.DUMMYFUNCTION("""COMPUTED_VALUE"""),1993.0)</f>
        <v>1993</v>
      </c>
      <c r="E13970">
        <f>IFERROR(__xludf.DUMMYFUNCTION("""COMPUTED_VALUE"""),9795554.0)</f>
        <v>9795554</v>
      </c>
    </row>
    <row r="13971">
      <c r="A13971" t="str">
        <f t="shared" si="1"/>
        <v>srb#1994</v>
      </c>
      <c r="B13971" t="str">
        <f>IFERROR(__xludf.DUMMYFUNCTION("""COMPUTED_VALUE"""),"srb")</f>
        <v>srb</v>
      </c>
      <c r="C13971" t="str">
        <f>IFERROR(__xludf.DUMMYFUNCTION("""COMPUTED_VALUE"""),"Serbia")</f>
        <v>Serbia</v>
      </c>
      <c r="D13971">
        <f>IFERROR(__xludf.DUMMYFUNCTION("""COMPUTED_VALUE"""),1994.0)</f>
        <v>1994</v>
      </c>
      <c r="E13971">
        <f>IFERROR(__xludf.DUMMYFUNCTION("""COMPUTED_VALUE"""),9861877.0)</f>
        <v>9861877</v>
      </c>
    </row>
    <row r="13972">
      <c r="A13972" t="str">
        <f t="shared" si="1"/>
        <v>srb#1995</v>
      </c>
      <c r="B13972" t="str">
        <f>IFERROR(__xludf.DUMMYFUNCTION("""COMPUTED_VALUE"""),"srb")</f>
        <v>srb</v>
      </c>
      <c r="C13972" t="str">
        <f>IFERROR(__xludf.DUMMYFUNCTION("""COMPUTED_VALUE"""),"Serbia")</f>
        <v>Serbia</v>
      </c>
      <c r="D13972">
        <f>IFERROR(__xludf.DUMMYFUNCTION("""COMPUTED_VALUE"""),1995.0)</f>
        <v>1995</v>
      </c>
      <c r="E13972">
        <f>IFERROR(__xludf.DUMMYFUNCTION("""COMPUTED_VALUE"""),9884147.0)</f>
        <v>9884147</v>
      </c>
    </row>
    <row r="13973">
      <c r="A13973" t="str">
        <f t="shared" si="1"/>
        <v>srb#1996</v>
      </c>
      <c r="B13973" t="str">
        <f>IFERROR(__xludf.DUMMYFUNCTION("""COMPUTED_VALUE"""),"srb")</f>
        <v>srb</v>
      </c>
      <c r="C13973" t="str">
        <f>IFERROR(__xludf.DUMMYFUNCTION("""COMPUTED_VALUE"""),"Serbia")</f>
        <v>Serbia</v>
      </c>
      <c r="D13973">
        <f>IFERROR(__xludf.DUMMYFUNCTION("""COMPUTED_VALUE"""),1996.0)</f>
        <v>1996</v>
      </c>
      <c r="E13973">
        <f>IFERROR(__xludf.DUMMYFUNCTION("""COMPUTED_VALUE"""),9855506.0)</f>
        <v>9855506</v>
      </c>
    </row>
    <row r="13974">
      <c r="A13974" t="str">
        <f t="shared" si="1"/>
        <v>srb#1997</v>
      </c>
      <c r="B13974" t="str">
        <f>IFERROR(__xludf.DUMMYFUNCTION("""COMPUTED_VALUE"""),"srb")</f>
        <v>srb</v>
      </c>
      <c r="C13974" t="str">
        <f>IFERROR(__xludf.DUMMYFUNCTION("""COMPUTED_VALUE"""),"Serbia")</f>
        <v>Serbia</v>
      </c>
      <c r="D13974">
        <f>IFERROR(__xludf.DUMMYFUNCTION("""COMPUTED_VALUE"""),1997.0)</f>
        <v>1997</v>
      </c>
      <c r="E13974">
        <f>IFERROR(__xludf.DUMMYFUNCTION("""COMPUTED_VALUE"""),9783393.0)</f>
        <v>9783393</v>
      </c>
    </row>
    <row r="13975">
      <c r="A13975" t="str">
        <f t="shared" si="1"/>
        <v>srb#1998</v>
      </c>
      <c r="B13975" t="str">
        <f>IFERROR(__xludf.DUMMYFUNCTION("""COMPUTED_VALUE"""),"srb")</f>
        <v>srb</v>
      </c>
      <c r="C13975" t="str">
        <f>IFERROR(__xludf.DUMMYFUNCTION("""COMPUTED_VALUE"""),"Serbia")</f>
        <v>Serbia</v>
      </c>
      <c r="D13975">
        <f>IFERROR(__xludf.DUMMYFUNCTION("""COMPUTED_VALUE"""),1998.0)</f>
        <v>1998</v>
      </c>
      <c r="E13975">
        <f>IFERROR(__xludf.DUMMYFUNCTION("""COMPUTED_VALUE"""),9683612.0)</f>
        <v>9683612</v>
      </c>
    </row>
    <row r="13976">
      <c r="A13976" t="str">
        <f t="shared" si="1"/>
        <v>srb#1999</v>
      </c>
      <c r="B13976" t="str">
        <f>IFERROR(__xludf.DUMMYFUNCTION("""COMPUTED_VALUE"""),"srb")</f>
        <v>srb</v>
      </c>
      <c r="C13976" t="str">
        <f>IFERROR(__xludf.DUMMYFUNCTION("""COMPUTED_VALUE"""),"Serbia")</f>
        <v>Serbia</v>
      </c>
      <c r="D13976">
        <f>IFERROR(__xludf.DUMMYFUNCTION("""COMPUTED_VALUE"""),1999.0)</f>
        <v>1999</v>
      </c>
      <c r="E13976">
        <f>IFERROR(__xludf.DUMMYFUNCTION("""COMPUTED_VALUE"""),9579314.0)</f>
        <v>9579314</v>
      </c>
    </row>
    <row r="13977">
      <c r="A13977" t="str">
        <f t="shared" si="1"/>
        <v>srb#2000</v>
      </c>
      <c r="B13977" t="str">
        <f>IFERROR(__xludf.DUMMYFUNCTION("""COMPUTED_VALUE"""),"srb")</f>
        <v>srb</v>
      </c>
      <c r="C13977" t="str">
        <f>IFERROR(__xludf.DUMMYFUNCTION("""COMPUTED_VALUE"""),"Serbia")</f>
        <v>Serbia</v>
      </c>
      <c r="D13977">
        <f>IFERROR(__xludf.DUMMYFUNCTION("""COMPUTED_VALUE"""),2000.0)</f>
        <v>2000</v>
      </c>
      <c r="E13977">
        <f>IFERROR(__xludf.DUMMYFUNCTION("""COMPUTED_VALUE"""),9487615.0)</f>
        <v>9487615</v>
      </c>
    </row>
    <row r="13978">
      <c r="A13978" t="str">
        <f t="shared" si="1"/>
        <v>srb#2001</v>
      </c>
      <c r="B13978" t="str">
        <f>IFERROR(__xludf.DUMMYFUNCTION("""COMPUTED_VALUE"""),"srb")</f>
        <v>srb</v>
      </c>
      <c r="C13978" t="str">
        <f>IFERROR(__xludf.DUMMYFUNCTION("""COMPUTED_VALUE"""),"Serbia")</f>
        <v>Serbia</v>
      </c>
      <c r="D13978">
        <f>IFERROR(__xludf.DUMMYFUNCTION("""COMPUTED_VALUE"""),2001.0)</f>
        <v>2001</v>
      </c>
      <c r="E13978">
        <f>IFERROR(__xludf.DUMMYFUNCTION("""COMPUTED_VALUE"""),9413418.0)</f>
        <v>9413418</v>
      </c>
    </row>
    <row r="13979">
      <c r="A13979" t="str">
        <f t="shared" si="1"/>
        <v>srb#2002</v>
      </c>
      <c r="B13979" t="str">
        <f>IFERROR(__xludf.DUMMYFUNCTION("""COMPUTED_VALUE"""),"srb")</f>
        <v>srb</v>
      </c>
      <c r="C13979" t="str">
        <f>IFERROR(__xludf.DUMMYFUNCTION("""COMPUTED_VALUE"""),"Serbia")</f>
        <v>Serbia</v>
      </c>
      <c r="D13979">
        <f>IFERROR(__xludf.DUMMYFUNCTION("""COMPUTED_VALUE"""),2002.0)</f>
        <v>2002</v>
      </c>
      <c r="E13979">
        <f>IFERROR(__xludf.DUMMYFUNCTION("""COMPUTED_VALUE"""),9352705.0)</f>
        <v>9352705</v>
      </c>
    </row>
    <row r="13980">
      <c r="A13980" t="str">
        <f t="shared" si="1"/>
        <v>srb#2003</v>
      </c>
      <c r="B13980" t="str">
        <f>IFERROR(__xludf.DUMMYFUNCTION("""COMPUTED_VALUE"""),"srb")</f>
        <v>srb</v>
      </c>
      <c r="C13980" t="str">
        <f>IFERROR(__xludf.DUMMYFUNCTION("""COMPUTED_VALUE"""),"Serbia")</f>
        <v>Serbia</v>
      </c>
      <c r="D13980">
        <f>IFERROR(__xludf.DUMMYFUNCTION("""COMPUTED_VALUE"""),2003.0)</f>
        <v>2003</v>
      </c>
      <c r="E13980">
        <f>IFERROR(__xludf.DUMMYFUNCTION("""COMPUTED_VALUE"""),9302869.0)</f>
        <v>9302869</v>
      </c>
    </row>
    <row r="13981">
      <c r="A13981" t="str">
        <f t="shared" si="1"/>
        <v>srb#2004</v>
      </c>
      <c r="B13981" t="str">
        <f>IFERROR(__xludf.DUMMYFUNCTION("""COMPUTED_VALUE"""),"srb")</f>
        <v>srb</v>
      </c>
      <c r="C13981" t="str">
        <f>IFERROR(__xludf.DUMMYFUNCTION("""COMPUTED_VALUE"""),"Serbia")</f>
        <v>Serbia</v>
      </c>
      <c r="D13981">
        <f>IFERROR(__xludf.DUMMYFUNCTION("""COMPUTED_VALUE"""),2004.0)</f>
        <v>2004</v>
      </c>
      <c r="E13981">
        <f>IFERROR(__xludf.DUMMYFUNCTION("""COMPUTED_VALUE"""),9258343.0)</f>
        <v>9258343</v>
      </c>
    </row>
    <row r="13982">
      <c r="A13982" t="str">
        <f t="shared" si="1"/>
        <v>srb#2005</v>
      </c>
      <c r="B13982" t="str">
        <f>IFERROR(__xludf.DUMMYFUNCTION("""COMPUTED_VALUE"""),"srb")</f>
        <v>srb</v>
      </c>
      <c r="C13982" t="str">
        <f>IFERROR(__xludf.DUMMYFUNCTION("""COMPUTED_VALUE"""),"Serbia")</f>
        <v>Serbia</v>
      </c>
      <c r="D13982">
        <f>IFERROR(__xludf.DUMMYFUNCTION("""COMPUTED_VALUE"""),2005.0)</f>
        <v>2005</v>
      </c>
      <c r="E13982">
        <f>IFERROR(__xludf.DUMMYFUNCTION("""COMPUTED_VALUE"""),9214986.0)</f>
        <v>9214986</v>
      </c>
    </row>
    <row r="13983">
      <c r="A13983" t="str">
        <f t="shared" si="1"/>
        <v>srb#2006</v>
      </c>
      <c r="B13983" t="str">
        <f>IFERROR(__xludf.DUMMYFUNCTION("""COMPUTED_VALUE"""),"srb")</f>
        <v>srb</v>
      </c>
      <c r="C13983" t="str">
        <f>IFERROR(__xludf.DUMMYFUNCTION("""COMPUTED_VALUE"""),"Serbia")</f>
        <v>Serbia</v>
      </c>
      <c r="D13983">
        <f>IFERROR(__xludf.DUMMYFUNCTION("""COMPUTED_VALUE"""),2006.0)</f>
        <v>2006</v>
      </c>
      <c r="E13983">
        <f>IFERROR(__xludf.DUMMYFUNCTION("""COMPUTED_VALUE"""),9173289.0)</f>
        <v>9173289</v>
      </c>
    </row>
    <row r="13984">
      <c r="A13984" t="str">
        <f t="shared" si="1"/>
        <v>srb#2007</v>
      </c>
      <c r="B13984" t="str">
        <f>IFERROR(__xludf.DUMMYFUNCTION("""COMPUTED_VALUE"""),"srb")</f>
        <v>srb</v>
      </c>
      <c r="C13984" t="str">
        <f>IFERROR(__xludf.DUMMYFUNCTION("""COMPUTED_VALUE"""),"Serbia")</f>
        <v>Serbia</v>
      </c>
      <c r="D13984">
        <f>IFERROR(__xludf.DUMMYFUNCTION("""COMPUTED_VALUE"""),2007.0)</f>
        <v>2007</v>
      </c>
      <c r="E13984">
        <f>IFERROR(__xludf.DUMMYFUNCTION("""COMPUTED_VALUE"""),9135214.0)</f>
        <v>9135214</v>
      </c>
    </row>
    <row r="13985">
      <c r="A13985" t="str">
        <f t="shared" si="1"/>
        <v>srb#2008</v>
      </c>
      <c r="B13985" t="str">
        <f>IFERROR(__xludf.DUMMYFUNCTION("""COMPUTED_VALUE"""),"srb")</f>
        <v>srb</v>
      </c>
      <c r="C13985" t="str">
        <f>IFERROR(__xludf.DUMMYFUNCTION("""COMPUTED_VALUE"""),"Serbia")</f>
        <v>Serbia</v>
      </c>
      <c r="D13985">
        <f>IFERROR(__xludf.DUMMYFUNCTION("""COMPUTED_VALUE"""),2008.0)</f>
        <v>2008</v>
      </c>
      <c r="E13985">
        <f>IFERROR(__xludf.DUMMYFUNCTION("""COMPUTED_VALUE"""),9099552.0)</f>
        <v>9099552</v>
      </c>
    </row>
    <row r="13986">
      <c r="A13986" t="str">
        <f t="shared" si="1"/>
        <v>srb#2009</v>
      </c>
      <c r="B13986" t="str">
        <f>IFERROR(__xludf.DUMMYFUNCTION("""COMPUTED_VALUE"""),"srb")</f>
        <v>srb</v>
      </c>
      <c r="C13986" t="str">
        <f>IFERROR(__xludf.DUMMYFUNCTION("""COMPUTED_VALUE"""),"Serbia")</f>
        <v>Serbia</v>
      </c>
      <c r="D13986">
        <f>IFERROR(__xludf.DUMMYFUNCTION("""COMPUTED_VALUE"""),2009.0)</f>
        <v>2009</v>
      </c>
      <c r="E13986">
        <f>IFERROR(__xludf.DUMMYFUNCTION("""COMPUTED_VALUE"""),9064756.0)</f>
        <v>9064756</v>
      </c>
    </row>
    <row r="13987">
      <c r="A13987" t="str">
        <f t="shared" si="1"/>
        <v>srb#2010</v>
      </c>
      <c r="B13987" t="str">
        <f>IFERROR(__xludf.DUMMYFUNCTION("""COMPUTED_VALUE"""),"srb")</f>
        <v>srb</v>
      </c>
      <c r="C13987" t="str">
        <f>IFERROR(__xludf.DUMMYFUNCTION("""COMPUTED_VALUE"""),"Serbia")</f>
        <v>Serbia</v>
      </c>
      <c r="D13987">
        <f>IFERROR(__xludf.DUMMYFUNCTION("""COMPUTED_VALUE"""),2010.0)</f>
        <v>2010</v>
      </c>
      <c r="E13987">
        <f>IFERROR(__xludf.DUMMYFUNCTION("""COMPUTED_VALUE"""),9029716.0)</f>
        <v>9029716</v>
      </c>
    </row>
    <row r="13988">
      <c r="A13988" t="str">
        <f t="shared" si="1"/>
        <v>srb#2011</v>
      </c>
      <c r="B13988" t="str">
        <f>IFERROR(__xludf.DUMMYFUNCTION("""COMPUTED_VALUE"""),"srb")</f>
        <v>srb</v>
      </c>
      <c r="C13988" t="str">
        <f>IFERROR(__xludf.DUMMYFUNCTION("""COMPUTED_VALUE"""),"Serbia")</f>
        <v>Serbia</v>
      </c>
      <c r="D13988">
        <f>IFERROR(__xludf.DUMMYFUNCTION("""COMPUTED_VALUE"""),2011.0)</f>
        <v>2011</v>
      </c>
      <c r="E13988">
        <f>IFERROR(__xludf.DUMMYFUNCTION("""COMPUTED_VALUE"""),8993746.0)</f>
        <v>8993746</v>
      </c>
    </row>
    <row r="13989">
      <c r="A13989" t="str">
        <f t="shared" si="1"/>
        <v>srb#2012</v>
      </c>
      <c r="B13989" t="str">
        <f>IFERROR(__xludf.DUMMYFUNCTION("""COMPUTED_VALUE"""),"srb")</f>
        <v>srb</v>
      </c>
      <c r="C13989" t="str">
        <f>IFERROR(__xludf.DUMMYFUNCTION("""COMPUTED_VALUE"""),"Serbia")</f>
        <v>Serbia</v>
      </c>
      <c r="D13989">
        <f>IFERROR(__xludf.DUMMYFUNCTION("""COMPUTED_VALUE"""),2012.0)</f>
        <v>2012</v>
      </c>
      <c r="E13989">
        <f>IFERROR(__xludf.DUMMYFUNCTION("""COMPUTED_VALUE"""),8956984.0)</f>
        <v>8956984</v>
      </c>
    </row>
    <row r="13990">
      <c r="A13990" t="str">
        <f t="shared" si="1"/>
        <v>srb#2013</v>
      </c>
      <c r="B13990" t="str">
        <f>IFERROR(__xludf.DUMMYFUNCTION("""COMPUTED_VALUE"""),"srb")</f>
        <v>srb</v>
      </c>
      <c r="C13990" t="str">
        <f>IFERROR(__xludf.DUMMYFUNCTION("""COMPUTED_VALUE"""),"Serbia")</f>
        <v>Serbia</v>
      </c>
      <c r="D13990">
        <f>IFERROR(__xludf.DUMMYFUNCTION("""COMPUTED_VALUE"""),2013.0)</f>
        <v>2013</v>
      </c>
      <c r="E13990">
        <f>IFERROR(__xludf.DUMMYFUNCTION("""COMPUTED_VALUE"""),8920215.0)</f>
        <v>8920215</v>
      </c>
    </row>
    <row r="13991">
      <c r="A13991" t="str">
        <f t="shared" si="1"/>
        <v>srb#2014</v>
      </c>
      <c r="B13991" t="str">
        <f>IFERROR(__xludf.DUMMYFUNCTION("""COMPUTED_VALUE"""),"srb")</f>
        <v>srb</v>
      </c>
      <c r="C13991" t="str">
        <f>IFERROR(__xludf.DUMMYFUNCTION("""COMPUTED_VALUE"""),"Serbia")</f>
        <v>Serbia</v>
      </c>
      <c r="D13991">
        <f>IFERROR(__xludf.DUMMYFUNCTION("""COMPUTED_VALUE"""),2014.0)</f>
        <v>2014</v>
      </c>
      <c r="E13991">
        <f>IFERROR(__xludf.DUMMYFUNCTION("""COMPUTED_VALUE"""),8884712.0)</f>
        <v>8884712</v>
      </c>
    </row>
    <row r="13992">
      <c r="A13992" t="str">
        <f t="shared" si="1"/>
        <v>srb#2015</v>
      </c>
      <c r="B13992" t="str">
        <f>IFERROR(__xludf.DUMMYFUNCTION("""COMPUTED_VALUE"""),"srb")</f>
        <v>srb</v>
      </c>
      <c r="C13992" t="str">
        <f>IFERROR(__xludf.DUMMYFUNCTION("""COMPUTED_VALUE"""),"Serbia")</f>
        <v>Serbia</v>
      </c>
      <c r="D13992">
        <f>IFERROR(__xludf.DUMMYFUNCTION("""COMPUTED_VALUE"""),2015.0)</f>
        <v>2015</v>
      </c>
      <c r="E13992">
        <f>IFERROR(__xludf.DUMMYFUNCTION("""COMPUTED_VALUE"""),8851280.0)</f>
        <v>8851280</v>
      </c>
    </row>
    <row r="13993">
      <c r="A13993" t="str">
        <f t="shared" si="1"/>
        <v>srb#2016</v>
      </c>
      <c r="B13993" t="str">
        <f>IFERROR(__xludf.DUMMYFUNCTION("""COMPUTED_VALUE"""),"srb")</f>
        <v>srb</v>
      </c>
      <c r="C13993" t="str">
        <f>IFERROR(__xludf.DUMMYFUNCTION("""COMPUTED_VALUE"""),"Serbia")</f>
        <v>Serbia</v>
      </c>
      <c r="D13993">
        <f>IFERROR(__xludf.DUMMYFUNCTION("""COMPUTED_VALUE"""),2016.0)</f>
        <v>2016</v>
      </c>
      <c r="E13993">
        <f>IFERROR(__xludf.DUMMYFUNCTION("""COMPUTED_VALUE"""),8820083.0)</f>
        <v>8820083</v>
      </c>
    </row>
    <row r="13994">
      <c r="A13994" t="str">
        <f t="shared" si="1"/>
        <v>srb#2017</v>
      </c>
      <c r="B13994" t="str">
        <f>IFERROR(__xludf.DUMMYFUNCTION("""COMPUTED_VALUE"""),"srb")</f>
        <v>srb</v>
      </c>
      <c r="C13994" t="str">
        <f>IFERROR(__xludf.DUMMYFUNCTION("""COMPUTED_VALUE"""),"Serbia")</f>
        <v>Serbia</v>
      </c>
      <c r="D13994">
        <f>IFERROR(__xludf.DUMMYFUNCTION("""COMPUTED_VALUE"""),2017.0)</f>
        <v>2017</v>
      </c>
      <c r="E13994">
        <f>IFERROR(__xludf.DUMMYFUNCTION("""COMPUTED_VALUE"""),8790574.0)</f>
        <v>8790574</v>
      </c>
    </row>
    <row r="13995">
      <c r="A13995" t="str">
        <f t="shared" si="1"/>
        <v>srb#2018</v>
      </c>
      <c r="B13995" t="str">
        <f>IFERROR(__xludf.DUMMYFUNCTION("""COMPUTED_VALUE"""),"srb")</f>
        <v>srb</v>
      </c>
      <c r="C13995" t="str">
        <f>IFERROR(__xludf.DUMMYFUNCTION("""COMPUTED_VALUE"""),"Serbia")</f>
        <v>Serbia</v>
      </c>
      <c r="D13995">
        <f>IFERROR(__xludf.DUMMYFUNCTION("""COMPUTED_VALUE"""),2018.0)</f>
        <v>2018</v>
      </c>
      <c r="E13995">
        <f>IFERROR(__xludf.DUMMYFUNCTION("""COMPUTED_VALUE"""),8762027.0)</f>
        <v>8762027</v>
      </c>
    </row>
    <row r="13996">
      <c r="A13996" t="str">
        <f t="shared" si="1"/>
        <v>srb#2019</v>
      </c>
      <c r="B13996" t="str">
        <f>IFERROR(__xludf.DUMMYFUNCTION("""COMPUTED_VALUE"""),"srb")</f>
        <v>srb</v>
      </c>
      <c r="C13996" t="str">
        <f>IFERROR(__xludf.DUMMYFUNCTION("""COMPUTED_VALUE"""),"Serbia")</f>
        <v>Serbia</v>
      </c>
      <c r="D13996">
        <f>IFERROR(__xludf.DUMMYFUNCTION("""COMPUTED_VALUE"""),2019.0)</f>
        <v>2019</v>
      </c>
      <c r="E13996">
        <f>IFERROR(__xludf.DUMMYFUNCTION("""COMPUTED_VALUE"""),8733407.0)</f>
        <v>8733407</v>
      </c>
    </row>
    <row r="13997">
      <c r="A13997" t="str">
        <f t="shared" si="1"/>
        <v>srb#2020</v>
      </c>
      <c r="B13997" t="str">
        <f>IFERROR(__xludf.DUMMYFUNCTION("""COMPUTED_VALUE"""),"srb")</f>
        <v>srb</v>
      </c>
      <c r="C13997" t="str">
        <f>IFERROR(__xludf.DUMMYFUNCTION("""COMPUTED_VALUE"""),"Serbia")</f>
        <v>Serbia</v>
      </c>
      <c r="D13997">
        <f>IFERROR(__xludf.DUMMYFUNCTION("""COMPUTED_VALUE"""),2020.0)</f>
        <v>2020</v>
      </c>
      <c r="E13997">
        <f>IFERROR(__xludf.DUMMYFUNCTION("""COMPUTED_VALUE"""),8703942.0)</f>
        <v>8703942</v>
      </c>
    </row>
    <row r="13998">
      <c r="A13998" t="str">
        <f t="shared" si="1"/>
        <v>srb#2021</v>
      </c>
      <c r="B13998" t="str">
        <f>IFERROR(__xludf.DUMMYFUNCTION("""COMPUTED_VALUE"""),"srb")</f>
        <v>srb</v>
      </c>
      <c r="C13998" t="str">
        <f>IFERROR(__xludf.DUMMYFUNCTION("""COMPUTED_VALUE"""),"Serbia")</f>
        <v>Serbia</v>
      </c>
      <c r="D13998">
        <f>IFERROR(__xludf.DUMMYFUNCTION("""COMPUTED_VALUE"""),2021.0)</f>
        <v>2021</v>
      </c>
      <c r="E13998">
        <f>IFERROR(__xludf.DUMMYFUNCTION("""COMPUTED_VALUE"""),8673359.0)</f>
        <v>8673359</v>
      </c>
    </row>
    <row r="13999">
      <c r="A13999" t="str">
        <f t="shared" si="1"/>
        <v>srb#2022</v>
      </c>
      <c r="B13999" t="str">
        <f>IFERROR(__xludf.DUMMYFUNCTION("""COMPUTED_VALUE"""),"srb")</f>
        <v>srb</v>
      </c>
      <c r="C13999" t="str">
        <f>IFERROR(__xludf.DUMMYFUNCTION("""COMPUTED_VALUE"""),"Serbia")</f>
        <v>Serbia</v>
      </c>
      <c r="D13999">
        <f>IFERROR(__xludf.DUMMYFUNCTION("""COMPUTED_VALUE"""),2022.0)</f>
        <v>2022</v>
      </c>
      <c r="E13999">
        <f>IFERROR(__xludf.DUMMYFUNCTION("""COMPUTED_VALUE"""),8641735.0)</f>
        <v>8641735</v>
      </c>
    </row>
    <row r="14000">
      <c r="A14000" t="str">
        <f t="shared" si="1"/>
        <v>srb#2023</v>
      </c>
      <c r="B14000" t="str">
        <f>IFERROR(__xludf.DUMMYFUNCTION("""COMPUTED_VALUE"""),"srb")</f>
        <v>srb</v>
      </c>
      <c r="C14000" t="str">
        <f>IFERROR(__xludf.DUMMYFUNCTION("""COMPUTED_VALUE"""),"Serbia")</f>
        <v>Serbia</v>
      </c>
      <c r="D14000">
        <f>IFERROR(__xludf.DUMMYFUNCTION("""COMPUTED_VALUE"""),2023.0)</f>
        <v>2023</v>
      </c>
      <c r="E14000">
        <f>IFERROR(__xludf.DUMMYFUNCTION("""COMPUTED_VALUE"""),8609107.0)</f>
        <v>8609107</v>
      </c>
    </row>
    <row r="14001">
      <c r="A14001" t="str">
        <f t="shared" si="1"/>
        <v>srb#2024</v>
      </c>
      <c r="B14001" t="str">
        <f>IFERROR(__xludf.DUMMYFUNCTION("""COMPUTED_VALUE"""),"srb")</f>
        <v>srb</v>
      </c>
      <c r="C14001" t="str">
        <f>IFERROR(__xludf.DUMMYFUNCTION("""COMPUTED_VALUE"""),"Serbia")</f>
        <v>Serbia</v>
      </c>
      <c r="D14001">
        <f>IFERROR(__xludf.DUMMYFUNCTION("""COMPUTED_VALUE"""),2024.0)</f>
        <v>2024</v>
      </c>
      <c r="E14001">
        <f>IFERROR(__xludf.DUMMYFUNCTION("""COMPUTED_VALUE"""),8575593.0)</f>
        <v>8575593</v>
      </c>
    </row>
    <row r="14002">
      <c r="A14002" t="str">
        <f t="shared" si="1"/>
        <v>srb#2025</v>
      </c>
      <c r="B14002" t="str">
        <f>IFERROR(__xludf.DUMMYFUNCTION("""COMPUTED_VALUE"""),"srb")</f>
        <v>srb</v>
      </c>
      <c r="C14002" t="str">
        <f>IFERROR(__xludf.DUMMYFUNCTION("""COMPUTED_VALUE"""),"Serbia")</f>
        <v>Serbia</v>
      </c>
      <c r="D14002">
        <f>IFERROR(__xludf.DUMMYFUNCTION("""COMPUTED_VALUE"""),2025.0)</f>
        <v>2025</v>
      </c>
      <c r="E14002">
        <f>IFERROR(__xludf.DUMMYFUNCTION("""COMPUTED_VALUE"""),8541293.0)</f>
        <v>8541293</v>
      </c>
    </row>
    <row r="14003">
      <c r="A14003" t="str">
        <f t="shared" si="1"/>
        <v>srb#2026</v>
      </c>
      <c r="B14003" t="str">
        <f>IFERROR(__xludf.DUMMYFUNCTION("""COMPUTED_VALUE"""),"srb")</f>
        <v>srb</v>
      </c>
      <c r="C14003" t="str">
        <f>IFERROR(__xludf.DUMMYFUNCTION("""COMPUTED_VALUE"""),"Serbia")</f>
        <v>Serbia</v>
      </c>
      <c r="D14003">
        <f>IFERROR(__xludf.DUMMYFUNCTION("""COMPUTED_VALUE"""),2026.0)</f>
        <v>2026</v>
      </c>
      <c r="E14003">
        <f>IFERROR(__xludf.DUMMYFUNCTION("""COMPUTED_VALUE"""),8506145.0)</f>
        <v>8506145</v>
      </c>
    </row>
    <row r="14004">
      <c r="A14004" t="str">
        <f t="shared" si="1"/>
        <v>srb#2027</v>
      </c>
      <c r="B14004" t="str">
        <f>IFERROR(__xludf.DUMMYFUNCTION("""COMPUTED_VALUE"""),"srb")</f>
        <v>srb</v>
      </c>
      <c r="C14004" t="str">
        <f>IFERROR(__xludf.DUMMYFUNCTION("""COMPUTED_VALUE"""),"Serbia")</f>
        <v>Serbia</v>
      </c>
      <c r="D14004">
        <f>IFERROR(__xludf.DUMMYFUNCTION("""COMPUTED_VALUE"""),2027.0)</f>
        <v>2027</v>
      </c>
      <c r="E14004">
        <f>IFERROR(__xludf.DUMMYFUNCTION("""COMPUTED_VALUE"""),8470018.0)</f>
        <v>8470018</v>
      </c>
    </row>
    <row r="14005">
      <c r="A14005" t="str">
        <f t="shared" si="1"/>
        <v>srb#2028</v>
      </c>
      <c r="B14005" t="str">
        <f>IFERROR(__xludf.DUMMYFUNCTION("""COMPUTED_VALUE"""),"srb")</f>
        <v>srb</v>
      </c>
      <c r="C14005" t="str">
        <f>IFERROR(__xludf.DUMMYFUNCTION("""COMPUTED_VALUE"""),"Serbia")</f>
        <v>Serbia</v>
      </c>
      <c r="D14005">
        <f>IFERROR(__xludf.DUMMYFUNCTION("""COMPUTED_VALUE"""),2028.0)</f>
        <v>2028</v>
      </c>
      <c r="E14005">
        <f>IFERROR(__xludf.DUMMYFUNCTION("""COMPUTED_VALUE"""),8432884.0)</f>
        <v>8432884</v>
      </c>
    </row>
    <row r="14006">
      <c r="A14006" t="str">
        <f t="shared" si="1"/>
        <v>srb#2029</v>
      </c>
      <c r="B14006" t="str">
        <f>IFERROR(__xludf.DUMMYFUNCTION("""COMPUTED_VALUE"""),"srb")</f>
        <v>srb</v>
      </c>
      <c r="C14006" t="str">
        <f>IFERROR(__xludf.DUMMYFUNCTION("""COMPUTED_VALUE"""),"Serbia")</f>
        <v>Serbia</v>
      </c>
      <c r="D14006">
        <f>IFERROR(__xludf.DUMMYFUNCTION("""COMPUTED_VALUE"""),2029.0)</f>
        <v>2029</v>
      </c>
      <c r="E14006">
        <f>IFERROR(__xludf.DUMMYFUNCTION("""COMPUTED_VALUE"""),8394700.0)</f>
        <v>8394700</v>
      </c>
    </row>
    <row r="14007">
      <c r="A14007" t="str">
        <f t="shared" si="1"/>
        <v>srb#2030</v>
      </c>
      <c r="B14007" t="str">
        <f>IFERROR(__xludf.DUMMYFUNCTION("""COMPUTED_VALUE"""),"srb")</f>
        <v>srb</v>
      </c>
      <c r="C14007" t="str">
        <f>IFERROR(__xludf.DUMMYFUNCTION("""COMPUTED_VALUE"""),"Serbia")</f>
        <v>Serbia</v>
      </c>
      <c r="D14007">
        <f>IFERROR(__xludf.DUMMYFUNCTION("""COMPUTED_VALUE"""),2030.0)</f>
        <v>2030</v>
      </c>
      <c r="E14007">
        <f>IFERROR(__xludf.DUMMYFUNCTION("""COMPUTED_VALUE"""),8355445.0)</f>
        <v>8355445</v>
      </c>
    </row>
    <row r="14008">
      <c r="A14008" t="str">
        <f t="shared" si="1"/>
        <v>srb#2031</v>
      </c>
      <c r="B14008" t="str">
        <f>IFERROR(__xludf.DUMMYFUNCTION("""COMPUTED_VALUE"""),"srb")</f>
        <v>srb</v>
      </c>
      <c r="C14008" t="str">
        <f>IFERROR(__xludf.DUMMYFUNCTION("""COMPUTED_VALUE"""),"Serbia")</f>
        <v>Serbia</v>
      </c>
      <c r="D14008">
        <f>IFERROR(__xludf.DUMMYFUNCTION("""COMPUTED_VALUE"""),2031.0)</f>
        <v>2031</v>
      </c>
      <c r="E14008">
        <f>IFERROR(__xludf.DUMMYFUNCTION("""COMPUTED_VALUE"""),8315132.0)</f>
        <v>8315132</v>
      </c>
    </row>
    <row r="14009">
      <c r="A14009" t="str">
        <f t="shared" si="1"/>
        <v>srb#2032</v>
      </c>
      <c r="B14009" t="str">
        <f>IFERROR(__xludf.DUMMYFUNCTION("""COMPUTED_VALUE"""),"srb")</f>
        <v>srb</v>
      </c>
      <c r="C14009" t="str">
        <f>IFERROR(__xludf.DUMMYFUNCTION("""COMPUTED_VALUE"""),"Serbia")</f>
        <v>Serbia</v>
      </c>
      <c r="D14009">
        <f>IFERROR(__xludf.DUMMYFUNCTION("""COMPUTED_VALUE"""),2032.0)</f>
        <v>2032</v>
      </c>
      <c r="E14009">
        <f>IFERROR(__xludf.DUMMYFUNCTION("""COMPUTED_VALUE"""),8273788.0)</f>
        <v>8273788</v>
      </c>
    </row>
    <row r="14010">
      <c r="A14010" t="str">
        <f t="shared" si="1"/>
        <v>srb#2033</v>
      </c>
      <c r="B14010" t="str">
        <f>IFERROR(__xludf.DUMMYFUNCTION("""COMPUTED_VALUE"""),"srb")</f>
        <v>srb</v>
      </c>
      <c r="C14010" t="str">
        <f>IFERROR(__xludf.DUMMYFUNCTION("""COMPUTED_VALUE"""),"Serbia")</f>
        <v>Serbia</v>
      </c>
      <c r="D14010">
        <f>IFERROR(__xludf.DUMMYFUNCTION("""COMPUTED_VALUE"""),2033.0)</f>
        <v>2033</v>
      </c>
      <c r="E14010">
        <f>IFERROR(__xludf.DUMMYFUNCTION("""COMPUTED_VALUE"""),8231444.0)</f>
        <v>8231444</v>
      </c>
    </row>
    <row r="14011">
      <c r="A14011" t="str">
        <f t="shared" si="1"/>
        <v>srb#2034</v>
      </c>
      <c r="B14011" t="str">
        <f>IFERROR(__xludf.DUMMYFUNCTION("""COMPUTED_VALUE"""),"srb")</f>
        <v>srb</v>
      </c>
      <c r="C14011" t="str">
        <f>IFERROR(__xludf.DUMMYFUNCTION("""COMPUTED_VALUE"""),"Serbia")</f>
        <v>Serbia</v>
      </c>
      <c r="D14011">
        <f>IFERROR(__xludf.DUMMYFUNCTION("""COMPUTED_VALUE"""),2034.0)</f>
        <v>2034</v>
      </c>
      <c r="E14011">
        <f>IFERROR(__xludf.DUMMYFUNCTION("""COMPUTED_VALUE"""),8188148.0)</f>
        <v>8188148</v>
      </c>
    </row>
    <row r="14012">
      <c r="A14012" t="str">
        <f t="shared" si="1"/>
        <v>srb#2035</v>
      </c>
      <c r="B14012" t="str">
        <f>IFERROR(__xludf.DUMMYFUNCTION("""COMPUTED_VALUE"""),"srb")</f>
        <v>srb</v>
      </c>
      <c r="C14012" t="str">
        <f>IFERROR(__xludf.DUMMYFUNCTION("""COMPUTED_VALUE"""),"Serbia")</f>
        <v>Serbia</v>
      </c>
      <c r="D14012">
        <f>IFERROR(__xludf.DUMMYFUNCTION("""COMPUTED_VALUE"""),2035.0)</f>
        <v>2035</v>
      </c>
      <c r="E14012">
        <f>IFERROR(__xludf.DUMMYFUNCTION("""COMPUTED_VALUE"""),8143972.0)</f>
        <v>8143972</v>
      </c>
    </row>
    <row r="14013">
      <c r="A14013" t="str">
        <f t="shared" si="1"/>
        <v>srb#2036</v>
      </c>
      <c r="B14013" t="str">
        <f>IFERROR(__xludf.DUMMYFUNCTION("""COMPUTED_VALUE"""),"srb")</f>
        <v>srb</v>
      </c>
      <c r="C14013" t="str">
        <f>IFERROR(__xludf.DUMMYFUNCTION("""COMPUTED_VALUE"""),"Serbia")</f>
        <v>Serbia</v>
      </c>
      <c r="D14013">
        <f>IFERROR(__xludf.DUMMYFUNCTION("""COMPUTED_VALUE"""),2036.0)</f>
        <v>2036</v>
      </c>
      <c r="E14013">
        <f>IFERROR(__xludf.DUMMYFUNCTION("""COMPUTED_VALUE"""),8098940.0)</f>
        <v>8098940</v>
      </c>
    </row>
    <row r="14014">
      <c r="A14014" t="str">
        <f t="shared" si="1"/>
        <v>srb#2037</v>
      </c>
      <c r="B14014" t="str">
        <f>IFERROR(__xludf.DUMMYFUNCTION("""COMPUTED_VALUE"""),"srb")</f>
        <v>srb</v>
      </c>
      <c r="C14014" t="str">
        <f>IFERROR(__xludf.DUMMYFUNCTION("""COMPUTED_VALUE"""),"Serbia")</f>
        <v>Serbia</v>
      </c>
      <c r="D14014">
        <f>IFERROR(__xludf.DUMMYFUNCTION("""COMPUTED_VALUE"""),2037.0)</f>
        <v>2037</v>
      </c>
      <c r="E14014">
        <f>IFERROR(__xludf.DUMMYFUNCTION("""COMPUTED_VALUE"""),8053154.0)</f>
        <v>8053154</v>
      </c>
    </row>
    <row r="14015">
      <c r="A14015" t="str">
        <f t="shared" si="1"/>
        <v>srb#2038</v>
      </c>
      <c r="B14015" t="str">
        <f>IFERROR(__xludf.DUMMYFUNCTION("""COMPUTED_VALUE"""),"srb")</f>
        <v>srb</v>
      </c>
      <c r="C14015" t="str">
        <f>IFERROR(__xludf.DUMMYFUNCTION("""COMPUTED_VALUE"""),"Serbia")</f>
        <v>Serbia</v>
      </c>
      <c r="D14015">
        <f>IFERROR(__xludf.DUMMYFUNCTION("""COMPUTED_VALUE"""),2038.0)</f>
        <v>2038</v>
      </c>
      <c r="E14015">
        <f>IFERROR(__xludf.DUMMYFUNCTION("""COMPUTED_VALUE"""),8006754.0)</f>
        <v>8006754</v>
      </c>
    </row>
    <row r="14016">
      <c r="A14016" t="str">
        <f t="shared" si="1"/>
        <v>srb#2039</v>
      </c>
      <c r="B14016" t="str">
        <f>IFERROR(__xludf.DUMMYFUNCTION("""COMPUTED_VALUE"""),"srb")</f>
        <v>srb</v>
      </c>
      <c r="C14016" t="str">
        <f>IFERROR(__xludf.DUMMYFUNCTION("""COMPUTED_VALUE"""),"Serbia")</f>
        <v>Serbia</v>
      </c>
      <c r="D14016">
        <f>IFERROR(__xludf.DUMMYFUNCTION("""COMPUTED_VALUE"""),2039.0)</f>
        <v>2039</v>
      </c>
      <c r="E14016">
        <f>IFERROR(__xludf.DUMMYFUNCTION("""COMPUTED_VALUE"""),7959923.0)</f>
        <v>7959923</v>
      </c>
    </row>
    <row r="14017">
      <c r="A14017" t="str">
        <f t="shared" si="1"/>
        <v>srb#2040</v>
      </c>
      <c r="B14017" t="str">
        <f>IFERROR(__xludf.DUMMYFUNCTION("""COMPUTED_VALUE"""),"srb")</f>
        <v>srb</v>
      </c>
      <c r="C14017" t="str">
        <f>IFERROR(__xludf.DUMMYFUNCTION("""COMPUTED_VALUE"""),"Serbia")</f>
        <v>Serbia</v>
      </c>
      <c r="D14017">
        <f>IFERROR(__xludf.DUMMYFUNCTION("""COMPUTED_VALUE"""),2040.0)</f>
        <v>2040</v>
      </c>
      <c r="E14017">
        <f>IFERROR(__xludf.DUMMYFUNCTION("""COMPUTED_VALUE"""),7912824.0)</f>
        <v>7912824</v>
      </c>
    </row>
    <row r="14018">
      <c r="A14018" t="str">
        <f t="shared" si="1"/>
        <v>syc#1950</v>
      </c>
      <c r="B14018" t="str">
        <f>IFERROR(__xludf.DUMMYFUNCTION("""COMPUTED_VALUE"""),"syc")</f>
        <v>syc</v>
      </c>
      <c r="C14018" t="str">
        <f>IFERROR(__xludf.DUMMYFUNCTION("""COMPUTED_VALUE"""),"Seychelles")</f>
        <v>Seychelles</v>
      </c>
      <c r="D14018">
        <f>IFERROR(__xludf.DUMMYFUNCTION("""COMPUTED_VALUE"""),1950.0)</f>
        <v>1950</v>
      </c>
      <c r="E14018">
        <f>IFERROR(__xludf.DUMMYFUNCTION("""COMPUTED_VALUE"""),36325.0)</f>
        <v>36325</v>
      </c>
    </row>
    <row r="14019">
      <c r="A14019" t="str">
        <f t="shared" si="1"/>
        <v>syc#1951</v>
      </c>
      <c r="B14019" t="str">
        <f>IFERROR(__xludf.DUMMYFUNCTION("""COMPUTED_VALUE"""),"syc")</f>
        <v>syc</v>
      </c>
      <c r="C14019" t="str">
        <f>IFERROR(__xludf.DUMMYFUNCTION("""COMPUTED_VALUE"""),"Seychelles")</f>
        <v>Seychelles</v>
      </c>
      <c r="D14019">
        <f>IFERROR(__xludf.DUMMYFUNCTION("""COMPUTED_VALUE"""),1951.0)</f>
        <v>1951</v>
      </c>
      <c r="E14019">
        <f>IFERROR(__xludf.DUMMYFUNCTION("""COMPUTED_VALUE"""),36881.0)</f>
        <v>36881</v>
      </c>
    </row>
    <row r="14020">
      <c r="A14020" t="str">
        <f t="shared" si="1"/>
        <v>syc#1952</v>
      </c>
      <c r="B14020" t="str">
        <f>IFERROR(__xludf.DUMMYFUNCTION("""COMPUTED_VALUE"""),"syc")</f>
        <v>syc</v>
      </c>
      <c r="C14020" t="str">
        <f>IFERROR(__xludf.DUMMYFUNCTION("""COMPUTED_VALUE"""),"Seychelles")</f>
        <v>Seychelles</v>
      </c>
      <c r="D14020">
        <f>IFERROR(__xludf.DUMMYFUNCTION("""COMPUTED_VALUE"""),1952.0)</f>
        <v>1952</v>
      </c>
      <c r="E14020">
        <f>IFERROR(__xludf.DUMMYFUNCTION("""COMPUTED_VALUE"""),37437.0)</f>
        <v>37437</v>
      </c>
    </row>
    <row r="14021">
      <c r="A14021" t="str">
        <f t="shared" si="1"/>
        <v>syc#1953</v>
      </c>
      <c r="B14021" t="str">
        <f>IFERROR(__xludf.DUMMYFUNCTION("""COMPUTED_VALUE"""),"syc")</f>
        <v>syc</v>
      </c>
      <c r="C14021" t="str">
        <f>IFERROR(__xludf.DUMMYFUNCTION("""COMPUTED_VALUE"""),"Seychelles")</f>
        <v>Seychelles</v>
      </c>
      <c r="D14021">
        <f>IFERROR(__xludf.DUMMYFUNCTION("""COMPUTED_VALUE"""),1953.0)</f>
        <v>1953</v>
      </c>
      <c r="E14021">
        <f>IFERROR(__xludf.DUMMYFUNCTION("""COMPUTED_VALUE"""),37964.0)</f>
        <v>37964</v>
      </c>
    </row>
    <row r="14022">
      <c r="A14022" t="str">
        <f t="shared" si="1"/>
        <v>syc#1954</v>
      </c>
      <c r="B14022" t="str">
        <f>IFERROR(__xludf.DUMMYFUNCTION("""COMPUTED_VALUE"""),"syc")</f>
        <v>syc</v>
      </c>
      <c r="C14022" t="str">
        <f>IFERROR(__xludf.DUMMYFUNCTION("""COMPUTED_VALUE"""),"Seychelles")</f>
        <v>Seychelles</v>
      </c>
      <c r="D14022">
        <f>IFERROR(__xludf.DUMMYFUNCTION("""COMPUTED_VALUE"""),1954.0)</f>
        <v>1954</v>
      </c>
      <c r="E14022">
        <f>IFERROR(__xludf.DUMMYFUNCTION("""COMPUTED_VALUE"""),38455.0)</f>
        <v>38455</v>
      </c>
    </row>
    <row r="14023">
      <c r="A14023" t="str">
        <f t="shared" si="1"/>
        <v>syc#1955</v>
      </c>
      <c r="B14023" t="str">
        <f>IFERROR(__xludf.DUMMYFUNCTION("""COMPUTED_VALUE"""),"syc")</f>
        <v>syc</v>
      </c>
      <c r="C14023" t="str">
        <f>IFERROR(__xludf.DUMMYFUNCTION("""COMPUTED_VALUE"""),"Seychelles")</f>
        <v>Seychelles</v>
      </c>
      <c r="D14023">
        <f>IFERROR(__xludf.DUMMYFUNCTION("""COMPUTED_VALUE"""),1955.0)</f>
        <v>1955</v>
      </c>
      <c r="E14023">
        <f>IFERROR(__xludf.DUMMYFUNCTION("""COMPUTED_VALUE"""),38909.0)</f>
        <v>38909</v>
      </c>
    </row>
    <row r="14024">
      <c r="A14024" t="str">
        <f t="shared" si="1"/>
        <v>syc#1956</v>
      </c>
      <c r="B14024" t="str">
        <f>IFERROR(__xludf.DUMMYFUNCTION("""COMPUTED_VALUE"""),"syc")</f>
        <v>syc</v>
      </c>
      <c r="C14024" t="str">
        <f>IFERROR(__xludf.DUMMYFUNCTION("""COMPUTED_VALUE"""),"Seychelles")</f>
        <v>Seychelles</v>
      </c>
      <c r="D14024">
        <f>IFERROR(__xludf.DUMMYFUNCTION("""COMPUTED_VALUE"""),1956.0)</f>
        <v>1956</v>
      </c>
      <c r="E14024">
        <f>IFERROR(__xludf.DUMMYFUNCTION("""COMPUTED_VALUE"""),39334.0)</f>
        <v>39334</v>
      </c>
    </row>
    <row r="14025">
      <c r="A14025" t="str">
        <f t="shared" si="1"/>
        <v>syc#1957</v>
      </c>
      <c r="B14025" t="str">
        <f>IFERROR(__xludf.DUMMYFUNCTION("""COMPUTED_VALUE"""),"syc")</f>
        <v>syc</v>
      </c>
      <c r="C14025" t="str">
        <f>IFERROR(__xludf.DUMMYFUNCTION("""COMPUTED_VALUE"""),"Seychelles")</f>
        <v>Seychelles</v>
      </c>
      <c r="D14025">
        <f>IFERROR(__xludf.DUMMYFUNCTION("""COMPUTED_VALUE"""),1957.0)</f>
        <v>1957</v>
      </c>
      <c r="E14025">
        <f>IFERROR(__xludf.DUMMYFUNCTION("""COMPUTED_VALUE"""),39769.0)</f>
        <v>39769</v>
      </c>
    </row>
    <row r="14026">
      <c r="A14026" t="str">
        <f t="shared" si="1"/>
        <v>syc#1958</v>
      </c>
      <c r="B14026" t="str">
        <f>IFERROR(__xludf.DUMMYFUNCTION("""COMPUTED_VALUE"""),"syc")</f>
        <v>syc</v>
      </c>
      <c r="C14026" t="str">
        <f>IFERROR(__xludf.DUMMYFUNCTION("""COMPUTED_VALUE"""),"Seychelles")</f>
        <v>Seychelles</v>
      </c>
      <c r="D14026">
        <f>IFERROR(__xludf.DUMMYFUNCTION("""COMPUTED_VALUE"""),1958.0)</f>
        <v>1958</v>
      </c>
      <c r="E14026">
        <f>IFERROR(__xludf.DUMMYFUNCTION("""COMPUTED_VALUE"""),40254.0)</f>
        <v>40254</v>
      </c>
    </row>
    <row r="14027">
      <c r="A14027" t="str">
        <f t="shared" si="1"/>
        <v>syc#1959</v>
      </c>
      <c r="B14027" t="str">
        <f>IFERROR(__xludf.DUMMYFUNCTION("""COMPUTED_VALUE"""),"syc")</f>
        <v>syc</v>
      </c>
      <c r="C14027" t="str">
        <f>IFERROR(__xludf.DUMMYFUNCTION("""COMPUTED_VALUE"""),"Seychelles")</f>
        <v>Seychelles</v>
      </c>
      <c r="D14027">
        <f>IFERROR(__xludf.DUMMYFUNCTION("""COMPUTED_VALUE"""),1959.0)</f>
        <v>1959</v>
      </c>
      <c r="E14027">
        <f>IFERROR(__xludf.DUMMYFUNCTION("""COMPUTED_VALUE"""),40826.0)</f>
        <v>40826</v>
      </c>
    </row>
    <row r="14028">
      <c r="A14028" t="str">
        <f t="shared" si="1"/>
        <v>syc#1960</v>
      </c>
      <c r="B14028" t="str">
        <f>IFERROR(__xludf.DUMMYFUNCTION("""COMPUTED_VALUE"""),"syc")</f>
        <v>syc</v>
      </c>
      <c r="C14028" t="str">
        <f>IFERROR(__xludf.DUMMYFUNCTION("""COMPUTED_VALUE"""),"Seychelles")</f>
        <v>Seychelles</v>
      </c>
      <c r="D14028">
        <f>IFERROR(__xludf.DUMMYFUNCTION("""COMPUTED_VALUE"""),1960.0)</f>
        <v>1960</v>
      </c>
      <c r="E14028">
        <f>IFERROR(__xludf.DUMMYFUNCTION("""COMPUTED_VALUE"""),41540.0)</f>
        <v>41540</v>
      </c>
    </row>
    <row r="14029">
      <c r="A14029" t="str">
        <f t="shared" si="1"/>
        <v>syc#1961</v>
      </c>
      <c r="B14029" t="str">
        <f>IFERROR(__xludf.DUMMYFUNCTION("""COMPUTED_VALUE"""),"syc")</f>
        <v>syc</v>
      </c>
      <c r="C14029" t="str">
        <f>IFERROR(__xludf.DUMMYFUNCTION("""COMPUTED_VALUE"""),"Seychelles")</f>
        <v>Seychelles</v>
      </c>
      <c r="D14029">
        <f>IFERROR(__xludf.DUMMYFUNCTION("""COMPUTED_VALUE"""),1961.0)</f>
        <v>1961</v>
      </c>
      <c r="E14029">
        <f>IFERROR(__xludf.DUMMYFUNCTION("""COMPUTED_VALUE"""),42400.0)</f>
        <v>42400</v>
      </c>
    </row>
    <row r="14030">
      <c r="A14030" t="str">
        <f t="shared" si="1"/>
        <v>syc#1962</v>
      </c>
      <c r="B14030" t="str">
        <f>IFERROR(__xludf.DUMMYFUNCTION("""COMPUTED_VALUE"""),"syc")</f>
        <v>syc</v>
      </c>
      <c r="C14030" t="str">
        <f>IFERROR(__xludf.DUMMYFUNCTION("""COMPUTED_VALUE"""),"Seychelles")</f>
        <v>Seychelles</v>
      </c>
      <c r="D14030">
        <f>IFERROR(__xludf.DUMMYFUNCTION("""COMPUTED_VALUE"""),1962.0)</f>
        <v>1962</v>
      </c>
      <c r="E14030">
        <f>IFERROR(__xludf.DUMMYFUNCTION("""COMPUTED_VALUE"""),43406.0)</f>
        <v>43406</v>
      </c>
    </row>
    <row r="14031">
      <c r="A14031" t="str">
        <f t="shared" si="1"/>
        <v>syc#1963</v>
      </c>
      <c r="B14031" t="str">
        <f>IFERROR(__xludf.DUMMYFUNCTION("""COMPUTED_VALUE"""),"syc")</f>
        <v>syc</v>
      </c>
      <c r="C14031" t="str">
        <f>IFERROR(__xludf.DUMMYFUNCTION("""COMPUTED_VALUE"""),"Seychelles")</f>
        <v>Seychelles</v>
      </c>
      <c r="D14031">
        <f>IFERROR(__xludf.DUMMYFUNCTION("""COMPUTED_VALUE"""),1963.0)</f>
        <v>1963</v>
      </c>
      <c r="E14031">
        <f>IFERROR(__xludf.DUMMYFUNCTION("""COMPUTED_VALUE"""),44511.0)</f>
        <v>44511</v>
      </c>
    </row>
    <row r="14032">
      <c r="A14032" t="str">
        <f t="shared" si="1"/>
        <v>syc#1964</v>
      </c>
      <c r="B14032" t="str">
        <f>IFERROR(__xludf.DUMMYFUNCTION("""COMPUTED_VALUE"""),"syc")</f>
        <v>syc</v>
      </c>
      <c r="C14032" t="str">
        <f>IFERROR(__xludf.DUMMYFUNCTION("""COMPUTED_VALUE"""),"Seychelles")</f>
        <v>Seychelles</v>
      </c>
      <c r="D14032">
        <f>IFERROR(__xludf.DUMMYFUNCTION("""COMPUTED_VALUE"""),1964.0)</f>
        <v>1964</v>
      </c>
      <c r="E14032">
        <f>IFERROR(__xludf.DUMMYFUNCTION("""COMPUTED_VALUE"""),45649.0)</f>
        <v>45649</v>
      </c>
    </row>
    <row r="14033">
      <c r="A14033" t="str">
        <f t="shared" si="1"/>
        <v>syc#1965</v>
      </c>
      <c r="B14033" t="str">
        <f>IFERROR(__xludf.DUMMYFUNCTION("""COMPUTED_VALUE"""),"syc")</f>
        <v>syc</v>
      </c>
      <c r="C14033" t="str">
        <f>IFERROR(__xludf.DUMMYFUNCTION("""COMPUTED_VALUE"""),"Seychelles")</f>
        <v>Seychelles</v>
      </c>
      <c r="D14033">
        <f>IFERROR(__xludf.DUMMYFUNCTION("""COMPUTED_VALUE"""),1965.0)</f>
        <v>1965</v>
      </c>
      <c r="E14033">
        <f>IFERROR(__xludf.DUMMYFUNCTION("""COMPUTED_VALUE"""),46772.0)</f>
        <v>46772</v>
      </c>
    </row>
    <row r="14034">
      <c r="A14034" t="str">
        <f t="shared" si="1"/>
        <v>syc#1966</v>
      </c>
      <c r="B14034" t="str">
        <f>IFERROR(__xludf.DUMMYFUNCTION("""COMPUTED_VALUE"""),"syc")</f>
        <v>syc</v>
      </c>
      <c r="C14034" t="str">
        <f>IFERROR(__xludf.DUMMYFUNCTION("""COMPUTED_VALUE"""),"Seychelles")</f>
        <v>Seychelles</v>
      </c>
      <c r="D14034">
        <f>IFERROR(__xludf.DUMMYFUNCTION("""COMPUTED_VALUE"""),1966.0)</f>
        <v>1966</v>
      </c>
      <c r="E14034">
        <f>IFERROR(__xludf.DUMMYFUNCTION("""COMPUTED_VALUE"""),47852.0)</f>
        <v>47852</v>
      </c>
    </row>
    <row r="14035">
      <c r="A14035" t="str">
        <f t="shared" si="1"/>
        <v>syc#1967</v>
      </c>
      <c r="B14035" t="str">
        <f>IFERROR(__xludf.DUMMYFUNCTION("""COMPUTED_VALUE"""),"syc")</f>
        <v>syc</v>
      </c>
      <c r="C14035" t="str">
        <f>IFERROR(__xludf.DUMMYFUNCTION("""COMPUTED_VALUE"""),"Seychelles")</f>
        <v>Seychelles</v>
      </c>
      <c r="D14035">
        <f>IFERROR(__xludf.DUMMYFUNCTION("""COMPUTED_VALUE"""),1967.0)</f>
        <v>1967</v>
      </c>
      <c r="E14035">
        <f>IFERROR(__xludf.DUMMYFUNCTION("""COMPUTED_VALUE"""),48914.0)</f>
        <v>48914</v>
      </c>
    </row>
    <row r="14036">
      <c r="A14036" t="str">
        <f t="shared" si="1"/>
        <v>syc#1968</v>
      </c>
      <c r="B14036" t="str">
        <f>IFERROR(__xludf.DUMMYFUNCTION("""COMPUTED_VALUE"""),"syc")</f>
        <v>syc</v>
      </c>
      <c r="C14036" t="str">
        <f>IFERROR(__xludf.DUMMYFUNCTION("""COMPUTED_VALUE"""),"Seychelles")</f>
        <v>Seychelles</v>
      </c>
      <c r="D14036">
        <f>IFERROR(__xludf.DUMMYFUNCTION("""COMPUTED_VALUE"""),1968.0)</f>
        <v>1968</v>
      </c>
      <c r="E14036">
        <f>IFERROR(__xludf.DUMMYFUNCTION("""COMPUTED_VALUE"""),49988.0)</f>
        <v>49988</v>
      </c>
    </row>
    <row r="14037">
      <c r="A14037" t="str">
        <f t="shared" si="1"/>
        <v>syc#1969</v>
      </c>
      <c r="B14037" t="str">
        <f>IFERROR(__xludf.DUMMYFUNCTION("""COMPUTED_VALUE"""),"syc")</f>
        <v>syc</v>
      </c>
      <c r="C14037" t="str">
        <f>IFERROR(__xludf.DUMMYFUNCTION("""COMPUTED_VALUE"""),"Seychelles")</f>
        <v>Seychelles</v>
      </c>
      <c r="D14037">
        <f>IFERROR(__xludf.DUMMYFUNCTION("""COMPUTED_VALUE"""),1969.0)</f>
        <v>1969</v>
      </c>
      <c r="E14037">
        <f>IFERROR(__xludf.DUMMYFUNCTION("""COMPUTED_VALUE"""),51128.0)</f>
        <v>51128</v>
      </c>
    </row>
    <row r="14038">
      <c r="A14038" t="str">
        <f t="shared" si="1"/>
        <v>syc#1970</v>
      </c>
      <c r="B14038" t="str">
        <f>IFERROR(__xludf.DUMMYFUNCTION("""COMPUTED_VALUE"""),"syc")</f>
        <v>syc</v>
      </c>
      <c r="C14038" t="str">
        <f>IFERROR(__xludf.DUMMYFUNCTION("""COMPUTED_VALUE"""),"Seychelles")</f>
        <v>Seychelles</v>
      </c>
      <c r="D14038">
        <f>IFERROR(__xludf.DUMMYFUNCTION("""COMPUTED_VALUE"""),1970.0)</f>
        <v>1970</v>
      </c>
      <c r="E14038">
        <f>IFERROR(__xludf.DUMMYFUNCTION("""COMPUTED_VALUE"""),52365.0)</f>
        <v>52365</v>
      </c>
    </row>
    <row r="14039">
      <c r="A14039" t="str">
        <f t="shared" si="1"/>
        <v>syc#1971</v>
      </c>
      <c r="B14039" t="str">
        <f>IFERROR(__xludf.DUMMYFUNCTION("""COMPUTED_VALUE"""),"syc")</f>
        <v>syc</v>
      </c>
      <c r="C14039" t="str">
        <f>IFERROR(__xludf.DUMMYFUNCTION("""COMPUTED_VALUE"""),"Seychelles")</f>
        <v>Seychelles</v>
      </c>
      <c r="D14039">
        <f>IFERROR(__xludf.DUMMYFUNCTION("""COMPUTED_VALUE"""),1971.0)</f>
        <v>1971</v>
      </c>
      <c r="E14039">
        <f>IFERROR(__xludf.DUMMYFUNCTION("""COMPUTED_VALUE"""),53707.0)</f>
        <v>53707</v>
      </c>
    </row>
    <row r="14040">
      <c r="A14040" t="str">
        <f t="shared" si="1"/>
        <v>syc#1972</v>
      </c>
      <c r="B14040" t="str">
        <f>IFERROR(__xludf.DUMMYFUNCTION("""COMPUTED_VALUE"""),"syc")</f>
        <v>syc</v>
      </c>
      <c r="C14040" t="str">
        <f>IFERROR(__xludf.DUMMYFUNCTION("""COMPUTED_VALUE"""),"Seychelles")</f>
        <v>Seychelles</v>
      </c>
      <c r="D14040">
        <f>IFERROR(__xludf.DUMMYFUNCTION("""COMPUTED_VALUE"""),1972.0)</f>
        <v>1972</v>
      </c>
      <c r="E14040">
        <f>IFERROR(__xludf.DUMMYFUNCTION("""COMPUTED_VALUE"""),55127.0)</f>
        <v>55127</v>
      </c>
    </row>
    <row r="14041">
      <c r="A14041" t="str">
        <f t="shared" si="1"/>
        <v>syc#1973</v>
      </c>
      <c r="B14041" t="str">
        <f>IFERROR(__xludf.DUMMYFUNCTION("""COMPUTED_VALUE"""),"syc")</f>
        <v>syc</v>
      </c>
      <c r="C14041" t="str">
        <f>IFERROR(__xludf.DUMMYFUNCTION("""COMPUTED_VALUE"""),"Seychelles")</f>
        <v>Seychelles</v>
      </c>
      <c r="D14041">
        <f>IFERROR(__xludf.DUMMYFUNCTION("""COMPUTED_VALUE"""),1973.0)</f>
        <v>1973</v>
      </c>
      <c r="E14041">
        <f>IFERROR(__xludf.DUMMYFUNCTION("""COMPUTED_VALUE"""),56606.0)</f>
        <v>56606</v>
      </c>
    </row>
    <row r="14042">
      <c r="A14042" t="str">
        <f t="shared" si="1"/>
        <v>syc#1974</v>
      </c>
      <c r="B14042" t="str">
        <f>IFERROR(__xludf.DUMMYFUNCTION("""COMPUTED_VALUE"""),"syc")</f>
        <v>syc</v>
      </c>
      <c r="C14042" t="str">
        <f>IFERROR(__xludf.DUMMYFUNCTION("""COMPUTED_VALUE"""),"Seychelles")</f>
        <v>Seychelles</v>
      </c>
      <c r="D14042">
        <f>IFERROR(__xludf.DUMMYFUNCTION("""COMPUTED_VALUE"""),1974.0)</f>
        <v>1974</v>
      </c>
      <c r="E14042">
        <f>IFERROR(__xludf.DUMMYFUNCTION("""COMPUTED_VALUE"""),58097.0)</f>
        <v>58097</v>
      </c>
    </row>
    <row r="14043">
      <c r="A14043" t="str">
        <f t="shared" si="1"/>
        <v>syc#1975</v>
      </c>
      <c r="B14043" t="str">
        <f>IFERROR(__xludf.DUMMYFUNCTION("""COMPUTED_VALUE"""),"syc")</f>
        <v>syc</v>
      </c>
      <c r="C14043" t="str">
        <f>IFERROR(__xludf.DUMMYFUNCTION("""COMPUTED_VALUE"""),"Seychelles")</f>
        <v>Seychelles</v>
      </c>
      <c r="D14043">
        <f>IFERROR(__xludf.DUMMYFUNCTION("""COMPUTED_VALUE"""),1975.0)</f>
        <v>1975</v>
      </c>
      <c r="E14043">
        <f>IFERROR(__xludf.DUMMYFUNCTION("""COMPUTED_VALUE"""),59590.0)</f>
        <v>59590</v>
      </c>
    </row>
    <row r="14044">
      <c r="A14044" t="str">
        <f t="shared" si="1"/>
        <v>syc#1976</v>
      </c>
      <c r="B14044" t="str">
        <f>IFERROR(__xludf.DUMMYFUNCTION("""COMPUTED_VALUE"""),"syc")</f>
        <v>syc</v>
      </c>
      <c r="C14044" t="str">
        <f>IFERROR(__xludf.DUMMYFUNCTION("""COMPUTED_VALUE"""),"Seychelles")</f>
        <v>Seychelles</v>
      </c>
      <c r="D14044">
        <f>IFERROR(__xludf.DUMMYFUNCTION("""COMPUTED_VALUE"""),1976.0)</f>
        <v>1976</v>
      </c>
      <c r="E14044">
        <f>IFERROR(__xludf.DUMMYFUNCTION("""COMPUTED_VALUE"""),61061.0)</f>
        <v>61061</v>
      </c>
    </row>
    <row r="14045">
      <c r="A14045" t="str">
        <f t="shared" si="1"/>
        <v>syc#1977</v>
      </c>
      <c r="B14045" t="str">
        <f>IFERROR(__xludf.DUMMYFUNCTION("""COMPUTED_VALUE"""),"syc")</f>
        <v>syc</v>
      </c>
      <c r="C14045" t="str">
        <f>IFERROR(__xludf.DUMMYFUNCTION("""COMPUTED_VALUE"""),"Seychelles")</f>
        <v>Seychelles</v>
      </c>
      <c r="D14045">
        <f>IFERROR(__xludf.DUMMYFUNCTION("""COMPUTED_VALUE"""),1977.0)</f>
        <v>1977</v>
      </c>
      <c r="E14045">
        <f>IFERROR(__xludf.DUMMYFUNCTION("""COMPUTED_VALUE"""),62500.0)</f>
        <v>62500</v>
      </c>
    </row>
    <row r="14046">
      <c r="A14046" t="str">
        <f t="shared" si="1"/>
        <v>syc#1978</v>
      </c>
      <c r="B14046" t="str">
        <f>IFERROR(__xludf.DUMMYFUNCTION("""COMPUTED_VALUE"""),"syc")</f>
        <v>syc</v>
      </c>
      <c r="C14046" t="str">
        <f>IFERROR(__xludf.DUMMYFUNCTION("""COMPUTED_VALUE"""),"Seychelles")</f>
        <v>Seychelles</v>
      </c>
      <c r="D14046">
        <f>IFERROR(__xludf.DUMMYFUNCTION("""COMPUTED_VALUE"""),1978.0)</f>
        <v>1978</v>
      </c>
      <c r="E14046">
        <f>IFERROR(__xludf.DUMMYFUNCTION("""COMPUTED_VALUE"""),63878.0)</f>
        <v>63878</v>
      </c>
    </row>
    <row r="14047">
      <c r="A14047" t="str">
        <f t="shared" si="1"/>
        <v>syc#1979</v>
      </c>
      <c r="B14047" t="str">
        <f>IFERROR(__xludf.DUMMYFUNCTION("""COMPUTED_VALUE"""),"syc")</f>
        <v>syc</v>
      </c>
      <c r="C14047" t="str">
        <f>IFERROR(__xludf.DUMMYFUNCTION("""COMPUTED_VALUE"""),"Seychelles")</f>
        <v>Seychelles</v>
      </c>
      <c r="D14047">
        <f>IFERROR(__xludf.DUMMYFUNCTION("""COMPUTED_VALUE"""),1979.0)</f>
        <v>1979</v>
      </c>
      <c r="E14047">
        <f>IFERROR(__xludf.DUMMYFUNCTION("""COMPUTED_VALUE"""),65153.0)</f>
        <v>65153</v>
      </c>
    </row>
    <row r="14048">
      <c r="A14048" t="str">
        <f t="shared" si="1"/>
        <v>syc#1980</v>
      </c>
      <c r="B14048" t="str">
        <f>IFERROR(__xludf.DUMMYFUNCTION("""COMPUTED_VALUE"""),"syc")</f>
        <v>syc</v>
      </c>
      <c r="C14048" t="str">
        <f>IFERROR(__xludf.DUMMYFUNCTION("""COMPUTED_VALUE"""),"Seychelles")</f>
        <v>Seychelles</v>
      </c>
      <c r="D14048">
        <f>IFERROR(__xludf.DUMMYFUNCTION("""COMPUTED_VALUE"""),1980.0)</f>
        <v>1980</v>
      </c>
      <c r="E14048">
        <f>IFERROR(__xludf.DUMMYFUNCTION("""COMPUTED_VALUE"""),66294.0)</f>
        <v>66294</v>
      </c>
    </row>
    <row r="14049">
      <c r="A14049" t="str">
        <f t="shared" si="1"/>
        <v>syc#1981</v>
      </c>
      <c r="B14049" t="str">
        <f>IFERROR(__xludf.DUMMYFUNCTION("""COMPUTED_VALUE"""),"syc")</f>
        <v>syc</v>
      </c>
      <c r="C14049" t="str">
        <f>IFERROR(__xludf.DUMMYFUNCTION("""COMPUTED_VALUE"""),"Seychelles")</f>
        <v>Seychelles</v>
      </c>
      <c r="D14049">
        <f>IFERROR(__xludf.DUMMYFUNCTION("""COMPUTED_VALUE"""),1981.0)</f>
        <v>1981</v>
      </c>
      <c r="E14049">
        <f>IFERROR(__xludf.DUMMYFUNCTION("""COMPUTED_VALUE"""),67298.0)</f>
        <v>67298</v>
      </c>
    </row>
    <row r="14050">
      <c r="A14050" t="str">
        <f t="shared" si="1"/>
        <v>syc#1982</v>
      </c>
      <c r="B14050" t="str">
        <f>IFERROR(__xludf.DUMMYFUNCTION("""COMPUTED_VALUE"""),"syc")</f>
        <v>syc</v>
      </c>
      <c r="C14050" t="str">
        <f>IFERROR(__xludf.DUMMYFUNCTION("""COMPUTED_VALUE"""),"Seychelles")</f>
        <v>Seychelles</v>
      </c>
      <c r="D14050">
        <f>IFERROR(__xludf.DUMMYFUNCTION("""COMPUTED_VALUE"""),1982.0)</f>
        <v>1982</v>
      </c>
      <c r="E14050">
        <f>IFERROR(__xludf.DUMMYFUNCTION("""COMPUTED_VALUE"""),68168.0)</f>
        <v>68168</v>
      </c>
    </row>
    <row r="14051">
      <c r="A14051" t="str">
        <f t="shared" si="1"/>
        <v>syc#1983</v>
      </c>
      <c r="B14051" t="str">
        <f>IFERROR(__xludf.DUMMYFUNCTION("""COMPUTED_VALUE"""),"syc")</f>
        <v>syc</v>
      </c>
      <c r="C14051" t="str">
        <f>IFERROR(__xludf.DUMMYFUNCTION("""COMPUTED_VALUE"""),"Seychelles")</f>
        <v>Seychelles</v>
      </c>
      <c r="D14051">
        <f>IFERROR(__xludf.DUMMYFUNCTION("""COMPUTED_VALUE"""),1983.0)</f>
        <v>1983</v>
      </c>
      <c r="E14051">
        <f>IFERROR(__xludf.DUMMYFUNCTION("""COMPUTED_VALUE"""),68909.0)</f>
        <v>68909</v>
      </c>
    </row>
    <row r="14052">
      <c r="A14052" t="str">
        <f t="shared" si="1"/>
        <v>syc#1984</v>
      </c>
      <c r="B14052" t="str">
        <f>IFERROR(__xludf.DUMMYFUNCTION("""COMPUTED_VALUE"""),"syc")</f>
        <v>syc</v>
      </c>
      <c r="C14052" t="str">
        <f>IFERROR(__xludf.DUMMYFUNCTION("""COMPUTED_VALUE"""),"Seychelles")</f>
        <v>Seychelles</v>
      </c>
      <c r="D14052">
        <f>IFERROR(__xludf.DUMMYFUNCTION("""COMPUTED_VALUE"""),1984.0)</f>
        <v>1984</v>
      </c>
      <c r="E14052">
        <f>IFERROR(__xludf.DUMMYFUNCTION("""COMPUTED_VALUE"""),69459.0)</f>
        <v>69459</v>
      </c>
    </row>
    <row r="14053">
      <c r="A14053" t="str">
        <f t="shared" si="1"/>
        <v>syc#1985</v>
      </c>
      <c r="B14053" t="str">
        <f>IFERROR(__xludf.DUMMYFUNCTION("""COMPUTED_VALUE"""),"syc")</f>
        <v>syc</v>
      </c>
      <c r="C14053" t="str">
        <f>IFERROR(__xludf.DUMMYFUNCTION("""COMPUTED_VALUE"""),"Seychelles")</f>
        <v>Seychelles</v>
      </c>
      <c r="D14053">
        <f>IFERROR(__xludf.DUMMYFUNCTION("""COMPUTED_VALUE"""),1985.0)</f>
        <v>1985</v>
      </c>
      <c r="E14053">
        <f>IFERROR(__xludf.DUMMYFUNCTION("""COMPUTED_VALUE"""),69836.0)</f>
        <v>69836</v>
      </c>
    </row>
    <row r="14054">
      <c r="A14054" t="str">
        <f t="shared" si="1"/>
        <v>syc#1986</v>
      </c>
      <c r="B14054" t="str">
        <f>IFERROR(__xludf.DUMMYFUNCTION("""COMPUTED_VALUE"""),"syc")</f>
        <v>syc</v>
      </c>
      <c r="C14054" t="str">
        <f>IFERROR(__xludf.DUMMYFUNCTION("""COMPUTED_VALUE"""),"Seychelles")</f>
        <v>Seychelles</v>
      </c>
      <c r="D14054">
        <f>IFERROR(__xludf.DUMMYFUNCTION("""COMPUTED_VALUE"""),1986.0)</f>
        <v>1986</v>
      </c>
      <c r="E14054">
        <f>IFERROR(__xludf.DUMMYFUNCTION("""COMPUTED_VALUE"""),70004.0)</f>
        <v>70004</v>
      </c>
    </row>
    <row r="14055">
      <c r="A14055" t="str">
        <f t="shared" si="1"/>
        <v>syc#1987</v>
      </c>
      <c r="B14055" t="str">
        <f>IFERROR(__xludf.DUMMYFUNCTION("""COMPUTED_VALUE"""),"syc")</f>
        <v>syc</v>
      </c>
      <c r="C14055" t="str">
        <f>IFERROR(__xludf.DUMMYFUNCTION("""COMPUTED_VALUE"""),"Seychelles")</f>
        <v>Seychelles</v>
      </c>
      <c r="D14055">
        <f>IFERROR(__xludf.DUMMYFUNCTION("""COMPUTED_VALUE"""),1987.0)</f>
        <v>1987</v>
      </c>
      <c r="E14055">
        <f>IFERROR(__xludf.DUMMYFUNCTION("""COMPUTED_VALUE"""),70014.0)</f>
        <v>70014</v>
      </c>
    </row>
    <row r="14056">
      <c r="A14056" t="str">
        <f t="shared" si="1"/>
        <v>syc#1988</v>
      </c>
      <c r="B14056" t="str">
        <f>IFERROR(__xludf.DUMMYFUNCTION("""COMPUTED_VALUE"""),"syc")</f>
        <v>syc</v>
      </c>
      <c r="C14056" t="str">
        <f>IFERROR(__xludf.DUMMYFUNCTION("""COMPUTED_VALUE"""),"Seychelles")</f>
        <v>Seychelles</v>
      </c>
      <c r="D14056">
        <f>IFERROR(__xludf.DUMMYFUNCTION("""COMPUTED_VALUE"""),1988.0)</f>
        <v>1988</v>
      </c>
      <c r="E14056">
        <f>IFERROR(__xludf.DUMMYFUNCTION("""COMPUTED_VALUE"""),69990.0)</f>
        <v>69990</v>
      </c>
    </row>
    <row r="14057">
      <c r="A14057" t="str">
        <f t="shared" si="1"/>
        <v>syc#1989</v>
      </c>
      <c r="B14057" t="str">
        <f>IFERROR(__xludf.DUMMYFUNCTION("""COMPUTED_VALUE"""),"syc")</f>
        <v>syc</v>
      </c>
      <c r="C14057" t="str">
        <f>IFERROR(__xludf.DUMMYFUNCTION("""COMPUTED_VALUE"""),"Seychelles")</f>
        <v>Seychelles</v>
      </c>
      <c r="D14057">
        <f>IFERROR(__xludf.DUMMYFUNCTION("""COMPUTED_VALUE"""),1989.0)</f>
        <v>1989</v>
      </c>
      <c r="E14057">
        <f>IFERROR(__xludf.DUMMYFUNCTION("""COMPUTED_VALUE"""),70144.0)</f>
        <v>70144</v>
      </c>
    </row>
    <row r="14058">
      <c r="A14058" t="str">
        <f t="shared" si="1"/>
        <v>syc#1990</v>
      </c>
      <c r="B14058" t="str">
        <f>IFERROR(__xludf.DUMMYFUNCTION("""COMPUTED_VALUE"""),"syc")</f>
        <v>syc</v>
      </c>
      <c r="C14058" t="str">
        <f>IFERROR(__xludf.DUMMYFUNCTION("""COMPUTED_VALUE"""),"Seychelles")</f>
        <v>Seychelles</v>
      </c>
      <c r="D14058">
        <f>IFERROR(__xludf.DUMMYFUNCTION("""COMPUTED_VALUE"""),1990.0)</f>
        <v>1990</v>
      </c>
      <c r="E14058">
        <f>IFERROR(__xludf.DUMMYFUNCTION("""COMPUTED_VALUE"""),70624.0)</f>
        <v>70624</v>
      </c>
    </row>
    <row r="14059">
      <c r="A14059" t="str">
        <f t="shared" si="1"/>
        <v>syc#1991</v>
      </c>
      <c r="B14059" t="str">
        <f>IFERROR(__xludf.DUMMYFUNCTION("""COMPUTED_VALUE"""),"syc")</f>
        <v>syc</v>
      </c>
      <c r="C14059" t="str">
        <f>IFERROR(__xludf.DUMMYFUNCTION("""COMPUTED_VALUE"""),"Seychelles")</f>
        <v>Seychelles</v>
      </c>
      <c r="D14059">
        <f>IFERROR(__xludf.DUMMYFUNCTION("""COMPUTED_VALUE"""),1991.0)</f>
        <v>1991</v>
      </c>
      <c r="E14059">
        <f>IFERROR(__xludf.DUMMYFUNCTION("""COMPUTED_VALUE"""),71500.0)</f>
        <v>71500</v>
      </c>
    </row>
    <row r="14060">
      <c r="A14060" t="str">
        <f t="shared" si="1"/>
        <v>syc#1992</v>
      </c>
      <c r="B14060" t="str">
        <f>IFERROR(__xludf.DUMMYFUNCTION("""COMPUTED_VALUE"""),"syc")</f>
        <v>syc</v>
      </c>
      <c r="C14060" t="str">
        <f>IFERROR(__xludf.DUMMYFUNCTION("""COMPUTED_VALUE"""),"Seychelles")</f>
        <v>Seychelles</v>
      </c>
      <c r="D14060">
        <f>IFERROR(__xludf.DUMMYFUNCTION("""COMPUTED_VALUE"""),1992.0)</f>
        <v>1992</v>
      </c>
      <c r="E14060">
        <f>IFERROR(__xludf.DUMMYFUNCTION("""COMPUTED_VALUE"""),72712.0)</f>
        <v>72712</v>
      </c>
    </row>
    <row r="14061">
      <c r="A14061" t="str">
        <f t="shared" si="1"/>
        <v>syc#1993</v>
      </c>
      <c r="B14061" t="str">
        <f>IFERROR(__xludf.DUMMYFUNCTION("""COMPUTED_VALUE"""),"syc")</f>
        <v>syc</v>
      </c>
      <c r="C14061" t="str">
        <f>IFERROR(__xludf.DUMMYFUNCTION("""COMPUTED_VALUE"""),"Seychelles")</f>
        <v>Seychelles</v>
      </c>
      <c r="D14061">
        <f>IFERROR(__xludf.DUMMYFUNCTION("""COMPUTED_VALUE"""),1993.0)</f>
        <v>1993</v>
      </c>
      <c r="E14061">
        <f>IFERROR(__xludf.DUMMYFUNCTION("""COMPUTED_VALUE"""),74114.0)</f>
        <v>74114</v>
      </c>
    </row>
    <row r="14062">
      <c r="A14062" t="str">
        <f t="shared" si="1"/>
        <v>syc#1994</v>
      </c>
      <c r="B14062" t="str">
        <f>IFERROR(__xludf.DUMMYFUNCTION("""COMPUTED_VALUE"""),"syc")</f>
        <v>syc</v>
      </c>
      <c r="C14062" t="str">
        <f>IFERROR(__xludf.DUMMYFUNCTION("""COMPUTED_VALUE"""),"Seychelles")</f>
        <v>Seychelles</v>
      </c>
      <c r="D14062">
        <f>IFERROR(__xludf.DUMMYFUNCTION("""COMPUTED_VALUE"""),1994.0)</f>
        <v>1994</v>
      </c>
      <c r="E14062">
        <f>IFERROR(__xludf.DUMMYFUNCTION("""COMPUTED_VALUE"""),75491.0)</f>
        <v>75491</v>
      </c>
    </row>
    <row r="14063">
      <c r="A14063" t="str">
        <f t="shared" si="1"/>
        <v>syc#1995</v>
      </c>
      <c r="B14063" t="str">
        <f>IFERROR(__xludf.DUMMYFUNCTION("""COMPUTED_VALUE"""),"syc")</f>
        <v>syc</v>
      </c>
      <c r="C14063" t="str">
        <f>IFERROR(__xludf.DUMMYFUNCTION("""COMPUTED_VALUE"""),"Seychelles")</f>
        <v>Seychelles</v>
      </c>
      <c r="D14063">
        <f>IFERROR(__xludf.DUMMYFUNCTION("""COMPUTED_VALUE"""),1995.0)</f>
        <v>1995</v>
      </c>
      <c r="E14063">
        <f>IFERROR(__xludf.DUMMYFUNCTION("""COMPUTED_VALUE"""),76703.0)</f>
        <v>76703</v>
      </c>
    </row>
    <row r="14064">
      <c r="A14064" t="str">
        <f t="shared" si="1"/>
        <v>syc#1996</v>
      </c>
      <c r="B14064" t="str">
        <f>IFERROR(__xludf.DUMMYFUNCTION("""COMPUTED_VALUE"""),"syc")</f>
        <v>syc</v>
      </c>
      <c r="C14064" t="str">
        <f>IFERROR(__xludf.DUMMYFUNCTION("""COMPUTED_VALUE"""),"Seychelles")</f>
        <v>Seychelles</v>
      </c>
      <c r="D14064">
        <f>IFERROR(__xludf.DUMMYFUNCTION("""COMPUTED_VALUE"""),1996.0)</f>
        <v>1996</v>
      </c>
      <c r="E14064">
        <f>IFERROR(__xludf.DUMMYFUNCTION("""COMPUTED_VALUE"""),77675.0)</f>
        <v>77675</v>
      </c>
    </row>
    <row r="14065">
      <c r="A14065" t="str">
        <f t="shared" si="1"/>
        <v>syc#1997</v>
      </c>
      <c r="B14065" t="str">
        <f>IFERROR(__xludf.DUMMYFUNCTION("""COMPUTED_VALUE"""),"syc")</f>
        <v>syc</v>
      </c>
      <c r="C14065" t="str">
        <f>IFERROR(__xludf.DUMMYFUNCTION("""COMPUTED_VALUE"""),"Seychelles")</f>
        <v>Seychelles</v>
      </c>
      <c r="D14065">
        <f>IFERROR(__xludf.DUMMYFUNCTION("""COMPUTED_VALUE"""),1997.0)</f>
        <v>1997</v>
      </c>
      <c r="E14065">
        <f>IFERROR(__xludf.DUMMYFUNCTION("""COMPUTED_VALUE"""),78459.0)</f>
        <v>78459</v>
      </c>
    </row>
    <row r="14066">
      <c r="A14066" t="str">
        <f t="shared" si="1"/>
        <v>syc#1998</v>
      </c>
      <c r="B14066" t="str">
        <f>IFERROR(__xludf.DUMMYFUNCTION("""COMPUTED_VALUE"""),"syc")</f>
        <v>syc</v>
      </c>
      <c r="C14066" t="str">
        <f>IFERROR(__xludf.DUMMYFUNCTION("""COMPUTED_VALUE"""),"Seychelles")</f>
        <v>Seychelles</v>
      </c>
      <c r="D14066">
        <f>IFERROR(__xludf.DUMMYFUNCTION("""COMPUTED_VALUE"""),1998.0)</f>
        <v>1998</v>
      </c>
      <c r="E14066">
        <f>IFERROR(__xludf.DUMMYFUNCTION("""COMPUTED_VALUE"""),79188.0)</f>
        <v>79188</v>
      </c>
    </row>
    <row r="14067">
      <c r="A14067" t="str">
        <f t="shared" si="1"/>
        <v>syc#1999</v>
      </c>
      <c r="B14067" t="str">
        <f>IFERROR(__xludf.DUMMYFUNCTION("""COMPUTED_VALUE"""),"syc")</f>
        <v>syc</v>
      </c>
      <c r="C14067" t="str">
        <f>IFERROR(__xludf.DUMMYFUNCTION("""COMPUTED_VALUE"""),"Seychelles")</f>
        <v>Seychelles</v>
      </c>
      <c r="D14067">
        <f>IFERROR(__xludf.DUMMYFUNCTION("""COMPUTED_VALUE"""),1999.0)</f>
        <v>1999</v>
      </c>
      <c r="E14067">
        <f>IFERROR(__xludf.DUMMYFUNCTION("""COMPUTED_VALUE"""),80051.0)</f>
        <v>80051</v>
      </c>
    </row>
    <row r="14068">
      <c r="A14068" t="str">
        <f t="shared" si="1"/>
        <v>syc#2000</v>
      </c>
      <c r="B14068" t="str">
        <f>IFERROR(__xludf.DUMMYFUNCTION("""COMPUTED_VALUE"""),"syc")</f>
        <v>syc</v>
      </c>
      <c r="C14068" t="str">
        <f>IFERROR(__xludf.DUMMYFUNCTION("""COMPUTED_VALUE"""),"Seychelles")</f>
        <v>Seychelles</v>
      </c>
      <c r="D14068">
        <f>IFERROR(__xludf.DUMMYFUNCTION("""COMPUTED_VALUE"""),2000.0)</f>
        <v>2000</v>
      </c>
      <c r="E14068">
        <f>IFERROR(__xludf.DUMMYFUNCTION("""COMPUTED_VALUE"""),81151.0)</f>
        <v>81151</v>
      </c>
    </row>
    <row r="14069">
      <c r="A14069" t="str">
        <f t="shared" si="1"/>
        <v>syc#2001</v>
      </c>
      <c r="B14069" t="str">
        <f>IFERROR(__xludf.DUMMYFUNCTION("""COMPUTED_VALUE"""),"syc")</f>
        <v>syc</v>
      </c>
      <c r="C14069" t="str">
        <f>IFERROR(__xludf.DUMMYFUNCTION("""COMPUTED_VALUE"""),"Seychelles")</f>
        <v>Seychelles</v>
      </c>
      <c r="D14069">
        <f>IFERROR(__xludf.DUMMYFUNCTION("""COMPUTED_VALUE"""),2001.0)</f>
        <v>2001</v>
      </c>
      <c r="E14069">
        <f>IFERROR(__xludf.DUMMYFUNCTION("""COMPUTED_VALUE"""),82567.0)</f>
        <v>82567</v>
      </c>
    </row>
    <row r="14070">
      <c r="A14070" t="str">
        <f t="shared" si="1"/>
        <v>syc#2002</v>
      </c>
      <c r="B14070" t="str">
        <f>IFERROR(__xludf.DUMMYFUNCTION("""COMPUTED_VALUE"""),"syc")</f>
        <v>syc</v>
      </c>
      <c r="C14070" t="str">
        <f>IFERROR(__xludf.DUMMYFUNCTION("""COMPUTED_VALUE"""),"Seychelles")</f>
        <v>Seychelles</v>
      </c>
      <c r="D14070">
        <f>IFERROR(__xludf.DUMMYFUNCTION("""COMPUTED_VALUE"""),2002.0)</f>
        <v>2002</v>
      </c>
      <c r="E14070">
        <f>IFERROR(__xludf.DUMMYFUNCTION("""COMPUTED_VALUE"""),84203.0)</f>
        <v>84203</v>
      </c>
    </row>
    <row r="14071">
      <c r="A14071" t="str">
        <f t="shared" si="1"/>
        <v>syc#2003</v>
      </c>
      <c r="B14071" t="str">
        <f>IFERROR(__xludf.DUMMYFUNCTION("""COMPUTED_VALUE"""),"syc")</f>
        <v>syc</v>
      </c>
      <c r="C14071" t="str">
        <f>IFERROR(__xludf.DUMMYFUNCTION("""COMPUTED_VALUE"""),"Seychelles")</f>
        <v>Seychelles</v>
      </c>
      <c r="D14071">
        <f>IFERROR(__xludf.DUMMYFUNCTION("""COMPUTED_VALUE"""),2003.0)</f>
        <v>2003</v>
      </c>
      <c r="E14071">
        <f>IFERROR(__xludf.DUMMYFUNCTION("""COMPUTED_VALUE"""),85910.0)</f>
        <v>85910</v>
      </c>
    </row>
    <row r="14072">
      <c r="A14072" t="str">
        <f t="shared" si="1"/>
        <v>syc#2004</v>
      </c>
      <c r="B14072" t="str">
        <f>IFERROR(__xludf.DUMMYFUNCTION("""COMPUTED_VALUE"""),"syc")</f>
        <v>syc</v>
      </c>
      <c r="C14072" t="str">
        <f>IFERROR(__xludf.DUMMYFUNCTION("""COMPUTED_VALUE"""),"Seychelles")</f>
        <v>Seychelles</v>
      </c>
      <c r="D14072">
        <f>IFERROR(__xludf.DUMMYFUNCTION("""COMPUTED_VALUE"""),2004.0)</f>
        <v>2004</v>
      </c>
      <c r="E14072">
        <f>IFERROR(__xludf.DUMMYFUNCTION("""COMPUTED_VALUE"""),87484.0)</f>
        <v>87484</v>
      </c>
    </row>
    <row r="14073">
      <c r="A14073" t="str">
        <f t="shared" si="1"/>
        <v>syc#2005</v>
      </c>
      <c r="B14073" t="str">
        <f>IFERROR(__xludf.DUMMYFUNCTION("""COMPUTED_VALUE"""),"syc")</f>
        <v>syc</v>
      </c>
      <c r="C14073" t="str">
        <f>IFERROR(__xludf.DUMMYFUNCTION("""COMPUTED_VALUE"""),"Seychelles")</f>
        <v>Seychelles</v>
      </c>
      <c r="D14073">
        <f>IFERROR(__xludf.DUMMYFUNCTION("""COMPUTED_VALUE"""),2005.0)</f>
        <v>2005</v>
      </c>
      <c r="E14073">
        <f>IFERROR(__xludf.DUMMYFUNCTION("""COMPUTED_VALUE"""),88744.0)</f>
        <v>88744</v>
      </c>
    </row>
    <row r="14074">
      <c r="A14074" t="str">
        <f t="shared" si="1"/>
        <v>syc#2006</v>
      </c>
      <c r="B14074" t="str">
        <f>IFERROR(__xludf.DUMMYFUNCTION("""COMPUTED_VALUE"""),"syc")</f>
        <v>syc</v>
      </c>
      <c r="C14074" t="str">
        <f>IFERROR(__xludf.DUMMYFUNCTION("""COMPUTED_VALUE"""),"Seychelles")</f>
        <v>Seychelles</v>
      </c>
      <c r="D14074">
        <f>IFERROR(__xludf.DUMMYFUNCTION("""COMPUTED_VALUE"""),2006.0)</f>
        <v>2006</v>
      </c>
      <c r="E14074">
        <f>IFERROR(__xludf.DUMMYFUNCTION("""COMPUTED_VALUE"""),89659.0)</f>
        <v>89659</v>
      </c>
    </row>
    <row r="14075">
      <c r="A14075" t="str">
        <f t="shared" si="1"/>
        <v>syc#2007</v>
      </c>
      <c r="B14075" t="str">
        <f>IFERROR(__xludf.DUMMYFUNCTION("""COMPUTED_VALUE"""),"syc")</f>
        <v>syc</v>
      </c>
      <c r="C14075" t="str">
        <f>IFERROR(__xludf.DUMMYFUNCTION("""COMPUTED_VALUE"""),"Seychelles")</f>
        <v>Seychelles</v>
      </c>
      <c r="D14075">
        <f>IFERROR(__xludf.DUMMYFUNCTION("""COMPUTED_VALUE"""),2007.0)</f>
        <v>2007</v>
      </c>
      <c r="E14075">
        <f>IFERROR(__xludf.DUMMYFUNCTION("""COMPUTED_VALUE"""),90281.0)</f>
        <v>90281</v>
      </c>
    </row>
    <row r="14076">
      <c r="A14076" t="str">
        <f t="shared" si="1"/>
        <v>syc#2008</v>
      </c>
      <c r="B14076" t="str">
        <f>IFERROR(__xludf.DUMMYFUNCTION("""COMPUTED_VALUE"""),"syc")</f>
        <v>syc</v>
      </c>
      <c r="C14076" t="str">
        <f>IFERROR(__xludf.DUMMYFUNCTION("""COMPUTED_VALUE"""),"Seychelles")</f>
        <v>Seychelles</v>
      </c>
      <c r="D14076">
        <f>IFERROR(__xludf.DUMMYFUNCTION("""COMPUTED_VALUE"""),2008.0)</f>
        <v>2008</v>
      </c>
      <c r="E14076">
        <f>IFERROR(__xludf.DUMMYFUNCTION("""COMPUTED_VALUE"""),90686.0)</f>
        <v>90686</v>
      </c>
    </row>
    <row r="14077">
      <c r="A14077" t="str">
        <f t="shared" si="1"/>
        <v>syc#2009</v>
      </c>
      <c r="B14077" t="str">
        <f>IFERROR(__xludf.DUMMYFUNCTION("""COMPUTED_VALUE"""),"syc")</f>
        <v>syc</v>
      </c>
      <c r="C14077" t="str">
        <f>IFERROR(__xludf.DUMMYFUNCTION("""COMPUTED_VALUE"""),"Seychelles")</f>
        <v>Seychelles</v>
      </c>
      <c r="D14077">
        <f>IFERROR(__xludf.DUMMYFUNCTION("""COMPUTED_VALUE"""),2009.0)</f>
        <v>2009</v>
      </c>
      <c r="E14077">
        <f>IFERROR(__xludf.DUMMYFUNCTION("""COMPUTED_VALUE"""),91034.0)</f>
        <v>91034</v>
      </c>
    </row>
    <row r="14078">
      <c r="A14078" t="str">
        <f t="shared" si="1"/>
        <v>syc#2010</v>
      </c>
      <c r="B14078" t="str">
        <f>IFERROR(__xludf.DUMMYFUNCTION("""COMPUTED_VALUE"""),"syc")</f>
        <v>syc</v>
      </c>
      <c r="C14078" t="str">
        <f>IFERROR(__xludf.DUMMYFUNCTION("""COMPUTED_VALUE"""),"Seychelles")</f>
        <v>Seychelles</v>
      </c>
      <c r="D14078">
        <f>IFERROR(__xludf.DUMMYFUNCTION("""COMPUTED_VALUE"""),2010.0)</f>
        <v>2010</v>
      </c>
      <c r="E14078">
        <f>IFERROR(__xludf.DUMMYFUNCTION("""COMPUTED_VALUE"""),91405.0)</f>
        <v>91405</v>
      </c>
    </row>
    <row r="14079">
      <c r="A14079" t="str">
        <f t="shared" si="1"/>
        <v>syc#2011</v>
      </c>
      <c r="B14079" t="str">
        <f>IFERROR(__xludf.DUMMYFUNCTION("""COMPUTED_VALUE"""),"syc")</f>
        <v>syc</v>
      </c>
      <c r="C14079" t="str">
        <f>IFERROR(__xludf.DUMMYFUNCTION("""COMPUTED_VALUE"""),"Seychelles")</f>
        <v>Seychelles</v>
      </c>
      <c r="D14079">
        <f>IFERROR(__xludf.DUMMYFUNCTION("""COMPUTED_VALUE"""),2011.0)</f>
        <v>2011</v>
      </c>
      <c r="E14079">
        <f>IFERROR(__xludf.DUMMYFUNCTION("""COMPUTED_VALUE"""),91834.0)</f>
        <v>91834</v>
      </c>
    </row>
    <row r="14080">
      <c r="A14080" t="str">
        <f t="shared" si="1"/>
        <v>syc#2012</v>
      </c>
      <c r="B14080" t="str">
        <f>IFERROR(__xludf.DUMMYFUNCTION("""COMPUTED_VALUE"""),"syc")</f>
        <v>syc</v>
      </c>
      <c r="C14080" t="str">
        <f>IFERROR(__xludf.DUMMYFUNCTION("""COMPUTED_VALUE"""),"Seychelles")</f>
        <v>Seychelles</v>
      </c>
      <c r="D14080">
        <f>IFERROR(__xludf.DUMMYFUNCTION("""COMPUTED_VALUE"""),2012.0)</f>
        <v>2012</v>
      </c>
      <c r="E14080">
        <f>IFERROR(__xludf.DUMMYFUNCTION("""COMPUTED_VALUE"""),92285.0)</f>
        <v>92285</v>
      </c>
    </row>
    <row r="14081">
      <c r="A14081" t="str">
        <f t="shared" si="1"/>
        <v>syc#2013</v>
      </c>
      <c r="B14081" t="str">
        <f>IFERROR(__xludf.DUMMYFUNCTION("""COMPUTED_VALUE"""),"syc")</f>
        <v>syc</v>
      </c>
      <c r="C14081" t="str">
        <f>IFERROR(__xludf.DUMMYFUNCTION("""COMPUTED_VALUE"""),"Seychelles")</f>
        <v>Seychelles</v>
      </c>
      <c r="D14081">
        <f>IFERROR(__xludf.DUMMYFUNCTION("""COMPUTED_VALUE"""),2013.0)</f>
        <v>2013</v>
      </c>
      <c r="E14081">
        <f>IFERROR(__xludf.DUMMYFUNCTION("""COMPUTED_VALUE"""),92765.0)</f>
        <v>92765</v>
      </c>
    </row>
    <row r="14082">
      <c r="A14082" t="str">
        <f t="shared" si="1"/>
        <v>syc#2014</v>
      </c>
      <c r="B14082" t="str">
        <f>IFERROR(__xludf.DUMMYFUNCTION("""COMPUTED_VALUE"""),"syc")</f>
        <v>syc</v>
      </c>
      <c r="C14082" t="str">
        <f>IFERROR(__xludf.DUMMYFUNCTION("""COMPUTED_VALUE"""),"Seychelles")</f>
        <v>Seychelles</v>
      </c>
      <c r="D14082">
        <f>IFERROR(__xludf.DUMMYFUNCTION("""COMPUTED_VALUE"""),2014.0)</f>
        <v>2014</v>
      </c>
      <c r="E14082">
        <f>IFERROR(__xludf.DUMMYFUNCTION("""COMPUTED_VALUE"""),93254.0)</f>
        <v>93254</v>
      </c>
    </row>
    <row r="14083">
      <c r="A14083" t="str">
        <f t="shared" si="1"/>
        <v>syc#2015</v>
      </c>
      <c r="B14083" t="str">
        <f>IFERROR(__xludf.DUMMYFUNCTION("""COMPUTED_VALUE"""),"syc")</f>
        <v>syc</v>
      </c>
      <c r="C14083" t="str">
        <f>IFERROR(__xludf.DUMMYFUNCTION("""COMPUTED_VALUE"""),"Seychelles")</f>
        <v>Seychelles</v>
      </c>
      <c r="D14083">
        <f>IFERROR(__xludf.DUMMYFUNCTION("""COMPUTED_VALUE"""),2015.0)</f>
        <v>2015</v>
      </c>
      <c r="E14083">
        <f>IFERROR(__xludf.DUMMYFUNCTION("""COMPUTED_VALUE"""),93742.0)</f>
        <v>93742</v>
      </c>
    </row>
    <row r="14084">
      <c r="A14084" t="str">
        <f t="shared" si="1"/>
        <v>syc#2016</v>
      </c>
      <c r="B14084" t="str">
        <f>IFERROR(__xludf.DUMMYFUNCTION("""COMPUTED_VALUE"""),"syc")</f>
        <v>syc</v>
      </c>
      <c r="C14084" t="str">
        <f>IFERROR(__xludf.DUMMYFUNCTION("""COMPUTED_VALUE"""),"Seychelles")</f>
        <v>Seychelles</v>
      </c>
      <c r="D14084">
        <f>IFERROR(__xludf.DUMMYFUNCTION("""COMPUTED_VALUE"""),2016.0)</f>
        <v>2016</v>
      </c>
      <c r="E14084">
        <f>IFERROR(__xludf.DUMMYFUNCTION("""COMPUTED_VALUE"""),94228.0)</f>
        <v>94228</v>
      </c>
    </row>
    <row r="14085">
      <c r="A14085" t="str">
        <f t="shared" si="1"/>
        <v>syc#2017</v>
      </c>
      <c r="B14085" t="str">
        <f>IFERROR(__xludf.DUMMYFUNCTION("""COMPUTED_VALUE"""),"syc")</f>
        <v>syc</v>
      </c>
      <c r="C14085" t="str">
        <f>IFERROR(__xludf.DUMMYFUNCTION("""COMPUTED_VALUE"""),"Seychelles")</f>
        <v>Seychelles</v>
      </c>
      <c r="D14085">
        <f>IFERROR(__xludf.DUMMYFUNCTION("""COMPUTED_VALUE"""),2017.0)</f>
        <v>2017</v>
      </c>
      <c r="E14085">
        <f>IFERROR(__xludf.DUMMYFUNCTION("""COMPUTED_VALUE"""),94737.0)</f>
        <v>94737</v>
      </c>
    </row>
    <row r="14086">
      <c r="A14086" t="str">
        <f t="shared" si="1"/>
        <v>syc#2018</v>
      </c>
      <c r="B14086" t="str">
        <f>IFERROR(__xludf.DUMMYFUNCTION("""COMPUTED_VALUE"""),"syc")</f>
        <v>syc</v>
      </c>
      <c r="C14086" t="str">
        <f>IFERROR(__xludf.DUMMYFUNCTION("""COMPUTED_VALUE"""),"Seychelles")</f>
        <v>Seychelles</v>
      </c>
      <c r="D14086">
        <f>IFERROR(__xludf.DUMMYFUNCTION("""COMPUTED_VALUE"""),2018.0)</f>
        <v>2018</v>
      </c>
      <c r="E14086">
        <f>IFERROR(__xludf.DUMMYFUNCTION("""COMPUTED_VALUE"""),95235.0)</f>
        <v>95235</v>
      </c>
    </row>
    <row r="14087">
      <c r="A14087" t="str">
        <f t="shared" si="1"/>
        <v>syc#2019</v>
      </c>
      <c r="B14087" t="str">
        <f>IFERROR(__xludf.DUMMYFUNCTION("""COMPUTED_VALUE"""),"syc")</f>
        <v>syc</v>
      </c>
      <c r="C14087" t="str">
        <f>IFERROR(__xludf.DUMMYFUNCTION("""COMPUTED_VALUE"""),"Seychelles")</f>
        <v>Seychelles</v>
      </c>
      <c r="D14087">
        <f>IFERROR(__xludf.DUMMYFUNCTION("""COMPUTED_VALUE"""),2019.0)</f>
        <v>2019</v>
      </c>
      <c r="E14087">
        <f>IFERROR(__xludf.DUMMYFUNCTION("""COMPUTED_VALUE"""),95702.0)</f>
        <v>95702</v>
      </c>
    </row>
    <row r="14088">
      <c r="A14088" t="str">
        <f t="shared" si="1"/>
        <v>syc#2020</v>
      </c>
      <c r="B14088" t="str">
        <f>IFERROR(__xludf.DUMMYFUNCTION("""COMPUTED_VALUE"""),"syc")</f>
        <v>syc</v>
      </c>
      <c r="C14088" t="str">
        <f>IFERROR(__xludf.DUMMYFUNCTION("""COMPUTED_VALUE"""),"Seychelles")</f>
        <v>Seychelles</v>
      </c>
      <c r="D14088">
        <f>IFERROR(__xludf.DUMMYFUNCTION("""COMPUTED_VALUE"""),2020.0)</f>
        <v>2020</v>
      </c>
      <c r="E14088">
        <f>IFERROR(__xludf.DUMMYFUNCTION("""COMPUTED_VALUE"""),96112.0)</f>
        <v>96112</v>
      </c>
    </row>
    <row r="14089">
      <c r="A14089" t="str">
        <f t="shared" si="1"/>
        <v>syc#2021</v>
      </c>
      <c r="B14089" t="str">
        <f>IFERROR(__xludf.DUMMYFUNCTION("""COMPUTED_VALUE"""),"syc")</f>
        <v>syc</v>
      </c>
      <c r="C14089" t="str">
        <f>IFERROR(__xludf.DUMMYFUNCTION("""COMPUTED_VALUE"""),"Seychelles")</f>
        <v>Seychelles</v>
      </c>
      <c r="D14089">
        <f>IFERROR(__xludf.DUMMYFUNCTION("""COMPUTED_VALUE"""),2021.0)</f>
        <v>2021</v>
      </c>
      <c r="E14089">
        <f>IFERROR(__xludf.DUMMYFUNCTION("""COMPUTED_VALUE"""),96464.0)</f>
        <v>96464</v>
      </c>
    </row>
    <row r="14090">
      <c r="A14090" t="str">
        <f t="shared" si="1"/>
        <v>syc#2022</v>
      </c>
      <c r="B14090" t="str">
        <f>IFERROR(__xludf.DUMMYFUNCTION("""COMPUTED_VALUE"""),"syc")</f>
        <v>syc</v>
      </c>
      <c r="C14090" t="str">
        <f>IFERROR(__xludf.DUMMYFUNCTION("""COMPUTED_VALUE"""),"Seychelles")</f>
        <v>Seychelles</v>
      </c>
      <c r="D14090">
        <f>IFERROR(__xludf.DUMMYFUNCTION("""COMPUTED_VALUE"""),2022.0)</f>
        <v>2022</v>
      </c>
      <c r="E14090">
        <f>IFERROR(__xludf.DUMMYFUNCTION("""COMPUTED_VALUE"""),96760.0)</f>
        <v>96760</v>
      </c>
    </row>
    <row r="14091">
      <c r="A14091" t="str">
        <f t="shared" si="1"/>
        <v>syc#2023</v>
      </c>
      <c r="B14091" t="str">
        <f>IFERROR(__xludf.DUMMYFUNCTION("""COMPUTED_VALUE"""),"syc")</f>
        <v>syc</v>
      </c>
      <c r="C14091" t="str">
        <f>IFERROR(__xludf.DUMMYFUNCTION("""COMPUTED_VALUE"""),"Seychelles")</f>
        <v>Seychelles</v>
      </c>
      <c r="D14091">
        <f>IFERROR(__xludf.DUMMYFUNCTION("""COMPUTED_VALUE"""),2023.0)</f>
        <v>2023</v>
      </c>
      <c r="E14091">
        <f>IFERROR(__xludf.DUMMYFUNCTION("""COMPUTED_VALUE"""),97011.0)</f>
        <v>97011</v>
      </c>
    </row>
    <row r="14092">
      <c r="A14092" t="str">
        <f t="shared" si="1"/>
        <v>syc#2024</v>
      </c>
      <c r="B14092" t="str">
        <f>IFERROR(__xludf.DUMMYFUNCTION("""COMPUTED_VALUE"""),"syc")</f>
        <v>syc</v>
      </c>
      <c r="C14092" t="str">
        <f>IFERROR(__xludf.DUMMYFUNCTION("""COMPUTED_VALUE"""),"Seychelles")</f>
        <v>Seychelles</v>
      </c>
      <c r="D14092">
        <f>IFERROR(__xludf.DUMMYFUNCTION("""COMPUTED_VALUE"""),2024.0)</f>
        <v>2024</v>
      </c>
      <c r="E14092">
        <f>IFERROR(__xludf.DUMMYFUNCTION("""COMPUTED_VALUE"""),97217.0)</f>
        <v>97217</v>
      </c>
    </row>
    <row r="14093">
      <c r="A14093" t="str">
        <f t="shared" si="1"/>
        <v>syc#2025</v>
      </c>
      <c r="B14093" t="str">
        <f>IFERROR(__xludf.DUMMYFUNCTION("""COMPUTED_VALUE"""),"syc")</f>
        <v>syc</v>
      </c>
      <c r="C14093" t="str">
        <f>IFERROR(__xludf.DUMMYFUNCTION("""COMPUTED_VALUE"""),"Seychelles")</f>
        <v>Seychelles</v>
      </c>
      <c r="D14093">
        <f>IFERROR(__xludf.DUMMYFUNCTION("""COMPUTED_VALUE"""),2025.0)</f>
        <v>2025</v>
      </c>
      <c r="E14093">
        <f>IFERROR(__xludf.DUMMYFUNCTION("""COMPUTED_VALUE"""),97414.0)</f>
        <v>97414</v>
      </c>
    </row>
    <row r="14094">
      <c r="A14094" t="str">
        <f t="shared" si="1"/>
        <v>syc#2026</v>
      </c>
      <c r="B14094" t="str">
        <f>IFERROR(__xludf.DUMMYFUNCTION("""COMPUTED_VALUE"""),"syc")</f>
        <v>syc</v>
      </c>
      <c r="C14094" t="str">
        <f>IFERROR(__xludf.DUMMYFUNCTION("""COMPUTED_VALUE"""),"Seychelles")</f>
        <v>Seychelles</v>
      </c>
      <c r="D14094">
        <f>IFERROR(__xludf.DUMMYFUNCTION("""COMPUTED_VALUE"""),2026.0)</f>
        <v>2026</v>
      </c>
      <c r="E14094">
        <f>IFERROR(__xludf.DUMMYFUNCTION("""COMPUTED_VALUE"""),97580.0)</f>
        <v>97580</v>
      </c>
    </row>
    <row r="14095">
      <c r="A14095" t="str">
        <f t="shared" si="1"/>
        <v>syc#2027</v>
      </c>
      <c r="B14095" t="str">
        <f>IFERROR(__xludf.DUMMYFUNCTION("""COMPUTED_VALUE"""),"syc")</f>
        <v>syc</v>
      </c>
      <c r="C14095" t="str">
        <f>IFERROR(__xludf.DUMMYFUNCTION("""COMPUTED_VALUE"""),"Seychelles")</f>
        <v>Seychelles</v>
      </c>
      <c r="D14095">
        <f>IFERROR(__xludf.DUMMYFUNCTION("""COMPUTED_VALUE"""),2027.0)</f>
        <v>2027</v>
      </c>
      <c r="E14095">
        <f>IFERROR(__xludf.DUMMYFUNCTION("""COMPUTED_VALUE"""),97717.0)</f>
        <v>97717</v>
      </c>
    </row>
    <row r="14096">
      <c r="A14096" t="str">
        <f t="shared" si="1"/>
        <v>syc#2028</v>
      </c>
      <c r="B14096" t="str">
        <f>IFERROR(__xludf.DUMMYFUNCTION("""COMPUTED_VALUE"""),"syc")</f>
        <v>syc</v>
      </c>
      <c r="C14096" t="str">
        <f>IFERROR(__xludf.DUMMYFUNCTION("""COMPUTED_VALUE"""),"Seychelles")</f>
        <v>Seychelles</v>
      </c>
      <c r="D14096">
        <f>IFERROR(__xludf.DUMMYFUNCTION("""COMPUTED_VALUE"""),2028.0)</f>
        <v>2028</v>
      </c>
      <c r="E14096">
        <f>IFERROR(__xludf.DUMMYFUNCTION("""COMPUTED_VALUE"""),97833.0)</f>
        <v>97833</v>
      </c>
    </row>
    <row r="14097">
      <c r="A14097" t="str">
        <f t="shared" si="1"/>
        <v>syc#2029</v>
      </c>
      <c r="B14097" t="str">
        <f>IFERROR(__xludf.DUMMYFUNCTION("""COMPUTED_VALUE"""),"syc")</f>
        <v>syc</v>
      </c>
      <c r="C14097" t="str">
        <f>IFERROR(__xludf.DUMMYFUNCTION("""COMPUTED_VALUE"""),"Seychelles")</f>
        <v>Seychelles</v>
      </c>
      <c r="D14097">
        <f>IFERROR(__xludf.DUMMYFUNCTION("""COMPUTED_VALUE"""),2029.0)</f>
        <v>2029</v>
      </c>
      <c r="E14097">
        <f>IFERROR(__xludf.DUMMYFUNCTION("""COMPUTED_VALUE"""),97930.0)</f>
        <v>97930</v>
      </c>
    </row>
    <row r="14098">
      <c r="A14098" t="str">
        <f t="shared" si="1"/>
        <v>syc#2030</v>
      </c>
      <c r="B14098" t="str">
        <f>IFERROR(__xludf.DUMMYFUNCTION("""COMPUTED_VALUE"""),"syc")</f>
        <v>syc</v>
      </c>
      <c r="C14098" t="str">
        <f>IFERROR(__xludf.DUMMYFUNCTION("""COMPUTED_VALUE"""),"Seychelles")</f>
        <v>Seychelles</v>
      </c>
      <c r="D14098">
        <f>IFERROR(__xludf.DUMMYFUNCTION("""COMPUTED_VALUE"""),2030.0)</f>
        <v>2030</v>
      </c>
      <c r="E14098">
        <f>IFERROR(__xludf.DUMMYFUNCTION("""COMPUTED_VALUE"""),98010.0)</f>
        <v>98010</v>
      </c>
    </row>
    <row r="14099">
      <c r="A14099" t="str">
        <f t="shared" si="1"/>
        <v>syc#2031</v>
      </c>
      <c r="B14099" t="str">
        <f>IFERROR(__xludf.DUMMYFUNCTION("""COMPUTED_VALUE"""),"syc")</f>
        <v>syc</v>
      </c>
      <c r="C14099" t="str">
        <f>IFERROR(__xludf.DUMMYFUNCTION("""COMPUTED_VALUE"""),"Seychelles")</f>
        <v>Seychelles</v>
      </c>
      <c r="D14099">
        <f>IFERROR(__xludf.DUMMYFUNCTION("""COMPUTED_VALUE"""),2031.0)</f>
        <v>2031</v>
      </c>
      <c r="E14099">
        <f>IFERROR(__xludf.DUMMYFUNCTION("""COMPUTED_VALUE"""),98082.0)</f>
        <v>98082</v>
      </c>
    </row>
    <row r="14100">
      <c r="A14100" t="str">
        <f t="shared" si="1"/>
        <v>syc#2032</v>
      </c>
      <c r="B14100" t="str">
        <f>IFERROR(__xludf.DUMMYFUNCTION("""COMPUTED_VALUE"""),"syc")</f>
        <v>syc</v>
      </c>
      <c r="C14100" t="str">
        <f>IFERROR(__xludf.DUMMYFUNCTION("""COMPUTED_VALUE"""),"Seychelles")</f>
        <v>Seychelles</v>
      </c>
      <c r="D14100">
        <f>IFERROR(__xludf.DUMMYFUNCTION("""COMPUTED_VALUE"""),2032.0)</f>
        <v>2032</v>
      </c>
      <c r="E14100">
        <f>IFERROR(__xludf.DUMMYFUNCTION("""COMPUTED_VALUE"""),98136.0)</f>
        <v>98136</v>
      </c>
    </row>
    <row r="14101">
      <c r="A14101" t="str">
        <f t="shared" si="1"/>
        <v>syc#2033</v>
      </c>
      <c r="B14101" t="str">
        <f>IFERROR(__xludf.DUMMYFUNCTION("""COMPUTED_VALUE"""),"syc")</f>
        <v>syc</v>
      </c>
      <c r="C14101" t="str">
        <f>IFERROR(__xludf.DUMMYFUNCTION("""COMPUTED_VALUE"""),"Seychelles")</f>
        <v>Seychelles</v>
      </c>
      <c r="D14101">
        <f>IFERROR(__xludf.DUMMYFUNCTION("""COMPUTED_VALUE"""),2033.0)</f>
        <v>2033</v>
      </c>
      <c r="E14101">
        <f>IFERROR(__xludf.DUMMYFUNCTION("""COMPUTED_VALUE"""),98185.0)</f>
        <v>98185</v>
      </c>
    </row>
    <row r="14102">
      <c r="A14102" t="str">
        <f t="shared" si="1"/>
        <v>syc#2034</v>
      </c>
      <c r="B14102" t="str">
        <f>IFERROR(__xludf.DUMMYFUNCTION("""COMPUTED_VALUE"""),"syc")</f>
        <v>syc</v>
      </c>
      <c r="C14102" t="str">
        <f>IFERROR(__xludf.DUMMYFUNCTION("""COMPUTED_VALUE"""),"Seychelles")</f>
        <v>Seychelles</v>
      </c>
      <c r="D14102">
        <f>IFERROR(__xludf.DUMMYFUNCTION("""COMPUTED_VALUE"""),2034.0)</f>
        <v>2034</v>
      </c>
      <c r="E14102">
        <f>IFERROR(__xludf.DUMMYFUNCTION("""COMPUTED_VALUE"""),98219.0)</f>
        <v>98219</v>
      </c>
    </row>
    <row r="14103">
      <c r="A14103" t="str">
        <f t="shared" si="1"/>
        <v>syc#2035</v>
      </c>
      <c r="B14103" t="str">
        <f>IFERROR(__xludf.DUMMYFUNCTION("""COMPUTED_VALUE"""),"syc")</f>
        <v>syc</v>
      </c>
      <c r="C14103" t="str">
        <f>IFERROR(__xludf.DUMMYFUNCTION("""COMPUTED_VALUE"""),"Seychelles")</f>
        <v>Seychelles</v>
      </c>
      <c r="D14103">
        <f>IFERROR(__xludf.DUMMYFUNCTION("""COMPUTED_VALUE"""),2035.0)</f>
        <v>2035</v>
      </c>
      <c r="E14103">
        <f>IFERROR(__xludf.DUMMYFUNCTION("""COMPUTED_VALUE"""),98241.0)</f>
        <v>98241</v>
      </c>
    </row>
    <row r="14104">
      <c r="A14104" t="str">
        <f t="shared" si="1"/>
        <v>syc#2036</v>
      </c>
      <c r="B14104" t="str">
        <f>IFERROR(__xludf.DUMMYFUNCTION("""COMPUTED_VALUE"""),"syc")</f>
        <v>syc</v>
      </c>
      <c r="C14104" t="str">
        <f>IFERROR(__xludf.DUMMYFUNCTION("""COMPUTED_VALUE"""),"Seychelles")</f>
        <v>Seychelles</v>
      </c>
      <c r="D14104">
        <f>IFERROR(__xludf.DUMMYFUNCTION("""COMPUTED_VALUE"""),2036.0)</f>
        <v>2036</v>
      </c>
      <c r="E14104">
        <f>IFERROR(__xludf.DUMMYFUNCTION("""COMPUTED_VALUE"""),98254.0)</f>
        <v>98254</v>
      </c>
    </row>
    <row r="14105">
      <c r="A14105" t="str">
        <f t="shared" si="1"/>
        <v>syc#2037</v>
      </c>
      <c r="B14105" t="str">
        <f>IFERROR(__xludf.DUMMYFUNCTION("""COMPUTED_VALUE"""),"syc")</f>
        <v>syc</v>
      </c>
      <c r="C14105" t="str">
        <f>IFERROR(__xludf.DUMMYFUNCTION("""COMPUTED_VALUE"""),"Seychelles")</f>
        <v>Seychelles</v>
      </c>
      <c r="D14105">
        <f>IFERROR(__xludf.DUMMYFUNCTION("""COMPUTED_VALUE"""),2037.0)</f>
        <v>2037</v>
      </c>
      <c r="E14105">
        <f>IFERROR(__xludf.DUMMYFUNCTION("""COMPUTED_VALUE"""),98258.0)</f>
        <v>98258</v>
      </c>
    </row>
    <row r="14106">
      <c r="A14106" t="str">
        <f t="shared" si="1"/>
        <v>syc#2038</v>
      </c>
      <c r="B14106" t="str">
        <f>IFERROR(__xludf.DUMMYFUNCTION("""COMPUTED_VALUE"""),"syc")</f>
        <v>syc</v>
      </c>
      <c r="C14106" t="str">
        <f>IFERROR(__xludf.DUMMYFUNCTION("""COMPUTED_VALUE"""),"Seychelles")</f>
        <v>Seychelles</v>
      </c>
      <c r="D14106">
        <f>IFERROR(__xludf.DUMMYFUNCTION("""COMPUTED_VALUE"""),2038.0)</f>
        <v>2038</v>
      </c>
      <c r="E14106">
        <f>IFERROR(__xludf.DUMMYFUNCTION("""COMPUTED_VALUE"""),98252.0)</f>
        <v>98252</v>
      </c>
    </row>
    <row r="14107">
      <c r="A14107" t="str">
        <f t="shared" si="1"/>
        <v>syc#2039</v>
      </c>
      <c r="B14107" t="str">
        <f>IFERROR(__xludf.DUMMYFUNCTION("""COMPUTED_VALUE"""),"syc")</f>
        <v>syc</v>
      </c>
      <c r="C14107" t="str">
        <f>IFERROR(__xludf.DUMMYFUNCTION("""COMPUTED_VALUE"""),"Seychelles")</f>
        <v>Seychelles</v>
      </c>
      <c r="D14107">
        <f>IFERROR(__xludf.DUMMYFUNCTION("""COMPUTED_VALUE"""),2039.0)</f>
        <v>2039</v>
      </c>
      <c r="E14107">
        <f>IFERROR(__xludf.DUMMYFUNCTION("""COMPUTED_VALUE"""),98223.0)</f>
        <v>98223</v>
      </c>
    </row>
    <row r="14108">
      <c r="A14108" t="str">
        <f t="shared" si="1"/>
        <v>syc#2040</v>
      </c>
      <c r="B14108" t="str">
        <f>IFERROR(__xludf.DUMMYFUNCTION("""COMPUTED_VALUE"""),"syc")</f>
        <v>syc</v>
      </c>
      <c r="C14108" t="str">
        <f>IFERROR(__xludf.DUMMYFUNCTION("""COMPUTED_VALUE"""),"Seychelles")</f>
        <v>Seychelles</v>
      </c>
      <c r="D14108">
        <f>IFERROR(__xludf.DUMMYFUNCTION("""COMPUTED_VALUE"""),2040.0)</f>
        <v>2040</v>
      </c>
      <c r="E14108">
        <f>IFERROR(__xludf.DUMMYFUNCTION("""COMPUTED_VALUE"""),98185.0)</f>
        <v>98185</v>
      </c>
    </row>
    <row r="14109">
      <c r="A14109" t="str">
        <f t="shared" si="1"/>
        <v>sle#1950</v>
      </c>
      <c r="B14109" t="str">
        <f>IFERROR(__xludf.DUMMYFUNCTION("""COMPUTED_VALUE"""),"sle")</f>
        <v>sle</v>
      </c>
      <c r="C14109" t="str">
        <f>IFERROR(__xludf.DUMMYFUNCTION("""COMPUTED_VALUE"""),"Sierra Leone")</f>
        <v>Sierra Leone</v>
      </c>
      <c r="D14109">
        <f>IFERROR(__xludf.DUMMYFUNCTION("""COMPUTED_VALUE"""),1950.0)</f>
        <v>1950</v>
      </c>
      <c r="E14109">
        <f>IFERROR(__xludf.DUMMYFUNCTION("""COMPUTED_VALUE"""),2041203.0)</f>
        <v>2041203</v>
      </c>
    </row>
    <row r="14110">
      <c r="A14110" t="str">
        <f t="shared" si="1"/>
        <v>sle#1951</v>
      </c>
      <c r="B14110" t="str">
        <f>IFERROR(__xludf.DUMMYFUNCTION("""COMPUTED_VALUE"""),"sle")</f>
        <v>sle</v>
      </c>
      <c r="C14110" t="str">
        <f>IFERROR(__xludf.DUMMYFUNCTION("""COMPUTED_VALUE"""),"Sierra Leone")</f>
        <v>Sierra Leone</v>
      </c>
      <c r="D14110">
        <f>IFERROR(__xludf.DUMMYFUNCTION("""COMPUTED_VALUE"""),1951.0)</f>
        <v>1951</v>
      </c>
      <c r="E14110">
        <f>IFERROR(__xludf.DUMMYFUNCTION("""COMPUTED_VALUE"""),2062444.0)</f>
        <v>2062444</v>
      </c>
    </row>
    <row r="14111">
      <c r="A14111" t="str">
        <f t="shared" si="1"/>
        <v>sle#1952</v>
      </c>
      <c r="B14111" t="str">
        <f>IFERROR(__xludf.DUMMYFUNCTION("""COMPUTED_VALUE"""),"sle")</f>
        <v>sle</v>
      </c>
      <c r="C14111" t="str">
        <f>IFERROR(__xludf.DUMMYFUNCTION("""COMPUTED_VALUE"""),"Sierra Leone")</f>
        <v>Sierra Leone</v>
      </c>
      <c r="D14111">
        <f>IFERROR(__xludf.DUMMYFUNCTION("""COMPUTED_VALUE"""),1952.0)</f>
        <v>1952</v>
      </c>
      <c r="E14111">
        <f>IFERROR(__xludf.DUMMYFUNCTION("""COMPUTED_VALUE"""),2084942.0)</f>
        <v>2084942</v>
      </c>
    </row>
    <row r="14112">
      <c r="A14112" t="str">
        <f t="shared" si="1"/>
        <v>sle#1953</v>
      </c>
      <c r="B14112" t="str">
        <f>IFERROR(__xludf.DUMMYFUNCTION("""COMPUTED_VALUE"""),"sle")</f>
        <v>sle</v>
      </c>
      <c r="C14112" t="str">
        <f>IFERROR(__xludf.DUMMYFUNCTION("""COMPUTED_VALUE"""),"Sierra Leone")</f>
        <v>Sierra Leone</v>
      </c>
      <c r="D14112">
        <f>IFERROR(__xludf.DUMMYFUNCTION("""COMPUTED_VALUE"""),1953.0)</f>
        <v>1953</v>
      </c>
      <c r="E14112">
        <f>IFERROR(__xludf.DUMMYFUNCTION("""COMPUTED_VALUE"""),2108430.0)</f>
        <v>2108430</v>
      </c>
    </row>
    <row r="14113">
      <c r="A14113" t="str">
        <f t="shared" si="1"/>
        <v>sle#1954</v>
      </c>
      <c r="B14113" t="str">
        <f>IFERROR(__xludf.DUMMYFUNCTION("""COMPUTED_VALUE"""),"sle")</f>
        <v>sle</v>
      </c>
      <c r="C14113" t="str">
        <f>IFERROR(__xludf.DUMMYFUNCTION("""COMPUTED_VALUE"""),"Sierra Leone")</f>
        <v>Sierra Leone</v>
      </c>
      <c r="D14113">
        <f>IFERROR(__xludf.DUMMYFUNCTION("""COMPUTED_VALUE"""),1954.0)</f>
        <v>1954</v>
      </c>
      <c r="E14113">
        <f>IFERROR(__xludf.DUMMYFUNCTION("""COMPUTED_VALUE"""),2132731.0)</f>
        <v>2132731</v>
      </c>
    </row>
    <row r="14114">
      <c r="A14114" t="str">
        <f t="shared" si="1"/>
        <v>sle#1955</v>
      </c>
      <c r="B14114" t="str">
        <f>IFERROR(__xludf.DUMMYFUNCTION("""COMPUTED_VALUE"""),"sle")</f>
        <v>sle</v>
      </c>
      <c r="C14114" t="str">
        <f>IFERROR(__xludf.DUMMYFUNCTION("""COMPUTED_VALUE"""),"Sierra Leone")</f>
        <v>Sierra Leone</v>
      </c>
      <c r="D14114">
        <f>IFERROR(__xludf.DUMMYFUNCTION("""COMPUTED_VALUE"""),1955.0)</f>
        <v>1955</v>
      </c>
      <c r="E14114">
        <f>IFERROR(__xludf.DUMMYFUNCTION("""COMPUTED_VALUE"""),2157753.0)</f>
        <v>2157753</v>
      </c>
    </row>
    <row r="14115">
      <c r="A14115" t="str">
        <f t="shared" si="1"/>
        <v>sle#1956</v>
      </c>
      <c r="B14115" t="str">
        <f>IFERROR(__xludf.DUMMYFUNCTION("""COMPUTED_VALUE"""),"sle")</f>
        <v>sle</v>
      </c>
      <c r="C14115" t="str">
        <f>IFERROR(__xludf.DUMMYFUNCTION("""COMPUTED_VALUE"""),"Sierra Leone")</f>
        <v>Sierra Leone</v>
      </c>
      <c r="D14115">
        <f>IFERROR(__xludf.DUMMYFUNCTION("""COMPUTED_VALUE"""),1956.0)</f>
        <v>1956</v>
      </c>
      <c r="E14115">
        <f>IFERROR(__xludf.DUMMYFUNCTION("""COMPUTED_VALUE"""),2183523.0)</f>
        <v>2183523</v>
      </c>
    </row>
    <row r="14116">
      <c r="A14116" t="str">
        <f t="shared" si="1"/>
        <v>sle#1957</v>
      </c>
      <c r="B14116" t="str">
        <f>IFERROR(__xludf.DUMMYFUNCTION("""COMPUTED_VALUE"""),"sle")</f>
        <v>sle</v>
      </c>
      <c r="C14116" t="str">
        <f>IFERROR(__xludf.DUMMYFUNCTION("""COMPUTED_VALUE"""),"Sierra Leone")</f>
        <v>Sierra Leone</v>
      </c>
      <c r="D14116">
        <f>IFERROR(__xludf.DUMMYFUNCTION("""COMPUTED_VALUE"""),1957.0)</f>
        <v>1957</v>
      </c>
      <c r="E14116">
        <f>IFERROR(__xludf.DUMMYFUNCTION("""COMPUTED_VALUE"""),2210131.0)</f>
        <v>2210131</v>
      </c>
    </row>
    <row r="14117">
      <c r="A14117" t="str">
        <f t="shared" si="1"/>
        <v>sle#1958</v>
      </c>
      <c r="B14117" t="str">
        <f>IFERROR(__xludf.DUMMYFUNCTION("""COMPUTED_VALUE"""),"sle")</f>
        <v>sle</v>
      </c>
      <c r="C14117" t="str">
        <f>IFERROR(__xludf.DUMMYFUNCTION("""COMPUTED_VALUE"""),"Sierra Leone")</f>
        <v>Sierra Leone</v>
      </c>
      <c r="D14117">
        <f>IFERROR(__xludf.DUMMYFUNCTION("""COMPUTED_VALUE"""),1958.0)</f>
        <v>1958</v>
      </c>
      <c r="E14117">
        <f>IFERROR(__xludf.DUMMYFUNCTION("""COMPUTED_VALUE"""),2237772.0)</f>
        <v>2237772</v>
      </c>
    </row>
    <row r="14118">
      <c r="A14118" t="str">
        <f t="shared" si="1"/>
        <v>sle#1959</v>
      </c>
      <c r="B14118" t="str">
        <f>IFERROR(__xludf.DUMMYFUNCTION("""COMPUTED_VALUE"""),"sle")</f>
        <v>sle</v>
      </c>
      <c r="C14118" t="str">
        <f>IFERROR(__xludf.DUMMYFUNCTION("""COMPUTED_VALUE"""),"Sierra Leone")</f>
        <v>Sierra Leone</v>
      </c>
      <c r="D14118">
        <f>IFERROR(__xludf.DUMMYFUNCTION("""COMPUTED_VALUE"""),1959.0)</f>
        <v>1959</v>
      </c>
      <c r="E14118">
        <f>IFERROR(__xludf.DUMMYFUNCTION("""COMPUTED_VALUE"""),2266686.0)</f>
        <v>2266686</v>
      </c>
    </row>
    <row r="14119">
      <c r="A14119" t="str">
        <f t="shared" si="1"/>
        <v>sle#1960</v>
      </c>
      <c r="B14119" t="str">
        <f>IFERROR(__xludf.DUMMYFUNCTION("""COMPUTED_VALUE"""),"sle")</f>
        <v>sle</v>
      </c>
      <c r="C14119" t="str">
        <f>IFERROR(__xludf.DUMMYFUNCTION("""COMPUTED_VALUE"""),"Sierra Leone")</f>
        <v>Sierra Leone</v>
      </c>
      <c r="D14119">
        <f>IFERROR(__xludf.DUMMYFUNCTION("""COMPUTED_VALUE"""),1960.0)</f>
        <v>1960</v>
      </c>
      <c r="E14119">
        <f>IFERROR(__xludf.DUMMYFUNCTION("""COMPUTED_VALUE"""),2297110.0)</f>
        <v>2297110</v>
      </c>
    </row>
    <row r="14120">
      <c r="A14120" t="str">
        <f t="shared" si="1"/>
        <v>sle#1961</v>
      </c>
      <c r="B14120" t="str">
        <f>IFERROR(__xludf.DUMMYFUNCTION("""COMPUTED_VALUE"""),"sle")</f>
        <v>sle</v>
      </c>
      <c r="C14120" t="str">
        <f>IFERROR(__xludf.DUMMYFUNCTION("""COMPUTED_VALUE"""),"Sierra Leone")</f>
        <v>Sierra Leone</v>
      </c>
      <c r="D14120">
        <f>IFERROR(__xludf.DUMMYFUNCTION("""COMPUTED_VALUE"""),1961.0)</f>
        <v>1961</v>
      </c>
      <c r="E14120">
        <f>IFERROR(__xludf.DUMMYFUNCTION("""COMPUTED_VALUE"""),2329204.0)</f>
        <v>2329204</v>
      </c>
    </row>
    <row r="14121">
      <c r="A14121" t="str">
        <f t="shared" si="1"/>
        <v>sle#1962</v>
      </c>
      <c r="B14121" t="str">
        <f>IFERROR(__xludf.DUMMYFUNCTION("""COMPUTED_VALUE"""),"sle")</f>
        <v>sle</v>
      </c>
      <c r="C14121" t="str">
        <f>IFERROR(__xludf.DUMMYFUNCTION("""COMPUTED_VALUE"""),"Sierra Leone")</f>
        <v>Sierra Leone</v>
      </c>
      <c r="D14121">
        <f>IFERROR(__xludf.DUMMYFUNCTION("""COMPUTED_VALUE"""),1962.0)</f>
        <v>1962</v>
      </c>
      <c r="E14121">
        <f>IFERROR(__xludf.DUMMYFUNCTION("""COMPUTED_VALUE"""),2363013.0)</f>
        <v>2363013</v>
      </c>
    </row>
    <row r="14122">
      <c r="A14122" t="str">
        <f t="shared" si="1"/>
        <v>sle#1963</v>
      </c>
      <c r="B14122" t="str">
        <f>IFERROR(__xludf.DUMMYFUNCTION("""COMPUTED_VALUE"""),"sle")</f>
        <v>sle</v>
      </c>
      <c r="C14122" t="str">
        <f>IFERROR(__xludf.DUMMYFUNCTION("""COMPUTED_VALUE"""),"Sierra Leone")</f>
        <v>Sierra Leone</v>
      </c>
      <c r="D14122">
        <f>IFERROR(__xludf.DUMMYFUNCTION("""COMPUTED_VALUE"""),1963.0)</f>
        <v>1963</v>
      </c>
      <c r="E14122">
        <f>IFERROR(__xludf.DUMMYFUNCTION("""COMPUTED_VALUE"""),2398414.0)</f>
        <v>2398414</v>
      </c>
    </row>
    <row r="14123">
      <c r="A14123" t="str">
        <f t="shared" si="1"/>
        <v>sle#1964</v>
      </c>
      <c r="B14123" t="str">
        <f>IFERROR(__xludf.DUMMYFUNCTION("""COMPUTED_VALUE"""),"sle")</f>
        <v>sle</v>
      </c>
      <c r="C14123" t="str">
        <f>IFERROR(__xludf.DUMMYFUNCTION("""COMPUTED_VALUE"""),"Sierra Leone")</f>
        <v>Sierra Leone</v>
      </c>
      <c r="D14123">
        <f>IFERROR(__xludf.DUMMYFUNCTION("""COMPUTED_VALUE"""),1964.0)</f>
        <v>1964</v>
      </c>
      <c r="E14123">
        <f>IFERROR(__xludf.DUMMYFUNCTION("""COMPUTED_VALUE"""),2435204.0)</f>
        <v>2435204</v>
      </c>
    </row>
    <row r="14124">
      <c r="A14124" t="str">
        <f t="shared" si="1"/>
        <v>sle#1965</v>
      </c>
      <c r="B14124" t="str">
        <f>IFERROR(__xludf.DUMMYFUNCTION("""COMPUTED_VALUE"""),"sle")</f>
        <v>sle</v>
      </c>
      <c r="C14124" t="str">
        <f>IFERROR(__xludf.DUMMYFUNCTION("""COMPUTED_VALUE"""),"Sierra Leone")</f>
        <v>Sierra Leone</v>
      </c>
      <c r="D14124">
        <f>IFERROR(__xludf.DUMMYFUNCTION("""COMPUTED_VALUE"""),1965.0)</f>
        <v>1965</v>
      </c>
      <c r="E14124">
        <f>IFERROR(__xludf.DUMMYFUNCTION("""COMPUTED_VALUE"""),2473294.0)</f>
        <v>2473294</v>
      </c>
    </row>
    <row r="14125">
      <c r="A14125" t="str">
        <f t="shared" si="1"/>
        <v>sle#1966</v>
      </c>
      <c r="B14125" t="str">
        <f>IFERROR(__xludf.DUMMYFUNCTION("""COMPUTED_VALUE"""),"sle")</f>
        <v>sle</v>
      </c>
      <c r="C14125" t="str">
        <f>IFERROR(__xludf.DUMMYFUNCTION("""COMPUTED_VALUE"""),"Sierra Leone")</f>
        <v>Sierra Leone</v>
      </c>
      <c r="D14125">
        <f>IFERROR(__xludf.DUMMYFUNCTION("""COMPUTED_VALUE"""),1966.0)</f>
        <v>1966</v>
      </c>
      <c r="E14125">
        <f>IFERROR(__xludf.DUMMYFUNCTION("""COMPUTED_VALUE"""),2512652.0)</f>
        <v>2512652</v>
      </c>
    </row>
    <row r="14126">
      <c r="A14126" t="str">
        <f t="shared" si="1"/>
        <v>sle#1967</v>
      </c>
      <c r="B14126" t="str">
        <f>IFERROR(__xludf.DUMMYFUNCTION("""COMPUTED_VALUE"""),"sle")</f>
        <v>sle</v>
      </c>
      <c r="C14126" t="str">
        <f>IFERROR(__xludf.DUMMYFUNCTION("""COMPUTED_VALUE"""),"Sierra Leone")</f>
        <v>Sierra Leone</v>
      </c>
      <c r="D14126">
        <f>IFERROR(__xludf.DUMMYFUNCTION("""COMPUTED_VALUE"""),1967.0)</f>
        <v>1967</v>
      </c>
      <c r="E14126">
        <f>IFERROR(__xludf.DUMMYFUNCTION("""COMPUTED_VALUE"""),2553529.0)</f>
        <v>2553529</v>
      </c>
    </row>
    <row r="14127">
      <c r="A14127" t="str">
        <f t="shared" si="1"/>
        <v>sle#1968</v>
      </c>
      <c r="B14127" t="str">
        <f>IFERROR(__xludf.DUMMYFUNCTION("""COMPUTED_VALUE"""),"sle")</f>
        <v>sle</v>
      </c>
      <c r="C14127" t="str">
        <f>IFERROR(__xludf.DUMMYFUNCTION("""COMPUTED_VALUE"""),"Sierra Leone")</f>
        <v>Sierra Leone</v>
      </c>
      <c r="D14127">
        <f>IFERROR(__xludf.DUMMYFUNCTION("""COMPUTED_VALUE"""),1968.0)</f>
        <v>1968</v>
      </c>
      <c r="E14127">
        <f>IFERROR(__xludf.DUMMYFUNCTION("""COMPUTED_VALUE"""),2596568.0)</f>
        <v>2596568</v>
      </c>
    </row>
    <row r="14128">
      <c r="A14128" t="str">
        <f t="shared" si="1"/>
        <v>sle#1969</v>
      </c>
      <c r="B14128" t="str">
        <f>IFERROR(__xludf.DUMMYFUNCTION("""COMPUTED_VALUE"""),"sle")</f>
        <v>sle</v>
      </c>
      <c r="C14128" t="str">
        <f>IFERROR(__xludf.DUMMYFUNCTION("""COMPUTED_VALUE"""),"Sierra Leone")</f>
        <v>Sierra Leone</v>
      </c>
      <c r="D14128">
        <f>IFERROR(__xludf.DUMMYFUNCTION("""COMPUTED_VALUE"""),1969.0)</f>
        <v>1969</v>
      </c>
      <c r="E14128">
        <f>IFERROR(__xludf.DUMMYFUNCTION("""COMPUTED_VALUE"""),2642608.0)</f>
        <v>2642608</v>
      </c>
    </row>
    <row r="14129">
      <c r="A14129" t="str">
        <f t="shared" si="1"/>
        <v>sle#1970</v>
      </c>
      <c r="B14129" t="str">
        <f>IFERROR(__xludf.DUMMYFUNCTION("""COMPUTED_VALUE"""),"sle")</f>
        <v>sle</v>
      </c>
      <c r="C14129" t="str">
        <f>IFERROR(__xludf.DUMMYFUNCTION("""COMPUTED_VALUE"""),"Sierra Leone")</f>
        <v>Sierra Leone</v>
      </c>
      <c r="D14129">
        <f>IFERROR(__xludf.DUMMYFUNCTION("""COMPUTED_VALUE"""),1970.0)</f>
        <v>1970</v>
      </c>
      <c r="E14129">
        <f>IFERROR(__xludf.DUMMYFUNCTION("""COMPUTED_VALUE"""),2692259.0)</f>
        <v>2692259</v>
      </c>
    </row>
    <row r="14130">
      <c r="A14130" t="str">
        <f t="shared" si="1"/>
        <v>sle#1971</v>
      </c>
      <c r="B14130" t="str">
        <f>IFERROR(__xludf.DUMMYFUNCTION("""COMPUTED_VALUE"""),"sle")</f>
        <v>sle</v>
      </c>
      <c r="C14130" t="str">
        <f>IFERROR(__xludf.DUMMYFUNCTION("""COMPUTED_VALUE"""),"Sierra Leone")</f>
        <v>Sierra Leone</v>
      </c>
      <c r="D14130">
        <f>IFERROR(__xludf.DUMMYFUNCTION("""COMPUTED_VALUE"""),1971.0)</f>
        <v>1971</v>
      </c>
      <c r="E14130">
        <f>IFERROR(__xludf.DUMMYFUNCTION("""COMPUTED_VALUE"""),2745779.0)</f>
        <v>2745779</v>
      </c>
    </row>
    <row r="14131">
      <c r="A14131" t="str">
        <f t="shared" si="1"/>
        <v>sle#1972</v>
      </c>
      <c r="B14131" t="str">
        <f>IFERROR(__xludf.DUMMYFUNCTION("""COMPUTED_VALUE"""),"sle")</f>
        <v>sle</v>
      </c>
      <c r="C14131" t="str">
        <f>IFERROR(__xludf.DUMMYFUNCTION("""COMPUTED_VALUE"""),"Sierra Leone")</f>
        <v>Sierra Leone</v>
      </c>
      <c r="D14131">
        <f>IFERROR(__xludf.DUMMYFUNCTION("""COMPUTED_VALUE"""),1972.0)</f>
        <v>1972</v>
      </c>
      <c r="E14131">
        <f>IFERROR(__xludf.DUMMYFUNCTION("""COMPUTED_VALUE"""),2803031.0)</f>
        <v>2803031</v>
      </c>
    </row>
    <row r="14132">
      <c r="A14132" t="str">
        <f t="shared" si="1"/>
        <v>sle#1973</v>
      </c>
      <c r="B14132" t="str">
        <f>IFERROR(__xludf.DUMMYFUNCTION("""COMPUTED_VALUE"""),"sle")</f>
        <v>sle</v>
      </c>
      <c r="C14132" t="str">
        <f>IFERROR(__xludf.DUMMYFUNCTION("""COMPUTED_VALUE"""),"Sierra Leone")</f>
        <v>Sierra Leone</v>
      </c>
      <c r="D14132">
        <f>IFERROR(__xludf.DUMMYFUNCTION("""COMPUTED_VALUE"""),1973.0)</f>
        <v>1973</v>
      </c>
      <c r="E14132">
        <f>IFERROR(__xludf.DUMMYFUNCTION("""COMPUTED_VALUE"""),2863739.0)</f>
        <v>2863739</v>
      </c>
    </row>
    <row r="14133">
      <c r="A14133" t="str">
        <f t="shared" si="1"/>
        <v>sle#1974</v>
      </c>
      <c r="B14133" t="str">
        <f>IFERROR(__xludf.DUMMYFUNCTION("""COMPUTED_VALUE"""),"sle")</f>
        <v>sle</v>
      </c>
      <c r="C14133" t="str">
        <f>IFERROR(__xludf.DUMMYFUNCTION("""COMPUTED_VALUE"""),"Sierra Leone")</f>
        <v>Sierra Leone</v>
      </c>
      <c r="D14133">
        <f>IFERROR(__xludf.DUMMYFUNCTION("""COMPUTED_VALUE"""),1974.0)</f>
        <v>1974</v>
      </c>
      <c r="E14133">
        <f>IFERROR(__xludf.DUMMYFUNCTION("""COMPUTED_VALUE"""),2927468.0)</f>
        <v>2927468</v>
      </c>
    </row>
    <row r="14134">
      <c r="A14134" t="str">
        <f t="shared" si="1"/>
        <v>sle#1975</v>
      </c>
      <c r="B14134" t="str">
        <f>IFERROR(__xludf.DUMMYFUNCTION("""COMPUTED_VALUE"""),"sle")</f>
        <v>sle</v>
      </c>
      <c r="C14134" t="str">
        <f>IFERROR(__xludf.DUMMYFUNCTION("""COMPUTED_VALUE"""),"Sierra Leone")</f>
        <v>Sierra Leone</v>
      </c>
      <c r="D14134">
        <f>IFERROR(__xludf.DUMMYFUNCTION("""COMPUTED_VALUE"""),1975.0)</f>
        <v>1975</v>
      </c>
      <c r="E14134">
        <f>IFERROR(__xludf.DUMMYFUNCTION("""COMPUTED_VALUE"""),2993876.0)</f>
        <v>2993876</v>
      </c>
    </row>
    <row r="14135">
      <c r="A14135" t="str">
        <f t="shared" si="1"/>
        <v>sle#1976</v>
      </c>
      <c r="B14135" t="str">
        <f>IFERROR(__xludf.DUMMYFUNCTION("""COMPUTED_VALUE"""),"sle")</f>
        <v>sle</v>
      </c>
      <c r="C14135" t="str">
        <f>IFERROR(__xludf.DUMMYFUNCTION("""COMPUTED_VALUE"""),"Sierra Leone")</f>
        <v>Sierra Leone</v>
      </c>
      <c r="D14135">
        <f>IFERROR(__xludf.DUMMYFUNCTION("""COMPUTED_VALUE"""),1976.0)</f>
        <v>1976</v>
      </c>
      <c r="E14135">
        <f>IFERROR(__xludf.DUMMYFUNCTION("""COMPUTED_VALUE"""),3062956.0)</f>
        <v>3062956</v>
      </c>
    </row>
    <row r="14136">
      <c r="A14136" t="str">
        <f t="shared" si="1"/>
        <v>sle#1977</v>
      </c>
      <c r="B14136" t="str">
        <f>IFERROR(__xludf.DUMMYFUNCTION("""COMPUTED_VALUE"""),"sle")</f>
        <v>sle</v>
      </c>
      <c r="C14136" t="str">
        <f>IFERROR(__xludf.DUMMYFUNCTION("""COMPUTED_VALUE"""),"Sierra Leone")</f>
        <v>Sierra Leone</v>
      </c>
      <c r="D14136">
        <f>IFERROR(__xludf.DUMMYFUNCTION("""COMPUTED_VALUE"""),1977.0)</f>
        <v>1977</v>
      </c>
      <c r="E14136">
        <f>IFERROR(__xludf.DUMMYFUNCTION("""COMPUTED_VALUE"""),3134800.0)</f>
        <v>3134800</v>
      </c>
    </row>
    <row r="14137">
      <c r="A14137" t="str">
        <f t="shared" si="1"/>
        <v>sle#1978</v>
      </c>
      <c r="B14137" t="str">
        <f>IFERROR(__xludf.DUMMYFUNCTION("""COMPUTED_VALUE"""),"sle")</f>
        <v>sle</v>
      </c>
      <c r="C14137" t="str">
        <f>IFERROR(__xludf.DUMMYFUNCTION("""COMPUTED_VALUE"""),"Sierra Leone")</f>
        <v>Sierra Leone</v>
      </c>
      <c r="D14137">
        <f>IFERROR(__xludf.DUMMYFUNCTION("""COMPUTED_VALUE"""),1978.0)</f>
        <v>1978</v>
      </c>
      <c r="E14137">
        <f>IFERROR(__xludf.DUMMYFUNCTION("""COMPUTED_VALUE"""),3209263.0)</f>
        <v>3209263</v>
      </c>
    </row>
    <row r="14138">
      <c r="A14138" t="str">
        <f t="shared" si="1"/>
        <v>sle#1979</v>
      </c>
      <c r="B14138" t="str">
        <f>IFERROR(__xludf.DUMMYFUNCTION("""COMPUTED_VALUE"""),"sle")</f>
        <v>sle</v>
      </c>
      <c r="C14138" t="str">
        <f>IFERROR(__xludf.DUMMYFUNCTION("""COMPUTED_VALUE"""),"Sierra Leone")</f>
        <v>Sierra Leone</v>
      </c>
      <c r="D14138">
        <f>IFERROR(__xludf.DUMMYFUNCTION("""COMPUTED_VALUE"""),1979.0)</f>
        <v>1979</v>
      </c>
      <c r="E14138">
        <f>IFERROR(__xludf.DUMMYFUNCTION("""COMPUTED_VALUE"""),3286179.0)</f>
        <v>3286179</v>
      </c>
    </row>
    <row r="14139">
      <c r="A14139" t="str">
        <f t="shared" si="1"/>
        <v>sle#1980</v>
      </c>
      <c r="B14139" t="str">
        <f>IFERROR(__xludf.DUMMYFUNCTION("""COMPUTED_VALUE"""),"sle")</f>
        <v>sle</v>
      </c>
      <c r="C14139" t="str">
        <f>IFERROR(__xludf.DUMMYFUNCTION("""COMPUTED_VALUE"""),"Sierra Leone")</f>
        <v>Sierra Leone</v>
      </c>
      <c r="D14139">
        <f>IFERROR(__xludf.DUMMYFUNCTION("""COMPUTED_VALUE"""),1980.0)</f>
        <v>1980</v>
      </c>
      <c r="E14139">
        <f>IFERROR(__xludf.DUMMYFUNCTION("""COMPUTED_VALUE"""),3365441.0)</f>
        <v>3365441</v>
      </c>
    </row>
    <row r="14140">
      <c r="A14140" t="str">
        <f t="shared" si="1"/>
        <v>sle#1981</v>
      </c>
      <c r="B14140" t="str">
        <f>IFERROR(__xludf.DUMMYFUNCTION("""COMPUTED_VALUE"""),"sle")</f>
        <v>sle</v>
      </c>
      <c r="C14140" t="str">
        <f>IFERROR(__xludf.DUMMYFUNCTION("""COMPUTED_VALUE"""),"Sierra Leone")</f>
        <v>Sierra Leone</v>
      </c>
      <c r="D14140">
        <f>IFERROR(__xludf.DUMMYFUNCTION("""COMPUTED_VALUE"""),1981.0)</f>
        <v>1981</v>
      </c>
      <c r="E14140">
        <f>IFERROR(__xludf.DUMMYFUNCTION("""COMPUTED_VALUE"""),3445277.0)</f>
        <v>3445277</v>
      </c>
    </row>
    <row r="14141">
      <c r="A14141" t="str">
        <f t="shared" si="1"/>
        <v>sle#1982</v>
      </c>
      <c r="B14141" t="str">
        <f>IFERROR(__xludf.DUMMYFUNCTION("""COMPUTED_VALUE"""),"sle")</f>
        <v>sle</v>
      </c>
      <c r="C14141" t="str">
        <f>IFERROR(__xludf.DUMMYFUNCTION("""COMPUTED_VALUE"""),"Sierra Leone")</f>
        <v>Sierra Leone</v>
      </c>
      <c r="D14141">
        <f>IFERROR(__xludf.DUMMYFUNCTION("""COMPUTED_VALUE"""),1982.0)</f>
        <v>1982</v>
      </c>
      <c r="E14141">
        <f>IFERROR(__xludf.DUMMYFUNCTION("""COMPUTED_VALUE"""),3525399.0)</f>
        <v>3525399</v>
      </c>
    </row>
    <row r="14142">
      <c r="A14142" t="str">
        <f t="shared" si="1"/>
        <v>sle#1983</v>
      </c>
      <c r="B14142" t="str">
        <f>IFERROR(__xludf.DUMMYFUNCTION("""COMPUTED_VALUE"""),"sle")</f>
        <v>sle</v>
      </c>
      <c r="C14142" t="str">
        <f>IFERROR(__xludf.DUMMYFUNCTION("""COMPUTED_VALUE"""),"Sierra Leone")</f>
        <v>Sierra Leone</v>
      </c>
      <c r="D14142">
        <f>IFERROR(__xludf.DUMMYFUNCTION("""COMPUTED_VALUE"""),1983.0)</f>
        <v>1983</v>
      </c>
      <c r="E14142">
        <f>IFERROR(__xludf.DUMMYFUNCTION("""COMPUTED_VALUE"""),3608751.0)</f>
        <v>3608751</v>
      </c>
    </row>
    <row r="14143">
      <c r="A14143" t="str">
        <f t="shared" si="1"/>
        <v>sle#1984</v>
      </c>
      <c r="B14143" t="str">
        <f>IFERROR(__xludf.DUMMYFUNCTION("""COMPUTED_VALUE"""),"sle")</f>
        <v>sle</v>
      </c>
      <c r="C14143" t="str">
        <f>IFERROR(__xludf.DUMMYFUNCTION("""COMPUTED_VALUE"""),"Sierra Leone")</f>
        <v>Sierra Leone</v>
      </c>
      <c r="D14143">
        <f>IFERROR(__xludf.DUMMYFUNCTION("""COMPUTED_VALUE"""),1984.0)</f>
        <v>1984</v>
      </c>
      <c r="E14143">
        <f>IFERROR(__xludf.DUMMYFUNCTION("""COMPUTED_VALUE"""),3699467.0)</f>
        <v>3699467</v>
      </c>
    </row>
    <row r="14144">
      <c r="A14144" t="str">
        <f t="shared" si="1"/>
        <v>sle#1985</v>
      </c>
      <c r="B14144" t="str">
        <f>IFERROR(__xludf.DUMMYFUNCTION("""COMPUTED_VALUE"""),"sle")</f>
        <v>sle</v>
      </c>
      <c r="C14144" t="str">
        <f>IFERROR(__xludf.DUMMYFUNCTION("""COMPUTED_VALUE"""),"Sierra Leone")</f>
        <v>Sierra Leone</v>
      </c>
      <c r="D14144">
        <f>IFERROR(__xludf.DUMMYFUNCTION("""COMPUTED_VALUE"""),1985.0)</f>
        <v>1985</v>
      </c>
      <c r="E14144">
        <f>IFERROR(__xludf.DUMMYFUNCTION("""COMPUTED_VALUE"""),3799550.0)</f>
        <v>3799550</v>
      </c>
    </row>
    <row r="14145">
      <c r="A14145" t="str">
        <f t="shared" si="1"/>
        <v>sle#1986</v>
      </c>
      <c r="B14145" t="str">
        <f>IFERROR(__xludf.DUMMYFUNCTION("""COMPUTED_VALUE"""),"sle")</f>
        <v>sle</v>
      </c>
      <c r="C14145" t="str">
        <f>IFERROR(__xludf.DUMMYFUNCTION("""COMPUTED_VALUE"""),"Sierra Leone")</f>
        <v>Sierra Leone</v>
      </c>
      <c r="D14145">
        <f>IFERROR(__xludf.DUMMYFUNCTION("""COMPUTED_VALUE"""),1986.0)</f>
        <v>1986</v>
      </c>
      <c r="E14145">
        <f>IFERROR(__xludf.DUMMYFUNCTION("""COMPUTED_VALUE"""),3912438.0)</f>
        <v>3912438</v>
      </c>
    </row>
    <row r="14146">
      <c r="A14146" t="str">
        <f t="shared" si="1"/>
        <v>sle#1987</v>
      </c>
      <c r="B14146" t="str">
        <f>IFERROR(__xludf.DUMMYFUNCTION("""COMPUTED_VALUE"""),"sle")</f>
        <v>sle</v>
      </c>
      <c r="C14146" t="str">
        <f>IFERROR(__xludf.DUMMYFUNCTION("""COMPUTED_VALUE"""),"Sierra Leone")</f>
        <v>Sierra Leone</v>
      </c>
      <c r="D14146">
        <f>IFERROR(__xludf.DUMMYFUNCTION("""COMPUTED_VALUE"""),1987.0)</f>
        <v>1987</v>
      </c>
      <c r="E14146">
        <f>IFERROR(__xludf.DUMMYFUNCTION("""COMPUTED_VALUE"""),4034668.0)</f>
        <v>4034668</v>
      </c>
    </row>
    <row r="14147">
      <c r="A14147" t="str">
        <f t="shared" si="1"/>
        <v>sle#1988</v>
      </c>
      <c r="B14147" t="str">
        <f>IFERROR(__xludf.DUMMYFUNCTION("""COMPUTED_VALUE"""),"sle")</f>
        <v>sle</v>
      </c>
      <c r="C14147" t="str">
        <f>IFERROR(__xludf.DUMMYFUNCTION("""COMPUTED_VALUE"""),"Sierra Leone")</f>
        <v>Sierra Leone</v>
      </c>
      <c r="D14147">
        <f>IFERROR(__xludf.DUMMYFUNCTION("""COMPUTED_VALUE"""),1988.0)</f>
        <v>1988</v>
      </c>
      <c r="E14147">
        <f>IFERROR(__xludf.DUMMYFUNCTION("""COMPUTED_VALUE"""),4152984.0)</f>
        <v>4152984</v>
      </c>
    </row>
    <row r="14148">
      <c r="A14148" t="str">
        <f t="shared" si="1"/>
        <v>sle#1989</v>
      </c>
      <c r="B14148" t="str">
        <f>IFERROR(__xludf.DUMMYFUNCTION("""COMPUTED_VALUE"""),"sle")</f>
        <v>sle</v>
      </c>
      <c r="C14148" t="str">
        <f>IFERROR(__xludf.DUMMYFUNCTION("""COMPUTED_VALUE"""),"Sierra Leone")</f>
        <v>Sierra Leone</v>
      </c>
      <c r="D14148">
        <f>IFERROR(__xludf.DUMMYFUNCTION("""COMPUTED_VALUE"""),1989.0)</f>
        <v>1989</v>
      </c>
      <c r="E14148">
        <f>IFERROR(__xludf.DUMMYFUNCTION("""COMPUTED_VALUE"""),4249468.0)</f>
        <v>4249468</v>
      </c>
    </row>
    <row r="14149">
      <c r="A14149" t="str">
        <f t="shared" si="1"/>
        <v>sle#1990</v>
      </c>
      <c r="B14149" t="str">
        <f>IFERROR(__xludf.DUMMYFUNCTION("""COMPUTED_VALUE"""),"sle")</f>
        <v>sle</v>
      </c>
      <c r="C14149" t="str">
        <f>IFERROR(__xludf.DUMMYFUNCTION("""COMPUTED_VALUE"""),"Sierra Leone")</f>
        <v>Sierra Leone</v>
      </c>
      <c r="D14149">
        <f>IFERROR(__xludf.DUMMYFUNCTION("""COMPUTED_VALUE"""),1990.0)</f>
        <v>1990</v>
      </c>
      <c r="E14149">
        <f>IFERROR(__xludf.DUMMYFUNCTION("""COMPUTED_VALUE"""),4312246.0)</f>
        <v>4312246</v>
      </c>
    </row>
    <row r="14150">
      <c r="A14150" t="str">
        <f t="shared" si="1"/>
        <v>sle#1991</v>
      </c>
      <c r="B14150" t="str">
        <f>IFERROR(__xludf.DUMMYFUNCTION("""COMPUTED_VALUE"""),"sle")</f>
        <v>sle</v>
      </c>
      <c r="C14150" t="str">
        <f>IFERROR(__xludf.DUMMYFUNCTION("""COMPUTED_VALUE"""),"Sierra Leone")</f>
        <v>Sierra Leone</v>
      </c>
      <c r="D14150">
        <f>IFERROR(__xludf.DUMMYFUNCTION("""COMPUTED_VALUE"""),1991.0)</f>
        <v>1991</v>
      </c>
      <c r="E14150">
        <f>IFERROR(__xludf.DUMMYFUNCTION("""COMPUTED_VALUE"""),4337239.0)</f>
        <v>4337239</v>
      </c>
    </row>
    <row r="14151">
      <c r="A14151" t="str">
        <f t="shared" si="1"/>
        <v>sle#1992</v>
      </c>
      <c r="B14151" t="str">
        <f>IFERROR(__xludf.DUMMYFUNCTION("""COMPUTED_VALUE"""),"sle")</f>
        <v>sle</v>
      </c>
      <c r="C14151" t="str">
        <f>IFERROR(__xludf.DUMMYFUNCTION("""COMPUTED_VALUE"""),"Sierra Leone")</f>
        <v>Sierra Leone</v>
      </c>
      <c r="D14151">
        <f>IFERROR(__xludf.DUMMYFUNCTION("""COMPUTED_VALUE"""),1992.0)</f>
        <v>1992</v>
      </c>
      <c r="E14151">
        <f>IFERROR(__xludf.DUMMYFUNCTION("""COMPUTED_VALUE"""),4331332.0)</f>
        <v>4331332</v>
      </c>
    </row>
    <row r="14152">
      <c r="A14152" t="str">
        <f t="shared" si="1"/>
        <v>sle#1993</v>
      </c>
      <c r="B14152" t="str">
        <f>IFERROR(__xludf.DUMMYFUNCTION("""COMPUTED_VALUE"""),"sle")</f>
        <v>sle</v>
      </c>
      <c r="C14152" t="str">
        <f>IFERROR(__xludf.DUMMYFUNCTION("""COMPUTED_VALUE"""),"Sierra Leone")</f>
        <v>Sierra Leone</v>
      </c>
      <c r="D14152">
        <f>IFERROR(__xludf.DUMMYFUNCTION("""COMPUTED_VALUE"""),1993.0)</f>
        <v>1993</v>
      </c>
      <c r="E14152">
        <f>IFERROR(__xludf.DUMMYFUNCTION("""COMPUTED_VALUE"""),4307299.0)</f>
        <v>4307299</v>
      </c>
    </row>
    <row r="14153">
      <c r="A14153" t="str">
        <f t="shared" si="1"/>
        <v>sle#1994</v>
      </c>
      <c r="B14153" t="str">
        <f>IFERROR(__xludf.DUMMYFUNCTION("""COMPUTED_VALUE"""),"sle")</f>
        <v>sle</v>
      </c>
      <c r="C14153" t="str">
        <f>IFERROR(__xludf.DUMMYFUNCTION("""COMPUTED_VALUE"""),"Sierra Leone")</f>
        <v>Sierra Leone</v>
      </c>
      <c r="D14153">
        <f>IFERROR(__xludf.DUMMYFUNCTION("""COMPUTED_VALUE"""),1994.0)</f>
        <v>1994</v>
      </c>
      <c r="E14153">
        <f>IFERROR(__xludf.DUMMYFUNCTION("""COMPUTED_VALUE"""),4283621.0)</f>
        <v>4283621</v>
      </c>
    </row>
    <row r="14154">
      <c r="A14154" t="str">
        <f t="shared" si="1"/>
        <v>sle#1995</v>
      </c>
      <c r="B14154" t="str">
        <f>IFERROR(__xludf.DUMMYFUNCTION("""COMPUTED_VALUE"""),"sle")</f>
        <v>sle</v>
      </c>
      <c r="C14154" t="str">
        <f>IFERROR(__xludf.DUMMYFUNCTION("""COMPUTED_VALUE"""),"Sierra Leone")</f>
        <v>Sierra Leone</v>
      </c>
      <c r="D14154">
        <f>IFERROR(__xludf.DUMMYFUNCTION("""COMPUTED_VALUE"""),1995.0)</f>
        <v>1995</v>
      </c>
      <c r="E14154">
        <f>IFERROR(__xludf.DUMMYFUNCTION("""COMPUTED_VALUE"""),4274819.0)</f>
        <v>4274819</v>
      </c>
    </row>
    <row r="14155">
      <c r="A14155" t="str">
        <f t="shared" si="1"/>
        <v>sle#1996</v>
      </c>
      <c r="B14155" t="str">
        <f>IFERROR(__xludf.DUMMYFUNCTION("""COMPUTED_VALUE"""),"sle")</f>
        <v>sle</v>
      </c>
      <c r="C14155" t="str">
        <f>IFERROR(__xludf.DUMMYFUNCTION("""COMPUTED_VALUE"""),"Sierra Leone")</f>
        <v>Sierra Leone</v>
      </c>
      <c r="D14155">
        <f>IFERROR(__xludf.DUMMYFUNCTION("""COMPUTED_VALUE"""),1996.0)</f>
        <v>1996</v>
      </c>
      <c r="E14155">
        <f>IFERROR(__xludf.DUMMYFUNCTION("""COMPUTED_VALUE"""),4282350.0)</f>
        <v>4282350</v>
      </c>
    </row>
    <row r="14156">
      <c r="A14156" t="str">
        <f t="shared" si="1"/>
        <v>sle#1997</v>
      </c>
      <c r="B14156" t="str">
        <f>IFERROR(__xludf.DUMMYFUNCTION("""COMPUTED_VALUE"""),"sle")</f>
        <v>sle</v>
      </c>
      <c r="C14156" t="str">
        <f>IFERROR(__xludf.DUMMYFUNCTION("""COMPUTED_VALUE"""),"Sierra Leone")</f>
        <v>Sierra Leone</v>
      </c>
      <c r="D14156">
        <f>IFERROR(__xludf.DUMMYFUNCTION("""COMPUTED_VALUE"""),1997.0)</f>
        <v>1997</v>
      </c>
      <c r="E14156">
        <f>IFERROR(__xludf.DUMMYFUNCTION("""COMPUTED_VALUE"""),4305455.0)</f>
        <v>4305455</v>
      </c>
    </row>
    <row r="14157">
      <c r="A14157" t="str">
        <f t="shared" si="1"/>
        <v>sle#1998</v>
      </c>
      <c r="B14157" t="str">
        <f>IFERROR(__xludf.DUMMYFUNCTION("""COMPUTED_VALUE"""),"sle")</f>
        <v>sle</v>
      </c>
      <c r="C14157" t="str">
        <f>IFERROR(__xludf.DUMMYFUNCTION("""COMPUTED_VALUE"""),"Sierra Leone")</f>
        <v>Sierra Leone</v>
      </c>
      <c r="D14157">
        <f>IFERROR(__xludf.DUMMYFUNCTION("""COMPUTED_VALUE"""),1998.0)</f>
        <v>1998</v>
      </c>
      <c r="E14157">
        <f>IFERROR(__xludf.DUMMYFUNCTION("""COMPUTED_VALUE"""),4353646.0)</f>
        <v>4353646</v>
      </c>
    </row>
    <row r="14158">
      <c r="A14158" t="str">
        <f t="shared" si="1"/>
        <v>sle#1999</v>
      </c>
      <c r="B14158" t="str">
        <f>IFERROR(__xludf.DUMMYFUNCTION("""COMPUTED_VALUE"""),"sle")</f>
        <v>sle</v>
      </c>
      <c r="C14158" t="str">
        <f>IFERROR(__xludf.DUMMYFUNCTION("""COMPUTED_VALUE"""),"Sierra Leone")</f>
        <v>Sierra Leone</v>
      </c>
      <c r="D14158">
        <f>IFERROR(__xludf.DUMMYFUNCTION("""COMPUTED_VALUE"""),1999.0)</f>
        <v>1999</v>
      </c>
      <c r="E14158">
        <f>IFERROR(__xludf.DUMMYFUNCTION("""COMPUTED_VALUE"""),4437803.0)</f>
        <v>4437803</v>
      </c>
    </row>
    <row r="14159">
      <c r="A14159" t="str">
        <f t="shared" si="1"/>
        <v>sle#2000</v>
      </c>
      <c r="B14159" t="str">
        <f>IFERROR(__xludf.DUMMYFUNCTION("""COMPUTED_VALUE"""),"sle")</f>
        <v>sle</v>
      </c>
      <c r="C14159" t="str">
        <f>IFERROR(__xludf.DUMMYFUNCTION("""COMPUTED_VALUE"""),"Sierra Leone")</f>
        <v>Sierra Leone</v>
      </c>
      <c r="D14159">
        <f>IFERROR(__xludf.DUMMYFUNCTION("""COMPUTED_VALUE"""),2000.0)</f>
        <v>2000</v>
      </c>
      <c r="E14159">
        <f>IFERROR(__xludf.DUMMYFUNCTION("""COMPUTED_VALUE"""),4564297.0)</f>
        <v>4564297</v>
      </c>
    </row>
    <row r="14160">
      <c r="A14160" t="str">
        <f t="shared" si="1"/>
        <v>sle#2001</v>
      </c>
      <c r="B14160" t="str">
        <f>IFERROR(__xludf.DUMMYFUNCTION("""COMPUTED_VALUE"""),"sle")</f>
        <v>sle</v>
      </c>
      <c r="C14160" t="str">
        <f>IFERROR(__xludf.DUMMYFUNCTION("""COMPUTED_VALUE"""),"Sierra Leone")</f>
        <v>Sierra Leone</v>
      </c>
      <c r="D14160">
        <f>IFERROR(__xludf.DUMMYFUNCTION("""COMPUTED_VALUE"""),2001.0)</f>
        <v>2001</v>
      </c>
      <c r="E14160">
        <f>IFERROR(__xludf.DUMMYFUNCTION("""COMPUTED_VALUE"""),4739147.0)</f>
        <v>4739147</v>
      </c>
    </row>
    <row r="14161">
      <c r="A14161" t="str">
        <f t="shared" si="1"/>
        <v>sle#2002</v>
      </c>
      <c r="B14161" t="str">
        <f>IFERROR(__xludf.DUMMYFUNCTION("""COMPUTED_VALUE"""),"sle")</f>
        <v>sle</v>
      </c>
      <c r="C14161" t="str">
        <f>IFERROR(__xludf.DUMMYFUNCTION("""COMPUTED_VALUE"""),"Sierra Leone")</f>
        <v>Sierra Leone</v>
      </c>
      <c r="D14161">
        <f>IFERROR(__xludf.DUMMYFUNCTION("""COMPUTED_VALUE"""),2002.0)</f>
        <v>2002</v>
      </c>
      <c r="E14161">
        <f>IFERROR(__xludf.DUMMYFUNCTION("""COMPUTED_VALUE"""),4957216.0)</f>
        <v>4957216</v>
      </c>
    </row>
    <row r="14162">
      <c r="A14162" t="str">
        <f t="shared" si="1"/>
        <v>sle#2003</v>
      </c>
      <c r="B14162" t="str">
        <f>IFERROR(__xludf.DUMMYFUNCTION("""COMPUTED_VALUE"""),"sle")</f>
        <v>sle</v>
      </c>
      <c r="C14162" t="str">
        <f>IFERROR(__xludf.DUMMYFUNCTION("""COMPUTED_VALUE"""),"Sierra Leone")</f>
        <v>Sierra Leone</v>
      </c>
      <c r="D14162">
        <f>IFERROR(__xludf.DUMMYFUNCTION("""COMPUTED_VALUE"""),2003.0)</f>
        <v>2003</v>
      </c>
      <c r="E14162">
        <f>IFERROR(__xludf.DUMMYFUNCTION("""COMPUTED_VALUE"""),5199549.0)</f>
        <v>5199549</v>
      </c>
    </row>
    <row r="14163">
      <c r="A14163" t="str">
        <f t="shared" si="1"/>
        <v>sle#2004</v>
      </c>
      <c r="B14163" t="str">
        <f>IFERROR(__xludf.DUMMYFUNCTION("""COMPUTED_VALUE"""),"sle")</f>
        <v>sle</v>
      </c>
      <c r="C14163" t="str">
        <f>IFERROR(__xludf.DUMMYFUNCTION("""COMPUTED_VALUE"""),"Sierra Leone")</f>
        <v>Sierra Leone</v>
      </c>
      <c r="D14163">
        <f>IFERROR(__xludf.DUMMYFUNCTION("""COMPUTED_VALUE"""),2004.0)</f>
        <v>2004</v>
      </c>
      <c r="E14163">
        <f>IFERROR(__xludf.DUMMYFUNCTION("""COMPUTED_VALUE"""),5439695.0)</f>
        <v>5439695</v>
      </c>
    </row>
    <row r="14164">
      <c r="A14164" t="str">
        <f t="shared" si="1"/>
        <v>sle#2005</v>
      </c>
      <c r="B14164" t="str">
        <f>IFERROR(__xludf.DUMMYFUNCTION("""COMPUTED_VALUE"""),"sle")</f>
        <v>sle</v>
      </c>
      <c r="C14164" t="str">
        <f>IFERROR(__xludf.DUMMYFUNCTION("""COMPUTED_VALUE"""),"Sierra Leone")</f>
        <v>Sierra Leone</v>
      </c>
      <c r="D14164">
        <f>IFERROR(__xludf.DUMMYFUNCTION("""COMPUTED_VALUE"""),2005.0)</f>
        <v>2005</v>
      </c>
      <c r="E14164">
        <f>IFERROR(__xludf.DUMMYFUNCTION("""COMPUTED_VALUE"""),5658379.0)</f>
        <v>5658379</v>
      </c>
    </row>
    <row r="14165">
      <c r="A14165" t="str">
        <f t="shared" si="1"/>
        <v>sle#2006</v>
      </c>
      <c r="B14165" t="str">
        <f>IFERROR(__xludf.DUMMYFUNCTION("""COMPUTED_VALUE"""),"sle")</f>
        <v>sle</v>
      </c>
      <c r="C14165" t="str">
        <f>IFERROR(__xludf.DUMMYFUNCTION("""COMPUTED_VALUE"""),"Sierra Leone")</f>
        <v>Sierra Leone</v>
      </c>
      <c r="D14165">
        <f>IFERROR(__xludf.DUMMYFUNCTION("""COMPUTED_VALUE"""),2006.0)</f>
        <v>2006</v>
      </c>
      <c r="E14165">
        <f>IFERROR(__xludf.DUMMYFUNCTION("""COMPUTED_VALUE"""),5848692.0)</f>
        <v>5848692</v>
      </c>
    </row>
    <row r="14166">
      <c r="A14166" t="str">
        <f t="shared" si="1"/>
        <v>sle#2007</v>
      </c>
      <c r="B14166" t="str">
        <f>IFERROR(__xludf.DUMMYFUNCTION("""COMPUTED_VALUE"""),"sle")</f>
        <v>sle</v>
      </c>
      <c r="C14166" t="str">
        <f>IFERROR(__xludf.DUMMYFUNCTION("""COMPUTED_VALUE"""),"Sierra Leone")</f>
        <v>Sierra Leone</v>
      </c>
      <c r="D14166">
        <f>IFERROR(__xludf.DUMMYFUNCTION("""COMPUTED_VALUE"""),2007.0)</f>
        <v>2007</v>
      </c>
      <c r="E14166">
        <f>IFERROR(__xludf.DUMMYFUNCTION("""COMPUTED_VALUE"""),6015417.0)</f>
        <v>6015417</v>
      </c>
    </row>
    <row r="14167">
      <c r="A14167" t="str">
        <f t="shared" si="1"/>
        <v>sle#2008</v>
      </c>
      <c r="B14167" t="str">
        <f>IFERROR(__xludf.DUMMYFUNCTION("""COMPUTED_VALUE"""),"sle")</f>
        <v>sle</v>
      </c>
      <c r="C14167" t="str">
        <f>IFERROR(__xludf.DUMMYFUNCTION("""COMPUTED_VALUE"""),"Sierra Leone")</f>
        <v>Sierra Leone</v>
      </c>
      <c r="D14167">
        <f>IFERROR(__xludf.DUMMYFUNCTION("""COMPUTED_VALUE"""),2008.0)</f>
        <v>2008</v>
      </c>
      <c r="E14167">
        <f>IFERROR(__xludf.DUMMYFUNCTION("""COMPUTED_VALUE"""),6165372.0)</f>
        <v>6165372</v>
      </c>
    </row>
    <row r="14168">
      <c r="A14168" t="str">
        <f t="shared" si="1"/>
        <v>sle#2009</v>
      </c>
      <c r="B14168" t="str">
        <f>IFERROR(__xludf.DUMMYFUNCTION("""COMPUTED_VALUE"""),"sle")</f>
        <v>sle</v>
      </c>
      <c r="C14168" t="str">
        <f>IFERROR(__xludf.DUMMYFUNCTION("""COMPUTED_VALUE"""),"Sierra Leone")</f>
        <v>Sierra Leone</v>
      </c>
      <c r="D14168">
        <f>IFERROR(__xludf.DUMMYFUNCTION("""COMPUTED_VALUE"""),2009.0)</f>
        <v>2009</v>
      </c>
      <c r="E14168">
        <f>IFERROR(__xludf.DUMMYFUNCTION("""COMPUTED_VALUE"""),6310260.0)</f>
        <v>6310260</v>
      </c>
    </row>
    <row r="14169">
      <c r="A14169" t="str">
        <f t="shared" si="1"/>
        <v>sle#2010</v>
      </c>
      <c r="B14169" t="str">
        <f>IFERROR(__xludf.DUMMYFUNCTION("""COMPUTED_VALUE"""),"sle")</f>
        <v>sle</v>
      </c>
      <c r="C14169" t="str">
        <f>IFERROR(__xludf.DUMMYFUNCTION("""COMPUTED_VALUE"""),"Sierra Leone")</f>
        <v>Sierra Leone</v>
      </c>
      <c r="D14169">
        <f>IFERROR(__xludf.DUMMYFUNCTION("""COMPUTED_VALUE"""),2010.0)</f>
        <v>2010</v>
      </c>
      <c r="E14169">
        <f>IFERROR(__xludf.DUMMYFUNCTION("""COMPUTED_VALUE"""),6458720.0)</f>
        <v>6458720</v>
      </c>
    </row>
    <row r="14170">
      <c r="A14170" t="str">
        <f t="shared" si="1"/>
        <v>sle#2011</v>
      </c>
      <c r="B14170" t="str">
        <f>IFERROR(__xludf.DUMMYFUNCTION("""COMPUTED_VALUE"""),"sle")</f>
        <v>sle</v>
      </c>
      <c r="C14170" t="str">
        <f>IFERROR(__xludf.DUMMYFUNCTION("""COMPUTED_VALUE"""),"Sierra Leone")</f>
        <v>Sierra Leone</v>
      </c>
      <c r="D14170">
        <f>IFERROR(__xludf.DUMMYFUNCTION("""COMPUTED_VALUE"""),2011.0)</f>
        <v>2011</v>
      </c>
      <c r="E14170">
        <f>IFERROR(__xludf.DUMMYFUNCTION("""COMPUTED_VALUE"""),6611692.0)</f>
        <v>6611692</v>
      </c>
    </row>
    <row r="14171">
      <c r="A14171" t="str">
        <f t="shared" si="1"/>
        <v>sle#2012</v>
      </c>
      <c r="B14171" t="str">
        <f>IFERROR(__xludf.DUMMYFUNCTION("""COMPUTED_VALUE"""),"sle")</f>
        <v>sle</v>
      </c>
      <c r="C14171" t="str">
        <f>IFERROR(__xludf.DUMMYFUNCTION("""COMPUTED_VALUE"""),"Sierra Leone")</f>
        <v>Sierra Leone</v>
      </c>
      <c r="D14171">
        <f>IFERROR(__xludf.DUMMYFUNCTION("""COMPUTED_VALUE"""),2012.0)</f>
        <v>2012</v>
      </c>
      <c r="E14171">
        <f>IFERROR(__xludf.DUMMYFUNCTION("""COMPUTED_VALUE"""),6766103.0)</f>
        <v>6766103</v>
      </c>
    </row>
    <row r="14172">
      <c r="A14172" t="str">
        <f t="shared" si="1"/>
        <v>sle#2013</v>
      </c>
      <c r="B14172" t="str">
        <f>IFERROR(__xludf.DUMMYFUNCTION("""COMPUTED_VALUE"""),"sle")</f>
        <v>sle</v>
      </c>
      <c r="C14172" t="str">
        <f>IFERROR(__xludf.DUMMYFUNCTION("""COMPUTED_VALUE"""),"Sierra Leone")</f>
        <v>Sierra Leone</v>
      </c>
      <c r="D14172">
        <f>IFERROR(__xludf.DUMMYFUNCTION("""COMPUTED_VALUE"""),2013.0)</f>
        <v>2013</v>
      </c>
      <c r="E14172">
        <f>IFERROR(__xludf.DUMMYFUNCTION("""COMPUTED_VALUE"""),6922079.0)</f>
        <v>6922079</v>
      </c>
    </row>
    <row r="14173">
      <c r="A14173" t="str">
        <f t="shared" si="1"/>
        <v>sle#2014</v>
      </c>
      <c r="B14173" t="str">
        <f>IFERROR(__xludf.DUMMYFUNCTION("""COMPUTED_VALUE"""),"sle")</f>
        <v>sle</v>
      </c>
      <c r="C14173" t="str">
        <f>IFERROR(__xludf.DUMMYFUNCTION("""COMPUTED_VALUE"""),"Sierra Leone")</f>
        <v>Sierra Leone</v>
      </c>
      <c r="D14173">
        <f>IFERROR(__xludf.DUMMYFUNCTION("""COMPUTED_VALUE"""),2014.0)</f>
        <v>2014</v>
      </c>
      <c r="E14173">
        <f>IFERROR(__xludf.DUMMYFUNCTION("""COMPUTED_VALUE"""),7079162.0)</f>
        <v>7079162</v>
      </c>
    </row>
    <row r="14174">
      <c r="A14174" t="str">
        <f t="shared" si="1"/>
        <v>sle#2015</v>
      </c>
      <c r="B14174" t="str">
        <f>IFERROR(__xludf.DUMMYFUNCTION("""COMPUTED_VALUE"""),"sle")</f>
        <v>sle</v>
      </c>
      <c r="C14174" t="str">
        <f>IFERROR(__xludf.DUMMYFUNCTION("""COMPUTED_VALUE"""),"Sierra Leone")</f>
        <v>Sierra Leone</v>
      </c>
      <c r="D14174">
        <f>IFERROR(__xludf.DUMMYFUNCTION("""COMPUTED_VALUE"""),2015.0)</f>
        <v>2015</v>
      </c>
      <c r="E14174">
        <f>IFERROR(__xludf.DUMMYFUNCTION("""COMPUTED_VALUE"""),7237025.0)</f>
        <v>7237025</v>
      </c>
    </row>
    <row r="14175">
      <c r="A14175" t="str">
        <f t="shared" si="1"/>
        <v>sle#2016</v>
      </c>
      <c r="B14175" t="str">
        <f>IFERROR(__xludf.DUMMYFUNCTION("""COMPUTED_VALUE"""),"sle")</f>
        <v>sle</v>
      </c>
      <c r="C14175" t="str">
        <f>IFERROR(__xludf.DUMMYFUNCTION("""COMPUTED_VALUE"""),"Sierra Leone")</f>
        <v>Sierra Leone</v>
      </c>
      <c r="D14175">
        <f>IFERROR(__xludf.DUMMYFUNCTION("""COMPUTED_VALUE"""),2016.0)</f>
        <v>2016</v>
      </c>
      <c r="E14175">
        <f>IFERROR(__xludf.DUMMYFUNCTION("""COMPUTED_VALUE"""),7396190.0)</f>
        <v>7396190</v>
      </c>
    </row>
    <row r="14176">
      <c r="A14176" t="str">
        <f t="shared" si="1"/>
        <v>sle#2017</v>
      </c>
      <c r="B14176" t="str">
        <f>IFERROR(__xludf.DUMMYFUNCTION("""COMPUTED_VALUE"""),"sle")</f>
        <v>sle</v>
      </c>
      <c r="C14176" t="str">
        <f>IFERROR(__xludf.DUMMYFUNCTION("""COMPUTED_VALUE"""),"Sierra Leone")</f>
        <v>Sierra Leone</v>
      </c>
      <c r="D14176">
        <f>IFERROR(__xludf.DUMMYFUNCTION("""COMPUTED_VALUE"""),2017.0)</f>
        <v>2017</v>
      </c>
      <c r="E14176">
        <f>IFERROR(__xludf.DUMMYFUNCTION("""COMPUTED_VALUE"""),7557212.0)</f>
        <v>7557212</v>
      </c>
    </row>
    <row r="14177">
      <c r="A14177" t="str">
        <f t="shared" si="1"/>
        <v>sle#2018</v>
      </c>
      <c r="B14177" t="str">
        <f>IFERROR(__xludf.DUMMYFUNCTION("""COMPUTED_VALUE"""),"sle")</f>
        <v>sle</v>
      </c>
      <c r="C14177" t="str">
        <f>IFERROR(__xludf.DUMMYFUNCTION("""COMPUTED_VALUE"""),"Sierra Leone")</f>
        <v>Sierra Leone</v>
      </c>
      <c r="D14177">
        <f>IFERROR(__xludf.DUMMYFUNCTION("""COMPUTED_VALUE"""),2018.0)</f>
        <v>2018</v>
      </c>
      <c r="E14177">
        <f>IFERROR(__xludf.DUMMYFUNCTION("""COMPUTED_VALUE"""),7719729.0)</f>
        <v>7719729</v>
      </c>
    </row>
    <row r="14178">
      <c r="A14178" t="str">
        <f t="shared" si="1"/>
        <v>sle#2019</v>
      </c>
      <c r="B14178" t="str">
        <f>IFERROR(__xludf.DUMMYFUNCTION("""COMPUTED_VALUE"""),"sle")</f>
        <v>sle</v>
      </c>
      <c r="C14178" t="str">
        <f>IFERROR(__xludf.DUMMYFUNCTION("""COMPUTED_VALUE"""),"Sierra Leone")</f>
        <v>Sierra Leone</v>
      </c>
      <c r="D14178">
        <f>IFERROR(__xludf.DUMMYFUNCTION("""COMPUTED_VALUE"""),2019.0)</f>
        <v>2019</v>
      </c>
      <c r="E14178">
        <f>IFERROR(__xludf.DUMMYFUNCTION("""COMPUTED_VALUE"""),7883123.0)</f>
        <v>7883123</v>
      </c>
    </row>
    <row r="14179">
      <c r="A14179" t="str">
        <f t="shared" si="1"/>
        <v>sle#2020</v>
      </c>
      <c r="B14179" t="str">
        <f>IFERROR(__xludf.DUMMYFUNCTION("""COMPUTED_VALUE"""),"sle")</f>
        <v>sle</v>
      </c>
      <c r="C14179" t="str">
        <f>IFERROR(__xludf.DUMMYFUNCTION("""COMPUTED_VALUE"""),"Sierra Leone")</f>
        <v>Sierra Leone</v>
      </c>
      <c r="D14179">
        <f>IFERROR(__xludf.DUMMYFUNCTION("""COMPUTED_VALUE"""),2020.0)</f>
        <v>2020</v>
      </c>
      <c r="E14179">
        <f>IFERROR(__xludf.DUMMYFUNCTION("""COMPUTED_VALUE"""),8046931.0)</f>
        <v>8046931</v>
      </c>
    </row>
    <row r="14180">
      <c r="A14180" t="str">
        <f t="shared" si="1"/>
        <v>sle#2021</v>
      </c>
      <c r="B14180" t="str">
        <f>IFERROR(__xludf.DUMMYFUNCTION("""COMPUTED_VALUE"""),"sle")</f>
        <v>sle</v>
      </c>
      <c r="C14180" t="str">
        <f>IFERROR(__xludf.DUMMYFUNCTION("""COMPUTED_VALUE"""),"Sierra Leone")</f>
        <v>Sierra Leone</v>
      </c>
      <c r="D14180">
        <f>IFERROR(__xludf.DUMMYFUNCTION("""COMPUTED_VALUE"""),2021.0)</f>
        <v>2021</v>
      </c>
      <c r="E14180">
        <f>IFERROR(__xludf.DUMMYFUNCTION("""COMPUTED_VALUE"""),8211069.0)</f>
        <v>8211069</v>
      </c>
    </row>
    <row r="14181">
      <c r="A14181" t="str">
        <f t="shared" si="1"/>
        <v>sle#2022</v>
      </c>
      <c r="B14181" t="str">
        <f>IFERROR(__xludf.DUMMYFUNCTION("""COMPUTED_VALUE"""),"sle")</f>
        <v>sle</v>
      </c>
      <c r="C14181" t="str">
        <f>IFERROR(__xludf.DUMMYFUNCTION("""COMPUTED_VALUE"""),"Sierra Leone")</f>
        <v>Sierra Leone</v>
      </c>
      <c r="D14181">
        <f>IFERROR(__xludf.DUMMYFUNCTION("""COMPUTED_VALUE"""),2022.0)</f>
        <v>2022</v>
      </c>
      <c r="E14181">
        <f>IFERROR(__xludf.DUMMYFUNCTION("""COMPUTED_VALUE"""),8375679.0)</f>
        <v>8375679</v>
      </c>
    </row>
    <row r="14182">
      <c r="A14182" t="str">
        <f t="shared" si="1"/>
        <v>sle#2023</v>
      </c>
      <c r="B14182" t="str">
        <f>IFERROR(__xludf.DUMMYFUNCTION("""COMPUTED_VALUE"""),"sle")</f>
        <v>sle</v>
      </c>
      <c r="C14182" t="str">
        <f>IFERROR(__xludf.DUMMYFUNCTION("""COMPUTED_VALUE"""),"Sierra Leone")</f>
        <v>Sierra Leone</v>
      </c>
      <c r="D14182">
        <f>IFERROR(__xludf.DUMMYFUNCTION("""COMPUTED_VALUE"""),2023.0)</f>
        <v>2023</v>
      </c>
      <c r="E14182">
        <f>IFERROR(__xludf.DUMMYFUNCTION("""COMPUTED_VALUE"""),8540920.0)</f>
        <v>8540920</v>
      </c>
    </row>
    <row r="14183">
      <c r="A14183" t="str">
        <f t="shared" si="1"/>
        <v>sle#2024</v>
      </c>
      <c r="B14183" t="str">
        <f>IFERROR(__xludf.DUMMYFUNCTION("""COMPUTED_VALUE"""),"sle")</f>
        <v>sle</v>
      </c>
      <c r="C14183" t="str">
        <f>IFERROR(__xludf.DUMMYFUNCTION("""COMPUTED_VALUE"""),"Sierra Leone")</f>
        <v>Sierra Leone</v>
      </c>
      <c r="D14183">
        <f>IFERROR(__xludf.DUMMYFUNCTION("""COMPUTED_VALUE"""),2024.0)</f>
        <v>2024</v>
      </c>
      <c r="E14183">
        <f>IFERROR(__xludf.DUMMYFUNCTION("""COMPUTED_VALUE"""),8706972.0)</f>
        <v>8706972</v>
      </c>
    </row>
    <row r="14184">
      <c r="A14184" t="str">
        <f t="shared" si="1"/>
        <v>sle#2025</v>
      </c>
      <c r="B14184" t="str">
        <f>IFERROR(__xludf.DUMMYFUNCTION("""COMPUTED_VALUE"""),"sle")</f>
        <v>sle</v>
      </c>
      <c r="C14184" t="str">
        <f>IFERROR(__xludf.DUMMYFUNCTION("""COMPUTED_VALUE"""),"Sierra Leone")</f>
        <v>Sierra Leone</v>
      </c>
      <c r="D14184">
        <f>IFERROR(__xludf.DUMMYFUNCTION("""COMPUTED_VALUE"""),2025.0)</f>
        <v>2025</v>
      </c>
      <c r="E14184">
        <f>IFERROR(__xludf.DUMMYFUNCTION("""COMPUTED_VALUE"""),8873984.0)</f>
        <v>8873984</v>
      </c>
    </row>
    <row r="14185">
      <c r="A14185" t="str">
        <f t="shared" si="1"/>
        <v>sle#2026</v>
      </c>
      <c r="B14185" t="str">
        <f>IFERROR(__xludf.DUMMYFUNCTION("""COMPUTED_VALUE"""),"sle")</f>
        <v>sle</v>
      </c>
      <c r="C14185" t="str">
        <f>IFERROR(__xludf.DUMMYFUNCTION("""COMPUTED_VALUE"""),"Sierra Leone")</f>
        <v>Sierra Leone</v>
      </c>
      <c r="D14185">
        <f>IFERROR(__xludf.DUMMYFUNCTION("""COMPUTED_VALUE"""),2026.0)</f>
        <v>2026</v>
      </c>
      <c r="E14185">
        <f>IFERROR(__xludf.DUMMYFUNCTION("""COMPUTED_VALUE"""),9041924.0)</f>
        <v>9041924</v>
      </c>
    </row>
    <row r="14186">
      <c r="A14186" t="str">
        <f t="shared" si="1"/>
        <v>sle#2027</v>
      </c>
      <c r="B14186" t="str">
        <f>IFERROR(__xludf.DUMMYFUNCTION("""COMPUTED_VALUE"""),"sle")</f>
        <v>sle</v>
      </c>
      <c r="C14186" t="str">
        <f>IFERROR(__xludf.DUMMYFUNCTION("""COMPUTED_VALUE"""),"Sierra Leone")</f>
        <v>Sierra Leone</v>
      </c>
      <c r="D14186">
        <f>IFERROR(__xludf.DUMMYFUNCTION("""COMPUTED_VALUE"""),2027.0)</f>
        <v>2027</v>
      </c>
      <c r="E14186">
        <f>IFERROR(__xludf.DUMMYFUNCTION("""COMPUTED_VALUE"""),9210650.0)</f>
        <v>9210650</v>
      </c>
    </row>
    <row r="14187">
      <c r="A14187" t="str">
        <f t="shared" si="1"/>
        <v>sle#2028</v>
      </c>
      <c r="B14187" t="str">
        <f>IFERROR(__xludf.DUMMYFUNCTION("""COMPUTED_VALUE"""),"sle")</f>
        <v>sle</v>
      </c>
      <c r="C14187" t="str">
        <f>IFERROR(__xludf.DUMMYFUNCTION("""COMPUTED_VALUE"""),"Sierra Leone")</f>
        <v>Sierra Leone</v>
      </c>
      <c r="D14187">
        <f>IFERROR(__xludf.DUMMYFUNCTION("""COMPUTED_VALUE"""),2028.0)</f>
        <v>2028</v>
      </c>
      <c r="E14187">
        <f>IFERROR(__xludf.DUMMYFUNCTION("""COMPUTED_VALUE"""),9379980.0)</f>
        <v>9379980</v>
      </c>
    </row>
    <row r="14188">
      <c r="A14188" t="str">
        <f t="shared" si="1"/>
        <v>sle#2029</v>
      </c>
      <c r="B14188" t="str">
        <f>IFERROR(__xludf.DUMMYFUNCTION("""COMPUTED_VALUE"""),"sle")</f>
        <v>sle</v>
      </c>
      <c r="C14188" t="str">
        <f>IFERROR(__xludf.DUMMYFUNCTION("""COMPUTED_VALUE"""),"Sierra Leone")</f>
        <v>Sierra Leone</v>
      </c>
      <c r="D14188">
        <f>IFERROR(__xludf.DUMMYFUNCTION("""COMPUTED_VALUE"""),2029.0)</f>
        <v>2029</v>
      </c>
      <c r="E14188">
        <f>IFERROR(__xludf.DUMMYFUNCTION("""COMPUTED_VALUE"""),9549678.0)</f>
        <v>9549678</v>
      </c>
    </row>
    <row r="14189">
      <c r="A14189" t="str">
        <f t="shared" si="1"/>
        <v>sle#2030</v>
      </c>
      <c r="B14189" t="str">
        <f>IFERROR(__xludf.DUMMYFUNCTION("""COMPUTED_VALUE"""),"sle")</f>
        <v>sle</v>
      </c>
      <c r="C14189" t="str">
        <f>IFERROR(__xludf.DUMMYFUNCTION("""COMPUTED_VALUE"""),"Sierra Leone")</f>
        <v>Sierra Leone</v>
      </c>
      <c r="D14189">
        <f>IFERROR(__xludf.DUMMYFUNCTION("""COMPUTED_VALUE"""),2030.0)</f>
        <v>2030</v>
      </c>
      <c r="E14189">
        <f>IFERROR(__xludf.DUMMYFUNCTION("""COMPUTED_VALUE"""),9719531.0)</f>
        <v>9719531</v>
      </c>
    </row>
    <row r="14190">
      <c r="A14190" t="str">
        <f t="shared" si="1"/>
        <v>sle#2031</v>
      </c>
      <c r="B14190" t="str">
        <f>IFERROR(__xludf.DUMMYFUNCTION("""COMPUTED_VALUE"""),"sle")</f>
        <v>sle</v>
      </c>
      <c r="C14190" t="str">
        <f>IFERROR(__xludf.DUMMYFUNCTION("""COMPUTED_VALUE"""),"Sierra Leone")</f>
        <v>Sierra Leone</v>
      </c>
      <c r="D14190">
        <f>IFERROR(__xludf.DUMMYFUNCTION("""COMPUTED_VALUE"""),2031.0)</f>
        <v>2031</v>
      </c>
      <c r="E14190">
        <f>IFERROR(__xludf.DUMMYFUNCTION("""COMPUTED_VALUE"""),9889414.0)</f>
        <v>9889414</v>
      </c>
    </row>
    <row r="14191">
      <c r="A14191" t="str">
        <f t="shared" si="1"/>
        <v>sle#2032</v>
      </c>
      <c r="B14191" t="str">
        <f>IFERROR(__xludf.DUMMYFUNCTION("""COMPUTED_VALUE"""),"sle")</f>
        <v>sle</v>
      </c>
      <c r="C14191" t="str">
        <f>IFERROR(__xludf.DUMMYFUNCTION("""COMPUTED_VALUE"""),"Sierra Leone")</f>
        <v>Sierra Leone</v>
      </c>
      <c r="D14191">
        <f>IFERROR(__xludf.DUMMYFUNCTION("""COMPUTED_VALUE"""),2032.0)</f>
        <v>2032</v>
      </c>
      <c r="E14191">
        <f>IFERROR(__xludf.DUMMYFUNCTION("""COMPUTED_VALUE"""),1.0059265E7)</f>
        <v>10059265</v>
      </c>
    </row>
    <row r="14192">
      <c r="A14192" t="str">
        <f t="shared" si="1"/>
        <v>sle#2033</v>
      </c>
      <c r="B14192" t="str">
        <f>IFERROR(__xludf.DUMMYFUNCTION("""COMPUTED_VALUE"""),"sle")</f>
        <v>sle</v>
      </c>
      <c r="C14192" t="str">
        <f>IFERROR(__xludf.DUMMYFUNCTION("""COMPUTED_VALUE"""),"Sierra Leone")</f>
        <v>Sierra Leone</v>
      </c>
      <c r="D14192">
        <f>IFERROR(__xludf.DUMMYFUNCTION("""COMPUTED_VALUE"""),2033.0)</f>
        <v>2033</v>
      </c>
      <c r="E14192">
        <f>IFERROR(__xludf.DUMMYFUNCTION("""COMPUTED_VALUE"""),1.0228964E7)</f>
        <v>10228964</v>
      </c>
    </row>
    <row r="14193">
      <c r="A14193" t="str">
        <f t="shared" si="1"/>
        <v>sle#2034</v>
      </c>
      <c r="B14193" t="str">
        <f>IFERROR(__xludf.DUMMYFUNCTION("""COMPUTED_VALUE"""),"sle")</f>
        <v>sle</v>
      </c>
      <c r="C14193" t="str">
        <f>IFERROR(__xludf.DUMMYFUNCTION("""COMPUTED_VALUE"""),"Sierra Leone")</f>
        <v>Sierra Leone</v>
      </c>
      <c r="D14193">
        <f>IFERROR(__xludf.DUMMYFUNCTION("""COMPUTED_VALUE"""),2034.0)</f>
        <v>2034</v>
      </c>
      <c r="E14193">
        <f>IFERROR(__xludf.DUMMYFUNCTION("""COMPUTED_VALUE"""),1.0398417E7)</f>
        <v>10398417</v>
      </c>
    </row>
    <row r="14194">
      <c r="A14194" t="str">
        <f t="shared" si="1"/>
        <v>sle#2035</v>
      </c>
      <c r="B14194" t="str">
        <f>IFERROR(__xludf.DUMMYFUNCTION("""COMPUTED_VALUE"""),"sle")</f>
        <v>sle</v>
      </c>
      <c r="C14194" t="str">
        <f>IFERROR(__xludf.DUMMYFUNCTION("""COMPUTED_VALUE"""),"Sierra Leone")</f>
        <v>Sierra Leone</v>
      </c>
      <c r="D14194">
        <f>IFERROR(__xludf.DUMMYFUNCTION("""COMPUTED_VALUE"""),2035.0)</f>
        <v>2035</v>
      </c>
      <c r="E14194">
        <f>IFERROR(__xludf.DUMMYFUNCTION("""COMPUTED_VALUE"""),1.0567515E7)</f>
        <v>10567515</v>
      </c>
    </row>
    <row r="14195">
      <c r="A14195" t="str">
        <f t="shared" si="1"/>
        <v>sle#2036</v>
      </c>
      <c r="B14195" t="str">
        <f>IFERROR(__xludf.DUMMYFUNCTION("""COMPUTED_VALUE"""),"sle")</f>
        <v>sle</v>
      </c>
      <c r="C14195" t="str">
        <f>IFERROR(__xludf.DUMMYFUNCTION("""COMPUTED_VALUE"""),"Sierra Leone")</f>
        <v>Sierra Leone</v>
      </c>
      <c r="D14195">
        <f>IFERROR(__xludf.DUMMYFUNCTION("""COMPUTED_VALUE"""),2036.0)</f>
        <v>2036</v>
      </c>
      <c r="E14195">
        <f>IFERROR(__xludf.DUMMYFUNCTION("""COMPUTED_VALUE"""),1.0736157E7)</f>
        <v>10736157</v>
      </c>
    </row>
    <row r="14196">
      <c r="A14196" t="str">
        <f t="shared" si="1"/>
        <v>sle#2037</v>
      </c>
      <c r="B14196" t="str">
        <f>IFERROR(__xludf.DUMMYFUNCTION("""COMPUTED_VALUE"""),"sle")</f>
        <v>sle</v>
      </c>
      <c r="C14196" t="str">
        <f>IFERROR(__xludf.DUMMYFUNCTION("""COMPUTED_VALUE"""),"Sierra Leone")</f>
        <v>Sierra Leone</v>
      </c>
      <c r="D14196">
        <f>IFERROR(__xludf.DUMMYFUNCTION("""COMPUTED_VALUE"""),2037.0)</f>
        <v>2037</v>
      </c>
      <c r="E14196">
        <f>IFERROR(__xludf.DUMMYFUNCTION("""COMPUTED_VALUE"""),1.09042E7)</f>
        <v>10904200</v>
      </c>
    </row>
    <row r="14197">
      <c r="A14197" t="str">
        <f t="shared" si="1"/>
        <v>sle#2038</v>
      </c>
      <c r="B14197" t="str">
        <f>IFERROR(__xludf.DUMMYFUNCTION("""COMPUTED_VALUE"""),"sle")</f>
        <v>sle</v>
      </c>
      <c r="C14197" t="str">
        <f>IFERROR(__xludf.DUMMYFUNCTION("""COMPUTED_VALUE"""),"Sierra Leone")</f>
        <v>Sierra Leone</v>
      </c>
      <c r="D14197">
        <f>IFERROR(__xludf.DUMMYFUNCTION("""COMPUTED_VALUE"""),2038.0)</f>
        <v>2038</v>
      </c>
      <c r="E14197">
        <f>IFERROR(__xludf.DUMMYFUNCTION("""COMPUTED_VALUE"""),1.1071477E7)</f>
        <v>11071477</v>
      </c>
    </row>
    <row r="14198">
      <c r="A14198" t="str">
        <f t="shared" si="1"/>
        <v>sle#2039</v>
      </c>
      <c r="B14198" t="str">
        <f>IFERROR(__xludf.DUMMYFUNCTION("""COMPUTED_VALUE"""),"sle")</f>
        <v>sle</v>
      </c>
      <c r="C14198" t="str">
        <f>IFERROR(__xludf.DUMMYFUNCTION("""COMPUTED_VALUE"""),"Sierra Leone")</f>
        <v>Sierra Leone</v>
      </c>
      <c r="D14198">
        <f>IFERROR(__xludf.DUMMYFUNCTION("""COMPUTED_VALUE"""),2039.0)</f>
        <v>2039</v>
      </c>
      <c r="E14198">
        <f>IFERROR(__xludf.DUMMYFUNCTION("""COMPUTED_VALUE"""),1.1237831E7)</f>
        <v>11237831</v>
      </c>
    </row>
    <row r="14199">
      <c r="A14199" t="str">
        <f t="shared" si="1"/>
        <v>sle#2040</v>
      </c>
      <c r="B14199" t="str">
        <f>IFERROR(__xludf.DUMMYFUNCTION("""COMPUTED_VALUE"""),"sle")</f>
        <v>sle</v>
      </c>
      <c r="C14199" t="str">
        <f>IFERROR(__xludf.DUMMYFUNCTION("""COMPUTED_VALUE"""),"Sierra Leone")</f>
        <v>Sierra Leone</v>
      </c>
      <c r="D14199">
        <f>IFERROR(__xludf.DUMMYFUNCTION("""COMPUTED_VALUE"""),2040.0)</f>
        <v>2040</v>
      </c>
      <c r="E14199">
        <f>IFERROR(__xludf.DUMMYFUNCTION("""COMPUTED_VALUE"""),1.1403087E7)</f>
        <v>11403087</v>
      </c>
    </row>
    <row r="14200">
      <c r="A14200" t="str">
        <f t="shared" si="1"/>
        <v>sgp#1950</v>
      </c>
      <c r="B14200" t="str">
        <f>IFERROR(__xludf.DUMMYFUNCTION("""COMPUTED_VALUE"""),"sgp")</f>
        <v>sgp</v>
      </c>
      <c r="C14200" t="str">
        <f>IFERROR(__xludf.DUMMYFUNCTION("""COMPUTED_VALUE"""),"Singapore")</f>
        <v>Singapore</v>
      </c>
      <c r="D14200">
        <f>IFERROR(__xludf.DUMMYFUNCTION("""COMPUTED_VALUE"""),1950.0)</f>
        <v>1950</v>
      </c>
      <c r="E14200">
        <f>IFERROR(__xludf.DUMMYFUNCTION("""COMPUTED_VALUE"""),1022096.0)</f>
        <v>1022096</v>
      </c>
    </row>
    <row r="14201">
      <c r="A14201" t="str">
        <f t="shared" si="1"/>
        <v>sgp#1951</v>
      </c>
      <c r="B14201" t="str">
        <f>IFERROR(__xludf.DUMMYFUNCTION("""COMPUTED_VALUE"""),"sgp")</f>
        <v>sgp</v>
      </c>
      <c r="C14201" t="str">
        <f>IFERROR(__xludf.DUMMYFUNCTION("""COMPUTED_VALUE"""),"Singapore")</f>
        <v>Singapore</v>
      </c>
      <c r="D14201">
        <f>IFERROR(__xludf.DUMMYFUNCTION("""COMPUTED_VALUE"""),1951.0)</f>
        <v>1951</v>
      </c>
      <c r="E14201">
        <f>IFERROR(__xludf.DUMMYFUNCTION("""COMPUTED_VALUE"""),1067794.0)</f>
        <v>1067794</v>
      </c>
    </row>
    <row r="14202">
      <c r="A14202" t="str">
        <f t="shared" si="1"/>
        <v>sgp#1952</v>
      </c>
      <c r="B14202" t="str">
        <f>IFERROR(__xludf.DUMMYFUNCTION("""COMPUTED_VALUE"""),"sgp")</f>
        <v>sgp</v>
      </c>
      <c r="C14202" t="str">
        <f>IFERROR(__xludf.DUMMYFUNCTION("""COMPUTED_VALUE"""),"Singapore")</f>
        <v>Singapore</v>
      </c>
      <c r="D14202">
        <f>IFERROR(__xludf.DUMMYFUNCTION("""COMPUTED_VALUE"""),1952.0)</f>
        <v>1952</v>
      </c>
      <c r="E14202">
        <f>IFERROR(__xludf.DUMMYFUNCTION("""COMPUTED_VALUE"""),1119934.0)</f>
        <v>1119934</v>
      </c>
    </row>
    <row r="14203">
      <c r="A14203" t="str">
        <f t="shared" si="1"/>
        <v>sgp#1953</v>
      </c>
      <c r="B14203" t="str">
        <f>IFERROR(__xludf.DUMMYFUNCTION("""COMPUTED_VALUE"""),"sgp")</f>
        <v>sgp</v>
      </c>
      <c r="C14203" t="str">
        <f>IFERROR(__xludf.DUMMYFUNCTION("""COMPUTED_VALUE"""),"Singapore")</f>
        <v>Singapore</v>
      </c>
      <c r="D14203">
        <f>IFERROR(__xludf.DUMMYFUNCTION("""COMPUTED_VALUE"""),1953.0)</f>
        <v>1953</v>
      </c>
      <c r="E14203">
        <f>IFERROR(__xludf.DUMMYFUNCTION("""COMPUTED_VALUE"""),1177575.0)</f>
        <v>1177575</v>
      </c>
    </row>
    <row r="14204">
      <c r="A14204" t="str">
        <f t="shared" si="1"/>
        <v>sgp#1954</v>
      </c>
      <c r="B14204" t="str">
        <f>IFERROR(__xludf.DUMMYFUNCTION("""COMPUTED_VALUE"""),"sgp")</f>
        <v>sgp</v>
      </c>
      <c r="C14204" t="str">
        <f>IFERROR(__xludf.DUMMYFUNCTION("""COMPUTED_VALUE"""),"Singapore")</f>
        <v>Singapore</v>
      </c>
      <c r="D14204">
        <f>IFERROR(__xludf.DUMMYFUNCTION("""COMPUTED_VALUE"""),1954.0)</f>
        <v>1954</v>
      </c>
      <c r="E14204">
        <f>IFERROR(__xludf.DUMMYFUNCTION("""COMPUTED_VALUE"""),1239681.0)</f>
        <v>1239681</v>
      </c>
    </row>
    <row r="14205">
      <c r="A14205" t="str">
        <f t="shared" si="1"/>
        <v>sgp#1955</v>
      </c>
      <c r="B14205" t="str">
        <f>IFERROR(__xludf.DUMMYFUNCTION("""COMPUTED_VALUE"""),"sgp")</f>
        <v>sgp</v>
      </c>
      <c r="C14205" t="str">
        <f>IFERROR(__xludf.DUMMYFUNCTION("""COMPUTED_VALUE"""),"Singapore")</f>
        <v>Singapore</v>
      </c>
      <c r="D14205">
        <f>IFERROR(__xludf.DUMMYFUNCTION("""COMPUTED_VALUE"""),1955.0)</f>
        <v>1955</v>
      </c>
      <c r="E14205">
        <f>IFERROR(__xludf.DUMMYFUNCTION("""COMPUTED_VALUE"""),1305091.0)</f>
        <v>1305091</v>
      </c>
    </row>
    <row r="14206">
      <c r="A14206" t="str">
        <f t="shared" si="1"/>
        <v>sgp#1956</v>
      </c>
      <c r="B14206" t="str">
        <f>IFERROR(__xludf.DUMMYFUNCTION("""COMPUTED_VALUE"""),"sgp")</f>
        <v>sgp</v>
      </c>
      <c r="C14206" t="str">
        <f>IFERROR(__xludf.DUMMYFUNCTION("""COMPUTED_VALUE"""),"Singapore")</f>
        <v>Singapore</v>
      </c>
      <c r="D14206">
        <f>IFERROR(__xludf.DUMMYFUNCTION("""COMPUTED_VALUE"""),1956.0)</f>
        <v>1956</v>
      </c>
      <c r="E14206">
        <f>IFERROR(__xludf.DUMMYFUNCTION("""COMPUTED_VALUE"""),1372489.0)</f>
        <v>1372489</v>
      </c>
    </row>
    <row r="14207">
      <c r="A14207" t="str">
        <f t="shared" si="1"/>
        <v>sgp#1957</v>
      </c>
      <c r="B14207" t="str">
        <f>IFERROR(__xludf.DUMMYFUNCTION("""COMPUTED_VALUE"""),"sgp")</f>
        <v>sgp</v>
      </c>
      <c r="C14207" t="str">
        <f>IFERROR(__xludf.DUMMYFUNCTION("""COMPUTED_VALUE"""),"Singapore")</f>
        <v>Singapore</v>
      </c>
      <c r="D14207">
        <f>IFERROR(__xludf.DUMMYFUNCTION("""COMPUTED_VALUE"""),1957.0)</f>
        <v>1957</v>
      </c>
      <c r="E14207">
        <f>IFERROR(__xludf.DUMMYFUNCTION("""COMPUTED_VALUE"""),1440459.0)</f>
        <v>1440459</v>
      </c>
    </row>
    <row r="14208">
      <c r="A14208" t="str">
        <f t="shared" si="1"/>
        <v>sgp#1958</v>
      </c>
      <c r="B14208" t="str">
        <f>IFERROR(__xludf.DUMMYFUNCTION("""COMPUTED_VALUE"""),"sgp")</f>
        <v>sgp</v>
      </c>
      <c r="C14208" t="str">
        <f>IFERROR(__xludf.DUMMYFUNCTION("""COMPUTED_VALUE"""),"Singapore")</f>
        <v>Singapore</v>
      </c>
      <c r="D14208">
        <f>IFERROR(__xludf.DUMMYFUNCTION("""COMPUTED_VALUE"""),1958.0)</f>
        <v>1958</v>
      </c>
      <c r="E14208">
        <f>IFERROR(__xludf.DUMMYFUNCTION("""COMPUTED_VALUE"""),1507512.0)</f>
        <v>1507512</v>
      </c>
    </row>
    <row r="14209">
      <c r="A14209" t="str">
        <f t="shared" si="1"/>
        <v>sgp#1959</v>
      </c>
      <c r="B14209" t="str">
        <f>IFERROR(__xludf.DUMMYFUNCTION("""COMPUTED_VALUE"""),"sgp")</f>
        <v>sgp</v>
      </c>
      <c r="C14209" t="str">
        <f>IFERROR(__xludf.DUMMYFUNCTION("""COMPUTED_VALUE"""),"Singapore")</f>
        <v>Singapore</v>
      </c>
      <c r="D14209">
        <f>IFERROR(__xludf.DUMMYFUNCTION("""COMPUTED_VALUE"""),1959.0)</f>
        <v>1959</v>
      </c>
      <c r="E14209">
        <f>IFERROR(__xludf.DUMMYFUNCTION("""COMPUTED_VALUE"""),1572136.0)</f>
        <v>1572136</v>
      </c>
    </row>
    <row r="14210">
      <c r="A14210" t="str">
        <f t="shared" si="1"/>
        <v>sgp#1960</v>
      </c>
      <c r="B14210" t="str">
        <f>IFERROR(__xludf.DUMMYFUNCTION("""COMPUTED_VALUE"""),"sgp")</f>
        <v>sgp</v>
      </c>
      <c r="C14210" t="str">
        <f>IFERROR(__xludf.DUMMYFUNCTION("""COMPUTED_VALUE"""),"Singapore")</f>
        <v>Singapore</v>
      </c>
      <c r="D14210">
        <f>IFERROR(__xludf.DUMMYFUNCTION("""COMPUTED_VALUE"""),1960.0)</f>
        <v>1960</v>
      </c>
      <c r="E14210">
        <f>IFERROR(__xludf.DUMMYFUNCTION("""COMPUTED_VALUE"""),1633086.0)</f>
        <v>1633086</v>
      </c>
    </row>
    <row r="14211">
      <c r="A14211" t="str">
        <f t="shared" si="1"/>
        <v>sgp#1961</v>
      </c>
      <c r="B14211" t="str">
        <f>IFERROR(__xludf.DUMMYFUNCTION("""COMPUTED_VALUE"""),"sgp")</f>
        <v>sgp</v>
      </c>
      <c r="C14211" t="str">
        <f>IFERROR(__xludf.DUMMYFUNCTION("""COMPUTED_VALUE"""),"Singapore")</f>
        <v>Singapore</v>
      </c>
      <c r="D14211">
        <f>IFERROR(__xludf.DUMMYFUNCTION("""COMPUTED_VALUE"""),1961.0)</f>
        <v>1961</v>
      </c>
      <c r="E14211">
        <f>IFERROR(__xludf.DUMMYFUNCTION("""COMPUTED_VALUE"""),1689546.0)</f>
        <v>1689546</v>
      </c>
    </row>
    <row r="14212">
      <c r="A14212" t="str">
        <f t="shared" si="1"/>
        <v>sgp#1962</v>
      </c>
      <c r="B14212" t="str">
        <f>IFERROR(__xludf.DUMMYFUNCTION("""COMPUTED_VALUE"""),"sgp")</f>
        <v>sgp</v>
      </c>
      <c r="C14212" t="str">
        <f>IFERROR(__xludf.DUMMYFUNCTION("""COMPUTED_VALUE"""),"Singapore")</f>
        <v>Singapore</v>
      </c>
      <c r="D14212">
        <f>IFERROR(__xludf.DUMMYFUNCTION("""COMPUTED_VALUE"""),1962.0)</f>
        <v>1962</v>
      </c>
      <c r="E14212">
        <f>IFERROR(__xludf.DUMMYFUNCTION("""COMPUTED_VALUE"""),1741417.0)</f>
        <v>1741417</v>
      </c>
    </row>
    <row r="14213">
      <c r="A14213" t="str">
        <f t="shared" si="1"/>
        <v>sgp#1963</v>
      </c>
      <c r="B14213" t="str">
        <f>IFERROR(__xludf.DUMMYFUNCTION("""COMPUTED_VALUE"""),"sgp")</f>
        <v>sgp</v>
      </c>
      <c r="C14213" t="str">
        <f>IFERROR(__xludf.DUMMYFUNCTION("""COMPUTED_VALUE"""),"Singapore")</f>
        <v>Singapore</v>
      </c>
      <c r="D14213">
        <f>IFERROR(__xludf.DUMMYFUNCTION("""COMPUTED_VALUE"""),1963.0)</f>
        <v>1963</v>
      </c>
      <c r="E14213">
        <f>IFERROR(__xludf.DUMMYFUNCTION("""COMPUTED_VALUE"""),1789338.0)</f>
        <v>1789338</v>
      </c>
    </row>
    <row r="14214">
      <c r="A14214" t="str">
        <f t="shared" si="1"/>
        <v>sgp#1964</v>
      </c>
      <c r="B14214" t="str">
        <f>IFERROR(__xludf.DUMMYFUNCTION("""COMPUTED_VALUE"""),"sgp")</f>
        <v>sgp</v>
      </c>
      <c r="C14214" t="str">
        <f>IFERROR(__xludf.DUMMYFUNCTION("""COMPUTED_VALUE"""),"Singapore")</f>
        <v>Singapore</v>
      </c>
      <c r="D14214">
        <f>IFERROR(__xludf.DUMMYFUNCTION("""COMPUTED_VALUE"""),1964.0)</f>
        <v>1964</v>
      </c>
      <c r="E14214">
        <f>IFERROR(__xludf.DUMMYFUNCTION("""COMPUTED_VALUE"""),1834493.0)</f>
        <v>1834493</v>
      </c>
    </row>
    <row r="14215">
      <c r="A14215" t="str">
        <f t="shared" si="1"/>
        <v>sgp#1965</v>
      </c>
      <c r="B14215" t="str">
        <f>IFERROR(__xludf.DUMMYFUNCTION("""COMPUTED_VALUE"""),"sgp")</f>
        <v>sgp</v>
      </c>
      <c r="C14215" t="str">
        <f>IFERROR(__xludf.DUMMYFUNCTION("""COMPUTED_VALUE"""),"Singapore")</f>
        <v>Singapore</v>
      </c>
      <c r="D14215">
        <f>IFERROR(__xludf.DUMMYFUNCTION("""COMPUTED_VALUE"""),1965.0)</f>
        <v>1965</v>
      </c>
      <c r="E14215">
        <f>IFERROR(__xludf.DUMMYFUNCTION("""COMPUTED_VALUE"""),1877808.0)</f>
        <v>1877808</v>
      </c>
    </row>
    <row r="14216">
      <c r="A14216" t="str">
        <f t="shared" si="1"/>
        <v>sgp#1966</v>
      </c>
      <c r="B14216" t="str">
        <f>IFERROR(__xludf.DUMMYFUNCTION("""COMPUTED_VALUE"""),"sgp")</f>
        <v>sgp</v>
      </c>
      <c r="C14216" t="str">
        <f>IFERROR(__xludf.DUMMYFUNCTION("""COMPUTED_VALUE"""),"Singapore")</f>
        <v>Singapore</v>
      </c>
      <c r="D14216">
        <f>IFERROR(__xludf.DUMMYFUNCTION("""COMPUTED_VALUE"""),1966.0)</f>
        <v>1966</v>
      </c>
      <c r="E14216">
        <f>IFERROR(__xludf.DUMMYFUNCTION("""COMPUTED_VALUE"""),1919268.0)</f>
        <v>1919268</v>
      </c>
    </row>
    <row r="14217">
      <c r="A14217" t="str">
        <f t="shared" si="1"/>
        <v>sgp#1967</v>
      </c>
      <c r="B14217" t="str">
        <f>IFERROR(__xludf.DUMMYFUNCTION("""COMPUTED_VALUE"""),"sgp")</f>
        <v>sgp</v>
      </c>
      <c r="C14217" t="str">
        <f>IFERROR(__xludf.DUMMYFUNCTION("""COMPUTED_VALUE"""),"Singapore")</f>
        <v>Singapore</v>
      </c>
      <c r="D14217">
        <f>IFERROR(__xludf.DUMMYFUNCTION("""COMPUTED_VALUE"""),1967.0)</f>
        <v>1967</v>
      </c>
      <c r="E14217">
        <f>IFERROR(__xludf.DUMMYFUNCTION("""COMPUTED_VALUE"""),1958726.0)</f>
        <v>1958726</v>
      </c>
    </row>
    <row r="14218">
      <c r="A14218" t="str">
        <f t="shared" si="1"/>
        <v>sgp#1968</v>
      </c>
      <c r="B14218" t="str">
        <f>IFERROR(__xludf.DUMMYFUNCTION("""COMPUTED_VALUE"""),"sgp")</f>
        <v>sgp</v>
      </c>
      <c r="C14218" t="str">
        <f>IFERROR(__xludf.DUMMYFUNCTION("""COMPUTED_VALUE"""),"Singapore")</f>
        <v>Singapore</v>
      </c>
      <c r="D14218">
        <f>IFERROR(__xludf.DUMMYFUNCTION("""COMPUTED_VALUE"""),1968.0)</f>
        <v>1968</v>
      </c>
      <c r="E14218">
        <f>IFERROR(__xludf.DUMMYFUNCTION("""COMPUTED_VALUE"""),1996866.0)</f>
        <v>1996866</v>
      </c>
    </row>
    <row r="14219">
      <c r="A14219" t="str">
        <f t="shared" si="1"/>
        <v>sgp#1969</v>
      </c>
      <c r="B14219" t="str">
        <f>IFERROR(__xludf.DUMMYFUNCTION("""COMPUTED_VALUE"""),"sgp")</f>
        <v>sgp</v>
      </c>
      <c r="C14219" t="str">
        <f>IFERROR(__xludf.DUMMYFUNCTION("""COMPUTED_VALUE"""),"Singapore")</f>
        <v>Singapore</v>
      </c>
      <c r="D14219">
        <f>IFERROR(__xludf.DUMMYFUNCTION("""COMPUTED_VALUE"""),1969.0)</f>
        <v>1969</v>
      </c>
      <c r="E14219">
        <f>IFERROR(__xludf.DUMMYFUNCTION("""COMPUTED_VALUE"""),2034528.0)</f>
        <v>2034528</v>
      </c>
    </row>
    <row r="14220">
      <c r="A14220" t="str">
        <f t="shared" si="1"/>
        <v>sgp#1970</v>
      </c>
      <c r="B14220" t="str">
        <f>IFERROR(__xludf.DUMMYFUNCTION("""COMPUTED_VALUE"""),"sgp")</f>
        <v>sgp</v>
      </c>
      <c r="C14220" t="str">
        <f>IFERROR(__xludf.DUMMYFUNCTION("""COMPUTED_VALUE"""),"Singapore")</f>
        <v>Singapore</v>
      </c>
      <c r="D14220">
        <f>IFERROR(__xludf.DUMMYFUNCTION("""COMPUTED_VALUE"""),1970.0)</f>
        <v>1970</v>
      </c>
      <c r="E14220">
        <f>IFERROR(__xludf.DUMMYFUNCTION("""COMPUTED_VALUE"""),2072290.0)</f>
        <v>2072290</v>
      </c>
    </row>
    <row r="14221">
      <c r="A14221" t="str">
        <f t="shared" si="1"/>
        <v>sgp#1971</v>
      </c>
      <c r="B14221" t="str">
        <f>IFERROR(__xludf.DUMMYFUNCTION("""COMPUTED_VALUE"""),"sgp")</f>
        <v>sgp</v>
      </c>
      <c r="C14221" t="str">
        <f>IFERROR(__xludf.DUMMYFUNCTION("""COMPUTED_VALUE"""),"Singapore")</f>
        <v>Singapore</v>
      </c>
      <c r="D14221">
        <f>IFERROR(__xludf.DUMMYFUNCTION("""COMPUTED_VALUE"""),1971.0)</f>
        <v>1971</v>
      </c>
      <c r="E14221">
        <f>IFERROR(__xludf.DUMMYFUNCTION("""COMPUTED_VALUE"""),2110975.0)</f>
        <v>2110975</v>
      </c>
    </row>
    <row r="14222">
      <c r="A14222" t="str">
        <f t="shared" si="1"/>
        <v>sgp#1972</v>
      </c>
      <c r="B14222" t="str">
        <f>IFERROR(__xludf.DUMMYFUNCTION("""COMPUTED_VALUE"""),"sgp")</f>
        <v>sgp</v>
      </c>
      <c r="C14222" t="str">
        <f>IFERROR(__xludf.DUMMYFUNCTION("""COMPUTED_VALUE"""),"Singapore")</f>
        <v>Singapore</v>
      </c>
      <c r="D14222">
        <f>IFERROR(__xludf.DUMMYFUNCTION("""COMPUTED_VALUE"""),1972.0)</f>
        <v>1972</v>
      </c>
      <c r="E14222">
        <f>IFERROR(__xludf.DUMMYFUNCTION("""COMPUTED_VALUE"""),2150524.0)</f>
        <v>2150524</v>
      </c>
    </row>
    <row r="14223">
      <c r="A14223" t="str">
        <f t="shared" si="1"/>
        <v>sgp#1973</v>
      </c>
      <c r="B14223" t="str">
        <f>IFERROR(__xludf.DUMMYFUNCTION("""COMPUTED_VALUE"""),"sgp")</f>
        <v>sgp</v>
      </c>
      <c r="C14223" t="str">
        <f>IFERROR(__xludf.DUMMYFUNCTION("""COMPUTED_VALUE"""),"Singapore")</f>
        <v>Singapore</v>
      </c>
      <c r="D14223">
        <f>IFERROR(__xludf.DUMMYFUNCTION("""COMPUTED_VALUE"""),1973.0)</f>
        <v>1973</v>
      </c>
      <c r="E14223">
        <f>IFERROR(__xludf.DUMMYFUNCTION("""COMPUTED_VALUE"""),2189635.0)</f>
        <v>2189635</v>
      </c>
    </row>
    <row r="14224">
      <c r="A14224" t="str">
        <f t="shared" si="1"/>
        <v>sgp#1974</v>
      </c>
      <c r="B14224" t="str">
        <f>IFERROR(__xludf.DUMMYFUNCTION("""COMPUTED_VALUE"""),"sgp")</f>
        <v>sgp</v>
      </c>
      <c r="C14224" t="str">
        <f>IFERROR(__xludf.DUMMYFUNCTION("""COMPUTED_VALUE"""),"Singapore")</f>
        <v>Singapore</v>
      </c>
      <c r="D14224">
        <f>IFERROR(__xludf.DUMMYFUNCTION("""COMPUTED_VALUE"""),1974.0)</f>
        <v>1974</v>
      </c>
      <c r="E14224">
        <f>IFERROR(__xludf.DUMMYFUNCTION("""COMPUTED_VALUE"""),2226404.0)</f>
        <v>2226404</v>
      </c>
    </row>
    <row r="14225">
      <c r="A14225" t="str">
        <f t="shared" si="1"/>
        <v>sgp#1975</v>
      </c>
      <c r="B14225" t="str">
        <f>IFERROR(__xludf.DUMMYFUNCTION("""COMPUTED_VALUE"""),"sgp")</f>
        <v>sgp</v>
      </c>
      <c r="C14225" t="str">
        <f>IFERROR(__xludf.DUMMYFUNCTION("""COMPUTED_VALUE"""),"Singapore")</f>
        <v>Singapore</v>
      </c>
      <c r="D14225">
        <f>IFERROR(__xludf.DUMMYFUNCTION("""COMPUTED_VALUE"""),1975.0)</f>
        <v>1975</v>
      </c>
      <c r="E14225">
        <f>IFERROR(__xludf.DUMMYFUNCTION("""COMPUTED_VALUE"""),2259748.0)</f>
        <v>2259748</v>
      </c>
    </row>
    <row r="14226">
      <c r="A14226" t="str">
        <f t="shared" si="1"/>
        <v>sgp#1976</v>
      </c>
      <c r="B14226" t="str">
        <f>IFERROR(__xludf.DUMMYFUNCTION("""COMPUTED_VALUE"""),"sgp")</f>
        <v>sgp</v>
      </c>
      <c r="C14226" t="str">
        <f>IFERROR(__xludf.DUMMYFUNCTION("""COMPUTED_VALUE"""),"Singapore")</f>
        <v>Singapore</v>
      </c>
      <c r="D14226">
        <f>IFERROR(__xludf.DUMMYFUNCTION("""COMPUTED_VALUE"""),1976.0)</f>
        <v>1976</v>
      </c>
      <c r="E14226">
        <f>IFERROR(__xludf.DUMMYFUNCTION("""COMPUTED_VALUE"""),2288888.0)</f>
        <v>2288888</v>
      </c>
    </row>
    <row r="14227">
      <c r="A14227" t="str">
        <f t="shared" si="1"/>
        <v>sgp#1977</v>
      </c>
      <c r="B14227" t="str">
        <f>IFERROR(__xludf.DUMMYFUNCTION("""COMPUTED_VALUE"""),"sgp")</f>
        <v>sgp</v>
      </c>
      <c r="C14227" t="str">
        <f>IFERROR(__xludf.DUMMYFUNCTION("""COMPUTED_VALUE"""),"Singapore")</f>
        <v>Singapore</v>
      </c>
      <c r="D14227">
        <f>IFERROR(__xludf.DUMMYFUNCTION("""COMPUTED_VALUE"""),1977.0)</f>
        <v>1977</v>
      </c>
      <c r="E14227">
        <f>IFERROR(__xludf.DUMMYFUNCTION("""COMPUTED_VALUE"""),2315015.0)</f>
        <v>2315015</v>
      </c>
    </row>
    <row r="14228">
      <c r="A14228" t="str">
        <f t="shared" si="1"/>
        <v>sgp#1978</v>
      </c>
      <c r="B14228" t="str">
        <f>IFERROR(__xludf.DUMMYFUNCTION("""COMPUTED_VALUE"""),"sgp")</f>
        <v>sgp</v>
      </c>
      <c r="C14228" t="str">
        <f>IFERROR(__xludf.DUMMYFUNCTION("""COMPUTED_VALUE"""),"Singapore")</f>
        <v>Singapore</v>
      </c>
      <c r="D14228">
        <f>IFERROR(__xludf.DUMMYFUNCTION("""COMPUTED_VALUE"""),1978.0)</f>
        <v>1978</v>
      </c>
      <c r="E14228">
        <f>IFERROR(__xludf.DUMMYFUNCTION("""COMPUTED_VALUE"""),2341429.0)</f>
        <v>2341429</v>
      </c>
    </row>
    <row r="14229">
      <c r="A14229" t="str">
        <f t="shared" si="1"/>
        <v>sgp#1979</v>
      </c>
      <c r="B14229" t="str">
        <f>IFERROR(__xludf.DUMMYFUNCTION("""COMPUTED_VALUE"""),"sgp")</f>
        <v>sgp</v>
      </c>
      <c r="C14229" t="str">
        <f>IFERROR(__xludf.DUMMYFUNCTION("""COMPUTED_VALUE"""),"Singapore")</f>
        <v>Singapore</v>
      </c>
      <c r="D14229">
        <f>IFERROR(__xludf.DUMMYFUNCTION("""COMPUTED_VALUE"""),1979.0)</f>
        <v>1979</v>
      </c>
      <c r="E14229">
        <f>IFERROR(__xludf.DUMMYFUNCTION("""COMPUTED_VALUE"""),2372615.0)</f>
        <v>2372615</v>
      </c>
    </row>
    <row r="14230">
      <c r="A14230" t="str">
        <f t="shared" si="1"/>
        <v>sgp#1980</v>
      </c>
      <c r="B14230" t="str">
        <f>IFERROR(__xludf.DUMMYFUNCTION("""COMPUTED_VALUE"""),"sgp")</f>
        <v>sgp</v>
      </c>
      <c r="C14230" t="str">
        <f>IFERROR(__xludf.DUMMYFUNCTION("""COMPUTED_VALUE"""),"Singapore")</f>
        <v>Singapore</v>
      </c>
      <c r="D14230">
        <f>IFERROR(__xludf.DUMMYFUNCTION("""COMPUTED_VALUE"""),1980.0)</f>
        <v>1980</v>
      </c>
      <c r="E14230">
        <f>IFERROR(__xludf.DUMMYFUNCTION("""COMPUTED_VALUE"""),2411700.0)</f>
        <v>2411700</v>
      </c>
    </row>
    <row r="14231">
      <c r="A14231" t="str">
        <f t="shared" si="1"/>
        <v>sgp#1981</v>
      </c>
      <c r="B14231" t="str">
        <f>IFERROR(__xludf.DUMMYFUNCTION("""COMPUTED_VALUE"""),"sgp")</f>
        <v>sgp</v>
      </c>
      <c r="C14231" t="str">
        <f>IFERROR(__xludf.DUMMYFUNCTION("""COMPUTED_VALUE"""),"Singapore")</f>
        <v>Singapore</v>
      </c>
      <c r="D14231">
        <f>IFERROR(__xludf.DUMMYFUNCTION("""COMPUTED_VALUE"""),1981.0)</f>
        <v>1981</v>
      </c>
      <c r="E14231">
        <f>IFERROR(__xludf.DUMMYFUNCTION("""COMPUTED_VALUE"""),2460387.0)</f>
        <v>2460387</v>
      </c>
    </row>
    <row r="14232">
      <c r="A14232" t="str">
        <f t="shared" si="1"/>
        <v>sgp#1982</v>
      </c>
      <c r="B14232" t="str">
        <f>IFERROR(__xludf.DUMMYFUNCTION("""COMPUTED_VALUE"""),"sgp")</f>
        <v>sgp</v>
      </c>
      <c r="C14232" t="str">
        <f>IFERROR(__xludf.DUMMYFUNCTION("""COMPUTED_VALUE"""),"Singapore")</f>
        <v>Singapore</v>
      </c>
      <c r="D14232">
        <f>IFERROR(__xludf.DUMMYFUNCTION("""COMPUTED_VALUE"""),1982.0)</f>
        <v>1982</v>
      </c>
      <c r="E14232">
        <f>IFERROR(__xludf.DUMMYFUNCTION("""COMPUTED_VALUE"""),2517579.0)</f>
        <v>2517579</v>
      </c>
    </row>
    <row r="14233">
      <c r="A14233" t="str">
        <f t="shared" si="1"/>
        <v>sgp#1983</v>
      </c>
      <c r="B14233" t="str">
        <f>IFERROR(__xludf.DUMMYFUNCTION("""COMPUTED_VALUE"""),"sgp")</f>
        <v>sgp</v>
      </c>
      <c r="C14233" t="str">
        <f>IFERROR(__xludf.DUMMYFUNCTION("""COMPUTED_VALUE"""),"Singapore")</f>
        <v>Singapore</v>
      </c>
      <c r="D14233">
        <f>IFERROR(__xludf.DUMMYFUNCTION("""COMPUTED_VALUE"""),1983.0)</f>
        <v>1983</v>
      </c>
      <c r="E14233">
        <f>IFERROR(__xludf.DUMMYFUNCTION("""COMPUTED_VALUE"""),2580261.0)</f>
        <v>2580261</v>
      </c>
    </row>
    <row r="14234">
      <c r="A14234" t="str">
        <f t="shared" si="1"/>
        <v>sgp#1984</v>
      </c>
      <c r="B14234" t="str">
        <f>IFERROR(__xludf.DUMMYFUNCTION("""COMPUTED_VALUE"""),"sgp")</f>
        <v>sgp</v>
      </c>
      <c r="C14234" t="str">
        <f>IFERROR(__xludf.DUMMYFUNCTION("""COMPUTED_VALUE"""),"Singapore")</f>
        <v>Singapore</v>
      </c>
      <c r="D14234">
        <f>IFERROR(__xludf.DUMMYFUNCTION("""COMPUTED_VALUE"""),1984.0)</f>
        <v>1984</v>
      </c>
      <c r="E14234">
        <f>IFERROR(__xludf.DUMMYFUNCTION("""COMPUTED_VALUE"""),2643951.0)</f>
        <v>2643951</v>
      </c>
    </row>
    <row r="14235">
      <c r="A14235" t="str">
        <f t="shared" si="1"/>
        <v>sgp#1985</v>
      </c>
      <c r="B14235" t="str">
        <f>IFERROR(__xludf.DUMMYFUNCTION("""COMPUTED_VALUE"""),"sgp")</f>
        <v>sgp</v>
      </c>
      <c r="C14235" t="str">
        <f>IFERROR(__xludf.DUMMYFUNCTION("""COMPUTED_VALUE"""),"Singapore")</f>
        <v>Singapore</v>
      </c>
      <c r="D14235">
        <f>IFERROR(__xludf.DUMMYFUNCTION("""COMPUTED_VALUE"""),1985.0)</f>
        <v>1985</v>
      </c>
      <c r="E14235">
        <f>IFERROR(__xludf.DUMMYFUNCTION("""COMPUTED_VALUE"""),2705535.0)</f>
        <v>2705535</v>
      </c>
    </row>
    <row r="14236">
      <c r="A14236" t="str">
        <f t="shared" si="1"/>
        <v>sgp#1986</v>
      </c>
      <c r="B14236" t="str">
        <f>IFERROR(__xludf.DUMMYFUNCTION("""COMPUTED_VALUE"""),"sgp")</f>
        <v>sgp</v>
      </c>
      <c r="C14236" t="str">
        <f>IFERROR(__xludf.DUMMYFUNCTION("""COMPUTED_VALUE"""),"Singapore")</f>
        <v>Singapore</v>
      </c>
      <c r="D14236">
        <f>IFERROR(__xludf.DUMMYFUNCTION("""COMPUTED_VALUE"""),1986.0)</f>
        <v>1986</v>
      </c>
      <c r="E14236">
        <f>IFERROR(__xludf.DUMMYFUNCTION("""COMPUTED_VALUE"""),2763589.0)</f>
        <v>2763589</v>
      </c>
    </row>
    <row r="14237">
      <c r="A14237" t="str">
        <f t="shared" si="1"/>
        <v>sgp#1987</v>
      </c>
      <c r="B14237" t="str">
        <f>IFERROR(__xludf.DUMMYFUNCTION("""COMPUTED_VALUE"""),"sgp")</f>
        <v>sgp</v>
      </c>
      <c r="C14237" t="str">
        <f>IFERROR(__xludf.DUMMYFUNCTION("""COMPUTED_VALUE"""),"Singapore")</f>
        <v>Singapore</v>
      </c>
      <c r="D14237">
        <f>IFERROR(__xludf.DUMMYFUNCTION("""COMPUTED_VALUE"""),1987.0)</f>
        <v>1987</v>
      </c>
      <c r="E14237">
        <f>IFERROR(__xludf.DUMMYFUNCTION("""COMPUTED_VALUE"""),2819601.0)</f>
        <v>2819601</v>
      </c>
    </row>
    <row r="14238">
      <c r="A14238" t="str">
        <f t="shared" si="1"/>
        <v>sgp#1988</v>
      </c>
      <c r="B14238" t="str">
        <f>IFERROR(__xludf.DUMMYFUNCTION("""COMPUTED_VALUE"""),"sgp")</f>
        <v>sgp</v>
      </c>
      <c r="C14238" t="str">
        <f>IFERROR(__xludf.DUMMYFUNCTION("""COMPUTED_VALUE"""),"Singapore")</f>
        <v>Singapore</v>
      </c>
      <c r="D14238">
        <f>IFERROR(__xludf.DUMMYFUNCTION("""COMPUTED_VALUE"""),1988.0)</f>
        <v>1988</v>
      </c>
      <c r="E14238">
        <f>IFERROR(__xludf.DUMMYFUNCTION("""COMPUTED_VALUE"""),2876892.0)</f>
        <v>2876892</v>
      </c>
    </row>
    <row r="14239">
      <c r="A14239" t="str">
        <f t="shared" si="1"/>
        <v>sgp#1989</v>
      </c>
      <c r="B14239" t="str">
        <f>IFERROR(__xludf.DUMMYFUNCTION("""COMPUTED_VALUE"""),"sgp")</f>
        <v>sgp</v>
      </c>
      <c r="C14239" t="str">
        <f>IFERROR(__xludf.DUMMYFUNCTION("""COMPUTED_VALUE"""),"Singapore")</f>
        <v>Singapore</v>
      </c>
      <c r="D14239">
        <f>IFERROR(__xludf.DUMMYFUNCTION("""COMPUTED_VALUE"""),1989.0)</f>
        <v>1989</v>
      </c>
      <c r="E14239">
        <f>IFERROR(__xludf.DUMMYFUNCTION("""COMPUTED_VALUE"""),2940264.0)</f>
        <v>2940264</v>
      </c>
    </row>
    <row r="14240">
      <c r="A14240" t="str">
        <f t="shared" si="1"/>
        <v>sgp#1990</v>
      </c>
      <c r="B14240" t="str">
        <f>IFERROR(__xludf.DUMMYFUNCTION("""COMPUTED_VALUE"""),"sgp")</f>
        <v>sgp</v>
      </c>
      <c r="C14240" t="str">
        <f>IFERROR(__xludf.DUMMYFUNCTION("""COMPUTED_VALUE"""),"Singapore")</f>
        <v>Singapore</v>
      </c>
      <c r="D14240">
        <f>IFERROR(__xludf.DUMMYFUNCTION("""COMPUTED_VALUE"""),1990.0)</f>
        <v>1990</v>
      </c>
      <c r="E14240">
        <f>IFERROR(__xludf.DUMMYFUNCTION("""COMPUTED_VALUE"""),3012953.0)</f>
        <v>3012953</v>
      </c>
    </row>
    <row r="14241">
      <c r="A14241" t="str">
        <f t="shared" si="1"/>
        <v>sgp#1991</v>
      </c>
      <c r="B14241" t="str">
        <f>IFERROR(__xludf.DUMMYFUNCTION("""COMPUTED_VALUE"""),"sgp")</f>
        <v>sgp</v>
      </c>
      <c r="C14241" t="str">
        <f>IFERROR(__xludf.DUMMYFUNCTION("""COMPUTED_VALUE"""),"Singapore")</f>
        <v>Singapore</v>
      </c>
      <c r="D14241">
        <f>IFERROR(__xludf.DUMMYFUNCTION("""COMPUTED_VALUE"""),1991.0)</f>
        <v>1991</v>
      </c>
      <c r="E14241">
        <f>IFERROR(__xludf.DUMMYFUNCTION("""COMPUTED_VALUE"""),3096570.0)</f>
        <v>3096570</v>
      </c>
    </row>
    <row r="14242">
      <c r="A14242" t="str">
        <f t="shared" si="1"/>
        <v>sgp#1992</v>
      </c>
      <c r="B14242" t="str">
        <f>IFERROR(__xludf.DUMMYFUNCTION("""COMPUTED_VALUE"""),"sgp")</f>
        <v>sgp</v>
      </c>
      <c r="C14242" t="str">
        <f>IFERROR(__xludf.DUMMYFUNCTION("""COMPUTED_VALUE"""),"Singapore")</f>
        <v>Singapore</v>
      </c>
      <c r="D14242">
        <f>IFERROR(__xludf.DUMMYFUNCTION("""COMPUTED_VALUE"""),1992.0)</f>
        <v>1992</v>
      </c>
      <c r="E14242">
        <f>IFERROR(__xludf.DUMMYFUNCTION("""COMPUTED_VALUE"""),3189433.0)</f>
        <v>3189433</v>
      </c>
    </row>
    <row r="14243">
      <c r="A14243" t="str">
        <f t="shared" si="1"/>
        <v>sgp#1993</v>
      </c>
      <c r="B14243" t="str">
        <f>IFERROR(__xludf.DUMMYFUNCTION("""COMPUTED_VALUE"""),"sgp")</f>
        <v>sgp</v>
      </c>
      <c r="C14243" t="str">
        <f>IFERROR(__xludf.DUMMYFUNCTION("""COMPUTED_VALUE"""),"Singapore")</f>
        <v>Singapore</v>
      </c>
      <c r="D14243">
        <f>IFERROR(__xludf.DUMMYFUNCTION("""COMPUTED_VALUE"""),1993.0)</f>
        <v>1993</v>
      </c>
      <c r="E14243">
        <f>IFERROR(__xludf.DUMMYFUNCTION("""COMPUTED_VALUE"""),3287588.0)</f>
        <v>3287588</v>
      </c>
    </row>
    <row r="14244">
      <c r="A14244" t="str">
        <f t="shared" si="1"/>
        <v>sgp#1994</v>
      </c>
      <c r="B14244" t="str">
        <f>IFERROR(__xludf.DUMMYFUNCTION("""COMPUTED_VALUE"""),"sgp")</f>
        <v>sgp</v>
      </c>
      <c r="C14244" t="str">
        <f>IFERROR(__xludf.DUMMYFUNCTION("""COMPUTED_VALUE"""),"Singapore")</f>
        <v>Singapore</v>
      </c>
      <c r="D14244">
        <f>IFERROR(__xludf.DUMMYFUNCTION("""COMPUTED_VALUE"""),1994.0)</f>
        <v>1994</v>
      </c>
      <c r="E14244">
        <f>IFERROR(__xludf.DUMMYFUNCTION("""COMPUTED_VALUE"""),3385350.0)</f>
        <v>3385350</v>
      </c>
    </row>
    <row r="14245">
      <c r="A14245" t="str">
        <f t="shared" si="1"/>
        <v>sgp#1995</v>
      </c>
      <c r="B14245" t="str">
        <f>IFERROR(__xludf.DUMMYFUNCTION("""COMPUTED_VALUE"""),"sgp")</f>
        <v>sgp</v>
      </c>
      <c r="C14245" t="str">
        <f>IFERROR(__xludf.DUMMYFUNCTION("""COMPUTED_VALUE"""),"Singapore")</f>
        <v>Singapore</v>
      </c>
      <c r="D14245">
        <f>IFERROR(__xludf.DUMMYFUNCTION("""COMPUTED_VALUE"""),1995.0)</f>
        <v>1995</v>
      </c>
      <c r="E14245">
        <f>IFERROR(__xludf.DUMMYFUNCTION("""COMPUTED_VALUE"""),3478779.0)</f>
        <v>3478779</v>
      </c>
    </row>
    <row r="14246">
      <c r="A14246" t="str">
        <f t="shared" si="1"/>
        <v>sgp#1996</v>
      </c>
      <c r="B14246" t="str">
        <f>IFERROR(__xludf.DUMMYFUNCTION("""COMPUTED_VALUE"""),"sgp")</f>
        <v>sgp</v>
      </c>
      <c r="C14246" t="str">
        <f>IFERROR(__xludf.DUMMYFUNCTION("""COMPUTED_VALUE"""),"Singapore")</f>
        <v>Singapore</v>
      </c>
      <c r="D14246">
        <f>IFERROR(__xludf.DUMMYFUNCTION("""COMPUTED_VALUE"""),1996.0)</f>
        <v>1996</v>
      </c>
      <c r="E14246">
        <f>IFERROR(__xludf.DUMMYFUNCTION("""COMPUTED_VALUE"""),3566133.0)</f>
        <v>3566133</v>
      </c>
    </row>
    <row r="14247">
      <c r="A14247" t="str">
        <f t="shared" si="1"/>
        <v>sgp#1997</v>
      </c>
      <c r="B14247" t="str">
        <f>IFERROR(__xludf.DUMMYFUNCTION("""COMPUTED_VALUE"""),"sgp")</f>
        <v>sgp</v>
      </c>
      <c r="C14247" t="str">
        <f>IFERROR(__xludf.DUMMYFUNCTION("""COMPUTED_VALUE"""),"Singapore")</f>
        <v>Singapore</v>
      </c>
      <c r="D14247">
        <f>IFERROR(__xludf.DUMMYFUNCTION("""COMPUTED_VALUE"""),1997.0)</f>
        <v>1997</v>
      </c>
      <c r="E14247">
        <f>IFERROR(__xludf.DUMMYFUNCTION("""COMPUTED_VALUE"""),3649135.0)</f>
        <v>3649135</v>
      </c>
    </row>
    <row r="14248">
      <c r="A14248" t="str">
        <f t="shared" si="1"/>
        <v>sgp#1998</v>
      </c>
      <c r="B14248" t="str">
        <f>IFERROR(__xludf.DUMMYFUNCTION("""COMPUTED_VALUE"""),"sgp")</f>
        <v>sgp</v>
      </c>
      <c r="C14248" t="str">
        <f>IFERROR(__xludf.DUMMYFUNCTION("""COMPUTED_VALUE"""),"Singapore")</f>
        <v>Singapore</v>
      </c>
      <c r="D14248">
        <f>IFERROR(__xludf.DUMMYFUNCTION("""COMPUTED_VALUE"""),1998.0)</f>
        <v>1998</v>
      </c>
      <c r="E14248">
        <f>IFERROR(__xludf.DUMMYFUNCTION("""COMPUTED_VALUE"""),3731440.0)</f>
        <v>3731440</v>
      </c>
    </row>
    <row r="14249">
      <c r="A14249" t="str">
        <f t="shared" si="1"/>
        <v>sgp#1999</v>
      </c>
      <c r="B14249" t="str">
        <f>IFERROR(__xludf.DUMMYFUNCTION("""COMPUTED_VALUE"""),"sgp")</f>
        <v>sgp</v>
      </c>
      <c r="C14249" t="str">
        <f>IFERROR(__xludf.DUMMYFUNCTION("""COMPUTED_VALUE"""),"Singapore")</f>
        <v>Singapore</v>
      </c>
      <c r="D14249">
        <f>IFERROR(__xludf.DUMMYFUNCTION("""COMPUTED_VALUE"""),1999.0)</f>
        <v>1999</v>
      </c>
      <c r="E14249">
        <f>IFERROR(__xludf.DUMMYFUNCTION("""COMPUTED_VALUE"""),3818462.0)</f>
        <v>3818462</v>
      </c>
    </row>
    <row r="14250">
      <c r="A14250" t="str">
        <f t="shared" si="1"/>
        <v>sgp#2000</v>
      </c>
      <c r="B14250" t="str">
        <f>IFERROR(__xludf.DUMMYFUNCTION("""COMPUTED_VALUE"""),"sgp")</f>
        <v>sgp</v>
      </c>
      <c r="C14250" t="str">
        <f>IFERROR(__xludf.DUMMYFUNCTION("""COMPUTED_VALUE"""),"Singapore")</f>
        <v>Singapore</v>
      </c>
      <c r="D14250">
        <f>IFERROR(__xludf.DUMMYFUNCTION("""COMPUTED_VALUE"""),2000.0)</f>
        <v>2000</v>
      </c>
      <c r="E14250">
        <f>IFERROR(__xludf.DUMMYFUNCTION("""COMPUTED_VALUE"""),3913960.0)</f>
        <v>3913960</v>
      </c>
    </row>
    <row r="14251">
      <c r="A14251" t="str">
        <f t="shared" si="1"/>
        <v>sgp#2001</v>
      </c>
      <c r="B14251" t="str">
        <f>IFERROR(__xludf.DUMMYFUNCTION("""COMPUTED_VALUE"""),"sgp")</f>
        <v>sgp</v>
      </c>
      <c r="C14251" t="str">
        <f>IFERROR(__xludf.DUMMYFUNCTION("""COMPUTED_VALUE"""),"Singapore")</f>
        <v>Singapore</v>
      </c>
      <c r="D14251">
        <f>IFERROR(__xludf.DUMMYFUNCTION("""COMPUTED_VALUE"""),2001.0)</f>
        <v>2001</v>
      </c>
      <c r="E14251">
        <f>IFERROR(__xludf.DUMMYFUNCTION("""COMPUTED_VALUE"""),4018779.0)</f>
        <v>4018779</v>
      </c>
    </row>
    <row r="14252">
      <c r="A14252" t="str">
        <f t="shared" si="1"/>
        <v>sgp#2002</v>
      </c>
      <c r="B14252" t="str">
        <f>IFERROR(__xludf.DUMMYFUNCTION("""COMPUTED_VALUE"""),"sgp")</f>
        <v>sgp</v>
      </c>
      <c r="C14252" t="str">
        <f>IFERROR(__xludf.DUMMYFUNCTION("""COMPUTED_VALUE"""),"Singapore")</f>
        <v>Singapore</v>
      </c>
      <c r="D14252">
        <f>IFERROR(__xludf.DUMMYFUNCTION("""COMPUTED_VALUE"""),2002.0)</f>
        <v>2002</v>
      </c>
      <c r="E14252">
        <f>IFERROR(__xludf.DUMMYFUNCTION("""COMPUTED_VALUE"""),4131208.0)</f>
        <v>4131208</v>
      </c>
    </row>
    <row r="14253">
      <c r="A14253" t="str">
        <f t="shared" si="1"/>
        <v>sgp#2003</v>
      </c>
      <c r="B14253" t="str">
        <f>IFERROR(__xludf.DUMMYFUNCTION("""COMPUTED_VALUE"""),"sgp")</f>
        <v>sgp</v>
      </c>
      <c r="C14253" t="str">
        <f>IFERROR(__xludf.DUMMYFUNCTION("""COMPUTED_VALUE"""),"Singapore")</f>
        <v>Singapore</v>
      </c>
      <c r="D14253">
        <f>IFERROR(__xludf.DUMMYFUNCTION("""COMPUTED_VALUE"""),2003.0)</f>
        <v>2003</v>
      </c>
      <c r="E14253">
        <f>IFERROR(__xludf.DUMMYFUNCTION("""COMPUTED_VALUE"""),4249295.0)</f>
        <v>4249295</v>
      </c>
    </row>
    <row r="14254">
      <c r="A14254" t="str">
        <f t="shared" si="1"/>
        <v>sgp#2004</v>
      </c>
      <c r="B14254" t="str">
        <f>IFERROR(__xludf.DUMMYFUNCTION("""COMPUTED_VALUE"""),"sgp")</f>
        <v>sgp</v>
      </c>
      <c r="C14254" t="str">
        <f>IFERROR(__xludf.DUMMYFUNCTION("""COMPUTED_VALUE"""),"Singapore")</f>
        <v>Singapore</v>
      </c>
      <c r="D14254">
        <f>IFERROR(__xludf.DUMMYFUNCTION("""COMPUTED_VALUE"""),2004.0)</f>
        <v>2004</v>
      </c>
      <c r="E14254">
        <f>IFERROR(__xludf.DUMMYFUNCTION("""COMPUTED_VALUE"""),4370040.0)</f>
        <v>4370040</v>
      </c>
    </row>
    <row r="14255">
      <c r="A14255" t="str">
        <f t="shared" si="1"/>
        <v>sgp#2005</v>
      </c>
      <c r="B14255" t="str">
        <f>IFERROR(__xludf.DUMMYFUNCTION("""COMPUTED_VALUE"""),"sgp")</f>
        <v>sgp</v>
      </c>
      <c r="C14255" t="str">
        <f>IFERROR(__xludf.DUMMYFUNCTION("""COMPUTED_VALUE"""),"Singapore")</f>
        <v>Singapore</v>
      </c>
      <c r="D14255">
        <f>IFERROR(__xludf.DUMMYFUNCTION("""COMPUTED_VALUE"""),2005.0)</f>
        <v>2005</v>
      </c>
      <c r="E14255">
        <f>IFERROR(__xludf.DUMMYFUNCTION("""COMPUTED_VALUE"""),4491042.0)</f>
        <v>4491042</v>
      </c>
    </row>
    <row r="14256">
      <c r="A14256" t="str">
        <f t="shared" si="1"/>
        <v>sgp#2006</v>
      </c>
      <c r="B14256" t="str">
        <f>IFERROR(__xludf.DUMMYFUNCTION("""COMPUTED_VALUE"""),"sgp")</f>
        <v>sgp</v>
      </c>
      <c r="C14256" t="str">
        <f>IFERROR(__xludf.DUMMYFUNCTION("""COMPUTED_VALUE"""),"Singapore")</f>
        <v>Singapore</v>
      </c>
      <c r="D14256">
        <f>IFERROR(__xludf.DUMMYFUNCTION("""COMPUTED_VALUE"""),2006.0)</f>
        <v>2006</v>
      </c>
      <c r="E14256">
        <f>IFERROR(__xludf.DUMMYFUNCTION("""COMPUTED_VALUE"""),4611901.0)</f>
        <v>4611901</v>
      </c>
    </row>
    <row r="14257">
      <c r="A14257" t="str">
        <f t="shared" si="1"/>
        <v>sgp#2007</v>
      </c>
      <c r="B14257" t="str">
        <f>IFERROR(__xludf.DUMMYFUNCTION("""COMPUTED_VALUE"""),"sgp")</f>
        <v>sgp</v>
      </c>
      <c r="C14257" t="str">
        <f>IFERROR(__xludf.DUMMYFUNCTION("""COMPUTED_VALUE"""),"Singapore")</f>
        <v>Singapore</v>
      </c>
      <c r="D14257">
        <f>IFERROR(__xludf.DUMMYFUNCTION("""COMPUTED_VALUE"""),2007.0)</f>
        <v>2007</v>
      </c>
      <c r="E14257">
        <f>IFERROR(__xludf.DUMMYFUNCTION("""COMPUTED_VALUE"""),4732528.0)</f>
        <v>4732528</v>
      </c>
    </row>
    <row r="14258">
      <c r="A14258" t="str">
        <f t="shared" si="1"/>
        <v>sgp#2008</v>
      </c>
      <c r="B14258" t="str">
        <f>IFERROR(__xludf.DUMMYFUNCTION("""COMPUTED_VALUE"""),"sgp")</f>
        <v>sgp</v>
      </c>
      <c r="C14258" t="str">
        <f>IFERROR(__xludf.DUMMYFUNCTION("""COMPUTED_VALUE"""),"Singapore")</f>
        <v>Singapore</v>
      </c>
      <c r="D14258">
        <f>IFERROR(__xludf.DUMMYFUNCTION("""COMPUTED_VALUE"""),2008.0)</f>
        <v>2008</v>
      </c>
      <c r="E14258">
        <f>IFERROR(__xludf.DUMMYFUNCTION("""COMPUTED_VALUE"""),4851109.0)</f>
        <v>4851109</v>
      </c>
    </row>
    <row r="14259">
      <c r="A14259" t="str">
        <f t="shared" si="1"/>
        <v>sgp#2009</v>
      </c>
      <c r="B14259" t="str">
        <f>IFERROR(__xludf.DUMMYFUNCTION("""COMPUTED_VALUE"""),"sgp")</f>
        <v>sgp</v>
      </c>
      <c r="C14259" t="str">
        <f>IFERROR(__xludf.DUMMYFUNCTION("""COMPUTED_VALUE"""),"Singapore")</f>
        <v>Singapore</v>
      </c>
      <c r="D14259">
        <f>IFERROR(__xludf.DUMMYFUNCTION("""COMPUTED_VALUE"""),2009.0)</f>
        <v>2009</v>
      </c>
      <c r="E14259">
        <f>IFERROR(__xludf.DUMMYFUNCTION("""COMPUTED_VALUE"""),4965518.0)</f>
        <v>4965518</v>
      </c>
    </row>
    <row r="14260">
      <c r="A14260" t="str">
        <f t="shared" si="1"/>
        <v>sgp#2010</v>
      </c>
      <c r="B14260" t="str">
        <f>IFERROR(__xludf.DUMMYFUNCTION("""COMPUTED_VALUE"""),"sgp")</f>
        <v>sgp</v>
      </c>
      <c r="C14260" t="str">
        <f>IFERROR(__xludf.DUMMYFUNCTION("""COMPUTED_VALUE"""),"Singapore")</f>
        <v>Singapore</v>
      </c>
      <c r="D14260">
        <f>IFERROR(__xludf.DUMMYFUNCTION("""COMPUTED_VALUE"""),2010.0)</f>
        <v>2010</v>
      </c>
      <c r="E14260">
        <f>IFERROR(__xludf.DUMMYFUNCTION("""COMPUTED_VALUE"""),5074252.0)</f>
        <v>5074252</v>
      </c>
    </row>
    <row r="14261">
      <c r="A14261" t="str">
        <f t="shared" si="1"/>
        <v>sgp#2011</v>
      </c>
      <c r="B14261" t="str">
        <f>IFERROR(__xludf.DUMMYFUNCTION("""COMPUTED_VALUE"""),"sgp")</f>
        <v>sgp</v>
      </c>
      <c r="C14261" t="str">
        <f>IFERROR(__xludf.DUMMYFUNCTION("""COMPUTED_VALUE"""),"Singapore")</f>
        <v>Singapore</v>
      </c>
      <c r="D14261">
        <f>IFERROR(__xludf.DUMMYFUNCTION("""COMPUTED_VALUE"""),2011.0)</f>
        <v>2011</v>
      </c>
      <c r="E14261">
        <f>IFERROR(__xludf.DUMMYFUNCTION("""COMPUTED_VALUE"""),5176017.0)</f>
        <v>5176017</v>
      </c>
    </row>
    <row r="14262">
      <c r="A14262" t="str">
        <f t="shared" si="1"/>
        <v>sgp#2012</v>
      </c>
      <c r="B14262" t="str">
        <f>IFERROR(__xludf.DUMMYFUNCTION("""COMPUTED_VALUE"""),"sgp")</f>
        <v>sgp</v>
      </c>
      <c r="C14262" t="str">
        <f>IFERROR(__xludf.DUMMYFUNCTION("""COMPUTED_VALUE"""),"Singapore")</f>
        <v>Singapore</v>
      </c>
      <c r="D14262">
        <f>IFERROR(__xludf.DUMMYFUNCTION("""COMPUTED_VALUE"""),2012.0)</f>
        <v>2012</v>
      </c>
      <c r="E14262">
        <f>IFERROR(__xludf.DUMMYFUNCTION("""COMPUTED_VALUE"""),5270958.0)</f>
        <v>5270958</v>
      </c>
    </row>
    <row r="14263">
      <c r="A14263" t="str">
        <f t="shared" si="1"/>
        <v>sgp#2013</v>
      </c>
      <c r="B14263" t="str">
        <f>IFERROR(__xludf.DUMMYFUNCTION("""COMPUTED_VALUE"""),"sgp")</f>
        <v>sgp</v>
      </c>
      <c r="C14263" t="str">
        <f>IFERROR(__xludf.DUMMYFUNCTION("""COMPUTED_VALUE"""),"Singapore")</f>
        <v>Singapore</v>
      </c>
      <c r="D14263">
        <f>IFERROR(__xludf.DUMMYFUNCTION("""COMPUTED_VALUE"""),2013.0)</f>
        <v>2013</v>
      </c>
      <c r="E14263">
        <f>IFERROR(__xludf.DUMMYFUNCTION("""COMPUTED_VALUE"""),5360837.0)</f>
        <v>5360837</v>
      </c>
    </row>
    <row r="14264">
      <c r="A14264" t="str">
        <f t="shared" si="1"/>
        <v>sgp#2014</v>
      </c>
      <c r="B14264" t="str">
        <f>IFERROR(__xludf.DUMMYFUNCTION("""COMPUTED_VALUE"""),"sgp")</f>
        <v>sgp</v>
      </c>
      <c r="C14264" t="str">
        <f>IFERROR(__xludf.DUMMYFUNCTION("""COMPUTED_VALUE"""),"Singapore")</f>
        <v>Singapore</v>
      </c>
      <c r="D14264">
        <f>IFERROR(__xludf.DUMMYFUNCTION("""COMPUTED_VALUE"""),2014.0)</f>
        <v>2014</v>
      </c>
      <c r="E14264">
        <f>IFERROR(__xludf.DUMMYFUNCTION("""COMPUTED_VALUE"""),5448342.0)</f>
        <v>5448342</v>
      </c>
    </row>
    <row r="14265">
      <c r="A14265" t="str">
        <f t="shared" si="1"/>
        <v>sgp#2015</v>
      </c>
      <c r="B14265" t="str">
        <f>IFERROR(__xludf.DUMMYFUNCTION("""COMPUTED_VALUE"""),"sgp")</f>
        <v>sgp</v>
      </c>
      <c r="C14265" t="str">
        <f>IFERROR(__xludf.DUMMYFUNCTION("""COMPUTED_VALUE"""),"Singapore")</f>
        <v>Singapore</v>
      </c>
      <c r="D14265">
        <f>IFERROR(__xludf.DUMMYFUNCTION("""COMPUTED_VALUE"""),2015.0)</f>
        <v>2015</v>
      </c>
      <c r="E14265">
        <f>IFERROR(__xludf.DUMMYFUNCTION("""COMPUTED_VALUE"""),5535262.0)</f>
        <v>5535262</v>
      </c>
    </row>
    <row r="14266">
      <c r="A14266" t="str">
        <f t="shared" si="1"/>
        <v>sgp#2016</v>
      </c>
      <c r="B14266" t="str">
        <f>IFERROR(__xludf.DUMMYFUNCTION("""COMPUTED_VALUE"""),"sgp")</f>
        <v>sgp</v>
      </c>
      <c r="C14266" t="str">
        <f>IFERROR(__xludf.DUMMYFUNCTION("""COMPUTED_VALUE"""),"Singapore")</f>
        <v>Singapore</v>
      </c>
      <c r="D14266">
        <f>IFERROR(__xludf.DUMMYFUNCTION("""COMPUTED_VALUE"""),2016.0)</f>
        <v>2016</v>
      </c>
      <c r="E14266">
        <f>IFERROR(__xludf.DUMMYFUNCTION("""COMPUTED_VALUE"""),5622455.0)</f>
        <v>5622455</v>
      </c>
    </row>
    <row r="14267">
      <c r="A14267" t="str">
        <f t="shared" si="1"/>
        <v>sgp#2017</v>
      </c>
      <c r="B14267" t="str">
        <f>IFERROR(__xludf.DUMMYFUNCTION("""COMPUTED_VALUE"""),"sgp")</f>
        <v>sgp</v>
      </c>
      <c r="C14267" t="str">
        <f>IFERROR(__xludf.DUMMYFUNCTION("""COMPUTED_VALUE"""),"Singapore")</f>
        <v>Singapore</v>
      </c>
      <c r="D14267">
        <f>IFERROR(__xludf.DUMMYFUNCTION("""COMPUTED_VALUE"""),2017.0)</f>
        <v>2017</v>
      </c>
      <c r="E14267">
        <f>IFERROR(__xludf.DUMMYFUNCTION("""COMPUTED_VALUE"""),5708844.0)</f>
        <v>5708844</v>
      </c>
    </row>
    <row r="14268">
      <c r="A14268" t="str">
        <f t="shared" si="1"/>
        <v>sgp#2018</v>
      </c>
      <c r="B14268" t="str">
        <f>IFERROR(__xludf.DUMMYFUNCTION("""COMPUTED_VALUE"""),"sgp")</f>
        <v>sgp</v>
      </c>
      <c r="C14268" t="str">
        <f>IFERROR(__xludf.DUMMYFUNCTION("""COMPUTED_VALUE"""),"Singapore")</f>
        <v>Singapore</v>
      </c>
      <c r="D14268">
        <f>IFERROR(__xludf.DUMMYFUNCTION("""COMPUTED_VALUE"""),2018.0)</f>
        <v>2018</v>
      </c>
      <c r="E14268">
        <f>IFERROR(__xludf.DUMMYFUNCTION("""COMPUTED_VALUE"""),5791901.0)</f>
        <v>5791901</v>
      </c>
    </row>
    <row r="14269">
      <c r="A14269" t="str">
        <f t="shared" si="1"/>
        <v>sgp#2019</v>
      </c>
      <c r="B14269" t="str">
        <f>IFERROR(__xludf.DUMMYFUNCTION("""COMPUTED_VALUE"""),"sgp")</f>
        <v>sgp</v>
      </c>
      <c r="C14269" t="str">
        <f>IFERROR(__xludf.DUMMYFUNCTION("""COMPUTED_VALUE"""),"Singapore")</f>
        <v>Singapore</v>
      </c>
      <c r="D14269">
        <f>IFERROR(__xludf.DUMMYFUNCTION("""COMPUTED_VALUE"""),2019.0)</f>
        <v>2019</v>
      </c>
      <c r="E14269">
        <f>IFERROR(__xludf.DUMMYFUNCTION("""COMPUTED_VALUE"""),5868104.0)</f>
        <v>5868104</v>
      </c>
    </row>
    <row r="14270">
      <c r="A14270" t="str">
        <f t="shared" si="1"/>
        <v>sgp#2020</v>
      </c>
      <c r="B14270" t="str">
        <f>IFERROR(__xludf.DUMMYFUNCTION("""COMPUTED_VALUE"""),"sgp")</f>
        <v>sgp</v>
      </c>
      <c r="C14270" t="str">
        <f>IFERROR(__xludf.DUMMYFUNCTION("""COMPUTED_VALUE"""),"Singapore")</f>
        <v>Singapore</v>
      </c>
      <c r="D14270">
        <f>IFERROR(__xludf.DUMMYFUNCTION("""COMPUTED_VALUE"""),2020.0)</f>
        <v>2020</v>
      </c>
      <c r="E14270">
        <f>IFERROR(__xludf.DUMMYFUNCTION("""COMPUTED_VALUE"""),5935053.0)</f>
        <v>5935053</v>
      </c>
    </row>
    <row r="14271">
      <c r="A14271" t="str">
        <f t="shared" si="1"/>
        <v>sgp#2021</v>
      </c>
      <c r="B14271" t="str">
        <f>IFERROR(__xludf.DUMMYFUNCTION("""COMPUTED_VALUE"""),"sgp")</f>
        <v>sgp</v>
      </c>
      <c r="C14271" t="str">
        <f>IFERROR(__xludf.DUMMYFUNCTION("""COMPUTED_VALUE"""),"Singapore")</f>
        <v>Singapore</v>
      </c>
      <c r="D14271">
        <f>IFERROR(__xludf.DUMMYFUNCTION("""COMPUTED_VALUE"""),2021.0)</f>
        <v>2021</v>
      </c>
      <c r="E14271">
        <f>IFERROR(__xludf.DUMMYFUNCTION("""COMPUTED_VALUE"""),5991801.0)</f>
        <v>5991801</v>
      </c>
    </row>
    <row r="14272">
      <c r="A14272" t="str">
        <f t="shared" si="1"/>
        <v>sgp#2022</v>
      </c>
      <c r="B14272" t="str">
        <f>IFERROR(__xludf.DUMMYFUNCTION("""COMPUTED_VALUE"""),"sgp")</f>
        <v>sgp</v>
      </c>
      <c r="C14272" t="str">
        <f>IFERROR(__xludf.DUMMYFUNCTION("""COMPUTED_VALUE"""),"Singapore")</f>
        <v>Singapore</v>
      </c>
      <c r="D14272">
        <f>IFERROR(__xludf.DUMMYFUNCTION("""COMPUTED_VALUE"""),2022.0)</f>
        <v>2022</v>
      </c>
      <c r="E14272">
        <f>IFERROR(__xludf.DUMMYFUNCTION("""COMPUTED_VALUE"""),6039577.0)</f>
        <v>6039577</v>
      </c>
    </row>
    <row r="14273">
      <c r="A14273" t="str">
        <f t="shared" si="1"/>
        <v>sgp#2023</v>
      </c>
      <c r="B14273" t="str">
        <f>IFERROR(__xludf.DUMMYFUNCTION("""COMPUTED_VALUE"""),"sgp")</f>
        <v>sgp</v>
      </c>
      <c r="C14273" t="str">
        <f>IFERROR(__xludf.DUMMYFUNCTION("""COMPUTED_VALUE"""),"Singapore")</f>
        <v>Singapore</v>
      </c>
      <c r="D14273">
        <f>IFERROR(__xludf.DUMMYFUNCTION("""COMPUTED_VALUE"""),2023.0)</f>
        <v>2023</v>
      </c>
      <c r="E14273">
        <f>IFERROR(__xludf.DUMMYFUNCTION("""COMPUTED_VALUE"""),6080859.0)</f>
        <v>6080859</v>
      </c>
    </row>
    <row r="14274">
      <c r="A14274" t="str">
        <f t="shared" si="1"/>
        <v>sgp#2024</v>
      </c>
      <c r="B14274" t="str">
        <f>IFERROR(__xludf.DUMMYFUNCTION("""COMPUTED_VALUE"""),"sgp")</f>
        <v>sgp</v>
      </c>
      <c r="C14274" t="str">
        <f>IFERROR(__xludf.DUMMYFUNCTION("""COMPUTED_VALUE"""),"Singapore")</f>
        <v>Singapore</v>
      </c>
      <c r="D14274">
        <f>IFERROR(__xludf.DUMMYFUNCTION("""COMPUTED_VALUE"""),2024.0)</f>
        <v>2024</v>
      </c>
      <c r="E14274">
        <f>IFERROR(__xludf.DUMMYFUNCTION("""COMPUTED_VALUE"""),6119203.0)</f>
        <v>6119203</v>
      </c>
    </row>
    <row r="14275">
      <c r="A14275" t="str">
        <f t="shared" si="1"/>
        <v>sgp#2025</v>
      </c>
      <c r="B14275" t="str">
        <f>IFERROR(__xludf.DUMMYFUNCTION("""COMPUTED_VALUE"""),"sgp")</f>
        <v>sgp</v>
      </c>
      <c r="C14275" t="str">
        <f>IFERROR(__xludf.DUMMYFUNCTION("""COMPUTED_VALUE"""),"Singapore")</f>
        <v>Singapore</v>
      </c>
      <c r="D14275">
        <f>IFERROR(__xludf.DUMMYFUNCTION("""COMPUTED_VALUE"""),2025.0)</f>
        <v>2025</v>
      </c>
      <c r="E14275">
        <f>IFERROR(__xludf.DUMMYFUNCTION("""COMPUTED_VALUE"""),6157267.0)</f>
        <v>6157267</v>
      </c>
    </row>
    <row r="14276">
      <c r="A14276" t="str">
        <f t="shared" si="1"/>
        <v>sgp#2026</v>
      </c>
      <c r="B14276" t="str">
        <f>IFERROR(__xludf.DUMMYFUNCTION("""COMPUTED_VALUE"""),"sgp")</f>
        <v>sgp</v>
      </c>
      <c r="C14276" t="str">
        <f>IFERROR(__xludf.DUMMYFUNCTION("""COMPUTED_VALUE"""),"Singapore")</f>
        <v>Singapore</v>
      </c>
      <c r="D14276">
        <f>IFERROR(__xludf.DUMMYFUNCTION("""COMPUTED_VALUE"""),2026.0)</f>
        <v>2026</v>
      </c>
      <c r="E14276">
        <f>IFERROR(__xludf.DUMMYFUNCTION("""COMPUTED_VALUE"""),6195856.0)</f>
        <v>6195856</v>
      </c>
    </row>
    <row r="14277">
      <c r="A14277" t="str">
        <f t="shared" si="1"/>
        <v>sgp#2027</v>
      </c>
      <c r="B14277" t="str">
        <f>IFERROR(__xludf.DUMMYFUNCTION("""COMPUTED_VALUE"""),"sgp")</f>
        <v>sgp</v>
      </c>
      <c r="C14277" t="str">
        <f>IFERROR(__xludf.DUMMYFUNCTION("""COMPUTED_VALUE"""),"Singapore")</f>
        <v>Singapore</v>
      </c>
      <c r="D14277">
        <f>IFERROR(__xludf.DUMMYFUNCTION("""COMPUTED_VALUE"""),2027.0)</f>
        <v>2027</v>
      </c>
      <c r="E14277">
        <f>IFERROR(__xludf.DUMMYFUNCTION("""COMPUTED_VALUE"""),6234361.0)</f>
        <v>6234361</v>
      </c>
    </row>
    <row r="14278">
      <c r="A14278" t="str">
        <f t="shared" si="1"/>
        <v>sgp#2028</v>
      </c>
      <c r="B14278" t="str">
        <f>IFERROR(__xludf.DUMMYFUNCTION("""COMPUTED_VALUE"""),"sgp")</f>
        <v>sgp</v>
      </c>
      <c r="C14278" t="str">
        <f>IFERROR(__xludf.DUMMYFUNCTION("""COMPUTED_VALUE"""),"Singapore")</f>
        <v>Singapore</v>
      </c>
      <c r="D14278">
        <f>IFERROR(__xludf.DUMMYFUNCTION("""COMPUTED_VALUE"""),2028.0)</f>
        <v>2028</v>
      </c>
      <c r="E14278">
        <f>IFERROR(__xludf.DUMMYFUNCTION("""COMPUTED_VALUE"""),6272268.0)</f>
        <v>6272268</v>
      </c>
    </row>
    <row r="14279">
      <c r="A14279" t="str">
        <f t="shared" si="1"/>
        <v>sgp#2029</v>
      </c>
      <c r="B14279" t="str">
        <f>IFERROR(__xludf.DUMMYFUNCTION("""COMPUTED_VALUE"""),"sgp")</f>
        <v>sgp</v>
      </c>
      <c r="C14279" t="str">
        <f>IFERROR(__xludf.DUMMYFUNCTION("""COMPUTED_VALUE"""),"Singapore")</f>
        <v>Singapore</v>
      </c>
      <c r="D14279">
        <f>IFERROR(__xludf.DUMMYFUNCTION("""COMPUTED_VALUE"""),2029.0)</f>
        <v>2029</v>
      </c>
      <c r="E14279">
        <f>IFERROR(__xludf.DUMMYFUNCTION("""COMPUTED_VALUE"""),6308561.0)</f>
        <v>6308561</v>
      </c>
    </row>
    <row r="14280">
      <c r="A14280" t="str">
        <f t="shared" si="1"/>
        <v>sgp#2030</v>
      </c>
      <c r="B14280" t="str">
        <f>IFERROR(__xludf.DUMMYFUNCTION("""COMPUTED_VALUE"""),"sgp")</f>
        <v>sgp</v>
      </c>
      <c r="C14280" t="str">
        <f>IFERROR(__xludf.DUMMYFUNCTION("""COMPUTED_VALUE"""),"Singapore")</f>
        <v>Singapore</v>
      </c>
      <c r="D14280">
        <f>IFERROR(__xludf.DUMMYFUNCTION("""COMPUTED_VALUE"""),2030.0)</f>
        <v>2030</v>
      </c>
      <c r="E14280">
        <f>IFERROR(__xludf.DUMMYFUNCTION("""COMPUTED_VALUE"""),6342470.0)</f>
        <v>6342470</v>
      </c>
    </row>
    <row r="14281">
      <c r="A14281" t="str">
        <f t="shared" si="1"/>
        <v>sgp#2031</v>
      </c>
      <c r="B14281" t="str">
        <f>IFERROR(__xludf.DUMMYFUNCTION("""COMPUTED_VALUE"""),"sgp")</f>
        <v>sgp</v>
      </c>
      <c r="C14281" t="str">
        <f>IFERROR(__xludf.DUMMYFUNCTION("""COMPUTED_VALUE"""),"Singapore")</f>
        <v>Singapore</v>
      </c>
      <c r="D14281">
        <f>IFERROR(__xludf.DUMMYFUNCTION("""COMPUTED_VALUE"""),2031.0)</f>
        <v>2031</v>
      </c>
      <c r="E14281">
        <f>IFERROR(__xludf.DUMMYFUNCTION("""COMPUTED_VALUE"""),6374049.0)</f>
        <v>6374049</v>
      </c>
    </row>
    <row r="14282">
      <c r="A14282" t="str">
        <f t="shared" si="1"/>
        <v>sgp#2032</v>
      </c>
      <c r="B14282" t="str">
        <f>IFERROR(__xludf.DUMMYFUNCTION("""COMPUTED_VALUE"""),"sgp")</f>
        <v>sgp</v>
      </c>
      <c r="C14282" t="str">
        <f>IFERROR(__xludf.DUMMYFUNCTION("""COMPUTED_VALUE"""),"Singapore")</f>
        <v>Singapore</v>
      </c>
      <c r="D14282">
        <f>IFERROR(__xludf.DUMMYFUNCTION("""COMPUTED_VALUE"""),2032.0)</f>
        <v>2032</v>
      </c>
      <c r="E14282">
        <f>IFERROR(__xludf.DUMMYFUNCTION("""COMPUTED_VALUE"""),6403636.0)</f>
        <v>6403636</v>
      </c>
    </row>
    <row r="14283">
      <c r="A14283" t="str">
        <f t="shared" si="1"/>
        <v>sgp#2033</v>
      </c>
      <c r="B14283" t="str">
        <f>IFERROR(__xludf.DUMMYFUNCTION("""COMPUTED_VALUE"""),"sgp")</f>
        <v>sgp</v>
      </c>
      <c r="C14283" t="str">
        <f>IFERROR(__xludf.DUMMYFUNCTION("""COMPUTED_VALUE"""),"Singapore")</f>
        <v>Singapore</v>
      </c>
      <c r="D14283">
        <f>IFERROR(__xludf.DUMMYFUNCTION("""COMPUTED_VALUE"""),2033.0)</f>
        <v>2033</v>
      </c>
      <c r="E14283">
        <f>IFERROR(__xludf.DUMMYFUNCTION("""COMPUTED_VALUE"""),6431177.0)</f>
        <v>6431177</v>
      </c>
    </row>
    <row r="14284">
      <c r="A14284" t="str">
        <f t="shared" si="1"/>
        <v>sgp#2034</v>
      </c>
      <c r="B14284" t="str">
        <f>IFERROR(__xludf.DUMMYFUNCTION("""COMPUTED_VALUE"""),"sgp")</f>
        <v>sgp</v>
      </c>
      <c r="C14284" t="str">
        <f>IFERROR(__xludf.DUMMYFUNCTION("""COMPUTED_VALUE"""),"Singapore")</f>
        <v>Singapore</v>
      </c>
      <c r="D14284">
        <f>IFERROR(__xludf.DUMMYFUNCTION("""COMPUTED_VALUE"""),2034.0)</f>
        <v>2034</v>
      </c>
      <c r="E14284">
        <f>IFERROR(__xludf.DUMMYFUNCTION("""COMPUTED_VALUE"""),6456593.0)</f>
        <v>6456593</v>
      </c>
    </row>
    <row r="14285">
      <c r="A14285" t="str">
        <f t="shared" si="1"/>
        <v>sgp#2035</v>
      </c>
      <c r="B14285" t="str">
        <f>IFERROR(__xludf.DUMMYFUNCTION("""COMPUTED_VALUE"""),"sgp")</f>
        <v>sgp</v>
      </c>
      <c r="C14285" t="str">
        <f>IFERROR(__xludf.DUMMYFUNCTION("""COMPUTED_VALUE"""),"Singapore")</f>
        <v>Singapore</v>
      </c>
      <c r="D14285">
        <f>IFERROR(__xludf.DUMMYFUNCTION("""COMPUTED_VALUE"""),2035.0)</f>
        <v>2035</v>
      </c>
      <c r="E14285">
        <f>IFERROR(__xludf.DUMMYFUNCTION("""COMPUTED_VALUE"""),6479855.0)</f>
        <v>6479855</v>
      </c>
    </row>
    <row r="14286">
      <c r="A14286" t="str">
        <f t="shared" si="1"/>
        <v>sgp#2036</v>
      </c>
      <c r="B14286" t="str">
        <f>IFERROR(__xludf.DUMMYFUNCTION("""COMPUTED_VALUE"""),"sgp")</f>
        <v>sgp</v>
      </c>
      <c r="C14286" t="str">
        <f>IFERROR(__xludf.DUMMYFUNCTION("""COMPUTED_VALUE"""),"Singapore")</f>
        <v>Singapore</v>
      </c>
      <c r="D14286">
        <f>IFERROR(__xludf.DUMMYFUNCTION("""COMPUTED_VALUE"""),2036.0)</f>
        <v>2036</v>
      </c>
      <c r="E14286">
        <f>IFERROR(__xludf.DUMMYFUNCTION("""COMPUTED_VALUE"""),6500921.0)</f>
        <v>6500921</v>
      </c>
    </row>
    <row r="14287">
      <c r="A14287" t="str">
        <f t="shared" si="1"/>
        <v>sgp#2037</v>
      </c>
      <c r="B14287" t="str">
        <f>IFERROR(__xludf.DUMMYFUNCTION("""COMPUTED_VALUE"""),"sgp")</f>
        <v>sgp</v>
      </c>
      <c r="C14287" t="str">
        <f>IFERROR(__xludf.DUMMYFUNCTION("""COMPUTED_VALUE"""),"Singapore")</f>
        <v>Singapore</v>
      </c>
      <c r="D14287">
        <f>IFERROR(__xludf.DUMMYFUNCTION("""COMPUTED_VALUE"""),2037.0)</f>
        <v>2037</v>
      </c>
      <c r="E14287">
        <f>IFERROR(__xludf.DUMMYFUNCTION("""COMPUTED_VALUE"""),6519786.0)</f>
        <v>6519786</v>
      </c>
    </row>
    <row r="14288">
      <c r="A14288" t="str">
        <f t="shared" si="1"/>
        <v>sgp#2038</v>
      </c>
      <c r="B14288" t="str">
        <f>IFERROR(__xludf.DUMMYFUNCTION("""COMPUTED_VALUE"""),"sgp")</f>
        <v>sgp</v>
      </c>
      <c r="C14288" t="str">
        <f>IFERROR(__xludf.DUMMYFUNCTION("""COMPUTED_VALUE"""),"Singapore")</f>
        <v>Singapore</v>
      </c>
      <c r="D14288">
        <f>IFERROR(__xludf.DUMMYFUNCTION("""COMPUTED_VALUE"""),2038.0)</f>
        <v>2038</v>
      </c>
      <c r="E14288">
        <f>IFERROR(__xludf.DUMMYFUNCTION("""COMPUTED_VALUE"""),6536433.0)</f>
        <v>6536433</v>
      </c>
    </row>
    <row r="14289">
      <c r="A14289" t="str">
        <f t="shared" si="1"/>
        <v>sgp#2039</v>
      </c>
      <c r="B14289" t="str">
        <f>IFERROR(__xludf.DUMMYFUNCTION("""COMPUTED_VALUE"""),"sgp")</f>
        <v>sgp</v>
      </c>
      <c r="C14289" t="str">
        <f>IFERROR(__xludf.DUMMYFUNCTION("""COMPUTED_VALUE"""),"Singapore")</f>
        <v>Singapore</v>
      </c>
      <c r="D14289">
        <f>IFERROR(__xludf.DUMMYFUNCTION("""COMPUTED_VALUE"""),2039.0)</f>
        <v>2039</v>
      </c>
      <c r="E14289">
        <f>IFERROR(__xludf.DUMMYFUNCTION("""COMPUTED_VALUE"""),6550852.0)</f>
        <v>6550852</v>
      </c>
    </row>
    <row r="14290">
      <c r="A14290" t="str">
        <f t="shared" si="1"/>
        <v>sgp#2040</v>
      </c>
      <c r="B14290" t="str">
        <f>IFERROR(__xludf.DUMMYFUNCTION("""COMPUTED_VALUE"""),"sgp")</f>
        <v>sgp</v>
      </c>
      <c r="C14290" t="str">
        <f>IFERROR(__xludf.DUMMYFUNCTION("""COMPUTED_VALUE"""),"Singapore")</f>
        <v>Singapore</v>
      </c>
      <c r="D14290">
        <f>IFERROR(__xludf.DUMMYFUNCTION("""COMPUTED_VALUE"""),2040.0)</f>
        <v>2040</v>
      </c>
      <c r="E14290">
        <f>IFERROR(__xludf.DUMMYFUNCTION("""COMPUTED_VALUE"""),6563055.0)</f>
        <v>6563055</v>
      </c>
    </row>
    <row r="14291">
      <c r="A14291" t="str">
        <f t="shared" si="1"/>
        <v>svk#1950</v>
      </c>
      <c r="B14291" t="str">
        <f>IFERROR(__xludf.DUMMYFUNCTION("""COMPUTED_VALUE"""),"svk")</f>
        <v>svk</v>
      </c>
      <c r="C14291" t="str">
        <f>IFERROR(__xludf.DUMMYFUNCTION("""COMPUTED_VALUE"""),"Slovak Republic")</f>
        <v>Slovak Republic</v>
      </c>
      <c r="D14291">
        <f>IFERROR(__xludf.DUMMYFUNCTION("""COMPUTED_VALUE"""),1950.0)</f>
        <v>1950</v>
      </c>
      <c r="E14291">
        <f>IFERROR(__xludf.DUMMYFUNCTION("""COMPUTED_VALUE"""),3436573.0)</f>
        <v>3436573</v>
      </c>
    </row>
    <row r="14292">
      <c r="A14292" t="str">
        <f t="shared" si="1"/>
        <v>svk#1951</v>
      </c>
      <c r="B14292" t="str">
        <f>IFERROR(__xludf.DUMMYFUNCTION("""COMPUTED_VALUE"""),"svk")</f>
        <v>svk</v>
      </c>
      <c r="C14292" t="str">
        <f>IFERROR(__xludf.DUMMYFUNCTION("""COMPUTED_VALUE"""),"Slovak Republic")</f>
        <v>Slovak Republic</v>
      </c>
      <c r="D14292">
        <f>IFERROR(__xludf.DUMMYFUNCTION("""COMPUTED_VALUE"""),1951.0)</f>
        <v>1951</v>
      </c>
      <c r="E14292">
        <f>IFERROR(__xludf.DUMMYFUNCTION("""COMPUTED_VALUE"""),3510926.0)</f>
        <v>3510926</v>
      </c>
    </row>
    <row r="14293">
      <c r="A14293" t="str">
        <f t="shared" si="1"/>
        <v>svk#1952</v>
      </c>
      <c r="B14293" t="str">
        <f>IFERROR(__xludf.DUMMYFUNCTION("""COMPUTED_VALUE"""),"svk")</f>
        <v>svk</v>
      </c>
      <c r="C14293" t="str">
        <f>IFERROR(__xludf.DUMMYFUNCTION("""COMPUTED_VALUE"""),"Slovak Republic")</f>
        <v>Slovak Republic</v>
      </c>
      <c r="D14293">
        <f>IFERROR(__xludf.DUMMYFUNCTION("""COMPUTED_VALUE"""),1952.0)</f>
        <v>1952</v>
      </c>
      <c r="E14293">
        <f>IFERROR(__xludf.DUMMYFUNCTION("""COMPUTED_VALUE"""),3587657.0)</f>
        <v>3587657</v>
      </c>
    </row>
    <row r="14294">
      <c r="A14294" t="str">
        <f t="shared" si="1"/>
        <v>svk#1953</v>
      </c>
      <c r="B14294" t="str">
        <f>IFERROR(__xludf.DUMMYFUNCTION("""COMPUTED_VALUE"""),"svk")</f>
        <v>svk</v>
      </c>
      <c r="C14294" t="str">
        <f>IFERROR(__xludf.DUMMYFUNCTION("""COMPUTED_VALUE"""),"Slovak Republic")</f>
        <v>Slovak Republic</v>
      </c>
      <c r="D14294">
        <f>IFERROR(__xludf.DUMMYFUNCTION("""COMPUTED_VALUE"""),1953.0)</f>
        <v>1953</v>
      </c>
      <c r="E14294">
        <f>IFERROR(__xludf.DUMMYFUNCTION("""COMPUTED_VALUE"""),3664918.0)</f>
        <v>3664918</v>
      </c>
    </row>
    <row r="14295">
      <c r="A14295" t="str">
        <f t="shared" si="1"/>
        <v>svk#1954</v>
      </c>
      <c r="B14295" t="str">
        <f>IFERROR(__xludf.DUMMYFUNCTION("""COMPUTED_VALUE"""),"svk")</f>
        <v>svk</v>
      </c>
      <c r="C14295" t="str">
        <f>IFERROR(__xludf.DUMMYFUNCTION("""COMPUTED_VALUE"""),"Slovak Republic")</f>
        <v>Slovak Republic</v>
      </c>
      <c r="D14295">
        <f>IFERROR(__xludf.DUMMYFUNCTION("""COMPUTED_VALUE"""),1954.0)</f>
        <v>1954</v>
      </c>
      <c r="E14295">
        <f>IFERROR(__xludf.DUMMYFUNCTION("""COMPUTED_VALUE"""),3741211.0)</f>
        <v>3741211</v>
      </c>
    </row>
    <row r="14296">
      <c r="A14296" t="str">
        <f t="shared" si="1"/>
        <v>svk#1955</v>
      </c>
      <c r="B14296" t="str">
        <f>IFERROR(__xludf.DUMMYFUNCTION("""COMPUTED_VALUE"""),"svk")</f>
        <v>svk</v>
      </c>
      <c r="C14296" t="str">
        <f>IFERROR(__xludf.DUMMYFUNCTION("""COMPUTED_VALUE"""),"Slovak Republic")</f>
        <v>Slovak Republic</v>
      </c>
      <c r="D14296">
        <f>IFERROR(__xludf.DUMMYFUNCTION("""COMPUTED_VALUE"""),1955.0)</f>
        <v>1955</v>
      </c>
      <c r="E14296">
        <f>IFERROR(__xludf.DUMMYFUNCTION("""COMPUTED_VALUE"""),3815402.0)</f>
        <v>3815402</v>
      </c>
    </row>
    <row r="14297">
      <c r="A14297" t="str">
        <f t="shared" si="1"/>
        <v>svk#1956</v>
      </c>
      <c r="B14297" t="str">
        <f>IFERROR(__xludf.DUMMYFUNCTION("""COMPUTED_VALUE"""),"svk")</f>
        <v>svk</v>
      </c>
      <c r="C14297" t="str">
        <f>IFERROR(__xludf.DUMMYFUNCTION("""COMPUTED_VALUE"""),"Slovak Republic")</f>
        <v>Slovak Republic</v>
      </c>
      <c r="D14297">
        <f>IFERROR(__xludf.DUMMYFUNCTION("""COMPUTED_VALUE"""),1956.0)</f>
        <v>1956</v>
      </c>
      <c r="E14297">
        <f>IFERROR(__xludf.DUMMYFUNCTION("""COMPUTED_VALUE"""),3886746.0)</f>
        <v>3886746</v>
      </c>
    </row>
    <row r="14298">
      <c r="A14298" t="str">
        <f t="shared" si="1"/>
        <v>svk#1957</v>
      </c>
      <c r="B14298" t="str">
        <f>IFERROR(__xludf.DUMMYFUNCTION("""COMPUTED_VALUE"""),"svk")</f>
        <v>svk</v>
      </c>
      <c r="C14298" t="str">
        <f>IFERROR(__xludf.DUMMYFUNCTION("""COMPUTED_VALUE"""),"Slovak Republic")</f>
        <v>Slovak Republic</v>
      </c>
      <c r="D14298">
        <f>IFERROR(__xludf.DUMMYFUNCTION("""COMPUTED_VALUE"""),1957.0)</f>
        <v>1957</v>
      </c>
      <c r="E14298">
        <f>IFERROR(__xludf.DUMMYFUNCTION("""COMPUTED_VALUE"""),3954855.0)</f>
        <v>3954855</v>
      </c>
    </row>
    <row r="14299">
      <c r="A14299" t="str">
        <f t="shared" si="1"/>
        <v>svk#1958</v>
      </c>
      <c r="B14299" t="str">
        <f>IFERROR(__xludf.DUMMYFUNCTION("""COMPUTED_VALUE"""),"svk")</f>
        <v>svk</v>
      </c>
      <c r="C14299" t="str">
        <f>IFERROR(__xludf.DUMMYFUNCTION("""COMPUTED_VALUE"""),"Slovak Republic")</f>
        <v>Slovak Republic</v>
      </c>
      <c r="D14299">
        <f>IFERROR(__xludf.DUMMYFUNCTION("""COMPUTED_VALUE"""),1958.0)</f>
        <v>1958</v>
      </c>
      <c r="E14299">
        <f>IFERROR(__xludf.DUMMYFUNCTION("""COMPUTED_VALUE"""),4019639.0)</f>
        <v>4019639</v>
      </c>
    </row>
    <row r="14300">
      <c r="A14300" t="str">
        <f t="shared" si="1"/>
        <v>svk#1959</v>
      </c>
      <c r="B14300" t="str">
        <f>IFERROR(__xludf.DUMMYFUNCTION("""COMPUTED_VALUE"""),"svk")</f>
        <v>svk</v>
      </c>
      <c r="C14300" t="str">
        <f>IFERROR(__xludf.DUMMYFUNCTION("""COMPUTED_VALUE"""),"Slovak Republic")</f>
        <v>Slovak Republic</v>
      </c>
      <c r="D14300">
        <f>IFERROR(__xludf.DUMMYFUNCTION("""COMPUTED_VALUE"""),1959.0)</f>
        <v>1959</v>
      </c>
      <c r="E14300">
        <f>IFERROR(__xludf.DUMMYFUNCTION("""COMPUTED_VALUE"""),4081320.0)</f>
        <v>4081320</v>
      </c>
    </row>
    <row r="14301">
      <c r="A14301" t="str">
        <f t="shared" si="1"/>
        <v>svk#1960</v>
      </c>
      <c r="B14301" t="str">
        <f>IFERROR(__xludf.DUMMYFUNCTION("""COMPUTED_VALUE"""),"svk")</f>
        <v>svk</v>
      </c>
      <c r="C14301" t="str">
        <f>IFERROR(__xludf.DUMMYFUNCTION("""COMPUTED_VALUE"""),"Slovak Republic")</f>
        <v>Slovak Republic</v>
      </c>
      <c r="D14301">
        <f>IFERROR(__xludf.DUMMYFUNCTION("""COMPUTED_VALUE"""),1960.0)</f>
        <v>1960</v>
      </c>
      <c r="E14301">
        <f>IFERROR(__xludf.DUMMYFUNCTION("""COMPUTED_VALUE"""),4140129.0)</f>
        <v>4140129</v>
      </c>
    </row>
    <row r="14302">
      <c r="A14302" t="str">
        <f t="shared" si="1"/>
        <v>svk#1961</v>
      </c>
      <c r="B14302" t="str">
        <f>IFERROR(__xludf.DUMMYFUNCTION("""COMPUTED_VALUE"""),"svk")</f>
        <v>svk</v>
      </c>
      <c r="C14302" t="str">
        <f>IFERROR(__xludf.DUMMYFUNCTION("""COMPUTED_VALUE"""),"Slovak Republic")</f>
        <v>Slovak Republic</v>
      </c>
      <c r="D14302">
        <f>IFERROR(__xludf.DUMMYFUNCTION("""COMPUTED_VALUE"""),1961.0)</f>
        <v>1961</v>
      </c>
      <c r="E14302">
        <f>IFERROR(__xludf.DUMMYFUNCTION("""COMPUTED_VALUE"""),4196170.0)</f>
        <v>4196170</v>
      </c>
    </row>
    <row r="14303">
      <c r="A14303" t="str">
        <f t="shared" si="1"/>
        <v>svk#1962</v>
      </c>
      <c r="B14303" t="str">
        <f>IFERROR(__xludf.DUMMYFUNCTION("""COMPUTED_VALUE"""),"svk")</f>
        <v>svk</v>
      </c>
      <c r="C14303" t="str">
        <f>IFERROR(__xludf.DUMMYFUNCTION("""COMPUTED_VALUE"""),"Slovak Republic")</f>
        <v>Slovak Republic</v>
      </c>
      <c r="D14303">
        <f>IFERROR(__xludf.DUMMYFUNCTION("""COMPUTED_VALUE"""),1962.0)</f>
        <v>1962</v>
      </c>
      <c r="E14303">
        <f>IFERROR(__xludf.DUMMYFUNCTION("""COMPUTED_VALUE"""),4249205.0)</f>
        <v>4249205</v>
      </c>
    </row>
    <row r="14304">
      <c r="A14304" t="str">
        <f t="shared" si="1"/>
        <v>svk#1963</v>
      </c>
      <c r="B14304" t="str">
        <f>IFERROR(__xludf.DUMMYFUNCTION("""COMPUTED_VALUE"""),"svk")</f>
        <v>svk</v>
      </c>
      <c r="C14304" t="str">
        <f>IFERROR(__xludf.DUMMYFUNCTION("""COMPUTED_VALUE"""),"Slovak Republic")</f>
        <v>Slovak Republic</v>
      </c>
      <c r="D14304">
        <f>IFERROR(__xludf.DUMMYFUNCTION("""COMPUTED_VALUE"""),1963.0)</f>
        <v>1963</v>
      </c>
      <c r="E14304">
        <f>IFERROR(__xludf.DUMMYFUNCTION("""COMPUTED_VALUE"""),4298584.0)</f>
        <v>4298584</v>
      </c>
    </row>
    <row r="14305">
      <c r="A14305" t="str">
        <f t="shared" si="1"/>
        <v>svk#1964</v>
      </c>
      <c r="B14305" t="str">
        <f>IFERROR(__xludf.DUMMYFUNCTION("""COMPUTED_VALUE"""),"svk")</f>
        <v>svk</v>
      </c>
      <c r="C14305" t="str">
        <f>IFERROR(__xludf.DUMMYFUNCTION("""COMPUTED_VALUE"""),"Slovak Republic")</f>
        <v>Slovak Republic</v>
      </c>
      <c r="D14305">
        <f>IFERROR(__xludf.DUMMYFUNCTION("""COMPUTED_VALUE"""),1964.0)</f>
        <v>1964</v>
      </c>
      <c r="E14305">
        <f>IFERROR(__xludf.DUMMYFUNCTION("""COMPUTED_VALUE"""),4343459.0)</f>
        <v>4343459</v>
      </c>
    </row>
    <row r="14306">
      <c r="A14306" t="str">
        <f t="shared" si="1"/>
        <v>svk#1965</v>
      </c>
      <c r="B14306" t="str">
        <f>IFERROR(__xludf.DUMMYFUNCTION("""COMPUTED_VALUE"""),"svk")</f>
        <v>svk</v>
      </c>
      <c r="C14306" t="str">
        <f>IFERROR(__xludf.DUMMYFUNCTION("""COMPUTED_VALUE"""),"Slovak Republic")</f>
        <v>Slovak Republic</v>
      </c>
      <c r="D14306">
        <f>IFERROR(__xludf.DUMMYFUNCTION("""COMPUTED_VALUE"""),1965.0)</f>
        <v>1965</v>
      </c>
      <c r="E14306">
        <f>IFERROR(__xludf.DUMMYFUNCTION("""COMPUTED_VALUE"""),4383452.0)</f>
        <v>4383452</v>
      </c>
    </row>
    <row r="14307">
      <c r="A14307" t="str">
        <f t="shared" si="1"/>
        <v>svk#1966</v>
      </c>
      <c r="B14307" t="str">
        <f>IFERROR(__xludf.DUMMYFUNCTION("""COMPUTED_VALUE"""),"svk")</f>
        <v>svk</v>
      </c>
      <c r="C14307" t="str">
        <f>IFERROR(__xludf.DUMMYFUNCTION("""COMPUTED_VALUE"""),"Slovak Republic")</f>
        <v>Slovak Republic</v>
      </c>
      <c r="D14307">
        <f>IFERROR(__xludf.DUMMYFUNCTION("""COMPUTED_VALUE"""),1966.0)</f>
        <v>1966</v>
      </c>
      <c r="E14307">
        <f>IFERROR(__xludf.DUMMYFUNCTION("""COMPUTED_VALUE"""),4418205.0)</f>
        <v>4418205</v>
      </c>
    </row>
    <row r="14308">
      <c r="A14308" t="str">
        <f t="shared" si="1"/>
        <v>svk#1967</v>
      </c>
      <c r="B14308" t="str">
        <f>IFERROR(__xludf.DUMMYFUNCTION("""COMPUTED_VALUE"""),"svk")</f>
        <v>svk</v>
      </c>
      <c r="C14308" t="str">
        <f>IFERROR(__xludf.DUMMYFUNCTION("""COMPUTED_VALUE"""),"Slovak Republic")</f>
        <v>Slovak Republic</v>
      </c>
      <c r="D14308">
        <f>IFERROR(__xludf.DUMMYFUNCTION("""COMPUTED_VALUE"""),1967.0)</f>
        <v>1967</v>
      </c>
      <c r="E14308">
        <f>IFERROR(__xludf.DUMMYFUNCTION("""COMPUTED_VALUE"""),4448550.0)</f>
        <v>4448550</v>
      </c>
    </row>
    <row r="14309">
      <c r="A14309" t="str">
        <f t="shared" si="1"/>
        <v>svk#1968</v>
      </c>
      <c r="B14309" t="str">
        <f>IFERROR(__xludf.DUMMYFUNCTION("""COMPUTED_VALUE"""),"svk")</f>
        <v>svk</v>
      </c>
      <c r="C14309" t="str">
        <f>IFERROR(__xludf.DUMMYFUNCTION("""COMPUTED_VALUE"""),"Slovak Republic")</f>
        <v>Slovak Republic</v>
      </c>
      <c r="D14309">
        <f>IFERROR(__xludf.DUMMYFUNCTION("""COMPUTED_VALUE"""),1968.0)</f>
        <v>1968</v>
      </c>
      <c r="E14309">
        <f>IFERROR(__xludf.DUMMYFUNCTION("""COMPUTED_VALUE"""),4476824.0)</f>
        <v>4476824</v>
      </c>
    </row>
    <row r="14310">
      <c r="A14310" t="str">
        <f t="shared" si="1"/>
        <v>svk#1969</v>
      </c>
      <c r="B14310" t="str">
        <f>IFERROR(__xludf.DUMMYFUNCTION("""COMPUTED_VALUE"""),"svk")</f>
        <v>svk</v>
      </c>
      <c r="C14310" t="str">
        <f>IFERROR(__xludf.DUMMYFUNCTION("""COMPUTED_VALUE"""),"Slovak Republic")</f>
        <v>Slovak Republic</v>
      </c>
      <c r="D14310">
        <f>IFERROR(__xludf.DUMMYFUNCTION("""COMPUTED_VALUE"""),1969.0)</f>
        <v>1969</v>
      </c>
      <c r="E14310">
        <f>IFERROR(__xludf.DUMMYFUNCTION("""COMPUTED_VALUE"""),4506157.0)</f>
        <v>4506157</v>
      </c>
    </row>
    <row r="14311">
      <c r="A14311" t="str">
        <f t="shared" si="1"/>
        <v>svk#1970</v>
      </c>
      <c r="B14311" t="str">
        <f>IFERROR(__xludf.DUMMYFUNCTION("""COMPUTED_VALUE"""),"svk")</f>
        <v>svk</v>
      </c>
      <c r="C14311" t="str">
        <f>IFERROR(__xludf.DUMMYFUNCTION("""COMPUTED_VALUE"""),"Slovak Republic")</f>
        <v>Slovak Republic</v>
      </c>
      <c r="D14311">
        <f>IFERROR(__xludf.DUMMYFUNCTION("""COMPUTED_VALUE"""),1970.0)</f>
        <v>1970</v>
      </c>
      <c r="E14311">
        <f>IFERROR(__xludf.DUMMYFUNCTION("""COMPUTED_VALUE"""),4538841.0)</f>
        <v>4538841</v>
      </c>
    </row>
    <row r="14312">
      <c r="A14312" t="str">
        <f t="shared" si="1"/>
        <v>svk#1971</v>
      </c>
      <c r="B14312" t="str">
        <f>IFERROR(__xludf.DUMMYFUNCTION("""COMPUTED_VALUE"""),"svk")</f>
        <v>svk</v>
      </c>
      <c r="C14312" t="str">
        <f>IFERROR(__xludf.DUMMYFUNCTION("""COMPUTED_VALUE"""),"Slovak Republic")</f>
        <v>Slovak Republic</v>
      </c>
      <c r="D14312">
        <f>IFERROR(__xludf.DUMMYFUNCTION("""COMPUTED_VALUE"""),1971.0)</f>
        <v>1971</v>
      </c>
      <c r="E14312">
        <f>IFERROR(__xludf.DUMMYFUNCTION("""COMPUTED_VALUE"""),4575563.0)</f>
        <v>4575563</v>
      </c>
    </row>
    <row r="14313">
      <c r="A14313" t="str">
        <f t="shared" si="1"/>
        <v>svk#1972</v>
      </c>
      <c r="B14313" t="str">
        <f>IFERROR(__xludf.DUMMYFUNCTION("""COMPUTED_VALUE"""),"svk")</f>
        <v>svk</v>
      </c>
      <c r="C14313" t="str">
        <f>IFERROR(__xludf.DUMMYFUNCTION("""COMPUTED_VALUE"""),"Slovak Republic")</f>
        <v>Slovak Republic</v>
      </c>
      <c r="D14313">
        <f>IFERROR(__xludf.DUMMYFUNCTION("""COMPUTED_VALUE"""),1972.0)</f>
        <v>1972</v>
      </c>
      <c r="E14313">
        <f>IFERROR(__xludf.DUMMYFUNCTION("""COMPUTED_VALUE"""),4615831.0)</f>
        <v>4615831</v>
      </c>
    </row>
    <row r="14314">
      <c r="A14314" t="str">
        <f t="shared" si="1"/>
        <v>svk#1973</v>
      </c>
      <c r="B14314" t="str">
        <f>IFERROR(__xludf.DUMMYFUNCTION("""COMPUTED_VALUE"""),"svk")</f>
        <v>svk</v>
      </c>
      <c r="C14314" t="str">
        <f>IFERROR(__xludf.DUMMYFUNCTION("""COMPUTED_VALUE"""),"Slovak Republic")</f>
        <v>Slovak Republic</v>
      </c>
      <c r="D14314">
        <f>IFERROR(__xludf.DUMMYFUNCTION("""COMPUTED_VALUE"""),1973.0)</f>
        <v>1973</v>
      </c>
      <c r="E14314">
        <f>IFERROR(__xludf.DUMMYFUNCTION("""COMPUTED_VALUE"""),4659280.0)</f>
        <v>4659280</v>
      </c>
    </row>
    <row r="14315">
      <c r="A14315" t="str">
        <f t="shared" si="1"/>
        <v>svk#1974</v>
      </c>
      <c r="B14315" t="str">
        <f>IFERROR(__xludf.DUMMYFUNCTION("""COMPUTED_VALUE"""),"svk")</f>
        <v>svk</v>
      </c>
      <c r="C14315" t="str">
        <f>IFERROR(__xludf.DUMMYFUNCTION("""COMPUTED_VALUE"""),"Slovak Republic")</f>
        <v>Slovak Republic</v>
      </c>
      <c r="D14315">
        <f>IFERROR(__xludf.DUMMYFUNCTION("""COMPUTED_VALUE"""),1974.0)</f>
        <v>1974</v>
      </c>
      <c r="E14315">
        <f>IFERROR(__xludf.DUMMYFUNCTION("""COMPUTED_VALUE"""),4705110.0)</f>
        <v>4705110</v>
      </c>
    </row>
    <row r="14316">
      <c r="A14316" t="str">
        <f t="shared" si="1"/>
        <v>svk#1975</v>
      </c>
      <c r="B14316" t="str">
        <f>IFERROR(__xludf.DUMMYFUNCTION("""COMPUTED_VALUE"""),"svk")</f>
        <v>svk</v>
      </c>
      <c r="C14316" t="str">
        <f>IFERROR(__xludf.DUMMYFUNCTION("""COMPUTED_VALUE"""),"Slovak Republic")</f>
        <v>Slovak Republic</v>
      </c>
      <c r="D14316">
        <f>IFERROR(__xludf.DUMMYFUNCTION("""COMPUTED_VALUE"""),1975.0)</f>
        <v>1975</v>
      </c>
      <c r="E14316">
        <f>IFERROR(__xludf.DUMMYFUNCTION("""COMPUTED_VALUE"""),4752540.0)</f>
        <v>4752540</v>
      </c>
    </row>
    <row r="14317">
      <c r="A14317" t="str">
        <f t="shared" si="1"/>
        <v>svk#1976</v>
      </c>
      <c r="B14317" t="str">
        <f>IFERROR(__xludf.DUMMYFUNCTION("""COMPUTED_VALUE"""),"svk")</f>
        <v>svk</v>
      </c>
      <c r="C14317" t="str">
        <f>IFERROR(__xludf.DUMMYFUNCTION("""COMPUTED_VALUE"""),"Slovak Republic")</f>
        <v>Slovak Republic</v>
      </c>
      <c r="D14317">
        <f>IFERROR(__xludf.DUMMYFUNCTION("""COMPUTED_VALUE"""),1976.0)</f>
        <v>1976</v>
      </c>
      <c r="E14317">
        <f>IFERROR(__xludf.DUMMYFUNCTION("""COMPUTED_VALUE"""),4801741.0)</f>
        <v>4801741</v>
      </c>
    </row>
    <row r="14318">
      <c r="A14318" t="str">
        <f t="shared" si="1"/>
        <v>svk#1977</v>
      </c>
      <c r="B14318" t="str">
        <f>IFERROR(__xludf.DUMMYFUNCTION("""COMPUTED_VALUE"""),"svk")</f>
        <v>svk</v>
      </c>
      <c r="C14318" t="str">
        <f>IFERROR(__xludf.DUMMYFUNCTION("""COMPUTED_VALUE"""),"Slovak Republic")</f>
        <v>Slovak Republic</v>
      </c>
      <c r="D14318">
        <f>IFERROR(__xludf.DUMMYFUNCTION("""COMPUTED_VALUE"""),1977.0)</f>
        <v>1977</v>
      </c>
      <c r="E14318">
        <f>IFERROR(__xludf.DUMMYFUNCTION("""COMPUTED_VALUE"""),4852497.0)</f>
        <v>4852497</v>
      </c>
    </row>
    <row r="14319">
      <c r="A14319" t="str">
        <f t="shared" si="1"/>
        <v>svk#1978</v>
      </c>
      <c r="B14319" t="str">
        <f>IFERROR(__xludf.DUMMYFUNCTION("""COMPUTED_VALUE"""),"svk")</f>
        <v>svk</v>
      </c>
      <c r="C14319" t="str">
        <f>IFERROR(__xludf.DUMMYFUNCTION("""COMPUTED_VALUE"""),"Slovak Republic")</f>
        <v>Slovak Republic</v>
      </c>
      <c r="D14319">
        <f>IFERROR(__xludf.DUMMYFUNCTION("""COMPUTED_VALUE"""),1978.0)</f>
        <v>1978</v>
      </c>
      <c r="E14319">
        <f>IFERROR(__xludf.DUMMYFUNCTION("""COMPUTED_VALUE"""),4903202.0)</f>
        <v>4903202</v>
      </c>
    </row>
    <row r="14320">
      <c r="A14320" t="str">
        <f t="shared" si="1"/>
        <v>svk#1979</v>
      </c>
      <c r="B14320" t="str">
        <f>IFERROR(__xludf.DUMMYFUNCTION("""COMPUTED_VALUE"""),"svk")</f>
        <v>svk</v>
      </c>
      <c r="C14320" t="str">
        <f>IFERROR(__xludf.DUMMYFUNCTION("""COMPUTED_VALUE"""),"Slovak Republic")</f>
        <v>Slovak Republic</v>
      </c>
      <c r="D14320">
        <f>IFERROR(__xludf.DUMMYFUNCTION("""COMPUTED_VALUE"""),1979.0)</f>
        <v>1979</v>
      </c>
      <c r="E14320">
        <f>IFERROR(__xludf.DUMMYFUNCTION("""COMPUTED_VALUE"""),4951788.0)</f>
        <v>4951788</v>
      </c>
    </row>
    <row r="14321">
      <c r="A14321" t="str">
        <f t="shared" si="1"/>
        <v>svk#1980</v>
      </c>
      <c r="B14321" t="str">
        <f>IFERROR(__xludf.DUMMYFUNCTION("""COMPUTED_VALUE"""),"svk")</f>
        <v>svk</v>
      </c>
      <c r="C14321" t="str">
        <f>IFERROR(__xludf.DUMMYFUNCTION("""COMPUTED_VALUE"""),"Slovak Republic")</f>
        <v>Slovak Republic</v>
      </c>
      <c r="D14321">
        <f>IFERROR(__xludf.DUMMYFUNCTION("""COMPUTED_VALUE"""),1980.0)</f>
        <v>1980</v>
      </c>
      <c r="E14321">
        <f>IFERROR(__xludf.DUMMYFUNCTION("""COMPUTED_VALUE"""),4996731.0)</f>
        <v>4996731</v>
      </c>
    </row>
    <row r="14322">
      <c r="A14322" t="str">
        <f t="shared" si="1"/>
        <v>svk#1981</v>
      </c>
      <c r="B14322" t="str">
        <f>IFERROR(__xludf.DUMMYFUNCTION("""COMPUTED_VALUE"""),"svk")</f>
        <v>svk</v>
      </c>
      <c r="C14322" t="str">
        <f>IFERROR(__xludf.DUMMYFUNCTION("""COMPUTED_VALUE"""),"Slovak Republic")</f>
        <v>Slovak Republic</v>
      </c>
      <c r="D14322">
        <f>IFERROR(__xludf.DUMMYFUNCTION("""COMPUTED_VALUE"""),1981.0)</f>
        <v>1981</v>
      </c>
      <c r="E14322">
        <f>IFERROR(__xludf.DUMMYFUNCTION("""COMPUTED_VALUE"""),5037341.0)</f>
        <v>5037341</v>
      </c>
    </row>
    <row r="14323">
      <c r="A14323" t="str">
        <f t="shared" si="1"/>
        <v>svk#1982</v>
      </c>
      <c r="B14323" t="str">
        <f>IFERROR(__xludf.DUMMYFUNCTION("""COMPUTED_VALUE"""),"svk")</f>
        <v>svk</v>
      </c>
      <c r="C14323" t="str">
        <f>IFERROR(__xludf.DUMMYFUNCTION("""COMPUTED_VALUE"""),"Slovak Republic")</f>
        <v>Slovak Republic</v>
      </c>
      <c r="D14323">
        <f>IFERROR(__xludf.DUMMYFUNCTION("""COMPUTED_VALUE"""),1982.0)</f>
        <v>1982</v>
      </c>
      <c r="E14323">
        <f>IFERROR(__xludf.DUMMYFUNCTION("""COMPUTED_VALUE"""),5073890.0)</f>
        <v>5073890</v>
      </c>
    </row>
    <row r="14324">
      <c r="A14324" t="str">
        <f t="shared" si="1"/>
        <v>svk#1983</v>
      </c>
      <c r="B14324" t="str">
        <f>IFERROR(__xludf.DUMMYFUNCTION("""COMPUTED_VALUE"""),"svk")</f>
        <v>svk</v>
      </c>
      <c r="C14324" t="str">
        <f>IFERROR(__xludf.DUMMYFUNCTION("""COMPUTED_VALUE"""),"Slovak Republic")</f>
        <v>Slovak Republic</v>
      </c>
      <c r="D14324">
        <f>IFERROR(__xludf.DUMMYFUNCTION("""COMPUTED_VALUE"""),1983.0)</f>
        <v>1983</v>
      </c>
      <c r="E14324">
        <f>IFERROR(__xludf.DUMMYFUNCTION("""COMPUTED_VALUE"""),5106989.0)</f>
        <v>5106989</v>
      </c>
    </row>
    <row r="14325">
      <c r="A14325" t="str">
        <f t="shared" si="1"/>
        <v>svk#1984</v>
      </c>
      <c r="B14325" t="str">
        <f>IFERROR(__xludf.DUMMYFUNCTION("""COMPUTED_VALUE"""),"svk")</f>
        <v>svk</v>
      </c>
      <c r="C14325" t="str">
        <f>IFERROR(__xludf.DUMMYFUNCTION("""COMPUTED_VALUE"""),"Slovak Republic")</f>
        <v>Slovak Republic</v>
      </c>
      <c r="D14325">
        <f>IFERROR(__xludf.DUMMYFUNCTION("""COMPUTED_VALUE"""),1984.0)</f>
        <v>1984</v>
      </c>
      <c r="E14325">
        <f>IFERROR(__xludf.DUMMYFUNCTION("""COMPUTED_VALUE"""),5137685.0)</f>
        <v>5137685</v>
      </c>
    </row>
    <row r="14326">
      <c r="A14326" t="str">
        <f t="shared" si="1"/>
        <v>svk#1985</v>
      </c>
      <c r="B14326" t="str">
        <f>IFERROR(__xludf.DUMMYFUNCTION("""COMPUTED_VALUE"""),"svk")</f>
        <v>svk</v>
      </c>
      <c r="C14326" t="str">
        <f>IFERROR(__xludf.DUMMYFUNCTION("""COMPUTED_VALUE"""),"Slovak Republic")</f>
        <v>Slovak Republic</v>
      </c>
      <c r="D14326">
        <f>IFERROR(__xludf.DUMMYFUNCTION("""COMPUTED_VALUE"""),1985.0)</f>
        <v>1985</v>
      </c>
      <c r="E14326">
        <f>IFERROR(__xludf.DUMMYFUNCTION("""COMPUTED_VALUE"""),5166798.0)</f>
        <v>5166798</v>
      </c>
    </row>
    <row r="14327">
      <c r="A14327" t="str">
        <f t="shared" si="1"/>
        <v>svk#1986</v>
      </c>
      <c r="B14327" t="str">
        <f>IFERROR(__xludf.DUMMYFUNCTION("""COMPUTED_VALUE"""),"svk")</f>
        <v>svk</v>
      </c>
      <c r="C14327" t="str">
        <f>IFERROR(__xludf.DUMMYFUNCTION("""COMPUTED_VALUE"""),"Slovak Republic")</f>
        <v>Slovak Republic</v>
      </c>
      <c r="D14327">
        <f>IFERROR(__xludf.DUMMYFUNCTION("""COMPUTED_VALUE"""),1986.0)</f>
        <v>1986</v>
      </c>
      <c r="E14327">
        <f>IFERROR(__xludf.DUMMYFUNCTION("""COMPUTED_VALUE"""),5194306.0)</f>
        <v>5194306</v>
      </c>
    </row>
    <row r="14328">
      <c r="A14328" t="str">
        <f t="shared" si="1"/>
        <v>svk#1987</v>
      </c>
      <c r="B14328" t="str">
        <f>IFERROR(__xludf.DUMMYFUNCTION("""COMPUTED_VALUE"""),"svk")</f>
        <v>svk</v>
      </c>
      <c r="C14328" t="str">
        <f>IFERROR(__xludf.DUMMYFUNCTION("""COMPUTED_VALUE"""),"Slovak Republic")</f>
        <v>Slovak Republic</v>
      </c>
      <c r="D14328">
        <f>IFERROR(__xludf.DUMMYFUNCTION("""COMPUTED_VALUE"""),1987.0)</f>
        <v>1987</v>
      </c>
      <c r="E14328">
        <f>IFERROR(__xludf.DUMMYFUNCTION("""COMPUTED_VALUE"""),5219959.0)</f>
        <v>5219959</v>
      </c>
    </row>
    <row r="14329">
      <c r="A14329" t="str">
        <f t="shared" si="1"/>
        <v>svk#1988</v>
      </c>
      <c r="B14329" t="str">
        <f>IFERROR(__xludf.DUMMYFUNCTION("""COMPUTED_VALUE"""),"svk")</f>
        <v>svk</v>
      </c>
      <c r="C14329" t="str">
        <f>IFERROR(__xludf.DUMMYFUNCTION("""COMPUTED_VALUE"""),"Slovak Republic")</f>
        <v>Slovak Republic</v>
      </c>
      <c r="D14329">
        <f>IFERROR(__xludf.DUMMYFUNCTION("""COMPUTED_VALUE"""),1988.0)</f>
        <v>1988</v>
      </c>
      <c r="E14329">
        <f>IFERROR(__xludf.DUMMYFUNCTION("""COMPUTED_VALUE"""),5244036.0)</f>
        <v>5244036</v>
      </c>
    </row>
    <row r="14330">
      <c r="A14330" t="str">
        <f t="shared" si="1"/>
        <v>svk#1989</v>
      </c>
      <c r="B14330" t="str">
        <f>IFERROR(__xludf.DUMMYFUNCTION("""COMPUTED_VALUE"""),"svk")</f>
        <v>svk</v>
      </c>
      <c r="C14330" t="str">
        <f>IFERROR(__xludf.DUMMYFUNCTION("""COMPUTED_VALUE"""),"Slovak Republic")</f>
        <v>Slovak Republic</v>
      </c>
      <c r="D14330">
        <f>IFERROR(__xludf.DUMMYFUNCTION("""COMPUTED_VALUE"""),1989.0)</f>
        <v>1989</v>
      </c>
      <c r="E14330">
        <f>IFERROR(__xludf.DUMMYFUNCTION("""COMPUTED_VALUE"""),5266804.0)</f>
        <v>5266804</v>
      </c>
    </row>
    <row r="14331">
      <c r="A14331" t="str">
        <f t="shared" si="1"/>
        <v>svk#1990</v>
      </c>
      <c r="B14331" t="str">
        <f>IFERROR(__xludf.DUMMYFUNCTION("""COMPUTED_VALUE"""),"svk")</f>
        <v>svk</v>
      </c>
      <c r="C14331" t="str">
        <f>IFERROR(__xludf.DUMMYFUNCTION("""COMPUTED_VALUE"""),"Slovak Republic")</f>
        <v>Slovak Republic</v>
      </c>
      <c r="D14331">
        <f>IFERROR(__xludf.DUMMYFUNCTION("""COMPUTED_VALUE"""),1990.0)</f>
        <v>1990</v>
      </c>
      <c r="E14331">
        <f>IFERROR(__xludf.DUMMYFUNCTION("""COMPUTED_VALUE"""),5288454.0)</f>
        <v>5288454</v>
      </c>
    </row>
    <row r="14332">
      <c r="A14332" t="str">
        <f t="shared" si="1"/>
        <v>svk#1991</v>
      </c>
      <c r="B14332" t="str">
        <f>IFERROR(__xludf.DUMMYFUNCTION("""COMPUTED_VALUE"""),"svk")</f>
        <v>svk</v>
      </c>
      <c r="C14332" t="str">
        <f>IFERROR(__xludf.DUMMYFUNCTION("""COMPUTED_VALUE"""),"Slovak Republic")</f>
        <v>Slovak Republic</v>
      </c>
      <c r="D14332">
        <f>IFERROR(__xludf.DUMMYFUNCTION("""COMPUTED_VALUE"""),1991.0)</f>
        <v>1991</v>
      </c>
      <c r="E14332">
        <f>IFERROR(__xludf.DUMMYFUNCTION("""COMPUTED_VALUE"""),5309235.0)</f>
        <v>5309235</v>
      </c>
    </row>
    <row r="14333">
      <c r="A14333" t="str">
        <f t="shared" si="1"/>
        <v>svk#1992</v>
      </c>
      <c r="B14333" t="str">
        <f>IFERROR(__xludf.DUMMYFUNCTION("""COMPUTED_VALUE"""),"svk")</f>
        <v>svk</v>
      </c>
      <c r="C14333" t="str">
        <f>IFERROR(__xludf.DUMMYFUNCTION("""COMPUTED_VALUE"""),"Slovak Republic")</f>
        <v>Slovak Republic</v>
      </c>
      <c r="D14333">
        <f>IFERROR(__xludf.DUMMYFUNCTION("""COMPUTED_VALUE"""),1992.0)</f>
        <v>1992</v>
      </c>
      <c r="E14333">
        <f>IFERROR(__xludf.DUMMYFUNCTION("""COMPUTED_VALUE"""),5329033.0)</f>
        <v>5329033</v>
      </c>
    </row>
    <row r="14334">
      <c r="A14334" t="str">
        <f t="shared" si="1"/>
        <v>svk#1993</v>
      </c>
      <c r="B14334" t="str">
        <f>IFERROR(__xludf.DUMMYFUNCTION("""COMPUTED_VALUE"""),"svk")</f>
        <v>svk</v>
      </c>
      <c r="C14334" t="str">
        <f>IFERROR(__xludf.DUMMYFUNCTION("""COMPUTED_VALUE"""),"Slovak Republic")</f>
        <v>Slovak Republic</v>
      </c>
      <c r="D14334">
        <f>IFERROR(__xludf.DUMMYFUNCTION("""COMPUTED_VALUE"""),1993.0)</f>
        <v>1993</v>
      </c>
      <c r="E14334">
        <f>IFERROR(__xludf.DUMMYFUNCTION("""COMPUTED_VALUE"""),5347214.0)</f>
        <v>5347214</v>
      </c>
    </row>
    <row r="14335">
      <c r="A14335" t="str">
        <f t="shared" si="1"/>
        <v>svk#1994</v>
      </c>
      <c r="B14335" t="str">
        <f>IFERROR(__xludf.DUMMYFUNCTION("""COMPUTED_VALUE"""),"svk")</f>
        <v>svk</v>
      </c>
      <c r="C14335" t="str">
        <f>IFERROR(__xludf.DUMMYFUNCTION("""COMPUTED_VALUE"""),"Slovak Republic")</f>
        <v>Slovak Republic</v>
      </c>
      <c r="D14335">
        <f>IFERROR(__xludf.DUMMYFUNCTION("""COMPUTED_VALUE"""),1994.0)</f>
        <v>1994</v>
      </c>
      <c r="E14335">
        <f>IFERROR(__xludf.DUMMYFUNCTION("""COMPUTED_VALUE"""),5362896.0)</f>
        <v>5362896</v>
      </c>
    </row>
    <row r="14336">
      <c r="A14336" t="str">
        <f t="shared" si="1"/>
        <v>svk#1995</v>
      </c>
      <c r="B14336" t="str">
        <f>IFERROR(__xludf.DUMMYFUNCTION("""COMPUTED_VALUE"""),"svk")</f>
        <v>svk</v>
      </c>
      <c r="C14336" t="str">
        <f>IFERROR(__xludf.DUMMYFUNCTION("""COMPUTED_VALUE"""),"Slovak Republic")</f>
        <v>Slovak Republic</v>
      </c>
      <c r="D14336">
        <f>IFERROR(__xludf.DUMMYFUNCTION("""COMPUTED_VALUE"""),1995.0)</f>
        <v>1995</v>
      </c>
      <c r="E14336">
        <f>IFERROR(__xludf.DUMMYFUNCTION("""COMPUTED_VALUE"""),5375470.0)</f>
        <v>5375470</v>
      </c>
    </row>
    <row r="14337">
      <c r="A14337" t="str">
        <f t="shared" si="1"/>
        <v>svk#1996</v>
      </c>
      <c r="B14337" t="str">
        <f>IFERROR(__xludf.DUMMYFUNCTION("""COMPUTED_VALUE"""),"svk")</f>
        <v>svk</v>
      </c>
      <c r="C14337" t="str">
        <f>IFERROR(__xludf.DUMMYFUNCTION("""COMPUTED_VALUE"""),"Slovak Republic")</f>
        <v>Slovak Republic</v>
      </c>
      <c r="D14337">
        <f>IFERROR(__xludf.DUMMYFUNCTION("""COMPUTED_VALUE"""),1996.0)</f>
        <v>1996</v>
      </c>
      <c r="E14337">
        <f>IFERROR(__xludf.DUMMYFUNCTION("""COMPUTED_VALUE"""),5384788.0)</f>
        <v>5384788</v>
      </c>
    </row>
    <row r="14338">
      <c r="A14338" t="str">
        <f t="shared" si="1"/>
        <v>svk#1997</v>
      </c>
      <c r="B14338" t="str">
        <f>IFERROR(__xludf.DUMMYFUNCTION("""COMPUTED_VALUE"""),"svk")</f>
        <v>svk</v>
      </c>
      <c r="C14338" t="str">
        <f>IFERROR(__xludf.DUMMYFUNCTION("""COMPUTED_VALUE"""),"Slovak Republic")</f>
        <v>Slovak Republic</v>
      </c>
      <c r="D14338">
        <f>IFERROR(__xludf.DUMMYFUNCTION("""COMPUTED_VALUE"""),1997.0)</f>
        <v>1997</v>
      </c>
      <c r="E14338">
        <f>IFERROR(__xludf.DUMMYFUNCTION("""COMPUTED_VALUE"""),5391204.0)</f>
        <v>5391204</v>
      </c>
    </row>
    <row r="14339">
      <c r="A14339" t="str">
        <f t="shared" si="1"/>
        <v>svk#1998</v>
      </c>
      <c r="B14339" t="str">
        <f>IFERROR(__xludf.DUMMYFUNCTION("""COMPUTED_VALUE"""),"svk")</f>
        <v>svk</v>
      </c>
      <c r="C14339" t="str">
        <f>IFERROR(__xludf.DUMMYFUNCTION("""COMPUTED_VALUE"""),"Slovak Republic")</f>
        <v>Slovak Republic</v>
      </c>
      <c r="D14339">
        <f>IFERROR(__xludf.DUMMYFUNCTION("""COMPUTED_VALUE"""),1998.0)</f>
        <v>1998</v>
      </c>
      <c r="E14339">
        <f>IFERROR(__xludf.DUMMYFUNCTION("""COMPUTED_VALUE"""),5395254.0)</f>
        <v>5395254</v>
      </c>
    </row>
    <row r="14340">
      <c r="A14340" t="str">
        <f t="shared" si="1"/>
        <v>svk#1999</v>
      </c>
      <c r="B14340" t="str">
        <f>IFERROR(__xludf.DUMMYFUNCTION("""COMPUTED_VALUE"""),"svk")</f>
        <v>svk</v>
      </c>
      <c r="C14340" t="str">
        <f>IFERROR(__xludf.DUMMYFUNCTION("""COMPUTED_VALUE"""),"Slovak Republic")</f>
        <v>Slovak Republic</v>
      </c>
      <c r="D14340">
        <f>IFERROR(__xludf.DUMMYFUNCTION("""COMPUTED_VALUE"""),1999.0)</f>
        <v>1999</v>
      </c>
      <c r="E14340">
        <f>IFERROR(__xludf.DUMMYFUNCTION("""COMPUTED_VALUE"""),5397708.0)</f>
        <v>5397708</v>
      </c>
    </row>
    <row r="14341">
      <c r="A14341" t="str">
        <f t="shared" si="1"/>
        <v>svk#2000</v>
      </c>
      <c r="B14341" t="str">
        <f>IFERROR(__xludf.DUMMYFUNCTION("""COMPUTED_VALUE"""),"svk")</f>
        <v>svk</v>
      </c>
      <c r="C14341" t="str">
        <f>IFERROR(__xludf.DUMMYFUNCTION("""COMPUTED_VALUE"""),"Slovak Republic")</f>
        <v>Slovak Republic</v>
      </c>
      <c r="D14341">
        <f>IFERROR(__xludf.DUMMYFUNCTION("""COMPUTED_VALUE"""),2000.0)</f>
        <v>2000</v>
      </c>
      <c r="E14341">
        <f>IFERROR(__xludf.DUMMYFUNCTION("""COMPUTED_VALUE"""),5399211.0)</f>
        <v>5399211</v>
      </c>
    </row>
    <row r="14342">
      <c r="A14342" t="str">
        <f t="shared" si="1"/>
        <v>svk#2001</v>
      </c>
      <c r="B14342" t="str">
        <f>IFERROR(__xludf.DUMMYFUNCTION("""COMPUTED_VALUE"""),"svk")</f>
        <v>svk</v>
      </c>
      <c r="C14342" t="str">
        <f>IFERROR(__xludf.DUMMYFUNCTION("""COMPUTED_VALUE"""),"Slovak Republic")</f>
        <v>Slovak Republic</v>
      </c>
      <c r="D14342">
        <f>IFERROR(__xludf.DUMMYFUNCTION("""COMPUTED_VALUE"""),2001.0)</f>
        <v>2001</v>
      </c>
      <c r="E14342">
        <f>IFERROR(__xludf.DUMMYFUNCTION("""COMPUTED_VALUE"""),5400006.0)</f>
        <v>5400006</v>
      </c>
    </row>
    <row r="14343">
      <c r="A14343" t="str">
        <f t="shared" si="1"/>
        <v>svk#2002</v>
      </c>
      <c r="B14343" t="str">
        <f>IFERROR(__xludf.DUMMYFUNCTION("""COMPUTED_VALUE"""),"svk")</f>
        <v>svk</v>
      </c>
      <c r="C14343" t="str">
        <f>IFERROR(__xludf.DUMMYFUNCTION("""COMPUTED_VALUE"""),"Slovak Republic")</f>
        <v>Slovak Republic</v>
      </c>
      <c r="D14343">
        <f>IFERROR(__xludf.DUMMYFUNCTION("""COMPUTED_VALUE"""),2002.0)</f>
        <v>2002</v>
      </c>
      <c r="E14343">
        <f>IFERROR(__xludf.DUMMYFUNCTION("""COMPUTED_VALUE"""),5400154.0)</f>
        <v>5400154</v>
      </c>
    </row>
    <row r="14344">
      <c r="A14344" t="str">
        <f t="shared" si="1"/>
        <v>svk#2003</v>
      </c>
      <c r="B14344" t="str">
        <f>IFERROR(__xludf.DUMMYFUNCTION("""COMPUTED_VALUE"""),"svk")</f>
        <v>svk</v>
      </c>
      <c r="C14344" t="str">
        <f>IFERROR(__xludf.DUMMYFUNCTION("""COMPUTED_VALUE"""),"Slovak Republic")</f>
        <v>Slovak Republic</v>
      </c>
      <c r="D14344">
        <f>IFERROR(__xludf.DUMMYFUNCTION("""COMPUTED_VALUE"""),2003.0)</f>
        <v>2003</v>
      </c>
      <c r="E14344">
        <f>IFERROR(__xludf.DUMMYFUNCTION("""COMPUTED_VALUE"""),5399886.0)</f>
        <v>5399886</v>
      </c>
    </row>
    <row r="14345">
      <c r="A14345" t="str">
        <f t="shared" si="1"/>
        <v>svk#2004</v>
      </c>
      <c r="B14345" t="str">
        <f>IFERROR(__xludf.DUMMYFUNCTION("""COMPUTED_VALUE"""),"svk")</f>
        <v>svk</v>
      </c>
      <c r="C14345" t="str">
        <f>IFERROR(__xludf.DUMMYFUNCTION("""COMPUTED_VALUE"""),"Slovak Republic")</f>
        <v>Slovak Republic</v>
      </c>
      <c r="D14345">
        <f>IFERROR(__xludf.DUMMYFUNCTION("""COMPUTED_VALUE"""),2004.0)</f>
        <v>2004</v>
      </c>
      <c r="E14345">
        <f>IFERROR(__xludf.DUMMYFUNCTION("""COMPUTED_VALUE"""),5399419.0)</f>
        <v>5399419</v>
      </c>
    </row>
    <row r="14346">
      <c r="A14346" t="str">
        <f t="shared" si="1"/>
        <v>svk#2005</v>
      </c>
      <c r="B14346" t="str">
        <f>IFERROR(__xludf.DUMMYFUNCTION("""COMPUTED_VALUE"""),"svk")</f>
        <v>svk</v>
      </c>
      <c r="C14346" t="str">
        <f>IFERROR(__xludf.DUMMYFUNCTION("""COMPUTED_VALUE"""),"Slovak Republic")</f>
        <v>Slovak Republic</v>
      </c>
      <c r="D14346">
        <f>IFERROR(__xludf.DUMMYFUNCTION("""COMPUTED_VALUE"""),2005.0)</f>
        <v>2005</v>
      </c>
      <c r="E14346">
        <f>IFERROR(__xludf.DUMMYFUNCTION("""COMPUTED_VALUE"""),5398963.0)</f>
        <v>5398963</v>
      </c>
    </row>
    <row r="14347">
      <c r="A14347" t="str">
        <f t="shared" si="1"/>
        <v>svk#2006</v>
      </c>
      <c r="B14347" t="str">
        <f>IFERROR(__xludf.DUMMYFUNCTION("""COMPUTED_VALUE"""),"svk")</f>
        <v>svk</v>
      </c>
      <c r="C14347" t="str">
        <f>IFERROR(__xludf.DUMMYFUNCTION("""COMPUTED_VALUE"""),"Slovak Republic")</f>
        <v>Slovak Republic</v>
      </c>
      <c r="D14347">
        <f>IFERROR(__xludf.DUMMYFUNCTION("""COMPUTED_VALUE"""),2006.0)</f>
        <v>2006</v>
      </c>
      <c r="E14347">
        <f>IFERROR(__xludf.DUMMYFUNCTION("""COMPUTED_VALUE"""),5398541.0)</f>
        <v>5398541</v>
      </c>
    </row>
    <row r="14348">
      <c r="A14348" t="str">
        <f t="shared" si="1"/>
        <v>svk#2007</v>
      </c>
      <c r="B14348" t="str">
        <f>IFERROR(__xludf.DUMMYFUNCTION("""COMPUTED_VALUE"""),"svk")</f>
        <v>svk</v>
      </c>
      <c r="C14348" t="str">
        <f>IFERROR(__xludf.DUMMYFUNCTION("""COMPUTED_VALUE"""),"Slovak Republic")</f>
        <v>Slovak Republic</v>
      </c>
      <c r="D14348">
        <f>IFERROR(__xludf.DUMMYFUNCTION("""COMPUTED_VALUE"""),2007.0)</f>
        <v>2007</v>
      </c>
      <c r="E14348">
        <f>IFERROR(__xludf.DUMMYFUNCTION("""COMPUTED_VALUE"""),5398326.0)</f>
        <v>5398326</v>
      </c>
    </row>
    <row r="14349">
      <c r="A14349" t="str">
        <f t="shared" si="1"/>
        <v>svk#2008</v>
      </c>
      <c r="B14349" t="str">
        <f>IFERROR(__xludf.DUMMYFUNCTION("""COMPUTED_VALUE"""),"svk")</f>
        <v>svk</v>
      </c>
      <c r="C14349" t="str">
        <f>IFERROR(__xludf.DUMMYFUNCTION("""COMPUTED_VALUE"""),"Slovak Republic")</f>
        <v>Slovak Republic</v>
      </c>
      <c r="D14349">
        <f>IFERROR(__xludf.DUMMYFUNCTION("""COMPUTED_VALUE"""),2008.0)</f>
        <v>2008</v>
      </c>
      <c r="E14349">
        <f>IFERROR(__xludf.DUMMYFUNCTION("""COMPUTED_VALUE"""),5398856.0)</f>
        <v>5398856</v>
      </c>
    </row>
    <row r="14350">
      <c r="A14350" t="str">
        <f t="shared" si="1"/>
        <v>svk#2009</v>
      </c>
      <c r="B14350" t="str">
        <f>IFERROR(__xludf.DUMMYFUNCTION("""COMPUTED_VALUE"""),"svk")</f>
        <v>svk</v>
      </c>
      <c r="C14350" t="str">
        <f>IFERROR(__xludf.DUMMYFUNCTION("""COMPUTED_VALUE"""),"Slovak Republic")</f>
        <v>Slovak Republic</v>
      </c>
      <c r="D14350">
        <f>IFERROR(__xludf.DUMMYFUNCTION("""COMPUTED_VALUE"""),2009.0)</f>
        <v>2009</v>
      </c>
      <c r="E14350">
        <f>IFERROR(__xludf.DUMMYFUNCTION("""COMPUTED_VALUE"""),5400719.0)</f>
        <v>5400719</v>
      </c>
    </row>
    <row r="14351">
      <c r="A14351" t="str">
        <f t="shared" si="1"/>
        <v>svk#2010</v>
      </c>
      <c r="B14351" t="str">
        <f>IFERROR(__xludf.DUMMYFUNCTION("""COMPUTED_VALUE"""),"svk")</f>
        <v>svk</v>
      </c>
      <c r="C14351" t="str">
        <f>IFERROR(__xludf.DUMMYFUNCTION("""COMPUTED_VALUE"""),"Slovak Republic")</f>
        <v>Slovak Republic</v>
      </c>
      <c r="D14351">
        <f>IFERROR(__xludf.DUMMYFUNCTION("""COMPUTED_VALUE"""),2010.0)</f>
        <v>2010</v>
      </c>
      <c r="E14351">
        <f>IFERROR(__xludf.DUMMYFUNCTION("""COMPUTED_VALUE"""),5404294.0)</f>
        <v>5404294</v>
      </c>
    </row>
    <row r="14352">
      <c r="A14352" t="str">
        <f t="shared" si="1"/>
        <v>svk#2011</v>
      </c>
      <c r="B14352" t="str">
        <f>IFERROR(__xludf.DUMMYFUNCTION("""COMPUTED_VALUE"""),"svk")</f>
        <v>svk</v>
      </c>
      <c r="C14352" t="str">
        <f>IFERROR(__xludf.DUMMYFUNCTION("""COMPUTED_VALUE"""),"Slovak Republic")</f>
        <v>Slovak Republic</v>
      </c>
      <c r="D14352">
        <f>IFERROR(__xludf.DUMMYFUNCTION("""COMPUTED_VALUE"""),2011.0)</f>
        <v>2011</v>
      </c>
      <c r="E14352">
        <f>IFERROR(__xludf.DUMMYFUNCTION("""COMPUTED_VALUE"""),5409847.0)</f>
        <v>5409847</v>
      </c>
    </row>
    <row r="14353">
      <c r="A14353" t="str">
        <f t="shared" si="1"/>
        <v>svk#2012</v>
      </c>
      <c r="B14353" t="str">
        <f>IFERROR(__xludf.DUMMYFUNCTION("""COMPUTED_VALUE"""),"svk")</f>
        <v>svk</v>
      </c>
      <c r="C14353" t="str">
        <f>IFERROR(__xludf.DUMMYFUNCTION("""COMPUTED_VALUE"""),"Slovak Republic")</f>
        <v>Slovak Republic</v>
      </c>
      <c r="D14353">
        <f>IFERROR(__xludf.DUMMYFUNCTION("""COMPUTED_VALUE"""),2012.0)</f>
        <v>2012</v>
      </c>
      <c r="E14353">
        <f>IFERROR(__xludf.DUMMYFUNCTION("""COMPUTED_VALUE"""),5417070.0)</f>
        <v>5417070</v>
      </c>
    </row>
    <row r="14354">
      <c r="A14354" t="str">
        <f t="shared" si="1"/>
        <v>svk#2013</v>
      </c>
      <c r="B14354" t="str">
        <f>IFERROR(__xludf.DUMMYFUNCTION("""COMPUTED_VALUE"""),"svk")</f>
        <v>svk</v>
      </c>
      <c r="C14354" t="str">
        <f>IFERROR(__xludf.DUMMYFUNCTION("""COMPUTED_VALUE"""),"Slovak Republic")</f>
        <v>Slovak Republic</v>
      </c>
      <c r="D14354">
        <f>IFERROR(__xludf.DUMMYFUNCTION("""COMPUTED_VALUE"""),2013.0)</f>
        <v>2013</v>
      </c>
      <c r="E14354">
        <f>IFERROR(__xludf.DUMMYFUNCTION("""COMPUTED_VALUE"""),5425130.0)</f>
        <v>5425130</v>
      </c>
    </row>
    <row r="14355">
      <c r="A14355" t="str">
        <f t="shared" si="1"/>
        <v>svk#2014</v>
      </c>
      <c r="B14355" t="str">
        <f>IFERROR(__xludf.DUMMYFUNCTION("""COMPUTED_VALUE"""),"svk")</f>
        <v>svk</v>
      </c>
      <c r="C14355" t="str">
        <f>IFERROR(__xludf.DUMMYFUNCTION("""COMPUTED_VALUE"""),"Slovak Republic")</f>
        <v>Slovak Republic</v>
      </c>
      <c r="D14355">
        <f>IFERROR(__xludf.DUMMYFUNCTION("""COMPUTED_VALUE"""),2014.0)</f>
        <v>2014</v>
      </c>
      <c r="E14355">
        <f>IFERROR(__xludf.DUMMYFUNCTION("""COMPUTED_VALUE"""),5432841.0)</f>
        <v>5432841</v>
      </c>
    </row>
    <row r="14356">
      <c r="A14356" t="str">
        <f t="shared" si="1"/>
        <v>svk#2015</v>
      </c>
      <c r="B14356" t="str">
        <f>IFERROR(__xludf.DUMMYFUNCTION("""COMPUTED_VALUE"""),"svk")</f>
        <v>svk</v>
      </c>
      <c r="C14356" t="str">
        <f>IFERROR(__xludf.DUMMYFUNCTION("""COMPUTED_VALUE"""),"Slovak Republic")</f>
        <v>Slovak Republic</v>
      </c>
      <c r="D14356">
        <f>IFERROR(__xludf.DUMMYFUNCTION("""COMPUTED_VALUE"""),2015.0)</f>
        <v>2015</v>
      </c>
      <c r="E14356">
        <f>IFERROR(__xludf.DUMMYFUNCTION("""COMPUTED_VALUE"""),5439318.0)</f>
        <v>5439318</v>
      </c>
    </row>
    <row r="14357">
      <c r="A14357" t="str">
        <f t="shared" si="1"/>
        <v>svk#2016</v>
      </c>
      <c r="B14357" t="str">
        <f>IFERROR(__xludf.DUMMYFUNCTION("""COMPUTED_VALUE"""),"svk")</f>
        <v>svk</v>
      </c>
      <c r="C14357" t="str">
        <f>IFERROR(__xludf.DUMMYFUNCTION("""COMPUTED_VALUE"""),"Slovak Republic")</f>
        <v>Slovak Republic</v>
      </c>
      <c r="D14357">
        <f>IFERROR(__xludf.DUMMYFUNCTION("""COMPUTED_VALUE"""),2016.0)</f>
        <v>2016</v>
      </c>
      <c r="E14357">
        <f>IFERROR(__xludf.DUMMYFUNCTION("""COMPUTED_VALUE"""),5444218.0)</f>
        <v>5444218</v>
      </c>
    </row>
    <row r="14358">
      <c r="A14358" t="str">
        <f t="shared" si="1"/>
        <v>svk#2017</v>
      </c>
      <c r="B14358" t="str">
        <f>IFERROR(__xludf.DUMMYFUNCTION("""COMPUTED_VALUE"""),"svk")</f>
        <v>svk</v>
      </c>
      <c r="C14358" t="str">
        <f>IFERROR(__xludf.DUMMYFUNCTION("""COMPUTED_VALUE"""),"Slovak Republic")</f>
        <v>Slovak Republic</v>
      </c>
      <c r="D14358">
        <f>IFERROR(__xludf.DUMMYFUNCTION("""COMPUTED_VALUE"""),2017.0)</f>
        <v>2017</v>
      </c>
      <c r="E14358">
        <f>IFERROR(__xludf.DUMMYFUNCTION("""COMPUTED_VALUE"""),5447662.0)</f>
        <v>5447662</v>
      </c>
    </row>
    <row r="14359">
      <c r="A14359" t="str">
        <f t="shared" si="1"/>
        <v>svk#2018</v>
      </c>
      <c r="B14359" t="str">
        <f>IFERROR(__xludf.DUMMYFUNCTION("""COMPUTED_VALUE"""),"svk")</f>
        <v>svk</v>
      </c>
      <c r="C14359" t="str">
        <f>IFERROR(__xludf.DUMMYFUNCTION("""COMPUTED_VALUE"""),"Slovak Republic")</f>
        <v>Slovak Republic</v>
      </c>
      <c r="D14359">
        <f>IFERROR(__xludf.DUMMYFUNCTION("""COMPUTED_VALUE"""),2018.0)</f>
        <v>2018</v>
      </c>
      <c r="E14359">
        <f>IFERROR(__xludf.DUMMYFUNCTION("""COMPUTED_VALUE"""),5449816.0)</f>
        <v>5449816</v>
      </c>
    </row>
    <row r="14360">
      <c r="A14360" t="str">
        <f t="shared" si="1"/>
        <v>svk#2019</v>
      </c>
      <c r="B14360" t="str">
        <f>IFERROR(__xludf.DUMMYFUNCTION("""COMPUTED_VALUE"""),"svk")</f>
        <v>svk</v>
      </c>
      <c r="C14360" t="str">
        <f>IFERROR(__xludf.DUMMYFUNCTION("""COMPUTED_VALUE"""),"Slovak Republic")</f>
        <v>Slovak Republic</v>
      </c>
      <c r="D14360">
        <f>IFERROR(__xludf.DUMMYFUNCTION("""COMPUTED_VALUE"""),2019.0)</f>
        <v>2019</v>
      </c>
      <c r="E14360">
        <f>IFERROR(__xludf.DUMMYFUNCTION("""COMPUTED_VALUE"""),5450987.0)</f>
        <v>5450987</v>
      </c>
    </row>
    <row r="14361">
      <c r="A14361" t="str">
        <f t="shared" si="1"/>
        <v>svk#2020</v>
      </c>
      <c r="B14361" t="str">
        <f>IFERROR(__xludf.DUMMYFUNCTION("""COMPUTED_VALUE"""),"svk")</f>
        <v>svk</v>
      </c>
      <c r="C14361" t="str">
        <f>IFERROR(__xludf.DUMMYFUNCTION("""COMPUTED_VALUE"""),"Slovak Republic")</f>
        <v>Slovak Republic</v>
      </c>
      <c r="D14361">
        <f>IFERROR(__xludf.DUMMYFUNCTION("""COMPUTED_VALUE"""),2020.0)</f>
        <v>2020</v>
      </c>
      <c r="E14361">
        <f>IFERROR(__xludf.DUMMYFUNCTION("""COMPUTED_VALUE"""),5451400.0)</f>
        <v>5451400</v>
      </c>
    </row>
    <row r="14362">
      <c r="A14362" t="str">
        <f t="shared" si="1"/>
        <v>svk#2021</v>
      </c>
      <c r="B14362" t="str">
        <f>IFERROR(__xludf.DUMMYFUNCTION("""COMPUTED_VALUE"""),"svk")</f>
        <v>svk</v>
      </c>
      <c r="C14362" t="str">
        <f>IFERROR(__xludf.DUMMYFUNCTION("""COMPUTED_VALUE"""),"Slovak Republic")</f>
        <v>Slovak Republic</v>
      </c>
      <c r="D14362">
        <f>IFERROR(__xludf.DUMMYFUNCTION("""COMPUTED_VALUE"""),2021.0)</f>
        <v>2021</v>
      </c>
      <c r="E14362">
        <f>IFERROR(__xludf.DUMMYFUNCTION("""COMPUTED_VALUE"""),5451033.0)</f>
        <v>5451033</v>
      </c>
    </row>
    <row r="14363">
      <c r="A14363" t="str">
        <f t="shared" si="1"/>
        <v>svk#2022</v>
      </c>
      <c r="B14363" t="str">
        <f>IFERROR(__xludf.DUMMYFUNCTION("""COMPUTED_VALUE"""),"svk")</f>
        <v>svk</v>
      </c>
      <c r="C14363" t="str">
        <f>IFERROR(__xludf.DUMMYFUNCTION("""COMPUTED_VALUE"""),"Slovak Republic")</f>
        <v>Slovak Republic</v>
      </c>
      <c r="D14363">
        <f>IFERROR(__xludf.DUMMYFUNCTION("""COMPUTED_VALUE"""),2022.0)</f>
        <v>2022</v>
      </c>
      <c r="E14363">
        <f>IFERROR(__xludf.DUMMYFUNCTION("""COMPUTED_VALUE"""),5449675.0)</f>
        <v>5449675</v>
      </c>
    </row>
    <row r="14364">
      <c r="A14364" t="str">
        <f t="shared" si="1"/>
        <v>svk#2023</v>
      </c>
      <c r="B14364" t="str">
        <f>IFERROR(__xludf.DUMMYFUNCTION("""COMPUTED_VALUE"""),"svk")</f>
        <v>svk</v>
      </c>
      <c r="C14364" t="str">
        <f>IFERROR(__xludf.DUMMYFUNCTION("""COMPUTED_VALUE"""),"Slovak Republic")</f>
        <v>Slovak Republic</v>
      </c>
      <c r="D14364">
        <f>IFERROR(__xludf.DUMMYFUNCTION("""COMPUTED_VALUE"""),2023.0)</f>
        <v>2023</v>
      </c>
      <c r="E14364">
        <f>IFERROR(__xludf.DUMMYFUNCTION("""COMPUTED_VALUE"""),5447152.0)</f>
        <v>5447152</v>
      </c>
    </row>
    <row r="14365">
      <c r="A14365" t="str">
        <f t="shared" si="1"/>
        <v>svk#2024</v>
      </c>
      <c r="B14365" t="str">
        <f>IFERROR(__xludf.DUMMYFUNCTION("""COMPUTED_VALUE"""),"svk")</f>
        <v>svk</v>
      </c>
      <c r="C14365" t="str">
        <f>IFERROR(__xludf.DUMMYFUNCTION("""COMPUTED_VALUE"""),"Slovak Republic")</f>
        <v>Slovak Republic</v>
      </c>
      <c r="D14365">
        <f>IFERROR(__xludf.DUMMYFUNCTION("""COMPUTED_VALUE"""),2024.0)</f>
        <v>2024</v>
      </c>
      <c r="E14365">
        <f>IFERROR(__xludf.DUMMYFUNCTION("""COMPUTED_VALUE"""),5443264.0)</f>
        <v>5443264</v>
      </c>
    </row>
    <row r="14366">
      <c r="A14366" t="str">
        <f t="shared" si="1"/>
        <v>svk#2025</v>
      </c>
      <c r="B14366" t="str">
        <f>IFERROR(__xludf.DUMMYFUNCTION("""COMPUTED_VALUE"""),"svk")</f>
        <v>svk</v>
      </c>
      <c r="C14366" t="str">
        <f>IFERROR(__xludf.DUMMYFUNCTION("""COMPUTED_VALUE"""),"Slovak Republic")</f>
        <v>Slovak Republic</v>
      </c>
      <c r="D14366">
        <f>IFERROR(__xludf.DUMMYFUNCTION("""COMPUTED_VALUE"""),2025.0)</f>
        <v>2025</v>
      </c>
      <c r="E14366">
        <f>IFERROR(__xludf.DUMMYFUNCTION("""COMPUTED_VALUE"""),5437850.0)</f>
        <v>5437850</v>
      </c>
    </row>
    <row r="14367">
      <c r="A14367" t="str">
        <f t="shared" si="1"/>
        <v>svk#2026</v>
      </c>
      <c r="B14367" t="str">
        <f>IFERROR(__xludf.DUMMYFUNCTION("""COMPUTED_VALUE"""),"svk")</f>
        <v>svk</v>
      </c>
      <c r="C14367" t="str">
        <f>IFERROR(__xludf.DUMMYFUNCTION("""COMPUTED_VALUE"""),"Slovak Republic")</f>
        <v>Slovak Republic</v>
      </c>
      <c r="D14367">
        <f>IFERROR(__xludf.DUMMYFUNCTION("""COMPUTED_VALUE"""),2026.0)</f>
        <v>2026</v>
      </c>
      <c r="E14367">
        <f>IFERROR(__xludf.DUMMYFUNCTION("""COMPUTED_VALUE"""),5430883.0)</f>
        <v>5430883</v>
      </c>
    </row>
    <row r="14368">
      <c r="A14368" t="str">
        <f t="shared" si="1"/>
        <v>svk#2027</v>
      </c>
      <c r="B14368" t="str">
        <f>IFERROR(__xludf.DUMMYFUNCTION("""COMPUTED_VALUE"""),"svk")</f>
        <v>svk</v>
      </c>
      <c r="C14368" t="str">
        <f>IFERROR(__xludf.DUMMYFUNCTION("""COMPUTED_VALUE"""),"Slovak Republic")</f>
        <v>Slovak Republic</v>
      </c>
      <c r="D14368">
        <f>IFERROR(__xludf.DUMMYFUNCTION("""COMPUTED_VALUE"""),2027.0)</f>
        <v>2027</v>
      </c>
      <c r="E14368">
        <f>IFERROR(__xludf.DUMMYFUNCTION("""COMPUTED_VALUE"""),5422382.0)</f>
        <v>5422382</v>
      </c>
    </row>
    <row r="14369">
      <c r="A14369" t="str">
        <f t="shared" si="1"/>
        <v>svk#2028</v>
      </c>
      <c r="B14369" t="str">
        <f>IFERROR(__xludf.DUMMYFUNCTION("""COMPUTED_VALUE"""),"svk")</f>
        <v>svk</v>
      </c>
      <c r="C14369" t="str">
        <f>IFERROR(__xludf.DUMMYFUNCTION("""COMPUTED_VALUE"""),"Slovak Republic")</f>
        <v>Slovak Republic</v>
      </c>
      <c r="D14369">
        <f>IFERROR(__xludf.DUMMYFUNCTION("""COMPUTED_VALUE"""),2028.0)</f>
        <v>2028</v>
      </c>
      <c r="E14369">
        <f>IFERROR(__xludf.DUMMYFUNCTION("""COMPUTED_VALUE"""),5412314.0)</f>
        <v>5412314</v>
      </c>
    </row>
    <row r="14370">
      <c r="A14370" t="str">
        <f t="shared" si="1"/>
        <v>svk#2029</v>
      </c>
      <c r="B14370" t="str">
        <f>IFERROR(__xludf.DUMMYFUNCTION("""COMPUTED_VALUE"""),"svk")</f>
        <v>svk</v>
      </c>
      <c r="C14370" t="str">
        <f>IFERROR(__xludf.DUMMYFUNCTION("""COMPUTED_VALUE"""),"Slovak Republic")</f>
        <v>Slovak Republic</v>
      </c>
      <c r="D14370">
        <f>IFERROR(__xludf.DUMMYFUNCTION("""COMPUTED_VALUE"""),2029.0)</f>
        <v>2029</v>
      </c>
      <c r="E14370">
        <f>IFERROR(__xludf.DUMMYFUNCTION("""COMPUTED_VALUE"""),5400672.0)</f>
        <v>5400672</v>
      </c>
    </row>
    <row r="14371">
      <c r="A14371" t="str">
        <f t="shared" si="1"/>
        <v>svk#2030</v>
      </c>
      <c r="B14371" t="str">
        <f>IFERROR(__xludf.DUMMYFUNCTION("""COMPUTED_VALUE"""),"svk")</f>
        <v>svk</v>
      </c>
      <c r="C14371" t="str">
        <f>IFERROR(__xludf.DUMMYFUNCTION("""COMPUTED_VALUE"""),"Slovak Republic")</f>
        <v>Slovak Republic</v>
      </c>
      <c r="D14371">
        <f>IFERROR(__xludf.DUMMYFUNCTION("""COMPUTED_VALUE"""),2030.0)</f>
        <v>2030</v>
      </c>
      <c r="E14371">
        <f>IFERROR(__xludf.DUMMYFUNCTION("""COMPUTED_VALUE"""),5387458.0)</f>
        <v>5387458</v>
      </c>
    </row>
    <row r="14372">
      <c r="A14372" t="str">
        <f t="shared" si="1"/>
        <v>svk#2031</v>
      </c>
      <c r="B14372" t="str">
        <f>IFERROR(__xludf.DUMMYFUNCTION("""COMPUTED_VALUE"""),"svk")</f>
        <v>svk</v>
      </c>
      <c r="C14372" t="str">
        <f>IFERROR(__xludf.DUMMYFUNCTION("""COMPUTED_VALUE"""),"Slovak Republic")</f>
        <v>Slovak Republic</v>
      </c>
      <c r="D14372">
        <f>IFERROR(__xludf.DUMMYFUNCTION("""COMPUTED_VALUE"""),2031.0)</f>
        <v>2031</v>
      </c>
      <c r="E14372">
        <f>IFERROR(__xludf.DUMMYFUNCTION("""COMPUTED_VALUE"""),5372681.0)</f>
        <v>5372681</v>
      </c>
    </row>
    <row r="14373">
      <c r="A14373" t="str">
        <f t="shared" si="1"/>
        <v>svk#2032</v>
      </c>
      <c r="B14373" t="str">
        <f>IFERROR(__xludf.DUMMYFUNCTION("""COMPUTED_VALUE"""),"svk")</f>
        <v>svk</v>
      </c>
      <c r="C14373" t="str">
        <f>IFERROR(__xludf.DUMMYFUNCTION("""COMPUTED_VALUE"""),"Slovak Republic")</f>
        <v>Slovak Republic</v>
      </c>
      <c r="D14373">
        <f>IFERROR(__xludf.DUMMYFUNCTION("""COMPUTED_VALUE"""),2032.0)</f>
        <v>2032</v>
      </c>
      <c r="E14373">
        <f>IFERROR(__xludf.DUMMYFUNCTION("""COMPUTED_VALUE"""),5356439.0)</f>
        <v>5356439</v>
      </c>
    </row>
    <row r="14374">
      <c r="A14374" t="str">
        <f t="shared" si="1"/>
        <v>svk#2033</v>
      </c>
      <c r="B14374" t="str">
        <f>IFERROR(__xludf.DUMMYFUNCTION("""COMPUTED_VALUE"""),"svk")</f>
        <v>svk</v>
      </c>
      <c r="C14374" t="str">
        <f>IFERROR(__xludf.DUMMYFUNCTION("""COMPUTED_VALUE"""),"Slovak Republic")</f>
        <v>Slovak Republic</v>
      </c>
      <c r="D14374">
        <f>IFERROR(__xludf.DUMMYFUNCTION("""COMPUTED_VALUE"""),2033.0)</f>
        <v>2033</v>
      </c>
      <c r="E14374">
        <f>IFERROR(__xludf.DUMMYFUNCTION("""COMPUTED_VALUE"""),5338865.0)</f>
        <v>5338865</v>
      </c>
    </row>
    <row r="14375">
      <c r="A14375" t="str">
        <f t="shared" si="1"/>
        <v>svk#2034</v>
      </c>
      <c r="B14375" t="str">
        <f>IFERROR(__xludf.DUMMYFUNCTION("""COMPUTED_VALUE"""),"svk")</f>
        <v>svk</v>
      </c>
      <c r="C14375" t="str">
        <f>IFERROR(__xludf.DUMMYFUNCTION("""COMPUTED_VALUE"""),"Slovak Republic")</f>
        <v>Slovak Republic</v>
      </c>
      <c r="D14375">
        <f>IFERROR(__xludf.DUMMYFUNCTION("""COMPUTED_VALUE"""),2034.0)</f>
        <v>2034</v>
      </c>
      <c r="E14375">
        <f>IFERROR(__xludf.DUMMYFUNCTION("""COMPUTED_VALUE"""),5320187.0)</f>
        <v>5320187</v>
      </c>
    </row>
    <row r="14376">
      <c r="A14376" t="str">
        <f t="shared" si="1"/>
        <v>svk#2035</v>
      </c>
      <c r="B14376" t="str">
        <f>IFERROR(__xludf.DUMMYFUNCTION("""COMPUTED_VALUE"""),"svk")</f>
        <v>svk</v>
      </c>
      <c r="C14376" t="str">
        <f>IFERROR(__xludf.DUMMYFUNCTION("""COMPUTED_VALUE"""),"Slovak Republic")</f>
        <v>Slovak Republic</v>
      </c>
      <c r="D14376">
        <f>IFERROR(__xludf.DUMMYFUNCTION("""COMPUTED_VALUE"""),2035.0)</f>
        <v>2035</v>
      </c>
      <c r="E14376">
        <f>IFERROR(__xludf.DUMMYFUNCTION("""COMPUTED_VALUE"""),5300586.0)</f>
        <v>5300586</v>
      </c>
    </row>
    <row r="14377">
      <c r="A14377" t="str">
        <f t="shared" si="1"/>
        <v>svk#2036</v>
      </c>
      <c r="B14377" t="str">
        <f>IFERROR(__xludf.DUMMYFUNCTION("""COMPUTED_VALUE"""),"svk")</f>
        <v>svk</v>
      </c>
      <c r="C14377" t="str">
        <f>IFERROR(__xludf.DUMMYFUNCTION("""COMPUTED_VALUE"""),"Slovak Republic")</f>
        <v>Slovak Republic</v>
      </c>
      <c r="D14377">
        <f>IFERROR(__xludf.DUMMYFUNCTION("""COMPUTED_VALUE"""),2036.0)</f>
        <v>2036</v>
      </c>
      <c r="E14377">
        <f>IFERROR(__xludf.DUMMYFUNCTION("""COMPUTED_VALUE"""),5280148.0)</f>
        <v>5280148</v>
      </c>
    </row>
    <row r="14378">
      <c r="A14378" t="str">
        <f t="shared" si="1"/>
        <v>svk#2037</v>
      </c>
      <c r="B14378" t="str">
        <f>IFERROR(__xludf.DUMMYFUNCTION("""COMPUTED_VALUE"""),"svk")</f>
        <v>svk</v>
      </c>
      <c r="C14378" t="str">
        <f>IFERROR(__xludf.DUMMYFUNCTION("""COMPUTED_VALUE"""),"Slovak Republic")</f>
        <v>Slovak Republic</v>
      </c>
      <c r="D14378">
        <f>IFERROR(__xludf.DUMMYFUNCTION("""COMPUTED_VALUE"""),2037.0)</f>
        <v>2037</v>
      </c>
      <c r="E14378">
        <f>IFERROR(__xludf.DUMMYFUNCTION("""COMPUTED_VALUE"""),5258947.0)</f>
        <v>5258947</v>
      </c>
    </row>
    <row r="14379">
      <c r="A14379" t="str">
        <f t="shared" si="1"/>
        <v>svk#2038</v>
      </c>
      <c r="B14379" t="str">
        <f>IFERROR(__xludf.DUMMYFUNCTION("""COMPUTED_VALUE"""),"svk")</f>
        <v>svk</v>
      </c>
      <c r="C14379" t="str">
        <f>IFERROR(__xludf.DUMMYFUNCTION("""COMPUTED_VALUE"""),"Slovak Republic")</f>
        <v>Slovak Republic</v>
      </c>
      <c r="D14379">
        <f>IFERROR(__xludf.DUMMYFUNCTION("""COMPUTED_VALUE"""),2038.0)</f>
        <v>2038</v>
      </c>
      <c r="E14379">
        <f>IFERROR(__xludf.DUMMYFUNCTION("""COMPUTED_VALUE"""),5237153.0)</f>
        <v>5237153</v>
      </c>
    </row>
    <row r="14380">
      <c r="A14380" t="str">
        <f t="shared" si="1"/>
        <v>svk#2039</v>
      </c>
      <c r="B14380" t="str">
        <f>IFERROR(__xludf.DUMMYFUNCTION("""COMPUTED_VALUE"""),"svk")</f>
        <v>svk</v>
      </c>
      <c r="C14380" t="str">
        <f>IFERROR(__xludf.DUMMYFUNCTION("""COMPUTED_VALUE"""),"Slovak Republic")</f>
        <v>Slovak Republic</v>
      </c>
      <c r="D14380">
        <f>IFERROR(__xludf.DUMMYFUNCTION("""COMPUTED_VALUE"""),2039.0)</f>
        <v>2039</v>
      </c>
      <c r="E14380">
        <f>IFERROR(__xludf.DUMMYFUNCTION("""COMPUTED_VALUE"""),5214964.0)</f>
        <v>5214964</v>
      </c>
    </row>
    <row r="14381">
      <c r="A14381" t="str">
        <f t="shared" si="1"/>
        <v>svk#2040</v>
      </c>
      <c r="B14381" t="str">
        <f>IFERROR(__xludf.DUMMYFUNCTION("""COMPUTED_VALUE"""),"svk")</f>
        <v>svk</v>
      </c>
      <c r="C14381" t="str">
        <f>IFERROR(__xludf.DUMMYFUNCTION("""COMPUTED_VALUE"""),"Slovak Republic")</f>
        <v>Slovak Republic</v>
      </c>
      <c r="D14381">
        <f>IFERROR(__xludf.DUMMYFUNCTION("""COMPUTED_VALUE"""),2040.0)</f>
        <v>2040</v>
      </c>
      <c r="E14381">
        <f>IFERROR(__xludf.DUMMYFUNCTION("""COMPUTED_VALUE"""),5192521.0)</f>
        <v>5192521</v>
      </c>
    </row>
    <row r="14382">
      <c r="A14382" t="str">
        <f t="shared" si="1"/>
        <v>svn#1950</v>
      </c>
      <c r="B14382" t="str">
        <f>IFERROR(__xludf.DUMMYFUNCTION("""COMPUTED_VALUE"""),"svn")</f>
        <v>svn</v>
      </c>
      <c r="C14382" t="str">
        <f>IFERROR(__xludf.DUMMYFUNCTION("""COMPUTED_VALUE"""),"Slovenia")</f>
        <v>Slovenia</v>
      </c>
      <c r="D14382">
        <f>IFERROR(__xludf.DUMMYFUNCTION("""COMPUTED_VALUE"""),1950.0)</f>
        <v>1950</v>
      </c>
      <c r="E14382">
        <f>IFERROR(__xludf.DUMMYFUNCTION("""COMPUTED_VALUE"""),1473093.0)</f>
        <v>1473093</v>
      </c>
    </row>
    <row r="14383">
      <c r="A14383" t="str">
        <f t="shared" si="1"/>
        <v>svn#1951</v>
      </c>
      <c r="B14383" t="str">
        <f>IFERROR(__xludf.DUMMYFUNCTION("""COMPUTED_VALUE"""),"svn")</f>
        <v>svn</v>
      </c>
      <c r="C14383" t="str">
        <f>IFERROR(__xludf.DUMMYFUNCTION("""COMPUTED_VALUE"""),"Slovenia")</f>
        <v>Slovenia</v>
      </c>
      <c r="D14383">
        <f>IFERROR(__xludf.DUMMYFUNCTION("""COMPUTED_VALUE"""),1951.0)</f>
        <v>1951</v>
      </c>
      <c r="E14383">
        <f>IFERROR(__xludf.DUMMYFUNCTION("""COMPUTED_VALUE"""),1481632.0)</f>
        <v>1481632</v>
      </c>
    </row>
    <row r="14384">
      <c r="A14384" t="str">
        <f t="shared" si="1"/>
        <v>svn#1952</v>
      </c>
      <c r="B14384" t="str">
        <f>IFERROR(__xludf.DUMMYFUNCTION("""COMPUTED_VALUE"""),"svn")</f>
        <v>svn</v>
      </c>
      <c r="C14384" t="str">
        <f>IFERROR(__xludf.DUMMYFUNCTION("""COMPUTED_VALUE"""),"Slovenia")</f>
        <v>Slovenia</v>
      </c>
      <c r="D14384">
        <f>IFERROR(__xludf.DUMMYFUNCTION("""COMPUTED_VALUE"""),1952.0)</f>
        <v>1952</v>
      </c>
      <c r="E14384">
        <f>IFERROR(__xludf.DUMMYFUNCTION("""COMPUTED_VALUE"""),1491674.0)</f>
        <v>1491674</v>
      </c>
    </row>
    <row r="14385">
      <c r="A14385" t="str">
        <f t="shared" si="1"/>
        <v>svn#1953</v>
      </c>
      <c r="B14385" t="str">
        <f>IFERROR(__xludf.DUMMYFUNCTION("""COMPUTED_VALUE"""),"svn")</f>
        <v>svn</v>
      </c>
      <c r="C14385" t="str">
        <f>IFERROR(__xludf.DUMMYFUNCTION("""COMPUTED_VALUE"""),"Slovenia")</f>
        <v>Slovenia</v>
      </c>
      <c r="D14385">
        <f>IFERROR(__xludf.DUMMYFUNCTION("""COMPUTED_VALUE"""),1953.0)</f>
        <v>1953</v>
      </c>
      <c r="E14385">
        <f>IFERROR(__xludf.DUMMYFUNCTION("""COMPUTED_VALUE"""),1502844.0)</f>
        <v>1502844</v>
      </c>
    </row>
    <row r="14386">
      <c r="A14386" t="str">
        <f t="shared" si="1"/>
        <v>svn#1954</v>
      </c>
      <c r="B14386" t="str">
        <f>IFERROR(__xludf.DUMMYFUNCTION("""COMPUTED_VALUE"""),"svn")</f>
        <v>svn</v>
      </c>
      <c r="C14386" t="str">
        <f>IFERROR(__xludf.DUMMYFUNCTION("""COMPUTED_VALUE"""),"Slovenia")</f>
        <v>Slovenia</v>
      </c>
      <c r="D14386">
        <f>IFERROR(__xludf.DUMMYFUNCTION("""COMPUTED_VALUE"""),1954.0)</f>
        <v>1954</v>
      </c>
      <c r="E14386">
        <f>IFERROR(__xludf.DUMMYFUNCTION("""COMPUTED_VALUE"""),1514784.0)</f>
        <v>1514784</v>
      </c>
    </row>
    <row r="14387">
      <c r="A14387" t="str">
        <f t="shared" si="1"/>
        <v>svn#1955</v>
      </c>
      <c r="B14387" t="str">
        <f>IFERROR(__xludf.DUMMYFUNCTION("""COMPUTED_VALUE"""),"svn")</f>
        <v>svn</v>
      </c>
      <c r="C14387" t="str">
        <f>IFERROR(__xludf.DUMMYFUNCTION("""COMPUTED_VALUE"""),"Slovenia")</f>
        <v>Slovenia</v>
      </c>
      <c r="D14387">
        <f>IFERROR(__xludf.DUMMYFUNCTION("""COMPUTED_VALUE"""),1955.0)</f>
        <v>1955</v>
      </c>
      <c r="E14387">
        <f>IFERROR(__xludf.DUMMYFUNCTION("""COMPUTED_VALUE"""),1527206.0)</f>
        <v>1527206</v>
      </c>
    </row>
    <row r="14388">
      <c r="A14388" t="str">
        <f t="shared" si="1"/>
        <v>svn#1956</v>
      </c>
      <c r="B14388" t="str">
        <f>IFERROR(__xludf.DUMMYFUNCTION("""COMPUTED_VALUE"""),"svn")</f>
        <v>svn</v>
      </c>
      <c r="C14388" t="str">
        <f>IFERROR(__xludf.DUMMYFUNCTION("""COMPUTED_VALUE"""),"Slovenia")</f>
        <v>Slovenia</v>
      </c>
      <c r="D14388">
        <f>IFERROR(__xludf.DUMMYFUNCTION("""COMPUTED_VALUE"""),1956.0)</f>
        <v>1956</v>
      </c>
      <c r="E14388">
        <f>IFERROR(__xludf.DUMMYFUNCTION("""COMPUTED_VALUE"""),1539785.0)</f>
        <v>1539785</v>
      </c>
    </row>
    <row r="14389">
      <c r="A14389" t="str">
        <f t="shared" si="1"/>
        <v>svn#1957</v>
      </c>
      <c r="B14389" t="str">
        <f>IFERROR(__xludf.DUMMYFUNCTION("""COMPUTED_VALUE"""),"svn")</f>
        <v>svn</v>
      </c>
      <c r="C14389" t="str">
        <f>IFERROR(__xludf.DUMMYFUNCTION("""COMPUTED_VALUE"""),"Slovenia")</f>
        <v>Slovenia</v>
      </c>
      <c r="D14389">
        <f>IFERROR(__xludf.DUMMYFUNCTION("""COMPUTED_VALUE"""),1957.0)</f>
        <v>1957</v>
      </c>
      <c r="E14389">
        <f>IFERROR(__xludf.DUMMYFUNCTION("""COMPUTED_VALUE"""),1552253.0)</f>
        <v>1552253</v>
      </c>
    </row>
    <row r="14390">
      <c r="A14390" t="str">
        <f t="shared" si="1"/>
        <v>svn#1958</v>
      </c>
      <c r="B14390" t="str">
        <f>IFERROR(__xludf.DUMMYFUNCTION("""COMPUTED_VALUE"""),"svn")</f>
        <v>svn</v>
      </c>
      <c r="C14390" t="str">
        <f>IFERROR(__xludf.DUMMYFUNCTION("""COMPUTED_VALUE"""),"Slovenia")</f>
        <v>Slovenia</v>
      </c>
      <c r="D14390">
        <f>IFERROR(__xludf.DUMMYFUNCTION("""COMPUTED_VALUE"""),1958.0)</f>
        <v>1958</v>
      </c>
      <c r="E14390">
        <f>IFERROR(__xludf.DUMMYFUNCTION("""COMPUTED_VALUE"""),1564357.0)</f>
        <v>1564357</v>
      </c>
    </row>
    <row r="14391">
      <c r="A14391" t="str">
        <f t="shared" si="1"/>
        <v>svn#1959</v>
      </c>
      <c r="B14391" t="str">
        <f>IFERROR(__xludf.DUMMYFUNCTION("""COMPUTED_VALUE"""),"svn")</f>
        <v>svn</v>
      </c>
      <c r="C14391" t="str">
        <f>IFERROR(__xludf.DUMMYFUNCTION("""COMPUTED_VALUE"""),"Slovenia")</f>
        <v>Slovenia</v>
      </c>
      <c r="D14391">
        <f>IFERROR(__xludf.DUMMYFUNCTION("""COMPUTED_VALUE"""),1959.0)</f>
        <v>1959</v>
      </c>
      <c r="E14391">
        <f>IFERROR(__xludf.DUMMYFUNCTION("""COMPUTED_VALUE"""),1575872.0)</f>
        <v>1575872</v>
      </c>
    </row>
    <row r="14392">
      <c r="A14392" t="str">
        <f t="shared" si="1"/>
        <v>svn#1960</v>
      </c>
      <c r="B14392" t="str">
        <f>IFERROR(__xludf.DUMMYFUNCTION("""COMPUTED_VALUE"""),"svn")</f>
        <v>svn</v>
      </c>
      <c r="C14392" t="str">
        <f>IFERROR(__xludf.DUMMYFUNCTION("""COMPUTED_VALUE"""),"Slovenia")</f>
        <v>Slovenia</v>
      </c>
      <c r="D14392">
        <f>IFERROR(__xludf.DUMMYFUNCTION("""COMPUTED_VALUE"""),1960.0)</f>
        <v>1960</v>
      </c>
      <c r="E14392">
        <f>IFERROR(__xludf.DUMMYFUNCTION("""COMPUTED_VALUE"""),1586637.0)</f>
        <v>1586637</v>
      </c>
    </row>
    <row r="14393">
      <c r="A14393" t="str">
        <f t="shared" si="1"/>
        <v>svn#1961</v>
      </c>
      <c r="B14393" t="str">
        <f>IFERROR(__xludf.DUMMYFUNCTION("""COMPUTED_VALUE"""),"svn")</f>
        <v>svn</v>
      </c>
      <c r="C14393" t="str">
        <f>IFERROR(__xludf.DUMMYFUNCTION("""COMPUTED_VALUE"""),"Slovenia")</f>
        <v>Slovenia</v>
      </c>
      <c r="D14393">
        <f>IFERROR(__xludf.DUMMYFUNCTION("""COMPUTED_VALUE"""),1961.0)</f>
        <v>1961</v>
      </c>
      <c r="E14393">
        <f>IFERROR(__xludf.DUMMYFUNCTION("""COMPUTED_VALUE"""),1596558.0)</f>
        <v>1596558</v>
      </c>
    </row>
    <row r="14394">
      <c r="A14394" t="str">
        <f t="shared" si="1"/>
        <v>svn#1962</v>
      </c>
      <c r="B14394" t="str">
        <f>IFERROR(__xludf.DUMMYFUNCTION("""COMPUTED_VALUE"""),"svn")</f>
        <v>svn</v>
      </c>
      <c r="C14394" t="str">
        <f>IFERROR(__xludf.DUMMYFUNCTION("""COMPUTED_VALUE"""),"Slovenia")</f>
        <v>Slovenia</v>
      </c>
      <c r="D14394">
        <f>IFERROR(__xludf.DUMMYFUNCTION("""COMPUTED_VALUE"""),1962.0)</f>
        <v>1962</v>
      </c>
      <c r="E14394">
        <f>IFERROR(__xludf.DUMMYFUNCTION("""COMPUTED_VALUE"""),1605645.0)</f>
        <v>1605645</v>
      </c>
    </row>
    <row r="14395">
      <c r="A14395" t="str">
        <f t="shared" si="1"/>
        <v>svn#1963</v>
      </c>
      <c r="B14395" t="str">
        <f>IFERROR(__xludf.DUMMYFUNCTION("""COMPUTED_VALUE"""),"svn")</f>
        <v>svn</v>
      </c>
      <c r="C14395" t="str">
        <f>IFERROR(__xludf.DUMMYFUNCTION("""COMPUTED_VALUE"""),"Slovenia")</f>
        <v>Slovenia</v>
      </c>
      <c r="D14395">
        <f>IFERROR(__xludf.DUMMYFUNCTION("""COMPUTED_VALUE"""),1963.0)</f>
        <v>1963</v>
      </c>
      <c r="E14395">
        <f>IFERROR(__xludf.DUMMYFUNCTION("""COMPUTED_VALUE"""),1614021.0)</f>
        <v>1614021</v>
      </c>
    </row>
    <row r="14396">
      <c r="A14396" t="str">
        <f t="shared" si="1"/>
        <v>svn#1964</v>
      </c>
      <c r="B14396" t="str">
        <f>IFERROR(__xludf.DUMMYFUNCTION("""COMPUTED_VALUE"""),"svn")</f>
        <v>svn</v>
      </c>
      <c r="C14396" t="str">
        <f>IFERROR(__xludf.DUMMYFUNCTION("""COMPUTED_VALUE"""),"Slovenia")</f>
        <v>Slovenia</v>
      </c>
      <c r="D14396">
        <f>IFERROR(__xludf.DUMMYFUNCTION("""COMPUTED_VALUE"""),1964.0)</f>
        <v>1964</v>
      </c>
      <c r="E14396">
        <f>IFERROR(__xludf.DUMMYFUNCTION("""COMPUTED_VALUE"""),1621879.0)</f>
        <v>1621879</v>
      </c>
    </row>
    <row r="14397">
      <c r="A14397" t="str">
        <f t="shared" si="1"/>
        <v>svn#1965</v>
      </c>
      <c r="B14397" t="str">
        <f>IFERROR(__xludf.DUMMYFUNCTION("""COMPUTED_VALUE"""),"svn")</f>
        <v>svn</v>
      </c>
      <c r="C14397" t="str">
        <f>IFERROR(__xludf.DUMMYFUNCTION("""COMPUTED_VALUE"""),"Slovenia")</f>
        <v>Slovenia</v>
      </c>
      <c r="D14397">
        <f>IFERROR(__xludf.DUMMYFUNCTION("""COMPUTED_VALUE"""),1965.0)</f>
        <v>1965</v>
      </c>
      <c r="E14397">
        <f>IFERROR(__xludf.DUMMYFUNCTION("""COMPUTED_VALUE"""),1629434.0)</f>
        <v>1629434</v>
      </c>
    </row>
    <row r="14398">
      <c r="A14398" t="str">
        <f t="shared" si="1"/>
        <v>svn#1966</v>
      </c>
      <c r="B14398" t="str">
        <f>IFERROR(__xludf.DUMMYFUNCTION("""COMPUTED_VALUE"""),"svn")</f>
        <v>svn</v>
      </c>
      <c r="C14398" t="str">
        <f>IFERROR(__xludf.DUMMYFUNCTION("""COMPUTED_VALUE"""),"Slovenia")</f>
        <v>Slovenia</v>
      </c>
      <c r="D14398">
        <f>IFERROR(__xludf.DUMMYFUNCTION("""COMPUTED_VALUE"""),1966.0)</f>
        <v>1966</v>
      </c>
      <c r="E14398">
        <f>IFERROR(__xludf.DUMMYFUNCTION("""COMPUTED_VALUE"""),1636668.0)</f>
        <v>1636668</v>
      </c>
    </row>
    <row r="14399">
      <c r="A14399" t="str">
        <f t="shared" si="1"/>
        <v>svn#1967</v>
      </c>
      <c r="B14399" t="str">
        <f>IFERROR(__xludf.DUMMYFUNCTION("""COMPUTED_VALUE"""),"svn")</f>
        <v>svn</v>
      </c>
      <c r="C14399" t="str">
        <f>IFERROR(__xludf.DUMMYFUNCTION("""COMPUTED_VALUE"""),"Slovenia")</f>
        <v>Slovenia</v>
      </c>
      <c r="D14399">
        <f>IFERROR(__xludf.DUMMYFUNCTION("""COMPUTED_VALUE"""),1967.0)</f>
        <v>1967</v>
      </c>
      <c r="E14399">
        <f>IFERROR(__xludf.DUMMYFUNCTION("""COMPUTED_VALUE"""),1643700.0)</f>
        <v>1643700</v>
      </c>
    </row>
    <row r="14400">
      <c r="A14400" t="str">
        <f t="shared" si="1"/>
        <v>svn#1968</v>
      </c>
      <c r="B14400" t="str">
        <f>IFERROR(__xludf.DUMMYFUNCTION("""COMPUTED_VALUE"""),"svn")</f>
        <v>svn</v>
      </c>
      <c r="C14400" t="str">
        <f>IFERROR(__xludf.DUMMYFUNCTION("""COMPUTED_VALUE"""),"Slovenia")</f>
        <v>Slovenia</v>
      </c>
      <c r="D14400">
        <f>IFERROR(__xludf.DUMMYFUNCTION("""COMPUTED_VALUE"""),1968.0)</f>
        <v>1968</v>
      </c>
      <c r="E14400">
        <f>IFERROR(__xludf.DUMMYFUNCTION("""COMPUTED_VALUE"""),1651094.0)</f>
        <v>1651094</v>
      </c>
    </row>
    <row r="14401">
      <c r="A14401" t="str">
        <f t="shared" si="1"/>
        <v>svn#1969</v>
      </c>
      <c r="B14401" t="str">
        <f>IFERROR(__xludf.DUMMYFUNCTION("""COMPUTED_VALUE"""),"svn")</f>
        <v>svn</v>
      </c>
      <c r="C14401" t="str">
        <f>IFERROR(__xludf.DUMMYFUNCTION("""COMPUTED_VALUE"""),"Slovenia")</f>
        <v>Slovenia</v>
      </c>
      <c r="D14401">
        <f>IFERROR(__xludf.DUMMYFUNCTION("""COMPUTED_VALUE"""),1969.0)</f>
        <v>1969</v>
      </c>
      <c r="E14401">
        <f>IFERROR(__xludf.DUMMYFUNCTION("""COMPUTED_VALUE"""),1659554.0)</f>
        <v>1659554</v>
      </c>
    </row>
    <row r="14402">
      <c r="A14402" t="str">
        <f t="shared" si="1"/>
        <v>svn#1970</v>
      </c>
      <c r="B14402" t="str">
        <f>IFERROR(__xludf.DUMMYFUNCTION("""COMPUTED_VALUE"""),"svn")</f>
        <v>svn</v>
      </c>
      <c r="C14402" t="str">
        <f>IFERROR(__xludf.DUMMYFUNCTION("""COMPUTED_VALUE"""),"Slovenia")</f>
        <v>Slovenia</v>
      </c>
      <c r="D14402">
        <f>IFERROR(__xludf.DUMMYFUNCTION("""COMPUTED_VALUE"""),1970.0)</f>
        <v>1970</v>
      </c>
      <c r="E14402">
        <f>IFERROR(__xludf.DUMMYFUNCTION("""COMPUTED_VALUE"""),1669581.0)</f>
        <v>1669581</v>
      </c>
    </row>
    <row r="14403">
      <c r="A14403" t="str">
        <f t="shared" si="1"/>
        <v>svn#1971</v>
      </c>
      <c r="B14403" t="str">
        <f>IFERROR(__xludf.DUMMYFUNCTION("""COMPUTED_VALUE"""),"svn")</f>
        <v>svn</v>
      </c>
      <c r="C14403" t="str">
        <f>IFERROR(__xludf.DUMMYFUNCTION("""COMPUTED_VALUE"""),"Slovenia")</f>
        <v>Slovenia</v>
      </c>
      <c r="D14403">
        <f>IFERROR(__xludf.DUMMYFUNCTION("""COMPUTED_VALUE"""),1971.0)</f>
        <v>1971</v>
      </c>
      <c r="E14403">
        <f>IFERROR(__xludf.DUMMYFUNCTION("""COMPUTED_VALUE"""),1681427.0)</f>
        <v>1681427</v>
      </c>
    </row>
    <row r="14404">
      <c r="A14404" t="str">
        <f t="shared" si="1"/>
        <v>svn#1972</v>
      </c>
      <c r="B14404" t="str">
        <f>IFERROR(__xludf.DUMMYFUNCTION("""COMPUTED_VALUE"""),"svn")</f>
        <v>svn</v>
      </c>
      <c r="C14404" t="str">
        <f>IFERROR(__xludf.DUMMYFUNCTION("""COMPUTED_VALUE"""),"Slovenia")</f>
        <v>Slovenia</v>
      </c>
      <c r="D14404">
        <f>IFERROR(__xludf.DUMMYFUNCTION("""COMPUTED_VALUE"""),1972.0)</f>
        <v>1972</v>
      </c>
      <c r="E14404">
        <f>IFERROR(__xludf.DUMMYFUNCTION("""COMPUTED_VALUE"""),1694975.0)</f>
        <v>1694975</v>
      </c>
    </row>
    <row r="14405">
      <c r="A14405" t="str">
        <f t="shared" si="1"/>
        <v>svn#1973</v>
      </c>
      <c r="B14405" t="str">
        <f>IFERROR(__xludf.DUMMYFUNCTION("""COMPUTED_VALUE"""),"svn")</f>
        <v>svn</v>
      </c>
      <c r="C14405" t="str">
        <f>IFERROR(__xludf.DUMMYFUNCTION("""COMPUTED_VALUE"""),"Slovenia")</f>
        <v>Slovenia</v>
      </c>
      <c r="D14405">
        <f>IFERROR(__xludf.DUMMYFUNCTION("""COMPUTED_VALUE"""),1973.0)</f>
        <v>1973</v>
      </c>
      <c r="E14405">
        <f>IFERROR(__xludf.DUMMYFUNCTION("""COMPUTED_VALUE"""),1709977.0)</f>
        <v>1709977</v>
      </c>
    </row>
    <row r="14406">
      <c r="A14406" t="str">
        <f t="shared" si="1"/>
        <v>svn#1974</v>
      </c>
      <c r="B14406" t="str">
        <f>IFERROR(__xludf.DUMMYFUNCTION("""COMPUTED_VALUE"""),"svn")</f>
        <v>svn</v>
      </c>
      <c r="C14406" t="str">
        <f>IFERROR(__xludf.DUMMYFUNCTION("""COMPUTED_VALUE"""),"Slovenia")</f>
        <v>Slovenia</v>
      </c>
      <c r="D14406">
        <f>IFERROR(__xludf.DUMMYFUNCTION("""COMPUTED_VALUE"""),1974.0)</f>
        <v>1974</v>
      </c>
      <c r="E14406">
        <f>IFERROR(__xludf.DUMMYFUNCTION("""COMPUTED_VALUE"""),1725964.0)</f>
        <v>1725964</v>
      </c>
    </row>
    <row r="14407">
      <c r="A14407" t="str">
        <f t="shared" si="1"/>
        <v>svn#1975</v>
      </c>
      <c r="B14407" t="str">
        <f>IFERROR(__xludf.DUMMYFUNCTION("""COMPUTED_VALUE"""),"svn")</f>
        <v>svn</v>
      </c>
      <c r="C14407" t="str">
        <f>IFERROR(__xludf.DUMMYFUNCTION("""COMPUTED_VALUE"""),"Slovenia")</f>
        <v>Slovenia</v>
      </c>
      <c r="D14407">
        <f>IFERROR(__xludf.DUMMYFUNCTION("""COMPUTED_VALUE"""),1975.0)</f>
        <v>1975</v>
      </c>
      <c r="E14407">
        <f>IFERROR(__xludf.DUMMYFUNCTION("""COMPUTED_VALUE"""),1742623.0)</f>
        <v>1742623</v>
      </c>
    </row>
    <row r="14408">
      <c r="A14408" t="str">
        <f t="shared" si="1"/>
        <v>svn#1976</v>
      </c>
      <c r="B14408" t="str">
        <f>IFERROR(__xludf.DUMMYFUNCTION("""COMPUTED_VALUE"""),"svn")</f>
        <v>svn</v>
      </c>
      <c r="C14408" t="str">
        <f>IFERROR(__xludf.DUMMYFUNCTION("""COMPUTED_VALUE"""),"Slovenia")</f>
        <v>Slovenia</v>
      </c>
      <c r="D14408">
        <f>IFERROR(__xludf.DUMMYFUNCTION("""COMPUTED_VALUE"""),1976.0)</f>
        <v>1976</v>
      </c>
      <c r="E14408">
        <f>IFERROR(__xludf.DUMMYFUNCTION("""COMPUTED_VALUE"""),1759731.0)</f>
        <v>1759731</v>
      </c>
    </row>
    <row r="14409">
      <c r="A14409" t="str">
        <f t="shared" si="1"/>
        <v>svn#1977</v>
      </c>
      <c r="B14409" t="str">
        <f>IFERROR(__xludf.DUMMYFUNCTION("""COMPUTED_VALUE"""),"svn")</f>
        <v>svn</v>
      </c>
      <c r="C14409" t="str">
        <f>IFERROR(__xludf.DUMMYFUNCTION("""COMPUTED_VALUE"""),"Slovenia")</f>
        <v>Slovenia</v>
      </c>
      <c r="D14409">
        <f>IFERROR(__xludf.DUMMYFUNCTION("""COMPUTED_VALUE"""),1977.0)</f>
        <v>1977</v>
      </c>
      <c r="E14409">
        <f>IFERROR(__xludf.DUMMYFUNCTION("""COMPUTED_VALUE"""),1777319.0)</f>
        <v>1777319</v>
      </c>
    </row>
    <row r="14410">
      <c r="A14410" t="str">
        <f t="shared" si="1"/>
        <v>svn#1978</v>
      </c>
      <c r="B14410" t="str">
        <f>IFERROR(__xludf.DUMMYFUNCTION("""COMPUTED_VALUE"""),"svn")</f>
        <v>svn</v>
      </c>
      <c r="C14410" t="str">
        <f>IFERROR(__xludf.DUMMYFUNCTION("""COMPUTED_VALUE"""),"Slovenia")</f>
        <v>Slovenia</v>
      </c>
      <c r="D14410">
        <f>IFERROR(__xludf.DUMMYFUNCTION("""COMPUTED_VALUE"""),1978.0)</f>
        <v>1978</v>
      </c>
      <c r="E14410">
        <f>IFERROR(__xludf.DUMMYFUNCTION("""COMPUTED_VALUE"""),1795648.0)</f>
        <v>1795648</v>
      </c>
    </row>
    <row r="14411">
      <c r="A14411" t="str">
        <f t="shared" si="1"/>
        <v>svn#1979</v>
      </c>
      <c r="B14411" t="str">
        <f>IFERROR(__xludf.DUMMYFUNCTION("""COMPUTED_VALUE"""),"svn")</f>
        <v>svn</v>
      </c>
      <c r="C14411" t="str">
        <f>IFERROR(__xludf.DUMMYFUNCTION("""COMPUTED_VALUE"""),"Slovenia")</f>
        <v>Slovenia</v>
      </c>
      <c r="D14411">
        <f>IFERROR(__xludf.DUMMYFUNCTION("""COMPUTED_VALUE"""),1979.0)</f>
        <v>1979</v>
      </c>
      <c r="E14411">
        <f>IFERROR(__xludf.DUMMYFUNCTION("""COMPUTED_VALUE"""),1815101.0)</f>
        <v>1815101</v>
      </c>
    </row>
    <row r="14412">
      <c r="A14412" t="str">
        <f t="shared" si="1"/>
        <v>svn#1980</v>
      </c>
      <c r="B14412" t="str">
        <f>IFERROR(__xludf.DUMMYFUNCTION("""COMPUTED_VALUE"""),"svn")</f>
        <v>svn</v>
      </c>
      <c r="C14412" t="str">
        <f>IFERROR(__xludf.DUMMYFUNCTION("""COMPUTED_VALUE"""),"Slovenia")</f>
        <v>Slovenia</v>
      </c>
      <c r="D14412">
        <f>IFERROR(__xludf.DUMMYFUNCTION("""COMPUTED_VALUE"""),1980.0)</f>
        <v>1980</v>
      </c>
      <c r="E14412">
        <f>IFERROR(__xludf.DUMMYFUNCTION("""COMPUTED_VALUE"""),1835837.0)</f>
        <v>1835837</v>
      </c>
    </row>
    <row r="14413">
      <c r="A14413" t="str">
        <f t="shared" si="1"/>
        <v>svn#1981</v>
      </c>
      <c r="B14413" t="str">
        <f>IFERROR(__xludf.DUMMYFUNCTION("""COMPUTED_VALUE"""),"svn")</f>
        <v>svn</v>
      </c>
      <c r="C14413" t="str">
        <f>IFERROR(__xludf.DUMMYFUNCTION("""COMPUTED_VALUE"""),"Slovenia")</f>
        <v>Slovenia</v>
      </c>
      <c r="D14413">
        <f>IFERROR(__xludf.DUMMYFUNCTION("""COMPUTED_VALUE"""),1981.0)</f>
        <v>1981</v>
      </c>
      <c r="E14413">
        <f>IFERROR(__xludf.DUMMYFUNCTION("""COMPUTED_VALUE"""),1857854.0)</f>
        <v>1857854</v>
      </c>
    </row>
    <row r="14414">
      <c r="A14414" t="str">
        <f t="shared" si="1"/>
        <v>svn#1982</v>
      </c>
      <c r="B14414" t="str">
        <f>IFERROR(__xludf.DUMMYFUNCTION("""COMPUTED_VALUE"""),"svn")</f>
        <v>svn</v>
      </c>
      <c r="C14414" t="str">
        <f>IFERROR(__xludf.DUMMYFUNCTION("""COMPUTED_VALUE"""),"Slovenia")</f>
        <v>Slovenia</v>
      </c>
      <c r="D14414">
        <f>IFERROR(__xludf.DUMMYFUNCTION("""COMPUTED_VALUE"""),1982.0)</f>
        <v>1982</v>
      </c>
      <c r="E14414">
        <f>IFERROR(__xludf.DUMMYFUNCTION("""COMPUTED_VALUE"""),1880704.0)</f>
        <v>1880704</v>
      </c>
    </row>
    <row r="14415">
      <c r="A14415" t="str">
        <f t="shared" si="1"/>
        <v>svn#1983</v>
      </c>
      <c r="B14415" t="str">
        <f>IFERROR(__xludf.DUMMYFUNCTION("""COMPUTED_VALUE"""),"svn")</f>
        <v>svn</v>
      </c>
      <c r="C14415" t="str">
        <f>IFERROR(__xludf.DUMMYFUNCTION("""COMPUTED_VALUE"""),"Slovenia")</f>
        <v>Slovenia</v>
      </c>
      <c r="D14415">
        <f>IFERROR(__xludf.DUMMYFUNCTION("""COMPUTED_VALUE"""),1983.0)</f>
        <v>1983</v>
      </c>
      <c r="E14415">
        <f>IFERROR(__xludf.DUMMYFUNCTION("""COMPUTED_VALUE"""),1903548.0)</f>
        <v>1903548</v>
      </c>
    </row>
    <row r="14416">
      <c r="A14416" t="str">
        <f t="shared" si="1"/>
        <v>svn#1984</v>
      </c>
      <c r="B14416" t="str">
        <f>IFERROR(__xludf.DUMMYFUNCTION("""COMPUTED_VALUE"""),"svn")</f>
        <v>svn</v>
      </c>
      <c r="C14416" t="str">
        <f>IFERROR(__xludf.DUMMYFUNCTION("""COMPUTED_VALUE"""),"Slovenia")</f>
        <v>Slovenia</v>
      </c>
      <c r="D14416">
        <f>IFERROR(__xludf.DUMMYFUNCTION("""COMPUTED_VALUE"""),1984.0)</f>
        <v>1984</v>
      </c>
      <c r="E14416">
        <f>IFERROR(__xludf.DUMMYFUNCTION("""COMPUTED_VALUE"""),1925314.0)</f>
        <v>1925314</v>
      </c>
    </row>
    <row r="14417">
      <c r="A14417" t="str">
        <f t="shared" si="1"/>
        <v>svn#1985</v>
      </c>
      <c r="B14417" t="str">
        <f>IFERROR(__xludf.DUMMYFUNCTION("""COMPUTED_VALUE"""),"svn")</f>
        <v>svn</v>
      </c>
      <c r="C14417" t="str">
        <f>IFERROR(__xludf.DUMMYFUNCTION("""COMPUTED_VALUE"""),"Slovenia")</f>
        <v>Slovenia</v>
      </c>
      <c r="D14417">
        <f>IFERROR(__xludf.DUMMYFUNCTION("""COMPUTED_VALUE"""),1985.0)</f>
        <v>1985</v>
      </c>
      <c r="E14417">
        <f>IFERROR(__xludf.DUMMYFUNCTION("""COMPUTED_VALUE"""),1945135.0)</f>
        <v>1945135</v>
      </c>
    </row>
    <row r="14418">
      <c r="A14418" t="str">
        <f t="shared" si="1"/>
        <v>svn#1986</v>
      </c>
      <c r="B14418" t="str">
        <f>IFERROR(__xludf.DUMMYFUNCTION("""COMPUTED_VALUE"""),"svn")</f>
        <v>svn</v>
      </c>
      <c r="C14418" t="str">
        <f>IFERROR(__xludf.DUMMYFUNCTION("""COMPUTED_VALUE"""),"Slovenia")</f>
        <v>Slovenia</v>
      </c>
      <c r="D14418">
        <f>IFERROR(__xludf.DUMMYFUNCTION("""COMPUTED_VALUE"""),1986.0)</f>
        <v>1986</v>
      </c>
      <c r="E14418">
        <f>IFERROR(__xludf.DUMMYFUNCTION("""COMPUTED_VALUE"""),1962877.0)</f>
        <v>1962877</v>
      </c>
    </row>
    <row r="14419">
      <c r="A14419" t="str">
        <f t="shared" si="1"/>
        <v>svn#1987</v>
      </c>
      <c r="B14419" t="str">
        <f>IFERROR(__xludf.DUMMYFUNCTION("""COMPUTED_VALUE"""),"svn")</f>
        <v>svn</v>
      </c>
      <c r="C14419" t="str">
        <f>IFERROR(__xludf.DUMMYFUNCTION("""COMPUTED_VALUE"""),"Slovenia")</f>
        <v>Slovenia</v>
      </c>
      <c r="D14419">
        <f>IFERROR(__xludf.DUMMYFUNCTION("""COMPUTED_VALUE"""),1987.0)</f>
        <v>1987</v>
      </c>
      <c r="E14419">
        <f>IFERROR(__xludf.DUMMYFUNCTION("""COMPUTED_VALUE"""),1978524.0)</f>
        <v>1978524</v>
      </c>
    </row>
    <row r="14420">
      <c r="A14420" t="str">
        <f t="shared" si="1"/>
        <v>svn#1988</v>
      </c>
      <c r="B14420" t="str">
        <f>IFERROR(__xludf.DUMMYFUNCTION("""COMPUTED_VALUE"""),"svn")</f>
        <v>svn</v>
      </c>
      <c r="C14420" t="str">
        <f>IFERROR(__xludf.DUMMYFUNCTION("""COMPUTED_VALUE"""),"Slovenia")</f>
        <v>Slovenia</v>
      </c>
      <c r="D14420">
        <f>IFERROR(__xludf.DUMMYFUNCTION("""COMPUTED_VALUE"""),1988.0)</f>
        <v>1988</v>
      </c>
      <c r="E14420">
        <f>IFERROR(__xludf.DUMMYFUNCTION("""COMPUTED_VALUE"""),1991428.0)</f>
        <v>1991428</v>
      </c>
    </row>
    <row r="14421">
      <c r="A14421" t="str">
        <f t="shared" si="1"/>
        <v>svn#1989</v>
      </c>
      <c r="B14421" t="str">
        <f>IFERROR(__xludf.DUMMYFUNCTION("""COMPUTED_VALUE"""),"svn")</f>
        <v>svn</v>
      </c>
      <c r="C14421" t="str">
        <f>IFERROR(__xludf.DUMMYFUNCTION("""COMPUTED_VALUE"""),"Slovenia")</f>
        <v>Slovenia</v>
      </c>
      <c r="D14421">
        <f>IFERROR(__xludf.DUMMYFUNCTION("""COMPUTED_VALUE"""),1989.0)</f>
        <v>1989</v>
      </c>
      <c r="E14421">
        <f>IFERROR(__xludf.DUMMYFUNCTION("""COMPUTED_VALUE"""),2000873.0)</f>
        <v>2000873</v>
      </c>
    </row>
    <row r="14422">
      <c r="A14422" t="str">
        <f t="shared" si="1"/>
        <v>svn#1990</v>
      </c>
      <c r="B14422" t="str">
        <f>IFERROR(__xludf.DUMMYFUNCTION("""COMPUTED_VALUE"""),"svn")</f>
        <v>svn</v>
      </c>
      <c r="C14422" t="str">
        <f>IFERROR(__xludf.DUMMYFUNCTION("""COMPUTED_VALUE"""),"Slovenia")</f>
        <v>Slovenia</v>
      </c>
      <c r="D14422">
        <f>IFERROR(__xludf.DUMMYFUNCTION("""COMPUTED_VALUE"""),1990.0)</f>
        <v>1990</v>
      </c>
      <c r="E14422">
        <f>IFERROR(__xludf.DUMMYFUNCTION("""COMPUTED_VALUE"""),2006479.0)</f>
        <v>2006479</v>
      </c>
    </row>
    <row r="14423">
      <c r="A14423" t="str">
        <f t="shared" si="1"/>
        <v>svn#1991</v>
      </c>
      <c r="B14423" t="str">
        <f>IFERROR(__xludf.DUMMYFUNCTION("""COMPUTED_VALUE"""),"svn")</f>
        <v>svn</v>
      </c>
      <c r="C14423" t="str">
        <f>IFERROR(__xludf.DUMMYFUNCTION("""COMPUTED_VALUE"""),"Slovenia")</f>
        <v>Slovenia</v>
      </c>
      <c r="D14423">
        <f>IFERROR(__xludf.DUMMYFUNCTION("""COMPUTED_VALUE"""),1991.0)</f>
        <v>1991</v>
      </c>
      <c r="E14423">
        <f>IFERROR(__xludf.DUMMYFUNCTION("""COMPUTED_VALUE"""),2007884.0)</f>
        <v>2007884</v>
      </c>
    </row>
    <row r="14424">
      <c r="A14424" t="str">
        <f t="shared" si="1"/>
        <v>svn#1992</v>
      </c>
      <c r="B14424" t="str">
        <f>IFERROR(__xludf.DUMMYFUNCTION("""COMPUTED_VALUE"""),"svn")</f>
        <v>svn</v>
      </c>
      <c r="C14424" t="str">
        <f>IFERROR(__xludf.DUMMYFUNCTION("""COMPUTED_VALUE"""),"Slovenia")</f>
        <v>Slovenia</v>
      </c>
      <c r="D14424">
        <f>IFERROR(__xludf.DUMMYFUNCTION("""COMPUTED_VALUE"""),1992.0)</f>
        <v>1992</v>
      </c>
      <c r="E14424">
        <f>IFERROR(__xludf.DUMMYFUNCTION("""COMPUTED_VALUE"""),2005512.0)</f>
        <v>2005512</v>
      </c>
    </row>
    <row r="14425">
      <c r="A14425" t="str">
        <f t="shared" si="1"/>
        <v>svn#1993</v>
      </c>
      <c r="B14425" t="str">
        <f>IFERROR(__xludf.DUMMYFUNCTION("""COMPUTED_VALUE"""),"svn")</f>
        <v>svn</v>
      </c>
      <c r="C14425" t="str">
        <f>IFERROR(__xludf.DUMMYFUNCTION("""COMPUTED_VALUE"""),"Slovenia")</f>
        <v>Slovenia</v>
      </c>
      <c r="D14425">
        <f>IFERROR(__xludf.DUMMYFUNCTION("""COMPUTED_VALUE"""),1993.0)</f>
        <v>1993</v>
      </c>
      <c r="E14425">
        <f>IFERROR(__xludf.DUMMYFUNCTION("""COMPUTED_VALUE"""),2000768.0)</f>
        <v>2000768</v>
      </c>
    </row>
    <row r="14426">
      <c r="A14426" t="str">
        <f t="shared" si="1"/>
        <v>svn#1994</v>
      </c>
      <c r="B14426" t="str">
        <f>IFERROR(__xludf.DUMMYFUNCTION("""COMPUTED_VALUE"""),"svn")</f>
        <v>svn</v>
      </c>
      <c r="C14426" t="str">
        <f>IFERROR(__xludf.DUMMYFUNCTION("""COMPUTED_VALUE"""),"Slovenia")</f>
        <v>Slovenia</v>
      </c>
      <c r="D14426">
        <f>IFERROR(__xludf.DUMMYFUNCTION("""COMPUTED_VALUE"""),1994.0)</f>
        <v>1994</v>
      </c>
      <c r="E14426">
        <f>IFERROR(__xludf.DUMMYFUNCTION("""COMPUTED_VALUE"""),1995607.0)</f>
        <v>1995607</v>
      </c>
    </row>
    <row r="14427">
      <c r="A14427" t="str">
        <f t="shared" si="1"/>
        <v>svn#1995</v>
      </c>
      <c r="B14427" t="str">
        <f>IFERROR(__xludf.DUMMYFUNCTION("""COMPUTED_VALUE"""),"svn")</f>
        <v>svn</v>
      </c>
      <c r="C14427" t="str">
        <f>IFERROR(__xludf.DUMMYFUNCTION("""COMPUTED_VALUE"""),"Slovenia")</f>
        <v>Slovenia</v>
      </c>
      <c r="D14427">
        <f>IFERROR(__xludf.DUMMYFUNCTION("""COMPUTED_VALUE"""),1995.0)</f>
        <v>1995</v>
      </c>
      <c r="E14427">
        <f>IFERROR(__xludf.DUMMYFUNCTION("""COMPUTED_VALUE"""),1991472.0)</f>
        <v>1991472</v>
      </c>
    </row>
    <row r="14428">
      <c r="A14428" t="str">
        <f t="shared" si="1"/>
        <v>svn#1996</v>
      </c>
      <c r="B14428" t="str">
        <f>IFERROR(__xludf.DUMMYFUNCTION("""COMPUTED_VALUE"""),"svn")</f>
        <v>svn</v>
      </c>
      <c r="C14428" t="str">
        <f>IFERROR(__xludf.DUMMYFUNCTION("""COMPUTED_VALUE"""),"Slovenia")</f>
        <v>Slovenia</v>
      </c>
      <c r="D14428">
        <f>IFERROR(__xludf.DUMMYFUNCTION("""COMPUTED_VALUE"""),1996.0)</f>
        <v>1996</v>
      </c>
      <c r="E14428">
        <f>IFERROR(__xludf.DUMMYFUNCTION("""COMPUTED_VALUE"""),1988989.0)</f>
        <v>1988989</v>
      </c>
    </row>
    <row r="14429">
      <c r="A14429" t="str">
        <f t="shared" si="1"/>
        <v>svn#1997</v>
      </c>
      <c r="B14429" t="str">
        <f>IFERROR(__xludf.DUMMYFUNCTION("""COMPUTED_VALUE"""),"svn")</f>
        <v>svn</v>
      </c>
      <c r="C14429" t="str">
        <f>IFERROR(__xludf.DUMMYFUNCTION("""COMPUTED_VALUE"""),"Slovenia")</f>
        <v>Slovenia</v>
      </c>
      <c r="D14429">
        <f>IFERROR(__xludf.DUMMYFUNCTION("""COMPUTED_VALUE"""),1997.0)</f>
        <v>1997</v>
      </c>
      <c r="E14429">
        <f>IFERROR(__xludf.DUMMYFUNCTION("""COMPUTED_VALUE"""),1987955.0)</f>
        <v>1987955</v>
      </c>
    </row>
    <row r="14430">
      <c r="A14430" t="str">
        <f t="shared" si="1"/>
        <v>svn#1998</v>
      </c>
      <c r="B14430" t="str">
        <f>IFERROR(__xludf.DUMMYFUNCTION("""COMPUTED_VALUE"""),"svn")</f>
        <v>svn</v>
      </c>
      <c r="C14430" t="str">
        <f>IFERROR(__xludf.DUMMYFUNCTION("""COMPUTED_VALUE"""),"Slovenia")</f>
        <v>Slovenia</v>
      </c>
      <c r="D14430">
        <f>IFERROR(__xludf.DUMMYFUNCTION("""COMPUTED_VALUE"""),1998.0)</f>
        <v>1998</v>
      </c>
      <c r="E14430">
        <f>IFERROR(__xludf.DUMMYFUNCTION("""COMPUTED_VALUE"""),1987976.0)</f>
        <v>1987976</v>
      </c>
    </row>
    <row r="14431">
      <c r="A14431" t="str">
        <f t="shared" si="1"/>
        <v>svn#1999</v>
      </c>
      <c r="B14431" t="str">
        <f>IFERROR(__xludf.DUMMYFUNCTION("""COMPUTED_VALUE"""),"svn")</f>
        <v>svn</v>
      </c>
      <c r="C14431" t="str">
        <f>IFERROR(__xludf.DUMMYFUNCTION("""COMPUTED_VALUE"""),"Slovenia")</f>
        <v>Slovenia</v>
      </c>
      <c r="D14431">
        <f>IFERROR(__xludf.DUMMYFUNCTION("""COMPUTED_VALUE"""),1999.0)</f>
        <v>1999</v>
      </c>
      <c r="E14431">
        <f>IFERROR(__xludf.DUMMYFUNCTION("""COMPUTED_VALUE"""),1988318.0)</f>
        <v>1988318</v>
      </c>
    </row>
    <row r="14432">
      <c r="A14432" t="str">
        <f t="shared" si="1"/>
        <v>svn#2000</v>
      </c>
      <c r="B14432" t="str">
        <f>IFERROR(__xludf.DUMMYFUNCTION("""COMPUTED_VALUE"""),"svn")</f>
        <v>svn</v>
      </c>
      <c r="C14432" t="str">
        <f>IFERROR(__xludf.DUMMYFUNCTION("""COMPUTED_VALUE"""),"Slovenia")</f>
        <v>Slovenia</v>
      </c>
      <c r="D14432">
        <f>IFERROR(__xludf.DUMMYFUNCTION("""COMPUTED_VALUE"""),2000.0)</f>
        <v>2000</v>
      </c>
      <c r="E14432">
        <f>IFERROR(__xludf.DUMMYFUNCTION("""COMPUTED_VALUE"""),1988499.0)</f>
        <v>1988499</v>
      </c>
    </row>
    <row r="14433">
      <c r="A14433" t="str">
        <f t="shared" si="1"/>
        <v>svn#2001</v>
      </c>
      <c r="B14433" t="str">
        <f>IFERROR(__xludf.DUMMYFUNCTION("""COMPUTED_VALUE"""),"svn")</f>
        <v>svn</v>
      </c>
      <c r="C14433" t="str">
        <f>IFERROR(__xludf.DUMMYFUNCTION("""COMPUTED_VALUE"""),"Slovenia")</f>
        <v>Slovenia</v>
      </c>
      <c r="D14433">
        <f>IFERROR(__xludf.DUMMYFUNCTION("""COMPUTED_VALUE"""),2001.0)</f>
        <v>2001</v>
      </c>
      <c r="E14433">
        <f>IFERROR(__xludf.DUMMYFUNCTION("""COMPUTED_VALUE"""),1988349.0)</f>
        <v>1988349</v>
      </c>
    </row>
    <row r="14434">
      <c r="A14434" t="str">
        <f t="shared" si="1"/>
        <v>svn#2002</v>
      </c>
      <c r="B14434" t="str">
        <f>IFERROR(__xludf.DUMMYFUNCTION("""COMPUTED_VALUE"""),"svn")</f>
        <v>svn</v>
      </c>
      <c r="C14434" t="str">
        <f>IFERROR(__xludf.DUMMYFUNCTION("""COMPUTED_VALUE"""),"Slovenia")</f>
        <v>Slovenia</v>
      </c>
      <c r="D14434">
        <f>IFERROR(__xludf.DUMMYFUNCTION("""COMPUTED_VALUE"""),2002.0)</f>
        <v>2002</v>
      </c>
      <c r="E14434">
        <f>IFERROR(__xludf.DUMMYFUNCTION("""COMPUTED_VALUE"""),1988264.0)</f>
        <v>1988264</v>
      </c>
    </row>
    <row r="14435">
      <c r="A14435" t="str">
        <f t="shared" si="1"/>
        <v>svn#2003</v>
      </c>
      <c r="B14435" t="str">
        <f>IFERROR(__xludf.DUMMYFUNCTION("""COMPUTED_VALUE"""),"svn")</f>
        <v>svn</v>
      </c>
      <c r="C14435" t="str">
        <f>IFERROR(__xludf.DUMMYFUNCTION("""COMPUTED_VALUE"""),"Slovenia")</f>
        <v>Slovenia</v>
      </c>
      <c r="D14435">
        <f>IFERROR(__xludf.DUMMYFUNCTION("""COMPUTED_VALUE"""),2003.0)</f>
        <v>2003</v>
      </c>
      <c r="E14435">
        <f>IFERROR(__xludf.DUMMYFUNCTION("""COMPUTED_VALUE"""),1988965.0)</f>
        <v>1988965</v>
      </c>
    </row>
    <row r="14436">
      <c r="A14436" t="str">
        <f t="shared" si="1"/>
        <v>svn#2004</v>
      </c>
      <c r="B14436" t="str">
        <f>IFERROR(__xludf.DUMMYFUNCTION("""COMPUTED_VALUE"""),"svn")</f>
        <v>svn</v>
      </c>
      <c r="C14436" t="str">
        <f>IFERROR(__xludf.DUMMYFUNCTION("""COMPUTED_VALUE"""),"Slovenia")</f>
        <v>Slovenia</v>
      </c>
      <c r="D14436">
        <f>IFERROR(__xludf.DUMMYFUNCTION("""COMPUTED_VALUE"""),2004.0)</f>
        <v>2004</v>
      </c>
      <c r="E14436">
        <f>IFERROR(__xludf.DUMMYFUNCTION("""COMPUTED_VALUE"""),1991430.0)</f>
        <v>1991430</v>
      </c>
    </row>
    <row r="14437">
      <c r="A14437" t="str">
        <f t="shared" si="1"/>
        <v>svn#2005</v>
      </c>
      <c r="B14437" t="str">
        <f>IFERROR(__xludf.DUMMYFUNCTION("""COMPUTED_VALUE"""),"svn")</f>
        <v>svn</v>
      </c>
      <c r="C14437" t="str">
        <f>IFERROR(__xludf.DUMMYFUNCTION("""COMPUTED_VALUE"""),"Slovenia")</f>
        <v>Slovenia</v>
      </c>
      <c r="D14437">
        <f>IFERROR(__xludf.DUMMYFUNCTION("""COMPUTED_VALUE"""),2005.0)</f>
        <v>2005</v>
      </c>
      <c r="E14437">
        <f>IFERROR(__xludf.DUMMYFUNCTION("""COMPUTED_VALUE"""),1996281.0)</f>
        <v>1996281</v>
      </c>
    </row>
    <row r="14438">
      <c r="A14438" t="str">
        <f t="shared" si="1"/>
        <v>svn#2006</v>
      </c>
      <c r="B14438" t="str">
        <f>IFERROR(__xludf.DUMMYFUNCTION("""COMPUTED_VALUE"""),"svn")</f>
        <v>svn</v>
      </c>
      <c r="C14438" t="str">
        <f>IFERROR(__xludf.DUMMYFUNCTION("""COMPUTED_VALUE"""),"Slovenia")</f>
        <v>Slovenia</v>
      </c>
      <c r="D14438">
        <f>IFERROR(__xludf.DUMMYFUNCTION("""COMPUTED_VALUE"""),2006.0)</f>
        <v>2006</v>
      </c>
      <c r="E14438">
        <f>IFERROR(__xludf.DUMMYFUNCTION("""COMPUTED_VALUE"""),2003791.0)</f>
        <v>2003791</v>
      </c>
    </row>
    <row r="14439">
      <c r="A14439" t="str">
        <f t="shared" si="1"/>
        <v>svn#2007</v>
      </c>
      <c r="B14439" t="str">
        <f>IFERROR(__xludf.DUMMYFUNCTION("""COMPUTED_VALUE"""),"svn")</f>
        <v>svn</v>
      </c>
      <c r="C14439" t="str">
        <f>IFERROR(__xludf.DUMMYFUNCTION("""COMPUTED_VALUE"""),"Slovenia")</f>
        <v>Slovenia</v>
      </c>
      <c r="D14439">
        <f>IFERROR(__xludf.DUMMYFUNCTION("""COMPUTED_VALUE"""),2007.0)</f>
        <v>2007</v>
      </c>
      <c r="E14439">
        <f>IFERROR(__xludf.DUMMYFUNCTION("""COMPUTED_VALUE"""),2013539.0)</f>
        <v>2013539</v>
      </c>
    </row>
    <row r="14440">
      <c r="A14440" t="str">
        <f t="shared" si="1"/>
        <v>svn#2008</v>
      </c>
      <c r="B14440" t="str">
        <f>IFERROR(__xludf.DUMMYFUNCTION("""COMPUTED_VALUE"""),"svn")</f>
        <v>svn</v>
      </c>
      <c r="C14440" t="str">
        <f>IFERROR(__xludf.DUMMYFUNCTION("""COMPUTED_VALUE"""),"Slovenia")</f>
        <v>Slovenia</v>
      </c>
      <c r="D14440">
        <f>IFERROR(__xludf.DUMMYFUNCTION("""COMPUTED_VALUE"""),2008.0)</f>
        <v>2008</v>
      </c>
      <c r="E14440">
        <f>IFERROR(__xludf.DUMMYFUNCTION("""COMPUTED_VALUE"""),2024538.0)</f>
        <v>2024538</v>
      </c>
    </row>
    <row r="14441">
      <c r="A14441" t="str">
        <f t="shared" si="1"/>
        <v>svn#2009</v>
      </c>
      <c r="B14441" t="str">
        <f>IFERROR(__xludf.DUMMYFUNCTION("""COMPUTED_VALUE"""),"svn")</f>
        <v>svn</v>
      </c>
      <c r="C14441" t="str">
        <f>IFERROR(__xludf.DUMMYFUNCTION("""COMPUTED_VALUE"""),"Slovenia")</f>
        <v>Slovenia</v>
      </c>
      <c r="D14441">
        <f>IFERROR(__xludf.DUMMYFUNCTION("""COMPUTED_VALUE"""),2009.0)</f>
        <v>2009</v>
      </c>
      <c r="E14441">
        <f>IFERROR(__xludf.DUMMYFUNCTION("""COMPUTED_VALUE"""),2035424.0)</f>
        <v>2035424</v>
      </c>
    </row>
    <row r="14442">
      <c r="A14442" t="str">
        <f t="shared" si="1"/>
        <v>svn#2010</v>
      </c>
      <c r="B14442" t="str">
        <f>IFERROR(__xludf.DUMMYFUNCTION("""COMPUTED_VALUE"""),"svn")</f>
        <v>svn</v>
      </c>
      <c r="C14442" t="str">
        <f>IFERROR(__xludf.DUMMYFUNCTION("""COMPUTED_VALUE"""),"Slovenia")</f>
        <v>Slovenia</v>
      </c>
      <c r="D14442">
        <f>IFERROR(__xludf.DUMMYFUNCTION("""COMPUTED_VALUE"""),2010.0)</f>
        <v>2010</v>
      </c>
      <c r="E14442">
        <f>IFERROR(__xludf.DUMMYFUNCTION("""COMPUTED_VALUE"""),2045168.0)</f>
        <v>2045168</v>
      </c>
    </row>
    <row r="14443">
      <c r="A14443" t="str">
        <f t="shared" si="1"/>
        <v>svn#2011</v>
      </c>
      <c r="B14443" t="str">
        <f>IFERROR(__xludf.DUMMYFUNCTION("""COMPUTED_VALUE"""),"svn")</f>
        <v>svn</v>
      </c>
      <c r="C14443" t="str">
        <f>IFERROR(__xludf.DUMMYFUNCTION("""COMPUTED_VALUE"""),"Slovenia")</f>
        <v>Slovenia</v>
      </c>
      <c r="D14443">
        <f>IFERROR(__xludf.DUMMYFUNCTION("""COMPUTED_VALUE"""),2011.0)</f>
        <v>2011</v>
      </c>
      <c r="E14443">
        <f>IFERROR(__xludf.DUMMYFUNCTION("""COMPUTED_VALUE"""),2053436.0)</f>
        <v>2053436</v>
      </c>
    </row>
    <row r="14444">
      <c r="A14444" t="str">
        <f t="shared" si="1"/>
        <v>svn#2012</v>
      </c>
      <c r="B14444" t="str">
        <f>IFERROR(__xludf.DUMMYFUNCTION("""COMPUTED_VALUE"""),"svn")</f>
        <v>svn</v>
      </c>
      <c r="C14444" t="str">
        <f>IFERROR(__xludf.DUMMYFUNCTION("""COMPUTED_VALUE"""),"Slovenia")</f>
        <v>Slovenia</v>
      </c>
      <c r="D14444">
        <f>IFERROR(__xludf.DUMMYFUNCTION("""COMPUTED_VALUE"""),2012.0)</f>
        <v>2012</v>
      </c>
      <c r="E14444">
        <f>IFERROR(__xludf.DUMMYFUNCTION("""COMPUTED_VALUE"""),2060390.0)</f>
        <v>2060390</v>
      </c>
    </row>
    <row r="14445">
      <c r="A14445" t="str">
        <f t="shared" si="1"/>
        <v>svn#2013</v>
      </c>
      <c r="B14445" t="str">
        <f>IFERROR(__xludf.DUMMYFUNCTION("""COMPUTED_VALUE"""),"svn")</f>
        <v>svn</v>
      </c>
      <c r="C14445" t="str">
        <f>IFERROR(__xludf.DUMMYFUNCTION("""COMPUTED_VALUE"""),"Slovenia")</f>
        <v>Slovenia</v>
      </c>
      <c r="D14445">
        <f>IFERROR(__xludf.DUMMYFUNCTION("""COMPUTED_VALUE"""),2013.0)</f>
        <v>2013</v>
      </c>
      <c r="E14445">
        <f>IFERROR(__xludf.DUMMYFUNCTION("""COMPUTED_VALUE"""),2066119.0)</f>
        <v>2066119</v>
      </c>
    </row>
    <row r="14446">
      <c r="A14446" t="str">
        <f t="shared" si="1"/>
        <v>svn#2014</v>
      </c>
      <c r="B14446" t="str">
        <f>IFERROR(__xludf.DUMMYFUNCTION("""COMPUTED_VALUE"""),"svn")</f>
        <v>svn</v>
      </c>
      <c r="C14446" t="str">
        <f>IFERROR(__xludf.DUMMYFUNCTION("""COMPUTED_VALUE"""),"Slovenia")</f>
        <v>Slovenia</v>
      </c>
      <c r="D14446">
        <f>IFERROR(__xludf.DUMMYFUNCTION("""COMPUTED_VALUE"""),2014.0)</f>
        <v>2014</v>
      </c>
      <c r="E14446">
        <f>IFERROR(__xludf.DUMMYFUNCTION("""COMPUTED_VALUE"""),2070845.0)</f>
        <v>2070845</v>
      </c>
    </row>
    <row r="14447">
      <c r="A14447" t="str">
        <f t="shared" si="1"/>
        <v>svn#2015</v>
      </c>
      <c r="B14447" t="str">
        <f>IFERROR(__xludf.DUMMYFUNCTION("""COMPUTED_VALUE"""),"svn")</f>
        <v>svn</v>
      </c>
      <c r="C14447" t="str">
        <f>IFERROR(__xludf.DUMMYFUNCTION("""COMPUTED_VALUE"""),"Slovenia")</f>
        <v>Slovenia</v>
      </c>
      <c r="D14447">
        <f>IFERROR(__xludf.DUMMYFUNCTION("""COMPUTED_VALUE"""),2015.0)</f>
        <v>2015</v>
      </c>
      <c r="E14447">
        <f>IFERROR(__xludf.DUMMYFUNCTION("""COMPUTED_VALUE"""),2074788.0)</f>
        <v>2074788</v>
      </c>
    </row>
    <row r="14448">
      <c r="A14448" t="str">
        <f t="shared" si="1"/>
        <v>svn#2016</v>
      </c>
      <c r="B14448" t="str">
        <f>IFERROR(__xludf.DUMMYFUNCTION("""COMPUTED_VALUE"""),"svn")</f>
        <v>svn</v>
      </c>
      <c r="C14448" t="str">
        <f>IFERROR(__xludf.DUMMYFUNCTION("""COMPUTED_VALUE"""),"Slovenia")</f>
        <v>Slovenia</v>
      </c>
      <c r="D14448">
        <f>IFERROR(__xludf.DUMMYFUNCTION("""COMPUTED_VALUE"""),2016.0)</f>
        <v>2016</v>
      </c>
      <c r="E14448">
        <f>IFERROR(__xludf.DUMMYFUNCTION("""COMPUTED_VALUE"""),2077862.0)</f>
        <v>2077862</v>
      </c>
    </row>
    <row r="14449">
      <c r="A14449" t="str">
        <f t="shared" si="1"/>
        <v>svn#2017</v>
      </c>
      <c r="B14449" t="str">
        <f>IFERROR(__xludf.DUMMYFUNCTION("""COMPUTED_VALUE"""),"svn")</f>
        <v>svn</v>
      </c>
      <c r="C14449" t="str">
        <f>IFERROR(__xludf.DUMMYFUNCTION("""COMPUTED_VALUE"""),"Slovenia")</f>
        <v>Slovenia</v>
      </c>
      <c r="D14449">
        <f>IFERROR(__xludf.DUMMYFUNCTION("""COMPUTED_VALUE"""),2017.0)</f>
        <v>2017</v>
      </c>
      <c r="E14449">
        <f>IFERROR(__xludf.DUMMYFUNCTION("""COMPUTED_VALUE"""),2079976.0)</f>
        <v>2079976</v>
      </c>
    </row>
    <row r="14450">
      <c r="A14450" t="str">
        <f t="shared" si="1"/>
        <v>svn#2018</v>
      </c>
      <c r="B14450" t="str">
        <f>IFERROR(__xludf.DUMMYFUNCTION("""COMPUTED_VALUE"""),"svn")</f>
        <v>svn</v>
      </c>
      <c r="C14450" t="str">
        <f>IFERROR(__xludf.DUMMYFUNCTION("""COMPUTED_VALUE"""),"Slovenia")</f>
        <v>Slovenia</v>
      </c>
      <c r="D14450">
        <f>IFERROR(__xludf.DUMMYFUNCTION("""COMPUTED_VALUE"""),2018.0)</f>
        <v>2018</v>
      </c>
      <c r="E14450">
        <f>IFERROR(__xludf.DUMMYFUNCTION("""COMPUTED_VALUE"""),2081260.0)</f>
        <v>2081260</v>
      </c>
    </row>
    <row r="14451">
      <c r="A14451" t="str">
        <f t="shared" si="1"/>
        <v>svn#2019</v>
      </c>
      <c r="B14451" t="str">
        <f>IFERROR(__xludf.DUMMYFUNCTION("""COMPUTED_VALUE"""),"svn")</f>
        <v>svn</v>
      </c>
      <c r="C14451" t="str">
        <f>IFERROR(__xludf.DUMMYFUNCTION("""COMPUTED_VALUE"""),"Slovenia")</f>
        <v>Slovenia</v>
      </c>
      <c r="D14451">
        <f>IFERROR(__xludf.DUMMYFUNCTION("""COMPUTED_VALUE"""),2019.0)</f>
        <v>2019</v>
      </c>
      <c r="E14451">
        <f>IFERROR(__xludf.DUMMYFUNCTION("""COMPUTED_VALUE"""),2081900.0)</f>
        <v>2081900</v>
      </c>
    </row>
    <row r="14452">
      <c r="A14452" t="str">
        <f t="shared" si="1"/>
        <v>svn#2020</v>
      </c>
      <c r="B14452" t="str">
        <f>IFERROR(__xludf.DUMMYFUNCTION("""COMPUTED_VALUE"""),"svn")</f>
        <v>svn</v>
      </c>
      <c r="C14452" t="str">
        <f>IFERROR(__xludf.DUMMYFUNCTION("""COMPUTED_VALUE"""),"Slovenia")</f>
        <v>Slovenia</v>
      </c>
      <c r="D14452">
        <f>IFERROR(__xludf.DUMMYFUNCTION("""COMPUTED_VALUE"""),2020.0)</f>
        <v>2020</v>
      </c>
      <c r="E14452">
        <f>IFERROR(__xludf.DUMMYFUNCTION("""COMPUTED_VALUE"""),2082055.0)</f>
        <v>2082055</v>
      </c>
    </row>
    <row r="14453">
      <c r="A14453" t="str">
        <f t="shared" si="1"/>
        <v>svn#2021</v>
      </c>
      <c r="B14453" t="str">
        <f>IFERROR(__xludf.DUMMYFUNCTION("""COMPUTED_VALUE"""),"svn")</f>
        <v>svn</v>
      </c>
      <c r="C14453" t="str">
        <f>IFERROR(__xludf.DUMMYFUNCTION("""COMPUTED_VALUE"""),"Slovenia")</f>
        <v>Slovenia</v>
      </c>
      <c r="D14453">
        <f>IFERROR(__xludf.DUMMYFUNCTION("""COMPUTED_VALUE"""),2021.0)</f>
        <v>2021</v>
      </c>
      <c r="E14453">
        <f>IFERROR(__xludf.DUMMYFUNCTION("""COMPUTED_VALUE"""),2081765.0)</f>
        <v>2081765</v>
      </c>
    </row>
    <row r="14454">
      <c r="A14454" t="str">
        <f t="shared" si="1"/>
        <v>svn#2022</v>
      </c>
      <c r="B14454" t="str">
        <f>IFERROR(__xludf.DUMMYFUNCTION("""COMPUTED_VALUE"""),"svn")</f>
        <v>svn</v>
      </c>
      <c r="C14454" t="str">
        <f>IFERROR(__xludf.DUMMYFUNCTION("""COMPUTED_VALUE"""),"Slovenia")</f>
        <v>Slovenia</v>
      </c>
      <c r="D14454">
        <f>IFERROR(__xludf.DUMMYFUNCTION("""COMPUTED_VALUE"""),2022.0)</f>
        <v>2022</v>
      </c>
      <c r="E14454">
        <f>IFERROR(__xludf.DUMMYFUNCTION("""COMPUTED_VALUE"""),2081042.0)</f>
        <v>2081042</v>
      </c>
    </row>
    <row r="14455">
      <c r="A14455" t="str">
        <f t="shared" si="1"/>
        <v>svn#2023</v>
      </c>
      <c r="B14455" t="str">
        <f>IFERROR(__xludf.DUMMYFUNCTION("""COMPUTED_VALUE"""),"svn")</f>
        <v>svn</v>
      </c>
      <c r="C14455" t="str">
        <f>IFERROR(__xludf.DUMMYFUNCTION("""COMPUTED_VALUE"""),"Slovenia")</f>
        <v>Slovenia</v>
      </c>
      <c r="D14455">
        <f>IFERROR(__xludf.DUMMYFUNCTION("""COMPUTED_VALUE"""),2023.0)</f>
        <v>2023</v>
      </c>
      <c r="E14455">
        <f>IFERROR(__xludf.DUMMYFUNCTION("""COMPUTED_VALUE"""),2079870.0)</f>
        <v>2079870</v>
      </c>
    </row>
    <row r="14456">
      <c r="A14456" t="str">
        <f t="shared" si="1"/>
        <v>svn#2024</v>
      </c>
      <c r="B14456" t="str">
        <f>IFERROR(__xludf.DUMMYFUNCTION("""COMPUTED_VALUE"""),"svn")</f>
        <v>svn</v>
      </c>
      <c r="C14456" t="str">
        <f>IFERROR(__xludf.DUMMYFUNCTION("""COMPUTED_VALUE"""),"Slovenia")</f>
        <v>Slovenia</v>
      </c>
      <c r="D14456">
        <f>IFERROR(__xludf.DUMMYFUNCTION("""COMPUTED_VALUE"""),2024.0)</f>
        <v>2024</v>
      </c>
      <c r="E14456">
        <f>IFERROR(__xludf.DUMMYFUNCTION("""COMPUTED_VALUE"""),2078221.0)</f>
        <v>2078221</v>
      </c>
    </row>
    <row r="14457">
      <c r="A14457" t="str">
        <f t="shared" si="1"/>
        <v>svn#2025</v>
      </c>
      <c r="B14457" t="str">
        <f>IFERROR(__xludf.DUMMYFUNCTION("""COMPUTED_VALUE"""),"svn")</f>
        <v>svn</v>
      </c>
      <c r="C14457" t="str">
        <f>IFERROR(__xludf.DUMMYFUNCTION("""COMPUTED_VALUE"""),"Slovenia")</f>
        <v>Slovenia</v>
      </c>
      <c r="D14457">
        <f>IFERROR(__xludf.DUMMYFUNCTION("""COMPUTED_VALUE"""),2025.0)</f>
        <v>2025</v>
      </c>
      <c r="E14457">
        <f>IFERROR(__xludf.DUMMYFUNCTION("""COMPUTED_VALUE"""),2076082.0)</f>
        <v>2076082</v>
      </c>
    </row>
    <row r="14458">
      <c r="A14458" t="str">
        <f t="shared" si="1"/>
        <v>svn#2026</v>
      </c>
      <c r="B14458" t="str">
        <f>IFERROR(__xludf.DUMMYFUNCTION("""COMPUTED_VALUE"""),"svn")</f>
        <v>svn</v>
      </c>
      <c r="C14458" t="str">
        <f>IFERROR(__xludf.DUMMYFUNCTION("""COMPUTED_VALUE"""),"Slovenia")</f>
        <v>Slovenia</v>
      </c>
      <c r="D14458">
        <f>IFERROR(__xludf.DUMMYFUNCTION("""COMPUTED_VALUE"""),2026.0)</f>
        <v>2026</v>
      </c>
      <c r="E14458">
        <f>IFERROR(__xludf.DUMMYFUNCTION("""COMPUTED_VALUE"""),2073482.0)</f>
        <v>2073482</v>
      </c>
    </row>
    <row r="14459">
      <c r="A14459" t="str">
        <f t="shared" si="1"/>
        <v>svn#2027</v>
      </c>
      <c r="B14459" t="str">
        <f>IFERROR(__xludf.DUMMYFUNCTION("""COMPUTED_VALUE"""),"svn")</f>
        <v>svn</v>
      </c>
      <c r="C14459" t="str">
        <f>IFERROR(__xludf.DUMMYFUNCTION("""COMPUTED_VALUE"""),"Slovenia")</f>
        <v>Slovenia</v>
      </c>
      <c r="D14459">
        <f>IFERROR(__xludf.DUMMYFUNCTION("""COMPUTED_VALUE"""),2027.0)</f>
        <v>2027</v>
      </c>
      <c r="E14459">
        <f>IFERROR(__xludf.DUMMYFUNCTION("""COMPUTED_VALUE"""),2070454.0)</f>
        <v>2070454</v>
      </c>
    </row>
    <row r="14460">
      <c r="A14460" t="str">
        <f t="shared" si="1"/>
        <v>svn#2028</v>
      </c>
      <c r="B14460" t="str">
        <f>IFERROR(__xludf.DUMMYFUNCTION("""COMPUTED_VALUE"""),"svn")</f>
        <v>svn</v>
      </c>
      <c r="C14460" t="str">
        <f>IFERROR(__xludf.DUMMYFUNCTION("""COMPUTED_VALUE"""),"Slovenia")</f>
        <v>Slovenia</v>
      </c>
      <c r="D14460">
        <f>IFERROR(__xludf.DUMMYFUNCTION("""COMPUTED_VALUE"""),2028.0)</f>
        <v>2028</v>
      </c>
      <c r="E14460">
        <f>IFERROR(__xludf.DUMMYFUNCTION("""COMPUTED_VALUE"""),2067039.0)</f>
        <v>2067039</v>
      </c>
    </row>
    <row r="14461">
      <c r="A14461" t="str">
        <f t="shared" si="1"/>
        <v>svn#2029</v>
      </c>
      <c r="B14461" t="str">
        <f>IFERROR(__xludf.DUMMYFUNCTION("""COMPUTED_VALUE"""),"svn")</f>
        <v>svn</v>
      </c>
      <c r="C14461" t="str">
        <f>IFERROR(__xludf.DUMMYFUNCTION("""COMPUTED_VALUE"""),"Slovenia")</f>
        <v>Slovenia</v>
      </c>
      <c r="D14461">
        <f>IFERROR(__xludf.DUMMYFUNCTION("""COMPUTED_VALUE"""),2029.0)</f>
        <v>2029</v>
      </c>
      <c r="E14461">
        <f>IFERROR(__xludf.DUMMYFUNCTION("""COMPUTED_VALUE"""),2063281.0)</f>
        <v>2063281</v>
      </c>
    </row>
    <row r="14462">
      <c r="A14462" t="str">
        <f t="shared" si="1"/>
        <v>svn#2030</v>
      </c>
      <c r="B14462" t="str">
        <f>IFERROR(__xludf.DUMMYFUNCTION("""COMPUTED_VALUE"""),"svn")</f>
        <v>svn</v>
      </c>
      <c r="C14462" t="str">
        <f>IFERROR(__xludf.DUMMYFUNCTION("""COMPUTED_VALUE"""),"Slovenia")</f>
        <v>Slovenia</v>
      </c>
      <c r="D14462">
        <f>IFERROR(__xludf.DUMMYFUNCTION("""COMPUTED_VALUE"""),2030.0)</f>
        <v>2030</v>
      </c>
      <c r="E14462">
        <f>IFERROR(__xludf.DUMMYFUNCTION("""COMPUTED_VALUE"""),2059211.0)</f>
        <v>2059211</v>
      </c>
    </row>
    <row r="14463">
      <c r="A14463" t="str">
        <f t="shared" si="1"/>
        <v>svn#2031</v>
      </c>
      <c r="B14463" t="str">
        <f>IFERROR(__xludf.DUMMYFUNCTION("""COMPUTED_VALUE"""),"svn")</f>
        <v>svn</v>
      </c>
      <c r="C14463" t="str">
        <f>IFERROR(__xludf.DUMMYFUNCTION("""COMPUTED_VALUE"""),"Slovenia")</f>
        <v>Slovenia</v>
      </c>
      <c r="D14463">
        <f>IFERROR(__xludf.DUMMYFUNCTION("""COMPUTED_VALUE"""),2031.0)</f>
        <v>2031</v>
      </c>
      <c r="E14463">
        <f>IFERROR(__xludf.DUMMYFUNCTION("""COMPUTED_VALUE"""),2054862.0)</f>
        <v>2054862</v>
      </c>
    </row>
    <row r="14464">
      <c r="A14464" t="str">
        <f t="shared" si="1"/>
        <v>svn#2032</v>
      </c>
      <c r="B14464" t="str">
        <f>IFERROR(__xludf.DUMMYFUNCTION("""COMPUTED_VALUE"""),"svn")</f>
        <v>svn</v>
      </c>
      <c r="C14464" t="str">
        <f>IFERROR(__xludf.DUMMYFUNCTION("""COMPUTED_VALUE"""),"Slovenia")</f>
        <v>Slovenia</v>
      </c>
      <c r="D14464">
        <f>IFERROR(__xludf.DUMMYFUNCTION("""COMPUTED_VALUE"""),2032.0)</f>
        <v>2032</v>
      </c>
      <c r="E14464">
        <f>IFERROR(__xludf.DUMMYFUNCTION("""COMPUTED_VALUE"""),2050247.0)</f>
        <v>2050247</v>
      </c>
    </row>
    <row r="14465">
      <c r="A14465" t="str">
        <f t="shared" si="1"/>
        <v>svn#2033</v>
      </c>
      <c r="B14465" t="str">
        <f>IFERROR(__xludf.DUMMYFUNCTION("""COMPUTED_VALUE"""),"svn")</f>
        <v>svn</v>
      </c>
      <c r="C14465" t="str">
        <f>IFERROR(__xludf.DUMMYFUNCTION("""COMPUTED_VALUE"""),"Slovenia")</f>
        <v>Slovenia</v>
      </c>
      <c r="D14465">
        <f>IFERROR(__xludf.DUMMYFUNCTION("""COMPUTED_VALUE"""),2033.0)</f>
        <v>2033</v>
      </c>
      <c r="E14465">
        <f>IFERROR(__xludf.DUMMYFUNCTION("""COMPUTED_VALUE"""),2045396.0)</f>
        <v>2045396</v>
      </c>
    </row>
    <row r="14466">
      <c r="A14466" t="str">
        <f t="shared" si="1"/>
        <v>svn#2034</v>
      </c>
      <c r="B14466" t="str">
        <f>IFERROR(__xludf.DUMMYFUNCTION("""COMPUTED_VALUE"""),"svn")</f>
        <v>svn</v>
      </c>
      <c r="C14466" t="str">
        <f>IFERROR(__xludf.DUMMYFUNCTION("""COMPUTED_VALUE"""),"Slovenia")</f>
        <v>Slovenia</v>
      </c>
      <c r="D14466">
        <f>IFERROR(__xludf.DUMMYFUNCTION("""COMPUTED_VALUE"""),2034.0)</f>
        <v>2034</v>
      </c>
      <c r="E14466">
        <f>IFERROR(__xludf.DUMMYFUNCTION("""COMPUTED_VALUE"""),2040363.0)</f>
        <v>2040363</v>
      </c>
    </row>
    <row r="14467">
      <c r="A14467" t="str">
        <f t="shared" si="1"/>
        <v>svn#2035</v>
      </c>
      <c r="B14467" t="str">
        <f>IFERROR(__xludf.DUMMYFUNCTION("""COMPUTED_VALUE"""),"svn")</f>
        <v>svn</v>
      </c>
      <c r="C14467" t="str">
        <f>IFERROR(__xludf.DUMMYFUNCTION("""COMPUTED_VALUE"""),"Slovenia")</f>
        <v>Slovenia</v>
      </c>
      <c r="D14467">
        <f>IFERROR(__xludf.DUMMYFUNCTION("""COMPUTED_VALUE"""),2035.0)</f>
        <v>2035</v>
      </c>
      <c r="E14467">
        <f>IFERROR(__xludf.DUMMYFUNCTION("""COMPUTED_VALUE"""),2035168.0)</f>
        <v>2035168</v>
      </c>
    </row>
    <row r="14468">
      <c r="A14468" t="str">
        <f t="shared" si="1"/>
        <v>svn#2036</v>
      </c>
      <c r="B14468" t="str">
        <f>IFERROR(__xludf.DUMMYFUNCTION("""COMPUTED_VALUE"""),"svn")</f>
        <v>svn</v>
      </c>
      <c r="C14468" t="str">
        <f>IFERROR(__xludf.DUMMYFUNCTION("""COMPUTED_VALUE"""),"Slovenia")</f>
        <v>Slovenia</v>
      </c>
      <c r="D14468">
        <f>IFERROR(__xludf.DUMMYFUNCTION("""COMPUTED_VALUE"""),2036.0)</f>
        <v>2036</v>
      </c>
      <c r="E14468">
        <f>IFERROR(__xludf.DUMMYFUNCTION("""COMPUTED_VALUE"""),2029852.0)</f>
        <v>2029852</v>
      </c>
    </row>
    <row r="14469">
      <c r="A14469" t="str">
        <f t="shared" si="1"/>
        <v>svn#2037</v>
      </c>
      <c r="B14469" t="str">
        <f>IFERROR(__xludf.DUMMYFUNCTION("""COMPUTED_VALUE"""),"svn")</f>
        <v>svn</v>
      </c>
      <c r="C14469" t="str">
        <f>IFERROR(__xludf.DUMMYFUNCTION("""COMPUTED_VALUE"""),"Slovenia")</f>
        <v>Slovenia</v>
      </c>
      <c r="D14469">
        <f>IFERROR(__xludf.DUMMYFUNCTION("""COMPUTED_VALUE"""),2037.0)</f>
        <v>2037</v>
      </c>
      <c r="E14469">
        <f>IFERROR(__xludf.DUMMYFUNCTION("""COMPUTED_VALUE"""),2024400.0)</f>
        <v>2024400</v>
      </c>
    </row>
    <row r="14470">
      <c r="A14470" t="str">
        <f t="shared" si="1"/>
        <v>svn#2038</v>
      </c>
      <c r="B14470" t="str">
        <f>IFERROR(__xludf.DUMMYFUNCTION("""COMPUTED_VALUE"""),"svn")</f>
        <v>svn</v>
      </c>
      <c r="C14470" t="str">
        <f>IFERROR(__xludf.DUMMYFUNCTION("""COMPUTED_VALUE"""),"Slovenia")</f>
        <v>Slovenia</v>
      </c>
      <c r="D14470">
        <f>IFERROR(__xludf.DUMMYFUNCTION("""COMPUTED_VALUE"""),2038.0)</f>
        <v>2038</v>
      </c>
      <c r="E14470">
        <f>IFERROR(__xludf.DUMMYFUNCTION("""COMPUTED_VALUE"""),2018830.0)</f>
        <v>2018830</v>
      </c>
    </row>
    <row r="14471">
      <c r="A14471" t="str">
        <f t="shared" si="1"/>
        <v>svn#2039</v>
      </c>
      <c r="B14471" t="str">
        <f>IFERROR(__xludf.DUMMYFUNCTION("""COMPUTED_VALUE"""),"svn")</f>
        <v>svn</v>
      </c>
      <c r="C14471" t="str">
        <f>IFERROR(__xludf.DUMMYFUNCTION("""COMPUTED_VALUE"""),"Slovenia")</f>
        <v>Slovenia</v>
      </c>
      <c r="D14471">
        <f>IFERROR(__xludf.DUMMYFUNCTION("""COMPUTED_VALUE"""),2039.0)</f>
        <v>2039</v>
      </c>
      <c r="E14471">
        <f>IFERROR(__xludf.DUMMYFUNCTION("""COMPUTED_VALUE"""),2013147.0)</f>
        <v>2013147</v>
      </c>
    </row>
    <row r="14472">
      <c r="A14472" t="str">
        <f t="shared" si="1"/>
        <v>svn#2040</v>
      </c>
      <c r="B14472" t="str">
        <f>IFERROR(__xludf.DUMMYFUNCTION("""COMPUTED_VALUE"""),"svn")</f>
        <v>svn</v>
      </c>
      <c r="C14472" t="str">
        <f>IFERROR(__xludf.DUMMYFUNCTION("""COMPUTED_VALUE"""),"Slovenia")</f>
        <v>Slovenia</v>
      </c>
      <c r="D14472">
        <f>IFERROR(__xludf.DUMMYFUNCTION("""COMPUTED_VALUE"""),2040.0)</f>
        <v>2040</v>
      </c>
      <c r="E14472">
        <f>IFERROR(__xludf.DUMMYFUNCTION("""COMPUTED_VALUE"""),2007340.0)</f>
        <v>2007340</v>
      </c>
    </row>
    <row r="14473">
      <c r="A14473" t="str">
        <f t="shared" si="1"/>
        <v>slb#1950</v>
      </c>
      <c r="B14473" t="str">
        <f>IFERROR(__xludf.DUMMYFUNCTION("""COMPUTED_VALUE"""),"slb")</f>
        <v>slb</v>
      </c>
      <c r="C14473" t="str">
        <f>IFERROR(__xludf.DUMMYFUNCTION("""COMPUTED_VALUE"""),"Solomon Islands")</f>
        <v>Solomon Islands</v>
      </c>
      <c r="D14473">
        <f>IFERROR(__xludf.DUMMYFUNCTION("""COMPUTED_VALUE"""),1950.0)</f>
        <v>1950</v>
      </c>
      <c r="E14473">
        <f>IFERROR(__xludf.DUMMYFUNCTION("""COMPUTED_VALUE"""),89794.0)</f>
        <v>89794</v>
      </c>
    </row>
    <row r="14474">
      <c r="A14474" t="str">
        <f t="shared" si="1"/>
        <v>slb#1951</v>
      </c>
      <c r="B14474" t="str">
        <f>IFERROR(__xludf.DUMMYFUNCTION("""COMPUTED_VALUE"""),"slb")</f>
        <v>slb</v>
      </c>
      <c r="C14474" t="str">
        <f>IFERROR(__xludf.DUMMYFUNCTION("""COMPUTED_VALUE"""),"Solomon Islands")</f>
        <v>Solomon Islands</v>
      </c>
      <c r="D14474">
        <f>IFERROR(__xludf.DUMMYFUNCTION("""COMPUTED_VALUE"""),1951.0)</f>
        <v>1951</v>
      </c>
      <c r="E14474">
        <f>IFERROR(__xludf.DUMMYFUNCTION("""COMPUTED_VALUE"""),91809.0)</f>
        <v>91809</v>
      </c>
    </row>
    <row r="14475">
      <c r="A14475" t="str">
        <f t="shared" si="1"/>
        <v>slb#1952</v>
      </c>
      <c r="B14475" t="str">
        <f>IFERROR(__xludf.DUMMYFUNCTION("""COMPUTED_VALUE"""),"slb")</f>
        <v>slb</v>
      </c>
      <c r="C14475" t="str">
        <f>IFERROR(__xludf.DUMMYFUNCTION("""COMPUTED_VALUE"""),"Solomon Islands")</f>
        <v>Solomon Islands</v>
      </c>
      <c r="D14475">
        <f>IFERROR(__xludf.DUMMYFUNCTION("""COMPUTED_VALUE"""),1952.0)</f>
        <v>1952</v>
      </c>
      <c r="E14475">
        <f>IFERROR(__xludf.DUMMYFUNCTION("""COMPUTED_VALUE"""),94077.0)</f>
        <v>94077</v>
      </c>
    </row>
    <row r="14476">
      <c r="A14476" t="str">
        <f t="shared" si="1"/>
        <v>slb#1953</v>
      </c>
      <c r="B14476" t="str">
        <f>IFERROR(__xludf.DUMMYFUNCTION("""COMPUTED_VALUE"""),"slb")</f>
        <v>slb</v>
      </c>
      <c r="C14476" t="str">
        <f>IFERROR(__xludf.DUMMYFUNCTION("""COMPUTED_VALUE"""),"Solomon Islands")</f>
        <v>Solomon Islands</v>
      </c>
      <c r="D14476">
        <f>IFERROR(__xludf.DUMMYFUNCTION("""COMPUTED_VALUE"""),1953.0)</f>
        <v>1953</v>
      </c>
      <c r="E14476">
        <f>IFERROR(__xludf.DUMMYFUNCTION("""COMPUTED_VALUE"""),96560.0)</f>
        <v>96560</v>
      </c>
    </row>
    <row r="14477">
      <c r="A14477" t="str">
        <f t="shared" si="1"/>
        <v>slb#1954</v>
      </c>
      <c r="B14477" t="str">
        <f>IFERROR(__xludf.DUMMYFUNCTION("""COMPUTED_VALUE"""),"slb")</f>
        <v>slb</v>
      </c>
      <c r="C14477" t="str">
        <f>IFERROR(__xludf.DUMMYFUNCTION("""COMPUTED_VALUE"""),"Solomon Islands")</f>
        <v>Solomon Islands</v>
      </c>
      <c r="D14477">
        <f>IFERROR(__xludf.DUMMYFUNCTION("""COMPUTED_VALUE"""),1954.0)</f>
        <v>1954</v>
      </c>
      <c r="E14477">
        <f>IFERROR(__xludf.DUMMYFUNCTION("""COMPUTED_VALUE"""),99215.0)</f>
        <v>99215</v>
      </c>
    </row>
    <row r="14478">
      <c r="A14478" t="str">
        <f t="shared" si="1"/>
        <v>slb#1955</v>
      </c>
      <c r="B14478" t="str">
        <f>IFERROR(__xludf.DUMMYFUNCTION("""COMPUTED_VALUE"""),"slb")</f>
        <v>slb</v>
      </c>
      <c r="C14478" t="str">
        <f>IFERROR(__xludf.DUMMYFUNCTION("""COMPUTED_VALUE"""),"Solomon Islands")</f>
        <v>Solomon Islands</v>
      </c>
      <c r="D14478">
        <f>IFERROR(__xludf.DUMMYFUNCTION("""COMPUTED_VALUE"""),1955.0)</f>
        <v>1955</v>
      </c>
      <c r="E14478">
        <f>IFERROR(__xludf.DUMMYFUNCTION("""COMPUTED_VALUE"""),102024.0)</f>
        <v>102024</v>
      </c>
    </row>
    <row r="14479">
      <c r="A14479" t="str">
        <f t="shared" si="1"/>
        <v>slb#1956</v>
      </c>
      <c r="B14479" t="str">
        <f>IFERROR(__xludf.DUMMYFUNCTION("""COMPUTED_VALUE"""),"slb")</f>
        <v>slb</v>
      </c>
      <c r="C14479" t="str">
        <f>IFERROR(__xludf.DUMMYFUNCTION("""COMPUTED_VALUE"""),"Solomon Islands")</f>
        <v>Solomon Islands</v>
      </c>
      <c r="D14479">
        <f>IFERROR(__xludf.DUMMYFUNCTION("""COMPUTED_VALUE"""),1956.0)</f>
        <v>1956</v>
      </c>
      <c r="E14479">
        <f>IFERROR(__xludf.DUMMYFUNCTION("""COMPUTED_VALUE"""),104965.0)</f>
        <v>104965</v>
      </c>
    </row>
    <row r="14480">
      <c r="A14480" t="str">
        <f t="shared" si="1"/>
        <v>slb#1957</v>
      </c>
      <c r="B14480" t="str">
        <f>IFERROR(__xludf.DUMMYFUNCTION("""COMPUTED_VALUE"""),"slb")</f>
        <v>slb</v>
      </c>
      <c r="C14480" t="str">
        <f>IFERROR(__xludf.DUMMYFUNCTION("""COMPUTED_VALUE"""),"Solomon Islands")</f>
        <v>Solomon Islands</v>
      </c>
      <c r="D14480">
        <f>IFERROR(__xludf.DUMMYFUNCTION("""COMPUTED_VALUE"""),1957.0)</f>
        <v>1957</v>
      </c>
      <c r="E14480">
        <f>IFERROR(__xludf.DUMMYFUNCTION("""COMPUTED_VALUE"""),108018.0)</f>
        <v>108018</v>
      </c>
    </row>
    <row r="14481">
      <c r="A14481" t="str">
        <f t="shared" si="1"/>
        <v>slb#1958</v>
      </c>
      <c r="B14481" t="str">
        <f>IFERROR(__xludf.DUMMYFUNCTION("""COMPUTED_VALUE"""),"slb")</f>
        <v>slb</v>
      </c>
      <c r="C14481" t="str">
        <f>IFERROR(__xludf.DUMMYFUNCTION("""COMPUTED_VALUE"""),"Solomon Islands")</f>
        <v>Solomon Islands</v>
      </c>
      <c r="D14481">
        <f>IFERROR(__xludf.DUMMYFUNCTION("""COMPUTED_VALUE"""),1958.0)</f>
        <v>1958</v>
      </c>
      <c r="E14481">
        <f>IFERROR(__xludf.DUMMYFUNCTION("""COMPUTED_VALUE"""),111182.0)</f>
        <v>111182</v>
      </c>
    </row>
    <row r="14482">
      <c r="A14482" t="str">
        <f t="shared" si="1"/>
        <v>slb#1959</v>
      </c>
      <c r="B14482" t="str">
        <f>IFERROR(__xludf.DUMMYFUNCTION("""COMPUTED_VALUE"""),"slb")</f>
        <v>slb</v>
      </c>
      <c r="C14482" t="str">
        <f>IFERROR(__xludf.DUMMYFUNCTION("""COMPUTED_VALUE"""),"Solomon Islands")</f>
        <v>Solomon Islands</v>
      </c>
      <c r="D14482">
        <f>IFERROR(__xludf.DUMMYFUNCTION("""COMPUTED_VALUE"""),1959.0)</f>
        <v>1959</v>
      </c>
      <c r="E14482">
        <f>IFERROR(__xludf.DUMMYFUNCTION("""COMPUTED_VALUE"""),114465.0)</f>
        <v>114465</v>
      </c>
    </row>
    <row r="14483">
      <c r="A14483" t="str">
        <f t="shared" si="1"/>
        <v>slb#1960</v>
      </c>
      <c r="B14483" t="str">
        <f>IFERROR(__xludf.DUMMYFUNCTION("""COMPUTED_VALUE"""),"slb")</f>
        <v>slb</v>
      </c>
      <c r="C14483" t="str">
        <f>IFERROR(__xludf.DUMMYFUNCTION("""COMPUTED_VALUE"""),"Solomon Islands")</f>
        <v>Solomon Islands</v>
      </c>
      <c r="D14483">
        <f>IFERROR(__xludf.DUMMYFUNCTION("""COMPUTED_VALUE"""),1960.0)</f>
        <v>1960</v>
      </c>
      <c r="E14483">
        <f>IFERROR(__xludf.DUMMYFUNCTION("""COMPUTED_VALUE"""),117866.0)</f>
        <v>117866</v>
      </c>
    </row>
    <row r="14484">
      <c r="A14484" t="str">
        <f t="shared" si="1"/>
        <v>slb#1961</v>
      </c>
      <c r="B14484" t="str">
        <f>IFERROR(__xludf.DUMMYFUNCTION("""COMPUTED_VALUE"""),"slb")</f>
        <v>slb</v>
      </c>
      <c r="C14484" t="str">
        <f>IFERROR(__xludf.DUMMYFUNCTION("""COMPUTED_VALUE"""),"Solomon Islands")</f>
        <v>Solomon Islands</v>
      </c>
      <c r="D14484">
        <f>IFERROR(__xludf.DUMMYFUNCTION("""COMPUTED_VALUE"""),1961.0)</f>
        <v>1961</v>
      </c>
      <c r="E14484">
        <f>IFERROR(__xludf.DUMMYFUNCTION("""COMPUTED_VALUE"""),121396.0)</f>
        <v>121396</v>
      </c>
    </row>
    <row r="14485">
      <c r="A14485" t="str">
        <f t="shared" si="1"/>
        <v>slb#1962</v>
      </c>
      <c r="B14485" t="str">
        <f>IFERROR(__xludf.DUMMYFUNCTION("""COMPUTED_VALUE"""),"slb")</f>
        <v>slb</v>
      </c>
      <c r="C14485" t="str">
        <f>IFERROR(__xludf.DUMMYFUNCTION("""COMPUTED_VALUE"""),"Solomon Islands")</f>
        <v>Solomon Islands</v>
      </c>
      <c r="D14485">
        <f>IFERROR(__xludf.DUMMYFUNCTION("""COMPUTED_VALUE"""),1962.0)</f>
        <v>1962</v>
      </c>
      <c r="E14485">
        <f>IFERROR(__xludf.DUMMYFUNCTION("""COMPUTED_VALUE"""),125064.0)</f>
        <v>125064</v>
      </c>
    </row>
    <row r="14486">
      <c r="A14486" t="str">
        <f t="shared" si="1"/>
        <v>slb#1963</v>
      </c>
      <c r="B14486" t="str">
        <f>IFERROR(__xludf.DUMMYFUNCTION("""COMPUTED_VALUE"""),"slb")</f>
        <v>slb</v>
      </c>
      <c r="C14486" t="str">
        <f>IFERROR(__xludf.DUMMYFUNCTION("""COMPUTED_VALUE"""),"Solomon Islands")</f>
        <v>Solomon Islands</v>
      </c>
      <c r="D14486">
        <f>IFERROR(__xludf.DUMMYFUNCTION("""COMPUTED_VALUE"""),1963.0)</f>
        <v>1963</v>
      </c>
      <c r="E14486">
        <f>IFERROR(__xludf.DUMMYFUNCTION("""COMPUTED_VALUE"""),128866.0)</f>
        <v>128866</v>
      </c>
    </row>
    <row r="14487">
      <c r="A14487" t="str">
        <f t="shared" si="1"/>
        <v>slb#1964</v>
      </c>
      <c r="B14487" t="str">
        <f>IFERROR(__xludf.DUMMYFUNCTION("""COMPUTED_VALUE"""),"slb")</f>
        <v>slb</v>
      </c>
      <c r="C14487" t="str">
        <f>IFERROR(__xludf.DUMMYFUNCTION("""COMPUTED_VALUE"""),"Solomon Islands")</f>
        <v>Solomon Islands</v>
      </c>
      <c r="D14487">
        <f>IFERROR(__xludf.DUMMYFUNCTION("""COMPUTED_VALUE"""),1964.0)</f>
        <v>1964</v>
      </c>
      <c r="E14487">
        <f>IFERROR(__xludf.DUMMYFUNCTION("""COMPUTED_VALUE"""),132782.0)</f>
        <v>132782</v>
      </c>
    </row>
    <row r="14488">
      <c r="A14488" t="str">
        <f t="shared" si="1"/>
        <v>slb#1965</v>
      </c>
      <c r="B14488" t="str">
        <f>IFERROR(__xludf.DUMMYFUNCTION("""COMPUTED_VALUE"""),"slb")</f>
        <v>slb</v>
      </c>
      <c r="C14488" t="str">
        <f>IFERROR(__xludf.DUMMYFUNCTION("""COMPUTED_VALUE"""),"Solomon Islands")</f>
        <v>Solomon Islands</v>
      </c>
      <c r="D14488">
        <f>IFERROR(__xludf.DUMMYFUNCTION("""COMPUTED_VALUE"""),1965.0)</f>
        <v>1965</v>
      </c>
      <c r="E14488">
        <f>IFERROR(__xludf.DUMMYFUNCTION("""COMPUTED_VALUE"""),136847.0)</f>
        <v>136847</v>
      </c>
    </row>
    <row r="14489">
      <c r="A14489" t="str">
        <f t="shared" si="1"/>
        <v>slb#1966</v>
      </c>
      <c r="B14489" t="str">
        <f>IFERROR(__xludf.DUMMYFUNCTION("""COMPUTED_VALUE"""),"slb")</f>
        <v>slb</v>
      </c>
      <c r="C14489" t="str">
        <f>IFERROR(__xludf.DUMMYFUNCTION("""COMPUTED_VALUE"""),"Solomon Islands")</f>
        <v>Solomon Islands</v>
      </c>
      <c r="D14489">
        <f>IFERROR(__xludf.DUMMYFUNCTION("""COMPUTED_VALUE"""),1966.0)</f>
        <v>1966</v>
      </c>
      <c r="E14489">
        <f>IFERROR(__xludf.DUMMYFUNCTION("""COMPUTED_VALUE"""),141026.0)</f>
        <v>141026</v>
      </c>
    </row>
    <row r="14490">
      <c r="A14490" t="str">
        <f t="shared" si="1"/>
        <v>slb#1967</v>
      </c>
      <c r="B14490" t="str">
        <f>IFERROR(__xludf.DUMMYFUNCTION("""COMPUTED_VALUE"""),"slb")</f>
        <v>slb</v>
      </c>
      <c r="C14490" t="str">
        <f>IFERROR(__xludf.DUMMYFUNCTION("""COMPUTED_VALUE"""),"Solomon Islands")</f>
        <v>Solomon Islands</v>
      </c>
      <c r="D14490">
        <f>IFERROR(__xludf.DUMMYFUNCTION("""COMPUTED_VALUE"""),1967.0)</f>
        <v>1967</v>
      </c>
      <c r="E14490">
        <f>IFERROR(__xludf.DUMMYFUNCTION("""COMPUTED_VALUE"""),145351.0)</f>
        <v>145351</v>
      </c>
    </row>
    <row r="14491">
      <c r="A14491" t="str">
        <f t="shared" si="1"/>
        <v>slb#1968</v>
      </c>
      <c r="B14491" t="str">
        <f>IFERROR(__xludf.DUMMYFUNCTION("""COMPUTED_VALUE"""),"slb")</f>
        <v>slb</v>
      </c>
      <c r="C14491" t="str">
        <f>IFERROR(__xludf.DUMMYFUNCTION("""COMPUTED_VALUE"""),"Solomon Islands")</f>
        <v>Solomon Islands</v>
      </c>
      <c r="D14491">
        <f>IFERROR(__xludf.DUMMYFUNCTION("""COMPUTED_VALUE"""),1968.0)</f>
        <v>1968</v>
      </c>
      <c r="E14491">
        <f>IFERROR(__xludf.DUMMYFUNCTION("""COMPUTED_VALUE"""),149921.0)</f>
        <v>149921</v>
      </c>
    </row>
    <row r="14492">
      <c r="A14492" t="str">
        <f t="shared" si="1"/>
        <v>slb#1969</v>
      </c>
      <c r="B14492" t="str">
        <f>IFERROR(__xludf.DUMMYFUNCTION("""COMPUTED_VALUE"""),"slb")</f>
        <v>slb</v>
      </c>
      <c r="C14492" t="str">
        <f>IFERROR(__xludf.DUMMYFUNCTION("""COMPUTED_VALUE"""),"Solomon Islands")</f>
        <v>Solomon Islands</v>
      </c>
      <c r="D14492">
        <f>IFERROR(__xludf.DUMMYFUNCTION("""COMPUTED_VALUE"""),1969.0)</f>
        <v>1969</v>
      </c>
      <c r="E14492">
        <f>IFERROR(__xludf.DUMMYFUNCTION("""COMPUTED_VALUE"""),154875.0)</f>
        <v>154875</v>
      </c>
    </row>
    <row r="14493">
      <c r="A14493" t="str">
        <f t="shared" si="1"/>
        <v>slb#1970</v>
      </c>
      <c r="B14493" t="str">
        <f>IFERROR(__xludf.DUMMYFUNCTION("""COMPUTED_VALUE"""),"slb")</f>
        <v>slb</v>
      </c>
      <c r="C14493" t="str">
        <f>IFERROR(__xludf.DUMMYFUNCTION("""COMPUTED_VALUE"""),"Solomon Islands")</f>
        <v>Solomon Islands</v>
      </c>
      <c r="D14493">
        <f>IFERROR(__xludf.DUMMYFUNCTION("""COMPUTED_VALUE"""),1970.0)</f>
        <v>1970</v>
      </c>
      <c r="E14493">
        <f>IFERROR(__xludf.DUMMYFUNCTION("""COMPUTED_VALUE"""),160290.0)</f>
        <v>160290</v>
      </c>
    </row>
    <row r="14494">
      <c r="A14494" t="str">
        <f t="shared" si="1"/>
        <v>slb#1971</v>
      </c>
      <c r="B14494" t="str">
        <f>IFERROR(__xludf.DUMMYFUNCTION("""COMPUTED_VALUE"""),"slb")</f>
        <v>slb</v>
      </c>
      <c r="C14494" t="str">
        <f>IFERROR(__xludf.DUMMYFUNCTION("""COMPUTED_VALUE"""),"Solomon Islands")</f>
        <v>Solomon Islands</v>
      </c>
      <c r="D14494">
        <f>IFERROR(__xludf.DUMMYFUNCTION("""COMPUTED_VALUE"""),1971.0)</f>
        <v>1971</v>
      </c>
      <c r="E14494">
        <f>IFERROR(__xludf.DUMMYFUNCTION("""COMPUTED_VALUE"""),166212.0)</f>
        <v>166212</v>
      </c>
    </row>
    <row r="14495">
      <c r="A14495" t="str">
        <f t="shared" si="1"/>
        <v>slb#1972</v>
      </c>
      <c r="B14495" t="str">
        <f>IFERROR(__xludf.DUMMYFUNCTION("""COMPUTED_VALUE"""),"slb")</f>
        <v>slb</v>
      </c>
      <c r="C14495" t="str">
        <f>IFERROR(__xludf.DUMMYFUNCTION("""COMPUTED_VALUE"""),"Solomon Islands")</f>
        <v>Solomon Islands</v>
      </c>
      <c r="D14495">
        <f>IFERROR(__xludf.DUMMYFUNCTION("""COMPUTED_VALUE"""),1972.0)</f>
        <v>1972</v>
      </c>
      <c r="E14495">
        <f>IFERROR(__xludf.DUMMYFUNCTION("""COMPUTED_VALUE"""),172598.0)</f>
        <v>172598</v>
      </c>
    </row>
    <row r="14496">
      <c r="A14496" t="str">
        <f t="shared" si="1"/>
        <v>slb#1973</v>
      </c>
      <c r="B14496" t="str">
        <f>IFERROR(__xludf.DUMMYFUNCTION("""COMPUTED_VALUE"""),"slb")</f>
        <v>slb</v>
      </c>
      <c r="C14496" t="str">
        <f>IFERROR(__xludf.DUMMYFUNCTION("""COMPUTED_VALUE"""),"Solomon Islands")</f>
        <v>Solomon Islands</v>
      </c>
      <c r="D14496">
        <f>IFERROR(__xludf.DUMMYFUNCTION("""COMPUTED_VALUE"""),1973.0)</f>
        <v>1973</v>
      </c>
      <c r="E14496">
        <f>IFERROR(__xludf.DUMMYFUNCTION("""COMPUTED_VALUE"""),179349.0)</f>
        <v>179349</v>
      </c>
    </row>
    <row r="14497">
      <c r="A14497" t="str">
        <f t="shared" si="1"/>
        <v>slb#1974</v>
      </c>
      <c r="B14497" t="str">
        <f>IFERROR(__xludf.DUMMYFUNCTION("""COMPUTED_VALUE"""),"slb")</f>
        <v>slb</v>
      </c>
      <c r="C14497" t="str">
        <f>IFERROR(__xludf.DUMMYFUNCTION("""COMPUTED_VALUE"""),"Solomon Islands")</f>
        <v>Solomon Islands</v>
      </c>
      <c r="D14497">
        <f>IFERROR(__xludf.DUMMYFUNCTION("""COMPUTED_VALUE"""),1974.0)</f>
        <v>1974</v>
      </c>
      <c r="E14497">
        <f>IFERROR(__xludf.DUMMYFUNCTION("""COMPUTED_VALUE"""),186332.0)</f>
        <v>186332</v>
      </c>
    </row>
    <row r="14498">
      <c r="A14498" t="str">
        <f t="shared" si="1"/>
        <v>slb#1975</v>
      </c>
      <c r="B14498" t="str">
        <f>IFERROR(__xludf.DUMMYFUNCTION("""COMPUTED_VALUE"""),"slb")</f>
        <v>slb</v>
      </c>
      <c r="C14498" t="str">
        <f>IFERROR(__xludf.DUMMYFUNCTION("""COMPUTED_VALUE"""),"Solomon Islands")</f>
        <v>Solomon Islands</v>
      </c>
      <c r="D14498">
        <f>IFERROR(__xludf.DUMMYFUNCTION("""COMPUTED_VALUE"""),1975.0)</f>
        <v>1975</v>
      </c>
      <c r="E14498">
        <f>IFERROR(__xludf.DUMMYFUNCTION("""COMPUTED_VALUE"""),193445.0)</f>
        <v>193445</v>
      </c>
    </row>
    <row r="14499">
      <c r="A14499" t="str">
        <f t="shared" si="1"/>
        <v>slb#1976</v>
      </c>
      <c r="B14499" t="str">
        <f>IFERROR(__xludf.DUMMYFUNCTION("""COMPUTED_VALUE"""),"slb")</f>
        <v>slb</v>
      </c>
      <c r="C14499" t="str">
        <f>IFERROR(__xludf.DUMMYFUNCTION("""COMPUTED_VALUE"""),"Solomon Islands")</f>
        <v>Solomon Islands</v>
      </c>
      <c r="D14499">
        <f>IFERROR(__xludf.DUMMYFUNCTION("""COMPUTED_VALUE"""),1976.0)</f>
        <v>1976</v>
      </c>
      <c r="E14499">
        <f>IFERROR(__xludf.DUMMYFUNCTION("""COMPUTED_VALUE"""),200640.0)</f>
        <v>200640</v>
      </c>
    </row>
    <row r="14500">
      <c r="A14500" t="str">
        <f t="shared" si="1"/>
        <v>slb#1977</v>
      </c>
      <c r="B14500" t="str">
        <f>IFERROR(__xludf.DUMMYFUNCTION("""COMPUTED_VALUE"""),"slb")</f>
        <v>slb</v>
      </c>
      <c r="C14500" t="str">
        <f>IFERROR(__xludf.DUMMYFUNCTION("""COMPUTED_VALUE"""),"Solomon Islands")</f>
        <v>Solomon Islands</v>
      </c>
      <c r="D14500">
        <f>IFERROR(__xludf.DUMMYFUNCTION("""COMPUTED_VALUE"""),1977.0)</f>
        <v>1977</v>
      </c>
      <c r="E14500">
        <f>IFERROR(__xludf.DUMMYFUNCTION("""COMPUTED_VALUE"""),207937.0)</f>
        <v>207937</v>
      </c>
    </row>
    <row r="14501">
      <c r="A14501" t="str">
        <f t="shared" si="1"/>
        <v>slb#1978</v>
      </c>
      <c r="B14501" t="str">
        <f>IFERROR(__xludf.DUMMYFUNCTION("""COMPUTED_VALUE"""),"slb")</f>
        <v>slb</v>
      </c>
      <c r="C14501" t="str">
        <f>IFERROR(__xludf.DUMMYFUNCTION("""COMPUTED_VALUE"""),"Solomon Islands")</f>
        <v>Solomon Islands</v>
      </c>
      <c r="D14501">
        <f>IFERROR(__xludf.DUMMYFUNCTION("""COMPUTED_VALUE"""),1978.0)</f>
        <v>1978</v>
      </c>
      <c r="E14501">
        <f>IFERROR(__xludf.DUMMYFUNCTION("""COMPUTED_VALUE"""),215347.0)</f>
        <v>215347</v>
      </c>
    </row>
    <row r="14502">
      <c r="A14502" t="str">
        <f t="shared" si="1"/>
        <v>slb#1979</v>
      </c>
      <c r="B14502" t="str">
        <f>IFERROR(__xludf.DUMMYFUNCTION("""COMPUTED_VALUE"""),"slb")</f>
        <v>slb</v>
      </c>
      <c r="C14502" t="str">
        <f>IFERROR(__xludf.DUMMYFUNCTION("""COMPUTED_VALUE"""),"Solomon Islands")</f>
        <v>Solomon Islands</v>
      </c>
      <c r="D14502">
        <f>IFERROR(__xludf.DUMMYFUNCTION("""COMPUTED_VALUE"""),1979.0)</f>
        <v>1979</v>
      </c>
      <c r="E14502">
        <f>IFERROR(__xludf.DUMMYFUNCTION("""COMPUTED_VALUE"""),222897.0)</f>
        <v>222897</v>
      </c>
    </row>
    <row r="14503">
      <c r="A14503" t="str">
        <f t="shared" si="1"/>
        <v>slb#1980</v>
      </c>
      <c r="B14503" t="str">
        <f>IFERROR(__xludf.DUMMYFUNCTION("""COMPUTED_VALUE"""),"slb")</f>
        <v>slb</v>
      </c>
      <c r="C14503" t="str">
        <f>IFERROR(__xludf.DUMMYFUNCTION("""COMPUTED_VALUE"""),"Solomon Islands")</f>
        <v>Solomon Islands</v>
      </c>
      <c r="D14503">
        <f>IFERROR(__xludf.DUMMYFUNCTION("""COMPUTED_VALUE"""),1980.0)</f>
        <v>1980</v>
      </c>
      <c r="E14503">
        <f>IFERROR(__xludf.DUMMYFUNCTION("""COMPUTED_VALUE"""),230607.0)</f>
        <v>230607</v>
      </c>
    </row>
    <row r="14504">
      <c r="A14504" t="str">
        <f t="shared" si="1"/>
        <v>slb#1981</v>
      </c>
      <c r="B14504" t="str">
        <f>IFERROR(__xludf.DUMMYFUNCTION("""COMPUTED_VALUE"""),"slb")</f>
        <v>slb</v>
      </c>
      <c r="C14504" t="str">
        <f>IFERROR(__xludf.DUMMYFUNCTION("""COMPUTED_VALUE"""),"Solomon Islands")</f>
        <v>Solomon Islands</v>
      </c>
      <c r="D14504">
        <f>IFERROR(__xludf.DUMMYFUNCTION("""COMPUTED_VALUE"""),1981.0)</f>
        <v>1981</v>
      </c>
      <c r="E14504">
        <f>IFERROR(__xludf.DUMMYFUNCTION("""COMPUTED_VALUE"""),238479.0)</f>
        <v>238479</v>
      </c>
    </row>
    <row r="14505">
      <c r="A14505" t="str">
        <f t="shared" si="1"/>
        <v>slb#1982</v>
      </c>
      <c r="B14505" t="str">
        <f>IFERROR(__xludf.DUMMYFUNCTION("""COMPUTED_VALUE"""),"slb")</f>
        <v>slb</v>
      </c>
      <c r="C14505" t="str">
        <f>IFERROR(__xludf.DUMMYFUNCTION("""COMPUTED_VALUE"""),"Solomon Islands")</f>
        <v>Solomon Islands</v>
      </c>
      <c r="D14505">
        <f>IFERROR(__xludf.DUMMYFUNCTION("""COMPUTED_VALUE"""),1982.0)</f>
        <v>1982</v>
      </c>
      <c r="E14505">
        <f>IFERROR(__xludf.DUMMYFUNCTION("""COMPUTED_VALUE"""),246493.0)</f>
        <v>246493</v>
      </c>
    </row>
    <row r="14506">
      <c r="A14506" t="str">
        <f t="shared" si="1"/>
        <v>slb#1983</v>
      </c>
      <c r="B14506" t="str">
        <f>IFERROR(__xludf.DUMMYFUNCTION("""COMPUTED_VALUE"""),"slb")</f>
        <v>slb</v>
      </c>
      <c r="C14506" t="str">
        <f>IFERROR(__xludf.DUMMYFUNCTION("""COMPUTED_VALUE"""),"Solomon Islands")</f>
        <v>Solomon Islands</v>
      </c>
      <c r="D14506">
        <f>IFERROR(__xludf.DUMMYFUNCTION("""COMPUTED_VALUE"""),1983.0)</f>
        <v>1983</v>
      </c>
      <c r="E14506">
        <f>IFERROR(__xludf.DUMMYFUNCTION("""COMPUTED_VALUE"""),254596.0)</f>
        <v>254596</v>
      </c>
    </row>
    <row r="14507">
      <c r="A14507" t="str">
        <f t="shared" si="1"/>
        <v>slb#1984</v>
      </c>
      <c r="B14507" t="str">
        <f>IFERROR(__xludf.DUMMYFUNCTION("""COMPUTED_VALUE"""),"slb")</f>
        <v>slb</v>
      </c>
      <c r="C14507" t="str">
        <f>IFERROR(__xludf.DUMMYFUNCTION("""COMPUTED_VALUE"""),"Solomon Islands")</f>
        <v>Solomon Islands</v>
      </c>
      <c r="D14507">
        <f>IFERROR(__xludf.DUMMYFUNCTION("""COMPUTED_VALUE"""),1984.0)</f>
        <v>1984</v>
      </c>
      <c r="E14507">
        <f>IFERROR(__xludf.DUMMYFUNCTION("""COMPUTED_VALUE"""),262709.0)</f>
        <v>262709</v>
      </c>
    </row>
    <row r="14508">
      <c r="A14508" t="str">
        <f t="shared" si="1"/>
        <v>slb#1985</v>
      </c>
      <c r="B14508" t="str">
        <f>IFERROR(__xludf.DUMMYFUNCTION("""COMPUTED_VALUE"""),"slb")</f>
        <v>slb</v>
      </c>
      <c r="C14508" t="str">
        <f>IFERROR(__xludf.DUMMYFUNCTION("""COMPUTED_VALUE"""),"Solomon Islands")</f>
        <v>Solomon Islands</v>
      </c>
      <c r="D14508">
        <f>IFERROR(__xludf.DUMMYFUNCTION("""COMPUTED_VALUE"""),1985.0)</f>
        <v>1985</v>
      </c>
      <c r="E14508">
        <f>IFERROR(__xludf.DUMMYFUNCTION("""COMPUTED_VALUE"""),270801.0)</f>
        <v>270801</v>
      </c>
    </row>
    <row r="14509">
      <c r="A14509" t="str">
        <f t="shared" si="1"/>
        <v>slb#1986</v>
      </c>
      <c r="B14509" t="str">
        <f>IFERROR(__xludf.DUMMYFUNCTION("""COMPUTED_VALUE"""),"slb")</f>
        <v>slb</v>
      </c>
      <c r="C14509" t="str">
        <f>IFERROR(__xludf.DUMMYFUNCTION("""COMPUTED_VALUE"""),"Solomon Islands")</f>
        <v>Solomon Islands</v>
      </c>
      <c r="D14509">
        <f>IFERROR(__xludf.DUMMYFUNCTION("""COMPUTED_VALUE"""),1986.0)</f>
        <v>1986</v>
      </c>
      <c r="E14509">
        <f>IFERROR(__xludf.DUMMYFUNCTION("""COMPUTED_VALUE"""),278838.0)</f>
        <v>278838</v>
      </c>
    </row>
    <row r="14510">
      <c r="A14510" t="str">
        <f t="shared" si="1"/>
        <v>slb#1987</v>
      </c>
      <c r="B14510" t="str">
        <f>IFERROR(__xludf.DUMMYFUNCTION("""COMPUTED_VALUE"""),"slb")</f>
        <v>slb</v>
      </c>
      <c r="C14510" t="str">
        <f>IFERROR(__xludf.DUMMYFUNCTION("""COMPUTED_VALUE"""),"Solomon Islands")</f>
        <v>Solomon Islands</v>
      </c>
      <c r="D14510">
        <f>IFERROR(__xludf.DUMMYFUNCTION("""COMPUTED_VALUE"""),1987.0)</f>
        <v>1987</v>
      </c>
      <c r="E14510">
        <f>IFERROR(__xludf.DUMMYFUNCTION("""COMPUTED_VALUE"""),286863.0)</f>
        <v>286863</v>
      </c>
    </row>
    <row r="14511">
      <c r="A14511" t="str">
        <f t="shared" si="1"/>
        <v>slb#1988</v>
      </c>
      <c r="B14511" t="str">
        <f>IFERROR(__xludf.DUMMYFUNCTION("""COMPUTED_VALUE"""),"slb")</f>
        <v>slb</v>
      </c>
      <c r="C14511" t="str">
        <f>IFERROR(__xludf.DUMMYFUNCTION("""COMPUTED_VALUE"""),"Solomon Islands")</f>
        <v>Solomon Islands</v>
      </c>
      <c r="D14511">
        <f>IFERROR(__xludf.DUMMYFUNCTION("""COMPUTED_VALUE"""),1988.0)</f>
        <v>1988</v>
      </c>
      <c r="E14511">
        <f>IFERROR(__xludf.DUMMYFUNCTION("""COMPUTED_VALUE"""),294964.0)</f>
        <v>294964</v>
      </c>
    </row>
    <row r="14512">
      <c r="A14512" t="str">
        <f t="shared" si="1"/>
        <v>slb#1989</v>
      </c>
      <c r="B14512" t="str">
        <f>IFERROR(__xludf.DUMMYFUNCTION("""COMPUTED_VALUE"""),"slb")</f>
        <v>slb</v>
      </c>
      <c r="C14512" t="str">
        <f>IFERROR(__xludf.DUMMYFUNCTION("""COMPUTED_VALUE"""),"Solomon Islands")</f>
        <v>Solomon Islands</v>
      </c>
      <c r="D14512">
        <f>IFERROR(__xludf.DUMMYFUNCTION("""COMPUTED_VALUE"""),1989.0)</f>
        <v>1989</v>
      </c>
      <c r="E14512">
        <f>IFERROR(__xludf.DUMMYFUNCTION("""COMPUTED_VALUE"""),303253.0)</f>
        <v>303253</v>
      </c>
    </row>
    <row r="14513">
      <c r="A14513" t="str">
        <f t="shared" si="1"/>
        <v>slb#1990</v>
      </c>
      <c r="B14513" t="str">
        <f>IFERROR(__xludf.DUMMYFUNCTION("""COMPUTED_VALUE"""),"slb")</f>
        <v>slb</v>
      </c>
      <c r="C14513" t="str">
        <f>IFERROR(__xludf.DUMMYFUNCTION("""COMPUTED_VALUE"""),"Solomon Islands")</f>
        <v>Solomon Islands</v>
      </c>
      <c r="D14513">
        <f>IFERROR(__xludf.DUMMYFUNCTION("""COMPUTED_VALUE"""),1990.0)</f>
        <v>1990</v>
      </c>
      <c r="E14513">
        <f>IFERROR(__xludf.DUMMYFUNCTION("""COMPUTED_VALUE"""),311840.0)</f>
        <v>311840</v>
      </c>
    </row>
    <row r="14514">
      <c r="A14514" t="str">
        <f t="shared" si="1"/>
        <v>slb#1991</v>
      </c>
      <c r="B14514" t="str">
        <f>IFERROR(__xludf.DUMMYFUNCTION("""COMPUTED_VALUE"""),"slb")</f>
        <v>slb</v>
      </c>
      <c r="C14514" t="str">
        <f>IFERROR(__xludf.DUMMYFUNCTION("""COMPUTED_VALUE"""),"Solomon Islands")</f>
        <v>Solomon Islands</v>
      </c>
      <c r="D14514">
        <f>IFERROR(__xludf.DUMMYFUNCTION("""COMPUTED_VALUE"""),1991.0)</f>
        <v>1991</v>
      </c>
      <c r="E14514">
        <f>IFERROR(__xludf.DUMMYFUNCTION("""COMPUTED_VALUE"""),320753.0)</f>
        <v>320753</v>
      </c>
    </row>
    <row r="14515">
      <c r="A14515" t="str">
        <f t="shared" si="1"/>
        <v>slb#1992</v>
      </c>
      <c r="B14515" t="str">
        <f>IFERROR(__xludf.DUMMYFUNCTION("""COMPUTED_VALUE"""),"slb")</f>
        <v>slb</v>
      </c>
      <c r="C14515" t="str">
        <f>IFERROR(__xludf.DUMMYFUNCTION("""COMPUTED_VALUE"""),"Solomon Islands")</f>
        <v>Solomon Islands</v>
      </c>
      <c r="D14515">
        <f>IFERROR(__xludf.DUMMYFUNCTION("""COMPUTED_VALUE"""),1992.0)</f>
        <v>1992</v>
      </c>
      <c r="E14515">
        <f>IFERROR(__xludf.DUMMYFUNCTION("""COMPUTED_VALUE"""),329953.0)</f>
        <v>329953</v>
      </c>
    </row>
    <row r="14516">
      <c r="A14516" t="str">
        <f t="shared" si="1"/>
        <v>slb#1993</v>
      </c>
      <c r="B14516" t="str">
        <f>IFERROR(__xludf.DUMMYFUNCTION("""COMPUTED_VALUE"""),"slb")</f>
        <v>slb</v>
      </c>
      <c r="C14516" t="str">
        <f>IFERROR(__xludf.DUMMYFUNCTION("""COMPUTED_VALUE"""),"Solomon Islands")</f>
        <v>Solomon Islands</v>
      </c>
      <c r="D14516">
        <f>IFERROR(__xludf.DUMMYFUNCTION("""COMPUTED_VALUE"""),1993.0)</f>
        <v>1993</v>
      </c>
      <c r="E14516">
        <f>IFERROR(__xludf.DUMMYFUNCTION("""COMPUTED_VALUE"""),339456.0)</f>
        <v>339456</v>
      </c>
    </row>
    <row r="14517">
      <c r="A14517" t="str">
        <f t="shared" si="1"/>
        <v>slb#1994</v>
      </c>
      <c r="B14517" t="str">
        <f>IFERROR(__xludf.DUMMYFUNCTION("""COMPUTED_VALUE"""),"slb")</f>
        <v>slb</v>
      </c>
      <c r="C14517" t="str">
        <f>IFERROR(__xludf.DUMMYFUNCTION("""COMPUTED_VALUE"""),"Solomon Islands")</f>
        <v>Solomon Islands</v>
      </c>
      <c r="D14517">
        <f>IFERROR(__xludf.DUMMYFUNCTION("""COMPUTED_VALUE"""),1994.0)</f>
        <v>1994</v>
      </c>
      <c r="E14517">
        <f>IFERROR(__xludf.DUMMYFUNCTION("""COMPUTED_VALUE"""),349225.0)</f>
        <v>349225</v>
      </c>
    </row>
    <row r="14518">
      <c r="A14518" t="str">
        <f t="shared" si="1"/>
        <v>slb#1995</v>
      </c>
      <c r="B14518" t="str">
        <f>IFERROR(__xludf.DUMMYFUNCTION("""COMPUTED_VALUE"""),"slb")</f>
        <v>slb</v>
      </c>
      <c r="C14518" t="str">
        <f>IFERROR(__xludf.DUMMYFUNCTION("""COMPUTED_VALUE"""),"Solomon Islands")</f>
        <v>Solomon Islands</v>
      </c>
      <c r="D14518">
        <f>IFERROR(__xludf.DUMMYFUNCTION("""COMPUTED_VALUE"""),1995.0)</f>
        <v>1995</v>
      </c>
      <c r="E14518">
        <f>IFERROR(__xludf.DUMMYFUNCTION("""COMPUTED_VALUE"""),359225.0)</f>
        <v>359225</v>
      </c>
    </row>
    <row r="14519">
      <c r="A14519" t="str">
        <f t="shared" si="1"/>
        <v>slb#1996</v>
      </c>
      <c r="B14519" t="str">
        <f>IFERROR(__xludf.DUMMYFUNCTION("""COMPUTED_VALUE"""),"slb")</f>
        <v>slb</v>
      </c>
      <c r="C14519" t="str">
        <f>IFERROR(__xludf.DUMMYFUNCTION("""COMPUTED_VALUE"""),"Solomon Islands")</f>
        <v>Solomon Islands</v>
      </c>
      <c r="D14519">
        <f>IFERROR(__xludf.DUMMYFUNCTION("""COMPUTED_VALUE"""),1996.0)</f>
        <v>1996</v>
      </c>
      <c r="E14519">
        <f>IFERROR(__xludf.DUMMYFUNCTION("""COMPUTED_VALUE"""),369469.0)</f>
        <v>369469</v>
      </c>
    </row>
    <row r="14520">
      <c r="A14520" t="str">
        <f t="shared" si="1"/>
        <v>slb#1997</v>
      </c>
      <c r="B14520" t="str">
        <f>IFERROR(__xludf.DUMMYFUNCTION("""COMPUTED_VALUE"""),"slb")</f>
        <v>slb</v>
      </c>
      <c r="C14520" t="str">
        <f>IFERROR(__xludf.DUMMYFUNCTION("""COMPUTED_VALUE"""),"Solomon Islands")</f>
        <v>Solomon Islands</v>
      </c>
      <c r="D14520">
        <f>IFERROR(__xludf.DUMMYFUNCTION("""COMPUTED_VALUE"""),1997.0)</f>
        <v>1997</v>
      </c>
      <c r="E14520">
        <f>IFERROR(__xludf.DUMMYFUNCTION("""COMPUTED_VALUE"""),379947.0)</f>
        <v>379947</v>
      </c>
    </row>
    <row r="14521">
      <c r="A14521" t="str">
        <f t="shared" si="1"/>
        <v>slb#1998</v>
      </c>
      <c r="B14521" t="str">
        <f>IFERROR(__xludf.DUMMYFUNCTION("""COMPUTED_VALUE"""),"slb")</f>
        <v>slb</v>
      </c>
      <c r="C14521" t="str">
        <f>IFERROR(__xludf.DUMMYFUNCTION("""COMPUTED_VALUE"""),"Solomon Islands")</f>
        <v>Solomon Islands</v>
      </c>
      <c r="D14521">
        <f>IFERROR(__xludf.DUMMYFUNCTION("""COMPUTED_VALUE"""),1998.0)</f>
        <v>1998</v>
      </c>
      <c r="E14521">
        <f>IFERROR(__xludf.DUMMYFUNCTION("""COMPUTED_VALUE"""),390643.0)</f>
        <v>390643</v>
      </c>
    </row>
    <row r="14522">
      <c r="A14522" t="str">
        <f t="shared" si="1"/>
        <v>slb#1999</v>
      </c>
      <c r="B14522" t="str">
        <f>IFERROR(__xludf.DUMMYFUNCTION("""COMPUTED_VALUE"""),"slb")</f>
        <v>slb</v>
      </c>
      <c r="C14522" t="str">
        <f>IFERROR(__xludf.DUMMYFUNCTION("""COMPUTED_VALUE"""),"Solomon Islands")</f>
        <v>Solomon Islands</v>
      </c>
      <c r="D14522">
        <f>IFERROR(__xludf.DUMMYFUNCTION("""COMPUTED_VALUE"""),1999.0)</f>
        <v>1999</v>
      </c>
      <c r="E14522">
        <f>IFERROR(__xludf.DUMMYFUNCTION("""COMPUTED_VALUE"""),401538.0)</f>
        <v>401538</v>
      </c>
    </row>
    <row r="14523">
      <c r="A14523" t="str">
        <f t="shared" si="1"/>
        <v>slb#2000</v>
      </c>
      <c r="B14523" t="str">
        <f>IFERROR(__xludf.DUMMYFUNCTION("""COMPUTED_VALUE"""),"slb")</f>
        <v>slb</v>
      </c>
      <c r="C14523" t="str">
        <f>IFERROR(__xludf.DUMMYFUNCTION("""COMPUTED_VALUE"""),"Solomon Islands")</f>
        <v>Solomon Islands</v>
      </c>
      <c r="D14523">
        <f>IFERROR(__xludf.DUMMYFUNCTION("""COMPUTED_VALUE"""),2000.0)</f>
        <v>2000</v>
      </c>
      <c r="E14523">
        <f>IFERROR(__xludf.DUMMYFUNCTION("""COMPUTED_VALUE"""),412609.0)</f>
        <v>412609</v>
      </c>
    </row>
    <row r="14524">
      <c r="A14524" t="str">
        <f t="shared" si="1"/>
        <v>slb#2001</v>
      </c>
      <c r="B14524" t="str">
        <f>IFERROR(__xludf.DUMMYFUNCTION("""COMPUTED_VALUE"""),"slb")</f>
        <v>slb</v>
      </c>
      <c r="C14524" t="str">
        <f>IFERROR(__xludf.DUMMYFUNCTION("""COMPUTED_VALUE"""),"Solomon Islands")</f>
        <v>Solomon Islands</v>
      </c>
      <c r="D14524">
        <f>IFERROR(__xludf.DUMMYFUNCTION("""COMPUTED_VALUE"""),2001.0)</f>
        <v>2001</v>
      </c>
      <c r="E14524">
        <f>IFERROR(__xludf.DUMMYFUNCTION("""COMPUTED_VALUE"""),423853.0)</f>
        <v>423853</v>
      </c>
    </row>
    <row r="14525">
      <c r="A14525" t="str">
        <f t="shared" si="1"/>
        <v>slb#2002</v>
      </c>
      <c r="B14525" t="str">
        <f>IFERROR(__xludf.DUMMYFUNCTION("""COMPUTED_VALUE"""),"slb")</f>
        <v>slb</v>
      </c>
      <c r="C14525" t="str">
        <f>IFERROR(__xludf.DUMMYFUNCTION("""COMPUTED_VALUE"""),"Solomon Islands")</f>
        <v>Solomon Islands</v>
      </c>
      <c r="D14525">
        <f>IFERROR(__xludf.DUMMYFUNCTION("""COMPUTED_VALUE"""),2002.0)</f>
        <v>2002</v>
      </c>
      <c r="E14525">
        <f>IFERROR(__xludf.DUMMYFUNCTION("""COMPUTED_VALUE"""),435262.0)</f>
        <v>435262</v>
      </c>
    </row>
    <row r="14526">
      <c r="A14526" t="str">
        <f t="shared" si="1"/>
        <v>slb#2003</v>
      </c>
      <c r="B14526" t="str">
        <f>IFERROR(__xludf.DUMMYFUNCTION("""COMPUTED_VALUE"""),"slb")</f>
        <v>slb</v>
      </c>
      <c r="C14526" t="str">
        <f>IFERROR(__xludf.DUMMYFUNCTION("""COMPUTED_VALUE"""),"Solomon Islands")</f>
        <v>Solomon Islands</v>
      </c>
      <c r="D14526">
        <f>IFERROR(__xludf.DUMMYFUNCTION("""COMPUTED_VALUE"""),2003.0)</f>
        <v>2003</v>
      </c>
      <c r="E14526">
        <f>IFERROR(__xludf.DUMMYFUNCTION("""COMPUTED_VALUE"""),446769.0)</f>
        <v>446769</v>
      </c>
    </row>
    <row r="14527">
      <c r="A14527" t="str">
        <f t="shared" si="1"/>
        <v>slb#2004</v>
      </c>
      <c r="B14527" t="str">
        <f>IFERROR(__xludf.DUMMYFUNCTION("""COMPUTED_VALUE"""),"slb")</f>
        <v>slb</v>
      </c>
      <c r="C14527" t="str">
        <f>IFERROR(__xludf.DUMMYFUNCTION("""COMPUTED_VALUE"""),"Solomon Islands")</f>
        <v>Solomon Islands</v>
      </c>
      <c r="D14527">
        <f>IFERROR(__xludf.DUMMYFUNCTION("""COMPUTED_VALUE"""),2004.0)</f>
        <v>2004</v>
      </c>
      <c r="E14527">
        <f>IFERROR(__xludf.DUMMYFUNCTION("""COMPUTED_VALUE"""),458324.0)</f>
        <v>458324</v>
      </c>
    </row>
    <row r="14528">
      <c r="A14528" t="str">
        <f t="shared" si="1"/>
        <v>slb#2005</v>
      </c>
      <c r="B14528" t="str">
        <f>IFERROR(__xludf.DUMMYFUNCTION("""COMPUTED_VALUE"""),"slb")</f>
        <v>slb</v>
      </c>
      <c r="C14528" t="str">
        <f>IFERROR(__xludf.DUMMYFUNCTION("""COMPUTED_VALUE"""),"Solomon Islands")</f>
        <v>Solomon Islands</v>
      </c>
      <c r="D14528">
        <f>IFERROR(__xludf.DUMMYFUNCTION("""COMPUTED_VALUE"""),2005.0)</f>
        <v>2005</v>
      </c>
      <c r="E14528">
        <f>IFERROR(__xludf.DUMMYFUNCTION("""COMPUTED_VALUE"""),469885.0)</f>
        <v>469885</v>
      </c>
    </row>
    <row r="14529">
      <c r="A14529" t="str">
        <f t="shared" si="1"/>
        <v>slb#2006</v>
      </c>
      <c r="B14529" t="str">
        <f>IFERROR(__xludf.DUMMYFUNCTION("""COMPUTED_VALUE"""),"slb")</f>
        <v>slb</v>
      </c>
      <c r="C14529" t="str">
        <f>IFERROR(__xludf.DUMMYFUNCTION("""COMPUTED_VALUE"""),"Solomon Islands")</f>
        <v>Solomon Islands</v>
      </c>
      <c r="D14529">
        <f>IFERROR(__xludf.DUMMYFUNCTION("""COMPUTED_VALUE"""),2006.0)</f>
        <v>2006</v>
      </c>
      <c r="E14529">
        <f>IFERROR(__xludf.DUMMYFUNCTION("""COMPUTED_VALUE"""),481422.0)</f>
        <v>481422</v>
      </c>
    </row>
    <row r="14530">
      <c r="A14530" t="str">
        <f t="shared" si="1"/>
        <v>slb#2007</v>
      </c>
      <c r="B14530" t="str">
        <f>IFERROR(__xludf.DUMMYFUNCTION("""COMPUTED_VALUE"""),"slb")</f>
        <v>slb</v>
      </c>
      <c r="C14530" t="str">
        <f>IFERROR(__xludf.DUMMYFUNCTION("""COMPUTED_VALUE"""),"Solomon Islands")</f>
        <v>Solomon Islands</v>
      </c>
      <c r="D14530">
        <f>IFERROR(__xludf.DUMMYFUNCTION("""COMPUTED_VALUE"""),2007.0)</f>
        <v>2007</v>
      </c>
      <c r="E14530">
        <f>IFERROR(__xludf.DUMMYFUNCTION("""COMPUTED_VALUE"""),492940.0)</f>
        <v>492940</v>
      </c>
    </row>
    <row r="14531">
      <c r="A14531" t="str">
        <f t="shared" si="1"/>
        <v>slb#2008</v>
      </c>
      <c r="B14531" t="str">
        <f>IFERROR(__xludf.DUMMYFUNCTION("""COMPUTED_VALUE"""),"slb")</f>
        <v>slb</v>
      </c>
      <c r="C14531" t="str">
        <f>IFERROR(__xludf.DUMMYFUNCTION("""COMPUTED_VALUE"""),"Solomon Islands")</f>
        <v>Solomon Islands</v>
      </c>
      <c r="D14531">
        <f>IFERROR(__xludf.DUMMYFUNCTION("""COMPUTED_VALUE"""),2008.0)</f>
        <v>2008</v>
      </c>
      <c r="E14531">
        <f>IFERROR(__xludf.DUMMYFUNCTION("""COMPUTED_VALUE"""),504477.0)</f>
        <v>504477</v>
      </c>
    </row>
    <row r="14532">
      <c r="A14532" t="str">
        <f t="shared" si="1"/>
        <v>slb#2009</v>
      </c>
      <c r="B14532" t="str">
        <f>IFERROR(__xludf.DUMMYFUNCTION("""COMPUTED_VALUE"""),"slb")</f>
        <v>slb</v>
      </c>
      <c r="C14532" t="str">
        <f>IFERROR(__xludf.DUMMYFUNCTION("""COMPUTED_VALUE"""),"Solomon Islands")</f>
        <v>Solomon Islands</v>
      </c>
      <c r="D14532">
        <f>IFERROR(__xludf.DUMMYFUNCTION("""COMPUTED_VALUE"""),2009.0)</f>
        <v>2009</v>
      </c>
      <c r="E14532">
        <f>IFERROR(__xludf.DUMMYFUNCTION("""COMPUTED_VALUE"""),516079.0)</f>
        <v>516079</v>
      </c>
    </row>
    <row r="14533">
      <c r="A14533" t="str">
        <f t="shared" si="1"/>
        <v>slb#2010</v>
      </c>
      <c r="B14533" t="str">
        <f>IFERROR(__xludf.DUMMYFUNCTION("""COMPUTED_VALUE"""),"slb")</f>
        <v>slb</v>
      </c>
      <c r="C14533" t="str">
        <f>IFERROR(__xludf.DUMMYFUNCTION("""COMPUTED_VALUE"""),"Solomon Islands")</f>
        <v>Solomon Islands</v>
      </c>
      <c r="D14533">
        <f>IFERROR(__xludf.DUMMYFUNCTION("""COMPUTED_VALUE"""),2010.0)</f>
        <v>2010</v>
      </c>
      <c r="E14533">
        <f>IFERROR(__xludf.DUMMYFUNCTION("""COMPUTED_VALUE"""),527790.0)</f>
        <v>527790</v>
      </c>
    </row>
    <row r="14534">
      <c r="A14534" t="str">
        <f t="shared" si="1"/>
        <v>slb#2011</v>
      </c>
      <c r="B14534" t="str">
        <f>IFERROR(__xludf.DUMMYFUNCTION("""COMPUTED_VALUE"""),"slb")</f>
        <v>slb</v>
      </c>
      <c r="C14534" t="str">
        <f>IFERROR(__xludf.DUMMYFUNCTION("""COMPUTED_VALUE"""),"Solomon Islands")</f>
        <v>Solomon Islands</v>
      </c>
      <c r="D14534">
        <f>IFERROR(__xludf.DUMMYFUNCTION("""COMPUTED_VALUE"""),2011.0)</f>
        <v>2011</v>
      </c>
      <c r="E14534">
        <f>IFERROR(__xludf.DUMMYFUNCTION("""COMPUTED_VALUE"""),539614.0)</f>
        <v>539614</v>
      </c>
    </row>
    <row r="14535">
      <c r="A14535" t="str">
        <f t="shared" si="1"/>
        <v>slb#2012</v>
      </c>
      <c r="B14535" t="str">
        <f>IFERROR(__xludf.DUMMYFUNCTION("""COMPUTED_VALUE"""),"slb")</f>
        <v>slb</v>
      </c>
      <c r="C14535" t="str">
        <f>IFERROR(__xludf.DUMMYFUNCTION("""COMPUTED_VALUE"""),"Solomon Islands")</f>
        <v>Solomon Islands</v>
      </c>
      <c r="D14535">
        <f>IFERROR(__xludf.DUMMYFUNCTION("""COMPUTED_VALUE"""),2012.0)</f>
        <v>2012</v>
      </c>
      <c r="E14535">
        <f>IFERROR(__xludf.DUMMYFUNCTION("""COMPUTED_VALUE"""),551531.0)</f>
        <v>551531</v>
      </c>
    </row>
    <row r="14536">
      <c r="A14536" t="str">
        <f t="shared" si="1"/>
        <v>slb#2013</v>
      </c>
      <c r="B14536" t="str">
        <f>IFERROR(__xludf.DUMMYFUNCTION("""COMPUTED_VALUE"""),"slb")</f>
        <v>slb</v>
      </c>
      <c r="C14536" t="str">
        <f>IFERROR(__xludf.DUMMYFUNCTION("""COMPUTED_VALUE"""),"Solomon Islands")</f>
        <v>Solomon Islands</v>
      </c>
      <c r="D14536">
        <f>IFERROR(__xludf.DUMMYFUNCTION("""COMPUTED_VALUE"""),2013.0)</f>
        <v>2013</v>
      </c>
      <c r="E14536">
        <f>IFERROR(__xludf.DUMMYFUNCTION("""COMPUTED_VALUE"""),563513.0)</f>
        <v>563513</v>
      </c>
    </row>
    <row r="14537">
      <c r="A14537" t="str">
        <f t="shared" si="1"/>
        <v>slb#2014</v>
      </c>
      <c r="B14537" t="str">
        <f>IFERROR(__xludf.DUMMYFUNCTION("""COMPUTED_VALUE"""),"slb")</f>
        <v>slb</v>
      </c>
      <c r="C14537" t="str">
        <f>IFERROR(__xludf.DUMMYFUNCTION("""COMPUTED_VALUE"""),"Solomon Islands")</f>
        <v>Solomon Islands</v>
      </c>
      <c r="D14537">
        <f>IFERROR(__xludf.DUMMYFUNCTION("""COMPUTED_VALUE"""),2014.0)</f>
        <v>2014</v>
      </c>
      <c r="E14537">
        <f>IFERROR(__xludf.DUMMYFUNCTION("""COMPUTED_VALUE"""),575504.0)</f>
        <v>575504</v>
      </c>
    </row>
    <row r="14538">
      <c r="A14538" t="str">
        <f t="shared" si="1"/>
        <v>slb#2015</v>
      </c>
      <c r="B14538" t="str">
        <f>IFERROR(__xludf.DUMMYFUNCTION("""COMPUTED_VALUE"""),"slb")</f>
        <v>slb</v>
      </c>
      <c r="C14538" t="str">
        <f>IFERROR(__xludf.DUMMYFUNCTION("""COMPUTED_VALUE"""),"Solomon Islands")</f>
        <v>Solomon Islands</v>
      </c>
      <c r="D14538">
        <f>IFERROR(__xludf.DUMMYFUNCTION("""COMPUTED_VALUE"""),2015.0)</f>
        <v>2015</v>
      </c>
      <c r="E14538">
        <f>IFERROR(__xludf.DUMMYFUNCTION("""COMPUTED_VALUE"""),587482.0)</f>
        <v>587482</v>
      </c>
    </row>
    <row r="14539">
      <c r="A14539" t="str">
        <f t="shared" si="1"/>
        <v>slb#2016</v>
      </c>
      <c r="B14539" t="str">
        <f>IFERROR(__xludf.DUMMYFUNCTION("""COMPUTED_VALUE"""),"slb")</f>
        <v>slb</v>
      </c>
      <c r="C14539" t="str">
        <f>IFERROR(__xludf.DUMMYFUNCTION("""COMPUTED_VALUE"""),"Solomon Islands")</f>
        <v>Solomon Islands</v>
      </c>
      <c r="D14539">
        <f>IFERROR(__xludf.DUMMYFUNCTION("""COMPUTED_VALUE"""),2016.0)</f>
        <v>2016</v>
      </c>
      <c r="E14539">
        <f>IFERROR(__xludf.DUMMYFUNCTION("""COMPUTED_VALUE"""),599419.0)</f>
        <v>599419</v>
      </c>
    </row>
    <row r="14540">
      <c r="A14540" t="str">
        <f t="shared" si="1"/>
        <v>slb#2017</v>
      </c>
      <c r="B14540" t="str">
        <f>IFERROR(__xludf.DUMMYFUNCTION("""COMPUTED_VALUE"""),"slb")</f>
        <v>slb</v>
      </c>
      <c r="C14540" t="str">
        <f>IFERROR(__xludf.DUMMYFUNCTION("""COMPUTED_VALUE"""),"Solomon Islands")</f>
        <v>Solomon Islands</v>
      </c>
      <c r="D14540">
        <f>IFERROR(__xludf.DUMMYFUNCTION("""COMPUTED_VALUE"""),2017.0)</f>
        <v>2017</v>
      </c>
      <c r="E14540">
        <f>IFERROR(__xludf.DUMMYFUNCTION("""COMPUTED_VALUE"""),611343.0)</f>
        <v>611343</v>
      </c>
    </row>
    <row r="14541">
      <c r="A14541" t="str">
        <f t="shared" si="1"/>
        <v>slb#2018</v>
      </c>
      <c r="B14541" t="str">
        <f>IFERROR(__xludf.DUMMYFUNCTION("""COMPUTED_VALUE"""),"slb")</f>
        <v>slb</v>
      </c>
      <c r="C14541" t="str">
        <f>IFERROR(__xludf.DUMMYFUNCTION("""COMPUTED_VALUE"""),"Solomon Islands")</f>
        <v>Solomon Islands</v>
      </c>
      <c r="D14541">
        <f>IFERROR(__xludf.DUMMYFUNCTION("""COMPUTED_VALUE"""),2018.0)</f>
        <v>2018</v>
      </c>
      <c r="E14541">
        <f>IFERROR(__xludf.DUMMYFUNCTION("""COMPUTED_VALUE"""),623281.0)</f>
        <v>623281</v>
      </c>
    </row>
    <row r="14542">
      <c r="A14542" t="str">
        <f t="shared" si="1"/>
        <v>slb#2019</v>
      </c>
      <c r="B14542" t="str">
        <f>IFERROR(__xludf.DUMMYFUNCTION("""COMPUTED_VALUE"""),"slb")</f>
        <v>slb</v>
      </c>
      <c r="C14542" t="str">
        <f>IFERROR(__xludf.DUMMYFUNCTION("""COMPUTED_VALUE"""),"Solomon Islands")</f>
        <v>Solomon Islands</v>
      </c>
      <c r="D14542">
        <f>IFERROR(__xludf.DUMMYFUNCTION("""COMPUTED_VALUE"""),2019.0)</f>
        <v>2019</v>
      </c>
      <c r="E14542">
        <f>IFERROR(__xludf.DUMMYFUNCTION("""COMPUTED_VALUE"""),635254.0)</f>
        <v>635254</v>
      </c>
    </row>
    <row r="14543">
      <c r="A14543" t="str">
        <f t="shared" si="1"/>
        <v>slb#2020</v>
      </c>
      <c r="B14543" t="str">
        <f>IFERROR(__xludf.DUMMYFUNCTION("""COMPUTED_VALUE"""),"slb")</f>
        <v>slb</v>
      </c>
      <c r="C14543" t="str">
        <f>IFERROR(__xludf.DUMMYFUNCTION("""COMPUTED_VALUE"""),"Solomon Islands")</f>
        <v>Solomon Islands</v>
      </c>
      <c r="D14543">
        <f>IFERROR(__xludf.DUMMYFUNCTION("""COMPUTED_VALUE"""),2020.0)</f>
        <v>2020</v>
      </c>
      <c r="E14543">
        <f>IFERROR(__xludf.DUMMYFUNCTION("""COMPUTED_VALUE"""),647297.0)</f>
        <v>647297</v>
      </c>
    </row>
    <row r="14544">
      <c r="A14544" t="str">
        <f t="shared" si="1"/>
        <v>slb#2021</v>
      </c>
      <c r="B14544" t="str">
        <f>IFERROR(__xludf.DUMMYFUNCTION("""COMPUTED_VALUE"""),"slb")</f>
        <v>slb</v>
      </c>
      <c r="C14544" t="str">
        <f>IFERROR(__xludf.DUMMYFUNCTION("""COMPUTED_VALUE"""),"Solomon Islands")</f>
        <v>Solomon Islands</v>
      </c>
      <c r="D14544">
        <f>IFERROR(__xludf.DUMMYFUNCTION("""COMPUTED_VALUE"""),2021.0)</f>
        <v>2021</v>
      </c>
      <c r="E14544">
        <f>IFERROR(__xludf.DUMMYFUNCTION("""COMPUTED_VALUE"""),659413.0)</f>
        <v>659413</v>
      </c>
    </row>
    <row r="14545">
      <c r="A14545" t="str">
        <f t="shared" si="1"/>
        <v>slb#2022</v>
      </c>
      <c r="B14545" t="str">
        <f>IFERROR(__xludf.DUMMYFUNCTION("""COMPUTED_VALUE"""),"slb")</f>
        <v>slb</v>
      </c>
      <c r="C14545" t="str">
        <f>IFERROR(__xludf.DUMMYFUNCTION("""COMPUTED_VALUE"""),"Solomon Islands")</f>
        <v>Solomon Islands</v>
      </c>
      <c r="D14545">
        <f>IFERROR(__xludf.DUMMYFUNCTION("""COMPUTED_VALUE"""),2022.0)</f>
        <v>2022</v>
      </c>
      <c r="E14545">
        <f>IFERROR(__xludf.DUMMYFUNCTION("""COMPUTED_VALUE"""),671590.0)</f>
        <v>671590</v>
      </c>
    </row>
    <row r="14546">
      <c r="A14546" t="str">
        <f t="shared" si="1"/>
        <v>slb#2023</v>
      </c>
      <c r="B14546" t="str">
        <f>IFERROR(__xludf.DUMMYFUNCTION("""COMPUTED_VALUE"""),"slb")</f>
        <v>slb</v>
      </c>
      <c r="C14546" t="str">
        <f>IFERROR(__xludf.DUMMYFUNCTION("""COMPUTED_VALUE"""),"Solomon Islands")</f>
        <v>Solomon Islands</v>
      </c>
      <c r="D14546">
        <f>IFERROR(__xludf.DUMMYFUNCTION("""COMPUTED_VALUE"""),2023.0)</f>
        <v>2023</v>
      </c>
      <c r="E14546">
        <f>IFERROR(__xludf.DUMMYFUNCTION("""COMPUTED_VALUE"""),683861.0)</f>
        <v>683861</v>
      </c>
    </row>
    <row r="14547">
      <c r="A14547" t="str">
        <f t="shared" si="1"/>
        <v>slb#2024</v>
      </c>
      <c r="B14547" t="str">
        <f>IFERROR(__xludf.DUMMYFUNCTION("""COMPUTED_VALUE"""),"slb")</f>
        <v>slb</v>
      </c>
      <c r="C14547" t="str">
        <f>IFERROR(__xludf.DUMMYFUNCTION("""COMPUTED_VALUE"""),"Solomon Islands")</f>
        <v>Solomon Islands</v>
      </c>
      <c r="D14547">
        <f>IFERROR(__xludf.DUMMYFUNCTION("""COMPUTED_VALUE"""),2024.0)</f>
        <v>2024</v>
      </c>
      <c r="E14547">
        <f>IFERROR(__xludf.DUMMYFUNCTION("""COMPUTED_VALUE"""),696220.0)</f>
        <v>696220</v>
      </c>
    </row>
    <row r="14548">
      <c r="A14548" t="str">
        <f t="shared" si="1"/>
        <v>slb#2025</v>
      </c>
      <c r="B14548" t="str">
        <f>IFERROR(__xludf.DUMMYFUNCTION("""COMPUTED_VALUE"""),"slb")</f>
        <v>slb</v>
      </c>
      <c r="C14548" t="str">
        <f>IFERROR(__xludf.DUMMYFUNCTION("""COMPUTED_VALUE"""),"Solomon Islands")</f>
        <v>Solomon Islands</v>
      </c>
      <c r="D14548">
        <f>IFERROR(__xludf.DUMMYFUNCTION("""COMPUTED_VALUE"""),2025.0)</f>
        <v>2025</v>
      </c>
      <c r="E14548">
        <f>IFERROR(__xludf.DUMMYFUNCTION("""COMPUTED_VALUE"""),708678.0)</f>
        <v>708678</v>
      </c>
    </row>
    <row r="14549">
      <c r="A14549" t="str">
        <f t="shared" si="1"/>
        <v>slb#2026</v>
      </c>
      <c r="B14549" t="str">
        <f>IFERROR(__xludf.DUMMYFUNCTION("""COMPUTED_VALUE"""),"slb")</f>
        <v>slb</v>
      </c>
      <c r="C14549" t="str">
        <f>IFERROR(__xludf.DUMMYFUNCTION("""COMPUTED_VALUE"""),"Solomon Islands")</f>
        <v>Solomon Islands</v>
      </c>
      <c r="D14549">
        <f>IFERROR(__xludf.DUMMYFUNCTION("""COMPUTED_VALUE"""),2026.0)</f>
        <v>2026</v>
      </c>
      <c r="E14549">
        <f>IFERROR(__xludf.DUMMYFUNCTION("""COMPUTED_VALUE"""),721249.0)</f>
        <v>721249</v>
      </c>
    </row>
    <row r="14550">
      <c r="A14550" t="str">
        <f t="shared" si="1"/>
        <v>slb#2027</v>
      </c>
      <c r="B14550" t="str">
        <f>IFERROR(__xludf.DUMMYFUNCTION("""COMPUTED_VALUE"""),"slb")</f>
        <v>slb</v>
      </c>
      <c r="C14550" t="str">
        <f>IFERROR(__xludf.DUMMYFUNCTION("""COMPUTED_VALUE"""),"Solomon Islands")</f>
        <v>Solomon Islands</v>
      </c>
      <c r="D14550">
        <f>IFERROR(__xludf.DUMMYFUNCTION("""COMPUTED_VALUE"""),2027.0)</f>
        <v>2027</v>
      </c>
      <c r="E14550">
        <f>IFERROR(__xludf.DUMMYFUNCTION("""COMPUTED_VALUE"""),733918.0)</f>
        <v>733918</v>
      </c>
    </row>
    <row r="14551">
      <c r="A14551" t="str">
        <f t="shared" si="1"/>
        <v>slb#2028</v>
      </c>
      <c r="B14551" t="str">
        <f>IFERROR(__xludf.DUMMYFUNCTION("""COMPUTED_VALUE"""),"slb")</f>
        <v>slb</v>
      </c>
      <c r="C14551" t="str">
        <f>IFERROR(__xludf.DUMMYFUNCTION("""COMPUTED_VALUE"""),"Solomon Islands")</f>
        <v>Solomon Islands</v>
      </c>
      <c r="D14551">
        <f>IFERROR(__xludf.DUMMYFUNCTION("""COMPUTED_VALUE"""),2028.0)</f>
        <v>2028</v>
      </c>
      <c r="E14551">
        <f>IFERROR(__xludf.DUMMYFUNCTION("""COMPUTED_VALUE"""),746700.0)</f>
        <v>746700</v>
      </c>
    </row>
    <row r="14552">
      <c r="A14552" t="str">
        <f t="shared" si="1"/>
        <v>slb#2029</v>
      </c>
      <c r="B14552" t="str">
        <f>IFERROR(__xludf.DUMMYFUNCTION("""COMPUTED_VALUE"""),"slb")</f>
        <v>slb</v>
      </c>
      <c r="C14552" t="str">
        <f>IFERROR(__xludf.DUMMYFUNCTION("""COMPUTED_VALUE"""),"Solomon Islands")</f>
        <v>Solomon Islands</v>
      </c>
      <c r="D14552">
        <f>IFERROR(__xludf.DUMMYFUNCTION("""COMPUTED_VALUE"""),2029.0)</f>
        <v>2029</v>
      </c>
      <c r="E14552">
        <f>IFERROR(__xludf.DUMMYFUNCTION("""COMPUTED_VALUE"""),759576.0)</f>
        <v>759576</v>
      </c>
    </row>
    <row r="14553">
      <c r="A14553" t="str">
        <f t="shared" si="1"/>
        <v>slb#2030</v>
      </c>
      <c r="B14553" t="str">
        <f>IFERROR(__xludf.DUMMYFUNCTION("""COMPUTED_VALUE"""),"slb")</f>
        <v>slb</v>
      </c>
      <c r="C14553" t="str">
        <f>IFERROR(__xludf.DUMMYFUNCTION("""COMPUTED_VALUE"""),"Solomon Islands")</f>
        <v>Solomon Islands</v>
      </c>
      <c r="D14553">
        <f>IFERROR(__xludf.DUMMYFUNCTION("""COMPUTED_VALUE"""),2030.0)</f>
        <v>2030</v>
      </c>
      <c r="E14553">
        <f>IFERROR(__xludf.DUMMYFUNCTION("""COMPUTED_VALUE"""),772545.0)</f>
        <v>772545</v>
      </c>
    </row>
    <row r="14554">
      <c r="A14554" t="str">
        <f t="shared" si="1"/>
        <v>slb#2031</v>
      </c>
      <c r="B14554" t="str">
        <f>IFERROR(__xludf.DUMMYFUNCTION("""COMPUTED_VALUE"""),"slb")</f>
        <v>slb</v>
      </c>
      <c r="C14554" t="str">
        <f>IFERROR(__xludf.DUMMYFUNCTION("""COMPUTED_VALUE"""),"Solomon Islands")</f>
        <v>Solomon Islands</v>
      </c>
      <c r="D14554">
        <f>IFERROR(__xludf.DUMMYFUNCTION("""COMPUTED_VALUE"""),2031.0)</f>
        <v>2031</v>
      </c>
      <c r="E14554">
        <f>IFERROR(__xludf.DUMMYFUNCTION("""COMPUTED_VALUE"""),785610.0)</f>
        <v>785610</v>
      </c>
    </row>
    <row r="14555">
      <c r="A14555" t="str">
        <f t="shared" si="1"/>
        <v>slb#2032</v>
      </c>
      <c r="B14555" t="str">
        <f>IFERROR(__xludf.DUMMYFUNCTION("""COMPUTED_VALUE"""),"slb")</f>
        <v>slb</v>
      </c>
      <c r="C14555" t="str">
        <f>IFERROR(__xludf.DUMMYFUNCTION("""COMPUTED_VALUE"""),"Solomon Islands")</f>
        <v>Solomon Islands</v>
      </c>
      <c r="D14555">
        <f>IFERROR(__xludf.DUMMYFUNCTION("""COMPUTED_VALUE"""),2032.0)</f>
        <v>2032</v>
      </c>
      <c r="E14555">
        <f>IFERROR(__xludf.DUMMYFUNCTION("""COMPUTED_VALUE"""),798763.0)</f>
        <v>798763</v>
      </c>
    </row>
    <row r="14556">
      <c r="A14556" t="str">
        <f t="shared" si="1"/>
        <v>slb#2033</v>
      </c>
      <c r="B14556" t="str">
        <f>IFERROR(__xludf.DUMMYFUNCTION("""COMPUTED_VALUE"""),"slb")</f>
        <v>slb</v>
      </c>
      <c r="C14556" t="str">
        <f>IFERROR(__xludf.DUMMYFUNCTION("""COMPUTED_VALUE"""),"Solomon Islands")</f>
        <v>Solomon Islands</v>
      </c>
      <c r="D14556">
        <f>IFERROR(__xludf.DUMMYFUNCTION("""COMPUTED_VALUE"""),2033.0)</f>
        <v>2033</v>
      </c>
      <c r="E14556">
        <f>IFERROR(__xludf.DUMMYFUNCTION("""COMPUTED_VALUE"""),811975.0)</f>
        <v>811975</v>
      </c>
    </row>
    <row r="14557">
      <c r="A14557" t="str">
        <f t="shared" si="1"/>
        <v>slb#2034</v>
      </c>
      <c r="B14557" t="str">
        <f>IFERROR(__xludf.DUMMYFUNCTION("""COMPUTED_VALUE"""),"slb")</f>
        <v>slb</v>
      </c>
      <c r="C14557" t="str">
        <f>IFERROR(__xludf.DUMMYFUNCTION("""COMPUTED_VALUE"""),"Solomon Islands")</f>
        <v>Solomon Islands</v>
      </c>
      <c r="D14557">
        <f>IFERROR(__xludf.DUMMYFUNCTION("""COMPUTED_VALUE"""),2034.0)</f>
        <v>2034</v>
      </c>
      <c r="E14557">
        <f>IFERROR(__xludf.DUMMYFUNCTION("""COMPUTED_VALUE"""),825243.0)</f>
        <v>825243</v>
      </c>
    </row>
    <row r="14558">
      <c r="A14558" t="str">
        <f t="shared" si="1"/>
        <v>slb#2035</v>
      </c>
      <c r="B14558" t="str">
        <f>IFERROR(__xludf.DUMMYFUNCTION("""COMPUTED_VALUE"""),"slb")</f>
        <v>slb</v>
      </c>
      <c r="C14558" t="str">
        <f>IFERROR(__xludf.DUMMYFUNCTION("""COMPUTED_VALUE"""),"Solomon Islands")</f>
        <v>Solomon Islands</v>
      </c>
      <c r="D14558">
        <f>IFERROR(__xludf.DUMMYFUNCTION("""COMPUTED_VALUE"""),2035.0)</f>
        <v>2035</v>
      </c>
      <c r="E14558">
        <f>IFERROR(__xludf.DUMMYFUNCTION("""COMPUTED_VALUE"""),838538.0)</f>
        <v>838538</v>
      </c>
    </row>
    <row r="14559">
      <c r="A14559" t="str">
        <f t="shared" si="1"/>
        <v>slb#2036</v>
      </c>
      <c r="B14559" t="str">
        <f>IFERROR(__xludf.DUMMYFUNCTION("""COMPUTED_VALUE"""),"slb")</f>
        <v>slb</v>
      </c>
      <c r="C14559" t="str">
        <f>IFERROR(__xludf.DUMMYFUNCTION("""COMPUTED_VALUE"""),"Solomon Islands")</f>
        <v>Solomon Islands</v>
      </c>
      <c r="D14559">
        <f>IFERROR(__xludf.DUMMYFUNCTION("""COMPUTED_VALUE"""),2036.0)</f>
        <v>2036</v>
      </c>
      <c r="E14559">
        <f>IFERROR(__xludf.DUMMYFUNCTION("""COMPUTED_VALUE"""),851855.0)</f>
        <v>851855</v>
      </c>
    </row>
    <row r="14560">
      <c r="A14560" t="str">
        <f t="shared" si="1"/>
        <v>slb#2037</v>
      </c>
      <c r="B14560" t="str">
        <f>IFERROR(__xludf.DUMMYFUNCTION("""COMPUTED_VALUE"""),"slb")</f>
        <v>slb</v>
      </c>
      <c r="C14560" t="str">
        <f>IFERROR(__xludf.DUMMYFUNCTION("""COMPUTED_VALUE"""),"Solomon Islands")</f>
        <v>Solomon Islands</v>
      </c>
      <c r="D14560">
        <f>IFERROR(__xludf.DUMMYFUNCTION("""COMPUTED_VALUE"""),2037.0)</f>
        <v>2037</v>
      </c>
      <c r="E14560">
        <f>IFERROR(__xludf.DUMMYFUNCTION("""COMPUTED_VALUE"""),865184.0)</f>
        <v>865184</v>
      </c>
    </row>
    <row r="14561">
      <c r="A14561" t="str">
        <f t="shared" si="1"/>
        <v>slb#2038</v>
      </c>
      <c r="B14561" t="str">
        <f>IFERROR(__xludf.DUMMYFUNCTION("""COMPUTED_VALUE"""),"slb")</f>
        <v>slb</v>
      </c>
      <c r="C14561" t="str">
        <f>IFERROR(__xludf.DUMMYFUNCTION("""COMPUTED_VALUE"""),"Solomon Islands")</f>
        <v>Solomon Islands</v>
      </c>
      <c r="D14561">
        <f>IFERROR(__xludf.DUMMYFUNCTION("""COMPUTED_VALUE"""),2038.0)</f>
        <v>2038</v>
      </c>
      <c r="E14561">
        <f>IFERROR(__xludf.DUMMYFUNCTION("""COMPUTED_VALUE"""),878507.0)</f>
        <v>878507</v>
      </c>
    </row>
    <row r="14562">
      <c r="A14562" t="str">
        <f t="shared" si="1"/>
        <v>slb#2039</v>
      </c>
      <c r="B14562" t="str">
        <f>IFERROR(__xludf.DUMMYFUNCTION("""COMPUTED_VALUE"""),"slb")</f>
        <v>slb</v>
      </c>
      <c r="C14562" t="str">
        <f>IFERROR(__xludf.DUMMYFUNCTION("""COMPUTED_VALUE"""),"Solomon Islands")</f>
        <v>Solomon Islands</v>
      </c>
      <c r="D14562">
        <f>IFERROR(__xludf.DUMMYFUNCTION("""COMPUTED_VALUE"""),2039.0)</f>
        <v>2039</v>
      </c>
      <c r="E14562">
        <f>IFERROR(__xludf.DUMMYFUNCTION("""COMPUTED_VALUE"""),891808.0)</f>
        <v>891808</v>
      </c>
    </row>
    <row r="14563">
      <c r="A14563" t="str">
        <f t="shared" si="1"/>
        <v>slb#2040</v>
      </c>
      <c r="B14563" t="str">
        <f>IFERROR(__xludf.DUMMYFUNCTION("""COMPUTED_VALUE"""),"slb")</f>
        <v>slb</v>
      </c>
      <c r="C14563" t="str">
        <f>IFERROR(__xludf.DUMMYFUNCTION("""COMPUTED_VALUE"""),"Solomon Islands")</f>
        <v>Solomon Islands</v>
      </c>
      <c r="D14563">
        <f>IFERROR(__xludf.DUMMYFUNCTION("""COMPUTED_VALUE"""),2040.0)</f>
        <v>2040</v>
      </c>
      <c r="E14563">
        <f>IFERROR(__xludf.DUMMYFUNCTION("""COMPUTED_VALUE"""),905073.0)</f>
        <v>905073</v>
      </c>
    </row>
    <row r="14564">
      <c r="A14564" t="str">
        <f t="shared" si="1"/>
        <v>som#1950</v>
      </c>
      <c r="B14564" t="str">
        <f>IFERROR(__xludf.DUMMYFUNCTION("""COMPUTED_VALUE"""),"som")</f>
        <v>som</v>
      </c>
      <c r="C14564" t="str">
        <f>IFERROR(__xludf.DUMMYFUNCTION("""COMPUTED_VALUE"""),"Somalia")</f>
        <v>Somalia</v>
      </c>
      <c r="D14564">
        <f>IFERROR(__xludf.DUMMYFUNCTION("""COMPUTED_VALUE"""),1950.0)</f>
        <v>1950</v>
      </c>
      <c r="E14564">
        <f>IFERROR(__xludf.DUMMYFUNCTION("""COMPUTED_VALUE"""),2264082.0)</f>
        <v>2264082</v>
      </c>
    </row>
    <row r="14565">
      <c r="A14565" t="str">
        <f t="shared" si="1"/>
        <v>som#1951</v>
      </c>
      <c r="B14565" t="str">
        <f>IFERROR(__xludf.DUMMYFUNCTION("""COMPUTED_VALUE"""),"som")</f>
        <v>som</v>
      </c>
      <c r="C14565" t="str">
        <f>IFERROR(__xludf.DUMMYFUNCTION("""COMPUTED_VALUE"""),"Somalia")</f>
        <v>Somalia</v>
      </c>
      <c r="D14565">
        <f>IFERROR(__xludf.DUMMYFUNCTION("""COMPUTED_VALUE"""),1951.0)</f>
        <v>1951</v>
      </c>
      <c r="E14565">
        <f>IFERROR(__xludf.DUMMYFUNCTION("""COMPUTED_VALUE"""),2307673.0)</f>
        <v>2307673</v>
      </c>
    </row>
    <row r="14566">
      <c r="A14566" t="str">
        <f t="shared" si="1"/>
        <v>som#1952</v>
      </c>
      <c r="B14566" t="str">
        <f>IFERROR(__xludf.DUMMYFUNCTION("""COMPUTED_VALUE"""),"som")</f>
        <v>som</v>
      </c>
      <c r="C14566" t="str">
        <f>IFERROR(__xludf.DUMMYFUNCTION("""COMPUTED_VALUE"""),"Somalia")</f>
        <v>Somalia</v>
      </c>
      <c r="D14566">
        <f>IFERROR(__xludf.DUMMYFUNCTION("""COMPUTED_VALUE"""),1952.0)</f>
        <v>1952</v>
      </c>
      <c r="E14566">
        <f>IFERROR(__xludf.DUMMYFUNCTION("""COMPUTED_VALUE"""),2351929.0)</f>
        <v>2351929</v>
      </c>
    </row>
    <row r="14567">
      <c r="A14567" t="str">
        <f t="shared" si="1"/>
        <v>som#1953</v>
      </c>
      <c r="B14567" t="str">
        <f>IFERROR(__xludf.DUMMYFUNCTION("""COMPUTED_VALUE"""),"som")</f>
        <v>som</v>
      </c>
      <c r="C14567" t="str">
        <f>IFERROR(__xludf.DUMMYFUNCTION("""COMPUTED_VALUE"""),"Somalia")</f>
        <v>Somalia</v>
      </c>
      <c r="D14567">
        <f>IFERROR(__xludf.DUMMYFUNCTION("""COMPUTED_VALUE"""),1953.0)</f>
        <v>1953</v>
      </c>
      <c r="E14567">
        <f>IFERROR(__xludf.DUMMYFUNCTION("""COMPUTED_VALUE"""),2397159.0)</f>
        <v>2397159</v>
      </c>
    </row>
    <row r="14568">
      <c r="A14568" t="str">
        <f t="shared" si="1"/>
        <v>som#1954</v>
      </c>
      <c r="B14568" t="str">
        <f>IFERROR(__xludf.DUMMYFUNCTION("""COMPUTED_VALUE"""),"som")</f>
        <v>som</v>
      </c>
      <c r="C14568" t="str">
        <f>IFERROR(__xludf.DUMMYFUNCTION("""COMPUTED_VALUE"""),"Somalia")</f>
        <v>Somalia</v>
      </c>
      <c r="D14568">
        <f>IFERROR(__xludf.DUMMYFUNCTION("""COMPUTED_VALUE"""),1954.0)</f>
        <v>1954</v>
      </c>
      <c r="E14568">
        <f>IFERROR(__xludf.DUMMYFUNCTION("""COMPUTED_VALUE"""),2443625.0)</f>
        <v>2443625</v>
      </c>
    </row>
    <row r="14569">
      <c r="A14569" t="str">
        <f t="shared" si="1"/>
        <v>som#1955</v>
      </c>
      <c r="B14569" t="str">
        <f>IFERROR(__xludf.DUMMYFUNCTION("""COMPUTED_VALUE"""),"som")</f>
        <v>som</v>
      </c>
      <c r="C14569" t="str">
        <f>IFERROR(__xludf.DUMMYFUNCTION("""COMPUTED_VALUE"""),"Somalia")</f>
        <v>Somalia</v>
      </c>
      <c r="D14569">
        <f>IFERROR(__xludf.DUMMYFUNCTION("""COMPUTED_VALUE"""),1955.0)</f>
        <v>1955</v>
      </c>
      <c r="E14569">
        <f>IFERROR(__xludf.DUMMYFUNCTION("""COMPUTED_VALUE"""),2491520.0)</f>
        <v>2491520</v>
      </c>
    </row>
    <row r="14570">
      <c r="A14570" t="str">
        <f t="shared" si="1"/>
        <v>som#1956</v>
      </c>
      <c r="B14570" t="str">
        <f>IFERROR(__xludf.DUMMYFUNCTION("""COMPUTED_VALUE"""),"som")</f>
        <v>som</v>
      </c>
      <c r="C14570" t="str">
        <f>IFERROR(__xludf.DUMMYFUNCTION("""COMPUTED_VALUE"""),"Somalia")</f>
        <v>Somalia</v>
      </c>
      <c r="D14570">
        <f>IFERROR(__xludf.DUMMYFUNCTION("""COMPUTED_VALUE"""),1956.0)</f>
        <v>1956</v>
      </c>
      <c r="E14570">
        <f>IFERROR(__xludf.DUMMYFUNCTION("""COMPUTED_VALUE"""),2540989.0)</f>
        <v>2540989</v>
      </c>
    </row>
    <row r="14571">
      <c r="A14571" t="str">
        <f t="shared" si="1"/>
        <v>som#1957</v>
      </c>
      <c r="B14571" t="str">
        <f>IFERROR(__xludf.DUMMYFUNCTION("""COMPUTED_VALUE"""),"som")</f>
        <v>som</v>
      </c>
      <c r="C14571" t="str">
        <f>IFERROR(__xludf.DUMMYFUNCTION("""COMPUTED_VALUE"""),"Somalia")</f>
        <v>Somalia</v>
      </c>
      <c r="D14571">
        <f>IFERROR(__xludf.DUMMYFUNCTION("""COMPUTED_VALUE"""),1957.0)</f>
        <v>1957</v>
      </c>
      <c r="E14571">
        <f>IFERROR(__xludf.DUMMYFUNCTION("""COMPUTED_VALUE"""),2592133.0)</f>
        <v>2592133</v>
      </c>
    </row>
    <row r="14572">
      <c r="A14572" t="str">
        <f t="shared" si="1"/>
        <v>som#1958</v>
      </c>
      <c r="B14572" t="str">
        <f>IFERROR(__xludf.DUMMYFUNCTION("""COMPUTED_VALUE"""),"som")</f>
        <v>som</v>
      </c>
      <c r="C14572" t="str">
        <f>IFERROR(__xludf.DUMMYFUNCTION("""COMPUTED_VALUE"""),"Somalia")</f>
        <v>Somalia</v>
      </c>
      <c r="D14572">
        <f>IFERROR(__xludf.DUMMYFUNCTION("""COMPUTED_VALUE"""),1958.0)</f>
        <v>1958</v>
      </c>
      <c r="E14572">
        <f>IFERROR(__xludf.DUMMYFUNCTION("""COMPUTED_VALUE"""),2644994.0)</f>
        <v>2644994</v>
      </c>
    </row>
    <row r="14573">
      <c r="A14573" t="str">
        <f t="shared" si="1"/>
        <v>som#1959</v>
      </c>
      <c r="B14573" t="str">
        <f>IFERROR(__xludf.DUMMYFUNCTION("""COMPUTED_VALUE"""),"som")</f>
        <v>som</v>
      </c>
      <c r="C14573" t="str">
        <f>IFERROR(__xludf.DUMMYFUNCTION("""COMPUTED_VALUE"""),"Somalia")</f>
        <v>Somalia</v>
      </c>
      <c r="D14573">
        <f>IFERROR(__xludf.DUMMYFUNCTION("""COMPUTED_VALUE"""),1959.0)</f>
        <v>1959</v>
      </c>
      <c r="E14573">
        <f>IFERROR(__xludf.DUMMYFUNCTION("""COMPUTED_VALUE"""),2699595.0)</f>
        <v>2699595</v>
      </c>
    </row>
    <row r="14574">
      <c r="A14574" t="str">
        <f t="shared" si="1"/>
        <v>som#1960</v>
      </c>
      <c r="B14574" t="str">
        <f>IFERROR(__xludf.DUMMYFUNCTION("""COMPUTED_VALUE"""),"som")</f>
        <v>som</v>
      </c>
      <c r="C14574" t="str">
        <f>IFERROR(__xludf.DUMMYFUNCTION("""COMPUTED_VALUE"""),"Somalia")</f>
        <v>Somalia</v>
      </c>
      <c r="D14574">
        <f>IFERROR(__xludf.DUMMYFUNCTION("""COMPUTED_VALUE"""),1960.0)</f>
        <v>1960</v>
      </c>
      <c r="E14574">
        <f>IFERROR(__xludf.DUMMYFUNCTION("""COMPUTED_VALUE"""),2755947.0)</f>
        <v>2755947</v>
      </c>
    </row>
    <row r="14575">
      <c r="A14575" t="str">
        <f t="shared" si="1"/>
        <v>som#1961</v>
      </c>
      <c r="B14575" t="str">
        <f>IFERROR(__xludf.DUMMYFUNCTION("""COMPUTED_VALUE"""),"som")</f>
        <v>som</v>
      </c>
      <c r="C14575" t="str">
        <f>IFERROR(__xludf.DUMMYFUNCTION("""COMPUTED_VALUE"""),"Somalia")</f>
        <v>Somalia</v>
      </c>
      <c r="D14575">
        <f>IFERROR(__xludf.DUMMYFUNCTION("""COMPUTED_VALUE"""),1961.0)</f>
        <v>1961</v>
      </c>
      <c r="E14575">
        <f>IFERROR(__xludf.DUMMYFUNCTION("""COMPUTED_VALUE"""),2814096.0)</f>
        <v>2814096</v>
      </c>
    </row>
    <row r="14576">
      <c r="A14576" t="str">
        <f t="shared" si="1"/>
        <v>som#1962</v>
      </c>
      <c r="B14576" t="str">
        <f>IFERROR(__xludf.DUMMYFUNCTION("""COMPUTED_VALUE"""),"som")</f>
        <v>som</v>
      </c>
      <c r="C14576" t="str">
        <f>IFERROR(__xludf.DUMMYFUNCTION("""COMPUTED_VALUE"""),"Somalia")</f>
        <v>Somalia</v>
      </c>
      <c r="D14576">
        <f>IFERROR(__xludf.DUMMYFUNCTION("""COMPUTED_VALUE"""),1962.0)</f>
        <v>1962</v>
      </c>
      <c r="E14576">
        <f>IFERROR(__xludf.DUMMYFUNCTION("""COMPUTED_VALUE"""),2874190.0)</f>
        <v>2874190</v>
      </c>
    </row>
    <row r="14577">
      <c r="A14577" t="str">
        <f t="shared" si="1"/>
        <v>som#1963</v>
      </c>
      <c r="B14577" t="str">
        <f>IFERROR(__xludf.DUMMYFUNCTION("""COMPUTED_VALUE"""),"som")</f>
        <v>som</v>
      </c>
      <c r="C14577" t="str">
        <f>IFERROR(__xludf.DUMMYFUNCTION("""COMPUTED_VALUE"""),"Somalia")</f>
        <v>Somalia</v>
      </c>
      <c r="D14577">
        <f>IFERROR(__xludf.DUMMYFUNCTION("""COMPUTED_VALUE"""),1963.0)</f>
        <v>1963</v>
      </c>
      <c r="E14577">
        <f>IFERROR(__xludf.DUMMYFUNCTION("""COMPUTED_VALUE"""),2936443.0)</f>
        <v>2936443</v>
      </c>
    </row>
    <row r="14578">
      <c r="A14578" t="str">
        <f t="shared" si="1"/>
        <v>som#1964</v>
      </c>
      <c r="B14578" t="str">
        <f>IFERROR(__xludf.DUMMYFUNCTION("""COMPUTED_VALUE"""),"som")</f>
        <v>som</v>
      </c>
      <c r="C14578" t="str">
        <f>IFERROR(__xludf.DUMMYFUNCTION("""COMPUTED_VALUE"""),"Somalia")</f>
        <v>Somalia</v>
      </c>
      <c r="D14578">
        <f>IFERROR(__xludf.DUMMYFUNCTION("""COMPUTED_VALUE"""),1964.0)</f>
        <v>1964</v>
      </c>
      <c r="E14578">
        <f>IFERROR(__xludf.DUMMYFUNCTION("""COMPUTED_VALUE"""),3001126.0)</f>
        <v>3001126</v>
      </c>
    </row>
    <row r="14579">
      <c r="A14579" t="str">
        <f t="shared" si="1"/>
        <v>som#1965</v>
      </c>
      <c r="B14579" t="str">
        <f>IFERROR(__xludf.DUMMYFUNCTION("""COMPUTED_VALUE"""),"som")</f>
        <v>som</v>
      </c>
      <c r="C14579" t="str">
        <f>IFERROR(__xludf.DUMMYFUNCTION("""COMPUTED_VALUE"""),"Somalia")</f>
        <v>Somalia</v>
      </c>
      <c r="D14579">
        <f>IFERROR(__xludf.DUMMYFUNCTION("""COMPUTED_VALUE"""),1965.0)</f>
        <v>1965</v>
      </c>
      <c r="E14579">
        <f>IFERROR(__xludf.DUMMYFUNCTION("""COMPUTED_VALUE"""),3068437.0)</f>
        <v>3068437</v>
      </c>
    </row>
    <row r="14580">
      <c r="A14580" t="str">
        <f t="shared" si="1"/>
        <v>som#1966</v>
      </c>
      <c r="B14580" t="str">
        <f>IFERROR(__xludf.DUMMYFUNCTION("""COMPUTED_VALUE"""),"som")</f>
        <v>som</v>
      </c>
      <c r="C14580" t="str">
        <f>IFERROR(__xludf.DUMMYFUNCTION("""COMPUTED_VALUE"""),"Somalia")</f>
        <v>Somalia</v>
      </c>
      <c r="D14580">
        <f>IFERROR(__xludf.DUMMYFUNCTION("""COMPUTED_VALUE"""),1966.0)</f>
        <v>1966</v>
      </c>
      <c r="E14580">
        <f>IFERROR(__xludf.DUMMYFUNCTION("""COMPUTED_VALUE"""),3143836.0)</f>
        <v>3143836</v>
      </c>
    </row>
    <row r="14581">
      <c r="A14581" t="str">
        <f t="shared" si="1"/>
        <v>som#1967</v>
      </c>
      <c r="B14581" t="str">
        <f>IFERROR(__xludf.DUMMYFUNCTION("""COMPUTED_VALUE"""),"som")</f>
        <v>som</v>
      </c>
      <c r="C14581" t="str">
        <f>IFERROR(__xludf.DUMMYFUNCTION("""COMPUTED_VALUE"""),"Somalia")</f>
        <v>Somalia</v>
      </c>
      <c r="D14581">
        <f>IFERROR(__xludf.DUMMYFUNCTION("""COMPUTED_VALUE"""),1967.0)</f>
        <v>1967</v>
      </c>
      <c r="E14581">
        <f>IFERROR(__xludf.DUMMYFUNCTION("""COMPUTED_VALUE"""),3228495.0)</f>
        <v>3228495</v>
      </c>
    </row>
    <row r="14582">
      <c r="A14582" t="str">
        <f t="shared" si="1"/>
        <v>som#1968</v>
      </c>
      <c r="B14582" t="str">
        <f>IFERROR(__xludf.DUMMYFUNCTION("""COMPUTED_VALUE"""),"som")</f>
        <v>som</v>
      </c>
      <c r="C14582" t="str">
        <f>IFERROR(__xludf.DUMMYFUNCTION("""COMPUTED_VALUE"""),"Somalia")</f>
        <v>Somalia</v>
      </c>
      <c r="D14582">
        <f>IFERROR(__xludf.DUMMYFUNCTION("""COMPUTED_VALUE"""),1968.0)</f>
        <v>1968</v>
      </c>
      <c r="E14582">
        <f>IFERROR(__xludf.DUMMYFUNCTION("""COMPUTED_VALUE"""),3313786.0)</f>
        <v>3313786</v>
      </c>
    </row>
    <row r="14583">
      <c r="A14583" t="str">
        <f t="shared" si="1"/>
        <v>som#1969</v>
      </c>
      <c r="B14583" t="str">
        <f>IFERROR(__xludf.DUMMYFUNCTION("""COMPUTED_VALUE"""),"som")</f>
        <v>som</v>
      </c>
      <c r="C14583" t="str">
        <f>IFERROR(__xludf.DUMMYFUNCTION("""COMPUTED_VALUE"""),"Somalia")</f>
        <v>Somalia</v>
      </c>
      <c r="D14583">
        <f>IFERROR(__xludf.DUMMYFUNCTION("""COMPUTED_VALUE"""),1969.0)</f>
        <v>1969</v>
      </c>
      <c r="E14583">
        <f>IFERROR(__xludf.DUMMYFUNCTION("""COMPUTED_VALUE"""),3387632.0)</f>
        <v>3387632</v>
      </c>
    </row>
    <row r="14584">
      <c r="A14584" t="str">
        <f t="shared" si="1"/>
        <v>som#1970</v>
      </c>
      <c r="B14584" t="str">
        <f>IFERROR(__xludf.DUMMYFUNCTION("""COMPUTED_VALUE"""),"som")</f>
        <v>som</v>
      </c>
      <c r="C14584" t="str">
        <f>IFERROR(__xludf.DUMMYFUNCTION("""COMPUTED_VALUE"""),"Somalia")</f>
        <v>Somalia</v>
      </c>
      <c r="D14584">
        <f>IFERROR(__xludf.DUMMYFUNCTION("""COMPUTED_VALUE"""),1970.0)</f>
        <v>1970</v>
      </c>
      <c r="E14584">
        <f>IFERROR(__xludf.DUMMYFUNCTION("""COMPUTED_VALUE"""),3444553.0)</f>
        <v>3444553</v>
      </c>
    </row>
    <row r="14585">
      <c r="A14585" t="str">
        <f t="shared" si="1"/>
        <v>som#1971</v>
      </c>
      <c r="B14585" t="str">
        <f>IFERROR(__xludf.DUMMYFUNCTION("""COMPUTED_VALUE"""),"som")</f>
        <v>som</v>
      </c>
      <c r="C14585" t="str">
        <f>IFERROR(__xludf.DUMMYFUNCTION("""COMPUTED_VALUE"""),"Somalia")</f>
        <v>Somalia</v>
      </c>
      <c r="D14585">
        <f>IFERROR(__xludf.DUMMYFUNCTION("""COMPUTED_VALUE"""),1971.0)</f>
        <v>1971</v>
      </c>
      <c r="E14585">
        <f>IFERROR(__xludf.DUMMYFUNCTION("""COMPUTED_VALUE"""),3470324.0)</f>
        <v>3470324</v>
      </c>
    </row>
    <row r="14586">
      <c r="A14586" t="str">
        <f t="shared" si="1"/>
        <v>som#1972</v>
      </c>
      <c r="B14586" t="str">
        <f>IFERROR(__xludf.DUMMYFUNCTION("""COMPUTED_VALUE"""),"som")</f>
        <v>som</v>
      </c>
      <c r="C14586" t="str">
        <f>IFERROR(__xludf.DUMMYFUNCTION("""COMPUTED_VALUE"""),"Somalia")</f>
        <v>Somalia</v>
      </c>
      <c r="D14586">
        <f>IFERROR(__xludf.DUMMYFUNCTION("""COMPUTED_VALUE"""),1972.0)</f>
        <v>1972</v>
      </c>
      <c r="E14586">
        <f>IFERROR(__xludf.DUMMYFUNCTION("""COMPUTED_VALUE"""),3475022.0)</f>
        <v>3475022</v>
      </c>
    </row>
    <row r="14587">
      <c r="A14587" t="str">
        <f t="shared" si="1"/>
        <v>som#1973</v>
      </c>
      <c r="B14587" t="str">
        <f>IFERROR(__xludf.DUMMYFUNCTION("""COMPUTED_VALUE"""),"som")</f>
        <v>som</v>
      </c>
      <c r="C14587" t="str">
        <f>IFERROR(__xludf.DUMMYFUNCTION("""COMPUTED_VALUE"""),"Somalia")</f>
        <v>Somalia</v>
      </c>
      <c r="D14587">
        <f>IFERROR(__xludf.DUMMYFUNCTION("""COMPUTED_VALUE"""),1973.0)</f>
        <v>1973</v>
      </c>
      <c r="E14587">
        <f>IFERROR(__xludf.DUMMYFUNCTION("""COMPUTED_VALUE"""),3506008.0)</f>
        <v>3506008</v>
      </c>
    </row>
    <row r="14588">
      <c r="A14588" t="str">
        <f t="shared" si="1"/>
        <v>som#1974</v>
      </c>
      <c r="B14588" t="str">
        <f>IFERROR(__xludf.DUMMYFUNCTION("""COMPUTED_VALUE"""),"som")</f>
        <v>som</v>
      </c>
      <c r="C14588" t="str">
        <f>IFERROR(__xludf.DUMMYFUNCTION("""COMPUTED_VALUE"""),"Somalia")</f>
        <v>Somalia</v>
      </c>
      <c r="D14588">
        <f>IFERROR(__xludf.DUMMYFUNCTION("""COMPUTED_VALUE"""),1974.0)</f>
        <v>1974</v>
      </c>
      <c r="E14588">
        <f>IFERROR(__xludf.DUMMYFUNCTION("""COMPUTED_VALUE"""),3627504.0)</f>
        <v>3627504</v>
      </c>
    </row>
    <row r="14589">
      <c r="A14589" t="str">
        <f t="shared" si="1"/>
        <v>som#1975</v>
      </c>
      <c r="B14589" t="str">
        <f>IFERROR(__xludf.DUMMYFUNCTION("""COMPUTED_VALUE"""),"som")</f>
        <v>som</v>
      </c>
      <c r="C14589" t="str">
        <f>IFERROR(__xludf.DUMMYFUNCTION("""COMPUTED_VALUE"""),"Somalia")</f>
        <v>Somalia</v>
      </c>
      <c r="D14589">
        <f>IFERROR(__xludf.DUMMYFUNCTION("""COMPUTED_VALUE"""),1975.0)</f>
        <v>1975</v>
      </c>
      <c r="E14589">
        <f>IFERROR(__xludf.DUMMYFUNCTION("""COMPUTED_VALUE"""),3880320.0)</f>
        <v>3880320</v>
      </c>
    </row>
    <row r="14590">
      <c r="A14590" t="str">
        <f t="shared" si="1"/>
        <v>som#1976</v>
      </c>
      <c r="B14590" t="str">
        <f>IFERROR(__xludf.DUMMYFUNCTION("""COMPUTED_VALUE"""),"som")</f>
        <v>som</v>
      </c>
      <c r="C14590" t="str">
        <f>IFERROR(__xludf.DUMMYFUNCTION("""COMPUTED_VALUE"""),"Somalia")</f>
        <v>Somalia</v>
      </c>
      <c r="D14590">
        <f>IFERROR(__xludf.DUMMYFUNCTION("""COMPUTED_VALUE"""),1976.0)</f>
        <v>1976</v>
      </c>
      <c r="E14590">
        <f>IFERROR(__xludf.DUMMYFUNCTION("""COMPUTED_VALUE"""),4289469.0)</f>
        <v>4289469</v>
      </c>
    </row>
    <row r="14591">
      <c r="A14591" t="str">
        <f t="shared" si="1"/>
        <v>som#1977</v>
      </c>
      <c r="B14591" t="str">
        <f>IFERROR(__xludf.DUMMYFUNCTION("""COMPUTED_VALUE"""),"som")</f>
        <v>som</v>
      </c>
      <c r="C14591" t="str">
        <f>IFERROR(__xludf.DUMMYFUNCTION("""COMPUTED_VALUE"""),"Somalia")</f>
        <v>Somalia</v>
      </c>
      <c r="D14591">
        <f>IFERROR(__xludf.DUMMYFUNCTION("""COMPUTED_VALUE"""),1977.0)</f>
        <v>1977</v>
      </c>
      <c r="E14591">
        <f>IFERROR(__xludf.DUMMYFUNCTION("""COMPUTED_VALUE"""),4827362.0)</f>
        <v>4827362</v>
      </c>
    </row>
    <row r="14592">
      <c r="A14592" t="str">
        <f t="shared" si="1"/>
        <v>som#1978</v>
      </c>
      <c r="B14592" t="str">
        <f>IFERROR(__xludf.DUMMYFUNCTION("""COMPUTED_VALUE"""),"som")</f>
        <v>som</v>
      </c>
      <c r="C14592" t="str">
        <f>IFERROR(__xludf.DUMMYFUNCTION("""COMPUTED_VALUE"""),"Somalia")</f>
        <v>Somalia</v>
      </c>
      <c r="D14592">
        <f>IFERROR(__xludf.DUMMYFUNCTION("""COMPUTED_VALUE"""),1978.0)</f>
        <v>1978</v>
      </c>
      <c r="E14592">
        <f>IFERROR(__xludf.DUMMYFUNCTION("""COMPUTED_VALUE"""),5417740.0)</f>
        <v>5417740</v>
      </c>
    </row>
    <row r="14593">
      <c r="A14593" t="str">
        <f t="shared" si="1"/>
        <v>som#1979</v>
      </c>
      <c r="B14593" t="str">
        <f>IFERROR(__xludf.DUMMYFUNCTION("""COMPUTED_VALUE"""),"som")</f>
        <v>som</v>
      </c>
      <c r="C14593" t="str">
        <f>IFERROR(__xludf.DUMMYFUNCTION("""COMPUTED_VALUE"""),"Somalia")</f>
        <v>Somalia</v>
      </c>
      <c r="D14593">
        <f>IFERROR(__xludf.DUMMYFUNCTION("""COMPUTED_VALUE"""),1979.0)</f>
        <v>1979</v>
      </c>
      <c r="E14593">
        <f>IFERROR(__xludf.DUMMYFUNCTION("""COMPUTED_VALUE"""),5953615.0)</f>
        <v>5953615</v>
      </c>
    </row>
    <row r="14594">
      <c r="A14594" t="str">
        <f t="shared" si="1"/>
        <v>som#1980</v>
      </c>
      <c r="B14594" t="str">
        <f>IFERROR(__xludf.DUMMYFUNCTION("""COMPUTED_VALUE"""),"som")</f>
        <v>som</v>
      </c>
      <c r="C14594" t="str">
        <f>IFERROR(__xludf.DUMMYFUNCTION("""COMPUTED_VALUE"""),"Somalia")</f>
        <v>Somalia</v>
      </c>
      <c r="D14594">
        <f>IFERROR(__xludf.DUMMYFUNCTION("""COMPUTED_VALUE"""),1980.0)</f>
        <v>1980</v>
      </c>
      <c r="E14594">
        <f>IFERROR(__xludf.DUMMYFUNCTION("""COMPUTED_VALUE"""),6359126.0)</f>
        <v>6359126</v>
      </c>
    </row>
    <row r="14595">
      <c r="A14595" t="str">
        <f t="shared" si="1"/>
        <v>som#1981</v>
      </c>
      <c r="B14595" t="str">
        <f>IFERROR(__xludf.DUMMYFUNCTION("""COMPUTED_VALUE"""),"som")</f>
        <v>som</v>
      </c>
      <c r="C14595" t="str">
        <f>IFERROR(__xludf.DUMMYFUNCTION("""COMPUTED_VALUE"""),"Somalia")</f>
        <v>Somalia</v>
      </c>
      <c r="D14595">
        <f>IFERROR(__xludf.DUMMYFUNCTION("""COMPUTED_VALUE"""),1981.0)</f>
        <v>1981</v>
      </c>
      <c r="E14595">
        <f>IFERROR(__xludf.DUMMYFUNCTION("""COMPUTED_VALUE"""),6604872.0)</f>
        <v>6604872</v>
      </c>
    </row>
    <row r="14596">
      <c r="A14596" t="str">
        <f t="shared" si="1"/>
        <v>som#1982</v>
      </c>
      <c r="B14596" t="str">
        <f>IFERROR(__xludf.DUMMYFUNCTION("""COMPUTED_VALUE"""),"som")</f>
        <v>som</v>
      </c>
      <c r="C14596" t="str">
        <f>IFERROR(__xludf.DUMMYFUNCTION("""COMPUTED_VALUE"""),"Somalia")</f>
        <v>Somalia</v>
      </c>
      <c r="D14596">
        <f>IFERROR(__xludf.DUMMYFUNCTION("""COMPUTED_VALUE"""),1982.0)</f>
        <v>1982</v>
      </c>
      <c r="E14596">
        <f>IFERROR(__xludf.DUMMYFUNCTION("""COMPUTED_VALUE"""),6716448.0)</f>
        <v>6716448</v>
      </c>
    </row>
    <row r="14597">
      <c r="A14597" t="str">
        <f t="shared" si="1"/>
        <v>som#1983</v>
      </c>
      <c r="B14597" t="str">
        <f>IFERROR(__xludf.DUMMYFUNCTION("""COMPUTED_VALUE"""),"som")</f>
        <v>som</v>
      </c>
      <c r="C14597" t="str">
        <f>IFERROR(__xludf.DUMMYFUNCTION("""COMPUTED_VALUE"""),"Somalia")</f>
        <v>Somalia</v>
      </c>
      <c r="D14597">
        <f>IFERROR(__xludf.DUMMYFUNCTION("""COMPUTED_VALUE"""),1983.0)</f>
        <v>1983</v>
      </c>
      <c r="E14597">
        <f>IFERROR(__xludf.DUMMYFUNCTION("""COMPUTED_VALUE"""),6740220.0)</f>
        <v>6740220</v>
      </c>
    </row>
    <row r="14598">
      <c r="A14598" t="str">
        <f t="shared" si="1"/>
        <v>som#1984</v>
      </c>
      <c r="B14598" t="str">
        <f>IFERROR(__xludf.DUMMYFUNCTION("""COMPUTED_VALUE"""),"som")</f>
        <v>som</v>
      </c>
      <c r="C14598" t="str">
        <f>IFERROR(__xludf.DUMMYFUNCTION("""COMPUTED_VALUE"""),"Somalia")</f>
        <v>Somalia</v>
      </c>
      <c r="D14598">
        <f>IFERROR(__xludf.DUMMYFUNCTION("""COMPUTED_VALUE"""),1984.0)</f>
        <v>1984</v>
      </c>
      <c r="E14598">
        <f>IFERROR(__xludf.DUMMYFUNCTION("""COMPUTED_VALUE"""),6747932.0)</f>
        <v>6747932</v>
      </c>
    </row>
    <row r="14599">
      <c r="A14599" t="str">
        <f t="shared" si="1"/>
        <v>som#1985</v>
      </c>
      <c r="B14599" t="str">
        <f>IFERROR(__xludf.DUMMYFUNCTION("""COMPUTED_VALUE"""),"som")</f>
        <v>som</v>
      </c>
      <c r="C14599" t="str">
        <f>IFERROR(__xludf.DUMMYFUNCTION("""COMPUTED_VALUE"""),"Somalia")</f>
        <v>Somalia</v>
      </c>
      <c r="D14599">
        <f>IFERROR(__xludf.DUMMYFUNCTION("""COMPUTED_VALUE"""),1985.0)</f>
        <v>1985</v>
      </c>
      <c r="E14599">
        <f>IFERROR(__xludf.DUMMYFUNCTION("""COMPUTED_VALUE"""),6791716.0)</f>
        <v>6791716</v>
      </c>
    </row>
    <row r="14600">
      <c r="A14600" t="str">
        <f t="shared" si="1"/>
        <v>som#1986</v>
      </c>
      <c r="B14600" t="str">
        <f>IFERROR(__xludf.DUMMYFUNCTION("""COMPUTED_VALUE"""),"som")</f>
        <v>som</v>
      </c>
      <c r="C14600" t="str">
        <f>IFERROR(__xludf.DUMMYFUNCTION("""COMPUTED_VALUE"""),"Somalia")</f>
        <v>Somalia</v>
      </c>
      <c r="D14600">
        <f>IFERROR(__xludf.DUMMYFUNCTION("""COMPUTED_VALUE"""),1986.0)</f>
        <v>1986</v>
      </c>
      <c r="E14600">
        <f>IFERROR(__xludf.DUMMYFUNCTION("""COMPUTED_VALUE"""),6887372.0)</f>
        <v>6887372</v>
      </c>
    </row>
    <row r="14601">
      <c r="A14601" t="str">
        <f t="shared" si="1"/>
        <v>som#1987</v>
      </c>
      <c r="B14601" t="str">
        <f>IFERROR(__xludf.DUMMYFUNCTION("""COMPUTED_VALUE"""),"som")</f>
        <v>som</v>
      </c>
      <c r="C14601" t="str">
        <f>IFERROR(__xludf.DUMMYFUNCTION("""COMPUTED_VALUE"""),"Somalia")</f>
        <v>Somalia</v>
      </c>
      <c r="D14601">
        <f>IFERROR(__xludf.DUMMYFUNCTION("""COMPUTED_VALUE"""),1987.0)</f>
        <v>1987</v>
      </c>
      <c r="E14601">
        <f>IFERROR(__xludf.DUMMYFUNCTION("""COMPUTED_VALUE"""),7018109.0)</f>
        <v>7018109</v>
      </c>
    </row>
    <row r="14602">
      <c r="A14602" t="str">
        <f t="shared" si="1"/>
        <v>som#1988</v>
      </c>
      <c r="B14602" t="str">
        <f>IFERROR(__xludf.DUMMYFUNCTION("""COMPUTED_VALUE"""),"som")</f>
        <v>som</v>
      </c>
      <c r="C14602" t="str">
        <f>IFERROR(__xludf.DUMMYFUNCTION("""COMPUTED_VALUE"""),"Somalia")</f>
        <v>Somalia</v>
      </c>
      <c r="D14602">
        <f>IFERROR(__xludf.DUMMYFUNCTION("""COMPUTED_VALUE"""),1988.0)</f>
        <v>1988</v>
      </c>
      <c r="E14602">
        <f>IFERROR(__xludf.DUMMYFUNCTION("""COMPUTED_VALUE"""),7165295.0)</f>
        <v>7165295</v>
      </c>
    </row>
    <row r="14603">
      <c r="A14603" t="str">
        <f t="shared" si="1"/>
        <v>som#1989</v>
      </c>
      <c r="B14603" t="str">
        <f>IFERROR(__xludf.DUMMYFUNCTION("""COMPUTED_VALUE"""),"som")</f>
        <v>som</v>
      </c>
      <c r="C14603" t="str">
        <f>IFERROR(__xludf.DUMMYFUNCTION("""COMPUTED_VALUE"""),"Somalia")</f>
        <v>Somalia</v>
      </c>
      <c r="D14603">
        <f>IFERROR(__xludf.DUMMYFUNCTION("""COMPUTED_VALUE"""),1989.0)</f>
        <v>1989</v>
      </c>
      <c r="E14603">
        <f>IFERROR(__xludf.DUMMYFUNCTION("""COMPUTED_VALUE"""),7298417.0)</f>
        <v>7298417</v>
      </c>
    </row>
    <row r="14604">
      <c r="A14604" t="str">
        <f t="shared" si="1"/>
        <v>som#1990</v>
      </c>
      <c r="B14604" t="str">
        <f>IFERROR(__xludf.DUMMYFUNCTION("""COMPUTED_VALUE"""),"som")</f>
        <v>som</v>
      </c>
      <c r="C14604" t="str">
        <f>IFERROR(__xludf.DUMMYFUNCTION("""COMPUTED_VALUE"""),"Somalia")</f>
        <v>Somalia</v>
      </c>
      <c r="D14604">
        <f>IFERROR(__xludf.DUMMYFUNCTION("""COMPUTED_VALUE"""),1990.0)</f>
        <v>1990</v>
      </c>
      <c r="E14604">
        <f>IFERROR(__xludf.DUMMYFUNCTION("""COMPUTED_VALUE"""),7397347.0)</f>
        <v>7397347</v>
      </c>
    </row>
    <row r="14605">
      <c r="A14605" t="str">
        <f t="shared" si="1"/>
        <v>som#1991</v>
      </c>
      <c r="B14605" t="str">
        <f>IFERROR(__xludf.DUMMYFUNCTION("""COMPUTED_VALUE"""),"som")</f>
        <v>som</v>
      </c>
      <c r="C14605" t="str">
        <f>IFERROR(__xludf.DUMMYFUNCTION("""COMPUTED_VALUE"""),"Somalia")</f>
        <v>Somalia</v>
      </c>
      <c r="D14605">
        <f>IFERROR(__xludf.DUMMYFUNCTION("""COMPUTED_VALUE"""),1991.0)</f>
        <v>1991</v>
      </c>
      <c r="E14605">
        <f>IFERROR(__xludf.DUMMYFUNCTION("""COMPUTED_VALUE"""),7455936.0)</f>
        <v>7455936</v>
      </c>
    </row>
    <row r="14606">
      <c r="A14606" t="str">
        <f t="shared" si="1"/>
        <v>som#1992</v>
      </c>
      <c r="B14606" t="str">
        <f>IFERROR(__xludf.DUMMYFUNCTION("""COMPUTED_VALUE"""),"som")</f>
        <v>som</v>
      </c>
      <c r="C14606" t="str">
        <f>IFERROR(__xludf.DUMMYFUNCTION("""COMPUTED_VALUE"""),"Somalia")</f>
        <v>Somalia</v>
      </c>
      <c r="D14606">
        <f>IFERROR(__xludf.DUMMYFUNCTION("""COMPUTED_VALUE"""),1992.0)</f>
        <v>1992</v>
      </c>
      <c r="E14606">
        <f>IFERROR(__xludf.DUMMYFUNCTION("""COMPUTED_VALUE"""),7488544.0)</f>
        <v>7488544</v>
      </c>
    </row>
    <row r="14607">
      <c r="A14607" t="str">
        <f t="shared" si="1"/>
        <v>som#1993</v>
      </c>
      <c r="B14607" t="str">
        <f>IFERROR(__xludf.DUMMYFUNCTION("""COMPUTED_VALUE"""),"som")</f>
        <v>som</v>
      </c>
      <c r="C14607" t="str">
        <f>IFERROR(__xludf.DUMMYFUNCTION("""COMPUTED_VALUE"""),"Somalia")</f>
        <v>Somalia</v>
      </c>
      <c r="D14607">
        <f>IFERROR(__xludf.DUMMYFUNCTION("""COMPUTED_VALUE"""),1993.0)</f>
        <v>1993</v>
      </c>
      <c r="E14607">
        <f>IFERROR(__xludf.DUMMYFUNCTION("""COMPUTED_VALUE"""),7519811.0)</f>
        <v>7519811</v>
      </c>
    </row>
    <row r="14608">
      <c r="A14608" t="str">
        <f t="shared" si="1"/>
        <v>som#1994</v>
      </c>
      <c r="B14608" t="str">
        <f>IFERROR(__xludf.DUMMYFUNCTION("""COMPUTED_VALUE"""),"som")</f>
        <v>som</v>
      </c>
      <c r="C14608" t="str">
        <f>IFERROR(__xludf.DUMMYFUNCTION("""COMPUTED_VALUE"""),"Somalia")</f>
        <v>Somalia</v>
      </c>
      <c r="D14608">
        <f>IFERROR(__xludf.DUMMYFUNCTION("""COMPUTED_VALUE"""),1994.0)</f>
        <v>1994</v>
      </c>
      <c r="E14608">
        <f>IFERROR(__xludf.DUMMYFUNCTION("""COMPUTED_VALUE"""),7583954.0)</f>
        <v>7583954</v>
      </c>
    </row>
    <row r="14609">
      <c r="A14609" t="str">
        <f t="shared" si="1"/>
        <v>som#1995</v>
      </c>
      <c r="B14609" t="str">
        <f>IFERROR(__xludf.DUMMYFUNCTION("""COMPUTED_VALUE"""),"som")</f>
        <v>som</v>
      </c>
      <c r="C14609" t="str">
        <f>IFERROR(__xludf.DUMMYFUNCTION("""COMPUTED_VALUE"""),"Somalia")</f>
        <v>Somalia</v>
      </c>
      <c r="D14609">
        <f>IFERROR(__xludf.DUMMYFUNCTION("""COMPUTED_VALUE"""),1995.0)</f>
        <v>1995</v>
      </c>
      <c r="E14609">
        <f>IFERROR(__xludf.DUMMYFUNCTION("""COMPUTED_VALUE"""),7704894.0)</f>
        <v>7704894</v>
      </c>
    </row>
    <row r="14610">
      <c r="A14610" t="str">
        <f t="shared" si="1"/>
        <v>som#1996</v>
      </c>
      <c r="B14610" t="str">
        <f>IFERROR(__xludf.DUMMYFUNCTION("""COMPUTED_VALUE"""),"som")</f>
        <v>som</v>
      </c>
      <c r="C14610" t="str">
        <f>IFERROR(__xludf.DUMMYFUNCTION("""COMPUTED_VALUE"""),"Somalia")</f>
        <v>Somalia</v>
      </c>
      <c r="D14610">
        <f>IFERROR(__xludf.DUMMYFUNCTION("""COMPUTED_VALUE"""),1996.0)</f>
        <v>1996</v>
      </c>
      <c r="E14610">
        <f>IFERROR(__xludf.DUMMYFUNCTION("""COMPUTED_VALUE"""),7892389.0)</f>
        <v>7892389</v>
      </c>
    </row>
    <row r="14611">
      <c r="A14611" t="str">
        <f t="shared" si="1"/>
        <v>som#1997</v>
      </c>
      <c r="B14611" t="str">
        <f>IFERROR(__xludf.DUMMYFUNCTION("""COMPUTED_VALUE"""),"som")</f>
        <v>som</v>
      </c>
      <c r="C14611" t="str">
        <f>IFERROR(__xludf.DUMMYFUNCTION("""COMPUTED_VALUE"""),"Somalia")</f>
        <v>Somalia</v>
      </c>
      <c r="D14611">
        <f>IFERROR(__xludf.DUMMYFUNCTION("""COMPUTED_VALUE"""),1997.0)</f>
        <v>1997</v>
      </c>
      <c r="E14611">
        <f>IFERROR(__xludf.DUMMYFUNCTION("""COMPUTED_VALUE"""),8137475.0)</f>
        <v>8137475</v>
      </c>
    </row>
    <row r="14612">
      <c r="A14612" t="str">
        <f t="shared" si="1"/>
        <v>som#1998</v>
      </c>
      <c r="B14612" t="str">
        <f>IFERROR(__xludf.DUMMYFUNCTION("""COMPUTED_VALUE"""),"som")</f>
        <v>som</v>
      </c>
      <c r="C14612" t="str">
        <f>IFERROR(__xludf.DUMMYFUNCTION("""COMPUTED_VALUE"""),"Somalia")</f>
        <v>Somalia</v>
      </c>
      <c r="D14612">
        <f>IFERROR(__xludf.DUMMYFUNCTION("""COMPUTED_VALUE"""),1998.0)</f>
        <v>1998</v>
      </c>
      <c r="E14612">
        <f>IFERROR(__xludf.DUMMYFUNCTION("""COMPUTED_VALUE"""),8422372.0)</f>
        <v>8422372</v>
      </c>
    </row>
    <row r="14613">
      <c r="A14613" t="str">
        <f t="shared" si="1"/>
        <v>som#1999</v>
      </c>
      <c r="B14613" t="str">
        <f>IFERROR(__xludf.DUMMYFUNCTION("""COMPUTED_VALUE"""),"som")</f>
        <v>som</v>
      </c>
      <c r="C14613" t="str">
        <f>IFERROR(__xludf.DUMMYFUNCTION("""COMPUTED_VALUE"""),"Somalia")</f>
        <v>Somalia</v>
      </c>
      <c r="D14613">
        <f>IFERROR(__xludf.DUMMYFUNCTION("""COMPUTED_VALUE"""),1999.0)</f>
        <v>1999</v>
      </c>
      <c r="E14613">
        <f>IFERROR(__xludf.DUMMYFUNCTION("""COMPUTED_VALUE"""),8720231.0)</f>
        <v>8720231</v>
      </c>
    </row>
    <row r="14614">
      <c r="A14614" t="str">
        <f t="shared" si="1"/>
        <v>som#2000</v>
      </c>
      <c r="B14614" t="str">
        <f>IFERROR(__xludf.DUMMYFUNCTION("""COMPUTED_VALUE"""),"som")</f>
        <v>som</v>
      </c>
      <c r="C14614" t="str">
        <f>IFERROR(__xludf.DUMMYFUNCTION("""COMPUTED_VALUE"""),"Somalia")</f>
        <v>Somalia</v>
      </c>
      <c r="D14614">
        <f>IFERROR(__xludf.DUMMYFUNCTION("""COMPUTED_VALUE"""),2000.0)</f>
        <v>2000</v>
      </c>
      <c r="E14614">
        <f>IFERROR(__xludf.DUMMYFUNCTION("""COMPUTED_VALUE"""),9011479.0)</f>
        <v>9011479</v>
      </c>
    </row>
    <row r="14615">
      <c r="A14615" t="str">
        <f t="shared" si="1"/>
        <v>som#2001</v>
      </c>
      <c r="B14615" t="str">
        <f>IFERROR(__xludf.DUMMYFUNCTION("""COMPUTED_VALUE"""),"som")</f>
        <v>som</v>
      </c>
      <c r="C14615" t="str">
        <f>IFERROR(__xludf.DUMMYFUNCTION("""COMPUTED_VALUE"""),"Somalia")</f>
        <v>Somalia</v>
      </c>
      <c r="D14615">
        <f>IFERROR(__xludf.DUMMYFUNCTION("""COMPUTED_VALUE"""),2001.0)</f>
        <v>2001</v>
      </c>
      <c r="E14615">
        <f>IFERROR(__xludf.DUMMYFUNCTION("""COMPUTED_VALUE"""),9290823.0)</f>
        <v>9290823</v>
      </c>
    </row>
    <row r="14616">
      <c r="A14616" t="str">
        <f t="shared" si="1"/>
        <v>som#2002</v>
      </c>
      <c r="B14616" t="str">
        <f>IFERROR(__xludf.DUMMYFUNCTION("""COMPUTED_VALUE"""),"som")</f>
        <v>som</v>
      </c>
      <c r="C14616" t="str">
        <f>IFERROR(__xludf.DUMMYFUNCTION("""COMPUTED_VALUE"""),"Somalia")</f>
        <v>Somalia</v>
      </c>
      <c r="D14616">
        <f>IFERROR(__xludf.DUMMYFUNCTION("""COMPUTED_VALUE"""),2002.0)</f>
        <v>2002</v>
      </c>
      <c r="E14616">
        <f>IFERROR(__xludf.DUMMYFUNCTION("""COMPUTED_VALUE"""),9564167.0)</f>
        <v>9564167</v>
      </c>
    </row>
    <row r="14617">
      <c r="A14617" t="str">
        <f t="shared" si="1"/>
        <v>som#2003</v>
      </c>
      <c r="B14617" t="str">
        <f>IFERROR(__xludf.DUMMYFUNCTION("""COMPUTED_VALUE"""),"som")</f>
        <v>som</v>
      </c>
      <c r="C14617" t="str">
        <f>IFERROR(__xludf.DUMMYFUNCTION("""COMPUTED_VALUE"""),"Somalia")</f>
        <v>Somalia</v>
      </c>
      <c r="D14617">
        <f>IFERROR(__xludf.DUMMYFUNCTION("""COMPUTED_VALUE"""),2003.0)</f>
        <v>2003</v>
      </c>
      <c r="E14617">
        <f>IFERROR(__xludf.DUMMYFUNCTION("""COMPUTED_VALUE"""),9836397.0)</f>
        <v>9836397</v>
      </c>
    </row>
    <row r="14618">
      <c r="A14618" t="str">
        <f t="shared" si="1"/>
        <v>som#2004</v>
      </c>
      <c r="B14618" t="str">
        <f>IFERROR(__xludf.DUMMYFUNCTION("""COMPUTED_VALUE"""),"som")</f>
        <v>som</v>
      </c>
      <c r="C14618" t="str">
        <f>IFERROR(__xludf.DUMMYFUNCTION("""COMPUTED_VALUE"""),"Somalia")</f>
        <v>Somalia</v>
      </c>
      <c r="D14618">
        <f>IFERROR(__xludf.DUMMYFUNCTION("""COMPUTED_VALUE"""),2004.0)</f>
        <v>2004</v>
      </c>
      <c r="E14618">
        <f>IFERROR(__xludf.DUMMYFUNCTION("""COMPUTED_VALUE"""),1.0116228E7)</f>
        <v>10116228</v>
      </c>
    </row>
    <row r="14619">
      <c r="A14619" t="str">
        <f t="shared" si="1"/>
        <v>som#2005</v>
      </c>
      <c r="B14619" t="str">
        <f>IFERROR(__xludf.DUMMYFUNCTION("""COMPUTED_VALUE"""),"som")</f>
        <v>som</v>
      </c>
      <c r="C14619" t="str">
        <f>IFERROR(__xludf.DUMMYFUNCTION("""COMPUTED_VALUE"""),"Somalia")</f>
        <v>Somalia</v>
      </c>
      <c r="D14619">
        <f>IFERROR(__xludf.DUMMYFUNCTION("""COMPUTED_VALUE"""),2005.0)</f>
        <v>2005</v>
      </c>
      <c r="E14619">
        <f>IFERROR(__xludf.DUMMYFUNCTION("""COMPUTED_VALUE"""),1.0409925E7)</f>
        <v>10409925</v>
      </c>
    </row>
    <row r="14620">
      <c r="A14620" t="str">
        <f t="shared" si="1"/>
        <v>som#2006</v>
      </c>
      <c r="B14620" t="str">
        <f>IFERROR(__xludf.DUMMYFUNCTION("""COMPUTED_VALUE"""),"som")</f>
        <v>som</v>
      </c>
      <c r="C14620" t="str">
        <f>IFERROR(__xludf.DUMMYFUNCTION("""COMPUTED_VALUE"""),"Somalia")</f>
        <v>Somalia</v>
      </c>
      <c r="D14620">
        <f>IFERROR(__xludf.DUMMYFUNCTION("""COMPUTED_VALUE"""),2006.0)</f>
        <v>2006</v>
      </c>
      <c r="E14620">
        <f>IFERROR(__xludf.DUMMYFUNCTION("""COMPUTED_VALUE"""),1.0718317E7)</f>
        <v>10718317</v>
      </c>
    </row>
    <row r="14621">
      <c r="A14621" t="str">
        <f t="shared" si="1"/>
        <v>som#2007</v>
      </c>
      <c r="B14621" t="str">
        <f>IFERROR(__xludf.DUMMYFUNCTION("""COMPUTED_VALUE"""),"som")</f>
        <v>som</v>
      </c>
      <c r="C14621" t="str">
        <f>IFERROR(__xludf.DUMMYFUNCTION("""COMPUTED_VALUE"""),"Somalia")</f>
        <v>Somalia</v>
      </c>
      <c r="D14621">
        <f>IFERROR(__xludf.DUMMYFUNCTION("""COMPUTED_VALUE"""),2007.0)</f>
        <v>2007</v>
      </c>
      <c r="E14621">
        <f>IFERROR(__xludf.DUMMYFUNCTION("""COMPUTED_VALUE"""),1.1038596E7)</f>
        <v>11038596</v>
      </c>
    </row>
    <row r="14622">
      <c r="A14622" t="str">
        <f t="shared" si="1"/>
        <v>som#2008</v>
      </c>
      <c r="B14622" t="str">
        <f>IFERROR(__xludf.DUMMYFUNCTION("""COMPUTED_VALUE"""),"som")</f>
        <v>som</v>
      </c>
      <c r="C14622" t="str">
        <f>IFERROR(__xludf.DUMMYFUNCTION("""COMPUTED_VALUE"""),"Somalia")</f>
        <v>Somalia</v>
      </c>
      <c r="D14622">
        <f>IFERROR(__xludf.DUMMYFUNCTION("""COMPUTED_VALUE"""),2008.0)</f>
        <v>2008</v>
      </c>
      <c r="E14622">
        <f>IFERROR(__xludf.DUMMYFUNCTION("""COMPUTED_VALUE"""),1.1369276E7)</f>
        <v>11369276</v>
      </c>
    </row>
    <row r="14623">
      <c r="A14623" t="str">
        <f t="shared" si="1"/>
        <v>som#2009</v>
      </c>
      <c r="B14623" t="str">
        <f>IFERROR(__xludf.DUMMYFUNCTION("""COMPUTED_VALUE"""),"som")</f>
        <v>som</v>
      </c>
      <c r="C14623" t="str">
        <f>IFERROR(__xludf.DUMMYFUNCTION("""COMPUTED_VALUE"""),"Somalia")</f>
        <v>Somalia</v>
      </c>
      <c r="D14623">
        <f>IFERROR(__xludf.DUMMYFUNCTION("""COMPUTED_VALUE"""),2009.0)</f>
        <v>2009</v>
      </c>
      <c r="E14623">
        <f>IFERROR(__xludf.DUMMYFUNCTION("""COMPUTED_VALUE"""),1.170799E7)</f>
        <v>11707990</v>
      </c>
    </row>
    <row r="14624">
      <c r="A14624" t="str">
        <f t="shared" si="1"/>
        <v>som#2010</v>
      </c>
      <c r="B14624" t="str">
        <f>IFERROR(__xludf.DUMMYFUNCTION("""COMPUTED_VALUE"""),"som")</f>
        <v>som</v>
      </c>
      <c r="C14624" t="str">
        <f>IFERROR(__xludf.DUMMYFUNCTION("""COMPUTED_VALUE"""),"Somalia")</f>
        <v>Somalia</v>
      </c>
      <c r="D14624">
        <f>IFERROR(__xludf.DUMMYFUNCTION("""COMPUTED_VALUE"""),2010.0)</f>
        <v>2010</v>
      </c>
      <c r="E14624">
        <f>IFERROR(__xludf.DUMMYFUNCTION("""COMPUTED_VALUE"""),1.2053223E7)</f>
        <v>12053223</v>
      </c>
    </row>
    <row r="14625">
      <c r="A14625" t="str">
        <f t="shared" si="1"/>
        <v>som#2011</v>
      </c>
      <c r="B14625" t="str">
        <f>IFERROR(__xludf.DUMMYFUNCTION("""COMPUTED_VALUE"""),"som")</f>
        <v>som</v>
      </c>
      <c r="C14625" t="str">
        <f>IFERROR(__xludf.DUMMYFUNCTION("""COMPUTED_VALUE"""),"Somalia")</f>
        <v>Somalia</v>
      </c>
      <c r="D14625">
        <f>IFERROR(__xludf.DUMMYFUNCTION("""COMPUTED_VALUE"""),2011.0)</f>
        <v>2011</v>
      </c>
      <c r="E14625">
        <f>IFERROR(__xludf.DUMMYFUNCTION("""COMPUTED_VALUE"""),1.2404725E7)</f>
        <v>12404725</v>
      </c>
    </row>
    <row r="14626">
      <c r="A14626" t="str">
        <f t="shared" si="1"/>
        <v>som#2012</v>
      </c>
      <c r="B14626" t="str">
        <f>IFERROR(__xludf.DUMMYFUNCTION("""COMPUTED_VALUE"""),"som")</f>
        <v>som</v>
      </c>
      <c r="C14626" t="str">
        <f>IFERROR(__xludf.DUMMYFUNCTION("""COMPUTED_VALUE"""),"Somalia")</f>
        <v>Somalia</v>
      </c>
      <c r="D14626">
        <f>IFERROR(__xludf.DUMMYFUNCTION("""COMPUTED_VALUE"""),2012.0)</f>
        <v>2012</v>
      </c>
      <c r="E14626">
        <f>IFERROR(__xludf.DUMMYFUNCTION("""COMPUTED_VALUE"""),1.2763776E7)</f>
        <v>12763776</v>
      </c>
    </row>
    <row r="14627">
      <c r="A14627" t="str">
        <f t="shared" si="1"/>
        <v>som#2013</v>
      </c>
      <c r="B14627" t="str">
        <f>IFERROR(__xludf.DUMMYFUNCTION("""COMPUTED_VALUE"""),"som")</f>
        <v>som</v>
      </c>
      <c r="C14627" t="str">
        <f>IFERROR(__xludf.DUMMYFUNCTION("""COMPUTED_VALUE"""),"Somalia")</f>
        <v>Somalia</v>
      </c>
      <c r="D14627">
        <f>IFERROR(__xludf.DUMMYFUNCTION("""COMPUTED_VALUE"""),2013.0)</f>
        <v>2013</v>
      </c>
      <c r="E14627">
        <f>IFERROR(__xludf.DUMMYFUNCTION("""COMPUTED_VALUE"""),1.3132349E7)</f>
        <v>13132349</v>
      </c>
    </row>
    <row r="14628">
      <c r="A14628" t="str">
        <f t="shared" si="1"/>
        <v>som#2014</v>
      </c>
      <c r="B14628" t="str">
        <f>IFERROR(__xludf.DUMMYFUNCTION("""COMPUTED_VALUE"""),"som")</f>
        <v>som</v>
      </c>
      <c r="C14628" t="str">
        <f>IFERROR(__xludf.DUMMYFUNCTION("""COMPUTED_VALUE"""),"Somalia")</f>
        <v>Somalia</v>
      </c>
      <c r="D14628">
        <f>IFERROR(__xludf.DUMMYFUNCTION("""COMPUTED_VALUE"""),2014.0)</f>
        <v>2014</v>
      </c>
      <c r="E14628">
        <f>IFERROR(__xludf.DUMMYFUNCTION("""COMPUTED_VALUE"""),1.3513125E7)</f>
        <v>13513125</v>
      </c>
    </row>
    <row r="14629">
      <c r="A14629" t="str">
        <f t="shared" si="1"/>
        <v>som#2015</v>
      </c>
      <c r="B14629" t="str">
        <f>IFERROR(__xludf.DUMMYFUNCTION("""COMPUTED_VALUE"""),"som")</f>
        <v>som</v>
      </c>
      <c r="C14629" t="str">
        <f>IFERROR(__xludf.DUMMYFUNCTION("""COMPUTED_VALUE"""),"Somalia")</f>
        <v>Somalia</v>
      </c>
      <c r="D14629">
        <f>IFERROR(__xludf.DUMMYFUNCTION("""COMPUTED_VALUE"""),2015.0)</f>
        <v>2015</v>
      </c>
      <c r="E14629">
        <f>IFERROR(__xludf.DUMMYFUNCTION("""COMPUTED_VALUE"""),1.3908129E7)</f>
        <v>13908129</v>
      </c>
    </row>
    <row r="14630">
      <c r="A14630" t="str">
        <f t="shared" si="1"/>
        <v>som#2016</v>
      </c>
      <c r="B14630" t="str">
        <f>IFERROR(__xludf.DUMMYFUNCTION("""COMPUTED_VALUE"""),"som")</f>
        <v>som</v>
      </c>
      <c r="C14630" t="str">
        <f>IFERROR(__xludf.DUMMYFUNCTION("""COMPUTED_VALUE"""),"Somalia")</f>
        <v>Somalia</v>
      </c>
      <c r="D14630">
        <f>IFERROR(__xludf.DUMMYFUNCTION("""COMPUTED_VALUE"""),2016.0)</f>
        <v>2016</v>
      </c>
      <c r="E14630">
        <f>IFERROR(__xludf.DUMMYFUNCTION("""COMPUTED_VALUE"""),1.4317996E7)</f>
        <v>14317996</v>
      </c>
    </row>
    <row r="14631">
      <c r="A14631" t="str">
        <f t="shared" si="1"/>
        <v>som#2017</v>
      </c>
      <c r="B14631" t="str">
        <f>IFERROR(__xludf.DUMMYFUNCTION("""COMPUTED_VALUE"""),"som")</f>
        <v>som</v>
      </c>
      <c r="C14631" t="str">
        <f>IFERROR(__xludf.DUMMYFUNCTION("""COMPUTED_VALUE"""),"Somalia")</f>
        <v>Somalia</v>
      </c>
      <c r="D14631">
        <f>IFERROR(__xludf.DUMMYFUNCTION("""COMPUTED_VALUE"""),2017.0)</f>
        <v>2017</v>
      </c>
      <c r="E14631">
        <f>IFERROR(__xludf.DUMMYFUNCTION("""COMPUTED_VALUE"""),1.4742523E7)</f>
        <v>14742523</v>
      </c>
    </row>
    <row r="14632">
      <c r="A14632" t="str">
        <f t="shared" si="1"/>
        <v>som#2018</v>
      </c>
      <c r="B14632" t="str">
        <f>IFERROR(__xludf.DUMMYFUNCTION("""COMPUTED_VALUE"""),"som")</f>
        <v>som</v>
      </c>
      <c r="C14632" t="str">
        <f>IFERROR(__xludf.DUMMYFUNCTION("""COMPUTED_VALUE"""),"Somalia")</f>
        <v>Somalia</v>
      </c>
      <c r="D14632">
        <f>IFERROR(__xludf.DUMMYFUNCTION("""COMPUTED_VALUE"""),2018.0)</f>
        <v>2018</v>
      </c>
      <c r="E14632">
        <f>IFERROR(__xludf.DUMMYFUNCTION("""COMPUTED_VALUE"""),1.5181925E7)</f>
        <v>15181925</v>
      </c>
    </row>
    <row r="14633">
      <c r="A14633" t="str">
        <f t="shared" si="1"/>
        <v>som#2019</v>
      </c>
      <c r="B14633" t="str">
        <f>IFERROR(__xludf.DUMMYFUNCTION("""COMPUTED_VALUE"""),"som")</f>
        <v>som</v>
      </c>
      <c r="C14633" t="str">
        <f>IFERROR(__xludf.DUMMYFUNCTION("""COMPUTED_VALUE"""),"Somalia")</f>
        <v>Somalia</v>
      </c>
      <c r="D14633">
        <f>IFERROR(__xludf.DUMMYFUNCTION("""COMPUTED_VALUE"""),2019.0)</f>
        <v>2019</v>
      </c>
      <c r="E14633">
        <f>IFERROR(__xludf.DUMMYFUNCTION("""COMPUTED_VALUE"""),1.5636171E7)</f>
        <v>15636171</v>
      </c>
    </row>
    <row r="14634">
      <c r="A14634" t="str">
        <f t="shared" si="1"/>
        <v>som#2020</v>
      </c>
      <c r="B14634" t="str">
        <f>IFERROR(__xludf.DUMMYFUNCTION("""COMPUTED_VALUE"""),"som")</f>
        <v>som</v>
      </c>
      <c r="C14634" t="str">
        <f>IFERROR(__xludf.DUMMYFUNCTION("""COMPUTED_VALUE"""),"Somalia")</f>
        <v>Somalia</v>
      </c>
      <c r="D14634">
        <f>IFERROR(__xludf.DUMMYFUNCTION("""COMPUTED_VALUE"""),2020.0)</f>
        <v>2020</v>
      </c>
      <c r="E14634">
        <f>IFERROR(__xludf.DUMMYFUNCTION("""COMPUTED_VALUE"""),1.6105174E7)</f>
        <v>16105174</v>
      </c>
    </row>
    <row r="14635">
      <c r="A14635" t="str">
        <f t="shared" si="1"/>
        <v>som#2021</v>
      </c>
      <c r="B14635" t="str">
        <f>IFERROR(__xludf.DUMMYFUNCTION("""COMPUTED_VALUE"""),"som")</f>
        <v>som</v>
      </c>
      <c r="C14635" t="str">
        <f>IFERROR(__xludf.DUMMYFUNCTION("""COMPUTED_VALUE"""),"Somalia")</f>
        <v>Somalia</v>
      </c>
      <c r="D14635">
        <f>IFERROR(__xludf.DUMMYFUNCTION("""COMPUTED_VALUE"""),2021.0)</f>
        <v>2021</v>
      </c>
      <c r="E14635">
        <f>IFERROR(__xludf.DUMMYFUNCTION("""COMPUTED_VALUE"""),1.6589196E7)</f>
        <v>16589196</v>
      </c>
    </row>
    <row r="14636">
      <c r="A14636" t="str">
        <f t="shared" si="1"/>
        <v>som#2022</v>
      </c>
      <c r="B14636" t="str">
        <f>IFERROR(__xludf.DUMMYFUNCTION("""COMPUTED_VALUE"""),"som")</f>
        <v>som</v>
      </c>
      <c r="C14636" t="str">
        <f>IFERROR(__xludf.DUMMYFUNCTION("""COMPUTED_VALUE"""),"Somalia")</f>
        <v>Somalia</v>
      </c>
      <c r="D14636">
        <f>IFERROR(__xludf.DUMMYFUNCTION("""COMPUTED_VALUE"""),2022.0)</f>
        <v>2022</v>
      </c>
      <c r="E14636">
        <f>IFERROR(__xludf.DUMMYFUNCTION("""COMPUTED_VALUE"""),1.7088214E7)</f>
        <v>17088214</v>
      </c>
    </row>
    <row r="14637">
      <c r="A14637" t="str">
        <f t="shared" si="1"/>
        <v>som#2023</v>
      </c>
      <c r="B14637" t="str">
        <f>IFERROR(__xludf.DUMMYFUNCTION("""COMPUTED_VALUE"""),"som")</f>
        <v>som</v>
      </c>
      <c r="C14637" t="str">
        <f>IFERROR(__xludf.DUMMYFUNCTION("""COMPUTED_VALUE"""),"Somalia")</f>
        <v>Somalia</v>
      </c>
      <c r="D14637">
        <f>IFERROR(__xludf.DUMMYFUNCTION("""COMPUTED_VALUE"""),2023.0)</f>
        <v>2023</v>
      </c>
      <c r="E14637">
        <f>IFERROR(__xludf.DUMMYFUNCTION("""COMPUTED_VALUE"""),1.7601387E7)</f>
        <v>17601387</v>
      </c>
    </row>
    <row r="14638">
      <c r="A14638" t="str">
        <f t="shared" si="1"/>
        <v>som#2024</v>
      </c>
      <c r="B14638" t="str">
        <f>IFERROR(__xludf.DUMMYFUNCTION("""COMPUTED_VALUE"""),"som")</f>
        <v>som</v>
      </c>
      <c r="C14638" t="str">
        <f>IFERROR(__xludf.DUMMYFUNCTION("""COMPUTED_VALUE"""),"Somalia")</f>
        <v>Somalia</v>
      </c>
      <c r="D14638">
        <f>IFERROR(__xludf.DUMMYFUNCTION("""COMPUTED_VALUE"""),2024.0)</f>
        <v>2024</v>
      </c>
      <c r="E14638">
        <f>IFERROR(__xludf.DUMMYFUNCTION("""COMPUTED_VALUE"""),1.812756E7)</f>
        <v>18127560</v>
      </c>
    </row>
    <row r="14639">
      <c r="A14639" t="str">
        <f t="shared" si="1"/>
        <v>som#2025</v>
      </c>
      <c r="B14639" t="str">
        <f>IFERROR(__xludf.DUMMYFUNCTION("""COMPUTED_VALUE"""),"som")</f>
        <v>som</v>
      </c>
      <c r="C14639" t="str">
        <f>IFERROR(__xludf.DUMMYFUNCTION("""COMPUTED_VALUE"""),"Somalia")</f>
        <v>Somalia</v>
      </c>
      <c r="D14639">
        <f>IFERROR(__xludf.DUMMYFUNCTION("""COMPUTED_VALUE"""),2025.0)</f>
        <v>2025</v>
      </c>
      <c r="E14639">
        <f>IFERROR(__xludf.DUMMYFUNCTION("""COMPUTED_VALUE"""),1.8665849E7)</f>
        <v>18665849</v>
      </c>
    </row>
    <row r="14640">
      <c r="A14640" t="str">
        <f t="shared" si="1"/>
        <v>som#2026</v>
      </c>
      <c r="B14640" t="str">
        <f>IFERROR(__xludf.DUMMYFUNCTION("""COMPUTED_VALUE"""),"som")</f>
        <v>som</v>
      </c>
      <c r="C14640" t="str">
        <f>IFERROR(__xludf.DUMMYFUNCTION("""COMPUTED_VALUE"""),"Somalia")</f>
        <v>Somalia</v>
      </c>
      <c r="D14640">
        <f>IFERROR(__xludf.DUMMYFUNCTION("""COMPUTED_VALUE"""),2026.0)</f>
        <v>2026</v>
      </c>
      <c r="E14640">
        <f>IFERROR(__xludf.DUMMYFUNCTION("""COMPUTED_VALUE"""),1.9215918E7)</f>
        <v>19215918</v>
      </c>
    </row>
    <row r="14641">
      <c r="A14641" t="str">
        <f t="shared" si="1"/>
        <v>som#2027</v>
      </c>
      <c r="B14641" t="str">
        <f>IFERROR(__xludf.DUMMYFUNCTION("""COMPUTED_VALUE"""),"som")</f>
        <v>som</v>
      </c>
      <c r="C14641" t="str">
        <f>IFERROR(__xludf.DUMMYFUNCTION("""COMPUTED_VALUE"""),"Somalia")</f>
        <v>Somalia</v>
      </c>
      <c r="D14641">
        <f>IFERROR(__xludf.DUMMYFUNCTION("""COMPUTED_VALUE"""),2027.0)</f>
        <v>2027</v>
      </c>
      <c r="E14641">
        <f>IFERROR(__xludf.DUMMYFUNCTION("""COMPUTED_VALUE"""),1.9777797E7)</f>
        <v>19777797</v>
      </c>
    </row>
    <row r="14642">
      <c r="A14642" t="str">
        <f t="shared" si="1"/>
        <v>som#2028</v>
      </c>
      <c r="B14642" t="str">
        <f>IFERROR(__xludf.DUMMYFUNCTION("""COMPUTED_VALUE"""),"som")</f>
        <v>som</v>
      </c>
      <c r="C14642" t="str">
        <f>IFERROR(__xludf.DUMMYFUNCTION("""COMPUTED_VALUE"""),"Somalia")</f>
        <v>Somalia</v>
      </c>
      <c r="D14642">
        <f>IFERROR(__xludf.DUMMYFUNCTION("""COMPUTED_VALUE"""),2028.0)</f>
        <v>2028</v>
      </c>
      <c r="E14642">
        <f>IFERROR(__xludf.DUMMYFUNCTION("""COMPUTED_VALUE"""),2.0351526E7)</f>
        <v>20351526</v>
      </c>
    </row>
    <row r="14643">
      <c r="A14643" t="str">
        <f t="shared" si="1"/>
        <v>som#2029</v>
      </c>
      <c r="B14643" t="str">
        <f>IFERROR(__xludf.DUMMYFUNCTION("""COMPUTED_VALUE"""),"som")</f>
        <v>som</v>
      </c>
      <c r="C14643" t="str">
        <f>IFERROR(__xludf.DUMMYFUNCTION("""COMPUTED_VALUE"""),"Somalia")</f>
        <v>Somalia</v>
      </c>
      <c r="D14643">
        <f>IFERROR(__xludf.DUMMYFUNCTION("""COMPUTED_VALUE"""),2029.0)</f>
        <v>2029</v>
      </c>
      <c r="E14643">
        <f>IFERROR(__xludf.DUMMYFUNCTION("""COMPUTED_VALUE"""),2.0937235E7)</f>
        <v>20937235</v>
      </c>
    </row>
    <row r="14644">
      <c r="A14644" t="str">
        <f t="shared" si="1"/>
        <v>som#2030</v>
      </c>
      <c r="B14644" t="str">
        <f>IFERROR(__xludf.DUMMYFUNCTION("""COMPUTED_VALUE"""),"som")</f>
        <v>som</v>
      </c>
      <c r="C14644" t="str">
        <f>IFERROR(__xludf.DUMMYFUNCTION("""COMPUTED_VALUE"""),"Somalia")</f>
        <v>Somalia</v>
      </c>
      <c r="D14644">
        <f>IFERROR(__xludf.DUMMYFUNCTION("""COMPUTED_VALUE"""),2030.0)</f>
        <v>2030</v>
      </c>
      <c r="E14644">
        <f>IFERROR(__xludf.DUMMYFUNCTION("""COMPUTED_VALUE"""),2.1535019E7)</f>
        <v>21535019</v>
      </c>
    </row>
    <row r="14645">
      <c r="A14645" t="str">
        <f t="shared" si="1"/>
        <v>som#2031</v>
      </c>
      <c r="B14645" t="str">
        <f>IFERROR(__xludf.DUMMYFUNCTION("""COMPUTED_VALUE"""),"som")</f>
        <v>som</v>
      </c>
      <c r="C14645" t="str">
        <f>IFERROR(__xludf.DUMMYFUNCTION("""COMPUTED_VALUE"""),"Somalia")</f>
        <v>Somalia</v>
      </c>
      <c r="D14645">
        <f>IFERROR(__xludf.DUMMYFUNCTION("""COMPUTED_VALUE"""),2031.0)</f>
        <v>2031</v>
      </c>
      <c r="E14645">
        <f>IFERROR(__xludf.DUMMYFUNCTION("""COMPUTED_VALUE"""),2.2144759E7)</f>
        <v>22144759</v>
      </c>
    </row>
    <row r="14646">
      <c r="A14646" t="str">
        <f t="shared" si="1"/>
        <v>som#2032</v>
      </c>
      <c r="B14646" t="str">
        <f>IFERROR(__xludf.DUMMYFUNCTION("""COMPUTED_VALUE"""),"som")</f>
        <v>som</v>
      </c>
      <c r="C14646" t="str">
        <f>IFERROR(__xludf.DUMMYFUNCTION("""COMPUTED_VALUE"""),"Somalia")</f>
        <v>Somalia</v>
      </c>
      <c r="D14646">
        <f>IFERROR(__xludf.DUMMYFUNCTION("""COMPUTED_VALUE"""),2032.0)</f>
        <v>2032</v>
      </c>
      <c r="E14646">
        <f>IFERROR(__xludf.DUMMYFUNCTION("""COMPUTED_VALUE"""),2.2766243E7)</f>
        <v>22766243</v>
      </c>
    </row>
    <row r="14647">
      <c r="A14647" t="str">
        <f t="shared" si="1"/>
        <v>som#2033</v>
      </c>
      <c r="B14647" t="str">
        <f>IFERROR(__xludf.DUMMYFUNCTION("""COMPUTED_VALUE"""),"som")</f>
        <v>som</v>
      </c>
      <c r="C14647" t="str">
        <f>IFERROR(__xludf.DUMMYFUNCTION("""COMPUTED_VALUE"""),"Somalia")</f>
        <v>Somalia</v>
      </c>
      <c r="D14647">
        <f>IFERROR(__xludf.DUMMYFUNCTION("""COMPUTED_VALUE"""),2033.0)</f>
        <v>2033</v>
      </c>
      <c r="E14647">
        <f>IFERROR(__xludf.DUMMYFUNCTION("""COMPUTED_VALUE"""),2.3399316E7)</f>
        <v>23399316</v>
      </c>
    </row>
    <row r="14648">
      <c r="A14648" t="str">
        <f t="shared" si="1"/>
        <v>som#2034</v>
      </c>
      <c r="B14648" t="str">
        <f>IFERROR(__xludf.DUMMYFUNCTION("""COMPUTED_VALUE"""),"som")</f>
        <v>som</v>
      </c>
      <c r="C14648" t="str">
        <f>IFERROR(__xludf.DUMMYFUNCTION("""COMPUTED_VALUE"""),"Somalia")</f>
        <v>Somalia</v>
      </c>
      <c r="D14648">
        <f>IFERROR(__xludf.DUMMYFUNCTION("""COMPUTED_VALUE"""),2034.0)</f>
        <v>2034</v>
      </c>
      <c r="E14648">
        <f>IFERROR(__xludf.DUMMYFUNCTION("""COMPUTED_VALUE"""),2.4043828E7)</f>
        <v>24043828</v>
      </c>
    </row>
    <row r="14649">
      <c r="A14649" t="str">
        <f t="shared" si="1"/>
        <v>som#2035</v>
      </c>
      <c r="B14649" t="str">
        <f>IFERROR(__xludf.DUMMYFUNCTION("""COMPUTED_VALUE"""),"som")</f>
        <v>som</v>
      </c>
      <c r="C14649" t="str">
        <f>IFERROR(__xludf.DUMMYFUNCTION("""COMPUTED_VALUE"""),"Somalia")</f>
        <v>Somalia</v>
      </c>
      <c r="D14649">
        <f>IFERROR(__xludf.DUMMYFUNCTION("""COMPUTED_VALUE"""),2035.0)</f>
        <v>2035</v>
      </c>
      <c r="E14649">
        <f>IFERROR(__xludf.DUMMYFUNCTION("""COMPUTED_VALUE"""),2.4699613E7)</f>
        <v>24699613</v>
      </c>
    </row>
    <row r="14650">
      <c r="A14650" t="str">
        <f t="shared" si="1"/>
        <v>som#2036</v>
      </c>
      <c r="B14650" t="str">
        <f>IFERROR(__xludf.DUMMYFUNCTION("""COMPUTED_VALUE"""),"som")</f>
        <v>som</v>
      </c>
      <c r="C14650" t="str">
        <f>IFERROR(__xludf.DUMMYFUNCTION("""COMPUTED_VALUE"""),"Somalia")</f>
        <v>Somalia</v>
      </c>
      <c r="D14650">
        <f>IFERROR(__xludf.DUMMYFUNCTION("""COMPUTED_VALUE"""),2036.0)</f>
        <v>2036</v>
      </c>
      <c r="E14650">
        <f>IFERROR(__xludf.DUMMYFUNCTION("""COMPUTED_VALUE"""),2.5366549E7)</f>
        <v>25366549</v>
      </c>
    </row>
    <row r="14651">
      <c r="A14651" t="str">
        <f t="shared" si="1"/>
        <v>som#2037</v>
      </c>
      <c r="B14651" t="str">
        <f>IFERROR(__xludf.DUMMYFUNCTION("""COMPUTED_VALUE"""),"som")</f>
        <v>som</v>
      </c>
      <c r="C14651" t="str">
        <f>IFERROR(__xludf.DUMMYFUNCTION("""COMPUTED_VALUE"""),"Somalia")</f>
        <v>Somalia</v>
      </c>
      <c r="D14651">
        <f>IFERROR(__xludf.DUMMYFUNCTION("""COMPUTED_VALUE"""),2037.0)</f>
        <v>2037</v>
      </c>
      <c r="E14651">
        <f>IFERROR(__xludf.DUMMYFUNCTION("""COMPUTED_VALUE"""),2.6044595E7)</f>
        <v>26044595</v>
      </c>
    </row>
    <row r="14652">
      <c r="A14652" t="str">
        <f t="shared" si="1"/>
        <v>som#2038</v>
      </c>
      <c r="B14652" t="str">
        <f>IFERROR(__xludf.DUMMYFUNCTION("""COMPUTED_VALUE"""),"som")</f>
        <v>som</v>
      </c>
      <c r="C14652" t="str">
        <f>IFERROR(__xludf.DUMMYFUNCTION("""COMPUTED_VALUE"""),"Somalia")</f>
        <v>Somalia</v>
      </c>
      <c r="D14652">
        <f>IFERROR(__xludf.DUMMYFUNCTION("""COMPUTED_VALUE"""),2038.0)</f>
        <v>2038</v>
      </c>
      <c r="E14652">
        <f>IFERROR(__xludf.DUMMYFUNCTION("""COMPUTED_VALUE"""),2.6733772E7)</f>
        <v>26733772</v>
      </c>
    </row>
    <row r="14653">
      <c r="A14653" t="str">
        <f t="shared" si="1"/>
        <v>som#2039</v>
      </c>
      <c r="B14653" t="str">
        <f>IFERROR(__xludf.DUMMYFUNCTION("""COMPUTED_VALUE"""),"som")</f>
        <v>som</v>
      </c>
      <c r="C14653" t="str">
        <f>IFERROR(__xludf.DUMMYFUNCTION("""COMPUTED_VALUE"""),"Somalia")</f>
        <v>Somalia</v>
      </c>
      <c r="D14653">
        <f>IFERROR(__xludf.DUMMYFUNCTION("""COMPUTED_VALUE"""),2039.0)</f>
        <v>2039</v>
      </c>
      <c r="E14653">
        <f>IFERROR(__xludf.DUMMYFUNCTION("""COMPUTED_VALUE"""),2.7434193E7)</f>
        <v>27434193</v>
      </c>
    </row>
    <row r="14654">
      <c r="A14654" t="str">
        <f t="shared" si="1"/>
        <v>som#2040</v>
      </c>
      <c r="B14654" t="str">
        <f>IFERROR(__xludf.DUMMYFUNCTION("""COMPUTED_VALUE"""),"som")</f>
        <v>som</v>
      </c>
      <c r="C14654" t="str">
        <f>IFERROR(__xludf.DUMMYFUNCTION("""COMPUTED_VALUE"""),"Somalia")</f>
        <v>Somalia</v>
      </c>
      <c r="D14654">
        <f>IFERROR(__xludf.DUMMYFUNCTION("""COMPUTED_VALUE"""),2040.0)</f>
        <v>2040</v>
      </c>
      <c r="E14654">
        <f>IFERROR(__xludf.DUMMYFUNCTION("""COMPUTED_VALUE"""),2.8145899E7)</f>
        <v>28145899</v>
      </c>
    </row>
    <row r="14655">
      <c r="A14655" t="str">
        <f t="shared" si="1"/>
        <v>zaf#1950</v>
      </c>
      <c r="B14655" t="str">
        <f>IFERROR(__xludf.DUMMYFUNCTION("""COMPUTED_VALUE"""),"zaf")</f>
        <v>zaf</v>
      </c>
      <c r="C14655" t="str">
        <f>IFERROR(__xludf.DUMMYFUNCTION("""COMPUTED_VALUE"""),"South Africa")</f>
        <v>South Africa</v>
      </c>
      <c r="D14655">
        <f>IFERROR(__xludf.DUMMYFUNCTION("""COMPUTED_VALUE"""),1950.0)</f>
        <v>1950</v>
      </c>
      <c r="E14655">
        <f>IFERROR(__xludf.DUMMYFUNCTION("""COMPUTED_VALUE"""),1.3628428E7)</f>
        <v>13628428</v>
      </c>
    </row>
    <row r="14656">
      <c r="A14656" t="str">
        <f t="shared" si="1"/>
        <v>zaf#1951</v>
      </c>
      <c r="B14656" t="str">
        <f>IFERROR(__xludf.DUMMYFUNCTION("""COMPUTED_VALUE"""),"zaf")</f>
        <v>zaf</v>
      </c>
      <c r="C14656" t="str">
        <f>IFERROR(__xludf.DUMMYFUNCTION("""COMPUTED_VALUE"""),"South Africa")</f>
        <v>South Africa</v>
      </c>
      <c r="D14656">
        <f>IFERROR(__xludf.DUMMYFUNCTION("""COMPUTED_VALUE"""),1951.0)</f>
        <v>1951</v>
      </c>
      <c r="E14656">
        <f>IFERROR(__xludf.DUMMYFUNCTION("""COMPUTED_VALUE"""),1.3953843E7)</f>
        <v>13953843</v>
      </c>
    </row>
    <row r="14657">
      <c r="A14657" t="str">
        <f t="shared" si="1"/>
        <v>zaf#1952</v>
      </c>
      <c r="B14657" t="str">
        <f>IFERROR(__xludf.DUMMYFUNCTION("""COMPUTED_VALUE"""),"zaf")</f>
        <v>zaf</v>
      </c>
      <c r="C14657" t="str">
        <f>IFERROR(__xludf.DUMMYFUNCTION("""COMPUTED_VALUE"""),"South Africa")</f>
        <v>South Africa</v>
      </c>
      <c r="D14657">
        <f>IFERROR(__xludf.DUMMYFUNCTION("""COMPUTED_VALUE"""),1952.0)</f>
        <v>1952</v>
      </c>
      <c r="E14657">
        <f>IFERROR(__xludf.DUMMYFUNCTION("""COMPUTED_VALUE"""),1.4291415E7)</f>
        <v>14291415</v>
      </c>
    </row>
    <row r="14658">
      <c r="A14658" t="str">
        <f t="shared" si="1"/>
        <v>zaf#1953</v>
      </c>
      <c r="B14658" t="str">
        <f>IFERROR(__xludf.DUMMYFUNCTION("""COMPUTED_VALUE"""),"zaf")</f>
        <v>zaf</v>
      </c>
      <c r="C14658" t="str">
        <f>IFERROR(__xludf.DUMMYFUNCTION("""COMPUTED_VALUE"""),"South Africa")</f>
        <v>South Africa</v>
      </c>
      <c r="D14658">
        <f>IFERROR(__xludf.DUMMYFUNCTION("""COMPUTED_VALUE"""),1953.0)</f>
        <v>1953</v>
      </c>
      <c r="E14658">
        <f>IFERROR(__xludf.DUMMYFUNCTION("""COMPUTED_VALUE"""),1.4641017E7)</f>
        <v>14641017</v>
      </c>
    </row>
    <row r="14659">
      <c r="A14659" t="str">
        <f t="shared" si="1"/>
        <v>zaf#1954</v>
      </c>
      <c r="B14659" t="str">
        <f>IFERROR(__xludf.DUMMYFUNCTION("""COMPUTED_VALUE"""),"zaf")</f>
        <v>zaf</v>
      </c>
      <c r="C14659" t="str">
        <f>IFERROR(__xludf.DUMMYFUNCTION("""COMPUTED_VALUE"""),"South Africa")</f>
        <v>South Africa</v>
      </c>
      <c r="D14659">
        <f>IFERROR(__xludf.DUMMYFUNCTION("""COMPUTED_VALUE"""),1954.0)</f>
        <v>1954</v>
      </c>
      <c r="E14659">
        <f>IFERROR(__xludf.DUMMYFUNCTION("""COMPUTED_VALUE"""),1.5002729E7)</f>
        <v>15002729</v>
      </c>
    </row>
    <row r="14660">
      <c r="A14660" t="str">
        <f t="shared" si="1"/>
        <v>zaf#1955</v>
      </c>
      <c r="B14660" t="str">
        <f>IFERROR(__xludf.DUMMYFUNCTION("""COMPUTED_VALUE"""),"zaf")</f>
        <v>zaf</v>
      </c>
      <c r="C14660" t="str">
        <f>IFERROR(__xludf.DUMMYFUNCTION("""COMPUTED_VALUE"""),"South Africa")</f>
        <v>South Africa</v>
      </c>
      <c r="D14660">
        <f>IFERROR(__xludf.DUMMYFUNCTION("""COMPUTED_VALUE"""),1955.0)</f>
        <v>1955</v>
      </c>
      <c r="E14660">
        <f>IFERROR(__xludf.DUMMYFUNCTION("""COMPUTED_VALUE"""),1.5376829E7)</f>
        <v>15376829</v>
      </c>
    </row>
    <row r="14661">
      <c r="A14661" t="str">
        <f t="shared" si="1"/>
        <v>zaf#1956</v>
      </c>
      <c r="B14661" t="str">
        <f>IFERROR(__xludf.DUMMYFUNCTION("""COMPUTED_VALUE"""),"zaf")</f>
        <v>zaf</v>
      </c>
      <c r="C14661" t="str">
        <f>IFERROR(__xludf.DUMMYFUNCTION("""COMPUTED_VALUE"""),"South Africa")</f>
        <v>South Africa</v>
      </c>
      <c r="D14661">
        <f>IFERROR(__xludf.DUMMYFUNCTION("""COMPUTED_VALUE"""),1956.0)</f>
        <v>1956</v>
      </c>
      <c r="E14661">
        <f>IFERROR(__xludf.DUMMYFUNCTION("""COMPUTED_VALUE"""),1.5763822E7)</f>
        <v>15763822</v>
      </c>
    </row>
    <row r="14662">
      <c r="A14662" t="str">
        <f t="shared" si="1"/>
        <v>zaf#1957</v>
      </c>
      <c r="B14662" t="str">
        <f>IFERROR(__xludf.DUMMYFUNCTION("""COMPUTED_VALUE"""),"zaf")</f>
        <v>zaf</v>
      </c>
      <c r="C14662" t="str">
        <f>IFERROR(__xludf.DUMMYFUNCTION("""COMPUTED_VALUE"""),"South Africa")</f>
        <v>South Africa</v>
      </c>
      <c r="D14662">
        <f>IFERROR(__xludf.DUMMYFUNCTION("""COMPUTED_VALUE"""),1957.0)</f>
        <v>1957</v>
      </c>
      <c r="E14662">
        <f>IFERROR(__xludf.DUMMYFUNCTION("""COMPUTED_VALUE"""),1.6164413E7)</f>
        <v>16164413</v>
      </c>
    </row>
    <row r="14663">
      <c r="A14663" t="str">
        <f t="shared" si="1"/>
        <v>zaf#1958</v>
      </c>
      <c r="B14663" t="str">
        <f>IFERROR(__xludf.DUMMYFUNCTION("""COMPUTED_VALUE"""),"zaf")</f>
        <v>zaf</v>
      </c>
      <c r="C14663" t="str">
        <f>IFERROR(__xludf.DUMMYFUNCTION("""COMPUTED_VALUE"""),"South Africa")</f>
        <v>South Africa</v>
      </c>
      <c r="D14663">
        <f>IFERROR(__xludf.DUMMYFUNCTION("""COMPUTED_VALUE"""),1958.0)</f>
        <v>1958</v>
      </c>
      <c r="E14663">
        <f>IFERROR(__xludf.DUMMYFUNCTION("""COMPUTED_VALUE"""),1.6579477E7)</f>
        <v>16579477</v>
      </c>
    </row>
    <row r="14664">
      <c r="A14664" t="str">
        <f t="shared" si="1"/>
        <v>zaf#1959</v>
      </c>
      <c r="B14664" t="str">
        <f>IFERROR(__xludf.DUMMYFUNCTION("""COMPUTED_VALUE"""),"zaf")</f>
        <v>zaf</v>
      </c>
      <c r="C14664" t="str">
        <f>IFERROR(__xludf.DUMMYFUNCTION("""COMPUTED_VALUE"""),"South Africa")</f>
        <v>South Africa</v>
      </c>
      <c r="D14664">
        <f>IFERROR(__xludf.DUMMYFUNCTION("""COMPUTED_VALUE"""),1959.0)</f>
        <v>1959</v>
      </c>
      <c r="E14664">
        <f>IFERROR(__xludf.DUMMYFUNCTION("""COMPUTED_VALUE"""),1.7009989E7)</f>
        <v>17009989</v>
      </c>
    </row>
    <row r="14665">
      <c r="A14665" t="str">
        <f t="shared" si="1"/>
        <v>zaf#1960</v>
      </c>
      <c r="B14665" t="str">
        <f>IFERROR(__xludf.DUMMYFUNCTION("""COMPUTED_VALUE"""),"zaf")</f>
        <v>zaf</v>
      </c>
      <c r="C14665" t="str">
        <f>IFERROR(__xludf.DUMMYFUNCTION("""COMPUTED_VALUE"""),"South Africa")</f>
        <v>South Africa</v>
      </c>
      <c r="D14665">
        <f>IFERROR(__xludf.DUMMYFUNCTION("""COMPUTED_VALUE"""),1960.0)</f>
        <v>1960</v>
      </c>
      <c r="E14665">
        <f>IFERROR(__xludf.DUMMYFUNCTION("""COMPUTED_VALUE"""),1.7456855E7)</f>
        <v>17456855</v>
      </c>
    </row>
    <row r="14666">
      <c r="A14666" t="str">
        <f t="shared" si="1"/>
        <v>zaf#1961</v>
      </c>
      <c r="B14666" t="str">
        <f>IFERROR(__xludf.DUMMYFUNCTION("""COMPUTED_VALUE"""),"zaf")</f>
        <v>zaf</v>
      </c>
      <c r="C14666" t="str">
        <f>IFERROR(__xludf.DUMMYFUNCTION("""COMPUTED_VALUE"""),"South Africa")</f>
        <v>South Africa</v>
      </c>
      <c r="D14666">
        <f>IFERROR(__xludf.DUMMYFUNCTION("""COMPUTED_VALUE"""),1961.0)</f>
        <v>1961</v>
      </c>
      <c r="E14666">
        <f>IFERROR(__xludf.DUMMYFUNCTION("""COMPUTED_VALUE"""),1.7920673E7)</f>
        <v>17920673</v>
      </c>
    </row>
    <row r="14667">
      <c r="A14667" t="str">
        <f t="shared" si="1"/>
        <v>zaf#1962</v>
      </c>
      <c r="B14667" t="str">
        <f>IFERROR(__xludf.DUMMYFUNCTION("""COMPUTED_VALUE"""),"zaf")</f>
        <v>zaf</v>
      </c>
      <c r="C14667" t="str">
        <f>IFERROR(__xludf.DUMMYFUNCTION("""COMPUTED_VALUE"""),"South Africa")</f>
        <v>South Africa</v>
      </c>
      <c r="D14667">
        <f>IFERROR(__xludf.DUMMYFUNCTION("""COMPUTED_VALUE"""),1962.0)</f>
        <v>1962</v>
      </c>
      <c r="E14667">
        <f>IFERROR(__xludf.DUMMYFUNCTION("""COMPUTED_VALUE"""),1.8401608E7)</f>
        <v>18401608</v>
      </c>
    </row>
    <row r="14668">
      <c r="A14668" t="str">
        <f t="shared" si="1"/>
        <v>zaf#1963</v>
      </c>
      <c r="B14668" t="str">
        <f>IFERROR(__xludf.DUMMYFUNCTION("""COMPUTED_VALUE"""),"zaf")</f>
        <v>zaf</v>
      </c>
      <c r="C14668" t="str">
        <f>IFERROR(__xludf.DUMMYFUNCTION("""COMPUTED_VALUE"""),"South Africa")</f>
        <v>South Africa</v>
      </c>
      <c r="D14668">
        <f>IFERROR(__xludf.DUMMYFUNCTION("""COMPUTED_VALUE"""),1963.0)</f>
        <v>1963</v>
      </c>
      <c r="E14668">
        <f>IFERROR(__xludf.DUMMYFUNCTION("""COMPUTED_VALUE"""),1.8899275E7)</f>
        <v>18899275</v>
      </c>
    </row>
    <row r="14669">
      <c r="A14669" t="str">
        <f t="shared" si="1"/>
        <v>zaf#1964</v>
      </c>
      <c r="B14669" t="str">
        <f>IFERROR(__xludf.DUMMYFUNCTION("""COMPUTED_VALUE"""),"zaf")</f>
        <v>zaf</v>
      </c>
      <c r="C14669" t="str">
        <f>IFERROR(__xludf.DUMMYFUNCTION("""COMPUTED_VALUE"""),"South Africa")</f>
        <v>South Africa</v>
      </c>
      <c r="D14669">
        <f>IFERROR(__xludf.DUMMYFUNCTION("""COMPUTED_VALUE"""),1964.0)</f>
        <v>1964</v>
      </c>
      <c r="E14669">
        <f>IFERROR(__xludf.DUMMYFUNCTION("""COMPUTED_VALUE"""),1.9412975E7)</f>
        <v>19412975</v>
      </c>
    </row>
    <row r="14670">
      <c r="A14670" t="str">
        <f t="shared" si="1"/>
        <v>zaf#1965</v>
      </c>
      <c r="B14670" t="str">
        <f>IFERROR(__xludf.DUMMYFUNCTION("""COMPUTED_VALUE"""),"zaf")</f>
        <v>zaf</v>
      </c>
      <c r="C14670" t="str">
        <f>IFERROR(__xludf.DUMMYFUNCTION("""COMPUTED_VALUE"""),"South Africa")</f>
        <v>South Africa</v>
      </c>
      <c r="D14670">
        <f>IFERROR(__xludf.DUMMYFUNCTION("""COMPUTED_VALUE"""),1965.0)</f>
        <v>1965</v>
      </c>
      <c r="E14670">
        <f>IFERROR(__xludf.DUMMYFUNCTION("""COMPUTED_VALUE"""),1.9942303E7)</f>
        <v>19942303</v>
      </c>
    </row>
    <row r="14671">
      <c r="A14671" t="str">
        <f t="shared" si="1"/>
        <v>zaf#1966</v>
      </c>
      <c r="B14671" t="str">
        <f>IFERROR(__xludf.DUMMYFUNCTION("""COMPUTED_VALUE"""),"zaf")</f>
        <v>zaf</v>
      </c>
      <c r="C14671" t="str">
        <f>IFERROR(__xludf.DUMMYFUNCTION("""COMPUTED_VALUE"""),"South Africa")</f>
        <v>South Africa</v>
      </c>
      <c r="D14671">
        <f>IFERROR(__xludf.DUMMYFUNCTION("""COMPUTED_VALUE"""),1966.0)</f>
        <v>1966</v>
      </c>
      <c r="E14671">
        <f>IFERROR(__xludf.DUMMYFUNCTION("""COMPUTED_VALUE"""),2.0486439E7)</f>
        <v>20486439</v>
      </c>
    </row>
    <row r="14672">
      <c r="A14672" t="str">
        <f t="shared" si="1"/>
        <v>zaf#1967</v>
      </c>
      <c r="B14672" t="str">
        <f>IFERROR(__xludf.DUMMYFUNCTION("""COMPUTED_VALUE"""),"zaf")</f>
        <v>zaf</v>
      </c>
      <c r="C14672" t="str">
        <f>IFERROR(__xludf.DUMMYFUNCTION("""COMPUTED_VALUE"""),"South Africa")</f>
        <v>South Africa</v>
      </c>
      <c r="D14672">
        <f>IFERROR(__xludf.DUMMYFUNCTION("""COMPUTED_VALUE"""),1967.0)</f>
        <v>1967</v>
      </c>
      <c r="E14672">
        <f>IFERROR(__xludf.DUMMYFUNCTION("""COMPUTED_VALUE"""),2.1045785E7)</f>
        <v>21045785</v>
      </c>
    </row>
    <row r="14673">
      <c r="A14673" t="str">
        <f t="shared" si="1"/>
        <v>zaf#1968</v>
      </c>
      <c r="B14673" t="str">
        <f>IFERROR(__xludf.DUMMYFUNCTION("""COMPUTED_VALUE"""),"zaf")</f>
        <v>zaf</v>
      </c>
      <c r="C14673" t="str">
        <f>IFERROR(__xludf.DUMMYFUNCTION("""COMPUTED_VALUE"""),"South Africa")</f>
        <v>South Africa</v>
      </c>
      <c r="D14673">
        <f>IFERROR(__xludf.DUMMYFUNCTION("""COMPUTED_VALUE"""),1968.0)</f>
        <v>1968</v>
      </c>
      <c r="E14673">
        <f>IFERROR(__xludf.DUMMYFUNCTION("""COMPUTED_VALUE"""),2.162259E7)</f>
        <v>21622590</v>
      </c>
    </row>
    <row r="14674">
      <c r="A14674" t="str">
        <f t="shared" si="1"/>
        <v>zaf#1969</v>
      </c>
      <c r="B14674" t="str">
        <f>IFERROR(__xludf.DUMMYFUNCTION("""COMPUTED_VALUE"""),"zaf")</f>
        <v>zaf</v>
      </c>
      <c r="C14674" t="str">
        <f>IFERROR(__xludf.DUMMYFUNCTION("""COMPUTED_VALUE"""),"South Africa")</f>
        <v>South Africa</v>
      </c>
      <c r="D14674">
        <f>IFERROR(__xludf.DUMMYFUNCTION("""COMPUTED_VALUE"""),1969.0)</f>
        <v>1969</v>
      </c>
      <c r="E14674">
        <f>IFERROR(__xludf.DUMMYFUNCTION("""COMPUTED_VALUE"""),2.2219897E7)</f>
        <v>22219897</v>
      </c>
    </row>
    <row r="14675">
      <c r="A14675" t="str">
        <f t="shared" si="1"/>
        <v>zaf#1970</v>
      </c>
      <c r="B14675" t="str">
        <f>IFERROR(__xludf.DUMMYFUNCTION("""COMPUTED_VALUE"""),"zaf")</f>
        <v>zaf</v>
      </c>
      <c r="C14675" t="str">
        <f>IFERROR(__xludf.DUMMYFUNCTION("""COMPUTED_VALUE"""),"South Africa")</f>
        <v>South Africa</v>
      </c>
      <c r="D14675">
        <f>IFERROR(__xludf.DUMMYFUNCTION("""COMPUTED_VALUE"""),1970.0)</f>
        <v>1970</v>
      </c>
      <c r="E14675">
        <f>IFERROR(__xludf.DUMMYFUNCTION("""COMPUTED_VALUE"""),2.2839451E7)</f>
        <v>22839451</v>
      </c>
    </row>
    <row r="14676">
      <c r="A14676" t="str">
        <f t="shared" si="1"/>
        <v>zaf#1971</v>
      </c>
      <c r="B14676" t="str">
        <f>IFERROR(__xludf.DUMMYFUNCTION("""COMPUTED_VALUE"""),"zaf")</f>
        <v>zaf</v>
      </c>
      <c r="C14676" t="str">
        <f>IFERROR(__xludf.DUMMYFUNCTION("""COMPUTED_VALUE"""),"South Africa")</f>
        <v>South Africa</v>
      </c>
      <c r="D14676">
        <f>IFERROR(__xludf.DUMMYFUNCTION("""COMPUTED_VALUE"""),1971.0)</f>
        <v>1971</v>
      </c>
      <c r="E14676">
        <f>IFERROR(__xludf.DUMMYFUNCTION("""COMPUTED_VALUE"""),2.3482813E7)</f>
        <v>23482813</v>
      </c>
    </row>
    <row r="14677">
      <c r="A14677" t="str">
        <f t="shared" si="1"/>
        <v>zaf#1972</v>
      </c>
      <c r="B14677" t="str">
        <f>IFERROR(__xludf.DUMMYFUNCTION("""COMPUTED_VALUE"""),"zaf")</f>
        <v>zaf</v>
      </c>
      <c r="C14677" t="str">
        <f>IFERROR(__xludf.DUMMYFUNCTION("""COMPUTED_VALUE"""),"South Africa")</f>
        <v>South Africa</v>
      </c>
      <c r="D14677">
        <f>IFERROR(__xludf.DUMMYFUNCTION("""COMPUTED_VALUE"""),1972.0)</f>
        <v>1972</v>
      </c>
      <c r="E14677">
        <f>IFERROR(__xludf.DUMMYFUNCTION("""COMPUTED_VALUE"""),2.4148137E7)</f>
        <v>24148137</v>
      </c>
    </row>
    <row r="14678">
      <c r="A14678" t="str">
        <f t="shared" si="1"/>
        <v>zaf#1973</v>
      </c>
      <c r="B14678" t="str">
        <f>IFERROR(__xludf.DUMMYFUNCTION("""COMPUTED_VALUE"""),"zaf")</f>
        <v>zaf</v>
      </c>
      <c r="C14678" t="str">
        <f>IFERROR(__xludf.DUMMYFUNCTION("""COMPUTED_VALUE"""),"South Africa")</f>
        <v>South Africa</v>
      </c>
      <c r="D14678">
        <f>IFERROR(__xludf.DUMMYFUNCTION("""COMPUTED_VALUE"""),1973.0)</f>
        <v>1973</v>
      </c>
      <c r="E14678">
        <f>IFERROR(__xludf.DUMMYFUNCTION("""COMPUTED_VALUE"""),2.4829693E7)</f>
        <v>24829693</v>
      </c>
    </row>
    <row r="14679">
      <c r="A14679" t="str">
        <f t="shared" si="1"/>
        <v>zaf#1974</v>
      </c>
      <c r="B14679" t="str">
        <f>IFERROR(__xludf.DUMMYFUNCTION("""COMPUTED_VALUE"""),"zaf")</f>
        <v>zaf</v>
      </c>
      <c r="C14679" t="str">
        <f>IFERROR(__xludf.DUMMYFUNCTION("""COMPUTED_VALUE"""),"South Africa")</f>
        <v>South Africa</v>
      </c>
      <c r="D14679">
        <f>IFERROR(__xludf.DUMMYFUNCTION("""COMPUTED_VALUE"""),1974.0)</f>
        <v>1974</v>
      </c>
      <c r="E14679">
        <f>IFERROR(__xludf.DUMMYFUNCTION("""COMPUTED_VALUE"""),2.5519604E7)</f>
        <v>25519604</v>
      </c>
    </row>
    <row r="14680">
      <c r="A14680" t="str">
        <f t="shared" si="1"/>
        <v>zaf#1975</v>
      </c>
      <c r="B14680" t="str">
        <f>IFERROR(__xludf.DUMMYFUNCTION("""COMPUTED_VALUE"""),"zaf")</f>
        <v>zaf</v>
      </c>
      <c r="C14680" t="str">
        <f>IFERROR(__xludf.DUMMYFUNCTION("""COMPUTED_VALUE"""),"South Africa")</f>
        <v>South Africa</v>
      </c>
      <c r="D14680">
        <f>IFERROR(__xludf.DUMMYFUNCTION("""COMPUTED_VALUE"""),1975.0)</f>
        <v>1975</v>
      </c>
      <c r="E14680">
        <f>IFERROR(__xludf.DUMMYFUNCTION("""COMPUTED_VALUE"""),2.6212405E7)</f>
        <v>26212405</v>
      </c>
    </row>
    <row r="14681">
      <c r="A14681" t="str">
        <f t="shared" si="1"/>
        <v>zaf#1976</v>
      </c>
      <c r="B14681" t="str">
        <f>IFERROR(__xludf.DUMMYFUNCTION("""COMPUTED_VALUE"""),"zaf")</f>
        <v>zaf</v>
      </c>
      <c r="C14681" t="str">
        <f>IFERROR(__xludf.DUMMYFUNCTION("""COMPUTED_VALUE"""),"South Africa")</f>
        <v>South Africa</v>
      </c>
      <c r="D14681">
        <f>IFERROR(__xludf.DUMMYFUNCTION("""COMPUTED_VALUE"""),1976.0)</f>
        <v>1976</v>
      </c>
      <c r="E14681">
        <f>IFERROR(__xludf.DUMMYFUNCTION("""COMPUTED_VALUE"""),2.6904349E7)</f>
        <v>26904349</v>
      </c>
    </row>
    <row r="14682">
      <c r="A14682" t="str">
        <f t="shared" si="1"/>
        <v>zaf#1977</v>
      </c>
      <c r="B14682" t="str">
        <f>IFERROR(__xludf.DUMMYFUNCTION("""COMPUTED_VALUE"""),"zaf")</f>
        <v>zaf</v>
      </c>
      <c r="C14682" t="str">
        <f>IFERROR(__xludf.DUMMYFUNCTION("""COMPUTED_VALUE"""),"South Africa")</f>
        <v>South Africa</v>
      </c>
      <c r="D14682">
        <f>IFERROR(__xludf.DUMMYFUNCTION("""COMPUTED_VALUE"""),1977.0)</f>
        <v>1977</v>
      </c>
      <c r="E14682">
        <f>IFERROR(__xludf.DUMMYFUNCTION("""COMPUTED_VALUE"""),2.7597297E7)</f>
        <v>27597297</v>
      </c>
    </row>
    <row r="14683">
      <c r="A14683" t="str">
        <f t="shared" si="1"/>
        <v>zaf#1978</v>
      </c>
      <c r="B14683" t="str">
        <f>IFERROR(__xludf.DUMMYFUNCTION("""COMPUTED_VALUE"""),"zaf")</f>
        <v>zaf</v>
      </c>
      <c r="C14683" t="str">
        <f>IFERROR(__xludf.DUMMYFUNCTION("""COMPUTED_VALUE"""),"South Africa")</f>
        <v>South Africa</v>
      </c>
      <c r="D14683">
        <f>IFERROR(__xludf.DUMMYFUNCTION("""COMPUTED_VALUE"""),1978.0)</f>
        <v>1978</v>
      </c>
      <c r="E14683">
        <f>IFERROR(__xludf.DUMMYFUNCTION("""COMPUTED_VALUE"""),2.829815E7)</f>
        <v>28298150</v>
      </c>
    </row>
    <row r="14684">
      <c r="A14684" t="str">
        <f t="shared" si="1"/>
        <v>zaf#1979</v>
      </c>
      <c r="B14684" t="str">
        <f>IFERROR(__xludf.DUMMYFUNCTION("""COMPUTED_VALUE"""),"zaf")</f>
        <v>zaf</v>
      </c>
      <c r="C14684" t="str">
        <f>IFERROR(__xludf.DUMMYFUNCTION("""COMPUTED_VALUE"""),"South Africa")</f>
        <v>South Africa</v>
      </c>
      <c r="D14684">
        <f>IFERROR(__xludf.DUMMYFUNCTION("""COMPUTED_VALUE"""),1979.0)</f>
        <v>1979</v>
      </c>
      <c r="E14684">
        <f>IFERROR(__xludf.DUMMYFUNCTION("""COMPUTED_VALUE"""),2.9017049E7)</f>
        <v>29017049</v>
      </c>
    </row>
    <row r="14685">
      <c r="A14685" t="str">
        <f t="shared" si="1"/>
        <v>zaf#1980</v>
      </c>
      <c r="B14685" t="str">
        <f>IFERROR(__xludf.DUMMYFUNCTION("""COMPUTED_VALUE"""),"zaf")</f>
        <v>zaf</v>
      </c>
      <c r="C14685" t="str">
        <f>IFERROR(__xludf.DUMMYFUNCTION("""COMPUTED_VALUE"""),"South Africa")</f>
        <v>South Africa</v>
      </c>
      <c r="D14685">
        <f>IFERROR(__xludf.DUMMYFUNCTION("""COMPUTED_VALUE"""),1980.0)</f>
        <v>1980</v>
      </c>
      <c r="E14685">
        <f>IFERROR(__xludf.DUMMYFUNCTION("""COMPUTED_VALUE"""),2.9760471E7)</f>
        <v>29760471</v>
      </c>
    </row>
    <row r="14686">
      <c r="A14686" t="str">
        <f t="shared" si="1"/>
        <v>zaf#1981</v>
      </c>
      <c r="B14686" t="str">
        <f>IFERROR(__xludf.DUMMYFUNCTION("""COMPUTED_VALUE"""),"zaf")</f>
        <v>zaf</v>
      </c>
      <c r="C14686" t="str">
        <f>IFERROR(__xludf.DUMMYFUNCTION("""COMPUTED_VALUE"""),"South Africa")</f>
        <v>South Africa</v>
      </c>
      <c r="D14686">
        <f>IFERROR(__xludf.DUMMYFUNCTION("""COMPUTED_VALUE"""),1981.0)</f>
        <v>1981</v>
      </c>
      <c r="E14686">
        <f>IFERROR(__xludf.DUMMYFUNCTION("""COMPUTED_VALUE"""),3.0532954E7)</f>
        <v>30532954</v>
      </c>
    </row>
    <row r="14687">
      <c r="A14687" t="str">
        <f t="shared" si="1"/>
        <v>zaf#1982</v>
      </c>
      <c r="B14687" t="str">
        <f>IFERROR(__xludf.DUMMYFUNCTION("""COMPUTED_VALUE"""),"zaf")</f>
        <v>zaf</v>
      </c>
      <c r="C14687" t="str">
        <f>IFERROR(__xludf.DUMMYFUNCTION("""COMPUTED_VALUE"""),"South Africa")</f>
        <v>South Africa</v>
      </c>
      <c r="D14687">
        <f>IFERROR(__xludf.DUMMYFUNCTION("""COMPUTED_VALUE"""),1982.0)</f>
        <v>1982</v>
      </c>
      <c r="E14687">
        <f>IFERROR(__xludf.DUMMYFUNCTION("""COMPUTED_VALUE"""),3.1330259E7)</f>
        <v>31330259</v>
      </c>
    </row>
    <row r="14688">
      <c r="A14688" t="str">
        <f t="shared" si="1"/>
        <v>zaf#1983</v>
      </c>
      <c r="B14688" t="str">
        <f>IFERROR(__xludf.DUMMYFUNCTION("""COMPUTED_VALUE"""),"zaf")</f>
        <v>zaf</v>
      </c>
      <c r="C14688" t="str">
        <f>IFERROR(__xludf.DUMMYFUNCTION("""COMPUTED_VALUE"""),"South Africa")</f>
        <v>South Africa</v>
      </c>
      <c r="D14688">
        <f>IFERROR(__xludf.DUMMYFUNCTION("""COMPUTED_VALUE"""),1983.0)</f>
        <v>1983</v>
      </c>
      <c r="E14688">
        <f>IFERROR(__xludf.DUMMYFUNCTION("""COMPUTED_VALUE"""),3.2139708E7)</f>
        <v>32139708</v>
      </c>
    </row>
    <row r="14689">
      <c r="A14689" t="str">
        <f t="shared" si="1"/>
        <v>zaf#1984</v>
      </c>
      <c r="B14689" t="str">
        <f>IFERROR(__xludf.DUMMYFUNCTION("""COMPUTED_VALUE"""),"zaf")</f>
        <v>zaf</v>
      </c>
      <c r="C14689" t="str">
        <f>IFERROR(__xludf.DUMMYFUNCTION("""COMPUTED_VALUE"""),"South Africa")</f>
        <v>South Africa</v>
      </c>
      <c r="D14689">
        <f>IFERROR(__xludf.DUMMYFUNCTION("""COMPUTED_VALUE"""),1984.0)</f>
        <v>1984</v>
      </c>
      <c r="E14689">
        <f>IFERROR(__xludf.DUMMYFUNCTION("""COMPUTED_VALUE"""),3.2943584E7)</f>
        <v>32943584</v>
      </c>
    </row>
    <row r="14690">
      <c r="A14690" t="str">
        <f t="shared" si="1"/>
        <v>zaf#1985</v>
      </c>
      <c r="B14690" t="str">
        <f>IFERROR(__xludf.DUMMYFUNCTION("""COMPUTED_VALUE"""),"zaf")</f>
        <v>zaf</v>
      </c>
      <c r="C14690" t="str">
        <f>IFERROR(__xludf.DUMMYFUNCTION("""COMPUTED_VALUE"""),"South Africa")</f>
        <v>South Africa</v>
      </c>
      <c r="D14690">
        <f>IFERROR(__xludf.DUMMYFUNCTION("""COMPUTED_VALUE"""),1985.0)</f>
        <v>1985</v>
      </c>
      <c r="E14690">
        <f>IFERROR(__xludf.DUMMYFUNCTION("""COMPUTED_VALUE"""),3.3730148E7)</f>
        <v>33730148</v>
      </c>
    </row>
    <row r="14691">
      <c r="A14691" t="str">
        <f t="shared" si="1"/>
        <v>zaf#1986</v>
      </c>
      <c r="B14691" t="str">
        <f>IFERROR(__xludf.DUMMYFUNCTION("""COMPUTED_VALUE"""),"zaf")</f>
        <v>zaf</v>
      </c>
      <c r="C14691" t="str">
        <f>IFERROR(__xludf.DUMMYFUNCTION("""COMPUTED_VALUE"""),"South Africa")</f>
        <v>South Africa</v>
      </c>
      <c r="D14691">
        <f>IFERROR(__xludf.DUMMYFUNCTION("""COMPUTED_VALUE"""),1986.0)</f>
        <v>1986</v>
      </c>
      <c r="E14691">
        <f>IFERROR(__xludf.DUMMYFUNCTION("""COMPUTED_VALUE"""),3.4490419E7)</f>
        <v>34490419</v>
      </c>
    </row>
    <row r="14692">
      <c r="A14692" t="str">
        <f t="shared" si="1"/>
        <v>zaf#1987</v>
      </c>
      <c r="B14692" t="str">
        <f>IFERROR(__xludf.DUMMYFUNCTION("""COMPUTED_VALUE"""),"zaf")</f>
        <v>zaf</v>
      </c>
      <c r="C14692" t="str">
        <f>IFERROR(__xludf.DUMMYFUNCTION("""COMPUTED_VALUE"""),"South Africa")</f>
        <v>South Africa</v>
      </c>
      <c r="D14692">
        <f>IFERROR(__xludf.DUMMYFUNCTION("""COMPUTED_VALUE"""),1987.0)</f>
        <v>1987</v>
      </c>
      <c r="E14692">
        <f>IFERROR(__xludf.DUMMYFUNCTION("""COMPUTED_VALUE"""),3.5230249E7)</f>
        <v>35230249</v>
      </c>
    </row>
    <row r="14693">
      <c r="A14693" t="str">
        <f t="shared" si="1"/>
        <v>zaf#1988</v>
      </c>
      <c r="B14693" t="str">
        <f>IFERROR(__xludf.DUMMYFUNCTION("""COMPUTED_VALUE"""),"zaf")</f>
        <v>zaf</v>
      </c>
      <c r="C14693" t="str">
        <f>IFERROR(__xludf.DUMMYFUNCTION("""COMPUTED_VALUE"""),"South Africa")</f>
        <v>South Africa</v>
      </c>
      <c r="D14693">
        <f>IFERROR(__xludf.DUMMYFUNCTION("""COMPUTED_VALUE"""),1988.0)</f>
        <v>1988</v>
      </c>
      <c r="E14693">
        <f>IFERROR(__xludf.DUMMYFUNCTION("""COMPUTED_VALUE"""),3.5970537E7)</f>
        <v>35970537</v>
      </c>
    </row>
    <row r="14694">
      <c r="A14694" t="str">
        <f t="shared" si="1"/>
        <v>zaf#1989</v>
      </c>
      <c r="B14694" t="str">
        <f>IFERROR(__xludf.DUMMYFUNCTION("""COMPUTED_VALUE"""),"zaf")</f>
        <v>zaf</v>
      </c>
      <c r="C14694" t="str">
        <f>IFERROR(__xludf.DUMMYFUNCTION("""COMPUTED_VALUE"""),"South Africa")</f>
        <v>South Africa</v>
      </c>
      <c r="D14694">
        <f>IFERROR(__xludf.DUMMYFUNCTION("""COMPUTED_VALUE"""),1989.0)</f>
        <v>1989</v>
      </c>
      <c r="E14694">
        <f>IFERROR(__xludf.DUMMYFUNCTION("""COMPUTED_VALUE"""),3.6740883E7)</f>
        <v>36740883</v>
      </c>
    </row>
    <row r="14695">
      <c r="A14695" t="str">
        <f t="shared" si="1"/>
        <v>zaf#1990</v>
      </c>
      <c r="B14695" t="str">
        <f>IFERROR(__xludf.DUMMYFUNCTION("""COMPUTED_VALUE"""),"zaf")</f>
        <v>zaf</v>
      </c>
      <c r="C14695" t="str">
        <f>IFERROR(__xludf.DUMMYFUNCTION("""COMPUTED_VALUE"""),"South Africa")</f>
        <v>South Africa</v>
      </c>
      <c r="D14695">
        <f>IFERROR(__xludf.DUMMYFUNCTION("""COMPUTED_VALUE"""),1990.0)</f>
        <v>1990</v>
      </c>
      <c r="E14695">
        <f>IFERROR(__xludf.DUMMYFUNCTION("""COMPUTED_VALUE"""),3.7560525E7)</f>
        <v>37560525</v>
      </c>
    </row>
    <row r="14696">
      <c r="A14696" t="str">
        <f t="shared" si="1"/>
        <v>zaf#1991</v>
      </c>
      <c r="B14696" t="str">
        <f>IFERROR(__xludf.DUMMYFUNCTION("""COMPUTED_VALUE"""),"zaf")</f>
        <v>zaf</v>
      </c>
      <c r="C14696" t="str">
        <f>IFERROR(__xludf.DUMMYFUNCTION("""COMPUTED_VALUE"""),"South Africa")</f>
        <v>South Africa</v>
      </c>
      <c r="D14696">
        <f>IFERROR(__xludf.DUMMYFUNCTION("""COMPUTED_VALUE"""),1991.0)</f>
        <v>1991</v>
      </c>
      <c r="E14696">
        <f>IFERROR(__xludf.DUMMYFUNCTION("""COMPUTED_VALUE"""),3.8437855E7)</f>
        <v>38437855</v>
      </c>
    </row>
    <row r="14697">
      <c r="A14697" t="str">
        <f t="shared" si="1"/>
        <v>zaf#1992</v>
      </c>
      <c r="B14697" t="str">
        <f>IFERROR(__xludf.DUMMYFUNCTION("""COMPUTED_VALUE"""),"zaf")</f>
        <v>zaf</v>
      </c>
      <c r="C14697" t="str">
        <f>IFERROR(__xludf.DUMMYFUNCTION("""COMPUTED_VALUE"""),"South Africa")</f>
        <v>South Africa</v>
      </c>
      <c r="D14697">
        <f>IFERROR(__xludf.DUMMYFUNCTION("""COMPUTED_VALUE"""),1992.0)</f>
        <v>1992</v>
      </c>
      <c r="E14697">
        <f>IFERROR(__xludf.DUMMYFUNCTION("""COMPUTED_VALUE"""),3.9360225E7)</f>
        <v>39360225</v>
      </c>
    </row>
    <row r="14698">
      <c r="A14698" t="str">
        <f t="shared" si="1"/>
        <v>zaf#1993</v>
      </c>
      <c r="B14698" t="str">
        <f>IFERROR(__xludf.DUMMYFUNCTION("""COMPUTED_VALUE"""),"zaf")</f>
        <v>zaf</v>
      </c>
      <c r="C14698" t="str">
        <f>IFERROR(__xludf.DUMMYFUNCTION("""COMPUTED_VALUE"""),"South Africa")</f>
        <v>South Africa</v>
      </c>
      <c r="D14698">
        <f>IFERROR(__xludf.DUMMYFUNCTION("""COMPUTED_VALUE"""),1993.0)</f>
        <v>1993</v>
      </c>
      <c r="E14698">
        <f>IFERROR(__xludf.DUMMYFUNCTION("""COMPUTED_VALUE"""),4.0300161E7)</f>
        <v>40300161</v>
      </c>
    </row>
    <row r="14699">
      <c r="A14699" t="str">
        <f t="shared" si="1"/>
        <v>zaf#1994</v>
      </c>
      <c r="B14699" t="str">
        <f>IFERROR(__xludf.DUMMYFUNCTION("""COMPUTED_VALUE"""),"zaf")</f>
        <v>zaf</v>
      </c>
      <c r="C14699" t="str">
        <f>IFERROR(__xludf.DUMMYFUNCTION("""COMPUTED_VALUE"""),"South Africa")</f>
        <v>South Africa</v>
      </c>
      <c r="D14699">
        <f>IFERROR(__xludf.DUMMYFUNCTION("""COMPUTED_VALUE"""),1994.0)</f>
        <v>1994</v>
      </c>
      <c r="E14699">
        <f>IFERROR(__xludf.DUMMYFUNCTION("""COMPUTED_VALUE"""),4.1218901E7)</f>
        <v>41218901</v>
      </c>
    </row>
    <row r="14700">
      <c r="A14700" t="str">
        <f t="shared" si="1"/>
        <v>zaf#1995</v>
      </c>
      <c r="B14700" t="str">
        <f>IFERROR(__xludf.DUMMYFUNCTION("""COMPUTED_VALUE"""),"zaf")</f>
        <v>zaf</v>
      </c>
      <c r="C14700" t="str">
        <f>IFERROR(__xludf.DUMMYFUNCTION("""COMPUTED_VALUE"""),"South Africa")</f>
        <v>South Africa</v>
      </c>
      <c r="D14700">
        <f>IFERROR(__xludf.DUMMYFUNCTION("""COMPUTED_VALUE"""),1995.0)</f>
        <v>1995</v>
      </c>
      <c r="E14700">
        <f>IFERROR(__xludf.DUMMYFUNCTION("""COMPUTED_VALUE"""),4.2088165E7)</f>
        <v>42088165</v>
      </c>
    </row>
    <row r="14701">
      <c r="A14701" t="str">
        <f t="shared" si="1"/>
        <v>zaf#1996</v>
      </c>
      <c r="B14701" t="str">
        <f>IFERROR(__xludf.DUMMYFUNCTION("""COMPUTED_VALUE"""),"zaf")</f>
        <v>zaf</v>
      </c>
      <c r="C14701" t="str">
        <f>IFERROR(__xludf.DUMMYFUNCTION("""COMPUTED_VALUE"""),"South Africa")</f>
        <v>South Africa</v>
      </c>
      <c r="D14701">
        <f>IFERROR(__xludf.DUMMYFUNCTION("""COMPUTED_VALUE"""),1996.0)</f>
        <v>1996</v>
      </c>
      <c r="E14701">
        <f>IFERROR(__xludf.DUMMYFUNCTION("""COMPUTED_VALUE"""),4.289852E7)</f>
        <v>42898520</v>
      </c>
    </row>
    <row r="14702">
      <c r="A14702" t="str">
        <f t="shared" si="1"/>
        <v>zaf#1997</v>
      </c>
      <c r="B14702" t="str">
        <f>IFERROR(__xludf.DUMMYFUNCTION("""COMPUTED_VALUE"""),"zaf")</f>
        <v>zaf</v>
      </c>
      <c r="C14702" t="str">
        <f>IFERROR(__xludf.DUMMYFUNCTION("""COMPUTED_VALUE"""),"South Africa")</f>
        <v>South Africa</v>
      </c>
      <c r="D14702">
        <f>IFERROR(__xludf.DUMMYFUNCTION("""COMPUTED_VALUE"""),1997.0)</f>
        <v>1997</v>
      </c>
      <c r="E14702">
        <f>IFERROR(__xludf.DUMMYFUNCTION("""COMPUTED_VALUE"""),4.3657024E7)</f>
        <v>43657024</v>
      </c>
    </row>
    <row r="14703">
      <c r="A14703" t="str">
        <f t="shared" si="1"/>
        <v>zaf#1998</v>
      </c>
      <c r="B14703" t="str">
        <f>IFERROR(__xludf.DUMMYFUNCTION("""COMPUTED_VALUE"""),"zaf")</f>
        <v>zaf</v>
      </c>
      <c r="C14703" t="str">
        <f>IFERROR(__xludf.DUMMYFUNCTION("""COMPUTED_VALUE"""),"South Africa")</f>
        <v>South Africa</v>
      </c>
      <c r="D14703">
        <f>IFERROR(__xludf.DUMMYFUNCTION("""COMPUTED_VALUE"""),1998.0)</f>
        <v>1998</v>
      </c>
      <c r="E14703">
        <f>IFERROR(__xludf.DUMMYFUNCTION("""COMPUTED_VALUE"""),4.4372112E7)</f>
        <v>44372112</v>
      </c>
    </row>
    <row r="14704">
      <c r="A14704" t="str">
        <f t="shared" si="1"/>
        <v>zaf#1999</v>
      </c>
      <c r="B14704" t="str">
        <f>IFERROR(__xludf.DUMMYFUNCTION("""COMPUTED_VALUE"""),"zaf")</f>
        <v>zaf</v>
      </c>
      <c r="C14704" t="str">
        <f>IFERROR(__xludf.DUMMYFUNCTION("""COMPUTED_VALUE"""),"South Africa")</f>
        <v>South Africa</v>
      </c>
      <c r="D14704">
        <f>IFERROR(__xludf.DUMMYFUNCTION("""COMPUTED_VALUE"""),1999.0)</f>
        <v>1999</v>
      </c>
      <c r="E14704">
        <f>IFERROR(__xludf.DUMMYFUNCTION("""COMPUTED_VALUE"""),4.5058775E7)</f>
        <v>45058775</v>
      </c>
    </row>
    <row r="14705">
      <c r="A14705" t="str">
        <f t="shared" si="1"/>
        <v>zaf#2000</v>
      </c>
      <c r="B14705" t="str">
        <f>IFERROR(__xludf.DUMMYFUNCTION("""COMPUTED_VALUE"""),"zaf")</f>
        <v>zaf</v>
      </c>
      <c r="C14705" t="str">
        <f>IFERROR(__xludf.DUMMYFUNCTION("""COMPUTED_VALUE"""),"South Africa")</f>
        <v>South Africa</v>
      </c>
      <c r="D14705">
        <f>IFERROR(__xludf.DUMMYFUNCTION("""COMPUTED_VALUE"""),2000.0)</f>
        <v>2000</v>
      </c>
      <c r="E14705">
        <f>IFERROR(__xludf.DUMMYFUNCTION("""COMPUTED_VALUE"""),4.5728315E7)</f>
        <v>45728315</v>
      </c>
    </row>
    <row r="14706">
      <c r="A14706" t="str">
        <f t="shared" si="1"/>
        <v>zaf#2001</v>
      </c>
      <c r="B14706" t="str">
        <f>IFERROR(__xludf.DUMMYFUNCTION("""COMPUTED_VALUE"""),"zaf")</f>
        <v>zaf</v>
      </c>
      <c r="C14706" t="str">
        <f>IFERROR(__xludf.DUMMYFUNCTION("""COMPUTED_VALUE"""),"South Africa")</f>
        <v>South Africa</v>
      </c>
      <c r="D14706">
        <f>IFERROR(__xludf.DUMMYFUNCTION("""COMPUTED_VALUE"""),2001.0)</f>
        <v>2001</v>
      </c>
      <c r="E14706">
        <f>IFERROR(__xludf.DUMMYFUNCTION("""COMPUTED_VALUE"""),4.6385006E7)</f>
        <v>46385006</v>
      </c>
    </row>
    <row r="14707">
      <c r="A14707" t="str">
        <f t="shared" si="1"/>
        <v>zaf#2002</v>
      </c>
      <c r="B14707" t="str">
        <f>IFERROR(__xludf.DUMMYFUNCTION("""COMPUTED_VALUE"""),"zaf")</f>
        <v>zaf</v>
      </c>
      <c r="C14707" t="str">
        <f>IFERROR(__xludf.DUMMYFUNCTION("""COMPUTED_VALUE"""),"South Africa")</f>
        <v>South Africa</v>
      </c>
      <c r="D14707">
        <f>IFERROR(__xludf.DUMMYFUNCTION("""COMPUTED_VALUE"""),2002.0)</f>
        <v>2002</v>
      </c>
      <c r="E14707">
        <f>IFERROR(__xludf.DUMMYFUNCTION("""COMPUTED_VALUE"""),4.7026173E7)</f>
        <v>47026173</v>
      </c>
    </row>
    <row r="14708">
      <c r="A14708" t="str">
        <f t="shared" si="1"/>
        <v>zaf#2003</v>
      </c>
      <c r="B14708" t="str">
        <f>IFERROR(__xludf.DUMMYFUNCTION("""COMPUTED_VALUE"""),"zaf")</f>
        <v>zaf</v>
      </c>
      <c r="C14708" t="str">
        <f>IFERROR(__xludf.DUMMYFUNCTION("""COMPUTED_VALUE"""),"South Africa")</f>
        <v>South Africa</v>
      </c>
      <c r="D14708">
        <f>IFERROR(__xludf.DUMMYFUNCTION("""COMPUTED_VALUE"""),2003.0)</f>
        <v>2003</v>
      </c>
      <c r="E14708">
        <f>IFERROR(__xludf.DUMMYFUNCTION("""COMPUTED_VALUE"""),4.7648727E7)</f>
        <v>47648727</v>
      </c>
    </row>
    <row r="14709">
      <c r="A14709" t="str">
        <f t="shared" si="1"/>
        <v>zaf#2004</v>
      </c>
      <c r="B14709" t="str">
        <f>IFERROR(__xludf.DUMMYFUNCTION("""COMPUTED_VALUE"""),"zaf")</f>
        <v>zaf</v>
      </c>
      <c r="C14709" t="str">
        <f>IFERROR(__xludf.DUMMYFUNCTION("""COMPUTED_VALUE"""),"South Africa")</f>
        <v>South Africa</v>
      </c>
      <c r="D14709">
        <f>IFERROR(__xludf.DUMMYFUNCTION("""COMPUTED_VALUE"""),2004.0)</f>
        <v>2004</v>
      </c>
      <c r="E14709">
        <f>IFERROR(__xludf.DUMMYFUNCTION("""COMPUTED_VALUE"""),4.8247395E7)</f>
        <v>48247395</v>
      </c>
    </row>
    <row r="14710">
      <c r="A14710" t="str">
        <f t="shared" si="1"/>
        <v>zaf#2005</v>
      </c>
      <c r="B14710" t="str">
        <f>IFERROR(__xludf.DUMMYFUNCTION("""COMPUTED_VALUE"""),"zaf")</f>
        <v>zaf</v>
      </c>
      <c r="C14710" t="str">
        <f>IFERROR(__xludf.DUMMYFUNCTION("""COMPUTED_VALUE"""),"South Africa")</f>
        <v>South Africa</v>
      </c>
      <c r="D14710">
        <f>IFERROR(__xludf.DUMMYFUNCTION("""COMPUTED_VALUE"""),2005.0)</f>
        <v>2005</v>
      </c>
      <c r="E14710">
        <f>IFERROR(__xludf.DUMMYFUNCTION("""COMPUTED_VALUE"""),4.8820586E7)</f>
        <v>48820586</v>
      </c>
    </row>
    <row r="14711">
      <c r="A14711" t="str">
        <f t="shared" si="1"/>
        <v>zaf#2006</v>
      </c>
      <c r="B14711" t="str">
        <f>IFERROR(__xludf.DUMMYFUNCTION("""COMPUTED_VALUE"""),"zaf")</f>
        <v>zaf</v>
      </c>
      <c r="C14711" t="str">
        <f>IFERROR(__xludf.DUMMYFUNCTION("""COMPUTED_VALUE"""),"South Africa")</f>
        <v>South Africa</v>
      </c>
      <c r="D14711">
        <f>IFERROR(__xludf.DUMMYFUNCTION("""COMPUTED_VALUE"""),2006.0)</f>
        <v>2006</v>
      </c>
      <c r="E14711">
        <f>IFERROR(__xludf.DUMMYFUNCTION("""COMPUTED_VALUE"""),4.9364582E7)</f>
        <v>49364582</v>
      </c>
    </row>
    <row r="14712">
      <c r="A14712" t="str">
        <f t="shared" si="1"/>
        <v>zaf#2007</v>
      </c>
      <c r="B14712" t="str">
        <f>IFERROR(__xludf.DUMMYFUNCTION("""COMPUTED_VALUE"""),"zaf")</f>
        <v>zaf</v>
      </c>
      <c r="C14712" t="str">
        <f>IFERROR(__xludf.DUMMYFUNCTION("""COMPUTED_VALUE"""),"South Africa")</f>
        <v>South Africa</v>
      </c>
      <c r="D14712">
        <f>IFERROR(__xludf.DUMMYFUNCTION("""COMPUTED_VALUE"""),2007.0)</f>
        <v>2007</v>
      </c>
      <c r="E14712">
        <f>IFERROR(__xludf.DUMMYFUNCTION("""COMPUTED_VALUE"""),4.9887181E7)</f>
        <v>49887181</v>
      </c>
    </row>
    <row r="14713">
      <c r="A14713" t="str">
        <f t="shared" si="1"/>
        <v>zaf#2008</v>
      </c>
      <c r="B14713" t="str">
        <f>IFERROR(__xludf.DUMMYFUNCTION("""COMPUTED_VALUE"""),"zaf")</f>
        <v>zaf</v>
      </c>
      <c r="C14713" t="str">
        <f>IFERROR(__xludf.DUMMYFUNCTION("""COMPUTED_VALUE"""),"South Africa")</f>
        <v>South Africa</v>
      </c>
      <c r="D14713">
        <f>IFERROR(__xludf.DUMMYFUNCTION("""COMPUTED_VALUE"""),2008.0)</f>
        <v>2008</v>
      </c>
      <c r="E14713">
        <f>IFERROR(__xludf.DUMMYFUNCTION("""COMPUTED_VALUE"""),5.0412129E7)</f>
        <v>50412129</v>
      </c>
    </row>
    <row r="14714">
      <c r="A14714" t="str">
        <f t="shared" si="1"/>
        <v>zaf#2009</v>
      </c>
      <c r="B14714" t="str">
        <f>IFERROR(__xludf.DUMMYFUNCTION("""COMPUTED_VALUE"""),"zaf")</f>
        <v>zaf</v>
      </c>
      <c r="C14714" t="str">
        <f>IFERROR(__xludf.DUMMYFUNCTION("""COMPUTED_VALUE"""),"South Africa")</f>
        <v>South Africa</v>
      </c>
      <c r="D14714">
        <f>IFERROR(__xludf.DUMMYFUNCTION("""COMPUTED_VALUE"""),2009.0)</f>
        <v>2009</v>
      </c>
      <c r="E14714">
        <f>IFERROR(__xludf.DUMMYFUNCTION("""COMPUTED_VALUE"""),5.0970818E7)</f>
        <v>50970818</v>
      </c>
    </row>
    <row r="14715">
      <c r="A14715" t="str">
        <f t="shared" si="1"/>
        <v>zaf#2010</v>
      </c>
      <c r="B14715" t="str">
        <f>IFERROR(__xludf.DUMMYFUNCTION("""COMPUTED_VALUE"""),"zaf")</f>
        <v>zaf</v>
      </c>
      <c r="C14715" t="str">
        <f>IFERROR(__xludf.DUMMYFUNCTION("""COMPUTED_VALUE"""),"South Africa")</f>
        <v>South Africa</v>
      </c>
      <c r="D14715">
        <f>IFERROR(__xludf.DUMMYFUNCTION("""COMPUTED_VALUE"""),2010.0)</f>
        <v>2010</v>
      </c>
      <c r="E14715">
        <f>IFERROR(__xludf.DUMMYFUNCTION("""COMPUTED_VALUE"""),5.1584663E7)</f>
        <v>51584663</v>
      </c>
    </row>
    <row r="14716">
      <c r="A14716" t="str">
        <f t="shared" si="1"/>
        <v>zaf#2011</v>
      </c>
      <c r="B14716" t="str">
        <f>IFERROR(__xludf.DUMMYFUNCTION("""COMPUTED_VALUE"""),"zaf")</f>
        <v>zaf</v>
      </c>
      <c r="C14716" t="str">
        <f>IFERROR(__xludf.DUMMYFUNCTION("""COMPUTED_VALUE"""),"South Africa")</f>
        <v>South Africa</v>
      </c>
      <c r="D14716">
        <f>IFERROR(__xludf.DUMMYFUNCTION("""COMPUTED_VALUE"""),2011.0)</f>
        <v>2011</v>
      </c>
      <c r="E14716">
        <f>IFERROR(__xludf.DUMMYFUNCTION("""COMPUTED_VALUE"""),5.2263516E7)</f>
        <v>52263516</v>
      </c>
    </row>
    <row r="14717">
      <c r="A14717" t="str">
        <f t="shared" si="1"/>
        <v>zaf#2012</v>
      </c>
      <c r="B14717" t="str">
        <f>IFERROR(__xludf.DUMMYFUNCTION("""COMPUTED_VALUE"""),"zaf")</f>
        <v>zaf</v>
      </c>
      <c r="C14717" t="str">
        <f>IFERROR(__xludf.DUMMYFUNCTION("""COMPUTED_VALUE"""),"South Africa")</f>
        <v>South Africa</v>
      </c>
      <c r="D14717">
        <f>IFERROR(__xludf.DUMMYFUNCTION("""COMPUTED_VALUE"""),2012.0)</f>
        <v>2012</v>
      </c>
      <c r="E14717">
        <f>IFERROR(__xludf.DUMMYFUNCTION("""COMPUTED_VALUE"""),5.2998213E7)</f>
        <v>52998213</v>
      </c>
    </row>
    <row r="14718">
      <c r="A14718" t="str">
        <f t="shared" si="1"/>
        <v>zaf#2013</v>
      </c>
      <c r="B14718" t="str">
        <f>IFERROR(__xludf.DUMMYFUNCTION("""COMPUTED_VALUE"""),"zaf")</f>
        <v>zaf</v>
      </c>
      <c r="C14718" t="str">
        <f>IFERROR(__xludf.DUMMYFUNCTION("""COMPUTED_VALUE"""),"South Africa")</f>
        <v>South Africa</v>
      </c>
      <c r="D14718">
        <f>IFERROR(__xludf.DUMMYFUNCTION("""COMPUTED_VALUE"""),2013.0)</f>
        <v>2013</v>
      </c>
      <c r="E14718">
        <f>IFERROR(__xludf.DUMMYFUNCTION("""COMPUTED_VALUE"""),5.3767396E7)</f>
        <v>53767396</v>
      </c>
    </row>
    <row r="14719">
      <c r="A14719" t="str">
        <f t="shared" si="1"/>
        <v>zaf#2014</v>
      </c>
      <c r="B14719" t="str">
        <f>IFERROR(__xludf.DUMMYFUNCTION("""COMPUTED_VALUE"""),"zaf")</f>
        <v>zaf</v>
      </c>
      <c r="C14719" t="str">
        <f>IFERROR(__xludf.DUMMYFUNCTION("""COMPUTED_VALUE"""),"South Africa")</f>
        <v>South Africa</v>
      </c>
      <c r="D14719">
        <f>IFERROR(__xludf.DUMMYFUNCTION("""COMPUTED_VALUE"""),2014.0)</f>
        <v>2014</v>
      </c>
      <c r="E14719">
        <f>IFERROR(__xludf.DUMMYFUNCTION("""COMPUTED_VALUE"""),5.4539571E7)</f>
        <v>54539571</v>
      </c>
    </row>
    <row r="14720">
      <c r="A14720" t="str">
        <f t="shared" si="1"/>
        <v>zaf#2015</v>
      </c>
      <c r="B14720" t="str">
        <f>IFERROR(__xludf.DUMMYFUNCTION("""COMPUTED_VALUE"""),"zaf")</f>
        <v>zaf</v>
      </c>
      <c r="C14720" t="str">
        <f>IFERROR(__xludf.DUMMYFUNCTION("""COMPUTED_VALUE"""),"South Africa")</f>
        <v>South Africa</v>
      </c>
      <c r="D14720">
        <f>IFERROR(__xludf.DUMMYFUNCTION("""COMPUTED_VALUE"""),2015.0)</f>
        <v>2015</v>
      </c>
      <c r="E14720">
        <f>IFERROR(__xludf.DUMMYFUNCTION("""COMPUTED_VALUE"""),5.5291225E7)</f>
        <v>55291225</v>
      </c>
    </row>
    <row r="14721">
      <c r="A14721" t="str">
        <f t="shared" si="1"/>
        <v>zaf#2016</v>
      </c>
      <c r="B14721" t="str">
        <f>IFERROR(__xludf.DUMMYFUNCTION("""COMPUTED_VALUE"""),"zaf")</f>
        <v>zaf</v>
      </c>
      <c r="C14721" t="str">
        <f>IFERROR(__xludf.DUMMYFUNCTION("""COMPUTED_VALUE"""),"South Africa")</f>
        <v>South Africa</v>
      </c>
      <c r="D14721">
        <f>IFERROR(__xludf.DUMMYFUNCTION("""COMPUTED_VALUE"""),2016.0)</f>
        <v>2016</v>
      </c>
      <c r="E14721">
        <f>IFERROR(__xludf.DUMMYFUNCTION("""COMPUTED_VALUE"""),5.6015473E7)</f>
        <v>56015473</v>
      </c>
    </row>
    <row r="14722">
      <c r="A14722" t="str">
        <f t="shared" si="1"/>
        <v>zaf#2017</v>
      </c>
      <c r="B14722" t="str">
        <f>IFERROR(__xludf.DUMMYFUNCTION("""COMPUTED_VALUE"""),"zaf")</f>
        <v>zaf</v>
      </c>
      <c r="C14722" t="str">
        <f>IFERROR(__xludf.DUMMYFUNCTION("""COMPUTED_VALUE"""),"South Africa")</f>
        <v>South Africa</v>
      </c>
      <c r="D14722">
        <f>IFERROR(__xludf.DUMMYFUNCTION("""COMPUTED_VALUE"""),2017.0)</f>
        <v>2017</v>
      </c>
      <c r="E14722">
        <f>IFERROR(__xludf.DUMMYFUNCTION("""COMPUTED_VALUE"""),5.6717156E7)</f>
        <v>56717156</v>
      </c>
    </row>
    <row r="14723">
      <c r="A14723" t="str">
        <f t="shared" si="1"/>
        <v>zaf#2018</v>
      </c>
      <c r="B14723" t="str">
        <f>IFERROR(__xludf.DUMMYFUNCTION("""COMPUTED_VALUE"""),"zaf")</f>
        <v>zaf</v>
      </c>
      <c r="C14723" t="str">
        <f>IFERROR(__xludf.DUMMYFUNCTION("""COMPUTED_VALUE"""),"South Africa")</f>
        <v>South Africa</v>
      </c>
      <c r="D14723">
        <f>IFERROR(__xludf.DUMMYFUNCTION("""COMPUTED_VALUE"""),2018.0)</f>
        <v>2018</v>
      </c>
      <c r="E14723">
        <f>IFERROR(__xludf.DUMMYFUNCTION("""COMPUTED_VALUE"""),5.7398421E7)</f>
        <v>57398421</v>
      </c>
    </row>
    <row r="14724">
      <c r="A14724" t="str">
        <f t="shared" si="1"/>
        <v>zaf#2019</v>
      </c>
      <c r="B14724" t="str">
        <f>IFERROR(__xludf.DUMMYFUNCTION("""COMPUTED_VALUE"""),"zaf")</f>
        <v>zaf</v>
      </c>
      <c r="C14724" t="str">
        <f>IFERROR(__xludf.DUMMYFUNCTION("""COMPUTED_VALUE"""),"South Africa")</f>
        <v>South Africa</v>
      </c>
      <c r="D14724">
        <f>IFERROR(__xludf.DUMMYFUNCTION("""COMPUTED_VALUE"""),2019.0)</f>
        <v>2019</v>
      </c>
      <c r="E14724">
        <f>IFERROR(__xludf.DUMMYFUNCTION("""COMPUTED_VALUE"""),5.8065097E7)</f>
        <v>58065097</v>
      </c>
    </row>
    <row r="14725">
      <c r="A14725" t="str">
        <f t="shared" si="1"/>
        <v>zaf#2020</v>
      </c>
      <c r="B14725" t="str">
        <f>IFERROR(__xludf.DUMMYFUNCTION("""COMPUTED_VALUE"""),"zaf")</f>
        <v>zaf</v>
      </c>
      <c r="C14725" t="str">
        <f>IFERROR(__xludf.DUMMYFUNCTION("""COMPUTED_VALUE"""),"South Africa")</f>
        <v>South Africa</v>
      </c>
      <c r="D14725">
        <f>IFERROR(__xludf.DUMMYFUNCTION("""COMPUTED_VALUE"""),2020.0)</f>
        <v>2020</v>
      </c>
      <c r="E14725">
        <f>IFERROR(__xludf.DUMMYFUNCTION("""COMPUTED_VALUE"""),5.8721229E7)</f>
        <v>58721229</v>
      </c>
    </row>
    <row r="14726">
      <c r="A14726" t="str">
        <f t="shared" si="1"/>
        <v>zaf#2021</v>
      </c>
      <c r="B14726" t="str">
        <f>IFERROR(__xludf.DUMMYFUNCTION("""COMPUTED_VALUE"""),"zaf")</f>
        <v>zaf</v>
      </c>
      <c r="C14726" t="str">
        <f>IFERROR(__xludf.DUMMYFUNCTION("""COMPUTED_VALUE"""),"South Africa")</f>
        <v>South Africa</v>
      </c>
      <c r="D14726">
        <f>IFERROR(__xludf.DUMMYFUNCTION("""COMPUTED_VALUE"""),2021.0)</f>
        <v>2021</v>
      </c>
      <c r="E14726">
        <f>IFERROR(__xludf.DUMMYFUNCTION("""COMPUTED_VALUE"""),5.9365976E7)</f>
        <v>59365976</v>
      </c>
    </row>
    <row r="14727">
      <c r="A14727" t="str">
        <f t="shared" si="1"/>
        <v>zaf#2022</v>
      </c>
      <c r="B14727" t="str">
        <f>IFERROR(__xludf.DUMMYFUNCTION("""COMPUTED_VALUE"""),"zaf")</f>
        <v>zaf</v>
      </c>
      <c r="C14727" t="str">
        <f>IFERROR(__xludf.DUMMYFUNCTION("""COMPUTED_VALUE"""),"South Africa")</f>
        <v>South Africa</v>
      </c>
      <c r="D14727">
        <f>IFERROR(__xludf.DUMMYFUNCTION("""COMPUTED_VALUE"""),2022.0)</f>
        <v>2022</v>
      </c>
      <c r="E14727">
        <f>IFERROR(__xludf.DUMMYFUNCTION("""COMPUTED_VALUE"""),5.9996049E7)</f>
        <v>59996049</v>
      </c>
    </row>
    <row r="14728">
      <c r="A14728" t="str">
        <f t="shared" si="1"/>
        <v>zaf#2023</v>
      </c>
      <c r="B14728" t="str">
        <f>IFERROR(__xludf.DUMMYFUNCTION("""COMPUTED_VALUE"""),"zaf")</f>
        <v>zaf</v>
      </c>
      <c r="C14728" t="str">
        <f>IFERROR(__xludf.DUMMYFUNCTION("""COMPUTED_VALUE"""),"South Africa")</f>
        <v>South Africa</v>
      </c>
      <c r="D14728">
        <f>IFERROR(__xludf.DUMMYFUNCTION("""COMPUTED_VALUE"""),2023.0)</f>
        <v>2023</v>
      </c>
      <c r="E14728">
        <f>IFERROR(__xludf.DUMMYFUNCTION("""COMPUTED_VALUE"""),6.0610627E7)</f>
        <v>60610627</v>
      </c>
    </row>
    <row r="14729">
      <c r="A14729" t="str">
        <f t="shared" si="1"/>
        <v>zaf#2024</v>
      </c>
      <c r="B14729" t="str">
        <f>IFERROR(__xludf.DUMMYFUNCTION("""COMPUTED_VALUE"""),"zaf")</f>
        <v>zaf</v>
      </c>
      <c r="C14729" t="str">
        <f>IFERROR(__xludf.DUMMYFUNCTION("""COMPUTED_VALUE"""),"South Africa")</f>
        <v>South Africa</v>
      </c>
      <c r="D14729">
        <f>IFERROR(__xludf.DUMMYFUNCTION("""COMPUTED_VALUE"""),2024.0)</f>
        <v>2024</v>
      </c>
      <c r="E14729">
        <f>IFERROR(__xludf.DUMMYFUNCTION("""COMPUTED_VALUE"""),6.1208783E7)</f>
        <v>61208783</v>
      </c>
    </row>
    <row r="14730">
      <c r="A14730" t="str">
        <f t="shared" si="1"/>
        <v>zaf#2025</v>
      </c>
      <c r="B14730" t="str">
        <f>IFERROR(__xludf.DUMMYFUNCTION("""COMPUTED_VALUE"""),"zaf")</f>
        <v>zaf</v>
      </c>
      <c r="C14730" t="str">
        <f>IFERROR(__xludf.DUMMYFUNCTION("""COMPUTED_VALUE"""),"South Africa")</f>
        <v>South Africa</v>
      </c>
      <c r="D14730">
        <f>IFERROR(__xludf.DUMMYFUNCTION("""COMPUTED_VALUE"""),2025.0)</f>
        <v>2025</v>
      </c>
      <c r="E14730">
        <f>IFERROR(__xludf.DUMMYFUNCTION("""COMPUTED_VALUE"""),6.1790036E7)</f>
        <v>61790036</v>
      </c>
    </row>
    <row r="14731">
      <c r="A14731" t="str">
        <f t="shared" si="1"/>
        <v>zaf#2026</v>
      </c>
      <c r="B14731" t="str">
        <f>IFERROR(__xludf.DUMMYFUNCTION("""COMPUTED_VALUE"""),"zaf")</f>
        <v>zaf</v>
      </c>
      <c r="C14731" t="str">
        <f>IFERROR(__xludf.DUMMYFUNCTION("""COMPUTED_VALUE"""),"South Africa")</f>
        <v>South Africa</v>
      </c>
      <c r="D14731">
        <f>IFERROR(__xludf.DUMMYFUNCTION("""COMPUTED_VALUE"""),2026.0)</f>
        <v>2026</v>
      </c>
      <c r="E14731">
        <f>IFERROR(__xludf.DUMMYFUNCTION("""COMPUTED_VALUE"""),6.2354046E7)</f>
        <v>62354046</v>
      </c>
    </row>
    <row r="14732">
      <c r="A14732" t="str">
        <f t="shared" si="1"/>
        <v>zaf#2027</v>
      </c>
      <c r="B14732" t="str">
        <f>IFERROR(__xludf.DUMMYFUNCTION("""COMPUTED_VALUE"""),"zaf")</f>
        <v>zaf</v>
      </c>
      <c r="C14732" t="str">
        <f>IFERROR(__xludf.DUMMYFUNCTION("""COMPUTED_VALUE"""),"South Africa")</f>
        <v>South Africa</v>
      </c>
      <c r="D14732">
        <f>IFERROR(__xludf.DUMMYFUNCTION("""COMPUTED_VALUE"""),2027.0)</f>
        <v>2027</v>
      </c>
      <c r="E14732">
        <f>IFERROR(__xludf.DUMMYFUNCTION("""COMPUTED_VALUE"""),6.2901489E7)</f>
        <v>62901489</v>
      </c>
    </row>
    <row r="14733">
      <c r="A14733" t="str">
        <f t="shared" si="1"/>
        <v>zaf#2028</v>
      </c>
      <c r="B14733" t="str">
        <f>IFERROR(__xludf.DUMMYFUNCTION("""COMPUTED_VALUE"""),"zaf")</f>
        <v>zaf</v>
      </c>
      <c r="C14733" t="str">
        <f>IFERROR(__xludf.DUMMYFUNCTION("""COMPUTED_VALUE"""),"South Africa")</f>
        <v>South Africa</v>
      </c>
      <c r="D14733">
        <f>IFERROR(__xludf.DUMMYFUNCTION("""COMPUTED_VALUE"""),2028.0)</f>
        <v>2028</v>
      </c>
      <c r="E14733">
        <f>IFERROR(__xludf.DUMMYFUNCTION("""COMPUTED_VALUE"""),6.3434258E7)</f>
        <v>63434258</v>
      </c>
    </row>
    <row r="14734">
      <c r="A14734" t="str">
        <f t="shared" si="1"/>
        <v>zaf#2029</v>
      </c>
      <c r="B14734" t="str">
        <f>IFERROR(__xludf.DUMMYFUNCTION("""COMPUTED_VALUE"""),"zaf")</f>
        <v>zaf</v>
      </c>
      <c r="C14734" t="str">
        <f>IFERROR(__xludf.DUMMYFUNCTION("""COMPUTED_VALUE"""),"South Africa")</f>
        <v>South Africa</v>
      </c>
      <c r="D14734">
        <f>IFERROR(__xludf.DUMMYFUNCTION("""COMPUTED_VALUE"""),2029.0)</f>
        <v>2029</v>
      </c>
      <c r="E14734">
        <f>IFERROR(__xludf.DUMMYFUNCTION("""COMPUTED_VALUE"""),6.3954945E7)</f>
        <v>63954945</v>
      </c>
    </row>
    <row r="14735">
      <c r="A14735" t="str">
        <f t="shared" si="1"/>
        <v>zaf#2030</v>
      </c>
      <c r="B14735" t="str">
        <f>IFERROR(__xludf.DUMMYFUNCTION("""COMPUTED_VALUE"""),"zaf")</f>
        <v>zaf</v>
      </c>
      <c r="C14735" t="str">
        <f>IFERROR(__xludf.DUMMYFUNCTION("""COMPUTED_VALUE"""),"South Africa")</f>
        <v>South Africa</v>
      </c>
      <c r="D14735">
        <f>IFERROR(__xludf.DUMMYFUNCTION("""COMPUTED_VALUE"""),2030.0)</f>
        <v>2030</v>
      </c>
      <c r="E14735">
        <f>IFERROR(__xludf.DUMMYFUNCTION("""COMPUTED_VALUE"""),6.4465553E7)</f>
        <v>64465553</v>
      </c>
    </row>
    <row r="14736">
      <c r="A14736" t="str">
        <f t="shared" si="1"/>
        <v>zaf#2031</v>
      </c>
      <c r="B14736" t="str">
        <f>IFERROR(__xludf.DUMMYFUNCTION("""COMPUTED_VALUE"""),"zaf")</f>
        <v>zaf</v>
      </c>
      <c r="C14736" t="str">
        <f>IFERROR(__xludf.DUMMYFUNCTION("""COMPUTED_VALUE"""),"South Africa")</f>
        <v>South Africa</v>
      </c>
      <c r="D14736">
        <f>IFERROR(__xludf.DUMMYFUNCTION("""COMPUTED_VALUE"""),2031.0)</f>
        <v>2031</v>
      </c>
      <c r="E14736">
        <f>IFERROR(__xludf.DUMMYFUNCTION("""COMPUTED_VALUE"""),6.496682E7)</f>
        <v>64966820</v>
      </c>
    </row>
    <row r="14737">
      <c r="A14737" t="str">
        <f t="shared" si="1"/>
        <v>zaf#2032</v>
      </c>
      <c r="B14737" t="str">
        <f>IFERROR(__xludf.DUMMYFUNCTION("""COMPUTED_VALUE"""),"zaf")</f>
        <v>zaf</v>
      </c>
      <c r="C14737" t="str">
        <f>IFERROR(__xludf.DUMMYFUNCTION("""COMPUTED_VALUE"""),"South Africa")</f>
        <v>South Africa</v>
      </c>
      <c r="D14737">
        <f>IFERROR(__xludf.DUMMYFUNCTION("""COMPUTED_VALUE"""),2032.0)</f>
        <v>2032</v>
      </c>
      <c r="E14737">
        <f>IFERROR(__xludf.DUMMYFUNCTION("""COMPUTED_VALUE"""),6.5458712E7)</f>
        <v>65458712</v>
      </c>
    </row>
    <row r="14738">
      <c r="A14738" t="str">
        <f t="shared" si="1"/>
        <v>zaf#2033</v>
      </c>
      <c r="B14738" t="str">
        <f>IFERROR(__xludf.DUMMYFUNCTION("""COMPUTED_VALUE"""),"zaf")</f>
        <v>zaf</v>
      </c>
      <c r="C14738" t="str">
        <f>IFERROR(__xludf.DUMMYFUNCTION("""COMPUTED_VALUE"""),"South Africa")</f>
        <v>South Africa</v>
      </c>
      <c r="D14738">
        <f>IFERROR(__xludf.DUMMYFUNCTION("""COMPUTED_VALUE"""),2033.0)</f>
        <v>2033</v>
      </c>
      <c r="E14738">
        <f>IFERROR(__xludf.DUMMYFUNCTION("""COMPUTED_VALUE"""),6.5941517E7)</f>
        <v>65941517</v>
      </c>
    </row>
    <row r="14739">
      <c r="A14739" t="str">
        <f t="shared" si="1"/>
        <v>zaf#2034</v>
      </c>
      <c r="B14739" t="str">
        <f>IFERROR(__xludf.DUMMYFUNCTION("""COMPUTED_VALUE"""),"zaf")</f>
        <v>zaf</v>
      </c>
      <c r="C14739" t="str">
        <f>IFERROR(__xludf.DUMMYFUNCTION("""COMPUTED_VALUE"""),"South Africa")</f>
        <v>South Africa</v>
      </c>
      <c r="D14739">
        <f>IFERROR(__xludf.DUMMYFUNCTION("""COMPUTED_VALUE"""),2034.0)</f>
        <v>2034</v>
      </c>
      <c r="E14739">
        <f>IFERROR(__xludf.DUMMYFUNCTION("""COMPUTED_VALUE"""),6.6415347E7)</f>
        <v>66415347</v>
      </c>
    </row>
    <row r="14740">
      <c r="A14740" t="str">
        <f t="shared" si="1"/>
        <v>zaf#2035</v>
      </c>
      <c r="B14740" t="str">
        <f>IFERROR(__xludf.DUMMYFUNCTION("""COMPUTED_VALUE"""),"zaf")</f>
        <v>zaf</v>
      </c>
      <c r="C14740" t="str">
        <f>IFERROR(__xludf.DUMMYFUNCTION("""COMPUTED_VALUE"""),"South Africa")</f>
        <v>South Africa</v>
      </c>
      <c r="D14740">
        <f>IFERROR(__xludf.DUMMYFUNCTION("""COMPUTED_VALUE"""),2035.0)</f>
        <v>2035</v>
      </c>
      <c r="E14740">
        <f>IFERROR(__xludf.DUMMYFUNCTION("""COMPUTED_VALUE"""),6.6880284E7)</f>
        <v>66880284</v>
      </c>
    </row>
    <row r="14741">
      <c r="A14741" t="str">
        <f t="shared" si="1"/>
        <v>zaf#2036</v>
      </c>
      <c r="B14741" t="str">
        <f>IFERROR(__xludf.DUMMYFUNCTION("""COMPUTED_VALUE"""),"zaf")</f>
        <v>zaf</v>
      </c>
      <c r="C14741" t="str">
        <f>IFERROR(__xludf.DUMMYFUNCTION("""COMPUTED_VALUE"""),"South Africa")</f>
        <v>South Africa</v>
      </c>
      <c r="D14741">
        <f>IFERROR(__xludf.DUMMYFUNCTION("""COMPUTED_VALUE"""),2036.0)</f>
        <v>2036</v>
      </c>
      <c r="E14741">
        <f>IFERROR(__xludf.DUMMYFUNCTION("""COMPUTED_VALUE"""),6.7336588E7)</f>
        <v>67336588</v>
      </c>
    </row>
    <row r="14742">
      <c r="A14742" t="str">
        <f t="shared" si="1"/>
        <v>zaf#2037</v>
      </c>
      <c r="B14742" t="str">
        <f>IFERROR(__xludf.DUMMYFUNCTION("""COMPUTED_VALUE"""),"zaf")</f>
        <v>zaf</v>
      </c>
      <c r="C14742" t="str">
        <f>IFERROR(__xludf.DUMMYFUNCTION("""COMPUTED_VALUE"""),"South Africa")</f>
        <v>South Africa</v>
      </c>
      <c r="D14742">
        <f>IFERROR(__xludf.DUMMYFUNCTION("""COMPUTED_VALUE"""),2037.0)</f>
        <v>2037</v>
      </c>
      <c r="E14742">
        <f>IFERROR(__xludf.DUMMYFUNCTION("""COMPUTED_VALUE"""),6.7784496E7)</f>
        <v>67784496</v>
      </c>
    </row>
    <row r="14743">
      <c r="A14743" t="str">
        <f t="shared" si="1"/>
        <v>zaf#2038</v>
      </c>
      <c r="B14743" t="str">
        <f>IFERROR(__xludf.DUMMYFUNCTION("""COMPUTED_VALUE"""),"zaf")</f>
        <v>zaf</v>
      </c>
      <c r="C14743" t="str">
        <f>IFERROR(__xludf.DUMMYFUNCTION("""COMPUTED_VALUE"""),"South Africa")</f>
        <v>South Africa</v>
      </c>
      <c r="D14743">
        <f>IFERROR(__xludf.DUMMYFUNCTION("""COMPUTED_VALUE"""),2038.0)</f>
        <v>2038</v>
      </c>
      <c r="E14743">
        <f>IFERROR(__xludf.DUMMYFUNCTION("""COMPUTED_VALUE"""),6.8223898E7)</f>
        <v>68223898</v>
      </c>
    </row>
    <row r="14744">
      <c r="A14744" t="str">
        <f t="shared" si="1"/>
        <v>zaf#2039</v>
      </c>
      <c r="B14744" t="str">
        <f>IFERROR(__xludf.DUMMYFUNCTION("""COMPUTED_VALUE"""),"zaf")</f>
        <v>zaf</v>
      </c>
      <c r="C14744" t="str">
        <f>IFERROR(__xludf.DUMMYFUNCTION("""COMPUTED_VALUE"""),"South Africa")</f>
        <v>South Africa</v>
      </c>
      <c r="D14744">
        <f>IFERROR(__xludf.DUMMYFUNCTION("""COMPUTED_VALUE"""),2039.0)</f>
        <v>2039</v>
      </c>
      <c r="E14744">
        <f>IFERROR(__xludf.DUMMYFUNCTION("""COMPUTED_VALUE"""),6.8654603E7)</f>
        <v>68654603</v>
      </c>
    </row>
    <row r="14745">
      <c r="A14745" t="str">
        <f t="shared" si="1"/>
        <v>zaf#2040</v>
      </c>
      <c r="B14745" t="str">
        <f>IFERROR(__xludf.DUMMYFUNCTION("""COMPUTED_VALUE"""),"zaf")</f>
        <v>zaf</v>
      </c>
      <c r="C14745" t="str">
        <f>IFERROR(__xludf.DUMMYFUNCTION("""COMPUTED_VALUE"""),"South Africa")</f>
        <v>South Africa</v>
      </c>
      <c r="D14745">
        <f>IFERROR(__xludf.DUMMYFUNCTION("""COMPUTED_VALUE"""),2040.0)</f>
        <v>2040</v>
      </c>
      <c r="E14745">
        <f>IFERROR(__xludf.DUMMYFUNCTION("""COMPUTED_VALUE"""),6.907639E7)</f>
        <v>69076390</v>
      </c>
    </row>
    <row r="14746">
      <c r="A14746" t="str">
        <f t="shared" si="1"/>
        <v>esp#1950</v>
      </c>
      <c r="B14746" t="str">
        <f>IFERROR(__xludf.DUMMYFUNCTION("""COMPUTED_VALUE"""),"esp")</f>
        <v>esp</v>
      </c>
      <c r="C14746" t="str">
        <f>IFERROR(__xludf.DUMMYFUNCTION("""COMPUTED_VALUE"""),"Spain")</f>
        <v>Spain</v>
      </c>
      <c r="D14746">
        <f>IFERROR(__xludf.DUMMYFUNCTION("""COMPUTED_VALUE"""),1950.0)</f>
        <v>1950</v>
      </c>
      <c r="E14746">
        <f>IFERROR(__xludf.DUMMYFUNCTION("""COMPUTED_VALUE"""),2.8069735E7)</f>
        <v>28069735</v>
      </c>
    </row>
    <row r="14747">
      <c r="A14747" t="str">
        <f t="shared" si="1"/>
        <v>esp#1951</v>
      </c>
      <c r="B14747" t="str">
        <f>IFERROR(__xludf.DUMMYFUNCTION("""COMPUTED_VALUE"""),"esp")</f>
        <v>esp</v>
      </c>
      <c r="C14747" t="str">
        <f>IFERROR(__xludf.DUMMYFUNCTION("""COMPUTED_VALUE"""),"Spain")</f>
        <v>Spain</v>
      </c>
      <c r="D14747">
        <f>IFERROR(__xludf.DUMMYFUNCTION("""COMPUTED_VALUE"""),1951.0)</f>
        <v>1951</v>
      </c>
      <c r="E14747">
        <f>IFERROR(__xludf.DUMMYFUNCTION("""COMPUTED_VALUE"""),2.8243635E7)</f>
        <v>28243635</v>
      </c>
    </row>
    <row r="14748">
      <c r="A14748" t="str">
        <f t="shared" si="1"/>
        <v>esp#1952</v>
      </c>
      <c r="B14748" t="str">
        <f>IFERROR(__xludf.DUMMYFUNCTION("""COMPUTED_VALUE"""),"esp")</f>
        <v>esp</v>
      </c>
      <c r="C14748" t="str">
        <f>IFERROR(__xludf.DUMMYFUNCTION("""COMPUTED_VALUE"""),"Spain")</f>
        <v>Spain</v>
      </c>
      <c r="D14748">
        <f>IFERROR(__xludf.DUMMYFUNCTION("""COMPUTED_VALUE"""),1952.0)</f>
        <v>1952</v>
      </c>
      <c r="E14748">
        <f>IFERROR(__xludf.DUMMYFUNCTION("""COMPUTED_VALUE"""),2.8442373E7)</f>
        <v>28442373</v>
      </c>
    </row>
    <row r="14749">
      <c r="A14749" t="str">
        <f t="shared" si="1"/>
        <v>esp#1953</v>
      </c>
      <c r="B14749" t="str">
        <f>IFERROR(__xludf.DUMMYFUNCTION("""COMPUTED_VALUE"""),"esp")</f>
        <v>esp</v>
      </c>
      <c r="C14749" t="str">
        <f>IFERROR(__xludf.DUMMYFUNCTION("""COMPUTED_VALUE"""),"Spain")</f>
        <v>Spain</v>
      </c>
      <c r="D14749">
        <f>IFERROR(__xludf.DUMMYFUNCTION("""COMPUTED_VALUE"""),1953.0)</f>
        <v>1953</v>
      </c>
      <c r="E14749">
        <f>IFERROR(__xludf.DUMMYFUNCTION("""COMPUTED_VALUE"""),2.8658669E7)</f>
        <v>28658669</v>
      </c>
    </row>
    <row r="14750">
      <c r="A14750" t="str">
        <f t="shared" si="1"/>
        <v>esp#1954</v>
      </c>
      <c r="B14750" t="str">
        <f>IFERROR(__xludf.DUMMYFUNCTION("""COMPUTED_VALUE"""),"esp")</f>
        <v>esp</v>
      </c>
      <c r="C14750" t="str">
        <f>IFERROR(__xludf.DUMMYFUNCTION("""COMPUTED_VALUE"""),"Spain")</f>
        <v>Spain</v>
      </c>
      <c r="D14750">
        <f>IFERROR(__xludf.DUMMYFUNCTION("""COMPUTED_VALUE"""),1954.0)</f>
        <v>1954</v>
      </c>
      <c r="E14750">
        <f>IFERROR(__xludf.DUMMYFUNCTION("""COMPUTED_VALUE"""),2.8887349E7)</f>
        <v>28887349</v>
      </c>
    </row>
    <row r="14751">
      <c r="A14751" t="str">
        <f t="shared" si="1"/>
        <v>esp#1955</v>
      </c>
      <c r="B14751" t="str">
        <f>IFERROR(__xludf.DUMMYFUNCTION("""COMPUTED_VALUE"""),"esp")</f>
        <v>esp</v>
      </c>
      <c r="C14751" t="str">
        <f>IFERROR(__xludf.DUMMYFUNCTION("""COMPUTED_VALUE"""),"Spain")</f>
        <v>Spain</v>
      </c>
      <c r="D14751">
        <f>IFERROR(__xludf.DUMMYFUNCTION("""COMPUTED_VALUE"""),1955.0)</f>
        <v>1955</v>
      </c>
      <c r="E14751">
        <f>IFERROR(__xludf.DUMMYFUNCTION("""COMPUTED_VALUE"""),2.9125354E7)</f>
        <v>29125354</v>
      </c>
    </row>
    <row r="14752">
      <c r="A14752" t="str">
        <f t="shared" si="1"/>
        <v>esp#1956</v>
      </c>
      <c r="B14752" t="str">
        <f>IFERROR(__xludf.DUMMYFUNCTION("""COMPUTED_VALUE"""),"esp")</f>
        <v>esp</v>
      </c>
      <c r="C14752" t="str">
        <f>IFERROR(__xludf.DUMMYFUNCTION("""COMPUTED_VALUE"""),"Spain")</f>
        <v>Spain</v>
      </c>
      <c r="D14752">
        <f>IFERROR(__xludf.DUMMYFUNCTION("""COMPUTED_VALUE"""),1956.0)</f>
        <v>1956</v>
      </c>
      <c r="E14752">
        <f>IFERROR(__xludf.DUMMYFUNCTION("""COMPUTED_VALUE"""),2.9371821E7)</f>
        <v>29371821</v>
      </c>
    </row>
    <row r="14753">
      <c r="A14753" t="str">
        <f t="shared" si="1"/>
        <v>esp#1957</v>
      </c>
      <c r="B14753" t="str">
        <f>IFERROR(__xludf.DUMMYFUNCTION("""COMPUTED_VALUE"""),"esp")</f>
        <v>esp</v>
      </c>
      <c r="C14753" t="str">
        <f>IFERROR(__xludf.DUMMYFUNCTION("""COMPUTED_VALUE"""),"Spain")</f>
        <v>Spain</v>
      </c>
      <c r="D14753">
        <f>IFERROR(__xludf.DUMMYFUNCTION("""COMPUTED_VALUE"""),1957.0)</f>
        <v>1957</v>
      </c>
      <c r="E14753">
        <f>IFERROR(__xludf.DUMMYFUNCTION("""COMPUTED_VALUE"""),2.9628012E7)</f>
        <v>29628012</v>
      </c>
    </row>
    <row r="14754">
      <c r="A14754" t="str">
        <f t="shared" si="1"/>
        <v>esp#1958</v>
      </c>
      <c r="B14754" t="str">
        <f>IFERROR(__xludf.DUMMYFUNCTION("""COMPUTED_VALUE"""),"esp")</f>
        <v>esp</v>
      </c>
      <c r="C14754" t="str">
        <f>IFERROR(__xludf.DUMMYFUNCTION("""COMPUTED_VALUE"""),"Spain")</f>
        <v>Spain</v>
      </c>
      <c r="D14754">
        <f>IFERROR(__xludf.DUMMYFUNCTION("""COMPUTED_VALUE"""),1958.0)</f>
        <v>1958</v>
      </c>
      <c r="E14754">
        <f>IFERROR(__xludf.DUMMYFUNCTION("""COMPUTED_VALUE"""),2.9896928E7)</f>
        <v>29896928</v>
      </c>
    </row>
    <row r="14755">
      <c r="A14755" t="str">
        <f t="shared" si="1"/>
        <v>esp#1959</v>
      </c>
      <c r="B14755" t="str">
        <f>IFERROR(__xludf.DUMMYFUNCTION("""COMPUTED_VALUE"""),"esp")</f>
        <v>esp</v>
      </c>
      <c r="C14755" t="str">
        <f>IFERROR(__xludf.DUMMYFUNCTION("""COMPUTED_VALUE"""),"Spain")</f>
        <v>Spain</v>
      </c>
      <c r="D14755">
        <f>IFERROR(__xludf.DUMMYFUNCTION("""COMPUTED_VALUE"""),1959.0)</f>
        <v>1959</v>
      </c>
      <c r="E14755">
        <f>IFERROR(__xludf.DUMMYFUNCTION("""COMPUTED_VALUE"""),3.0182782E7)</f>
        <v>30182782</v>
      </c>
    </row>
    <row r="14756">
      <c r="A14756" t="str">
        <f t="shared" si="1"/>
        <v>esp#1960</v>
      </c>
      <c r="B14756" t="str">
        <f>IFERROR(__xludf.DUMMYFUNCTION("""COMPUTED_VALUE"""),"esp")</f>
        <v>esp</v>
      </c>
      <c r="C14756" t="str">
        <f>IFERROR(__xludf.DUMMYFUNCTION("""COMPUTED_VALUE"""),"Spain")</f>
        <v>Spain</v>
      </c>
      <c r="D14756">
        <f>IFERROR(__xludf.DUMMYFUNCTION("""COMPUTED_VALUE"""),1960.0)</f>
        <v>1960</v>
      </c>
      <c r="E14756">
        <f>IFERROR(__xludf.DUMMYFUNCTION("""COMPUTED_VALUE"""),3.0489242E7)</f>
        <v>30489242</v>
      </c>
    </row>
    <row r="14757">
      <c r="A14757" t="str">
        <f t="shared" si="1"/>
        <v>esp#1961</v>
      </c>
      <c r="B14757" t="str">
        <f>IFERROR(__xludf.DUMMYFUNCTION("""COMPUTED_VALUE"""),"esp")</f>
        <v>esp</v>
      </c>
      <c r="C14757" t="str">
        <f>IFERROR(__xludf.DUMMYFUNCTION("""COMPUTED_VALUE"""),"Spain")</f>
        <v>Spain</v>
      </c>
      <c r="D14757">
        <f>IFERROR(__xludf.DUMMYFUNCTION("""COMPUTED_VALUE"""),1961.0)</f>
        <v>1961</v>
      </c>
      <c r="E14757">
        <f>IFERROR(__xludf.DUMMYFUNCTION("""COMPUTED_VALUE"""),3.081757E7)</f>
        <v>30817570</v>
      </c>
    </row>
    <row r="14758">
      <c r="A14758" t="str">
        <f t="shared" si="1"/>
        <v>esp#1962</v>
      </c>
      <c r="B14758" t="str">
        <f>IFERROR(__xludf.DUMMYFUNCTION("""COMPUTED_VALUE"""),"esp")</f>
        <v>esp</v>
      </c>
      <c r="C14758" t="str">
        <f>IFERROR(__xludf.DUMMYFUNCTION("""COMPUTED_VALUE"""),"Spain")</f>
        <v>Spain</v>
      </c>
      <c r="D14758">
        <f>IFERROR(__xludf.DUMMYFUNCTION("""COMPUTED_VALUE"""),1962.0)</f>
        <v>1962</v>
      </c>
      <c r="E14758">
        <f>IFERROR(__xludf.DUMMYFUNCTION("""COMPUTED_VALUE"""),3.1165075E7)</f>
        <v>31165075</v>
      </c>
    </row>
    <row r="14759">
      <c r="A14759" t="str">
        <f t="shared" si="1"/>
        <v>esp#1963</v>
      </c>
      <c r="B14759" t="str">
        <f>IFERROR(__xludf.DUMMYFUNCTION("""COMPUTED_VALUE"""),"esp")</f>
        <v>esp</v>
      </c>
      <c r="C14759" t="str">
        <f>IFERROR(__xludf.DUMMYFUNCTION("""COMPUTED_VALUE"""),"Spain")</f>
        <v>Spain</v>
      </c>
      <c r="D14759">
        <f>IFERROR(__xludf.DUMMYFUNCTION("""COMPUTED_VALUE"""),1963.0)</f>
        <v>1963</v>
      </c>
      <c r="E14759">
        <f>IFERROR(__xludf.DUMMYFUNCTION("""COMPUTED_VALUE"""),3.1524385E7)</f>
        <v>31524385</v>
      </c>
    </row>
    <row r="14760">
      <c r="A14760" t="str">
        <f t="shared" si="1"/>
        <v>esp#1964</v>
      </c>
      <c r="B14760" t="str">
        <f>IFERROR(__xludf.DUMMYFUNCTION("""COMPUTED_VALUE"""),"esp")</f>
        <v>esp</v>
      </c>
      <c r="C14760" t="str">
        <f>IFERROR(__xludf.DUMMYFUNCTION("""COMPUTED_VALUE"""),"Spain")</f>
        <v>Spain</v>
      </c>
      <c r="D14760">
        <f>IFERROR(__xludf.DUMMYFUNCTION("""COMPUTED_VALUE"""),1964.0)</f>
        <v>1964</v>
      </c>
      <c r="E14760">
        <f>IFERROR(__xludf.DUMMYFUNCTION("""COMPUTED_VALUE"""),3.1885404E7)</f>
        <v>31885404</v>
      </c>
    </row>
    <row r="14761">
      <c r="A14761" t="str">
        <f t="shared" si="1"/>
        <v>esp#1965</v>
      </c>
      <c r="B14761" t="str">
        <f>IFERROR(__xludf.DUMMYFUNCTION("""COMPUTED_VALUE"""),"esp")</f>
        <v>esp</v>
      </c>
      <c r="C14761" t="str">
        <f>IFERROR(__xludf.DUMMYFUNCTION("""COMPUTED_VALUE"""),"Spain")</f>
        <v>Spain</v>
      </c>
      <c r="D14761">
        <f>IFERROR(__xludf.DUMMYFUNCTION("""COMPUTED_VALUE"""),1965.0)</f>
        <v>1965</v>
      </c>
      <c r="E14761">
        <f>IFERROR(__xludf.DUMMYFUNCTION("""COMPUTED_VALUE"""),3.2241041E7)</f>
        <v>32241041</v>
      </c>
    </row>
    <row r="14762">
      <c r="A14762" t="str">
        <f t="shared" si="1"/>
        <v>esp#1966</v>
      </c>
      <c r="B14762" t="str">
        <f>IFERROR(__xludf.DUMMYFUNCTION("""COMPUTED_VALUE"""),"esp")</f>
        <v>esp</v>
      </c>
      <c r="C14762" t="str">
        <f>IFERROR(__xludf.DUMMYFUNCTION("""COMPUTED_VALUE"""),"Spain")</f>
        <v>Spain</v>
      </c>
      <c r="D14762">
        <f>IFERROR(__xludf.DUMMYFUNCTION("""COMPUTED_VALUE"""),1966.0)</f>
        <v>1966</v>
      </c>
      <c r="E14762">
        <f>IFERROR(__xludf.DUMMYFUNCTION("""COMPUTED_VALUE"""),3.2587244E7)</f>
        <v>32587244</v>
      </c>
    </row>
    <row r="14763">
      <c r="A14763" t="str">
        <f t="shared" si="1"/>
        <v>esp#1967</v>
      </c>
      <c r="B14763" t="str">
        <f>IFERROR(__xludf.DUMMYFUNCTION("""COMPUTED_VALUE"""),"esp")</f>
        <v>esp</v>
      </c>
      <c r="C14763" t="str">
        <f>IFERROR(__xludf.DUMMYFUNCTION("""COMPUTED_VALUE"""),"Spain")</f>
        <v>Spain</v>
      </c>
      <c r="D14763">
        <f>IFERROR(__xludf.DUMMYFUNCTION("""COMPUTED_VALUE"""),1967.0)</f>
        <v>1967</v>
      </c>
      <c r="E14763">
        <f>IFERROR(__xludf.DUMMYFUNCTION("""COMPUTED_VALUE"""),3.2926306E7)</f>
        <v>32926306</v>
      </c>
    </row>
    <row r="14764">
      <c r="A14764" t="str">
        <f t="shared" si="1"/>
        <v>esp#1968</v>
      </c>
      <c r="B14764" t="str">
        <f>IFERROR(__xludf.DUMMYFUNCTION("""COMPUTED_VALUE"""),"esp")</f>
        <v>esp</v>
      </c>
      <c r="C14764" t="str">
        <f>IFERROR(__xludf.DUMMYFUNCTION("""COMPUTED_VALUE"""),"Spain")</f>
        <v>Spain</v>
      </c>
      <c r="D14764">
        <f>IFERROR(__xludf.DUMMYFUNCTION("""COMPUTED_VALUE"""),1968.0)</f>
        <v>1968</v>
      </c>
      <c r="E14764">
        <f>IFERROR(__xludf.DUMMYFUNCTION("""COMPUTED_VALUE"""),3.3265172E7)</f>
        <v>33265172</v>
      </c>
    </row>
    <row r="14765">
      <c r="A14765" t="str">
        <f t="shared" si="1"/>
        <v>esp#1969</v>
      </c>
      <c r="B14765" t="str">
        <f>IFERROR(__xludf.DUMMYFUNCTION("""COMPUTED_VALUE"""),"esp")</f>
        <v>esp</v>
      </c>
      <c r="C14765" t="str">
        <f>IFERROR(__xludf.DUMMYFUNCTION("""COMPUTED_VALUE"""),"Spain")</f>
        <v>Spain</v>
      </c>
      <c r="D14765">
        <f>IFERROR(__xludf.DUMMYFUNCTION("""COMPUTED_VALUE"""),1969.0)</f>
        <v>1969</v>
      </c>
      <c r="E14765">
        <f>IFERROR(__xludf.DUMMYFUNCTION("""COMPUTED_VALUE"""),3.3614194E7)</f>
        <v>33614194</v>
      </c>
    </row>
    <row r="14766">
      <c r="A14766" t="str">
        <f t="shared" si="1"/>
        <v>esp#1970</v>
      </c>
      <c r="B14766" t="str">
        <f>IFERROR(__xludf.DUMMYFUNCTION("""COMPUTED_VALUE"""),"esp")</f>
        <v>esp</v>
      </c>
      <c r="C14766" t="str">
        <f>IFERROR(__xludf.DUMMYFUNCTION("""COMPUTED_VALUE"""),"Spain")</f>
        <v>Spain</v>
      </c>
      <c r="D14766">
        <f>IFERROR(__xludf.DUMMYFUNCTION("""COMPUTED_VALUE"""),1970.0)</f>
        <v>1970</v>
      </c>
      <c r="E14766">
        <f>IFERROR(__xludf.DUMMYFUNCTION("""COMPUTED_VALUE"""),3.3980276E7)</f>
        <v>33980276</v>
      </c>
    </row>
    <row r="14767">
      <c r="A14767" t="str">
        <f t="shared" si="1"/>
        <v>esp#1971</v>
      </c>
      <c r="B14767" t="str">
        <f>IFERROR(__xludf.DUMMYFUNCTION("""COMPUTED_VALUE"""),"esp")</f>
        <v>esp</v>
      </c>
      <c r="C14767" t="str">
        <f>IFERROR(__xludf.DUMMYFUNCTION("""COMPUTED_VALUE"""),"Spain")</f>
        <v>Spain</v>
      </c>
      <c r="D14767">
        <f>IFERROR(__xludf.DUMMYFUNCTION("""COMPUTED_VALUE"""),1971.0)</f>
        <v>1971</v>
      </c>
      <c r="E14767">
        <f>IFERROR(__xludf.DUMMYFUNCTION("""COMPUTED_VALUE"""),3.4363917E7)</f>
        <v>34363917</v>
      </c>
    </row>
    <row r="14768">
      <c r="A14768" t="str">
        <f t="shared" si="1"/>
        <v>esp#1972</v>
      </c>
      <c r="B14768" t="str">
        <f>IFERROR(__xludf.DUMMYFUNCTION("""COMPUTED_VALUE"""),"esp")</f>
        <v>esp</v>
      </c>
      <c r="C14768" t="str">
        <f>IFERROR(__xludf.DUMMYFUNCTION("""COMPUTED_VALUE"""),"Spain")</f>
        <v>Spain</v>
      </c>
      <c r="D14768">
        <f>IFERROR(__xludf.DUMMYFUNCTION("""COMPUTED_VALUE"""),1972.0)</f>
        <v>1972</v>
      </c>
      <c r="E14768">
        <f>IFERROR(__xludf.DUMMYFUNCTION("""COMPUTED_VALUE"""),3.4760522E7)</f>
        <v>34760522</v>
      </c>
    </row>
    <row r="14769">
      <c r="A14769" t="str">
        <f t="shared" si="1"/>
        <v>esp#1973</v>
      </c>
      <c r="B14769" t="str">
        <f>IFERROR(__xludf.DUMMYFUNCTION("""COMPUTED_VALUE"""),"esp")</f>
        <v>esp</v>
      </c>
      <c r="C14769" t="str">
        <f>IFERROR(__xludf.DUMMYFUNCTION("""COMPUTED_VALUE"""),"Spain")</f>
        <v>Spain</v>
      </c>
      <c r="D14769">
        <f>IFERROR(__xludf.DUMMYFUNCTION("""COMPUTED_VALUE"""),1973.0)</f>
        <v>1973</v>
      </c>
      <c r="E14769">
        <f>IFERROR(__xludf.DUMMYFUNCTION("""COMPUTED_VALUE"""),3.5165557E7)</f>
        <v>35165557</v>
      </c>
    </row>
    <row r="14770">
      <c r="A14770" t="str">
        <f t="shared" si="1"/>
        <v>esp#1974</v>
      </c>
      <c r="B14770" t="str">
        <f>IFERROR(__xludf.DUMMYFUNCTION("""COMPUTED_VALUE"""),"esp")</f>
        <v>esp</v>
      </c>
      <c r="C14770" t="str">
        <f>IFERROR(__xludf.DUMMYFUNCTION("""COMPUTED_VALUE"""),"Spain")</f>
        <v>Spain</v>
      </c>
      <c r="D14770">
        <f>IFERROR(__xludf.DUMMYFUNCTION("""COMPUTED_VALUE"""),1974.0)</f>
        <v>1974</v>
      </c>
      <c r="E14770">
        <f>IFERROR(__xludf.DUMMYFUNCTION("""COMPUTED_VALUE"""),3.5572476E7)</f>
        <v>35572476</v>
      </c>
    </row>
    <row r="14771">
      <c r="A14771" t="str">
        <f t="shared" si="1"/>
        <v>esp#1975</v>
      </c>
      <c r="B14771" t="str">
        <f>IFERROR(__xludf.DUMMYFUNCTION("""COMPUTED_VALUE"""),"esp")</f>
        <v>esp</v>
      </c>
      <c r="C14771" t="str">
        <f>IFERROR(__xludf.DUMMYFUNCTION("""COMPUTED_VALUE"""),"Spain")</f>
        <v>Spain</v>
      </c>
      <c r="D14771">
        <f>IFERROR(__xludf.DUMMYFUNCTION("""COMPUTED_VALUE"""),1975.0)</f>
        <v>1975</v>
      </c>
      <c r="E14771">
        <f>IFERROR(__xludf.DUMMYFUNCTION("""COMPUTED_VALUE"""),3.5975317E7)</f>
        <v>35975317</v>
      </c>
    </row>
    <row r="14772">
      <c r="A14772" t="str">
        <f t="shared" si="1"/>
        <v>esp#1976</v>
      </c>
      <c r="B14772" t="str">
        <f>IFERROR(__xludf.DUMMYFUNCTION("""COMPUTED_VALUE"""),"esp")</f>
        <v>esp</v>
      </c>
      <c r="C14772" t="str">
        <f>IFERROR(__xludf.DUMMYFUNCTION("""COMPUTED_VALUE"""),"Spain")</f>
        <v>Spain</v>
      </c>
      <c r="D14772">
        <f>IFERROR(__xludf.DUMMYFUNCTION("""COMPUTED_VALUE"""),1976.0)</f>
        <v>1976</v>
      </c>
      <c r="E14772">
        <f>IFERROR(__xludf.DUMMYFUNCTION("""COMPUTED_VALUE"""),3.63731E7)</f>
        <v>36373100</v>
      </c>
    </row>
    <row r="14773">
      <c r="A14773" t="str">
        <f t="shared" si="1"/>
        <v>esp#1977</v>
      </c>
      <c r="B14773" t="str">
        <f>IFERROR(__xludf.DUMMYFUNCTION("""COMPUTED_VALUE"""),"esp")</f>
        <v>esp</v>
      </c>
      <c r="C14773" t="str">
        <f>IFERROR(__xludf.DUMMYFUNCTION("""COMPUTED_VALUE"""),"Spain")</f>
        <v>Spain</v>
      </c>
      <c r="D14773">
        <f>IFERROR(__xludf.DUMMYFUNCTION("""COMPUTED_VALUE"""),1977.0)</f>
        <v>1977</v>
      </c>
      <c r="E14773">
        <f>IFERROR(__xludf.DUMMYFUNCTION("""COMPUTED_VALUE"""),3.6763529E7)</f>
        <v>36763529</v>
      </c>
    </row>
    <row r="14774">
      <c r="A14774" t="str">
        <f t="shared" si="1"/>
        <v>esp#1978</v>
      </c>
      <c r="B14774" t="str">
        <f>IFERROR(__xludf.DUMMYFUNCTION("""COMPUTED_VALUE"""),"esp")</f>
        <v>esp</v>
      </c>
      <c r="C14774" t="str">
        <f>IFERROR(__xludf.DUMMYFUNCTION("""COMPUTED_VALUE"""),"Spain")</f>
        <v>Spain</v>
      </c>
      <c r="D14774">
        <f>IFERROR(__xludf.DUMMYFUNCTION("""COMPUTED_VALUE"""),1978.0)</f>
        <v>1978</v>
      </c>
      <c r="E14774">
        <f>IFERROR(__xludf.DUMMYFUNCTION("""COMPUTED_VALUE"""),3.7137704E7)</f>
        <v>37137704</v>
      </c>
    </row>
    <row r="14775">
      <c r="A14775" t="str">
        <f t="shared" si="1"/>
        <v>esp#1979</v>
      </c>
      <c r="B14775" t="str">
        <f>IFERROR(__xludf.DUMMYFUNCTION("""COMPUTED_VALUE"""),"esp")</f>
        <v>esp</v>
      </c>
      <c r="C14775" t="str">
        <f>IFERROR(__xludf.DUMMYFUNCTION("""COMPUTED_VALUE"""),"Spain")</f>
        <v>Spain</v>
      </c>
      <c r="D14775">
        <f>IFERROR(__xludf.DUMMYFUNCTION("""COMPUTED_VALUE"""),1979.0)</f>
        <v>1979</v>
      </c>
      <c r="E14775">
        <f>IFERROR(__xludf.DUMMYFUNCTION("""COMPUTED_VALUE"""),3.7484749E7)</f>
        <v>37484749</v>
      </c>
    </row>
    <row r="14776">
      <c r="A14776" t="str">
        <f t="shared" si="1"/>
        <v>esp#1980</v>
      </c>
      <c r="B14776" t="str">
        <f>IFERROR(__xludf.DUMMYFUNCTION("""COMPUTED_VALUE"""),"esp")</f>
        <v>esp</v>
      </c>
      <c r="C14776" t="str">
        <f>IFERROR(__xludf.DUMMYFUNCTION("""COMPUTED_VALUE"""),"Spain")</f>
        <v>Spain</v>
      </c>
      <c r="D14776">
        <f>IFERROR(__xludf.DUMMYFUNCTION("""COMPUTED_VALUE"""),1980.0)</f>
        <v>1980</v>
      </c>
      <c r="E14776">
        <f>IFERROR(__xludf.DUMMYFUNCTION("""COMPUTED_VALUE"""),3.7796795E7)</f>
        <v>37796795</v>
      </c>
    </row>
    <row r="14777">
      <c r="A14777" t="str">
        <f t="shared" si="1"/>
        <v>esp#1981</v>
      </c>
      <c r="B14777" t="str">
        <f>IFERROR(__xludf.DUMMYFUNCTION("""COMPUTED_VALUE"""),"esp")</f>
        <v>esp</v>
      </c>
      <c r="C14777" t="str">
        <f>IFERROR(__xludf.DUMMYFUNCTION("""COMPUTED_VALUE"""),"Spain")</f>
        <v>Spain</v>
      </c>
      <c r="D14777">
        <f>IFERROR(__xludf.DUMMYFUNCTION("""COMPUTED_VALUE"""),1981.0)</f>
        <v>1981</v>
      </c>
      <c r="E14777">
        <f>IFERROR(__xludf.DUMMYFUNCTION("""COMPUTED_VALUE"""),3.8071262E7)</f>
        <v>38071262</v>
      </c>
    </row>
    <row r="14778">
      <c r="A14778" t="str">
        <f t="shared" si="1"/>
        <v>esp#1982</v>
      </c>
      <c r="B14778" t="str">
        <f>IFERROR(__xludf.DUMMYFUNCTION("""COMPUTED_VALUE"""),"esp")</f>
        <v>esp</v>
      </c>
      <c r="C14778" t="str">
        <f>IFERROR(__xludf.DUMMYFUNCTION("""COMPUTED_VALUE"""),"Spain")</f>
        <v>Spain</v>
      </c>
      <c r="D14778">
        <f>IFERROR(__xludf.DUMMYFUNCTION("""COMPUTED_VALUE"""),1982.0)</f>
        <v>1982</v>
      </c>
      <c r="E14778">
        <f>IFERROR(__xludf.DUMMYFUNCTION("""COMPUTED_VALUE"""),3.8309711E7)</f>
        <v>38309711</v>
      </c>
    </row>
    <row r="14779">
      <c r="A14779" t="str">
        <f t="shared" si="1"/>
        <v>esp#1983</v>
      </c>
      <c r="B14779" t="str">
        <f>IFERROR(__xludf.DUMMYFUNCTION("""COMPUTED_VALUE"""),"esp")</f>
        <v>esp</v>
      </c>
      <c r="C14779" t="str">
        <f>IFERROR(__xludf.DUMMYFUNCTION("""COMPUTED_VALUE"""),"Spain")</f>
        <v>Spain</v>
      </c>
      <c r="D14779">
        <f>IFERROR(__xludf.DUMMYFUNCTION("""COMPUTED_VALUE"""),1983.0)</f>
        <v>1983</v>
      </c>
      <c r="E14779">
        <f>IFERROR(__xludf.DUMMYFUNCTION("""COMPUTED_VALUE"""),3.8514061E7)</f>
        <v>38514061</v>
      </c>
    </row>
    <row r="14780">
      <c r="A14780" t="str">
        <f t="shared" si="1"/>
        <v>esp#1984</v>
      </c>
      <c r="B14780" t="str">
        <f>IFERROR(__xludf.DUMMYFUNCTION("""COMPUTED_VALUE"""),"esp")</f>
        <v>esp</v>
      </c>
      <c r="C14780" t="str">
        <f>IFERROR(__xludf.DUMMYFUNCTION("""COMPUTED_VALUE"""),"Spain")</f>
        <v>Spain</v>
      </c>
      <c r="D14780">
        <f>IFERROR(__xludf.DUMMYFUNCTION("""COMPUTED_VALUE"""),1984.0)</f>
        <v>1984</v>
      </c>
      <c r="E14780">
        <f>IFERROR(__xludf.DUMMYFUNCTION("""COMPUTED_VALUE"""),3.868812E7)</f>
        <v>38688120</v>
      </c>
    </row>
    <row r="14781">
      <c r="A14781" t="str">
        <f t="shared" si="1"/>
        <v>esp#1985</v>
      </c>
      <c r="B14781" t="str">
        <f>IFERROR(__xludf.DUMMYFUNCTION("""COMPUTED_VALUE"""),"esp")</f>
        <v>esp</v>
      </c>
      <c r="C14781" t="str">
        <f>IFERROR(__xludf.DUMMYFUNCTION("""COMPUTED_VALUE"""),"Spain")</f>
        <v>Spain</v>
      </c>
      <c r="D14781">
        <f>IFERROR(__xludf.DUMMYFUNCTION("""COMPUTED_VALUE"""),1985.0)</f>
        <v>1985</v>
      </c>
      <c r="E14781">
        <f>IFERROR(__xludf.DUMMYFUNCTION("""COMPUTED_VALUE"""),3.8835884E7)</f>
        <v>38835884</v>
      </c>
    </row>
    <row r="14782">
      <c r="A14782" t="str">
        <f t="shared" si="1"/>
        <v>esp#1986</v>
      </c>
      <c r="B14782" t="str">
        <f>IFERROR(__xludf.DUMMYFUNCTION("""COMPUTED_VALUE"""),"esp")</f>
        <v>esp</v>
      </c>
      <c r="C14782" t="str">
        <f>IFERROR(__xludf.DUMMYFUNCTION("""COMPUTED_VALUE"""),"Spain")</f>
        <v>Spain</v>
      </c>
      <c r="D14782">
        <f>IFERROR(__xludf.DUMMYFUNCTION("""COMPUTED_VALUE"""),1986.0)</f>
        <v>1986</v>
      </c>
      <c r="E14782">
        <f>IFERROR(__xludf.DUMMYFUNCTION("""COMPUTED_VALUE"""),3.8958074E7)</f>
        <v>38958074</v>
      </c>
    </row>
    <row r="14783">
      <c r="A14783" t="str">
        <f t="shared" si="1"/>
        <v>esp#1987</v>
      </c>
      <c r="B14783" t="str">
        <f>IFERROR(__xludf.DUMMYFUNCTION("""COMPUTED_VALUE"""),"esp")</f>
        <v>esp</v>
      </c>
      <c r="C14783" t="str">
        <f>IFERROR(__xludf.DUMMYFUNCTION("""COMPUTED_VALUE"""),"Spain")</f>
        <v>Spain</v>
      </c>
      <c r="D14783">
        <f>IFERROR(__xludf.DUMMYFUNCTION("""COMPUTED_VALUE"""),1987.0)</f>
        <v>1987</v>
      </c>
      <c r="E14783">
        <f>IFERROR(__xludf.DUMMYFUNCTION("""COMPUTED_VALUE"""),3.9057213E7)</f>
        <v>39057213</v>
      </c>
    </row>
    <row r="14784">
      <c r="A14784" t="str">
        <f t="shared" si="1"/>
        <v>esp#1988</v>
      </c>
      <c r="B14784" t="str">
        <f>IFERROR(__xludf.DUMMYFUNCTION("""COMPUTED_VALUE"""),"esp")</f>
        <v>esp</v>
      </c>
      <c r="C14784" t="str">
        <f>IFERROR(__xludf.DUMMYFUNCTION("""COMPUTED_VALUE"""),"Spain")</f>
        <v>Spain</v>
      </c>
      <c r="D14784">
        <f>IFERROR(__xludf.DUMMYFUNCTION("""COMPUTED_VALUE"""),1988.0)</f>
        <v>1988</v>
      </c>
      <c r="E14784">
        <f>IFERROR(__xludf.DUMMYFUNCTION("""COMPUTED_VALUE"""),3.9141605E7)</f>
        <v>39141605</v>
      </c>
    </row>
    <row r="14785">
      <c r="A14785" t="str">
        <f t="shared" si="1"/>
        <v>esp#1989</v>
      </c>
      <c r="B14785" t="str">
        <f>IFERROR(__xludf.DUMMYFUNCTION("""COMPUTED_VALUE"""),"esp")</f>
        <v>esp</v>
      </c>
      <c r="C14785" t="str">
        <f>IFERROR(__xludf.DUMMYFUNCTION("""COMPUTED_VALUE"""),"Spain")</f>
        <v>Spain</v>
      </c>
      <c r="D14785">
        <f>IFERROR(__xludf.DUMMYFUNCTION("""COMPUTED_VALUE"""),1989.0)</f>
        <v>1989</v>
      </c>
      <c r="E14785">
        <f>IFERROR(__xludf.DUMMYFUNCTION("""COMPUTED_VALUE"""),3.922174E7)</f>
        <v>39221740</v>
      </c>
    </row>
    <row r="14786">
      <c r="A14786" t="str">
        <f t="shared" si="1"/>
        <v>esp#1990</v>
      </c>
      <c r="B14786" t="str">
        <f>IFERROR(__xludf.DUMMYFUNCTION("""COMPUTED_VALUE"""),"esp")</f>
        <v>esp</v>
      </c>
      <c r="C14786" t="str">
        <f>IFERROR(__xludf.DUMMYFUNCTION("""COMPUTED_VALUE"""),"Spain")</f>
        <v>Spain</v>
      </c>
      <c r="D14786">
        <f>IFERROR(__xludf.DUMMYFUNCTION("""COMPUTED_VALUE"""),1990.0)</f>
        <v>1990</v>
      </c>
      <c r="E14786">
        <f>IFERROR(__xludf.DUMMYFUNCTION("""COMPUTED_VALUE"""),3.9306102E7)</f>
        <v>39306102</v>
      </c>
    </row>
    <row r="14787">
      <c r="A14787" t="str">
        <f t="shared" si="1"/>
        <v>esp#1991</v>
      </c>
      <c r="B14787" t="str">
        <f>IFERROR(__xludf.DUMMYFUNCTION("""COMPUTED_VALUE"""),"esp")</f>
        <v>esp</v>
      </c>
      <c r="C14787" t="str">
        <f>IFERROR(__xludf.DUMMYFUNCTION("""COMPUTED_VALUE"""),"Spain")</f>
        <v>Spain</v>
      </c>
      <c r="D14787">
        <f>IFERROR(__xludf.DUMMYFUNCTION("""COMPUTED_VALUE"""),1991.0)</f>
        <v>1991</v>
      </c>
      <c r="E14787">
        <f>IFERROR(__xludf.DUMMYFUNCTION("""COMPUTED_VALUE"""),3.94032E7)</f>
        <v>39403200</v>
      </c>
    </row>
    <row r="14788">
      <c r="A14788" t="str">
        <f t="shared" si="1"/>
        <v>esp#1992</v>
      </c>
      <c r="B14788" t="str">
        <f>IFERROR(__xludf.DUMMYFUNCTION("""COMPUTED_VALUE"""),"esp")</f>
        <v>esp</v>
      </c>
      <c r="C14788" t="str">
        <f>IFERROR(__xludf.DUMMYFUNCTION("""COMPUTED_VALUE"""),"Spain")</f>
        <v>Spain</v>
      </c>
      <c r="D14788">
        <f>IFERROR(__xludf.DUMMYFUNCTION("""COMPUTED_VALUE"""),1992.0)</f>
        <v>1992</v>
      </c>
      <c r="E14788">
        <f>IFERROR(__xludf.DUMMYFUNCTION("""COMPUTED_VALUE"""),3.9515511E7)</f>
        <v>39515511</v>
      </c>
    </row>
    <row r="14789">
      <c r="A14789" t="str">
        <f t="shared" si="1"/>
        <v>esp#1993</v>
      </c>
      <c r="B14789" t="str">
        <f>IFERROR(__xludf.DUMMYFUNCTION("""COMPUTED_VALUE"""),"esp")</f>
        <v>esp</v>
      </c>
      <c r="C14789" t="str">
        <f>IFERROR(__xludf.DUMMYFUNCTION("""COMPUTED_VALUE"""),"Spain")</f>
        <v>Spain</v>
      </c>
      <c r="D14789">
        <f>IFERROR(__xludf.DUMMYFUNCTION("""COMPUTED_VALUE"""),1993.0)</f>
        <v>1993</v>
      </c>
      <c r="E14789">
        <f>IFERROR(__xludf.DUMMYFUNCTION("""COMPUTED_VALUE"""),3.9638635E7)</f>
        <v>39638635</v>
      </c>
    </row>
    <row r="14790">
      <c r="A14790" t="str">
        <f t="shared" si="1"/>
        <v>esp#1994</v>
      </c>
      <c r="B14790" t="str">
        <f>IFERROR(__xludf.DUMMYFUNCTION("""COMPUTED_VALUE"""),"esp")</f>
        <v>esp</v>
      </c>
      <c r="C14790" t="str">
        <f>IFERROR(__xludf.DUMMYFUNCTION("""COMPUTED_VALUE"""),"Spain")</f>
        <v>Spain</v>
      </c>
      <c r="D14790">
        <f>IFERROR(__xludf.DUMMYFUNCTION("""COMPUTED_VALUE"""),1994.0)</f>
        <v>1994</v>
      </c>
      <c r="E14790">
        <f>IFERROR(__xludf.DUMMYFUNCTION("""COMPUTED_VALUE"""),3.9764562E7)</f>
        <v>39764562</v>
      </c>
    </row>
    <row r="14791">
      <c r="A14791" t="str">
        <f t="shared" si="1"/>
        <v>esp#1995</v>
      </c>
      <c r="B14791" t="str">
        <f>IFERROR(__xludf.DUMMYFUNCTION("""COMPUTED_VALUE"""),"esp")</f>
        <v>esp</v>
      </c>
      <c r="C14791" t="str">
        <f>IFERROR(__xludf.DUMMYFUNCTION("""COMPUTED_VALUE"""),"Spain")</f>
        <v>Spain</v>
      </c>
      <c r="D14791">
        <f>IFERROR(__xludf.DUMMYFUNCTION("""COMPUTED_VALUE"""),1995.0)</f>
        <v>1995</v>
      </c>
      <c r="E14791">
        <f>IFERROR(__xludf.DUMMYFUNCTION("""COMPUTED_VALUE"""),3.9890498E7)</f>
        <v>39890498</v>
      </c>
    </row>
    <row r="14792">
      <c r="A14792" t="str">
        <f t="shared" si="1"/>
        <v>esp#1996</v>
      </c>
      <c r="B14792" t="str">
        <f>IFERROR(__xludf.DUMMYFUNCTION("""COMPUTED_VALUE"""),"esp")</f>
        <v>esp</v>
      </c>
      <c r="C14792" t="str">
        <f>IFERROR(__xludf.DUMMYFUNCTION("""COMPUTED_VALUE"""),"Spain")</f>
        <v>Spain</v>
      </c>
      <c r="D14792">
        <f>IFERROR(__xludf.DUMMYFUNCTION("""COMPUTED_VALUE"""),1996.0)</f>
        <v>1996</v>
      </c>
      <c r="E14792">
        <f>IFERROR(__xludf.DUMMYFUNCTION("""COMPUTED_VALUE"""),4.0009324E7)</f>
        <v>40009324</v>
      </c>
    </row>
    <row r="14793">
      <c r="A14793" t="str">
        <f t="shared" si="1"/>
        <v>esp#1997</v>
      </c>
      <c r="B14793" t="str">
        <f>IFERROR(__xludf.DUMMYFUNCTION("""COMPUTED_VALUE"""),"esp")</f>
        <v>esp</v>
      </c>
      <c r="C14793" t="str">
        <f>IFERROR(__xludf.DUMMYFUNCTION("""COMPUTED_VALUE"""),"Spain")</f>
        <v>Spain</v>
      </c>
      <c r="D14793">
        <f>IFERROR(__xludf.DUMMYFUNCTION("""COMPUTED_VALUE"""),1997.0)</f>
        <v>1997</v>
      </c>
      <c r="E14793">
        <f>IFERROR(__xludf.DUMMYFUNCTION("""COMPUTED_VALUE"""),4.013156E7)</f>
        <v>40131560</v>
      </c>
    </row>
    <row r="14794">
      <c r="A14794" t="str">
        <f t="shared" si="1"/>
        <v>esp#1998</v>
      </c>
      <c r="B14794" t="str">
        <f>IFERROR(__xludf.DUMMYFUNCTION("""COMPUTED_VALUE"""),"esp")</f>
        <v>esp</v>
      </c>
      <c r="C14794" t="str">
        <f>IFERROR(__xludf.DUMMYFUNCTION("""COMPUTED_VALUE"""),"Spain")</f>
        <v>Spain</v>
      </c>
      <c r="D14794">
        <f>IFERROR(__xludf.DUMMYFUNCTION("""COMPUTED_VALUE"""),1998.0)</f>
        <v>1998</v>
      </c>
      <c r="E14794">
        <f>IFERROR(__xludf.DUMMYFUNCTION("""COMPUTED_VALUE"""),4.0292642E7)</f>
        <v>40292642</v>
      </c>
    </row>
    <row r="14795">
      <c r="A14795" t="str">
        <f t="shared" si="1"/>
        <v>esp#1999</v>
      </c>
      <c r="B14795" t="str">
        <f>IFERROR(__xludf.DUMMYFUNCTION("""COMPUTED_VALUE"""),"esp")</f>
        <v>esp</v>
      </c>
      <c r="C14795" t="str">
        <f>IFERROR(__xludf.DUMMYFUNCTION("""COMPUTED_VALUE"""),"Spain")</f>
        <v>Spain</v>
      </c>
      <c r="D14795">
        <f>IFERROR(__xludf.DUMMYFUNCTION("""COMPUTED_VALUE"""),1999.0)</f>
        <v>1999</v>
      </c>
      <c r="E14795">
        <f>IFERROR(__xludf.DUMMYFUNCTION("""COMPUTED_VALUE"""),4.0539723E7)</f>
        <v>40539723</v>
      </c>
    </row>
    <row r="14796">
      <c r="A14796" t="str">
        <f t="shared" si="1"/>
        <v>esp#2000</v>
      </c>
      <c r="B14796" t="str">
        <f>IFERROR(__xludf.DUMMYFUNCTION("""COMPUTED_VALUE"""),"esp")</f>
        <v>esp</v>
      </c>
      <c r="C14796" t="str">
        <f>IFERROR(__xludf.DUMMYFUNCTION("""COMPUTED_VALUE"""),"Spain")</f>
        <v>Spain</v>
      </c>
      <c r="D14796">
        <f>IFERROR(__xludf.DUMMYFUNCTION("""COMPUTED_VALUE"""),2000.0)</f>
        <v>2000</v>
      </c>
      <c r="E14796">
        <f>IFERROR(__xludf.DUMMYFUNCTION("""COMPUTED_VALUE"""),4.0903711E7)</f>
        <v>40903711</v>
      </c>
    </row>
    <row r="14797">
      <c r="A14797" t="str">
        <f t="shared" si="1"/>
        <v>esp#2001</v>
      </c>
      <c r="B14797" t="str">
        <f>IFERROR(__xludf.DUMMYFUNCTION("""COMPUTED_VALUE"""),"esp")</f>
        <v>esp</v>
      </c>
      <c r="C14797" t="str">
        <f>IFERROR(__xludf.DUMMYFUNCTION("""COMPUTED_VALUE"""),"Spain")</f>
        <v>Spain</v>
      </c>
      <c r="D14797">
        <f>IFERROR(__xludf.DUMMYFUNCTION("""COMPUTED_VALUE"""),2001.0)</f>
        <v>2001</v>
      </c>
      <c r="E14797">
        <f>IFERROR(__xludf.DUMMYFUNCTION("""COMPUTED_VALUE"""),4.1392103E7)</f>
        <v>41392103</v>
      </c>
    </row>
    <row r="14798">
      <c r="A14798" t="str">
        <f t="shared" si="1"/>
        <v>esp#2002</v>
      </c>
      <c r="B14798" t="str">
        <f>IFERROR(__xludf.DUMMYFUNCTION("""COMPUTED_VALUE"""),"esp")</f>
        <v>esp</v>
      </c>
      <c r="C14798" t="str">
        <f>IFERROR(__xludf.DUMMYFUNCTION("""COMPUTED_VALUE"""),"Spain")</f>
        <v>Spain</v>
      </c>
      <c r="D14798">
        <f>IFERROR(__xludf.DUMMYFUNCTION("""COMPUTED_VALUE"""),2002.0)</f>
        <v>2002</v>
      </c>
      <c r="E14798">
        <f>IFERROR(__xludf.DUMMYFUNCTION("""COMPUTED_VALUE"""),4.198552E7)</f>
        <v>41985520</v>
      </c>
    </row>
    <row r="14799">
      <c r="A14799" t="str">
        <f t="shared" si="1"/>
        <v>esp#2003</v>
      </c>
      <c r="B14799" t="str">
        <f>IFERROR(__xludf.DUMMYFUNCTION("""COMPUTED_VALUE"""),"esp")</f>
        <v>esp</v>
      </c>
      <c r="C14799" t="str">
        <f>IFERROR(__xludf.DUMMYFUNCTION("""COMPUTED_VALUE"""),"Spain")</f>
        <v>Spain</v>
      </c>
      <c r="D14799">
        <f>IFERROR(__xludf.DUMMYFUNCTION("""COMPUTED_VALUE"""),2003.0)</f>
        <v>2003</v>
      </c>
      <c r="E14799">
        <f>IFERROR(__xludf.DUMMYFUNCTION("""COMPUTED_VALUE"""),4.2653406E7)</f>
        <v>42653406</v>
      </c>
    </row>
    <row r="14800">
      <c r="A14800" t="str">
        <f t="shared" si="1"/>
        <v>esp#2004</v>
      </c>
      <c r="B14800" t="str">
        <f>IFERROR(__xludf.DUMMYFUNCTION("""COMPUTED_VALUE"""),"esp")</f>
        <v>esp</v>
      </c>
      <c r="C14800" t="str">
        <f>IFERROR(__xludf.DUMMYFUNCTION("""COMPUTED_VALUE"""),"Spain")</f>
        <v>Spain</v>
      </c>
      <c r="D14800">
        <f>IFERROR(__xludf.DUMMYFUNCTION("""COMPUTED_VALUE"""),2004.0)</f>
        <v>2004</v>
      </c>
      <c r="E14800">
        <f>IFERROR(__xludf.DUMMYFUNCTION("""COMPUTED_VALUE"""),4.3351668E7)</f>
        <v>43351668</v>
      </c>
    </row>
    <row r="14801">
      <c r="A14801" t="str">
        <f t="shared" si="1"/>
        <v>esp#2005</v>
      </c>
      <c r="B14801" t="str">
        <f>IFERROR(__xludf.DUMMYFUNCTION("""COMPUTED_VALUE"""),"esp")</f>
        <v>esp</v>
      </c>
      <c r="C14801" t="str">
        <f>IFERROR(__xludf.DUMMYFUNCTION("""COMPUTED_VALUE"""),"Spain")</f>
        <v>Spain</v>
      </c>
      <c r="D14801">
        <f>IFERROR(__xludf.DUMMYFUNCTION("""COMPUTED_VALUE"""),2005.0)</f>
        <v>2005</v>
      </c>
      <c r="E14801">
        <f>IFERROR(__xludf.DUMMYFUNCTION("""COMPUTED_VALUE"""),4.4042632E7)</f>
        <v>44042632</v>
      </c>
    </row>
    <row r="14802">
      <c r="A14802" t="str">
        <f t="shared" si="1"/>
        <v>esp#2006</v>
      </c>
      <c r="B14802" t="str">
        <f>IFERROR(__xludf.DUMMYFUNCTION("""COMPUTED_VALUE"""),"esp")</f>
        <v>esp</v>
      </c>
      <c r="C14802" t="str">
        <f>IFERROR(__xludf.DUMMYFUNCTION("""COMPUTED_VALUE"""),"Spain")</f>
        <v>Spain</v>
      </c>
      <c r="D14802">
        <f>IFERROR(__xludf.DUMMYFUNCTION("""COMPUTED_VALUE"""),2006.0)</f>
        <v>2006</v>
      </c>
      <c r="E14802">
        <f>IFERROR(__xludf.DUMMYFUNCTION("""COMPUTED_VALUE"""),4.4725532E7)</f>
        <v>44725532</v>
      </c>
    </row>
    <row r="14803">
      <c r="A14803" t="str">
        <f t="shared" si="1"/>
        <v>esp#2007</v>
      </c>
      <c r="B14803" t="str">
        <f>IFERROR(__xludf.DUMMYFUNCTION("""COMPUTED_VALUE"""),"esp")</f>
        <v>esp</v>
      </c>
      <c r="C14803" t="str">
        <f>IFERROR(__xludf.DUMMYFUNCTION("""COMPUTED_VALUE"""),"Spain")</f>
        <v>Spain</v>
      </c>
      <c r="D14803">
        <f>IFERROR(__xludf.DUMMYFUNCTION("""COMPUTED_VALUE"""),2007.0)</f>
        <v>2007</v>
      </c>
      <c r="E14803">
        <f>IFERROR(__xludf.DUMMYFUNCTION("""COMPUTED_VALUE"""),4.5393858E7)</f>
        <v>45393858</v>
      </c>
    </row>
    <row r="14804">
      <c r="A14804" t="str">
        <f t="shared" si="1"/>
        <v>esp#2008</v>
      </c>
      <c r="B14804" t="str">
        <f>IFERROR(__xludf.DUMMYFUNCTION("""COMPUTED_VALUE"""),"esp")</f>
        <v>esp</v>
      </c>
      <c r="C14804" t="str">
        <f>IFERROR(__xludf.DUMMYFUNCTION("""COMPUTED_VALUE"""),"Spain")</f>
        <v>Spain</v>
      </c>
      <c r="D14804">
        <f>IFERROR(__xludf.DUMMYFUNCTION("""COMPUTED_VALUE"""),2008.0)</f>
        <v>2008</v>
      </c>
      <c r="E14804">
        <f>IFERROR(__xludf.DUMMYFUNCTION("""COMPUTED_VALUE"""),4.5997806E7)</f>
        <v>45997806</v>
      </c>
    </row>
    <row r="14805">
      <c r="A14805" t="str">
        <f t="shared" si="1"/>
        <v>esp#2009</v>
      </c>
      <c r="B14805" t="str">
        <f>IFERROR(__xludf.DUMMYFUNCTION("""COMPUTED_VALUE"""),"esp")</f>
        <v>esp</v>
      </c>
      <c r="C14805" t="str">
        <f>IFERROR(__xludf.DUMMYFUNCTION("""COMPUTED_VALUE"""),"Spain")</f>
        <v>Spain</v>
      </c>
      <c r="D14805">
        <f>IFERROR(__xludf.DUMMYFUNCTION("""COMPUTED_VALUE"""),2009.0)</f>
        <v>2009</v>
      </c>
      <c r="E14805">
        <f>IFERROR(__xludf.DUMMYFUNCTION("""COMPUTED_VALUE"""),4.6476072E7)</f>
        <v>46476072</v>
      </c>
    </row>
    <row r="14806">
      <c r="A14806" t="str">
        <f t="shared" si="1"/>
        <v>esp#2010</v>
      </c>
      <c r="B14806" t="str">
        <f>IFERROR(__xludf.DUMMYFUNCTION("""COMPUTED_VALUE"""),"esp")</f>
        <v>esp</v>
      </c>
      <c r="C14806" t="str">
        <f>IFERROR(__xludf.DUMMYFUNCTION("""COMPUTED_VALUE"""),"Spain")</f>
        <v>Spain</v>
      </c>
      <c r="D14806">
        <f>IFERROR(__xludf.DUMMYFUNCTION("""COMPUTED_VALUE"""),2010.0)</f>
        <v>2010</v>
      </c>
      <c r="E14806">
        <f>IFERROR(__xludf.DUMMYFUNCTION("""COMPUTED_VALUE"""),4.678863E7)</f>
        <v>46788630</v>
      </c>
    </row>
    <row r="14807">
      <c r="A14807" t="str">
        <f t="shared" si="1"/>
        <v>esp#2011</v>
      </c>
      <c r="B14807" t="str">
        <f>IFERROR(__xludf.DUMMYFUNCTION("""COMPUTED_VALUE"""),"esp")</f>
        <v>esp</v>
      </c>
      <c r="C14807" t="str">
        <f>IFERROR(__xludf.DUMMYFUNCTION("""COMPUTED_VALUE"""),"Spain")</f>
        <v>Spain</v>
      </c>
      <c r="D14807">
        <f>IFERROR(__xludf.DUMMYFUNCTION("""COMPUTED_VALUE"""),2011.0)</f>
        <v>2011</v>
      </c>
      <c r="E14807">
        <f>IFERROR(__xludf.DUMMYFUNCTION("""COMPUTED_VALUE"""),4.6909138E7)</f>
        <v>46909138</v>
      </c>
    </row>
    <row r="14808">
      <c r="A14808" t="str">
        <f t="shared" si="1"/>
        <v>esp#2012</v>
      </c>
      <c r="B14808" t="str">
        <f>IFERROR(__xludf.DUMMYFUNCTION("""COMPUTED_VALUE"""),"esp")</f>
        <v>esp</v>
      </c>
      <c r="C14808" t="str">
        <f>IFERROR(__xludf.DUMMYFUNCTION("""COMPUTED_VALUE"""),"Spain")</f>
        <v>Spain</v>
      </c>
      <c r="D14808">
        <f>IFERROR(__xludf.DUMMYFUNCTION("""COMPUTED_VALUE"""),2012.0)</f>
        <v>2012</v>
      </c>
      <c r="E14808">
        <f>IFERROR(__xludf.DUMMYFUNCTION("""COMPUTED_VALUE"""),4.6857404E7)</f>
        <v>46857404</v>
      </c>
    </row>
    <row r="14809">
      <c r="A14809" t="str">
        <f t="shared" si="1"/>
        <v>esp#2013</v>
      </c>
      <c r="B14809" t="str">
        <f>IFERROR(__xludf.DUMMYFUNCTION("""COMPUTED_VALUE"""),"esp")</f>
        <v>esp</v>
      </c>
      <c r="C14809" t="str">
        <f>IFERROR(__xludf.DUMMYFUNCTION("""COMPUTED_VALUE"""),"Spain")</f>
        <v>Spain</v>
      </c>
      <c r="D14809">
        <f>IFERROR(__xludf.DUMMYFUNCTION("""COMPUTED_VALUE"""),2013.0)</f>
        <v>2013</v>
      </c>
      <c r="E14809">
        <f>IFERROR(__xludf.DUMMYFUNCTION("""COMPUTED_VALUE"""),4.6697553E7)</f>
        <v>46697553</v>
      </c>
    </row>
    <row r="14810">
      <c r="A14810" t="str">
        <f t="shared" si="1"/>
        <v>esp#2014</v>
      </c>
      <c r="B14810" t="str">
        <f>IFERROR(__xludf.DUMMYFUNCTION("""COMPUTED_VALUE"""),"esp")</f>
        <v>esp</v>
      </c>
      <c r="C14810" t="str">
        <f>IFERROR(__xludf.DUMMYFUNCTION("""COMPUTED_VALUE"""),"Spain")</f>
        <v>Spain</v>
      </c>
      <c r="D14810">
        <f>IFERROR(__xludf.DUMMYFUNCTION("""COMPUTED_VALUE"""),2014.0)</f>
        <v>2014</v>
      </c>
      <c r="E14810">
        <f>IFERROR(__xludf.DUMMYFUNCTION("""COMPUTED_VALUE"""),4.6521827E7)</f>
        <v>46521827</v>
      </c>
    </row>
    <row r="14811">
      <c r="A14811" t="str">
        <f t="shared" si="1"/>
        <v>esp#2015</v>
      </c>
      <c r="B14811" t="str">
        <f>IFERROR(__xludf.DUMMYFUNCTION("""COMPUTED_VALUE"""),"esp")</f>
        <v>esp</v>
      </c>
      <c r="C14811" t="str">
        <f>IFERROR(__xludf.DUMMYFUNCTION("""COMPUTED_VALUE"""),"Spain")</f>
        <v>Spain</v>
      </c>
      <c r="D14811">
        <f>IFERROR(__xludf.DUMMYFUNCTION("""COMPUTED_VALUE"""),2015.0)</f>
        <v>2015</v>
      </c>
      <c r="E14811">
        <f>IFERROR(__xludf.DUMMYFUNCTION("""COMPUTED_VALUE"""),4.6397664E7)</f>
        <v>46397664</v>
      </c>
    </row>
    <row r="14812">
      <c r="A14812" t="str">
        <f t="shared" si="1"/>
        <v>esp#2016</v>
      </c>
      <c r="B14812" t="str">
        <f>IFERROR(__xludf.DUMMYFUNCTION("""COMPUTED_VALUE"""),"esp")</f>
        <v>esp</v>
      </c>
      <c r="C14812" t="str">
        <f>IFERROR(__xludf.DUMMYFUNCTION("""COMPUTED_VALUE"""),"Spain")</f>
        <v>Spain</v>
      </c>
      <c r="D14812">
        <f>IFERROR(__xludf.DUMMYFUNCTION("""COMPUTED_VALUE"""),2016.0)</f>
        <v>2016</v>
      </c>
      <c r="E14812">
        <f>IFERROR(__xludf.DUMMYFUNCTION("""COMPUTED_VALUE"""),4.6347576E7)</f>
        <v>46347576</v>
      </c>
    </row>
    <row r="14813">
      <c r="A14813" t="str">
        <f t="shared" si="1"/>
        <v>esp#2017</v>
      </c>
      <c r="B14813" t="str">
        <f>IFERROR(__xludf.DUMMYFUNCTION("""COMPUTED_VALUE"""),"esp")</f>
        <v>esp</v>
      </c>
      <c r="C14813" t="str">
        <f>IFERROR(__xludf.DUMMYFUNCTION("""COMPUTED_VALUE"""),"Spain")</f>
        <v>Spain</v>
      </c>
      <c r="D14813">
        <f>IFERROR(__xludf.DUMMYFUNCTION("""COMPUTED_VALUE"""),2017.0)</f>
        <v>2017</v>
      </c>
      <c r="E14813">
        <f>IFERROR(__xludf.DUMMYFUNCTION("""COMPUTED_VALUE"""),4.6354321E7)</f>
        <v>46354321</v>
      </c>
    </row>
    <row r="14814">
      <c r="A14814" t="str">
        <f t="shared" si="1"/>
        <v>esp#2018</v>
      </c>
      <c r="B14814" t="str">
        <f>IFERROR(__xludf.DUMMYFUNCTION("""COMPUTED_VALUE"""),"esp")</f>
        <v>esp</v>
      </c>
      <c r="C14814" t="str">
        <f>IFERROR(__xludf.DUMMYFUNCTION("""COMPUTED_VALUE"""),"Spain")</f>
        <v>Spain</v>
      </c>
      <c r="D14814">
        <f>IFERROR(__xludf.DUMMYFUNCTION("""COMPUTED_VALUE"""),2018.0)</f>
        <v>2018</v>
      </c>
      <c r="E14814">
        <f>IFERROR(__xludf.DUMMYFUNCTION("""COMPUTED_VALUE"""),4.6397452E7)</f>
        <v>46397452</v>
      </c>
    </row>
    <row r="14815">
      <c r="A14815" t="str">
        <f t="shared" si="1"/>
        <v>esp#2019</v>
      </c>
      <c r="B14815" t="str">
        <f>IFERROR(__xludf.DUMMYFUNCTION("""COMPUTED_VALUE"""),"esp")</f>
        <v>esp</v>
      </c>
      <c r="C14815" t="str">
        <f>IFERROR(__xludf.DUMMYFUNCTION("""COMPUTED_VALUE"""),"Spain")</f>
        <v>Spain</v>
      </c>
      <c r="D14815">
        <f>IFERROR(__xludf.DUMMYFUNCTION("""COMPUTED_VALUE"""),2019.0)</f>
        <v>2019</v>
      </c>
      <c r="E14815">
        <f>IFERROR(__xludf.DUMMYFUNCTION("""COMPUTED_VALUE"""),4.6441049E7)</f>
        <v>46441049</v>
      </c>
    </row>
    <row r="14816">
      <c r="A14816" t="str">
        <f t="shared" si="1"/>
        <v>esp#2020</v>
      </c>
      <c r="B14816" t="str">
        <f>IFERROR(__xludf.DUMMYFUNCTION("""COMPUTED_VALUE"""),"esp")</f>
        <v>esp</v>
      </c>
      <c r="C14816" t="str">
        <f>IFERROR(__xludf.DUMMYFUNCTION("""COMPUTED_VALUE"""),"Spain")</f>
        <v>Spain</v>
      </c>
      <c r="D14816">
        <f>IFERROR(__xludf.DUMMYFUNCTION("""COMPUTED_VALUE"""),2020.0)</f>
        <v>2020</v>
      </c>
      <c r="E14816">
        <f>IFERROR(__xludf.DUMMYFUNCTION("""COMPUTED_VALUE"""),4.6459219E7)</f>
        <v>46459219</v>
      </c>
    </row>
    <row r="14817">
      <c r="A14817" t="str">
        <f t="shared" si="1"/>
        <v>esp#2021</v>
      </c>
      <c r="B14817" t="str">
        <f>IFERROR(__xludf.DUMMYFUNCTION("""COMPUTED_VALUE"""),"esp")</f>
        <v>esp</v>
      </c>
      <c r="C14817" t="str">
        <f>IFERROR(__xludf.DUMMYFUNCTION("""COMPUTED_VALUE"""),"Spain")</f>
        <v>Spain</v>
      </c>
      <c r="D14817">
        <f>IFERROR(__xludf.DUMMYFUNCTION("""COMPUTED_VALUE"""),2021.0)</f>
        <v>2021</v>
      </c>
      <c r="E14817">
        <f>IFERROR(__xludf.DUMMYFUNCTION("""COMPUTED_VALUE"""),4.6449574E7)</f>
        <v>46449574</v>
      </c>
    </row>
    <row r="14818">
      <c r="A14818" t="str">
        <f t="shared" si="1"/>
        <v>esp#2022</v>
      </c>
      <c r="B14818" t="str">
        <f>IFERROR(__xludf.DUMMYFUNCTION("""COMPUTED_VALUE"""),"esp")</f>
        <v>esp</v>
      </c>
      <c r="C14818" t="str">
        <f>IFERROR(__xludf.DUMMYFUNCTION("""COMPUTED_VALUE"""),"Spain")</f>
        <v>Spain</v>
      </c>
      <c r="D14818">
        <f>IFERROR(__xludf.DUMMYFUNCTION("""COMPUTED_VALUE"""),2022.0)</f>
        <v>2022</v>
      </c>
      <c r="E14818">
        <f>IFERROR(__xludf.DUMMYFUNCTION("""COMPUTED_VALUE"""),4.6423955E7)</f>
        <v>46423955</v>
      </c>
    </row>
    <row r="14819">
      <c r="A14819" t="str">
        <f t="shared" si="1"/>
        <v>esp#2023</v>
      </c>
      <c r="B14819" t="str">
        <f>IFERROR(__xludf.DUMMYFUNCTION("""COMPUTED_VALUE"""),"esp")</f>
        <v>esp</v>
      </c>
      <c r="C14819" t="str">
        <f>IFERROR(__xludf.DUMMYFUNCTION("""COMPUTED_VALUE"""),"Spain")</f>
        <v>Spain</v>
      </c>
      <c r="D14819">
        <f>IFERROR(__xludf.DUMMYFUNCTION("""COMPUTED_VALUE"""),2023.0)</f>
        <v>2023</v>
      </c>
      <c r="E14819">
        <f>IFERROR(__xludf.DUMMYFUNCTION("""COMPUTED_VALUE"""),4.6386885E7)</f>
        <v>46386885</v>
      </c>
    </row>
    <row r="14820">
      <c r="A14820" t="str">
        <f t="shared" si="1"/>
        <v>esp#2024</v>
      </c>
      <c r="B14820" t="str">
        <f>IFERROR(__xludf.DUMMYFUNCTION("""COMPUTED_VALUE"""),"esp")</f>
        <v>esp</v>
      </c>
      <c r="C14820" t="str">
        <f>IFERROR(__xludf.DUMMYFUNCTION("""COMPUTED_VALUE"""),"Spain")</f>
        <v>Spain</v>
      </c>
      <c r="D14820">
        <f>IFERROR(__xludf.DUMMYFUNCTION("""COMPUTED_VALUE"""),2024.0)</f>
        <v>2024</v>
      </c>
      <c r="E14820">
        <f>IFERROR(__xludf.DUMMYFUNCTION("""COMPUTED_VALUE"""),4.6345986E7)</f>
        <v>46345986</v>
      </c>
    </row>
    <row r="14821">
      <c r="A14821" t="str">
        <f t="shared" si="1"/>
        <v>esp#2025</v>
      </c>
      <c r="B14821" t="str">
        <f>IFERROR(__xludf.DUMMYFUNCTION("""COMPUTED_VALUE"""),"esp")</f>
        <v>esp</v>
      </c>
      <c r="C14821" t="str">
        <f>IFERROR(__xludf.DUMMYFUNCTION("""COMPUTED_VALUE"""),"Spain")</f>
        <v>Spain</v>
      </c>
      <c r="D14821">
        <f>IFERROR(__xludf.DUMMYFUNCTION("""COMPUTED_VALUE"""),2025.0)</f>
        <v>2025</v>
      </c>
      <c r="E14821">
        <f>IFERROR(__xludf.DUMMYFUNCTION("""COMPUTED_VALUE"""),4.630682E7)</f>
        <v>46306820</v>
      </c>
    </row>
    <row r="14822">
      <c r="A14822" t="str">
        <f t="shared" si="1"/>
        <v>esp#2026</v>
      </c>
      <c r="B14822" t="str">
        <f>IFERROR(__xludf.DUMMYFUNCTION("""COMPUTED_VALUE"""),"esp")</f>
        <v>esp</v>
      </c>
      <c r="C14822" t="str">
        <f>IFERROR(__xludf.DUMMYFUNCTION("""COMPUTED_VALUE"""),"Spain")</f>
        <v>Spain</v>
      </c>
      <c r="D14822">
        <f>IFERROR(__xludf.DUMMYFUNCTION("""COMPUTED_VALUE"""),2026.0)</f>
        <v>2026</v>
      </c>
      <c r="E14822">
        <f>IFERROR(__xludf.DUMMYFUNCTION("""COMPUTED_VALUE"""),4.6270109E7)</f>
        <v>46270109</v>
      </c>
    </row>
    <row r="14823">
      <c r="A14823" t="str">
        <f t="shared" si="1"/>
        <v>esp#2027</v>
      </c>
      <c r="B14823" t="str">
        <f>IFERROR(__xludf.DUMMYFUNCTION("""COMPUTED_VALUE"""),"esp")</f>
        <v>esp</v>
      </c>
      <c r="C14823" t="str">
        <f>IFERROR(__xludf.DUMMYFUNCTION("""COMPUTED_VALUE"""),"Spain")</f>
        <v>Spain</v>
      </c>
      <c r="D14823">
        <f>IFERROR(__xludf.DUMMYFUNCTION("""COMPUTED_VALUE"""),2027.0)</f>
        <v>2027</v>
      </c>
      <c r="E14823">
        <f>IFERROR(__xludf.DUMMYFUNCTION("""COMPUTED_VALUE"""),4.6233609E7)</f>
        <v>46233609</v>
      </c>
    </row>
    <row r="14824">
      <c r="A14824" t="str">
        <f t="shared" si="1"/>
        <v>esp#2028</v>
      </c>
      <c r="B14824" t="str">
        <f>IFERROR(__xludf.DUMMYFUNCTION("""COMPUTED_VALUE"""),"esp")</f>
        <v>esp</v>
      </c>
      <c r="C14824" t="str">
        <f>IFERROR(__xludf.DUMMYFUNCTION("""COMPUTED_VALUE"""),"Spain")</f>
        <v>Spain</v>
      </c>
      <c r="D14824">
        <f>IFERROR(__xludf.DUMMYFUNCTION("""COMPUTED_VALUE"""),2028.0)</f>
        <v>2028</v>
      </c>
      <c r="E14824">
        <f>IFERROR(__xludf.DUMMYFUNCTION("""COMPUTED_VALUE"""),4.6196536E7)</f>
        <v>46196536</v>
      </c>
    </row>
    <row r="14825">
      <c r="A14825" t="str">
        <f t="shared" si="1"/>
        <v>esp#2029</v>
      </c>
      <c r="B14825" t="str">
        <f>IFERROR(__xludf.DUMMYFUNCTION("""COMPUTED_VALUE"""),"esp")</f>
        <v>esp</v>
      </c>
      <c r="C14825" t="str">
        <f>IFERROR(__xludf.DUMMYFUNCTION("""COMPUTED_VALUE"""),"Spain")</f>
        <v>Spain</v>
      </c>
      <c r="D14825">
        <f>IFERROR(__xludf.DUMMYFUNCTION("""COMPUTED_VALUE"""),2029.0)</f>
        <v>2029</v>
      </c>
      <c r="E14825">
        <f>IFERROR(__xludf.DUMMYFUNCTION("""COMPUTED_VALUE"""),4.6157408E7)</f>
        <v>46157408</v>
      </c>
    </row>
    <row r="14826">
      <c r="A14826" t="str">
        <f t="shared" si="1"/>
        <v>esp#2030</v>
      </c>
      <c r="B14826" t="str">
        <f>IFERROR(__xludf.DUMMYFUNCTION("""COMPUTED_VALUE"""),"esp")</f>
        <v>esp</v>
      </c>
      <c r="C14826" t="str">
        <f>IFERROR(__xludf.DUMMYFUNCTION("""COMPUTED_VALUE"""),"Spain")</f>
        <v>Spain</v>
      </c>
      <c r="D14826">
        <f>IFERROR(__xludf.DUMMYFUNCTION("""COMPUTED_VALUE"""),2030.0)</f>
        <v>2030</v>
      </c>
      <c r="E14826">
        <f>IFERROR(__xludf.DUMMYFUNCTION("""COMPUTED_VALUE"""),4.6115125E7)</f>
        <v>46115125</v>
      </c>
    </row>
    <row r="14827">
      <c r="A14827" t="str">
        <f t="shared" si="1"/>
        <v>esp#2031</v>
      </c>
      <c r="B14827" t="str">
        <f>IFERROR(__xludf.DUMMYFUNCTION("""COMPUTED_VALUE"""),"esp")</f>
        <v>esp</v>
      </c>
      <c r="C14827" t="str">
        <f>IFERROR(__xludf.DUMMYFUNCTION("""COMPUTED_VALUE"""),"Spain")</f>
        <v>Spain</v>
      </c>
      <c r="D14827">
        <f>IFERROR(__xludf.DUMMYFUNCTION("""COMPUTED_VALUE"""),2031.0)</f>
        <v>2031</v>
      </c>
      <c r="E14827">
        <f>IFERROR(__xludf.DUMMYFUNCTION("""COMPUTED_VALUE"""),4.6069477E7)</f>
        <v>46069477</v>
      </c>
    </row>
    <row r="14828">
      <c r="A14828" t="str">
        <f t="shared" si="1"/>
        <v>esp#2032</v>
      </c>
      <c r="B14828" t="str">
        <f>IFERROR(__xludf.DUMMYFUNCTION("""COMPUTED_VALUE"""),"esp")</f>
        <v>esp</v>
      </c>
      <c r="C14828" t="str">
        <f>IFERROR(__xludf.DUMMYFUNCTION("""COMPUTED_VALUE"""),"Spain")</f>
        <v>Spain</v>
      </c>
      <c r="D14828">
        <f>IFERROR(__xludf.DUMMYFUNCTION("""COMPUTED_VALUE"""),2032.0)</f>
        <v>2032</v>
      </c>
      <c r="E14828">
        <f>IFERROR(__xludf.DUMMYFUNCTION("""COMPUTED_VALUE"""),4.602092E7)</f>
        <v>46020920</v>
      </c>
    </row>
    <row r="14829">
      <c r="A14829" t="str">
        <f t="shared" si="1"/>
        <v>esp#2033</v>
      </c>
      <c r="B14829" t="str">
        <f>IFERROR(__xludf.DUMMYFUNCTION("""COMPUTED_VALUE"""),"esp")</f>
        <v>esp</v>
      </c>
      <c r="C14829" t="str">
        <f>IFERROR(__xludf.DUMMYFUNCTION("""COMPUTED_VALUE"""),"Spain")</f>
        <v>Spain</v>
      </c>
      <c r="D14829">
        <f>IFERROR(__xludf.DUMMYFUNCTION("""COMPUTED_VALUE"""),2033.0)</f>
        <v>2033</v>
      </c>
      <c r="E14829">
        <f>IFERROR(__xludf.DUMMYFUNCTION("""COMPUTED_VALUE"""),4.5969682E7)</f>
        <v>45969682</v>
      </c>
    </row>
    <row r="14830">
      <c r="A14830" t="str">
        <f t="shared" si="1"/>
        <v>esp#2034</v>
      </c>
      <c r="B14830" t="str">
        <f>IFERROR(__xludf.DUMMYFUNCTION("""COMPUTED_VALUE"""),"esp")</f>
        <v>esp</v>
      </c>
      <c r="C14830" t="str">
        <f>IFERROR(__xludf.DUMMYFUNCTION("""COMPUTED_VALUE"""),"Spain")</f>
        <v>Spain</v>
      </c>
      <c r="D14830">
        <f>IFERROR(__xludf.DUMMYFUNCTION("""COMPUTED_VALUE"""),2034.0)</f>
        <v>2034</v>
      </c>
      <c r="E14830">
        <f>IFERROR(__xludf.DUMMYFUNCTION("""COMPUTED_VALUE"""),4.5916257E7)</f>
        <v>45916257</v>
      </c>
    </row>
    <row r="14831">
      <c r="A14831" t="str">
        <f t="shared" si="1"/>
        <v>esp#2035</v>
      </c>
      <c r="B14831" t="str">
        <f>IFERROR(__xludf.DUMMYFUNCTION("""COMPUTED_VALUE"""),"esp")</f>
        <v>esp</v>
      </c>
      <c r="C14831" t="str">
        <f>IFERROR(__xludf.DUMMYFUNCTION("""COMPUTED_VALUE"""),"Spain")</f>
        <v>Spain</v>
      </c>
      <c r="D14831">
        <f>IFERROR(__xludf.DUMMYFUNCTION("""COMPUTED_VALUE"""),2035.0)</f>
        <v>2035</v>
      </c>
      <c r="E14831">
        <f>IFERROR(__xludf.DUMMYFUNCTION("""COMPUTED_VALUE"""),4.5860815E7)</f>
        <v>45860815</v>
      </c>
    </row>
    <row r="14832">
      <c r="A14832" t="str">
        <f t="shared" si="1"/>
        <v>esp#2036</v>
      </c>
      <c r="B14832" t="str">
        <f>IFERROR(__xludf.DUMMYFUNCTION("""COMPUTED_VALUE"""),"esp")</f>
        <v>esp</v>
      </c>
      <c r="C14832" t="str">
        <f>IFERROR(__xludf.DUMMYFUNCTION("""COMPUTED_VALUE"""),"Spain")</f>
        <v>Spain</v>
      </c>
      <c r="D14832">
        <f>IFERROR(__xludf.DUMMYFUNCTION("""COMPUTED_VALUE"""),2036.0)</f>
        <v>2036</v>
      </c>
      <c r="E14832">
        <f>IFERROR(__xludf.DUMMYFUNCTION("""COMPUTED_VALUE"""),4.5803187E7)</f>
        <v>45803187</v>
      </c>
    </row>
    <row r="14833">
      <c r="A14833" t="str">
        <f t="shared" si="1"/>
        <v>esp#2037</v>
      </c>
      <c r="B14833" t="str">
        <f>IFERROR(__xludf.DUMMYFUNCTION("""COMPUTED_VALUE"""),"esp")</f>
        <v>esp</v>
      </c>
      <c r="C14833" t="str">
        <f>IFERROR(__xludf.DUMMYFUNCTION("""COMPUTED_VALUE"""),"Spain")</f>
        <v>Spain</v>
      </c>
      <c r="D14833">
        <f>IFERROR(__xludf.DUMMYFUNCTION("""COMPUTED_VALUE"""),2037.0)</f>
        <v>2037</v>
      </c>
      <c r="E14833">
        <f>IFERROR(__xludf.DUMMYFUNCTION("""COMPUTED_VALUE"""),4.5742834E7)</f>
        <v>45742834</v>
      </c>
    </row>
    <row r="14834">
      <c r="A14834" t="str">
        <f t="shared" si="1"/>
        <v>esp#2038</v>
      </c>
      <c r="B14834" t="str">
        <f>IFERROR(__xludf.DUMMYFUNCTION("""COMPUTED_VALUE"""),"esp")</f>
        <v>esp</v>
      </c>
      <c r="C14834" t="str">
        <f>IFERROR(__xludf.DUMMYFUNCTION("""COMPUTED_VALUE"""),"Spain")</f>
        <v>Spain</v>
      </c>
      <c r="D14834">
        <f>IFERROR(__xludf.DUMMYFUNCTION("""COMPUTED_VALUE"""),2038.0)</f>
        <v>2038</v>
      </c>
      <c r="E14834">
        <f>IFERROR(__xludf.DUMMYFUNCTION("""COMPUTED_VALUE"""),4.5679133E7)</f>
        <v>45679133</v>
      </c>
    </row>
    <row r="14835">
      <c r="A14835" t="str">
        <f t="shared" si="1"/>
        <v>esp#2039</v>
      </c>
      <c r="B14835" t="str">
        <f>IFERROR(__xludf.DUMMYFUNCTION("""COMPUTED_VALUE"""),"esp")</f>
        <v>esp</v>
      </c>
      <c r="C14835" t="str">
        <f>IFERROR(__xludf.DUMMYFUNCTION("""COMPUTED_VALUE"""),"Spain")</f>
        <v>Spain</v>
      </c>
      <c r="D14835">
        <f>IFERROR(__xludf.DUMMYFUNCTION("""COMPUTED_VALUE"""),2039.0)</f>
        <v>2039</v>
      </c>
      <c r="E14835">
        <f>IFERROR(__xludf.DUMMYFUNCTION("""COMPUTED_VALUE"""),4.5611267E7)</f>
        <v>45611267</v>
      </c>
    </row>
    <row r="14836">
      <c r="A14836" t="str">
        <f t="shared" si="1"/>
        <v>esp#2040</v>
      </c>
      <c r="B14836" t="str">
        <f>IFERROR(__xludf.DUMMYFUNCTION("""COMPUTED_VALUE"""),"esp")</f>
        <v>esp</v>
      </c>
      <c r="C14836" t="str">
        <f>IFERROR(__xludf.DUMMYFUNCTION("""COMPUTED_VALUE"""),"Spain")</f>
        <v>Spain</v>
      </c>
      <c r="D14836">
        <f>IFERROR(__xludf.DUMMYFUNCTION("""COMPUTED_VALUE"""),2040.0)</f>
        <v>2040</v>
      </c>
      <c r="E14836">
        <f>IFERROR(__xludf.DUMMYFUNCTION("""COMPUTED_VALUE"""),4.5538502E7)</f>
        <v>45538502</v>
      </c>
    </row>
    <row r="14837">
      <c r="A14837" t="str">
        <f t="shared" si="1"/>
        <v>lka#1950</v>
      </c>
      <c r="B14837" t="str">
        <f>IFERROR(__xludf.DUMMYFUNCTION("""COMPUTED_VALUE"""),"lka")</f>
        <v>lka</v>
      </c>
      <c r="C14837" t="str">
        <f>IFERROR(__xludf.DUMMYFUNCTION("""COMPUTED_VALUE"""),"Sri Lanka")</f>
        <v>Sri Lanka</v>
      </c>
      <c r="D14837">
        <f>IFERROR(__xludf.DUMMYFUNCTION("""COMPUTED_VALUE"""),1950.0)</f>
        <v>1950</v>
      </c>
      <c r="E14837">
        <f>IFERROR(__xludf.DUMMYFUNCTION("""COMPUTED_VALUE"""),7971098.0)</f>
        <v>7971098</v>
      </c>
    </row>
    <row r="14838">
      <c r="A14838" t="str">
        <f t="shared" si="1"/>
        <v>lka#1951</v>
      </c>
      <c r="B14838" t="str">
        <f>IFERROR(__xludf.DUMMYFUNCTION("""COMPUTED_VALUE"""),"lka")</f>
        <v>lka</v>
      </c>
      <c r="C14838" t="str">
        <f>IFERROR(__xludf.DUMMYFUNCTION("""COMPUTED_VALUE"""),"Sri Lanka")</f>
        <v>Sri Lanka</v>
      </c>
      <c r="D14838">
        <f>IFERROR(__xludf.DUMMYFUNCTION("""COMPUTED_VALUE"""),1951.0)</f>
        <v>1951</v>
      </c>
      <c r="E14838">
        <f>IFERROR(__xludf.DUMMYFUNCTION("""COMPUTED_VALUE"""),8108434.0)</f>
        <v>8108434</v>
      </c>
    </row>
    <row r="14839">
      <c r="A14839" t="str">
        <f t="shared" si="1"/>
        <v>lka#1952</v>
      </c>
      <c r="B14839" t="str">
        <f>IFERROR(__xludf.DUMMYFUNCTION("""COMPUTED_VALUE"""),"lka")</f>
        <v>lka</v>
      </c>
      <c r="C14839" t="str">
        <f>IFERROR(__xludf.DUMMYFUNCTION("""COMPUTED_VALUE"""),"Sri Lanka")</f>
        <v>Sri Lanka</v>
      </c>
      <c r="D14839">
        <f>IFERROR(__xludf.DUMMYFUNCTION("""COMPUTED_VALUE"""),1952.0)</f>
        <v>1952</v>
      </c>
      <c r="E14839">
        <f>IFERROR(__xludf.DUMMYFUNCTION("""COMPUTED_VALUE"""),8256561.0)</f>
        <v>8256561</v>
      </c>
    </row>
    <row r="14840">
      <c r="A14840" t="str">
        <f t="shared" si="1"/>
        <v>lka#1953</v>
      </c>
      <c r="B14840" t="str">
        <f>IFERROR(__xludf.DUMMYFUNCTION("""COMPUTED_VALUE"""),"lka")</f>
        <v>lka</v>
      </c>
      <c r="C14840" t="str">
        <f>IFERROR(__xludf.DUMMYFUNCTION("""COMPUTED_VALUE"""),"Sri Lanka")</f>
        <v>Sri Lanka</v>
      </c>
      <c r="D14840">
        <f>IFERROR(__xludf.DUMMYFUNCTION("""COMPUTED_VALUE"""),1953.0)</f>
        <v>1953</v>
      </c>
      <c r="E14840">
        <f>IFERROR(__xludf.DUMMYFUNCTION("""COMPUTED_VALUE"""),8417119.0)</f>
        <v>8417119</v>
      </c>
    </row>
    <row r="14841">
      <c r="A14841" t="str">
        <f t="shared" si="1"/>
        <v>lka#1954</v>
      </c>
      <c r="B14841" t="str">
        <f>IFERROR(__xludf.DUMMYFUNCTION("""COMPUTED_VALUE"""),"lka")</f>
        <v>lka</v>
      </c>
      <c r="C14841" t="str">
        <f>IFERROR(__xludf.DUMMYFUNCTION("""COMPUTED_VALUE"""),"Sri Lanka")</f>
        <v>Sri Lanka</v>
      </c>
      <c r="D14841">
        <f>IFERROR(__xludf.DUMMYFUNCTION("""COMPUTED_VALUE"""),1954.0)</f>
        <v>1954</v>
      </c>
      <c r="E14841">
        <f>IFERROR(__xludf.DUMMYFUNCTION("""COMPUTED_VALUE"""),8591028.0)</f>
        <v>8591028</v>
      </c>
    </row>
    <row r="14842">
      <c r="A14842" t="str">
        <f t="shared" si="1"/>
        <v>lka#1955</v>
      </c>
      <c r="B14842" t="str">
        <f>IFERROR(__xludf.DUMMYFUNCTION("""COMPUTED_VALUE"""),"lka")</f>
        <v>lka</v>
      </c>
      <c r="C14842" t="str">
        <f>IFERROR(__xludf.DUMMYFUNCTION("""COMPUTED_VALUE"""),"Sri Lanka")</f>
        <v>Sri Lanka</v>
      </c>
      <c r="D14842">
        <f>IFERROR(__xludf.DUMMYFUNCTION("""COMPUTED_VALUE"""),1955.0)</f>
        <v>1955</v>
      </c>
      <c r="E14842">
        <f>IFERROR(__xludf.DUMMYFUNCTION("""COMPUTED_VALUE"""),8778449.0)</f>
        <v>8778449</v>
      </c>
    </row>
    <row r="14843">
      <c r="A14843" t="str">
        <f t="shared" si="1"/>
        <v>lka#1956</v>
      </c>
      <c r="B14843" t="str">
        <f>IFERROR(__xludf.DUMMYFUNCTION("""COMPUTED_VALUE"""),"lka")</f>
        <v>lka</v>
      </c>
      <c r="C14843" t="str">
        <f>IFERROR(__xludf.DUMMYFUNCTION("""COMPUTED_VALUE"""),"Sri Lanka")</f>
        <v>Sri Lanka</v>
      </c>
      <c r="D14843">
        <f>IFERROR(__xludf.DUMMYFUNCTION("""COMPUTED_VALUE"""),1956.0)</f>
        <v>1956</v>
      </c>
      <c r="E14843">
        <f>IFERROR(__xludf.DUMMYFUNCTION("""COMPUTED_VALUE"""),8978773.0)</f>
        <v>8978773</v>
      </c>
    </row>
    <row r="14844">
      <c r="A14844" t="str">
        <f t="shared" si="1"/>
        <v>lka#1957</v>
      </c>
      <c r="B14844" t="str">
        <f>IFERROR(__xludf.DUMMYFUNCTION("""COMPUTED_VALUE"""),"lka")</f>
        <v>lka</v>
      </c>
      <c r="C14844" t="str">
        <f>IFERROR(__xludf.DUMMYFUNCTION("""COMPUTED_VALUE"""),"Sri Lanka")</f>
        <v>Sri Lanka</v>
      </c>
      <c r="D14844">
        <f>IFERROR(__xludf.DUMMYFUNCTION("""COMPUTED_VALUE"""),1957.0)</f>
        <v>1957</v>
      </c>
      <c r="E14844">
        <f>IFERROR(__xludf.DUMMYFUNCTION("""COMPUTED_VALUE"""),9190662.0)</f>
        <v>9190662</v>
      </c>
    </row>
    <row r="14845">
      <c r="A14845" t="str">
        <f t="shared" si="1"/>
        <v>lka#1958</v>
      </c>
      <c r="B14845" t="str">
        <f>IFERROR(__xludf.DUMMYFUNCTION("""COMPUTED_VALUE"""),"lka")</f>
        <v>lka</v>
      </c>
      <c r="C14845" t="str">
        <f>IFERROR(__xludf.DUMMYFUNCTION("""COMPUTED_VALUE"""),"Sri Lanka")</f>
        <v>Sri Lanka</v>
      </c>
      <c r="D14845">
        <f>IFERROR(__xludf.DUMMYFUNCTION("""COMPUTED_VALUE"""),1958.0)</f>
        <v>1958</v>
      </c>
      <c r="E14845">
        <f>IFERROR(__xludf.DUMMYFUNCTION("""COMPUTED_VALUE"""),9412155.0)</f>
        <v>9412155</v>
      </c>
    </row>
    <row r="14846">
      <c r="A14846" t="str">
        <f t="shared" si="1"/>
        <v>lka#1959</v>
      </c>
      <c r="B14846" t="str">
        <f>IFERROR(__xludf.DUMMYFUNCTION("""COMPUTED_VALUE"""),"lka")</f>
        <v>lka</v>
      </c>
      <c r="C14846" t="str">
        <f>IFERROR(__xludf.DUMMYFUNCTION("""COMPUTED_VALUE"""),"Sri Lanka")</f>
        <v>Sri Lanka</v>
      </c>
      <c r="D14846">
        <f>IFERROR(__xludf.DUMMYFUNCTION("""COMPUTED_VALUE"""),1959.0)</f>
        <v>1959</v>
      </c>
      <c r="E14846">
        <f>IFERROR(__xludf.DUMMYFUNCTION("""COMPUTED_VALUE"""),9640836.0)</f>
        <v>9640836</v>
      </c>
    </row>
    <row r="14847">
      <c r="A14847" t="str">
        <f t="shared" si="1"/>
        <v>lka#1960</v>
      </c>
      <c r="B14847" t="str">
        <f>IFERROR(__xludf.DUMMYFUNCTION("""COMPUTED_VALUE"""),"lka")</f>
        <v>lka</v>
      </c>
      <c r="C14847" t="str">
        <f>IFERROR(__xludf.DUMMYFUNCTION("""COMPUTED_VALUE"""),"Sri Lanka")</f>
        <v>Sri Lanka</v>
      </c>
      <c r="D14847">
        <f>IFERROR(__xludf.DUMMYFUNCTION("""COMPUTED_VALUE"""),1960.0)</f>
        <v>1960</v>
      </c>
      <c r="E14847">
        <f>IFERROR(__xludf.DUMMYFUNCTION("""COMPUTED_VALUE"""),9874481.0)</f>
        <v>9874481</v>
      </c>
    </row>
    <row r="14848">
      <c r="A14848" t="str">
        <f t="shared" si="1"/>
        <v>lka#1961</v>
      </c>
      <c r="B14848" t="str">
        <f>IFERROR(__xludf.DUMMYFUNCTION("""COMPUTED_VALUE"""),"lka")</f>
        <v>lka</v>
      </c>
      <c r="C14848" t="str">
        <f>IFERROR(__xludf.DUMMYFUNCTION("""COMPUTED_VALUE"""),"Sri Lanka")</f>
        <v>Sri Lanka</v>
      </c>
      <c r="D14848">
        <f>IFERROR(__xludf.DUMMYFUNCTION("""COMPUTED_VALUE"""),1961.0)</f>
        <v>1961</v>
      </c>
      <c r="E14848">
        <f>IFERROR(__xludf.DUMMYFUNCTION("""COMPUTED_VALUE"""),1.0111646E7)</f>
        <v>10111646</v>
      </c>
    </row>
    <row r="14849">
      <c r="A14849" t="str">
        <f t="shared" si="1"/>
        <v>lka#1962</v>
      </c>
      <c r="B14849" t="str">
        <f>IFERROR(__xludf.DUMMYFUNCTION("""COMPUTED_VALUE"""),"lka")</f>
        <v>lka</v>
      </c>
      <c r="C14849" t="str">
        <f>IFERROR(__xludf.DUMMYFUNCTION("""COMPUTED_VALUE"""),"Sri Lanka")</f>
        <v>Sri Lanka</v>
      </c>
      <c r="D14849">
        <f>IFERROR(__xludf.DUMMYFUNCTION("""COMPUTED_VALUE"""),1962.0)</f>
        <v>1962</v>
      </c>
      <c r="E14849">
        <f>IFERROR(__xludf.DUMMYFUNCTION("""COMPUTED_VALUE"""),1.0352188E7)</f>
        <v>10352188</v>
      </c>
    </row>
    <row r="14850">
      <c r="A14850" t="str">
        <f t="shared" si="1"/>
        <v>lka#1963</v>
      </c>
      <c r="B14850" t="str">
        <f>IFERROR(__xludf.DUMMYFUNCTION("""COMPUTED_VALUE"""),"lka")</f>
        <v>lka</v>
      </c>
      <c r="C14850" t="str">
        <f>IFERROR(__xludf.DUMMYFUNCTION("""COMPUTED_VALUE"""),"Sri Lanka")</f>
        <v>Sri Lanka</v>
      </c>
      <c r="D14850">
        <f>IFERROR(__xludf.DUMMYFUNCTION("""COMPUTED_VALUE"""),1963.0)</f>
        <v>1963</v>
      </c>
      <c r="E14850">
        <f>IFERROR(__xludf.DUMMYFUNCTION("""COMPUTED_VALUE"""),1.059752E7)</f>
        <v>10597520</v>
      </c>
    </row>
    <row r="14851">
      <c r="A14851" t="str">
        <f t="shared" si="1"/>
        <v>lka#1964</v>
      </c>
      <c r="B14851" t="str">
        <f>IFERROR(__xludf.DUMMYFUNCTION("""COMPUTED_VALUE"""),"lka")</f>
        <v>lka</v>
      </c>
      <c r="C14851" t="str">
        <f>IFERROR(__xludf.DUMMYFUNCTION("""COMPUTED_VALUE"""),"Sri Lanka")</f>
        <v>Sri Lanka</v>
      </c>
      <c r="D14851">
        <f>IFERROR(__xludf.DUMMYFUNCTION("""COMPUTED_VALUE"""),1964.0)</f>
        <v>1964</v>
      </c>
      <c r="E14851">
        <f>IFERROR(__xludf.DUMMYFUNCTION("""COMPUTED_VALUE"""),1.0849979E7)</f>
        <v>10849979</v>
      </c>
    </row>
    <row r="14852">
      <c r="A14852" t="str">
        <f t="shared" si="1"/>
        <v>lka#1965</v>
      </c>
      <c r="B14852" t="str">
        <f>IFERROR(__xludf.DUMMYFUNCTION("""COMPUTED_VALUE"""),"lka")</f>
        <v>lka</v>
      </c>
      <c r="C14852" t="str">
        <f>IFERROR(__xludf.DUMMYFUNCTION("""COMPUTED_VALUE"""),"Sri Lanka")</f>
        <v>Sri Lanka</v>
      </c>
      <c r="D14852">
        <f>IFERROR(__xludf.DUMMYFUNCTION("""COMPUTED_VALUE"""),1965.0)</f>
        <v>1965</v>
      </c>
      <c r="E14852">
        <f>IFERROR(__xludf.DUMMYFUNCTION("""COMPUTED_VALUE"""),1.1110828E7)</f>
        <v>11110828</v>
      </c>
    </row>
    <row r="14853">
      <c r="A14853" t="str">
        <f t="shared" si="1"/>
        <v>lka#1966</v>
      </c>
      <c r="B14853" t="str">
        <f>IFERROR(__xludf.DUMMYFUNCTION("""COMPUTED_VALUE"""),"lka")</f>
        <v>lka</v>
      </c>
      <c r="C14853" t="str">
        <f>IFERROR(__xludf.DUMMYFUNCTION("""COMPUTED_VALUE"""),"Sri Lanka")</f>
        <v>Sri Lanka</v>
      </c>
      <c r="D14853">
        <f>IFERROR(__xludf.DUMMYFUNCTION("""COMPUTED_VALUE"""),1966.0)</f>
        <v>1966</v>
      </c>
      <c r="E14853">
        <f>IFERROR(__xludf.DUMMYFUNCTION("""COMPUTED_VALUE"""),1.1380683E7)</f>
        <v>11380683</v>
      </c>
    </row>
    <row r="14854">
      <c r="A14854" t="str">
        <f t="shared" si="1"/>
        <v>lka#1967</v>
      </c>
      <c r="B14854" t="str">
        <f>IFERROR(__xludf.DUMMYFUNCTION("""COMPUTED_VALUE"""),"lka")</f>
        <v>lka</v>
      </c>
      <c r="C14854" t="str">
        <f>IFERROR(__xludf.DUMMYFUNCTION("""COMPUTED_VALUE"""),"Sri Lanka")</f>
        <v>Sri Lanka</v>
      </c>
      <c r="D14854">
        <f>IFERROR(__xludf.DUMMYFUNCTION("""COMPUTED_VALUE"""),1967.0)</f>
        <v>1967</v>
      </c>
      <c r="E14854">
        <f>IFERROR(__xludf.DUMMYFUNCTION("""COMPUTED_VALUE"""),1.165766E7)</f>
        <v>11657660</v>
      </c>
    </row>
    <row r="14855">
      <c r="A14855" t="str">
        <f t="shared" si="1"/>
        <v>lka#1968</v>
      </c>
      <c r="B14855" t="str">
        <f>IFERROR(__xludf.DUMMYFUNCTION("""COMPUTED_VALUE"""),"lka")</f>
        <v>lka</v>
      </c>
      <c r="C14855" t="str">
        <f>IFERROR(__xludf.DUMMYFUNCTION("""COMPUTED_VALUE"""),"Sri Lanka")</f>
        <v>Sri Lanka</v>
      </c>
      <c r="D14855">
        <f>IFERROR(__xludf.DUMMYFUNCTION("""COMPUTED_VALUE"""),1968.0)</f>
        <v>1968</v>
      </c>
      <c r="E14855">
        <f>IFERROR(__xludf.DUMMYFUNCTION("""COMPUTED_VALUE"""),1.1937611E7)</f>
        <v>11937611</v>
      </c>
    </row>
    <row r="14856">
      <c r="A14856" t="str">
        <f t="shared" si="1"/>
        <v>lka#1969</v>
      </c>
      <c r="B14856" t="str">
        <f>IFERROR(__xludf.DUMMYFUNCTION("""COMPUTED_VALUE"""),"lka")</f>
        <v>lka</v>
      </c>
      <c r="C14856" t="str">
        <f>IFERROR(__xludf.DUMMYFUNCTION("""COMPUTED_VALUE"""),"Sri Lanka")</f>
        <v>Sri Lanka</v>
      </c>
      <c r="D14856">
        <f>IFERROR(__xludf.DUMMYFUNCTION("""COMPUTED_VALUE"""),1969.0)</f>
        <v>1969</v>
      </c>
      <c r="E14856">
        <f>IFERROR(__xludf.DUMMYFUNCTION("""COMPUTED_VALUE"""),1.2214968E7)</f>
        <v>12214968</v>
      </c>
    </row>
    <row r="14857">
      <c r="A14857" t="str">
        <f t="shared" si="1"/>
        <v>lka#1970</v>
      </c>
      <c r="B14857" t="str">
        <f>IFERROR(__xludf.DUMMYFUNCTION("""COMPUTED_VALUE"""),"lka")</f>
        <v>lka</v>
      </c>
      <c r="C14857" t="str">
        <f>IFERROR(__xludf.DUMMYFUNCTION("""COMPUTED_VALUE"""),"Sri Lanka")</f>
        <v>Sri Lanka</v>
      </c>
      <c r="D14857">
        <f>IFERROR(__xludf.DUMMYFUNCTION("""COMPUTED_VALUE"""),1970.0)</f>
        <v>1970</v>
      </c>
      <c r="E14857">
        <f>IFERROR(__xludf.DUMMYFUNCTION("""COMPUTED_VALUE"""),1.2485756E7)</f>
        <v>12485756</v>
      </c>
    </row>
    <row r="14858">
      <c r="A14858" t="str">
        <f t="shared" si="1"/>
        <v>lka#1971</v>
      </c>
      <c r="B14858" t="str">
        <f>IFERROR(__xludf.DUMMYFUNCTION("""COMPUTED_VALUE"""),"lka")</f>
        <v>lka</v>
      </c>
      <c r="C14858" t="str">
        <f>IFERROR(__xludf.DUMMYFUNCTION("""COMPUTED_VALUE"""),"Sri Lanka")</f>
        <v>Sri Lanka</v>
      </c>
      <c r="D14858">
        <f>IFERROR(__xludf.DUMMYFUNCTION("""COMPUTED_VALUE"""),1971.0)</f>
        <v>1971</v>
      </c>
      <c r="E14858">
        <f>IFERROR(__xludf.DUMMYFUNCTION("""COMPUTED_VALUE"""),1.2747842E7)</f>
        <v>12747842</v>
      </c>
    </row>
    <row r="14859">
      <c r="A14859" t="str">
        <f t="shared" si="1"/>
        <v>lka#1972</v>
      </c>
      <c r="B14859" t="str">
        <f>IFERROR(__xludf.DUMMYFUNCTION("""COMPUTED_VALUE"""),"lka")</f>
        <v>lka</v>
      </c>
      <c r="C14859" t="str">
        <f>IFERROR(__xludf.DUMMYFUNCTION("""COMPUTED_VALUE"""),"Sri Lanka")</f>
        <v>Sri Lanka</v>
      </c>
      <c r="D14859">
        <f>IFERROR(__xludf.DUMMYFUNCTION("""COMPUTED_VALUE"""),1972.0)</f>
        <v>1972</v>
      </c>
      <c r="E14859">
        <f>IFERROR(__xludf.DUMMYFUNCTION("""COMPUTED_VALUE"""),1.3002275E7)</f>
        <v>13002275</v>
      </c>
    </row>
    <row r="14860">
      <c r="A14860" t="str">
        <f t="shared" si="1"/>
        <v>lka#1973</v>
      </c>
      <c r="B14860" t="str">
        <f>IFERROR(__xludf.DUMMYFUNCTION("""COMPUTED_VALUE"""),"lka")</f>
        <v>lka</v>
      </c>
      <c r="C14860" t="str">
        <f>IFERROR(__xludf.DUMMYFUNCTION("""COMPUTED_VALUE"""),"Sri Lanka")</f>
        <v>Sri Lanka</v>
      </c>
      <c r="D14860">
        <f>IFERROR(__xludf.DUMMYFUNCTION("""COMPUTED_VALUE"""),1973.0)</f>
        <v>1973</v>
      </c>
      <c r="E14860">
        <f>IFERROR(__xludf.DUMMYFUNCTION("""COMPUTED_VALUE"""),1.3252087E7)</f>
        <v>13252087</v>
      </c>
    </row>
    <row r="14861">
      <c r="A14861" t="str">
        <f t="shared" si="1"/>
        <v>lka#1974</v>
      </c>
      <c r="B14861" t="str">
        <f>IFERROR(__xludf.DUMMYFUNCTION("""COMPUTED_VALUE"""),"lka")</f>
        <v>lka</v>
      </c>
      <c r="C14861" t="str">
        <f>IFERROR(__xludf.DUMMYFUNCTION("""COMPUTED_VALUE"""),"Sri Lanka")</f>
        <v>Sri Lanka</v>
      </c>
      <c r="D14861">
        <f>IFERROR(__xludf.DUMMYFUNCTION("""COMPUTED_VALUE"""),1974.0)</f>
        <v>1974</v>
      </c>
      <c r="E14861">
        <f>IFERROR(__xludf.DUMMYFUNCTION("""COMPUTED_VALUE"""),1.3501986E7)</f>
        <v>13501986</v>
      </c>
    </row>
    <row r="14862">
      <c r="A14862" t="str">
        <f t="shared" si="1"/>
        <v>lka#1975</v>
      </c>
      <c r="B14862" t="str">
        <f>IFERROR(__xludf.DUMMYFUNCTION("""COMPUTED_VALUE"""),"lka")</f>
        <v>lka</v>
      </c>
      <c r="C14862" t="str">
        <f>IFERROR(__xludf.DUMMYFUNCTION("""COMPUTED_VALUE"""),"Sri Lanka")</f>
        <v>Sri Lanka</v>
      </c>
      <c r="D14862">
        <f>IFERROR(__xludf.DUMMYFUNCTION("""COMPUTED_VALUE"""),1975.0)</f>
        <v>1975</v>
      </c>
      <c r="E14862">
        <f>IFERROR(__xludf.DUMMYFUNCTION("""COMPUTED_VALUE"""),1.3755161E7)</f>
        <v>13755161</v>
      </c>
    </row>
    <row r="14863">
      <c r="A14863" t="str">
        <f t="shared" si="1"/>
        <v>lka#1976</v>
      </c>
      <c r="B14863" t="str">
        <f>IFERROR(__xludf.DUMMYFUNCTION("""COMPUTED_VALUE"""),"lka")</f>
        <v>lka</v>
      </c>
      <c r="C14863" t="str">
        <f>IFERROR(__xludf.DUMMYFUNCTION("""COMPUTED_VALUE"""),"Sri Lanka")</f>
        <v>Sri Lanka</v>
      </c>
      <c r="D14863">
        <f>IFERROR(__xludf.DUMMYFUNCTION("""COMPUTED_VALUE"""),1976.0)</f>
        <v>1976</v>
      </c>
      <c r="E14863">
        <f>IFERROR(__xludf.DUMMYFUNCTION("""COMPUTED_VALUE"""),1.4012817E7)</f>
        <v>14012817</v>
      </c>
    </row>
    <row r="14864">
      <c r="A14864" t="str">
        <f t="shared" si="1"/>
        <v>lka#1977</v>
      </c>
      <c r="B14864" t="str">
        <f>IFERROR(__xludf.DUMMYFUNCTION("""COMPUTED_VALUE"""),"lka")</f>
        <v>lka</v>
      </c>
      <c r="C14864" t="str">
        <f>IFERROR(__xludf.DUMMYFUNCTION("""COMPUTED_VALUE"""),"Sri Lanka")</f>
        <v>Sri Lanka</v>
      </c>
      <c r="D14864">
        <f>IFERROR(__xludf.DUMMYFUNCTION("""COMPUTED_VALUE"""),1977.0)</f>
        <v>1977</v>
      </c>
      <c r="E14864">
        <f>IFERROR(__xludf.DUMMYFUNCTION("""COMPUTED_VALUE"""),1.4273272E7)</f>
        <v>14273272</v>
      </c>
    </row>
    <row r="14865">
      <c r="A14865" t="str">
        <f t="shared" si="1"/>
        <v>lka#1978</v>
      </c>
      <c r="B14865" t="str">
        <f>IFERROR(__xludf.DUMMYFUNCTION("""COMPUTED_VALUE"""),"lka")</f>
        <v>lka</v>
      </c>
      <c r="C14865" t="str">
        <f>IFERROR(__xludf.DUMMYFUNCTION("""COMPUTED_VALUE"""),"Sri Lanka")</f>
        <v>Sri Lanka</v>
      </c>
      <c r="D14865">
        <f>IFERROR(__xludf.DUMMYFUNCTION("""COMPUTED_VALUE"""),1978.0)</f>
        <v>1978</v>
      </c>
      <c r="E14865">
        <f>IFERROR(__xludf.DUMMYFUNCTION("""COMPUTED_VALUE"""),1.4533376E7)</f>
        <v>14533376</v>
      </c>
    </row>
    <row r="14866">
      <c r="A14866" t="str">
        <f t="shared" si="1"/>
        <v>lka#1979</v>
      </c>
      <c r="B14866" t="str">
        <f>IFERROR(__xludf.DUMMYFUNCTION("""COMPUTED_VALUE"""),"lka")</f>
        <v>lka</v>
      </c>
      <c r="C14866" t="str">
        <f>IFERROR(__xludf.DUMMYFUNCTION("""COMPUTED_VALUE"""),"Sri Lanka")</f>
        <v>Sri Lanka</v>
      </c>
      <c r="D14866">
        <f>IFERROR(__xludf.DUMMYFUNCTION("""COMPUTED_VALUE"""),1979.0)</f>
        <v>1979</v>
      </c>
      <c r="E14866">
        <f>IFERROR(__xludf.DUMMYFUNCTION("""COMPUTED_VALUE"""),1.4788607E7)</f>
        <v>14788607</v>
      </c>
    </row>
    <row r="14867">
      <c r="A14867" t="str">
        <f t="shared" si="1"/>
        <v>lka#1980</v>
      </c>
      <c r="B14867" t="str">
        <f>IFERROR(__xludf.DUMMYFUNCTION("""COMPUTED_VALUE"""),"lka")</f>
        <v>lka</v>
      </c>
      <c r="C14867" t="str">
        <f>IFERROR(__xludf.DUMMYFUNCTION("""COMPUTED_VALUE"""),"Sri Lanka")</f>
        <v>Sri Lanka</v>
      </c>
      <c r="D14867">
        <f>IFERROR(__xludf.DUMMYFUNCTION("""COMPUTED_VALUE"""),1980.0)</f>
        <v>1980</v>
      </c>
      <c r="E14867">
        <f>IFERROR(__xludf.DUMMYFUNCTION("""COMPUTED_VALUE"""),1.5035856E7)</f>
        <v>15035856</v>
      </c>
    </row>
    <row r="14868">
      <c r="A14868" t="str">
        <f t="shared" si="1"/>
        <v>lka#1981</v>
      </c>
      <c r="B14868" t="str">
        <f>IFERROR(__xludf.DUMMYFUNCTION("""COMPUTED_VALUE"""),"lka")</f>
        <v>lka</v>
      </c>
      <c r="C14868" t="str">
        <f>IFERROR(__xludf.DUMMYFUNCTION("""COMPUTED_VALUE"""),"Sri Lanka")</f>
        <v>Sri Lanka</v>
      </c>
      <c r="D14868">
        <f>IFERROR(__xludf.DUMMYFUNCTION("""COMPUTED_VALUE"""),1981.0)</f>
        <v>1981</v>
      </c>
      <c r="E14868">
        <f>IFERROR(__xludf.DUMMYFUNCTION("""COMPUTED_VALUE"""),1.5273391E7)</f>
        <v>15273391</v>
      </c>
    </row>
    <row r="14869">
      <c r="A14869" t="str">
        <f t="shared" si="1"/>
        <v>lka#1982</v>
      </c>
      <c r="B14869" t="str">
        <f>IFERROR(__xludf.DUMMYFUNCTION("""COMPUTED_VALUE"""),"lka")</f>
        <v>lka</v>
      </c>
      <c r="C14869" t="str">
        <f>IFERROR(__xludf.DUMMYFUNCTION("""COMPUTED_VALUE"""),"Sri Lanka")</f>
        <v>Sri Lanka</v>
      </c>
      <c r="D14869">
        <f>IFERROR(__xludf.DUMMYFUNCTION("""COMPUTED_VALUE"""),1982.0)</f>
        <v>1982</v>
      </c>
      <c r="E14869">
        <f>IFERROR(__xludf.DUMMYFUNCTION("""COMPUTED_VALUE"""),1.5502515E7)</f>
        <v>15502515</v>
      </c>
    </row>
    <row r="14870">
      <c r="A14870" t="str">
        <f t="shared" si="1"/>
        <v>lka#1983</v>
      </c>
      <c r="B14870" t="str">
        <f>IFERROR(__xludf.DUMMYFUNCTION("""COMPUTED_VALUE"""),"lka")</f>
        <v>lka</v>
      </c>
      <c r="C14870" t="str">
        <f>IFERROR(__xludf.DUMMYFUNCTION("""COMPUTED_VALUE"""),"Sri Lanka")</f>
        <v>Sri Lanka</v>
      </c>
      <c r="D14870">
        <f>IFERROR(__xludf.DUMMYFUNCTION("""COMPUTED_VALUE"""),1983.0)</f>
        <v>1983</v>
      </c>
      <c r="E14870">
        <f>IFERROR(__xludf.DUMMYFUNCTION("""COMPUTED_VALUE"""),1.5726802E7)</f>
        <v>15726802</v>
      </c>
    </row>
    <row r="14871">
      <c r="A14871" t="str">
        <f t="shared" si="1"/>
        <v>lka#1984</v>
      </c>
      <c r="B14871" t="str">
        <f>IFERROR(__xludf.DUMMYFUNCTION("""COMPUTED_VALUE"""),"lka")</f>
        <v>lka</v>
      </c>
      <c r="C14871" t="str">
        <f>IFERROR(__xludf.DUMMYFUNCTION("""COMPUTED_VALUE"""),"Sri Lanka")</f>
        <v>Sri Lanka</v>
      </c>
      <c r="D14871">
        <f>IFERROR(__xludf.DUMMYFUNCTION("""COMPUTED_VALUE"""),1984.0)</f>
        <v>1984</v>
      </c>
      <c r="E14871">
        <f>IFERROR(__xludf.DUMMYFUNCTION("""COMPUTED_VALUE"""),1.5951422E7)</f>
        <v>15951422</v>
      </c>
    </row>
    <row r="14872">
      <c r="A14872" t="str">
        <f t="shared" si="1"/>
        <v>lka#1985</v>
      </c>
      <c r="B14872" t="str">
        <f>IFERROR(__xludf.DUMMYFUNCTION("""COMPUTED_VALUE"""),"lka")</f>
        <v>lka</v>
      </c>
      <c r="C14872" t="str">
        <f>IFERROR(__xludf.DUMMYFUNCTION("""COMPUTED_VALUE"""),"Sri Lanka")</f>
        <v>Sri Lanka</v>
      </c>
      <c r="D14872">
        <f>IFERROR(__xludf.DUMMYFUNCTION("""COMPUTED_VALUE"""),1985.0)</f>
        <v>1985</v>
      </c>
      <c r="E14872">
        <f>IFERROR(__xludf.DUMMYFUNCTION("""COMPUTED_VALUE"""),1.6179796E7)</f>
        <v>16179796</v>
      </c>
    </row>
    <row r="14873">
      <c r="A14873" t="str">
        <f t="shared" si="1"/>
        <v>lka#1986</v>
      </c>
      <c r="B14873" t="str">
        <f>IFERROR(__xludf.DUMMYFUNCTION("""COMPUTED_VALUE"""),"lka")</f>
        <v>lka</v>
      </c>
      <c r="C14873" t="str">
        <f>IFERROR(__xludf.DUMMYFUNCTION("""COMPUTED_VALUE"""),"Sri Lanka")</f>
        <v>Sri Lanka</v>
      </c>
      <c r="D14873">
        <f>IFERROR(__xludf.DUMMYFUNCTION("""COMPUTED_VALUE"""),1986.0)</f>
        <v>1986</v>
      </c>
      <c r="E14873">
        <f>IFERROR(__xludf.DUMMYFUNCTION("""COMPUTED_VALUE"""),1.6412711E7)</f>
        <v>16412711</v>
      </c>
    </row>
    <row r="14874">
      <c r="A14874" t="str">
        <f t="shared" si="1"/>
        <v>lka#1987</v>
      </c>
      <c r="B14874" t="str">
        <f>IFERROR(__xludf.DUMMYFUNCTION("""COMPUTED_VALUE"""),"lka")</f>
        <v>lka</v>
      </c>
      <c r="C14874" t="str">
        <f>IFERROR(__xludf.DUMMYFUNCTION("""COMPUTED_VALUE"""),"Sri Lanka")</f>
        <v>Sri Lanka</v>
      </c>
      <c r="D14874">
        <f>IFERROR(__xludf.DUMMYFUNCTION("""COMPUTED_VALUE"""),1987.0)</f>
        <v>1987</v>
      </c>
      <c r="E14874">
        <f>IFERROR(__xludf.DUMMYFUNCTION("""COMPUTED_VALUE"""),1.6647945E7)</f>
        <v>16647945</v>
      </c>
    </row>
    <row r="14875">
      <c r="A14875" t="str">
        <f t="shared" si="1"/>
        <v>lka#1988</v>
      </c>
      <c r="B14875" t="str">
        <f>IFERROR(__xludf.DUMMYFUNCTION("""COMPUTED_VALUE"""),"lka")</f>
        <v>lka</v>
      </c>
      <c r="C14875" t="str">
        <f>IFERROR(__xludf.DUMMYFUNCTION("""COMPUTED_VALUE"""),"Sri Lanka")</f>
        <v>Sri Lanka</v>
      </c>
      <c r="D14875">
        <f>IFERROR(__xludf.DUMMYFUNCTION("""COMPUTED_VALUE"""),1988.0)</f>
        <v>1988</v>
      </c>
      <c r="E14875">
        <f>IFERROR(__xludf.DUMMYFUNCTION("""COMPUTED_VALUE"""),1.6882189E7)</f>
        <v>16882189</v>
      </c>
    </row>
    <row r="14876">
      <c r="A14876" t="str">
        <f t="shared" si="1"/>
        <v>lka#1989</v>
      </c>
      <c r="B14876" t="str">
        <f>IFERROR(__xludf.DUMMYFUNCTION("""COMPUTED_VALUE"""),"lka")</f>
        <v>lka</v>
      </c>
      <c r="C14876" t="str">
        <f>IFERROR(__xludf.DUMMYFUNCTION("""COMPUTED_VALUE"""),"Sri Lanka")</f>
        <v>Sri Lanka</v>
      </c>
      <c r="D14876">
        <f>IFERROR(__xludf.DUMMYFUNCTION("""COMPUTED_VALUE"""),1989.0)</f>
        <v>1989</v>
      </c>
      <c r="E14876">
        <f>IFERROR(__xludf.DUMMYFUNCTION("""COMPUTED_VALUE"""),1.7110713E7)</f>
        <v>17110713</v>
      </c>
    </row>
    <row r="14877">
      <c r="A14877" t="str">
        <f t="shared" si="1"/>
        <v>lka#1990</v>
      </c>
      <c r="B14877" t="str">
        <f>IFERROR(__xludf.DUMMYFUNCTION("""COMPUTED_VALUE"""),"lka")</f>
        <v>lka</v>
      </c>
      <c r="C14877" t="str">
        <f>IFERROR(__xludf.DUMMYFUNCTION("""COMPUTED_VALUE"""),"Sri Lanka")</f>
        <v>Sri Lanka</v>
      </c>
      <c r="D14877">
        <f>IFERROR(__xludf.DUMMYFUNCTION("""COMPUTED_VALUE"""),1990.0)</f>
        <v>1990</v>
      </c>
      <c r="E14877">
        <f>IFERROR(__xludf.DUMMYFUNCTION("""COMPUTED_VALUE"""),1.7329713E7)</f>
        <v>17329713</v>
      </c>
    </row>
    <row r="14878">
      <c r="A14878" t="str">
        <f t="shared" si="1"/>
        <v>lka#1991</v>
      </c>
      <c r="B14878" t="str">
        <f>IFERROR(__xludf.DUMMYFUNCTION("""COMPUTED_VALUE"""),"lka")</f>
        <v>lka</v>
      </c>
      <c r="C14878" t="str">
        <f>IFERROR(__xludf.DUMMYFUNCTION("""COMPUTED_VALUE"""),"Sri Lanka")</f>
        <v>Sri Lanka</v>
      </c>
      <c r="D14878">
        <f>IFERROR(__xludf.DUMMYFUNCTION("""COMPUTED_VALUE"""),1991.0)</f>
        <v>1991</v>
      </c>
      <c r="E14878">
        <f>IFERROR(__xludf.DUMMYFUNCTION("""COMPUTED_VALUE"""),1.7539633E7)</f>
        <v>17539633</v>
      </c>
    </row>
    <row r="14879">
      <c r="A14879" t="str">
        <f t="shared" si="1"/>
        <v>lka#1992</v>
      </c>
      <c r="B14879" t="str">
        <f>IFERROR(__xludf.DUMMYFUNCTION("""COMPUTED_VALUE"""),"lka")</f>
        <v>lka</v>
      </c>
      <c r="C14879" t="str">
        <f>IFERROR(__xludf.DUMMYFUNCTION("""COMPUTED_VALUE"""),"Sri Lanka")</f>
        <v>Sri Lanka</v>
      </c>
      <c r="D14879">
        <f>IFERROR(__xludf.DUMMYFUNCTION("""COMPUTED_VALUE"""),1992.0)</f>
        <v>1992</v>
      </c>
      <c r="E14879">
        <f>IFERROR(__xludf.DUMMYFUNCTION("""COMPUTED_VALUE"""),1.7740637E7)</f>
        <v>17740637</v>
      </c>
    </row>
    <row r="14880">
      <c r="A14880" t="str">
        <f t="shared" si="1"/>
        <v>lka#1993</v>
      </c>
      <c r="B14880" t="str">
        <f>IFERROR(__xludf.DUMMYFUNCTION("""COMPUTED_VALUE"""),"lka")</f>
        <v>lka</v>
      </c>
      <c r="C14880" t="str">
        <f>IFERROR(__xludf.DUMMYFUNCTION("""COMPUTED_VALUE"""),"Sri Lanka")</f>
        <v>Sri Lanka</v>
      </c>
      <c r="D14880">
        <f>IFERROR(__xludf.DUMMYFUNCTION("""COMPUTED_VALUE"""),1993.0)</f>
        <v>1993</v>
      </c>
      <c r="E14880">
        <f>IFERROR(__xludf.DUMMYFUNCTION("""COMPUTED_VALUE"""),1.7928576E7)</f>
        <v>17928576</v>
      </c>
    </row>
    <row r="14881">
      <c r="A14881" t="str">
        <f t="shared" si="1"/>
        <v>lka#1994</v>
      </c>
      <c r="B14881" t="str">
        <f>IFERROR(__xludf.DUMMYFUNCTION("""COMPUTED_VALUE"""),"lka")</f>
        <v>lka</v>
      </c>
      <c r="C14881" t="str">
        <f>IFERROR(__xludf.DUMMYFUNCTION("""COMPUTED_VALUE"""),"Sri Lanka")</f>
        <v>Sri Lanka</v>
      </c>
      <c r="D14881">
        <f>IFERROR(__xludf.DUMMYFUNCTION("""COMPUTED_VALUE"""),1994.0)</f>
        <v>1994</v>
      </c>
      <c r="E14881">
        <f>IFERROR(__xludf.DUMMYFUNCTION("""COMPUTED_VALUE"""),1.8098348E7)</f>
        <v>18098348</v>
      </c>
    </row>
    <row r="14882">
      <c r="A14882" t="str">
        <f t="shared" si="1"/>
        <v>lka#1995</v>
      </c>
      <c r="B14882" t="str">
        <f>IFERROR(__xludf.DUMMYFUNCTION("""COMPUTED_VALUE"""),"lka")</f>
        <v>lka</v>
      </c>
      <c r="C14882" t="str">
        <f>IFERROR(__xludf.DUMMYFUNCTION("""COMPUTED_VALUE"""),"Sri Lanka")</f>
        <v>Sri Lanka</v>
      </c>
      <c r="D14882">
        <f>IFERROR(__xludf.DUMMYFUNCTION("""COMPUTED_VALUE"""),1995.0)</f>
        <v>1995</v>
      </c>
      <c r="E14882">
        <f>IFERROR(__xludf.DUMMYFUNCTION("""COMPUTED_VALUE"""),1.8247121E7)</f>
        <v>18247121</v>
      </c>
    </row>
    <row r="14883">
      <c r="A14883" t="str">
        <f t="shared" si="1"/>
        <v>lka#1996</v>
      </c>
      <c r="B14883" t="str">
        <f>IFERROR(__xludf.DUMMYFUNCTION("""COMPUTED_VALUE"""),"lka")</f>
        <v>lka</v>
      </c>
      <c r="C14883" t="str">
        <f>IFERROR(__xludf.DUMMYFUNCTION("""COMPUTED_VALUE"""),"Sri Lanka")</f>
        <v>Sri Lanka</v>
      </c>
      <c r="D14883">
        <f>IFERROR(__xludf.DUMMYFUNCTION("""COMPUTED_VALUE"""),1996.0)</f>
        <v>1996</v>
      </c>
      <c r="E14883">
        <f>IFERROR(__xludf.DUMMYFUNCTION("""COMPUTED_VALUE"""),1.837212E7)</f>
        <v>18372120</v>
      </c>
    </row>
    <row r="14884">
      <c r="A14884" t="str">
        <f t="shared" si="1"/>
        <v>lka#1997</v>
      </c>
      <c r="B14884" t="str">
        <f>IFERROR(__xludf.DUMMYFUNCTION("""COMPUTED_VALUE"""),"lka")</f>
        <v>lka</v>
      </c>
      <c r="C14884" t="str">
        <f>IFERROR(__xludf.DUMMYFUNCTION("""COMPUTED_VALUE"""),"Sri Lanka")</f>
        <v>Sri Lanka</v>
      </c>
      <c r="D14884">
        <f>IFERROR(__xludf.DUMMYFUNCTION("""COMPUTED_VALUE"""),1997.0)</f>
        <v>1997</v>
      </c>
      <c r="E14884">
        <f>IFERROR(__xludf.DUMMYFUNCTION("""COMPUTED_VALUE"""),1.8476505E7)</f>
        <v>18476505</v>
      </c>
    </row>
    <row r="14885">
      <c r="A14885" t="str">
        <f t="shared" si="1"/>
        <v>lka#1998</v>
      </c>
      <c r="B14885" t="str">
        <f>IFERROR(__xludf.DUMMYFUNCTION("""COMPUTED_VALUE"""),"lka")</f>
        <v>lka</v>
      </c>
      <c r="C14885" t="str">
        <f>IFERROR(__xludf.DUMMYFUNCTION("""COMPUTED_VALUE"""),"Sri Lanka")</f>
        <v>Sri Lanka</v>
      </c>
      <c r="D14885">
        <f>IFERROR(__xludf.DUMMYFUNCTION("""COMPUTED_VALUE"""),1998.0)</f>
        <v>1998</v>
      </c>
      <c r="E14885">
        <f>IFERROR(__xludf.DUMMYFUNCTION("""COMPUTED_VALUE"""),1.8570701E7)</f>
        <v>18570701</v>
      </c>
    </row>
    <row r="14886">
      <c r="A14886" t="str">
        <f t="shared" si="1"/>
        <v>lka#1999</v>
      </c>
      <c r="B14886" t="str">
        <f>IFERROR(__xludf.DUMMYFUNCTION("""COMPUTED_VALUE"""),"lka")</f>
        <v>lka</v>
      </c>
      <c r="C14886" t="str">
        <f>IFERROR(__xludf.DUMMYFUNCTION("""COMPUTED_VALUE"""),"Sri Lanka")</f>
        <v>Sri Lanka</v>
      </c>
      <c r="D14886">
        <f>IFERROR(__xludf.DUMMYFUNCTION("""COMPUTED_VALUE"""),1999.0)</f>
        <v>1999</v>
      </c>
      <c r="E14886">
        <f>IFERROR(__xludf.DUMMYFUNCTION("""COMPUTED_VALUE"""),1.8669103E7)</f>
        <v>18669103</v>
      </c>
    </row>
    <row r="14887">
      <c r="A14887" t="str">
        <f t="shared" si="1"/>
        <v>lka#2000</v>
      </c>
      <c r="B14887" t="str">
        <f>IFERROR(__xludf.DUMMYFUNCTION("""COMPUTED_VALUE"""),"lka")</f>
        <v>lka</v>
      </c>
      <c r="C14887" t="str">
        <f>IFERROR(__xludf.DUMMYFUNCTION("""COMPUTED_VALUE"""),"Sri Lanka")</f>
        <v>Sri Lanka</v>
      </c>
      <c r="D14887">
        <f>IFERROR(__xludf.DUMMYFUNCTION("""COMPUTED_VALUE"""),2000.0)</f>
        <v>2000</v>
      </c>
      <c r="E14887">
        <f>IFERROR(__xludf.DUMMYFUNCTION("""COMPUTED_VALUE"""),1.8781938E7)</f>
        <v>18781938</v>
      </c>
    </row>
    <row r="14888">
      <c r="A14888" t="str">
        <f t="shared" si="1"/>
        <v>lka#2001</v>
      </c>
      <c r="B14888" t="str">
        <f>IFERROR(__xludf.DUMMYFUNCTION("""COMPUTED_VALUE"""),"lka")</f>
        <v>lka</v>
      </c>
      <c r="C14888" t="str">
        <f>IFERROR(__xludf.DUMMYFUNCTION("""COMPUTED_VALUE"""),"Sri Lanka")</f>
        <v>Sri Lanka</v>
      </c>
      <c r="D14888">
        <f>IFERROR(__xludf.DUMMYFUNCTION("""COMPUTED_VALUE"""),2001.0)</f>
        <v>2001</v>
      </c>
      <c r="E14888">
        <f>IFERROR(__xludf.DUMMYFUNCTION("""COMPUTED_VALUE"""),1.8913054E7)</f>
        <v>18913054</v>
      </c>
    </row>
    <row r="14889">
      <c r="A14889" t="str">
        <f t="shared" si="1"/>
        <v>lka#2002</v>
      </c>
      <c r="B14889" t="str">
        <f>IFERROR(__xludf.DUMMYFUNCTION("""COMPUTED_VALUE"""),"lka")</f>
        <v>lka</v>
      </c>
      <c r="C14889" t="str">
        <f>IFERROR(__xludf.DUMMYFUNCTION("""COMPUTED_VALUE"""),"Sri Lanka")</f>
        <v>Sri Lanka</v>
      </c>
      <c r="D14889">
        <f>IFERROR(__xludf.DUMMYFUNCTION("""COMPUTED_VALUE"""),2002.0)</f>
        <v>2002</v>
      </c>
      <c r="E14889">
        <f>IFERROR(__xludf.DUMMYFUNCTION("""COMPUTED_VALUE"""),1.90593E7)</f>
        <v>19059300</v>
      </c>
    </row>
    <row r="14890">
      <c r="A14890" t="str">
        <f t="shared" si="1"/>
        <v>lka#2003</v>
      </c>
      <c r="B14890" t="str">
        <f>IFERROR(__xludf.DUMMYFUNCTION("""COMPUTED_VALUE"""),"lka")</f>
        <v>lka</v>
      </c>
      <c r="C14890" t="str">
        <f>IFERROR(__xludf.DUMMYFUNCTION("""COMPUTED_VALUE"""),"Sri Lanka")</f>
        <v>Sri Lanka</v>
      </c>
      <c r="D14890">
        <f>IFERROR(__xludf.DUMMYFUNCTION("""COMPUTED_VALUE"""),2003.0)</f>
        <v>2003</v>
      </c>
      <c r="E14890">
        <f>IFERROR(__xludf.DUMMYFUNCTION("""COMPUTED_VALUE"""),1.9215307E7)</f>
        <v>19215307</v>
      </c>
    </row>
    <row r="14891">
      <c r="A14891" t="str">
        <f t="shared" si="1"/>
        <v>lka#2004</v>
      </c>
      <c r="B14891" t="str">
        <f>IFERROR(__xludf.DUMMYFUNCTION("""COMPUTED_VALUE"""),"lka")</f>
        <v>lka</v>
      </c>
      <c r="C14891" t="str">
        <f>IFERROR(__xludf.DUMMYFUNCTION("""COMPUTED_VALUE"""),"Sri Lanka")</f>
        <v>Sri Lanka</v>
      </c>
      <c r="D14891">
        <f>IFERROR(__xludf.DUMMYFUNCTION("""COMPUTED_VALUE"""),2004.0)</f>
        <v>2004</v>
      </c>
      <c r="E14891">
        <f>IFERROR(__xludf.DUMMYFUNCTION("""COMPUTED_VALUE"""),1.9372538E7)</f>
        <v>19372538</v>
      </c>
    </row>
    <row r="14892">
      <c r="A14892" t="str">
        <f t="shared" si="1"/>
        <v>lka#2005</v>
      </c>
      <c r="B14892" t="str">
        <f>IFERROR(__xludf.DUMMYFUNCTION("""COMPUTED_VALUE"""),"lka")</f>
        <v>lka</v>
      </c>
      <c r="C14892" t="str">
        <f>IFERROR(__xludf.DUMMYFUNCTION("""COMPUTED_VALUE"""),"Sri Lanka")</f>
        <v>Sri Lanka</v>
      </c>
      <c r="D14892">
        <f>IFERROR(__xludf.DUMMYFUNCTION("""COMPUTED_VALUE"""),2005.0)</f>
        <v>2005</v>
      </c>
      <c r="E14892">
        <f>IFERROR(__xludf.DUMMYFUNCTION("""COMPUTED_VALUE"""),1.9524558E7)</f>
        <v>19524558</v>
      </c>
    </row>
    <row r="14893">
      <c r="A14893" t="str">
        <f t="shared" si="1"/>
        <v>lka#2006</v>
      </c>
      <c r="B14893" t="str">
        <f>IFERROR(__xludf.DUMMYFUNCTION("""COMPUTED_VALUE"""),"lka")</f>
        <v>lka</v>
      </c>
      <c r="C14893" t="str">
        <f>IFERROR(__xludf.DUMMYFUNCTION("""COMPUTED_VALUE"""),"Sri Lanka")</f>
        <v>Sri Lanka</v>
      </c>
      <c r="D14893">
        <f>IFERROR(__xludf.DUMMYFUNCTION("""COMPUTED_VALUE"""),2006.0)</f>
        <v>2006</v>
      </c>
      <c r="E14893">
        <f>IFERROR(__xludf.DUMMYFUNCTION("""COMPUTED_VALUE"""),1.9670151E7)</f>
        <v>19670151</v>
      </c>
    </row>
    <row r="14894">
      <c r="A14894" t="str">
        <f t="shared" si="1"/>
        <v>lka#2007</v>
      </c>
      <c r="B14894" t="str">
        <f>IFERROR(__xludf.DUMMYFUNCTION("""COMPUTED_VALUE"""),"lka")</f>
        <v>lka</v>
      </c>
      <c r="C14894" t="str">
        <f>IFERROR(__xludf.DUMMYFUNCTION("""COMPUTED_VALUE"""),"Sri Lanka")</f>
        <v>Sri Lanka</v>
      </c>
      <c r="D14894">
        <f>IFERROR(__xludf.DUMMYFUNCTION("""COMPUTED_VALUE"""),2007.0)</f>
        <v>2007</v>
      </c>
      <c r="E14894">
        <f>IFERROR(__xludf.DUMMYFUNCTION("""COMPUTED_VALUE"""),1.9810789E7)</f>
        <v>19810789</v>
      </c>
    </row>
    <row r="14895">
      <c r="A14895" t="str">
        <f t="shared" si="1"/>
        <v>lka#2008</v>
      </c>
      <c r="B14895" t="str">
        <f>IFERROR(__xludf.DUMMYFUNCTION("""COMPUTED_VALUE"""),"lka")</f>
        <v>lka</v>
      </c>
      <c r="C14895" t="str">
        <f>IFERROR(__xludf.DUMMYFUNCTION("""COMPUTED_VALUE"""),"Sri Lanka")</f>
        <v>Sri Lanka</v>
      </c>
      <c r="D14895">
        <f>IFERROR(__xludf.DUMMYFUNCTION("""COMPUTED_VALUE"""),2008.0)</f>
        <v>2008</v>
      </c>
      <c r="E14895">
        <f>IFERROR(__xludf.DUMMYFUNCTION("""COMPUTED_VALUE"""),1.9945832E7)</f>
        <v>19945832</v>
      </c>
    </row>
    <row r="14896">
      <c r="A14896" t="str">
        <f t="shared" si="1"/>
        <v>lka#2009</v>
      </c>
      <c r="B14896" t="str">
        <f>IFERROR(__xludf.DUMMYFUNCTION("""COMPUTED_VALUE"""),"lka")</f>
        <v>lka</v>
      </c>
      <c r="C14896" t="str">
        <f>IFERROR(__xludf.DUMMYFUNCTION("""COMPUTED_VALUE"""),"Sri Lanka")</f>
        <v>Sri Lanka</v>
      </c>
      <c r="D14896">
        <f>IFERROR(__xludf.DUMMYFUNCTION("""COMPUTED_VALUE"""),2009.0)</f>
        <v>2009</v>
      </c>
      <c r="E14896">
        <f>IFERROR(__xludf.DUMMYFUNCTION("""COMPUTED_VALUE"""),2.0075086E7)</f>
        <v>20075086</v>
      </c>
    </row>
    <row r="14897">
      <c r="A14897" t="str">
        <f t="shared" si="1"/>
        <v>lka#2010</v>
      </c>
      <c r="B14897" t="str">
        <f>IFERROR(__xludf.DUMMYFUNCTION("""COMPUTED_VALUE"""),"lka")</f>
        <v>lka</v>
      </c>
      <c r="C14897" t="str">
        <f>IFERROR(__xludf.DUMMYFUNCTION("""COMPUTED_VALUE"""),"Sri Lanka")</f>
        <v>Sri Lanka</v>
      </c>
      <c r="D14897">
        <f>IFERROR(__xludf.DUMMYFUNCTION("""COMPUTED_VALUE"""),2010.0)</f>
        <v>2010</v>
      </c>
      <c r="E14897">
        <f>IFERROR(__xludf.DUMMYFUNCTION("""COMPUTED_VALUE"""),2.0198353E7)</f>
        <v>20198353</v>
      </c>
    </row>
    <row r="14898">
      <c r="A14898" t="str">
        <f t="shared" si="1"/>
        <v>lka#2011</v>
      </c>
      <c r="B14898" t="str">
        <f>IFERROR(__xludf.DUMMYFUNCTION("""COMPUTED_VALUE"""),"lka")</f>
        <v>lka</v>
      </c>
      <c r="C14898" t="str">
        <f>IFERROR(__xludf.DUMMYFUNCTION("""COMPUTED_VALUE"""),"Sri Lanka")</f>
        <v>Sri Lanka</v>
      </c>
      <c r="D14898">
        <f>IFERROR(__xludf.DUMMYFUNCTION("""COMPUTED_VALUE"""),2011.0)</f>
        <v>2011</v>
      </c>
      <c r="E14898">
        <f>IFERROR(__xludf.DUMMYFUNCTION("""COMPUTED_VALUE"""),2.0315017E7)</f>
        <v>20315017</v>
      </c>
    </row>
    <row r="14899">
      <c r="A14899" t="str">
        <f t="shared" si="1"/>
        <v>lka#2012</v>
      </c>
      <c r="B14899" t="str">
        <f>IFERROR(__xludf.DUMMYFUNCTION("""COMPUTED_VALUE"""),"lka")</f>
        <v>lka</v>
      </c>
      <c r="C14899" t="str">
        <f>IFERROR(__xludf.DUMMYFUNCTION("""COMPUTED_VALUE"""),"Sri Lanka")</f>
        <v>Sri Lanka</v>
      </c>
      <c r="D14899">
        <f>IFERROR(__xludf.DUMMYFUNCTION("""COMPUTED_VALUE"""),2012.0)</f>
        <v>2012</v>
      </c>
      <c r="E14899">
        <f>IFERROR(__xludf.DUMMYFUNCTION("""COMPUTED_VALUE"""),2.0424555E7)</f>
        <v>20424555</v>
      </c>
    </row>
    <row r="14900">
      <c r="A14900" t="str">
        <f t="shared" si="1"/>
        <v>lka#2013</v>
      </c>
      <c r="B14900" t="str">
        <f>IFERROR(__xludf.DUMMYFUNCTION("""COMPUTED_VALUE"""),"lka")</f>
        <v>lka</v>
      </c>
      <c r="C14900" t="str">
        <f>IFERROR(__xludf.DUMMYFUNCTION("""COMPUTED_VALUE"""),"Sri Lanka")</f>
        <v>Sri Lanka</v>
      </c>
      <c r="D14900">
        <f>IFERROR(__xludf.DUMMYFUNCTION("""COMPUTED_VALUE"""),2013.0)</f>
        <v>2013</v>
      </c>
      <c r="E14900">
        <f>IFERROR(__xludf.DUMMYFUNCTION("""COMPUTED_VALUE"""),2.0527233E7)</f>
        <v>20527233</v>
      </c>
    </row>
    <row r="14901">
      <c r="A14901" t="str">
        <f t="shared" si="1"/>
        <v>lka#2014</v>
      </c>
      <c r="B14901" t="str">
        <f>IFERROR(__xludf.DUMMYFUNCTION("""COMPUTED_VALUE"""),"lka")</f>
        <v>lka</v>
      </c>
      <c r="C14901" t="str">
        <f>IFERROR(__xludf.DUMMYFUNCTION("""COMPUTED_VALUE"""),"Sri Lanka")</f>
        <v>Sri Lanka</v>
      </c>
      <c r="D14901">
        <f>IFERROR(__xludf.DUMMYFUNCTION("""COMPUTED_VALUE"""),2014.0)</f>
        <v>2014</v>
      </c>
      <c r="E14901">
        <f>IFERROR(__xludf.DUMMYFUNCTION("""COMPUTED_VALUE"""),2.0623564E7)</f>
        <v>20623564</v>
      </c>
    </row>
    <row r="14902">
      <c r="A14902" t="str">
        <f t="shared" si="1"/>
        <v>lka#2015</v>
      </c>
      <c r="B14902" t="str">
        <f>IFERROR(__xludf.DUMMYFUNCTION("""COMPUTED_VALUE"""),"lka")</f>
        <v>lka</v>
      </c>
      <c r="C14902" t="str">
        <f>IFERROR(__xludf.DUMMYFUNCTION("""COMPUTED_VALUE"""),"Sri Lanka")</f>
        <v>Sri Lanka</v>
      </c>
      <c r="D14902">
        <f>IFERROR(__xludf.DUMMYFUNCTION("""COMPUTED_VALUE"""),2015.0)</f>
        <v>2015</v>
      </c>
      <c r="E14902">
        <f>IFERROR(__xludf.DUMMYFUNCTION("""COMPUTED_VALUE"""),2.071404E7)</f>
        <v>20714040</v>
      </c>
    </row>
    <row r="14903">
      <c r="A14903" t="str">
        <f t="shared" si="1"/>
        <v>lka#2016</v>
      </c>
      <c r="B14903" t="str">
        <f>IFERROR(__xludf.DUMMYFUNCTION("""COMPUTED_VALUE"""),"lka")</f>
        <v>lka</v>
      </c>
      <c r="C14903" t="str">
        <f>IFERROR(__xludf.DUMMYFUNCTION("""COMPUTED_VALUE"""),"Sri Lanka")</f>
        <v>Sri Lanka</v>
      </c>
      <c r="D14903">
        <f>IFERROR(__xludf.DUMMYFUNCTION("""COMPUTED_VALUE"""),2016.0)</f>
        <v>2016</v>
      </c>
      <c r="E14903">
        <f>IFERROR(__xludf.DUMMYFUNCTION("""COMPUTED_VALUE"""),2.0798492E7)</f>
        <v>20798492</v>
      </c>
    </row>
    <row r="14904">
      <c r="A14904" t="str">
        <f t="shared" si="1"/>
        <v>lka#2017</v>
      </c>
      <c r="B14904" t="str">
        <f>IFERROR(__xludf.DUMMYFUNCTION("""COMPUTED_VALUE"""),"lka")</f>
        <v>lka</v>
      </c>
      <c r="C14904" t="str">
        <f>IFERROR(__xludf.DUMMYFUNCTION("""COMPUTED_VALUE"""),"Sri Lanka")</f>
        <v>Sri Lanka</v>
      </c>
      <c r="D14904">
        <f>IFERROR(__xludf.DUMMYFUNCTION("""COMPUTED_VALUE"""),2017.0)</f>
        <v>2017</v>
      </c>
      <c r="E14904">
        <f>IFERROR(__xludf.DUMMYFUNCTION("""COMPUTED_VALUE"""),2.0876917E7)</f>
        <v>20876917</v>
      </c>
    </row>
    <row r="14905">
      <c r="A14905" t="str">
        <f t="shared" si="1"/>
        <v>lka#2018</v>
      </c>
      <c r="B14905" t="str">
        <f>IFERROR(__xludf.DUMMYFUNCTION("""COMPUTED_VALUE"""),"lka")</f>
        <v>lka</v>
      </c>
      <c r="C14905" t="str">
        <f>IFERROR(__xludf.DUMMYFUNCTION("""COMPUTED_VALUE"""),"Sri Lanka")</f>
        <v>Sri Lanka</v>
      </c>
      <c r="D14905">
        <f>IFERROR(__xludf.DUMMYFUNCTION("""COMPUTED_VALUE"""),2018.0)</f>
        <v>2018</v>
      </c>
      <c r="E14905">
        <f>IFERROR(__xludf.DUMMYFUNCTION("""COMPUTED_VALUE"""),2.0950041E7)</f>
        <v>20950041</v>
      </c>
    </row>
    <row r="14906">
      <c r="A14906" t="str">
        <f t="shared" si="1"/>
        <v>lka#2019</v>
      </c>
      <c r="B14906" t="str">
        <f>IFERROR(__xludf.DUMMYFUNCTION("""COMPUTED_VALUE"""),"lka")</f>
        <v>lka</v>
      </c>
      <c r="C14906" t="str">
        <f>IFERROR(__xludf.DUMMYFUNCTION("""COMPUTED_VALUE"""),"Sri Lanka")</f>
        <v>Sri Lanka</v>
      </c>
      <c r="D14906">
        <f>IFERROR(__xludf.DUMMYFUNCTION("""COMPUTED_VALUE"""),2019.0)</f>
        <v>2019</v>
      </c>
      <c r="E14906">
        <f>IFERROR(__xludf.DUMMYFUNCTION("""COMPUTED_VALUE"""),2.1018859E7)</f>
        <v>21018859</v>
      </c>
    </row>
    <row r="14907">
      <c r="A14907" t="str">
        <f t="shared" si="1"/>
        <v>lka#2020</v>
      </c>
      <c r="B14907" t="str">
        <f>IFERROR(__xludf.DUMMYFUNCTION("""COMPUTED_VALUE"""),"lka")</f>
        <v>lka</v>
      </c>
      <c r="C14907" t="str">
        <f>IFERROR(__xludf.DUMMYFUNCTION("""COMPUTED_VALUE"""),"Sri Lanka")</f>
        <v>Sri Lanka</v>
      </c>
      <c r="D14907">
        <f>IFERROR(__xludf.DUMMYFUNCTION("""COMPUTED_VALUE"""),2020.0)</f>
        <v>2020</v>
      </c>
      <c r="E14907">
        <f>IFERROR(__xludf.DUMMYFUNCTION("""COMPUTED_VALUE"""),2.1084042E7)</f>
        <v>21084042</v>
      </c>
    </row>
    <row r="14908">
      <c r="A14908" t="str">
        <f t="shared" si="1"/>
        <v>lka#2021</v>
      </c>
      <c r="B14908" t="str">
        <f>IFERROR(__xludf.DUMMYFUNCTION("""COMPUTED_VALUE"""),"lka")</f>
        <v>lka</v>
      </c>
      <c r="C14908" t="str">
        <f>IFERROR(__xludf.DUMMYFUNCTION("""COMPUTED_VALUE"""),"Sri Lanka")</f>
        <v>Sri Lanka</v>
      </c>
      <c r="D14908">
        <f>IFERROR(__xludf.DUMMYFUNCTION("""COMPUTED_VALUE"""),2021.0)</f>
        <v>2021</v>
      </c>
      <c r="E14908">
        <f>IFERROR(__xludf.DUMMYFUNCTION("""COMPUTED_VALUE"""),2.1145999E7)</f>
        <v>21145999</v>
      </c>
    </row>
    <row r="14909">
      <c r="A14909" t="str">
        <f t="shared" si="1"/>
        <v>lka#2022</v>
      </c>
      <c r="B14909" t="str">
        <f>IFERROR(__xludf.DUMMYFUNCTION("""COMPUTED_VALUE"""),"lka")</f>
        <v>lka</v>
      </c>
      <c r="C14909" t="str">
        <f>IFERROR(__xludf.DUMMYFUNCTION("""COMPUTED_VALUE"""),"Sri Lanka")</f>
        <v>Sri Lanka</v>
      </c>
      <c r="D14909">
        <f>IFERROR(__xludf.DUMMYFUNCTION("""COMPUTED_VALUE"""),2022.0)</f>
        <v>2022</v>
      </c>
      <c r="E14909">
        <f>IFERROR(__xludf.DUMMYFUNCTION("""COMPUTED_VALUE"""),2.1204501E7)</f>
        <v>21204501</v>
      </c>
    </row>
    <row r="14910">
      <c r="A14910" t="str">
        <f t="shared" si="1"/>
        <v>lka#2023</v>
      </c>
      <c r="B14910" t="str">
        <f>IFERROR(__xludf.DUMMYFUNCTION("""COMPUTED_VALUE"""),"lka")</f>
        <v>lka</v>
      </c>
      <c r="C14910" t="str">
        <f>IFERROR(__xludf.DUMMYFUNCTION("""COMPUTED_VALUE"""),"Sri Lanka")</f>
        <v>Sri Lanka</v>
      </c>
      <c r="D14910">
        <f>IFERROR(__xludf.DUMMYFUNCTION("""COMPUTED_VALUE"""),2023.0)</f>
        <v>2023</v>
      </c>
      <c r="E14910">
        <f>IFERROR(__xludf.DUMMYFUNCTION("""COMPUTED_VALUE"""),2.1258732E7)</f>
        <v>21258732</v>
      </c>
    </row>
    <row r="14911">
      <c r="A14911" t="str">
        <f t="shared" si="1"/>
        <v>lka#2024</v>
      </c>
      <c r="B14911" t="str">
        <f>IFERROR(__xludf.DUMMYFUNCTION("""COMPUTED_VALUE"""),"lka")</f>
        <v>lka</v>
      </c>
      <c r="C14911" t="str">
        <f>IFERROR(__xludf.DUMMYFUNCTION("""COMPUTED_VALUE"""),"Sri Lanka")</f>
        <v>Sri Lanka</v>
      </c>
      <c r="D14911">
        <f>IFERROR(__xludf.DUMMYFUNCTION("""COMPUTED_VALUE"""),2024.0)</f>
        <v>2024</v>
      </c>
      <c r="E14911">
        <f>IFERROR(__xludf.DUMMYFUNCTION("""COMPUTED_VALUE"""),2.1307487E7)</f>
        <v>21307487</v>
      </c>
    </row>
    <row r="14912">
      <c r="A14912" t="str">
        <f t="shared" si="1"/>
        <v>lka#2025</v>
      </c>
      <c r="B14912" t="str">
        <f>IFERROR(__xludf.DUMMYFUNCTION("""COMPUTED_VALUE"""),"lka")</f>
        <v>lka</v>
      </c>
      <c r="C14912" t="str">
        <f>IFERROR(__xludf.DUMMYFUNCTION("""COMPUTED_VALUE"""),"Sri Lanka")</f>
        <v>Sri Lanka</v>
      </c>
      <c r="D14912">
        <f>IFERROR(__xludf.DUMMYFUNCTION("""COMPUTED_VALUE"""),2025.0)</f>
        <v>2025</v>
      </c>
      <c r="E14912">
        <f>IFERROR(__xludf.DUMMYFUNCTION("""COMPUTED_VALUE"""),2.1349942E7)</f>
        <v>21349942</v>
      </c>
    </row>
    <row r="14913">
      <c r="A14913" t="str">
        <f t="shared" si="1"/>
        <v>lka#2026</v>
      </c>
      <c r="B14913" t="str">
        <f>IFERROR(__xludf.DUMMYFUNCTION("""COMPUTED_VALUE"""),"lka")</f>
        <v>lka</v>
      </c>
      <c r="C14913" t="str">
        <f>IFERROR(__xludf.DUMMYFUNCTION("""COMPUTED_VALUE"""),"Sri Lanka")</f>
        <v>Sri Lanka</v>
      </c>
      <c r="D14913">
        <f>IFERROR(__xludf.DUMMYFUNCTION("""COMPUTED_VALUE"""),2026.0)</f>
        <v>2026</v>
      </c>
      <c r="E14913">
        <f>IFERROR(__xludf.DUMMYFUNCTION("""COMPUTED_VALUE"""),2.1385841E7)</f>
        <v>21385841</v>
      </c>
    </row>
    <row r="14914">
      <c r="A14914" t="str">
        <f t="shared" si="1"/>
        <v>lka#2027</v>
      </c>
      <c r="B14914" t="str">
        <f>IFERROR(__xludf.DUMMYFUNCTION("""COMPUTED_VALUE"""),"lka")</f>
        <v>lka</v>
      </c>
      <c r="C14914" t="str">
        <f>IFERROR(__xludf.DUMMYFUNCTION("""COMPUTED_VALUE"""),"Sri Lanka")</f>
        <v>Sri Lanka</v>
      </c>
      <c r="D14914">
        <f>IFERROR(__xludf.DUMMYFUNCTION("""COMPUTED_VALUE"""),2027.0)</f>
        <v>2027</v>
      </c>
      <c r="E14914">
        <f>IFERROR(__xludf.DUMMYFUNCTION("""COMPUTED_VALUE"""),2.1415549E7)</f>
        <v>21415549</v>
      </c>
    </row>
    <row r="14915">
      <c r="A14915" t="str">
        <f t="shared" si="1"/>
        <v>lka#2028</v>
      </c>
      <c r="B14915" t="str">
        <f>IFERROR(__xludf.DUMMYFUNCTION("""COMPUTED_VALUE"""),"lka")</f>
        <v>lka</v>
      </c>
      <c r="C14915" t="str">
        <f>IFERROR(__xludf.DUMMYFUNCTION("""COMPUTED_VALUE"""),"Sri Lanka")</f>
        <v>Sri Lanka</v>
      </c>
      <c r="D14915">
        <f>IFERROR(__xludf.DUMMYFUNCTION("""COMPUTED_VALUE"""),2028.0)</f>
        <v>2028</v>
      </c>
      <c r="E14915">
        <f>IFERROR(__xludf.DUMMYFUNCTION("""COMPUTED_VALUE"""),2.143969E7)</f>
        <v>21439690</v>
      </c>
    </row>
    <row r="14916">
      <c r="A14916" t="str">
        <f t="shared" si="1"/>
        <v>lka#2029</v>
      </c>
      <c r="B14916" t="str">
        <f>IFERROR(__xludf.DUMMYFUNCTION("""COMPUTED_VALUE"""),"lka")</f>
        <v>lka</v>
      </c>
      <c r="C14916" t="str">
        <f>IFERROR(__xludf.DUMMYFUNCTION("""COMPUTED_VALUE"""),"Sri Lanka")</f>
        <v>Sri Lanka</v>
      </c>
      <c r="D14916">
        <f>IFERROR(__xludf.DUMMYFUNCTION("""COMPUTED_VALUE"""),2029.0)</f>
        <v>2029</v>
      </c>
      <c r="E14916">
        <f>IFERROR(__xludf.DUMMYFUNCTION("""COMPUTED_VALUE"""),2.1459185E7)</f>
        <v>21459185</v>
      </c>
    </row>
    <row r="14917">
      <c r="A14917" t="str">
        <f t="shared" si="1"/>
        <v>lka#2030</v>
      </c>
      <c r="B14917" t="str">
        <f>IFERROR(__xludf.DUMMYFUNCTION("""COMPUTED_VALUE"""),"lka")</f>
        <v>lka</v>
      </c>
      <c r="C14917" t="str">
        <f>IFERROR(__xludf.DUMMYFUNCTION("""COMPUTED_VALUE"""),"Sri Lanka")</f>
        <v>Sri Lanka</v>
      </c>
      <c r="D14917">
        <f>IFERROR(__xludf.DUMMYFUNCTION("""COMPUTED_VALUE"""),2030.0)</f>
        <v>2030</v>
      </c>
      <c r="E14917">
        <f>IFERROR(__xludf.DUMMYFUNCTION("""COMPUTED_VALUE"""),2.1474701E7)</f>
        <v>21474701</v>
      </c>
    </row>
    <row r="14918">
      <c r="A14918" t="str">
        <f t="shared" si="1"/>
        <v>lka#2031</v>
      </c>
      <c r="B14918" t="str">
        <f>IFERROR(__xludf.DUMMYFUNCTION("""COMPUTED_VALUE"""),"lka")</f>
        <v>lka</v>
      </c>
      <c r="C14918" t="str">
        <f>IFERROR(__xludf.DUMMYFUNCTION("""COMPUTED_VALUE"""),"Sri Lanka")</f>
        <v>Sri Lanka</v>
      </c>
      <c r="D14918">
        <f>IFERROR(__xludf.DUMMYFUNCTION("""COMPUTED_VALUE"""),2031.0)</f>
        <v>2031</v>
      </c>
      <c r="E14918">
        <f>IFERROR(__xludf.DUMMYFUNCTION("""COMPUTED_VALUE"""),2.1486363E7)</f>
        <v>21486363</v>
      </c>
    </row>
    <row r="14919">
      <c r="A14919" t="str">
        <f t="shared" si="1"/>
        <v>lka#2032</v>
      </c>
      <c r="B14919" t="str">
        <f>IFERROR(__xludf.DUMMYFUNCTION("""COMPUTED_VALUE"""),"lka")</f>
        <v>lka</v>
      </c>
      <c r="C14919" t="str">
        <f>IFERROR(__xludf.DUMMYFUNCTION("""COMPUTED_VALUE"""),"Sri Lanka")</f>
        <v>Sri Lanka</v>
      </c>
      <c r="D14919">
        <f>IFERROR(__xludf.DUMMYFUNCTION("""COMPUTED_VALUE"""),2032.0)</f>
        <v>2032</v>
      </c>
      <c r="E14919">
        <f>IFERROR(__xludf.DUMMYFUNCTION("""COMPUTED_VALUE"""),2.1493979E7)</f>
        <v>21493979</v>
      </c>
    </row>
    <row r="14920">
      <c r="A14920" t="str">
        <f t="shared" si="1"/>
        <v>lka#2033</v>
      </c>
      <c r="B14920" t="str">
        <f>IFERROR(__xludf.DUMMYFUNCTION("""COMPUTED_VALUE"""),"lka")</f>
        <v>lka</v>
      </c>
      <c r="C14920" t="str">
        <f>IFERROR(__xludf.DUMMYFUNCTION("""COMPUTED_VALUE"""),"Sri Lanka")</f>
        <v>Sri Lanka</v>
      </c>
      <c r="D14920">
        <f>IFERROR(__xludf.DUMMYFUNCTION("""COMPUTED_VALUE"""),2033.0)</f>
        <v>2033</v>
      </c>
      <c r="E14920">
        <f>IFERROR(__xludf.DUMMYFUNCTION("""COMPUTED_VALUE"""),2.1497516E7)</f>
        <v>21497516</v>
      </c>
    </row>
    <row r="14921">
      <c r="A14921" t="str">
        <f t="shared" si="1"/>
        <v>lka#2034</v>
      </c>
      <c r="B14921" t="str">
        <f>IFERROR(__xludf.DUMMYFUNCTION("""COMPUTED_VALUE"""),"lka")</f>
        <v>lka</v>
      </c>
      <c r="C14921" t="str">
        <f>IFERROR(__xludf.DUMMYFUNCTION("""COMPUTED_VALUE"""),"Sri Lanka")</f>
        <v>Sri Lanka</v>
      </c>
      <c r="D14921">
        <f>IFERROR(__xludf.DUMMYFUNCTION("""COMPUTED_VALUE"""),2034.0)</f>
        <v>2034</v>
      </c>
      <c r="E14921">
        <f>IFERROR(__xludf.DUMMYFUNCTION("""COMPUTED_VALUE"""),2.1496867E7)</f>
        <v>21496867</v>
      </c>
    </row>
    <row r="14922">
      <c r="A14922" t="str">
        <f t="shared" si="1"/>
        <v>lka#2035</v>
      </c>
      <c r="B14922" t="str">
        <f>IFERROR(__xludf.DUMMYFUNCTION("""COMPUTED_VALUE"""),"lka")</f>
        <v>lka</v>
      </c>
      <c r="C14922" t="str">
        <f>IFERROR(__xludf.DUMMYFUNCTION("""COMPUTED_VALUE"""),"Sri Lanka")</f>
        <v>Sri Lanka</v>
      </c>
      <c r="D14922">
        <f>IFERROR(__xludf.DUMMYFUNCTION("""COMPUTED_VALUE"""),2035.0)</f>
        <v>2035</v>
      </c>
      <c r="E14922">
        <f>IFERROR(__xludf.DUMMYFUNCTION("""COMPUTED_VALUE"""),2.1491895E7)</f>
        <v>21491895</v>
      </c>
    </row>
    <row r="14923">
      <c r="A14923" t="str">
        <f t="shared" si="1"/>
        <v>lka#2036</v>
      </c>
      <c r="B14923" t="str">
        <f>IFERROR(__xludf.DUMMYFUNCTION("""COMPUTED_VALUE"""),"lka")</f>
        <v>lka</v>
      </c>
      <c r="C14923" t="str">
        <f>IFERROR(__xludf.DUMMYFUNCTION("""COMPUTED_VALUE"""),"Sri Lanka")</f>
        <v>Sri Lanka</v>
      </c>
      <c r="D14923">
        <f>IFERROR(__xludf.DUMMYFUNCTION("""COMPUTED_VALUE"""),2036.0)</f>
        <v>2036</v>
      </c>
      <c r="E14923">
        <f>IFERROR(__xludf.DUMMYFUNCTION("""COMPUTED_VALUE"""),2.148263E7)</f>
        <v>21482630</v>
      </c>
    </row>
    <row r="14924">
      <c r="A14924" t="str">
        <f t="shared" si="1"/>
        <v>lka#2037</v>
      </c>
      <c r="B14924" t="str">
        <f>IFERROR(__xludf.DUMMYFUNCTION("""COMPUTED_VALUE"""),"lka")</f>
        <v>lka</v>
      </c>
      <c r="C14924" t="str">
        <f>IFERROR(__xludf.DUMMYFUNCTION("""COMPUTED_VALUE"""),"Sri Lanka")</f>
        <v>Sri Lanka</v>
      </c>
      <c r="D14924">
        <f>IFERROR(__xludf.DUMMYFUNCTION("""COMPUTED_VALUE"""),2037.0)</f>
        <v>2037</v>
      </c>
      <c r="E14924">
        <f>IFERROR(__xludf.DUMMYFUNCTION("""COMPUTED_VALUE"""),2.1469003E7)</f>
        <v>21469003</v>
      </c>
    </row>
    <row r="14925">
      <c r="A14925" t="str">
        <f t="shared" si="1"/>
        <v>lka#2038</v>
      </c>
      <c r="B14925" t="str">
        <f>IFERROR(__xludf.DUMMYFUNCTION("""COMPUTED_VALUE"""),"lka")</f>
        <v>lka</v>
      </c>
      <c r="C14925" t="str">
        <f>IFERROR(__xludf.DUMMYFUNCTION("""COMPUTED_VALUE"""),"Sri Lanka")</f>
        <v>Sri Lanka</v>
      </c>
      <c r="D14925">
        <f>IFERROR(__xludf.DUMMYFUNCTION("""COMPUTED_VALUE"""),2038.0)</f>
        <v>2038</v>
      </c>
      <c r="E14925">
        <f>IFERROR(__xludf.DUMMYFUNCTION("""COMPUTED_VALUE"""),2.1450633E7)</f>
        <v>21450633</v>
      </c>
    </row>
    <row r="14926">
      <c r="A14926" t="str">
        <f t="shared" si="1"/>
        <v>lka#2039</v>
      </c>
      <c r="B14926" t="str">
        <f>IFERROR(__xludf.DUMMYFUNCTION("""COMPUTED_VALUE"""),"lka")</f>
        <v>lka</v>
      </c>
      <c r="C14926" t="str">
        <f>IFERROR(__xludf.DUMMYFUNCTION("""COMPUTED_VALUE"""),"Sri Lanka")</f>
        <v>Sri Lanka</v>
      </c>
      <c r="D14926">
        <f>IFERROR(__xludf.DUMMYFUNCTION("""COMPUTED_VALUE"""),2039.0)</f>
        <v>2039</v>
      </c>
      <c r="E14926">
        <f>IFERROR(__xludf.DUMMYFUNCTION("""COMPUTED_VALUE"""),2.1427001E7)</f>
        <v>21427001</v>
      </c>
    </row>
    <row r="14927">
      <c r="A14927" t="str">
        <f t="shared" si="1"/>
        <v>lka#2040</v>
      </c>
      <c r="B14927" t="str">
        <f>IFERROR(__xludf.DUMMYFUNCTION("""COMPUTED_VALUE"""),"lka")</f>
        <v>lka</v>
      </c>
      <c r="C14927" t="str">
        <f>IFERROR(__xludf.DUMMYFUNCTION("""COMPUTED_VALUE"""),"Sri Lanka")</f>
        <v>Sri Lanka</v>
      </c>
      <c r="D14927">
        <f>IFERROR(__xludf.DUMMYFUNCTION("""COMPUTED_VALUE"""),2040.0)</f>
        <v>2040</v>
      </c>
      <c r="E14927">
        <f>IFERROR(__xludf.DUMMYFUNCTION("""COMPUTED_VALUE"""),2.1397716E7)</f>
        <v>21397716</v>
      </c>
    </row>
    <row r="14928">
      <c r="A14928" t="str">
        <f t="shared" si="1"/>
        <v>sdn#1950</v>
      </c>
      <c r="B14928" t="str">
        <f>IFERROR(__xludf.DUMMYFUNCTION("""COMPUTED_VALUE"""),"sdn")</f>
        <v>sdn</v>
      </c>
      <c r="C14928" t="str">
        <f>IFERROR(__xludf.DUMMYFUNCTION("""COMPUTED_VALUE"""),"Sudan")</f>
        <v>Sudan</v>
      </c>
      <c r="D14928">
        <f>IFERROR(__xludf.DUMMYFUNCTION("""COMPUTED_VALUE"""),1950.0)</f>
        <v>1950</v>
      </c>
      <c r="E14928">
        <f>IFERROR(__xludf.DUMMYFUNCTION("""COMPUTED_VALUE"""),5733789.0)</f>
        <v>5733789</v>
      </c>
    </row>
    <row r="14929">
      <c r="A14929" t="str">
        <f t="shared" si="1"/>
        <v>sdn#1951</v>
      </c>
      <c r="B14929" t="str">
        <f>IFERROR(__xludf.DUMMYFUNCTION("""COMPUTED_VALUE"""),"sdn")</f>
        <v>sdn</v>
      </c>
      <c r="C14929" t="str">
        <f>IFERROR(__xludf.DUMMYFUNCTION("""COMPUTED_VALUE"""),"Sudan")</f>
        <v>Sudan</v>
      </c>
      <c r="D14929">
        <f>IFERROR(__xludf.DUMMYFUNCTION("""COMPUTED_VALUE"""),1951.0)</f>
        <v>1951</v>
      </c>
      <c r="E14929">
        <f>IFERROR(__xludf.DUMMYFUNCTION("""COMPUTED_VALUE"""),5884664.0)</f>
        <v>5884664</v>
      </c>
    </row>
    <row r="14930">
      <c r="A14930" t="str">
        <f t="shared" si="1"/>
        <v>sdn#1952</v>
      </c>
      <c r="B14930" t="str">
        <f>IFERROR(__xludf.DUMMYFUNCTION("""COMPUTED_VALUE"""),"sdn")</f>
        <v>sdn</v>
      </c>
      <c r="C14930" t="str">
        <f>IFERROR(__xludf.DUMMYFUNCTION("""COMPUTED_VALUE"""),"Sudan")</f>
        <v>Sudan</v>
      </c>
      <c r="D14930">
        <f>IFERROR(__xludf.DUMMYFUNCTION("""COMPUTED_VALUE"""),1952.0)</f>
        <v>1952</v>
      </c>
      <c r="E14930">
        <f>IFERROR(__xludf.DUMMYFUNCTION("""COMPUTED_VALUE"""),6041325.0)</f>
        <v>6041325</v>
      </c>
    </row>
    <row r="14931">
      <c r="A14931" t="str">
        <f t="shared" si="1"/>
        <v>sdn#1953</v>
      </c>
      <c r="B14931" t="str">
        <f>IFERROR(__xludf.DUMMYFUNCTION("""COMPUTED_VALUE"""),"sdn")</f>
        <v>sdn</v>
      </c>
      <c r="C14931" t="str">
        <f>IFERROR(__xludf.DUMMYFUNCTION("""COMPUTED_VALUE"""),"Sudan")</f>
        <v>Sudan</v>
      </c>
      <c r="D14931">
        <f>IFERROR(__xludf.DUMMYFUNCTION("""COMPUTED_VALUE"""),1953.0)</f>
        <v>1953</v>
      </c>
      <c r="E14931">
        <f>IFERROR(__xludf.DUMMYFUNCTION("""COMPUTED_VALUE"""),6204099.0)</f>
        <v>6204099</v>
      </c>
    </row>
    <row r="14932">
      <c r="A14932" t="str">
        <f t="shared" si="1"/>
        <v>sdn#1954</v>
      </c>
      <c r="B14932" t="str">
        <f>IFERROR(__xludf.DUMMYFUNCTION("""COMPUTED_VALUE"""),"sdn")</f>
        <v>sdn</v>
      </c>
      <c r="C14932" t="str">
        <f>IFERROR(__xludf.DUMMYFUNCTION("""COMPUTED_VALUE"""),"Sudan")</f>
        <v>Sudan</v>
      </c>
      <c r="D14932">
        <f>IFERROR(__xludf.DUMMYFUNCTION("""COMPUTED_VALUE"""),1954.0)</f>
        <v>1954</v>
      </c>
      <c r="E14932">
        <f>IFERROR(__xludf.DUMMYFUNCTION("""COMPUTED_VALUE"""),6373308.0)</f>
        <v>6373308</v>
      </c>
    </row>
    <row r="14933">
      <c r="A14933" t="str">
        <f t="shared" si="1"/>
        <v>sdn#1955</v>
      </c>
      <c r="B14933" t="str">
        <f>IFERROR(__xludf.DUMMYFUNCTION("""COMPUTED_VALUE"""),"sdn")</f>
        <v>sdn</v>
      </c>
      <c r="C14933" t="str">
        <f>IFERROR(__xludf.DUMMYFUNCTION("""COMPUTED_VALUE"""),"Sudan")</f>
        <v>Sudan</v>
      </c>
      <c r="D14933">
        <f>IFERROR(__xludf.DUMMYFUNCTION("""COMPUTED_VALUE"""),1955.0)</f>
        <v>1955</v>
      </c>
      <c r="E14933">
        <f>IFERROR(__xludf.DUMMYFUNCTION("""COMPUTED_VALUE"""),6549298.0)</f>
        <v>6549298</v>
      </c>
    </row>
    <row r="14934">
      <c r="A14934" t="str">
        <f t="shared" si="1"/>
        <v>sdn#1956</v>
      </c>
      <c r="B14934" t="str">
        <f>IFERROR(__xludf.DUMMYFUNCTION("""COMPUTED_VALUE"""),"sdn")</f>
        <v>sdn</v>
      </c>
      <c r="C14934" t="str">
        <f>IFERROR(__xludf.DUMMYFUNCTION("""COMPUTED_VALUE"""),"Sudan")</f>
        <v>Sudan</v>
      </c>
      <c r="D14934">
        <f>IFERROR(__xludf.DUMMYFUNCTION("""COMPUTED_VALUE"""),1956.0)</f>
        <v>1956</v>
      </c>
      <c r="E14934">
        <f>IFERROR(__xludf.DUMMYFUNCTION("""COMPUTED_VALUE"""),6732437.0)</f>
        <v>6732437</v>
      </c>
    </row>
    <row r="14935">
      <c r="A14935" t="str">
        <f t="shared" si="1"/>
        <v>sdn#1957</v>
      </c>
      <c r="B14935" t="str">
        <f>IFERROR(__xludf.DUMMYFUNCTION("""COMPUTED_VALUE"""),"sdn")</f>
        <v>sdn</v>
      </c>
      <c r="C14935" t="str">
        <f>IFERROR(__xludf.DUMMYFUNCTION("""COMPUTED_VALUE"""),"Sudan")</f>
        <v>Sudan</v>
      </c>
      <c r="D14935">
        <f>IFERROR(__xludf.DUMMYFUNCTION("""COMPUTED_VALUE"""),1957.0)</f>
        <v>1957</v>
      </c>
      <c r="E14935">
        <f>IFERROR(__xludf.DUMMYFUNCTION("""COMPUTED_VALUE"""),6923115.0)</f>
        <v>6923115</v>
      </c>
    </row>
    <row r="14936">
      <c r="A14936" t="str">
        <f t="shared" si="1"/>
        <v>sdn#1958</v>
      </c>
      <c r="B14936" t="str">
        <f>IFERROR(__xludf.DUMMYFUNCTION("""COMPUTED_VALUE"""),"sdn")</f>
        <v>sdn</v>
      </c>
      <c r="C14936" t="str">
        <f>IFERROR(__xludf.DUMMYFUNCTION("""COMPUTED_VALUE"""),"Sudan")</f>
        <v>Sudan</v>
      </c>
      <c r="D14936">
        <f>IFERROR(__xludf.DUMMYFUNCTION("""COMPUTED_VALUE"""),1958.0)</f>
        <v>1958</v>
      </c>
      <c r="E14936">
        <f>IFERROR(__xludf.DUMMYFUNCTION("""COMPUTED_VALUE"""),7121741.0)</f>
        <v>7121741</v>
      </c>
    </row>
    <row r="14937">
      <c r="A14937" t="str">
        <f t="shared" si="1"/>
        <v>sdn#1959</v>
      </c>
      <c r="B14937" t="str">
        <f>IFERROR(__xludf.DUMMYFUNCTION("""COMPUTED_VALUE"""),"sdn")</f>
        <v>sdn</v>
      </c>
      <c r="C14937" t="str">
        <f>IFERROR(__xludf.DUMMYFUNCTION("""COMPUTED_VALUE"""),"Sudan")</f>
        <v>Sudan</v>
      </c>
      <c r="D14937">
        <f>IFERROR(__xludf.DUMMYFUNCTION("""COMPUTED_VALUE"""),1959.0)</f>
        <v>1959</v>
      </c>
      <c r="E14937">
        <f>IFERROR(__xludf.DUMMYFUNCTION("""COMPUTED_VALUE"""),7328718.0)</f>
        <v>7328718</v>
      </c>
    </row>
    <row r="14938">
      <c r="A14938" t="str">
        <f t="shared" si="1"/>
        <v>sdn#1960</v>
      </c>
      <c r="B14938" t="str">
        <f>IFERROR(__xludf.DUMMYFUNCTION("""COMPUTED_VALUE"""),"sdn")</f>
        <v>sdn</v>
      </c>
      <c r="C14938" t="str">
        <f>IFERROR(__xludf.DUMMYFUNCTION("""COMPUTED_VALUE"""),"Sudan")</f>
        <v>Sudan</v>
      </c>
      <c r="D14938">
        <f>IFERROR(__xludf.DUMMYFUNCTION("""COMPUTED_VALUE"""),1960.0)</f>
        <v>1960</v>
      </c>
      <c r="E14938">
        <f>IFERROR(__xludf.DUMMYFUNCTION("""COMPUTED_VALUE"""),7544491.0)</f>
        <v>7544491</v>
      </c>
    </row>
    <row r="14939">
      <c r="A14939" t="str">
        <f t="shared" si="1"/>
        <v>sdn#1961</v>
      </c>
      <c r="B14939" t="str">
        <f>IFERROR(__xludf.DUMMYFUNCTION("""COMPUTED_VALUE"""),"sdn")</f>
        <v>sdn</v>
      </c>
      <c r="C14939" t="str">
        <f>IFERROR(__xludf.DUMMYFUNCTION("""COMPUTED_VALUE"""),"Sudan")</f>
        <v>Sudan</v>
      </c>
      <c r="D14939">
        <f>IFERROR(__xludf.DUMMYFUNCTION("""COMPUTED_VALUE"""),1961.0)</f>
        <v>1961</v>
      </c>
      <c r="E14939">
        <f>IFERROR(__xludf.DUMMYFUNCTION("""COMPUTED_VALUE"""),7769482.0)</f>
        <v>7769482</v>
      </c>
    </row>
    <row r="14940">
      <c r="A14940" t="str">
        <f t="shared" si="1"/>
        <v>sdn#1962</v>
      </c>
      <c r="B14940" t="str">
        <f>IFERROR(__xludf.DUMMYFUNCTION("""COMPUTED_VALUE"""),"sdn")</f>
        <v>sdn</v>
      </c>
      <c r="C14940" t="str">
        <f>IFERROR(__xludf.DUMMYFUNCTION("""COMPUTED_VALUE"""),"Sudan")</f>
        <v>Sudan</v>
      </c>
      <c r="D14940">
        <f>IFERROR(__xludf.DUMMYFUNCTION("""COMPUTED_VALUE"""),1962.0)</f>
        <v>1962</v>
      </c>
      <c r="E14940">
        <f>IFERROR(__xludf.DUMMYFUNCTION("""COMPUTED_VALUE"""),8004121.0)</f>
        <v>8004121</v>
      </c>
    </row>
    <row r="14941">
      <c r="A14941" t="str">
        <f t="shared" si="1"/>
        <v>sdn#1963</v>
      </c>
      <c r="B14941" t="str">
        <f>IFERROR(__xludf.DUMMYFUNCTION("""COMPUTED_VALUE"""),"sdn")</f>
        <v>sdn</v>
      </c>
      <c r="C14941" t="str">
        <f>IFERROR(__xludf.DUMMYFUNCTION("""COMPUTED_VALUE"""),"Sudan")</f>
        <v>Sudan</v>
      </c>
      <c r="D14941">
        <f>IFERROR(__xludf.DUMMYFUNCTION("""COMPUTED_VALUE"""),1963.0)</f>
        <v>1963</v>
      </c>
      <c r="E14941">
        <f>IFERROR(__xludf.DUMMYFUNCTION("""COMPUTED_VALUE"""),8248812.0)</f>
        <v>8248812</v>
      </c>
    </row>
    <row r="14942">
      <c r="A14942" t="str">
        <f t="shared" si="1"/>
        <v>sdn#1964</v>
      </c>
      <c r="B14942" t="str">
        <f>IFERROR(__xludf.DUMMYFUNCTION("""COMPUTED_VALUE"""),"sdn")</f>
        <v>sdn</v>
      </c>
      <c r="C14942" t="str">
        <f>IFERROR(__xludf.DUMMYFUNCTION("""COMPUTED_VALUE"""),"Sudan")</f>
        <v>Sudan</v>
      </c>
      <c r="D14942">
        <f>IFERROR(__xludf.DUMMYFUNCTION("""COMPUTED_VALUE"""),1964.0)</f>
        <v>1964</v>
      </c>
      <c r="E14942">
        <f>IFERROR(__xludf.DUMMYFUNCTION("""COMPUTED_VALUE"""),8503994.0)</f>
        <v>8503994</v>
      </c>
    </row>
    <row r="14943">
      <c r="A14943" t="str">
        <f t="shared" si="1"/>
        <v>sdn#1965</v>
      </c>
      <c r="B14943" t="str">
        <f>IFERROR(__xludf.DUMMYFUNCTION("""COMPUTED_VALUE"""),"sdn")</f>
        <v>sdn</v>
      </c>
      <c r="C14943" t="str">
        <f>IFERROR(__xludf.DUMMYFUNCTION("""COMPUTED_VALUE"""),"Sudan")</f>
        <v>Sudan</v>
      </c>
      <c r="D14943">
        <f>IFERROR(__xludf.DUMMYFUNCTION("""COMPUTED_VALUE"""),1965.0)</f>
        <v>1965</v>
      </c>
      <c r="E14943">
        <f>IFERROR(__xludf.DUMMYFUNCTION("""COMPUTED_VALUE"""),8770097.0)</f>
        <v>8770097</v>
      </c>
    </row>
    <row r="14944">
      <c r="A14944" t="str">
        <f t="shared" si="1"/>
        <v>sdn#1966</v>
      </c>
      <c r="B14944" t="str">
        <f>IFERROR(__xludf.DUMMYFUNCTION("""COMPUTED_VALUE"""),"sdn")</f>
        <v>sdn</v>
      </c>
      <c r="C14944" t="str">
        <f>IFERROR(__xludf.DUMMYFUNCTION("""COMPUTED_VALUE"""),"Sudan")</f>
        <v>Sudan</v>
      </c>
      <c r="D14944">
        <f>IFERROR(__xludf.DUMMYFUNCTION("""COMPUTED_VALUE"""),1966.0)</f>
        <v>1966</v>
      </c>
      <c r="E14944">
        <f>IFERROR(__xludf.DUMMYFUNCTION("""COMPUTED_VALUE"""),9047798.0)</f>
        <v>9047798</v>
      </c>
    </row>
    <row r="14945">
      <c r="A14945" t="str">
        <f t="shared" si="1"/>
        <v>sdn#1967</v>
      </c>
      <c r="B14945" t="str">
        <f>IFERROR(__xludf.DUMMYFUNCTION("""COMPUTED_VALUE"""),"sdn")</f>
        <v>sdn</v>
      </c>
      <c r="C14945" t="str">
        <f>IFERROR(__xludf.DUMMYFUNCTION("""COMPUTED_VALUE"""),"Sudan")</f>
        <v>Sudan</v>
      </c>
      <c r="D14945">
        <f>IFERROR(__xludf.DUMMYFUNCTION("""COMPUTED_VALUE"""),1967.0)</f>
        <v>1967</v>
      </c>
      <c r="E14945">
        <f>IFERROR(__xludf.DUMMYFUNCTION("""COMPUTED_VALUE"""),9337657.0)</f>
        <v>9337657</v>
      </c>
    </row>
    <row r="14946">
      <c r="A14946" t="str">
        <f t="shared" si="1"/>
        <v>sdn#1968</v>
      </c>
      <c r="B14946" t="str">
        <f>IFERROR(__xludf.DUMMYFUNCTION("""COMPUTED_VALUE"""),"sdn")</f>
        <v>sdn</v>
      </c>
      <c r="C14946" t="str">
        <f>IFERROR(__xludf.DUMMYFUNCTION("""COMPUTED_VALUE"""),"Sudan")</f>
        <v>Sudan</v>
      </c>
      <c r="D14946">
        <f>IFERROR(__xludf.DUMMYFUNCTION("""COMPUTED_VALUE"""),1968.0)</f>
        <v>1968</v>
      </c>
      <c r="E14946">
        <f>IFERROR(__xludf.DUMMYFUNCTION("""COMPUTED_VALUE"""),9639840.0)</f>
        <v>9639840</v>
      </c>
    </row>
    <row r="14947">
      <c r="A14947" t="str">
        <f t="shared" si="1"/>
        <v>sdn#1969</v>
      </c>
      <c r="B14947" t="str">
        <f>IFERROR(__xludf.DUMMYFUNCTION("""COMPUTED_VALUE"""),"sdn")</f>
        <v>sdn</v>
      </c>
      <c r="C14947" t="str">
        <f>IFERROR(__xludf.DUMMYFUNCTION("""COMPUTED_VALUE"""),"Sudan")</f>
        <v>Sudan</v>
      </c>
      <c r="D14947">
        <f>IFERROR(__xludf.DUMMYFUNCTION("""COMPUTED_VALUE"""),1969.0)</f>
        <v>1969</v>
      </c>
      <c r="E14947">
        <f>IFERROR(__xludf.DUMMYFUNCTION("""COMPUTED_VALUE"""),9954410.0)</f>
        <v>9954410</v>
      </c>
    </row>
    <row r="14948">
      <c r="A14948" t="str">
        <f t="shared" si="1"/>
        <v>sdn#1970</v>
      </c>
      <c r="B14948" t="str">
        <f>IFERROR(__xludf.DUMMYFUNCTION("""COMPUTED_VALUE"""),"sdn")</f>
        <v>sdn</v>
      </c>
      <c r="C14948" t="str">
        <f>IFERROR(__xludf.DUMMYFUNCTION("""COMPUTED_VALUE"""),"Sudan")</f>
        <v>Sudan</v>
      </c>
      <c r="D14948">
        <f>IFERROR(__xludf.DUMMYFUNCTION("""COMPUTED_VALUE"""),1970.0)</f>
        <v>1970</v>
      </c>
      <c r="E14948">
        <f>IFERROR(__xludf.DUMMYFUNCTION("""COMPUTED_VALUE"""),1.02817E7)</f>
        <v>10281700</v>
      </c>
    </row>
    <row r="14949">
      <c r="A14949" t="str">
        <f t="shared" si="1"/>
        <v>sdn#1971</v>
      </c>
      <c r="B14949" t="str">
        <f>IFERROR(__xludf.DUMMYFUNCTION("""COMPUTED_VALUE"""),"sdn")</f>
        <v>sdn</v>
      </c>
      <c r="C14949" t="str">
        <f>IFERROR(__xludf.DUMMYFUNCTION("""COMPUTED_VALUE"""),"Sudan")</f>
        <v>Sudan</v>
      </c>
      <c r="D14949">
        <f>IFERROR(__xludf.DUMMYFUNCTION("""COMPUTED_VALUE"""),1971.0)</f>
        <v>1971</v>
      </c>
      <c r="E14949">
        <f>IFERROR(__xludf.DUMMYFUNCTION("""COMPUTED_VALUE"""),1.0621472E7)</f>
        <v>10621472</v>
      </c>
    </row>
    <row r="14950">
      <c r="A14950" t="str">
        <f t="shared" si="1"/>
        <v>sdn#1972</v>
      </c>
      <c r="B14950" t="str">
        <f>IFERROR(__xludf.DUMMYFUNCTION("""COMPUTED_VALUE"""),"sdn")</f>
        <v>sdn</v>
      </c>
      <c r="C14950" t="str">
        <f>IFERROR(__xludf.DUMMYFUNCTION("""COMPUTED_VALUE"""),"Sudan")</f>
        <v>Sudan</v>
      </c>
      <c r="D14950">
        <f>IFERROR(__xludf.DUMMYFUNCTION("""COMPUTED_VALUE"""),1972.0)</f>
        <v>1972</v>
      </c>
      <c r="E14950">
        <f>IFERROR(__xludf.DUMMYFUNCTION("""COMPUTED_VALUE"""),1.0974622E7)</f>
        <v>10974622</v>
      </c>
    </row>
    <row r="14951">
      <c r="A14951" t="str">
        <f t="shared" si="1"/>
        <v>sdn#1973</v>
      </c>
      <c r="B14951" t="str">
        <f>IFERROR(__xludf.DUMMYFUNCTION("""COMPUTED_VALUE"""),"sdn")</f>
        <v>sdn</v>
      </c>
      <c r="C14951" t="str">
        <f>IFERROR(__xludf.DUMMYFUNCTION("""COMPUTED_VALUE"""),"Sudan")</f>
        <v>Sudan</v>
      </c>
      <c r="D14951">
        <f>IFERROR(__xludf.DUMMYFUNCTION("""COMPUTED_VALUE"""),1973.0)</f>
        <v>1973</v>
      </c>
      <c r="E14951">
        <f>IFERROR(__xludf.DUMMYFUNCTION("""COMPUTED_VALUE"""),1.1343926E7)</f>
        <v>11343926</v>
      </c>
    </row>
    <row r="14952">
      <c r="A14952" t="str">
        <f t="shared" si="1"/>
        <v>sdn#1974</v>
      </c>
      <c r="B14952" t="str">
        <f>IFERROR(__xludf.DUMMYFUNCTION("""COMPUTED_VALUE"""),"sdn")</f>
        <v>sdn</v>
      </c>
      <c r="C14952" t="str">
        <f>IFERROR(__xludf.DUMMYFUNCTION("""COMPUTED_VALUE"""),"Sudan")</f>
        <v>Sudan</v>
      </c>
      <c r="D14952">
        <f>IFERROR(__xludf.DUMMYFUNCTION("""COMPUTED_VALUE"""),1974.0)</f>
        <v>1974</v>
      </c>
      <c r="E14952">
        <f>IFERROR(__xludf.DUMMYFUNCTION("""COMPUTED_VALUE"""),1.1732958E7)</f>
        <v>11732958</v>
      </c>
    </row>
    <row r="14953">
      <c r="A14953" t="str">
        <f t="shared" si="1"/>
        <v>sdn#1975</v>
      </c>
      <c r="B14953" t="str">
        <f>IFERROR(__xludf.DUMMYFUNCTION("""COMPUTED_VALUE"""),"sdn")</f>
        <v>sdn</v>
      </c>
      <c r="C14953" t="str">
        <f>IFERROR(__xludf.DUMMYFUNCTION("""COMPUTED_VALUE"""),"Sudan")</f>
        <v>Sudan</v>
      </c>
      <c r="D14953">
        <f>IFERROR(__xludf.DUMMYFUNCTION("""COMPUTED_VALUE"""),1975.0)</f>
        <v>1975</v>
      </c>
      <c r="E14953">
        <f>IFERROR(__xludf.DUMMYFUNCTION("""COMPUTED_VALUE"""),1.2144135E7)</f>
        <v>12144135</v>
      </c>
    </row>
    <row r="14954">
      <c r="A14954" t="str">
        <f t="shared" si="1"/>
        <v>sdn#1976</v>
      </c>
      <c r="B14954" t="str">
        <f>IFERROR(__xludf.DUMMYFUNCTION("""COMPUTED_VALUE"""),"sdn")</f>
        <v>sdn</v>
      </c>
      <c r="C14954" t="str">
        <f>IFERROR(__xludf.DUMMYFUNCTION("""COMPUTED_VALUE"""),"Sudan")</f>
        <v>Sudan</v>
      </c>
      <c r="D14954">
        <f>IFERROR(__xludf.DUMMYFUNCTION("""COMPUTED_VALUE"""),1976.0)</f>
        <v>1976</v>
      </c>
      <c r="E14954">
        <f>IFERROR(__xludf.DUMMYFUNCTION("""COMPUTED_VALUE"""),1.2578407E7)</f>
        <v>12578407</v>
      </c>
    </row>
    <row r="14955">
      <c r="A14955" t="str">
        <f t="shared" si="1"/>
        <v>sdn#1977</v>
      </c>
      <c r="B14955" t="str">
        <f>IFERROR(__xludf.DUMMYFUNCTION("""COMPUTED_VALUE"""),"sdn")</f>
        <v>sdn</v>
      </c>
      <c r="C14955" t="str">
        <f>IFERROR(__xludf.DUMMYFUNCTION("""COMPUTED_VALUE"""),"Sudan")</f>
        <v>Sudan</v>
      </c>
      <c r="D14955">
        <f>IFERROR(__xludf.DUMMYFUNCTION("""COMPUTED_VALUE"""),1977.0)</f>
        <v>1977</v>
      </c>
      <c r="E14955">
        <f>IFERROR(__xludf.DUMMYFUNCTION("""COMPUTED_VALUE"""),1.3034625E7)</f>
        <v>13034625</v>
      </c>
    </row>
    <row r="14956">
      <c r="A14956" t="str">
        <f t="shared" si="1"/>
        <v>sdn#1978</v>
      </c>
      <c r="B14956" t="str">
        <f>IFERROR(__xludf.DUMMYFUNCTION("""COMPUTED_VALUE"""),"sdn")</f>
        <v>sdn</v>
      </c>
      <c r="C14956" t="str">
        <f>IFERROR(__xludf.DUMMYFUNCTION("""COMPUTED_VALUE"""),"Sudan")</f>
        <v>Sudan</v>
      </c>
      <c r="D14956">
        <f>IFERROR(__xludf.DUMMYFUNCTION("""COMPUTED_VALUE"""),1978.0)</f>
        <v>1978</v>
      </c>
      <c r="E14956">
        <f>IFERROR(__xludf.DUMMYFUNCTION("""COMPUTED_VALUE"""),1.3510421E7)</f>
        <v>13510421</v>
      </c>
    </row>
    <row r="14957">
      <c r="A14957" t="str">
        <f t="shared" si="1"/>
        <v>sdn#1979</v>
      </c>
      <c r="B14957" t="str">
        <f>IFERROR(__xludf.DUMMYFUNCTION("""COMPUTED_VALUE"""),"sdn")</f>
        <v>sdn</v>
      </c>
      <c r="C14957" t="str">
        <f>IFERROR(__xludf.DUMMYFUNCTION("""COMPUTED_VALUE"""),"Sudan")</f>
        <v>Sudan</v>
      </c>
      <c r="D14957">
        <f>IFERROR(__xludf.DUMMYFUNCTION("""COMPUTED_VALUE"""),1979.0)</f>
        <v>1979</v>
      </c>
      <c r="E14957">
        <f>IFERROR(__xludf.DUMMYFUNCTION("""COMPUTED_VALUE"""),1.4002303E7)</f>
        <v>14002303</v>
      </c>
    </row>
    <row r="14958">
      <c r="A14958" t="str">
        <f t="shared" si="1"/>
        <v>sdn#1980</v>
      </c>
      <c r="B14958" t="str">
        <f>IFERROR(__xludf.DUMMYFUNCTION("""COMPUTED_VALUE"""),"sdn")</f>
        <v>sdn</v>
      </c>
      <c r="C14958" t="str">
        <f>IFERROR(__xludf.DUMMYFUNCTION("""COMPUTED_VALUE"""),"Sudan")</f>
        <v>Sudan</v>
      </c>
      <c r="D14958">
        <f>IFERROR(__xludf.DUMMYFUNCTION("""COMPUTED_VALUE"""),1980.0)</f>
        <v>1980</v>
      </c>
      <c r="E14958">
        <f>IFERROR(__xludf.DUMMYFUNCTION("""COMPUTED_VALUE"""),1.4507468E7)</f>
        <v>14507468</v>
      </c>
    </row>
    <row r="14959">
      <c r="A14959" t="str">
        <f t="shared" si="1"/>
        <v>sdn#1981</v>
      </c>
      <c r="B14959" t="str">
        <f>IFERROR(__xludf.DUMMYFUNCTION("""COMPUTED_VALUE"""),"sdn")</f>
        <v>sdn</v>
      </c>
      <c r="C14959" t="str">
        <f>IFERROR(__xludf.DUMMYFUNCTION("""COMPUTED_VALUE"""),"Sudan")</f>
        <v>Sudan</v>
      </c>
      <c r="D14959">
        <f>IFERROR(__xludf.DUMMYFUNCTION("""COMPUTED_VALUE"""),1981.0)</f>
        <v>1981</v>
      </c>
      <c r="E14959">
        <f>IFERROR(__xludf.DUMMYFUNCTION("""COMPUTED_VALUE"""),1.502727E7)</f>
        <v>15027270</v>
      </c>
    </row>
    <row r="14960">
      <c r="A14960" t="str">
        <f t="shared" si="1"/>
        <v>sdn#1982</v>
      </c>
      <c r="B14960" t="str">
        <f>IFERROR(__xludf.DUMMYFUNCTION("""COMPUTED_VALUE"""),"sdn")</f>
        <v>sdn</v>
      </c>
      <c r="C14960" t="str">
        <f>IFERROR(__xludf.DUMMYFUNCTION("""COMPUTED_VALUE"""),"Sudan")</f>
        <v>Sudan</v>
      </c>
      <c r="D14960">
        <f>IFERROR(__xludf.DUMMYFUNCTION("""COMPUTED_VALUE"""),1982.0)</f>
        <v>1982</v>
      </c>
      <c r="E14960">
        <f>IFERROR(__xludf.DUMMYFUNCTION("""COMPUTED_VALUE"""),1.5562194E7)</f>
        <v>15562194</v>
      </c>
    </row>
    <row r="14961">
      <c r="A14961" t="str">
        <f t="shared" si="1"/>
        <v>sdn#1983</v>
      </c>
      <c r="B14961" t="str">
        <f>IFERROR(__xludf.DUMMYFUNCTION("""COMPUTED_VALUE"""),"sdn")</f>
        <v>sdn</v>
      </c>
      <c r="C14961" t="str">
        <f>IFERROR(__xludf.DUMMYFUNCTION("""COMPUTED_VALUE"""),"Sudan")</f>
        <v>Sudan</v>
      </c>
      <c r="D14961">
        <f>IFERROR(__xludf.DUMMYFUNCTION("""COMPUTED_VALUE"""),1983.0)</f>
        <v>1983</v>
      </c>
      <c r="E14961">
        <f>IFERROR(__xludf.DUMMYFUNCTION("""COMPUTED_VALUE"""),1.610773E7)</f>
        <v>16107730</v>
      </c>
    </row>
    <row r="14962">
      <c r="A14962" t="str">
        <f t="shared" si="1"/>
        <v>sdn#1984</v>
      </c>
      <c r="B14962" t="str">
        <f>IFERROR(__xludf.DUMMYFUNCTION("""COMPUTED_VALUE"""),"sdn")</f>
        <v>sdn</v>
      </c>
      <c r="C14962" t="str">
        <f>IFERROR(__xludf.DUMMYFUNCTION("""COMPUTED_VALUE"""),"Sudan")</f>
        <v>Sudan</v>
      </c>
      <c r="D14962">
        <f>IFERROR(__xludf.DUMMYFUNCTION("""COMPUTED_VALUE"""),1984.0)</f>
        <v>1984</v>
      </c>
      <c r="E14962">
        <f>IFERROR(__xludf.DUMMYFUNCTION("""COMPUTED_VALUE"""),1.6658054E7)</f>
        <v>16658054</v>
      </c>
    </row>
    <row r="14963">
      <c r="A14963" t="str">
        <f t="shared" si="1"/>
        <v>sdn#1985</v>
      </c>
      <c r="B14963" t="str">
        <f>IFERROR(__xludf.DUMMYFUNCTION("""COMPUTED_VALUE"""),"sdn")</f>
        <v>sdn</v>
      </c>
      <c r="C14963" t="str">
        <f>IFERROR(__xludf.DUMMYFUNCTION("""COMPUTED_VALUE"""),"Sudan")</f>
        <v>Sudan</v>
      </c>
      <c r="D14963">
        <f>IFERROR(__xludf.DUMMYFUNCTION("""COMPUTED_VALUE"""),1985.0)</f>
        <v>1985</v>
      </c>
      <c r="E14963">
        <f>IFERROR(__xludf.DUMMYFUNCTION("""COMPUTED_VALUE"""),1.7210187E7)</f>
        <v>17210187</v>
      </c>
    </row>
    <row r="14964">
      <c r="A14964" t="str">
        <f t="shared" si="1"/>
        <v>sdn#1986</v>
      </c>
      <c r="B14964" t="str">
        <f>IFERROR(__xludf.DUMMYFUNCTION("""COMPUTED_VALUE"""),"sdn")</f>
        <v>sdn</v>
      </c>
      <c r="C14964" t="str">
        <f>IFERROR(__xludf.DUMMYFUNCTION("""COMPUTED_VALUE"""),"Sudan")</f>
        <v>Sudan</v>
      </c>
      <c r="D14964">
        <f>IFERROR(__xludf.DUMMYFUNCTION("""COMPUTED_VALUE"""),1986.0)</f>
        <v>1986</v>
      </c>
      <c r="E14964">
        <f>IFERROR(__xludf.DUMMYFUNCTION("""COMPUTED_VALUE"""),1.7757169E7)</f>
        <v>17757169</v>
      </c>
    </row>
    <row r="14965">
      <c r="A14965" t="str">
        <f t="shared" si="1"/>
        <v>sdn#1987</v>
      </c>
      <c r="B14965" t="str">
        <f>IFERROR(__xludf.DUMMYFUNCTION("""COMPUTED_VALUE"""),"sdn")</f>
        <v>sdn</v>
      </c>
      <c r="C14965" t="str">
        <f>IFERROR(__xludf.DUMMYFUNCTION("""COMPUTED_VALUE"""),"Sudan")</f>
        <v>Sudan</v>
      </c>
      <c r="D14965">
        <f>IFERROR(__xludf.DUMMYFUNCTION("""COMPUTED_VALUE"""),1987.0)</f>
        <v>1987</v>
      </c>
      <c r="E14965">
        <f>IFERROR(__xludf.DUMMYFUNCTION("""COMPUTED_VALUE"""),1.8302587E7)</f>
        <v>18302587</v>
      </c>
    </row>
    <row r="14966">
      <c r="A14966" t="str">
        <f t="shared" si="1"/>
        <v>sdn#1988</v>
      </c>
      <c r="B14966" t="str">
        <f>IFERROR(__xludf.DUMMYFUNCTION("""COMPUTED_VALUE"""),"sdn")</f>
        <v>sdn</v>
      </c>
      <c r="C14966" t="str">
        <f>IFERROR(__xludf.DUMMYFUNCTION("""COMPUTED_VALUE"""),"Sudan")</f>
        <v>Sudan</v>
      </c>
      <c r="D14966">
        <f>IFERROR(__xludf.DUMMYFUNCTION("""COMPUTED_VALUE"""),1988.0)</f>
        <v>1988</v>
      </c>
      <c r="E14966">
        <f>IFERROR(__xludf.DUMMYFUNCTION("""COMPUTED_VALUE"""),1.8866319E7)</f>
        <v>18866319</v>
      </c>
    </row>
    <row r="14967">
      <c r="A14967" t="str">
        <f t="shared" si="1"/>
        <v>sdn#1989</v>
      </c>
      <c r="B14967" t="str">
        <f>IFERROR(__xludf.DUMMYFUNCTION("""COMPUTED_VALUE"""),"sdn")</f>
        <v>sdn</v>
      </c>
      <c r="C14967" t="str">
        <f>IFERROR(__xludf.DUMMYFUNCTION("""COMPUTED_VALUE"""),"Sudan")</f>
        <v>Sudan</v>
      </c>
      <c r="D14967">
        <f>IFERROR(__xludf.DUMMYFUNCTION("""COMPUTED_VALUE"""),1989.0)</f>
        <v>1989</v>
      </c>
      <c r="E14967">
        <f>IFERROR(__xludf.DUMMYFUNCTION("""COMPUTED_VALUE"""),1.9475609E7)</f>
        <v>19475609</v>
      </c>
    </row>
    <row r="14968">
      <c r="A14968" t="str">
        <f t="shared" si="1"/>
        <v>sdn#1990</v>
      </c>
      <c r="B14968" t="str">
        <f>IFERROR(__xludf.DUMMYFUNCTION("""COMPUTED_VALUE"""),"sdn")</f>
        <v>sdn</v>
      </c>
      <c r="C14968" t="str">
        <f>IFERROR(__xludf.DUMMYFUNCTION("""COMPUTED_VALUE"""),"Sudan")</f>
        <v>Sudan</v>
      </c>
      <c r="D14968">
        <f>IFERROR(__xludf.DUMMYFUNCTION("""COMPUTED_VALUE"""),1990.0)</f>
        <v>1990</v>
      </c>
      <c r="E14968">
        <f>IFERROR(__xludf.DUMMYFUNCTION("""COMPUTED_VALUE"""),2.014759E7)</f>
        <v>20147590</v>
      </c>
    </row>
    <row r="14969">
      <c r="A14969" t="str">
        <f t="shared" si="1"/>
        <v>sdn#1991</v>
      </c>
      <c r="B14969" t="str">
        <f>IFERROR(__xludf.DUMMYFUNCTION("""COMPUTED_VALUE"""),"sdn")</f>
        <v>sdn</v>
      </c>
      <c r="C14969" t="str">
        <f>IFERROR(__xludf.DUMMYFUNCTION("""COMPUTED_VALUE"""),"Sudan")</f>
        <v>Sudan</v>
      </c>
      <c r="D14969">
        <f>IFERROR(__xludf.DUMMYFUNCTION("""COMPUTED_VALUE"""),1991.0)</f>
        <v>1991</v>
      </c>
      <c r="E14969">
        <f>IFERROR(__xludf.DUMMYFUNCTION("""COMPUTED_VALUE"""),2.0893625E7)</f>
        <v>20893625</v>
      </c>
    </row>
    <row r="14970">
      <c r="A14970" t="str">
        <f t="shared" si="1"/>
        <v>sdn#1992</v>
      </c>
      <c r="B14970" t="str">
        <f>IFERROR(__xludf.DUMMYFUNCTION("""COMPUTED_VALUE"""),"sdn")</f>
        <v>sdn</v>
      </c>
      <c r="C14970" t="str">
        <f>IFERROR(__xludf.DUMMYFUNCTION("""COMPUTED_VALUE"""),"Sudan")</f>
        <v>Sudan</v>
      </c>
      <c r="D14970">
        <f>IFERROR(__xludf.DUMMYFUNCTION("""COMPUTED_VALUE"""),1992.0)</f>
        <v>1992</v>
      </c>
      <c r="E14970">
        <f>IFERROR(__xludf.DUMMYFUNCTION("""COMPUTED_VALUE"""),2.1701476E7)</f>
        <v>21701476</v>
      </c>
    </row>
    <row r="14971">
      <c r="A14971" t="str">
        <f t="shared" si="1"/>
        <v>sdn#1993</v>
      </c>
      <c r="B14971" t="str">
        <f>IFERROR(__xludf.DUMMYFUNCTION("""COMPUTED_VALUE"""),"sdn")</f>
        <v>sdn</v>
      </c>
      <c r="C14971" t="str">
        <f>IFERROR(__xludf.DUMMYFUNCTION("""COMPUTED_VALUE"""),"Sudan")</f>
        <v>Sudan</v>
      </c>
      <c r="D14971">
        <f>IFERROR(__xludf.DUMMYFUNCTION("""COMPUTED_VALUE"""),1993.0)</f>
        <v>1993</v>
      </c>
      <c r="E14971">
        <f>IFERROR(__xludf.DUMMYFUNCTION("""COMPUTED_VALUE"""),2.2535937E7)</f>
        <v>22535937</v>
      </c>
    </row>
    <row r="14972">
      <c r="A14972" t="str">
        <f t="shared" si="1"/>
        <v>sdn#1994</v>
      </c>
      <c r="B14972" t="str">
        <f>IFERROR(__xludf.DUMMYFUNCTION("""COMPUTED_VALUE"""),"sdn")</f>
        <v>sdn</v>
      </c>
      <c r="C14972" t="str">
        <f>IFERROR(__xludf.DUMMYFUNCTION("""COMPUTED_VALUE"""),"Sudan")</f>
        <v>Sudan</v>
      </c>
      <c r="D14972">
        <f>IFERROR(__xludf.DUMMYFUNCTION("""COMPUTED_VALUE"""),1994.0)</f>
        <v>1994</v>
      </c>
      <c r="E14972">
        <f>IFERROR(__xludf.DUMMYFUNCTION("""COMPUTED_VALUE"""),2.3347885E7)</f>
        <v>23347885</v>
      </c>
    </row>
    <row r="14973">
      <c r="A14973" t="str">
        <f t="shared" si="1"/>
        <v>sdn#1995</v>
      </c>
      <c r="B14973" t="str">
        <f>IFERROR(__xludf.DUMMYFUNCTION("""COMPUTED_VALUE"""),"sdn")</f>
        <v>sdn</v>
      </c>
      <c r="C14973" t="str">
        <f>IFERROR(__xludf.DUMMYFUNCTION("""COMPUTED_VALUE"""),"Sudan")</f>
        <v>Sudan</v>
      </c>
      <c r="D14973">
        <f>IFERROR(__xludf.DUMMYFUNCTION("""COMPUTED_VALUE"""),1995.0)</f>
        <v>1995</v>
      </c>
      <c r="E14973">
        <f>IFERROR(__xludf.DUMMYFUNCTION("""COMPUTED_VALUE"""),2.4102986E7)</f>
        <v>24102986</v>
      </c>
    </row>
    <row r="14974">
      <c r="A14974" t="str">
        <f t="shared" si="1"/>
        <v>sdn#1996</v>
      </c>
      <c r="B14974" t="str">
        <f>IFERROR(__xludf.DUMMYFUNCTION("""COMPUTED_VALUE"""),"sdn")</f>
        <v>sdn</v>
      </c>
      <c r="C14974" t="str">
        <f>IFERROR(__xludf.DUMMYFUNCTION("""COMPUTED_VALUE"""),"Sudan")</f>
        <v>Sudan</v>
      </c>
      <c r="D14974">
        <f>IFERROR(__xludf.DUMMYFUNCTION("""COMPUTED_VALUE"""),1996.0)</f>
        <v>1996</v>
      </c>
      <c r="E14974">
        <f>IFERROR(__xludf.DUMMYFUNCTION("""COMPUTED_VALUE"""),2.478619E7)</f>
        <v>24786190</v>
      </c>
    </row>
    <row r="14975">
      <c r="A14975" t="str">
        <f t="shared" si="1"/>
        <v>sdn#1997</v>
      </c>
      <c r="B14975" t="str">
        <f>IFERROR(__xludf.DUMMYFUNCTION("""COMPUTED_VALUE"""),"sdn")</f>
        <v>sdn</v>
      </c>
      <c r="C14975" t="str">
        <f>IFERROR(__xludf.DUMMYFUNCTION("""COMPUTED_VALUE"""),"Sudan")</f>
        <v>Sudan</v>
      </c>
      <c r="D14975">
        <f>IFERROR(__xludf.DUMMYFUNCTION("""COMPUTED_VALUE"""),1997.0)</f>
        <v>1997</v>
      </c>
      <c r="E14975">
        <f>IFERROR(__xludf.DUMMYFUNCTION("""COMPUTED_VALUE"""),2.5410451E7)</f>
        <v>25410451</v>
      </c>
    </row>
    <row r="14976">
      <c r="A14976" t="str">
        <f t="shared" si="1"/>
        <v>sdn#1998</v>
      </c>
      <c r="B14976" t="str">
        <f>IFERROR(__xludf.DUMMYFUNCTION("""COMPUTED_VALUE"""),"sdn")</f>
        <v>sdn</v>
      </c>
      <c r="C14976" t="str">
        <f>IFERROR(__xludf.DUMMYFUNCTION("""COMPUTED_VALUE"""),"Sudan")</f>
        <v>Sudan</v>
      </c>
      <c r="D14976">
        <f>IFERROR(__xludf.DUMMYFUNCTION("""COMPUTED_VALUE"""),1998.0)</f>
        <v>1998</v>
      </c>
      <c r="E14976">
        <f>IFERROR(__xludf.DUMMYFUNCTION("""COMPUTED_VALUE"""),2.6003542E7)</f>
        <v>26003542</v>
      </c>
    </row>
    <row r="14977">
      <c r="A14977" t="str">
        <f t="shared" si="1"/>
        <v>sdn#1999</v>
      </c>
      <c r="B14977" t="str">
        <f>IFERROR(__xludf.DUMMYFUNCTION("""COMPUTED_VALUE"""),"sdn")</f>
        <v>sdn</v>
      </c>
      <c r="C14977" t="str">
        <f>IFERROR(__xludf.DUMMYFUNCTION("""COMPUTED_VALUE"""),"Sudan")</f>
        <v>Sudan</v>
      </c>
      <c r="D14977">
        <f>IFERROR(__xludf.DUMMYFUNCTION("""COMPUTED_VALUE"""),1999.0)</f>
        <v>1999</v>
      </c>
      <c r="E14977">
        <f>IFERROR(__xludf.DUMMYFUNCTION("""COMPUTED_VALUE"""),2.6607042E7)</f>
        <v>26607042</v>
      </c>
    </row>
    <row r="14978">
      <c r="A14978" t="str">
        <f t="shared" si="1"/>
        <v>sdn#2000</v>
      </c>
      <c r="B14978" t="str">
        <f>IFERROR(__xludf.DUMMYFUNCTION("""COMPUTED_VALUE"""),"sdn")</f>
        <v>sdn</v>
      </c>
      <c r="C14978" t="str">
        <f>IFERROR(__xludf.DUMMYFUNCTION("""COMPUTED_VALUE"""),"Sudan")</f>
        <v>Sudan</v>
      </c>
      <c r="D14978">
        <f>IFERROR(__xludf.DUMMYFUNCTION("""COMPUTED_VALUE"""),2000.0)</f>
        <v>2000</v>
      </c>
      <c r="E14978">
        <f>IFERROR(__xludf.DUMMYFUNCTION("""COMPUTED_VALUE"""),2.7250535E7)</f>
        <v>27250535</v>
      </c>
    </row>
    <row r="14979">
      <c r="A14979" t="str">
        <f t="shared" si="1"/>
        <v>sdn#2001</v>
      </c>
      <c r="B14979" t="str">
        <f>IFERROR(__xludf.DUMMYFUNCTION("""COMPUTED_VALUE"""),"sdn")</f>
        <v>sdn</v>
      </c>
      <c r="C14979" t="str">
        <f>IFERROR(__xludf.DUMMYFUNCTION("""COMPUTED_VALUE"""),"Sudan")</f>
        <v>Sudan</v>
      </c>
      <c r="D14979">
        <f>IFERROR(__xludf.DUMMYFUNCTION("""COMPUTED_VALUE"""),2001.0)</f>
        <v>2001</v>
      </c>
      <c r="E14979">
        <f>IFERROR(__xludf.DUMMYFUNCTION("""COMPUTED_VALUE"""),2.7945005E7)</f>
        <v>27945005</v>
      </c>
    </row>
    <row r="14980">
      <c r="A14980" t="str">
        <f t="shared" si="1"/>
        <v>sdn#2002</v>
      </c>
      <c r="B14980" t="str">
        <f>IFERROR(__xludf.DUMMYFUNCTION("""COMPUTED_VALUE"""),"sdn")</f>
        <v>sdn</v>
      </c>
      <c r="C14980" t="str">
        <f>IFERROR(__xludf.DUMMYFUNCTION("""COMPUTED_VALUE"""),"Sudan")</f>
        <v>Sudan</v>
      </c>
      <c r="D14980">
        <f>IFERROR(__xludf.DUMMYFUNCTION("""COMPUTED_VALUE"""),2002.0)</f>
        <v>2002</v>
      </c>
      <c r="E14980">
        <f>IFERROR(__xludf.DUMMYFUNCTION("""COMPUTED_VALUE"""),2.8679565E7)</f>
        <v>28679565</v>
      </c>
    </row>
    <row r="14981">
      <c r="A14981" t="str">
        <f t="shared" si="1"/>
        <v>sdn#2003</v>
      </c>
      <c r="B14981" t="str">
        <f>IFERROR(__xludf.DUMMYFUNCTION("""COMPUTED_VALUE"""),"sdn")</f>
        <v>sdn</v>
      </c>
      <c r="C14981" t="str">
        <f>IFERROR(__xludf.DUMMYFUNCTION("""COMPUTED_VALUE"""),"Sudan")</f>
        <v>Sudan</v>
      </c>
      <c r="D14981">
        <f>IFERROR(__xludf.DUMMYFUNCTION("""COMPUTED_VALUE"""),2003.0)</f>
        <v>2003</v>
      </c>
      <c r="E14981">
        <f>IFERROR(__xludf.DUMMYFUNCTION("""COMPUTED_VALUE"""),2.9435944E7)</f>
        <v>29435944</v>
      </c>
    </row>
    <row r="14982">
      <c r="A14982" t="str">
        <f t="shared" si="1"/>
        <v>sdn#2004</v>
      </c>
      <c r="B14982" t="str">
        <f>IFERROR(__xludf.DUMMYFUNCTION("""COMPUTED_VALUE"""),"sdn")</f>
        <v>sdn</v>
      </c>
      <c r="C14982" t="str">
        <f>IFERROR(__xludf.DUMMYFUNCTION("""COMPUTED_VALUE"""),"Sudan")</f>
        <v>Sudan</v>
      </c>
      <c r="D14982">
        <f>IFERROR(__xludf.DUMMYFUNCTION("""COMPUTED_VALUE"""),2004.0)</f>
        <v>2004</v>
      </c>
      <c r="E14982">
        <f>IFERROR(__xludf.DUMMYFUNCTION("""COMPUTED_VALUE"""),3.0186341E7)</f>
        <v>30186341</v>
      </c>
    </row>
    <row r="14983">
      <c r="A14983" t="str">
        <f t="shared" si="1"/>
        <v>sdn#2005</v>
      </c>
      <c r="B14983" t="str">
        <f>IFERROR(__xludf.DUMMYFUNCTION("""COMPUTED_VALUE"""),"sdn")</f>
        <v>sdn</v>
      </c>
      <c r="C14983" t="str">
        <f>IFERROR(__xludf.DUMMYFUNCTION("""COMPUTED_VALUE"""),"Sudan")</f>
        <v>Sudan</v>
      </c>
      <c r="D14983">
        <f>IFERROR(__xludf.DUMMYFUNCTION("""COMPUTED_VALUE"""),2005.0)</f>
        <v>2005</v>
      </c>
      <c r="E14983">
        <f>IFERROR(__xludf.DUMMYFUNCTION("""COMPUTED_VALUE"""),3.0911914E7)</f>
        <v>30911914</v>
      </c>
    </row>
    <row r="14984">
      <c r="A14984" t="str">
        <f t="shared" si="1"/>
        <v>sdn#2006</v>
      </c>
      <c r="B14984" t="str">
        <f>IFERROR(__xludf.DUMMYFUNCTION("""COMPUTED_VALUE"""),"sdn")</f>
        <v>sdn</v>
      </c>
      <c r="C14984" t="str">
        <f>IFERROR(__xludf.DUMMYFUNCTION("""COMPUTED_VALUE"""),"Sudan")</f>
        <v>Sudan</v>
      </c>
      <c r="D14984">
        <f>IFERROR(__xludf.DUMMYFUNCTION("""COMPUTED_VALUE"""),2006.0)</f>
        <v>2006</v>
      </c>
      <c r="E14984">
        <f>IFERROR(__xludf.DUMMYFUNCTION("""COMPUTED_VALUE"""),3.1607064E7)</f>
        <v>31607064</v>
      </c>
    </row>
    <row r="14985">
      <c r="A14985" t="str">
        <f t="shared" si="1"/>
        <v>sdn#2007</v>
      </c>
      <c r="B14985" t="str">
        <f>IFERROR(__xludf.DUMMYFUNCTION("""COMPUTED_VALUE"""),"sdn")</f>
        <v>sdn</v>
      </c>
      <c r="C14985" t="str">
        <f>IFERROR(__xludf.DUMMYFUNCTION("""COMPUTED_VALUE"""),"Sudan")</f>
        <v>Sudan</v>
      </c>
      <c r="D14985">
        <f>IFERROR(__xludf.DUMMYFUNCTION("""COMPUTED_VALUE"""),2007.0)</f>
        <v>2007</v>
      </c>
      <c r="E14985">
        <f>IFERROR(__xludf.DUMMYFUNCTION("""COMPUTED_VALUE"""),3.2282526E7)</f>
        <v>32282526</v>
      </c>
    </row>
    <row r="14986">
      <c r="A14986" t="str">
        <f t="shared" si="1"/>
        <v>sdn#2008</v>
      </c>
      <c r="B14986" t="str">
        <f>IFERROR(__xludf.DUMMYFUNCTION("""COMPUTED_VALUE"""),"sdn")</f>
        <v>sdn</v>
      </c>
      <c r="C14986" t="str">
        <f>IFERROR(__xludf.DUMMYFUNCTION("""COMPUTED_VALUE"""),"Sudan")</f>
        <v>Sudan</v>
      </c>
      <c r="D14986">
        <f>IFERROR(__xludf.DUMMYFUNCTION("""COMPUTED_VALUE"""),2008.0)</f>
        <v>2008</v>
      </c>
      <c r="E14986">
        <f>IFERROR(__xludf.DUMMYFUNCTION("""COMPUTED_VALUE"""),3.2955496E7)</f>
        <v>32955496</v>
      </c>
    </row>
    <row r="14987">
      <c r="A14987" t="str">
        <f t="shared" si="1"/>
        <v>sdn#2009</v>
      </c>
      <c r="B14987" t="str">
        <f>IFERROR(__xludf.DUMMYFUNCTION("""COMPUTED_VALUE"""),"sdn")</f>
        <v>sdn</v>
      </c>
      <c r="C14987" t="str">
        <f>IFERROR(__xludf.DUMMYFUNCTION("""COMPUTED_VALUE"""),"Sudan")</f>
        <v>Sudan</v>
      </c>
      <c r="D14987">
        <f>IFERROR(__xludf.DUMMYFUNCTION("""COMPUTED_VALUE"""),2009.0)</f>
        <v>2009</v>
      </c>
      <c r="E14987">
        <f>IFERROR(__xludf.DUMMYFUNCTION("""COMPUTED_VALUE"""),3.3650619E7)</f>
        <v>33650619</v>
      </c>
    </row>
    <row r="14988">
      <c r="A14988" t="str">
        <f t="shared" si="1"/>
        <v>sdn#2010</v>
      </c>
      <c r="B14988" t="str">
        <f>IFERROR(__xludf.DUMMYFUNCTION("""COMPUTED_VALUE"""),"sdn")</f>
        <v>sdn</v>
      </c>
      <c r="C14988" t="str">
        <f>IFERROR(__xludf.DUMMYFUNCTION("""COMPUTED_VALUE"""),"Sudan")</f>
        <v>Sudan</v>
      </c>
      <c r="D14988">
        <f>IFERROR(__xludf.DUMMYFUNCTION("""COMPUTED_VALUE"""),2010.0)</f>
        <v>2010</v>
      </c>
      <c r="E14988">
        <f>IFERROR(__xludf.DUMMYFUNCTION("""COMPUTED_VALUE"""),3.4385963E7)</f>
        <v>34385963</v>
      </c>
    </row>
    <row r="14989">
      <c r="A14989" t="str">
        <f t="shared" si="1"/>
        <v>sdn#2011</v>
      </c>
      <c r="B14989" t="str">
        <f>IFERROR(__xludf.DUMMYFUNCTION("""COMPUTED_VALUE"""),"sdn")</f>
        <v>sdn</v>
      </c>
      <c r="C14989" t="str">
        <f>IFERROR(__xludf.DUMMYFUNCTION("""COMPUTED_VALUE"""),"Sudan")</f>
        <v>Sudan</v>
      </c>
      <c r="D14989">
        <f>IFERROR(__xludf.DUMMYFUNCTION("""COMPUTED_VALUE"""),2011.0)</f>
        <v>2011</v>
      </c>
      <c r="E14989">
        <f>IFERROR(__xludf.DUMMYFUNCTION("""COMPUTED_VALUE"""),3.5167314E7)</f>
        <v>35167314</v>
      </c>
    </row>
    <row r="14990">
      <c r="A14990" t="str">
        <f t="shared" si="1"/>
        <v>sdn#2012</v>
      </c>
      <c r="B14990" t="str">
        <f>IFERROR(__xludf.DUMMYFUNCTION("""COMPUTED_VALUE"""),"sdn")</f>
        <v>sdn</v>
      </c>
      <c r="C14990" t="str">
        <f>IFERROR(__xludf.DUMMYFUNCTION("""COMPUTED_VALUE"""),"Sudan")</f>
        <v>Sudan</v>
      </c>
      <c r="D14990">
        <f>IFERROR(__xludf.DUMMYFUNCTION("""COMPUTED_VALUE"""),2012.0)</f>
        <v>2012</v>
      </c>
      <c r="E14990">
        <f>IFERROR(__xludf.DUMMYFUNCTION("""COMPUTED_VALUE"""),3.5990192E7)</f>
        <v>35990192</v>
      </c>
    </row>
    <row r="14991">
      <c r="A14991" t="str">
        <f t="shared" si="1"/>
        <v>sdn#2013</v>
      </c>
      <c r="B14991" t="str">
        <f>IFERROR(__xludf.DUMMYFUNCTION("""COMPUTED_VALUE"""),"sdn")</f>
        <v>sdn</v>
      </c>
      <c r="C14991" t="str">
        <f>IFERROR(__xludf.DUMMYFUNCTION("""COMPUTED_VALUE"""),"Sudan")</f>
        <v>Sudan</v>
      </c>
      <c r="D14991">
        <f>IFERROR(__xludf.DUMMYFUNCTION("""COMPUTED_VALUE"""),2013.0)</f>
        <v>2013</v>
      </c>
      <c r="E14991">
        <f>IFERROR(__xludf.DUMMYFUNCTION("""COMPUTED_VALUE"""),3.6849918E7)</f>
        <v>36849918</v>
      </c>
    </row>
    <row r="14992">
      <c r="A14992" t="str">
        <f t="shared" si="1"/>
        <v>sdn#2014</v>
      </c>
      <c r="B14992" t="str">
        <f>IFERROR(__xludf.DUMMYFUNCTION("""COMPUTED_VALUE"""),"sdn")</f>
        <v>sdn</v>
      </c>
      <c r="C14992" t="str">
        <f>IFERROR(__xludf.DUMMYFUNCTION("""COMPUTED_VALUE"""),"Sudan")</f>
        <v>Sudan</v>
      </c>
      <c r="D14992">
        <f>IFERROR(__xludf.DUMMYFUNCTION("""COMPUTED_VALUE"""),2014.0)</f>
        <v>2014</v>
      </c>
      <c r="E14992">
        <f>IFERROR(__xludf.DUMMYFUNCTION("""COMPUTED_VALUE"""),3.7737913E7)</f>
        <v>37737913</v>
      </c>
    </row>
    <row r="14993">
      <c r="A14993" t="str">
        <f t="shared" si="1"/>
        <v>sdn#2015</v>
      </c>
      <c r="B14993" t="str">
        <f>IFERROR(__xludf.DUMMYFUNCTION("""COMPUTED_VALUE"""),"sdn")</f>
        <v>sdn</v>
      </c>
      <c r="C14993" t="str">
        <f>IFERROR(__xludf.DUMMYFUNCTION("""COMPUTED_VALUE"""),"Sudan")</f>
        <v>Sudan</v>
      </c>
      <c r="D14993">
        <f>IFERROR(__xludf.DUMMYFUNCTION("""COMPUTED_VALUE"""),2015.0)</f>
        <v>2015</v>
      </c>
      <c r="E14993">
        <f>IFERROR(__xludf.DUMMYFUNCTION("""COMPUTED_VALUE"""),3.8647803E7)</f>
        <v>38647803</v>
      </c>
    </row>
    <row r="14994">
      <c r="A14994" t="str">
        <f t="shared" si="1"/>
        <v>sdn#2016</v>
      </c>
      <c r="B14994" t="str">
        <f>IFERROR(__xludf.DUMMYFUNCTION("""COMPUTED_VALUE"""),"sdn")</f>
        <v>sdn</v>
      </c>
      <c r="C14994" t="str">
        <f>IFERROR(__xludf.DUMMYFUNCTION("""COMPUTED_VALUE"""),"Sudan")</f>
        <v>Sudan</v>
      </c>
      <c r="D14994">
        <f>IFERROR(__xludf.DUMMYFUNCTION("""COMPUTED_VALUE"""),2016.0)</f>
        <v>2016</v>
      </c>
      <c r="E14994">
        <f>IFERROR(__xludf.DUMMYFUNCTION("""COMPUTED_VALUE"""),3.9578828E7)</f>
        <v>39578828</v>
      </c>
    </row>
    <row r="14995">
      <c r="A14995" t="str">
        <f t="shared" si="1"/>
        <v>sdn#2017</v>
      </c>
      <c r="B14995" t="str">
        <f>IFERROR(__xludf.DUMMYFUNCTION("""COMPUTED_VALUE"""),"sdn")</f>
        <v>sdn</v>
      </c>
      <c r="C14995" t="str">
        <f>IFERROR(__xludf.DUMMYFUNCTION("""COMPUTED_VALUE"""),"Sudan")</f>
        <v>Sudan</v>
      </c>
      <c r="D14995">
        <f>IFERROR(__xludf.DUMMYFUNCTION("""COMPUTED_VALUE"""),2017.0)</f>
        <v>2017</v>
      </c>
      <c r="E14995">
        <f>IFERROR(__xludf.DUMMYFUNCTION("""COMPUTED_VALUE"""),4.053333E7)</f>
        <v>40533330</v>
      </c>
    </row>
    <row r="14996">
      <c r="A14996" t="str">
        <f t="shared" si="1"/>
        <v>sdn#2018</v>
      </c>
      <c r="B14996" t="str">
        <f>IFERROR(__xludf.DUMMYFUNCTION("""COMPUTED_VALUE"""),"sdn")</f>
        <v>sdn</v>
      </c>
      <c r="C14996" t="str">
        <f>IFERROR(__xludf.DUMMYFUNCTION("""COMPUTED_VALUE"""),"Sudan")</f>
        <v>Sudan</v>
      </c>
      <c r="D14996">
        <f>IFERROR(__xludf.DUMMYFUNCTION("""COMPUTED_VALUE"""),2018.0)</f>
        <v>2018</v>
      </c>
      <c r="E14996">
        <f>IFERROR(__xludf.DUMMYFUNCTION("""COMPUTED_VALUE"""),4.1511526E7)</f>
        <v>41511526</v>
      </c>
    </row>
    <row r="14997">
      <c r="A14997" t="str">
        <f t="shared" si="1"/>
        <v>sdn#2019</v>
      </c>
      <c r="B14997" t="str">
        <f>IFERROR(__xludf.DUMMYFUNCTION("""COMPUTED_VALUE"""),"sdn")</f>
        <v>sdn</v>
      </c>
      <c r="C14997" t="str">
        <f>IFERROR(__xludf.DUMMYFUNCTION("""COMPUTED_VALUE"""),"Sudan")</f>
        <v>Sudan</v>
      </c>
      <c r="D14997">
        <f>IFERROR(__xludf.DUMMYFUNCTION("""COMPUTED_VALUE"""),2019.0)</f>
        <v>2019</v>
      </c>
      <c r="E14997">
        <f>IFERROR(__xludf.DUMMYFUNCTION("""COMPUTED_VALUE"""),4.2514094E7)</f>
        <v>42514094</v>
      </c>
    </row>
    <row r="14998">
      <c r="A14998" t="str">
        <f t="shared" si="1"/>
        <v>sdn#2020</v>
      </c>
      <c r="B14998" t="str">
        <f>IFERROR(__xludf.DUMMYFUNCTION("""COMPUTED_VALUE"""),"sdn")</f>
        <v>sdn</v>
      </c>
      <c r="C14998" t="str">
        <f>IFERROR(__xludf.DUMMYFUNCTION("""COMPUTED_VALUE"""),"Sudan")</f>
        <v>Sudan</v>
      </c>
      <c r="D14998">
        <f>IFERROR(__xludf.DUMMYFUNCTION("""COMPUTED_VALUE"""),2020.0)</f>
        <v>2020</v>
      </c>
      <c r="E14998">
        <f>IFERROR(__xludf.DUMMYFUNCTION("""COMPUTED_VALUE"""),4.3541203E7)</f>
        <v>43541203</v>
      </c>
    </row>
    <row r="14999">
      <c r="A14999" t="str">
        <f t="shared" si="1"/>
        <v>sdn#2021</v>
      </c>
      <c r="B14999" t="str">
        <f>IFERROR(__xludf.DUMMYFUNCTION("""COMPUTED_VALUE"""),"sdn")</f>
        <v>sdn</v>
      </c>
      <c r="C14999" t="str">
        <f>IFERROR(__xludf.DUMMYFUNCTION("""COMPUTED_VALUE"""),"Sudan")</f>
        <v>Sudan</v>
      </c>
      <c r="D14999">
        <f>IFERROR(__xludf.DUMMYFUNCTION("""COMPUTED_VALUE"""),2021.0)</f>
        <v>2021</v>
      </c>
      <c r="E14999">
        <f>IFERROR(__xludf.DUMMYFUNCTION("""COMPUTED_VALUE"""),4.459244E7)</f>
        <v>44592440</v>
      </c>
    </row>
    <row r="15000">
      <c r="A15000" t="str">
        <f t="shared" si="1"/>
        <v>sdn#2022</v>
      </c>
      <c r="B15000" t="str">
        <f>IFERROR(__xludf.DUMMYFUNCTION("""COMPUTED_VALUE"""),"sdn")</f>
        <v>sdn</v>
      </c>
      <c r="C15000" t="str">
        <f>IFERROR(__xludf.DUMMYFUNCTION("""COMPUTED_VALUE"""),"Sudan")</f>
        <v>Sudan</v>
      </c>
      <c r="D15000">
        <f>IFERROR(__xludf.DUMMYFUNCTION("""COMPUTED_VALUE"""),2022.0)</f>
        <v>2022</v>
      </c>
      <c r="E15000">
        <f>IFERROR(__xludf.DUMMYFUNCTION("""COMPUTED_VALUE"""),4.5666292E7)</f>
        <v>45666292</v>
      </c>
    </row>
    <row r="15001">
      <c r="A15001" t="str">
        <f t="shared" si="1"/>
        <v>sdn#2023</v>
      </c>
      <c r="B15001" t="str">
        <f>IFERROR(__xludf.DUMMYFUNCTION("""COMPUTED_VALUE"""),"sdn")</f>
        <v>sdn</v>
      </c>
      <c r="C15001" t="str">
        <f>IFERROR(__xludf.DUMMYFUNCTION("""COMPUTED_VALUE"""),"Sudan")</f>
        <v>Sudan</v>
      </c>
      <c r="D15001">
        <f>IFERROR(__xludf.DUMMYFUNCTION("""COMPUTED_VALUE"""),2023.0)</f>
        <v>2023</v>
      </c>
      <c r="E15001">
        <f>IFERROR(__xludf.DUMMYFUNCTION("""COMPUTED_VALUE"""),4.6760545E7)</f>
        <v>46760545</v>
      </c>
    </row>
    <row r="15002">
      <c r="A15002" t="str">
        <f t="shared" si="1"/>
        <v>sdn#2024</v>
      </c>
      <c r="B15002" t="str">
        <f>IFERROR(__xludf.DUMMYFUNCTION("""COMPUTED_VALUE"""),"sdn")</f>
        <v>sdn</v>
      </c>
      <c r="C15002" t="str">
        <f>IFERROR(__xludf.DUMMYFUNCTION("""COMPUTED_VALUE"""),"Sudan")</f>
        <v>Sudan</v>
      </c>
      <c r="D15002">
        <f>IFERROR(__xludf.DUMMYFUNCTION("""COMPUTED_VALUE"""),2024.0)</f>
        <v>2024</v>
      </c>
      <c r="E15002">
        <f>IFERROR(__xludf.DUMMYFUNCTION("""COMPUTED_VALUE"""),4.787243E7)</f>
        <v>47872430</v>
      </c>
    </row>
    <row r="15003">
      <c r="A15003" t="str">
        <f t="shared" si="1"/>
        <v>sdn#2025</v>
      </c>
      <c r="B15003" t="str">
        <f>IFERROR(__xludf.DUMMYFUNCTION("""COMPUTED_VALUE"""),"sdn")</f>
        <v>sdn</v>
      </c>
      <c r="C15003" t="str">
        <f>IFERROR(__xludf.DUMMYFUNCTION("""COMPUTED_VALUE"""),"Sudan")</f>
        <v>Sudan</v>
      </c>
      <c r="D15003">
        <f>IFERROR(__xludf.DUMMYFUNCTION("""COMPUTED_VALUE"""),2025.0)</f>
        <v>2025</v>
      </c>
      <c r="E15003">
        <f>IFERROR(__xludf.DUMMYFUNCTION("""COMPUTED_VALUE"""),4.8999711E7)</f>
        <v>48999711</v>
      </c>
    </row>
    <row r="15004">
      <c r="A15004" t="str">
        <f t="shared" si="1"/>
        <v>sdn#2026</v>
      </c>
      <c r="B15004" t="str">
        <f>IFERROR(__xludf.DUMMYFUNCTION("""COMPUTED_VALUE"""),"sdn")</f>
        <v>sdn</v>
      </c>
      <c r="C15004" t="str">
        <f>IFERROR(__xludf.DUMMYFUNCTION("""COMPUTED_VALUE"""),"Sudan")</f>
        <v>Sudan</v>
      </c>
      <c r="D15004">
        <f>IFERROR(__xludf.DUMMYFUNCTION("""COMPUTED_VALUE"""),2026.0)</f>
        <v>2026</v>
      </c>
      <c r="E15004">
        <f>IFERROR(__xludf.DUMMYFUNCTION("""COMPUTED_VALUE"""),5.0141051E7)</f>
        <v>50141051</v>
      </c>
    </row>
    <row r="15005">
      <c r="A15005" t="str">
        <f t="shared" si="1"/>
        <v>sdn#2027</v>
      </c>
      <c r="B15005" t="str">
        <f>IFERROR(__xludf.DUMMYFUNCTION("""COMPUTED_VALUE"""),"sdn")</f>
        <v>sdn</v>
      </c>
      <c r="C15005" t="str">
        <f>IFERROR(__xludf.DUMMYFUNCTION("""COMPUTED_VALUE"""),"Sudan")</f>
        <v>Sudan</v>
      </c>
      <c r="D15005">
        <f>IFERROR(__xludf.DUMMYFUNCTION("""COMPUTED_VALUE"""),2027.0)</f>
        <v>2027</v>
      </c>
      <c r="E15005">
        <f>IFERROR(__xludf.DUMMYFUNCTION("""COMPUTED_VALUE"""),5.1296028E7)</f>
        <v>51296028</v>
      </c>
    </row>
    <row r="15006">
      <c r="A15006" t="str">
        <f t="shared" si="1"/>
        <v>sdn#2028</v>
      </c>
      <c r="B15006" t="str">
        <f>IFERROR(__xludf.DUMMYFUNCTION("""COMPUTED_VALUE"""),"sdn")</f>
        <v>sdn</v>
      </c>
      <c r="C15006" t="str">
        <f>IFERROR(__xludf.DUMMYFUNCTION("""COMPUTED_VALUE"""),"Sudan")</f>
        <v>Sudan</v>
      </c>
      <c r="D15006">
        <f>IFERROR(__xludf.DUMMYFUNCTION("""COMPUTED_VALUE"""),2028.0)</f>
        <v>2028</v>
      </c>
      <c r="E15006">
        <f>IFERROR(__xludf.DUMMYFUNCTION("""COMPUTED_VALUE"""),5.2464484E7)</f>
        <v>52464484</v>
      </c>
    </row>
    <row r="15007">
      <c r="A15007" t="str">
        <f t="shared" si="1"/>
        <v>sdn#2029</v>
      </c>
      <c r="B15007" t="str">
        <f>IFERROR(__xludf.DUMMYFUNCTION("""COMPUTED_VALUE"""),"sdn")</f>
        <v>sdn</v>
      </c>
      <c r="C15007" t="str">
        <f>IFERROR(__xludf.DUMMYFUNCTION("""COMPUTED_VALUE"""),"Sudan")</f>
        <v>Sudan</v>
      </c>
      <c r="D15007">
        <f>IFERROR(__xludf.DUMMYFUNCTION("""COMPUTED_VALUE"""),2029.0)</f>
        <v>2029</v>
      </c>
      <c r="E15007">
        <f>IFERROR(__xludf.DUMMYFUNCTION("""COMPUTED_VALUE"""),5.3646648E7)</f>
        <v>53646648</v>
      </c>
    </row>
    <row r="15008">
      <c r="A15008" t="str">
        <f t="shared" si="1"/>
        <v>sdn#2030</v>
      </c>
      <c r="B15008" t="str">
        <f>IFERROR(__xludf.DUMMYFUNCTION("""COMPUTED_VALUE"""),"sdn")</f>
        <v>sdn</v>
      </c>
      <c r="C15008" t="str">
        <f>IFERROR(__xludf.DUMMYFUNCTION("""COMPUTED_VALUE"""),"Sudan")</f>
        <v>Sudan</v>
      </c>
      <c r="D15008">
        <f>IFERROR(__xludf.DUMMYFUNCTION("""COMPUTED_VALUE"""),2030.0)</f>
        <v>2030</v>
      </c>
      <c r="E15008">
        <f>IFERROR(__xludf.DUMMYFUNCTION("""COMPUTED_VALUE"""),5.4842478E7)</f>
        <v>54842478</v>
      </c>
    </row>
    <row r="15009">
      <c r="A15009" t="str">
        <f t="shared" si="1"/>
        <v>sdn#2031</v>
      </c>
      <c r="B15009" t="str">
        <f>IFERROR(__xludf.DUMMYFUNCTION("""COMPUTED_VALUE"""),"sdn")</f>
        <v>sdn</v>
      </c>
      <c r="C15009" t="str">
        <f>IFERROR(__xludf.DUMMYFUNCTION("""COMPUTED_VALUE"""),"Sudan")</f>
        <v>Sudan</v>
      </c>
      <c r="D15009">
        <f>IFERROR(__xludf.DUMMYFUNCTION("""COMPUTED_VALUE"""),2031.0)</f>
        <v>2031</v>
      </c>
      <c r="E15009">
        <f>IFERROR(__xludf.DUMMYFUNCTION("""COMPUTED_VALUE"""),5.6051316E7)</f>
        <v>56051316</v>
      </c>
    </row>
    <row r="15010">
      <c r="A15010" t="str">
        <f t="shared" si="1"/>
        <v>sdn#2032</v>
      </c>
      <c r="B15010" t="str">
        <f>IFERROR(__xludf.DUMMYFUNCTION("""COMPUTED_VALUE"""),"sdn")</f>
        <v>sdn</v>
      </c>
      <c r="C15010" t="str">
        <f>IFERROR(__xludf.DUMMYFUNCTION("""COMPUTED_VALUE"""),"Sudan")</f>
        <v>Sudan</v>
      </c>
      <c r="D15010">
        <f>IFERROR(__xludf.DUMMYFUNCTION("""COMPUTED_VALUE"""),2032.0)</f>
        <v>2032</v>
      </c>
      <c r="E15010">
        <f>IFERROR(__xludf.DUMMYFUNCTION("""COMPUTED_VALUE"""),5.7272095E7)</f>
        <v>57272095</v>
      </c>
    </row>
    <row r="15011">
      <c r="A15011" t="str">
        <f t="shared" si="1"/>
        <v>sdn#2033</v>
      </c>
      <c r="B15011" t="str">
        <f>IFERROR(__xludf.DUMMYFUNCTION("""COMPUTED_VALUE"""),"sdn")</f>
        <v>sdn</v>
      </c>
      <c r="C15011" t="str">
        <f>IFERROR(__xludf.DUMMYFUNCTION("""COMPUTED_VALUE"""),"Sudan")</f>
        <v>Sudan</v>
      </c>
      <c r="D15011">
        <f>IFERROR(__xludf.DUMMYFUNCTION("""COMPUTED_VALUE"""),2033.0)</f>
        <v>2033</v>
      </c>
      <c r="E15011">
        <f>IFERROR(__xludf.DUMMYFUNCTION("""COMPUTED_VALUE"""),5.8503852E7)</f>
        <v>58503852</v>
      </c>
    </row>
    <row r="15012">
      <c r="A15012" t="str">
        <f t="shared" si="1"/>
        <v>sdn#2034</v>
      </c>
      <c r="B15012" t="str">
        <f>IFERROR(__xludf.DUMMYFUNCTION("""COMPUTED_VALUE"""),"sdn")</f>
        <v>sdn</v>
      </c>
      <c r="C15012" t="str">
        <f>IFERROR(__xludf.DUMMYFUNCTION("""COMPUTED_VALUE"""),"Sudan")</f>
        <v>Sudan</v>
      </c>
      <c r="D15012">
        <f>IFERROR(__xludf.DUMMYFUNCTION("""COMPUTED_VALUE"""),2034.0)</f>
        <v>2034</v>
      </c>
      <c r="E15012">
        <f>IFERROR(__xludf.DUMMYFUNCTION("""COMPUTED_VALUE"""),5.9745525E7)</f>
        <v>59745525</v>
      </c>
    </row>
    <row r="15013">
      <c r="A15013" t="str">
        <f t="shared" si="1"/>
        <v>sdn#2035</v>
      </c>
      <c r="B15013" t="str">
        <f>IFERROR(__xludf.DUMMYFUNCTION("""COMPUTED_VALUE"""),"sdn")</f>
        <v>sdn</v>
      </c>
      <c r="C15013" t="str">
        <f>IFERROR(__xludf.DUMMYFUNCTION("""COMPUTED_VALUE"""),"Sudan")</f>
        <v>Sudan</v>
      </c>
      <c r="D15013">
        <f>IFERROR(__xludf.DUMMYFUNCTION("""COMPUTED_VALUE"""),2035.0)</f>
        <v>2035</v>
      </c>
      <c r="E15013">
        <f>IFERROR(__xludf.DUMMYFUNCTION("""COMPUTED_VALUE"""),6.099611E7)</f>
        <v>60996110</v>
      </c>
    </row>
    <row r="15014">
      <c r="A15014" t="str">
        <f t="shared" si="1"/>
        <v>sdn#2036</v>
      </c>
      <c r="B15014" t="str">
        <f>IFERROR(__xludf.DUMMYFUNCTION("""COMPUTED_VALUE"""),"sdn")</f>
        <v>sdn</v>
      </c>
      <c r="C15014" t="str">
        <f>IFERROR(__xludf.DUMMYFUNCTION("""COMPUTED_VALUE"""),"Sudan")</f>
        <v>Sudan</v>
      </c>
      <c r="D15014">
        <f>IFERROR(__xludf.DUMMYFUNCTION("""COMPUTED_VALUE"""),2036.0)</f>
        <v>2036</v>
      </c>
      <c r="E15014">
        <f>IFERROR(__xludf.DUMMYFUNCTION("""COMPUTED_VALUE"""),6.2254963E7)</f>
        <v>62254963</v>
      </c>
    </row>
    <row r="15015">
      <c r="A15015" t="str">
        <f t="shared" si="1"/>
        <v>sdn#2037</v>
      </c>
      <c r="B15015" t="str">
        <f>IFERROR(__xludf.DUMMYFUNCTION("""COMPUTED_VALUE"""),"sdn")</f>
        <v>sdn</v>
      </c>
      <c r="C15015" t="str">
        <f>IFERROR(__xludf.DUMMYFUNCTION("""COMPUTED_VALUE"""),"Sudan")</f>
        <v>Sudan</v>
      </c>
      <c r="D15015">
        <f>IFERROR(__xludf.DUMMYFUNCTION("""COMPUTED_VALUE"""),2037.0)</f>
        <v>2037</v>
      </c>
      <c r="E15015">
        <f>IFERROR(__xludf.DUMMYFUNCTION("""COMPUTED_VALUE"""),6.3521438E7)</f>
        <v>63521438</v>
      </c>
    </row>
    <row r="15016">
      <c r="A15016" t="str">
        <f t="shared" si="1"/>
        <v>sdn#2038</v>
      </c>
      <c r="B15016" t="str">
        <f>IFERROR(__xludf.DUMMYFUNCTION("""COMPUTED_VALUE"""),"sdn")</f>
        <v>sdn</v>
      </c>
      <c r="C15016" t="str">
        <f>IFERROR(__xludf.DUMMYFUNCTION("""COMPUTED_VALUE"""),"Sudan")</f>
        <v>Sudan</v>
      </c>
      <c r="D15016">
        <f>IFERROR(__xludf.DUMMYFUNCTION("""COMPUTED_VALUE"""),2038.0)</f>
        <v>2038</v>
      </c>
      <c r="E15016">
        <f>IFERROR(__xludf.DUMMYFUNCTION("""COMPUTED_VALUE"""),6.4794628E7)</f>
        <v>64794628</v>
      </c>
    </row>
    <row r="15017">
      <c r="A15017" t="str">
        <f t="shared" si="1"/>
        <v>sdn#2039</v>
      </c>
      <c r="B15017" t="str">
        <f>IFERROR(__xludf.DUMMYFUNCTION("""COMPUTED_VALUE"""),"sdn")</f>
        <v>sdn</v>
      </c>
      <c r="C15017" t="str">
        <f>IFERROR(__xludf.DUMMYFUNCTION("""COMPUTED_VALUE"""),"Sudan")</f>
        <v>Sudan</v>
      </c>
      <c r="D15017">
        <f>IFERROR(__xludf.DUMMYFUNCTION("""COMPUTED_VALUE"""),2039.0)</f>
        <v>2039</v>
      </c>
      <c r="E15017">
        <f>IFERROR(__xludf.DUMMYFUNCTION("""COMPUTED_VALUE"""),6.6073569E7)</f>
        <v>66073569</v>
      </c>
    </row>
    <row r="15018">
      <c r="A15018" t="str">
        <f t="shared" si="1"/>
        <v>sdn#2040</v>
      </c>
      <c r="B15018" t="str">
        <f>IFERROR(__xludf.DUMMYFUNCTION("""COMPUTED_VALUE"""),"sdn")</f>
        <v>sdn</v>
      </c>
      <c r="C15018" t="str">
        <f>IFERROR(__xludf.DUMMYFUNCTION("""COMPUTED_VALUE"""),"Sudan")</f>
        <v>Sudan</v>
      </c>
      <c r="D15018">
        <f>IFERROR(__xludf.DUMMYFUNCTION("""COMPUTED_VALUE"""),2040.0)</f>
        <v>2040</v>
      </c>
      <c r="E15018">
        <f>IFERROR(__xludf.DUMMYFUNCTION("""COMPUTED_VALUE"""),6.7357464E7)</f>
        <v>67357464</v>
      </c>
    </row>
    <row r="15019">
      <c r="A15019" t="str">
        <f t="shared" si="1"/>
        <v>sur#1950</v>
      </c>
      <c r="B15019" t="str">
        <f>IFERROR(__xludf.DUMMYFUNCTION("""COMPUTED_VALUE"""),"sur")</f>
        <v>sur</v>
      </c>
      <c r="C15019" t="str">
        <f>IFERROR(__xludf.DUMMYFUNCTION("""COMPUTED_VALUE"""),"Suriname")</f>
        <v>Suriname</v>
      </c>
      <c r="D15019">
        <f>IFERROR(__xludf.DUMMYFUNCTION("""COMPUTED_VALUE"""),1950.0)</f>
        <v>1950</v>
      </c>
      <c r="E15019">
        <f>IFERROR(__xludf.DUMMYFUNCTION("""COMPUTED_VALUE"""),215002.0)</f>
        <v>215002</v>
      </c>
    </row>
    <row r="15020">
      <c r="A15020" t="str">
        <f t="shared" si="1"/>
        <v>sur#1951</v>
      </c>
      <c r="B15020" t="str">
        <f>IFERROR(__xludf.DUMMYFUNCTION("""COMPUTED_VALUE"""),"sur")</f>
        <v>sur</v>
      </c>
      <c r="C15020" t="str">
        <f>IFERROR(__xludf.DUMMYFUNCTION("""COMPUTED_VALUE"""),"Suriname")</f>
        <v>Suriname</v>
      </c>
      <c r="D15020">
        <f>IFERROR(__xludf.DUMMYFUNCTION("""COMPUTED_VALUE"""),1951.0)</f>
        <v>1951</v>
      </c>
      <c r="E15020">
        <f>IFERROR(__xludf.DUMMYFUNCTION("""COMPUTED_VALUE"""),222679.0)</f>
        <v>222679</v>
      </c>
    </row>
    <row r="15021">
      <c r="A15021" t="str">
        <f t="shared" si="1"/>
        <v>sur#1952</v>
      </c>
      <c r="B15021" t="str">
        <f>IFERROR(__xludf.DUMMYFUNCTION("""COMPUTED_VALUE"""),"sur")</f>
        <v>sur</v>
      </c>
      <c r="C15021" t="str">
        <f>IFERROR(__xludf.DUMMYFUNCTION("""COMPUTED_VALUE"""),"Suriname")</f>
        <v>Suriname</v>
      </c>
      <c r="D15021">
        <f>IFERROR(__xludf.DUMMYFUNCTION("""COMPUTED_VALUE"""),1952.0)</f>
        <v>1952</v>
      </c>
      <c r="E15021">
        <f>IFERROR(__xludf.DUMMYFUNCTION("""COMPUTED_VALUE"""),229652.0)</f>
        <v>229652</v>
      </c>
    </row>
    <row r="15022">
      <c r="A15022" t="str">
        <f t="shared" si="1"/>
        <v>sur#1953</v>
      </c>
      <c r="B15022" t="str">
        <f>IFERROR(__xludf.DUMMYFUNCTION("""COMPUTED_VALUE"""),"sur")</f>
        <v>sur</v>
      </c>
      <c r="C15022" t="str">
        <f>IFERROR(__xludf.DUMMYFUNCTION("""COMPUTED_VALUE"""),"Suriname")</f>
        <v>Suriname</v>
      </c>
      <c r="D15022">
        <f>IFERROR(__xludf.DUMMYFUNCTION("""COMPUTED_VALUE"""),1953.0)</f>
        <v>1953</v>
      </c>
      <c r="E15022">
        <f>IFERROR(__xludf.DUMMYFUNCTION("""COMPUTED_VALUE"""),236347.0)</f>
        <v>236347</v>
      </c>
    </row>
    <row r="15023">
      <c r="A15023" t="str">
        <f t="shared" si="1"/>
        <v>sur#1954</v>
      </c>
      <c r="B15023" t="str">
        <f>IFERROR(__xludf.DUMMYFUNCTION("""COMPUTED_VALUE"""),"sur")</f>
        <v>sur</v>
      </c>
      <c r="C15023" t="str">
        <f>IFERROR(__xludf.DUMMYFUNCTION("""COMPUTED_VALUE"""),"Suriname")</f>
        <v>Suriname</v>
      </c>
      <c r="D15023">
        <f>IFERROR(__xludf.DUMMYFUNCTION("""COMPUTED_VALUE"""),1954.0)</f>
        <v>1954</v>
      </c>
      <c r="E15023">
        <f>IFERROR(__xludf.DUMMYFUNCTION("""COMPUTED_VALUE"""),243088.0)</f>
        <v>243088</v>
      </c>
    </row>
    <row r="15024">
      <c r="A15024" t="str">
        <f t="shared" si="1"/>
        <v>sur#1955</v>
      </c>
      <c r="B15024" t="str">
        <f>IFERROR(__xludf.DUMMYFUNCTION("""COMPUTED_VALUE"""),"sur")</f>
        <v>sur</v>
      </c>
      <c r="C15024" t="str">
        <f>IFERROR(__xludf.DUMMYFUNCTION("""COMPUTED_VALUE"""),"Suriname")</f>
        <v>Suriname</v>
      </c>
      <c r="D15024">
        <f>IFERROR(__xludf.DUMMYFUNCTION("""COMPUTED_VALUE"""),1955.0)</f>
        <v>1955</v>
      </c>
      <c r="E15024">
        <f>IFERROR(__xludf.DUMMYFUNCTION("""COMPUTED_VALUE"""),250088.0)</f>
        <v>250088</v>
      </c>
    </row>
    <row r="15025">
      <c r="A15025" t="str">
        <f t="shared" si="1"/>
        <v>sur#1956</v>
      </c>
      <c r="B15025" t="str">
        <f>IFERROR(__xludf.DUMMYFUNCTION("""COMPUTED_VALUE"""),"sur")</f>
        <v>sur</v>
      </c>
      <c r="C15025" t="str">
        <f>IFERROR(__xludf.DUMMYFUNCTION("""COMPUTED_VALUE"""),"Suriname")</f>
        <v>Suriname</v>
      </c>
      <c r="D15025">
        <f>IFERROR(__xludf.DUMMYFUNCTION("""COMPUTED_VALUE"""),1956.0)</f>
        <v>1956</v>
      </c>
      <c r="E15025">
        <f>IFERROR(__xludf.DUMMYFUNCTION("""COMPUTED_VALUE"""),257485.0)</f>
        <v>257485</v>
      </c>
    </row>
    <row r="15026">
      <c r="A15026" t="str">
        <f t="shared" si="1"/>
        <v>sur#1957</v>
      </c>
      <c r="B15026" t="str">
        <f>IFERROR(__xludf.DUMMYFUNCTION("""COMPUTED_VALUE"""),"sur")</f>
        <v>sur</v>
      </c>
      <c r="C15026" t="str">
        <f>IFERROR(__xludf.DUMMYFUNCTION("""COMPUTED_VALUE"""),"Suriname")</f>
        <v>Suriname</v>
      </c>
      <c r="D15026">
        <f>IFERROR(__xludf.DUMMYFUNCTION("""COMPUTED_VALUE"""),1957.0)</f>
        <v>1957</v>
      </c>
      <c r="E15026">
        <f>IFERROR(__xludf.DUMMYFUNCTION("""COMPUTED_VALUE"""),265273.0)</f>
        <v>265273</v>
      </c>
    </row>
    <row r="15027">
      <c r="A15027" t="str">
        <f t="shared" si="1"/>
        <v>sur#1958</v>
      </c>
      <c r="B15027" t="str">
        <f>IFERROR(__xludf.DUMMYFUNCTION("""COMPUTED_VALUE"""),"sur")</f>
        <v>sur</v>
      </c>
      <c r="C15027" t="str">
        <f>IFERROR(__xludf.DUMMYFUNCTION("""COMPUTED_VALUE"""),"Suriname")</f>
        <v>Suriname</v>
      </c>
      <c r="D15027">
        <f>IFERROR(__xludf.DUMMYFUNCTION("""COMPUTED_VALUE"""),1958.0)</f>
        <v>1958</v>
      </c>
      <c r="E15027">
        <f>IFERROR(__xludf.DUMMYFUNCTION("""COMPUTED_VALUE"""),273382.0)</f>
        <v>273382</v>
      </c>
    </row>
    <row r="15028">
      <c r="A15028" t="str">
        <f t="shared" si="1"/>
        <v>sur#1959</v>
      </c>
      <c r="B15028" t="str">
        <f>IFERROR(__xludf.DUMMYFUNCTION("""COMPUTED_VALUE"""),"sur")</f>
        <v>sur</v>
      </c>
      <c r="C15028" t="str">
        <f>IFERROR(__xludf.DUMMYFUNCTION("""COMPUTED_VALUE"""),"Suriname")</f>
        <v>Suriname</v>
      </c>
      <c r="D15028">
        <f>IFERROR(__xludf.DUMMYFUNCTION("""COMPUTED_VALUE"""),1959.0)</f>
        <v>1959</v>
      </c>
      <c r="E15028">
        <f>IFERROR(__xludf.DUMMYFUNCTION("""COMPUTED_VALUE"""),281668.0)</f>
        <v>281668</v>
      </c>
    </row>
    <row r="15029">
      <c r="A15029" t="str">
        <f t="shared" si="1"/>
        <v>sur#1960</v>
      </c>
      <c r="B15029" t="str">
        <f>IFERROR(__xludf.DUMMYFUNCTION("""COMPUTED_VALUE"""),"sur")</f>
        <v>sur</v>
      </c>
      <c r="C15029" t="str">
        <f>IFERROR(__xludf.DUMMYFUNCTION("""COMPUTED_VALUE"""),"Suriname")</f>
        <v>Suriname</v>
      </c>
      <c r="D15029">
        <f>IFERROR(__xludf.DUMMYFUNCTION("""COMPUTED_VALUE"""),1960.0)</f>
        <v>1960</v>
      </c>
      <c r="E15029">
        <f>IFERROR(__xludf.DUMMYFUNCTION("""COMPUTED_VALUE"""),289966.0)</f>
        <v>289966</v>
      </c>
    </row>
    <row r="15030">
      <c r="A15030" t="str">
        <f t="shared" si="1"/>
        <v>sur#1961</v>
      </c>
      <c r="B15030" t="str">
        <f>IFERROR(__xludf.DUMMYFUNCTION("""COMPUTED_VALUE"""),"sur")</f>
        <v>sur</v>
      </c>
      <c r="C15030" t="str">
        <f>IFERROR(__xludf.DUMMYFUNCTION("""COMPUTED_VALUE"""),"Suriname")</f>
        <v>Suriname</v>
      </c>
      <c r="D15030">
        <f>IFERROR(__xludf.DUMMYFUNCTION("""COMPUTED_VALUE"""),1961.0)</f>
        <v>1961</v>
      </c>
      <c r="E15030">
        <f>IFERROR(__xludf.DUMMYFUNCTION("""COMPUTED_VALUE"""),298188.0)</f>
        <v>298188</v>
      </c>
    </row>
    <row r="15031">
      <c r="A15031" t="str">
        <f t="shared" si="1"/>
        <v>sur#1962</v>
      </c>
      <c r="B15031" t="str">
        <f>IFERROR(__xludf.DUMMYFUNCTION("""COMPUTED_VALUE"""),"sur")</f>
        <v>sur</v>
      </c>
      <c r="C15031" t="str">
        <f>IFERROR(__xludf.DUMMYFUNCTION("""COMPUTED_VALUE"""),"Suriname")</f>
        <v>Suriname</v>
      </c>
      <c r="D15031">
        <f>IFERROR(__xludf.DUMMYFUNCTION("""COMPUTED_VALUE"""),1962.0)</f>
        <v>1962</v>
      </c>
      <c r="E15031">
        <f>IFERROR(__xludf.DUMMYFUNCTION("""COMPUTED_VALUE"""),306328.0)</f>
        <v>306328</v>
      </c>
    </row>
    <row r="15032">
      <c r="A15032" t="str">
        <f t="shared" si="1"/>
        <v>sur#1963</v>
      </c>
      <c r="B15032" t="str">
        <f>IFERROR(__xludf.DUMMYFUNCTION("""COMPUTED_VALUE"""),"sur")</f>
        <v>sur</v>
      </c>
      <c r="C15032" t="str">
        <f>IFERROR(__xludf.DUMMYFUNCTION("""COMPUTED_VALUE"""),"Suriname")</f>
        <v>Suriname</v>
      </c>
      <c r="D15032">
        <f>IFERROR(__xludf.DUMMYFUNCTION("""COMPUTED_VALUE"""),1963.0)</f>
        <v>1963</v>
      </c>
      <c r="E15032">
        <f>IFERROR(__xludf.DUMMYFUNCTION("""COMPUTED_VALUE"""),314528.0)</f>
        <v>314528</v>
      </c>
    </row>
    <row r="15033">
      <c r="A15033" t="str">
        <f t="shared" si="1"/>
        <v>sur#1964</v>
      </c>
      <c r="B15033" t="str">
        <f>IFERROR(__xludf.DUMMYFUNCTION("""COMPUTED_VALUE"""),"sur")</f>
        <v>sur</v>
      </c>
      <c r="C15033" t="str">
        <f>IFERROR(__xludf.DUMMYFUNCTION("""COMPUTED_VALUE"""),"Suriname")</f>
        <v>Suriname</v>
      </c>
      <c r="D15033">
        <f>IFERROR(__xludf.DUMMYFUNCTION("""COMPUTED_VALUE"""),1964.0)</f>
        <v>1964</v>
      </c>
      <c r="E15033">
        <f>IFERROR(__xludf.DUMMYFUNCTION("""COMPUTED_VALUE"""),322997.0)</f>
        <v>322997</v>
      </c>
    </row>
    <row r="15034">
      <c r="A15034" t="str">
        <f t="shared" si="1"/>
        <v>sur#1965</v>
      </c>
      <c r="B15034" t="str">
        <f>IFERROR(__xludf.DUMMYFUNCTION("""COMPUTED_VALUE"""),"sur")</f>
        <v>sur</v>
      </c>
      <c r="C15034" t="str">
        <f>IFERROR(__xludf.DUMMYFUNCTION("""COMPUTED_VALUE"""),"Suriname")</f>
        <v>Suriname</v>
      </c>
      <c r="D15034">
        <f>IFERROR(__xludf.DUMMYFUNCTION("""COMPUTED_VALUE"""),1965.0)</f>
        <v>1965</v>
      </c>
      <c r="E15034">
        <f>IFERROR(__xludf.DUMMYFUNCTION("""COMPUTED_VALUE"""),331793.0)</f>
        <v>331793</v>
      </c>
    </row>
    <row r="15035">
      <c r="A15035" t="str">
        <f t="shared" si="1"/>
        <v>sur#1966</v>
      </c>
      <c r="B15035" t="str">
        <f>IFERROR(__xludf.DUMMYFUNCTION("""COMPUTED_VALUE"""),"sur")</f>
        <v>sur</v>
      </c>
      <c r="C15035" t="str">
        <f>IFERROR(__xludf.DUMMYFUNCTION("""COMPUTED_VALUE"""),"Suriname")</f>
        <v>Suriname</v>
      </c>
      <c r="D15035">
        <f>IFERROR(__xludf.DUMMYFUNCTION("""COMPUTED_VALUE"""),1966.0)</f>
        <v>1966</v>
      </c>
      <c r="E15035">
        <f>IFERROR(__xludf.DUMMYFUNCTION("""COMPUTED_VALUE"""),341133.0)</f>
        <v>341133</v>
      </c>
    </row>
    <row r="15036">
      <c r="A15036" t="str">
        <f t="shared" si="1"/>
        <v>sur#1967</v>
      </c>
      <c r="B15036" t="str">
        <f>IFERROR(__xludf.DUMMYFUNCTION("""COMPUTED_VALUE"""),"sur")</f>
        <v>sur</v>
      </c>
      <c r="C15036" t="str">
        <f>IFERROR(__xludf.DUMMYFUNCTION("""COMPUTED_VALUE"""),"Suriname")</f>
        <v>Suriname</v>
      </c>
      <c r="D15036">
        <f>IFERROR(__xludf.DUMMYFUNCTION("""COMPUTED_VALUE"""),1967.0)</f>
        <v>1967</v>
      </c>
      <c r="E15036">
        <f>IFERROR(__xludf.DUMMYFUNCTION("""COMPUTED_VALUE"""),350751.0)</f>
        <v>350751</v>
      </c>
    </row>
    <row r="15037">
      <c r="A15037" t="str">
        <f t="shared" si="1"/>
        <v>sur#1968</v>
      </c>
      <c r="B15037" t="str">
        <f>IFERROR(__xludf.DUMMYFUNCTION("""COMPUTED_VALUE"""),"sur")</f>
        <v>sur</v>
      </c>
      <c r="C15037" t="str">
        <f>IFERROR(__xludf.DUMMYFUNCTION("""COMPUTED_VALUE"""),"Suriname")</f>
        <v>Suriname</v>
      </c>
      <c r="D15037">
        <f>IFERROR(__xludf.DUMMYFUNCTION("""COMPUTED_VALUE"""),1968.0)</f>
        <v>1968</v>
      </c>
      <c r="E15037">
        <f>IFERROR(__xludf.DUMMYFUNCTION("""COMPUTED_VALUE"""),359733.0)</f>
        <v>359733</v>
      </c>
    </row>
    <row r="15038">
      <c r="A15038" t="str">
        <f t="shared" si="1"/>
        <v>sur#1969</v>
      </c>
      <c r="B15038" t="str">
        <f>IFERROR(__xludf.DUMMYFUNCTION("""COMPUTED_VALUE"""),"sur")</f>
        <v>sur</v>
      </c>
      <c r="C15038" t="str">
        <f>IFERROR(__xludf.DUMMYFUNCTION("""COMPUTED_VALUE"""),"Suriname")</f>
        <v>Suriname</v>
      </c>
      <c r="D15038">
        <f>IFERROR(__xludf.DUMMYFUNCTION("""COMPUTED_VALUE"""),1969.0)</f>
        <v>1969</v>
      </c>
      <c r="E15038">
        <f>IFERROR(__xludf.DUMMYFUNCTION("""COMPUTED_VALUE"""),366848.0)</f>
        <v>366848</v>
      </c>
    </row>
    <row r="15039">
      <c r="A15039" t="str">
        <f t="shared" si="1"/>
        <v>sur#1970</v>
      </c>
      <c r="B15039" t="str">
        <f>IFERROR(__xludf.DUMMYFUNCTION("""COMPUTED_VALUE"""),"sur")</f>
        <v>sur</v>
      </c>
      <c r="C15039" t="str">
        <f>IFERROR(__xludf.DUMMYFUNCTION("""COMPUTED_VALUE"""),"Suriname")</f>
        <v>Suriname</v>
      </c>
      <c r="D15039">
        <f>IFERROR(__xludf.DUMMYFUNCTION("""COMPUTED_VALUE"""),1970.0)</f>
        <v>1970</v>
      </c>
      <c r="E15039">
        <f>IFERROR(__xludf.DUMMYFUNCTION("""COMPUTED_VALUE"""),371273.0)</f>
        <v>371273</v>
      </c>
    </row>
    <row r="15040">
      <c r="A15040" t="str">
        <f t="shared" si="1"/>
        <v>sur#1971</v>
      </c>
      <c r="B15040" t="str">
        <f>IFERROR(__xludf.DUMMYFUNCTION("""COMPUTED_VALUE"""),"sur")</f>
        <v>sur</v>
      </c>
      <c r="C15040" t="str">
        <f>IFERROR(__xludf.DUMMYFUNCTION("""COMPUTED_VALUE"""),"Suriname")</f>
        <v>Suriname</v>
      </c>
      <c r="D15040">
        <f>IFERROR(__xludf.DUMMYFUNCTION("""COMPUTED_VALUE"""),1971.0)</f>
        <v>1971</v>
      </c>
      <c r="E15040">
        <f>IFERROR(__xludf.DUMMYFUNCTION("""COMPUTED_VALUE"""),372623.0)</f>
        <v>372623</v>
      </c>
    </row>
    <row r="15041">
      <c r="A15041" t="str">
        <f t="shared" si="1"/>
        <v>sur#1972</v>
      </c>
      <c r="B15041" t="str">
        <f>IFERROR(__xludf.DUMMYFUNCTION("""COMPUTED_VALUE"""),"sur")</f>
        <v>sur</v>
      </c>
      <c r="C15041" t="str">
        <f>IFERROR(__xludf.DUMMYFUNCTION("""COMPUTED_VALUE"""),"Suriname")</f>
        <v>Suriname</v>
      </c>
      <c r="D15041">
        <f>IFERROR(__xludf.DUMMYFUNCTION("""COMPUTED_VALUE"""),1972.0)</f>
        <v>1972</v>
      </c>
      <c r="E15041">
        <f>IFERROR(__xludf.DUMMYFUNCTION("""COMPUTED_VALUE"""),371324.0)</f>
        <v>371324</v>
      </c>
    </row>
    <row r="15042">
      <c r="A15042" t="str">
        <f t="shared" si="1"/>
        <v>sur#1973</v>
      </c>
      <c r="B15042" t="str">
        <f>IFERROR(__xludf.DUMMYFUNCTION("""COMPUTED_VALUE"""),"sur")</f>
        <v>sur</v>
      </c>
      <c r="C15042" t="str">
        <f>IFERROR(__xludf.DUMMYFUNCTION("""COMPUTED_VALUE"""),"Suriname")</f>
        <v>Suriname</v>
      </c>
      <c r="D15042">
        <f>IFERROR(__xludf.DUMMYFUNCTION("""COMPUTED_VALUE"""),1973.0)</f>
        <v>1973</v>
      </c>
      <c r="E15042">
        <f>IFERROR(__xludf.DUMMYFUNCTION("""COMPUTED_VALUE"""),368344.0)</f>
        <v>368344</v>
      </c>
    </row>
    <row r="15043">
      <c r="A15043" t="str">
        <f t="shared" si="1"/>
        <v>sur#1974</v>
      </c>
      <c r="B15043" t="str">
        <f>IFERROR(__xludf.DUMMYFUNCTION("""COMPUTED_VALUE"""),"sur")</f>
        <v>sur</v>
      </c>
      <c r="C15043" t="str">
        <f>IFERROR(__xludf.DUMMYFUNCTION("""COMPUTED_VALUE"""),"Suriname")</f>
        <v>Suriname</v>
      </c>
      <c r="D15043">
        <f>IFERROR(__xludf.DUMMYFUNCTION("""COMPUTED_VALUE"""),1974.0)</f>
        <v>1974</v>
      </c>
      <c r="E15043">
        <f>IFERROR(__xludf.DUMMYFUNCTION("""COMPUTED_VALUE"""),365099.0)</f>
        <v>365099</v>
      </c>
    </row>
    <row r="15044">
      <c r="A15044" t="str">
        <f t="shared" si="1"/>
        <v>sur#1975</v>
      </c>
      <c r="B15044" t="str">
        <f>IFERROR(__xludf.DUMMYFUNCTION("""COMPUTED_VALUE"""),"sur")</f>
        <v>sur</v>
      </c>
      <c r="C15044" t="str">
        <f>IFERROR(__xludf.DUMMYFUNCTION("""COMPUTED_VALUE"""),"Suriname")</f>
        <v>Suriname</v>
      </c>
      <c r="D15044">
        <f>IFERROR(__xludf.DUMMYFUNCTION("""COMPUTED_VALUE"""),1975.0)</f>
        <v>1975</v>
      </c>
      <c r="E15044">
        <f>IFERROR(__xludf.DUMMYFUNCTION("""COMPUTED_VALUE"""),362654.0)</f>
        <v>362654</v>
      </c>
    </row>
    <row r="15045">
      <c r="A15045" t="str">
        <f t="shared" si="1"/>
        <v>sur#1976</v>
      </c>
      <c r="B15045" t="str">
        <f>IFERROR(__xludf.DUMMYFUNCTION("""COMPUTED_VALUE"""),"sur")</f>
        <v>sur</v>
      </c>
      <c r="C15045" t="str">
        <f>IFERROR(__xludf.DUMMYFUNCTION("""COMPUTED_VALUE"""),"Suriname")</f>
        <v>Suriname</v>
      </c>
      <c r="D15045">
        <f>IFERROR(__xludf.DUMMYFUNCTION("""COMPUTED_VALUE"""),1976.0)</f>
        <v>1976</v>
      </c>
      <c r="E15045">
        <f>IFERROR(__xludf.DUMMYFUNCTION("""COMPUTED_VALUE"""),361364.0)</f>
        <v>361364</v>
      </c>
    </row>
    <row r="15046">
      <c r="A15046" t="str">
        <f t="shared" si="1"/>
        <v>sur#1977</v>
      </c>
      <c r="B15046" t="str">
        <f>IFERROR(__xludf.DUMMYFUNCTION("""COMPUTED_VALUE"""),"sur")</f>
        <v>sur</v>
      </c>
      <c r="C15046" t="str">
        <f>IFERROR(__xludf.DUMMYFUNCTION("""COMPUTED_VALUE"""),"Suriname")</f>
        <v>Suriname</v>
      </c>
      <c r="D15046">
        <f>IFERROR(__xludf.DUMMYFUNCTION("""COMPUTED_VALUE"""),1977.0)</f>
        <v>1977</v>
      </c>
      <c r="E15046">
        <f>IFERROR(__xludf.DUMMYFUNCTION("""COMPUTED_VALUE"""),361043.0)</f>
        <v>361043</v>
      </c>
    </row>
    <row r="15047">
      <c r="A15047" t="str">
        <f t="shared" si="1"/>
        <v>sur#1978</v>
      </c>
      <c r="B15047" t="str">
        <f>IFERROR(__xludf.DUMMYFUNCTION("""COMPUTED_VALUE"""),"sur")</f>
        <v>sur</v>
      </c>
      <c r="C15047" t="str">
        <f>IFERROR(__xludf.DUMMYFUNCTION("""COMPUTED_VALUE"""),"Suriname")</f>
        <v>Suriname</v>
      </c>
      <c r="D15047">
        <f>IFERROR(__xludf.DUMMYFUNCTION("""COMPUTED_VALUE"""),1978.0)</f>
        <v>1978</v>
      </c>
      <c r="E15047">
        <f>IFERROR(__xludf.DUMMYFUNCTION("""COMPUTED_VALUE"""),361457.0)</f>
        <v>361457</v>
      </c>
    </row>
    <row r="15048">
      <c r="A15048" t="str">
        <f t="shared" si="1"/>
        <v>sur#1979</v>
      </c>
      <c r="B15048" t="str">
        <f>IFERROR(__xludf.DUMMYFUNCTION("""COMPUTED_VALUE"""),"sur")</f>
        <v>sur</v>
      </c>
      <c r="C15048" t="str">
        <f>IFERROR(__xludf.DUMMYFUNCTION("""COMPUTED_VALUE"""),"Suriname")</f>
        <v>Suriname</v>
      </c>
      <c r="D15048">
        <f>IFERROR(__xludf.DUMMYFUNCTION("""COMPUTED_VALUE"""),1979.0)</f>
        <v>1979</v>
      </c>
      <c r="E15048">
        <f>IFERROR(__xludf.DUMMYFUNCTION("""COMPUTED_VALUE"""),362125.0)</f>
        <v>362125</v>
      </c>
    </row>
    <row r="15049">
      <c r="A15049" t="str">
        <f t="shared" si="1"/>
        <v>sur#1980</v>
      </c>
      <c r="B15049" t="str">
        <f>IFERROR(__xludf.DUMMYFUNCTION("""COMPUTED_VALUE"""),"sur")</f>
        <v>sur</v>
      </c>
      <c r="C15049" t="str">
        <f>IFERROR(__xludf.DUMMYFUNCTION("""COMPUTED_VALUE"""),"Suriname")</f>
        <v>Suriname</v>
      </c>
      <c r="D15049">
        <f>IFERROR(__xludf.DUMMYFUNCTION("""COMPUTED_VALUE"""),1980.0)</f>
        <v>1980</v>
      </c>
      <c r="E15049">
        <f>IFERROR(__xludf.DUMMYFUNCTION("""COMPUTED_VALUE"""),362777.0)</f>
        <v>362777</v>
      </c>
    </row>
    <row r="15050">
      <c r="A15050" t="str">
        <f t="shared" si="1"/>
        <v>sur#1981</v>
      </c>
      <c r="B15050" t="str">
        <f>IFERROR(__xludf.DUMMYFUNCTION("""COMPUTED_VALUE"""),"sur")</f>
        <v>sur</v>
      </c>
      <c r="C15050" t="str">
        <f>IFERROR(__xludf.DUMMYFUNCTION("""COMPUTED_VALUE"""),"Suriname")</f>
        <v>Suriname</v>
      </c>
      <c r="D15050">
        <f>IFERROR(__xludf.DUMMYFUNCTION("""COMPUTED_VALUE"""),1981.0)</f>
        <v>1981</v>
      </c>
      <c r="E15050">
        <f>IFERROR(__xludf.DUMMYFUNCTION("""COMPUTED_VALUE"""),363325.0)</f>
        <v>363325</v>
      </c>
    </row>
    <row r="15051">
      <c r="A15051" t="str">
        <f t="shared" si="1"/>
        <v>sur#1982</v>
      </c>
      <c r="B15051" t="str">
        <f>IFERROR(__xludf.DUMMYFUNCTION("""COMPUTED_VALUE"""),"sur")</f>
        <v>sur</v>
      </c>
      <c r="C15051" t="str">
        <f>IFERROR(__xludf.DUMMYFUNCTION("""COMPUTED_VALUE"""),"Suriname")</f>
        <v>Suriname</v>
      </c>
      <c r="D15051">
        <f>IFERROR(__xludf.DUMMYFUNCTION("""COMPUTED_VALUE"""),1982.0)</f>
        <v>1982</v>
      </c>
      <c r="E15051">
        <f>IFERROR(__xludf.DUMMYFUNCTION("""COMPUTED_VALUE"""),364032.0)</f>
        <v>364032</v>
      </c>
    </row>
    <row r="15052">
      <c r="A15052" t="str">
        <f t="shared" si="1"/>
        <v>sur#1983</v>
      </c>
      <c r="B15052" t="str">
        <f>IFERROR(__xludf.DUMMYFUNCTION("""COMPUTED_VALUE"""),"sur")</f>
        <v>sur</v>
      </c>
      <c r="C15052" t="str">
        <f>IFERROR(__xludf.DUMMYFUNCTION("""COMPUTED_VALUE"""),"Suriname")</f>
        <v>Suriname</v>
      </c>
      <c r="D15052">
        <f>IFERROR(__xludf.DUMMYFUNCTION("""COMPUTED_VALUE"""),1983.0)</f>
        <v>1983</v>
      </c>
      <c r="E15052">
        <f>IFERROR(__xludf.DUMMYFUNCTION("""COMPUTED_VALUE"""),365300.0)</f>
        <v>365300</v>
      </c>
    </row>
    <row r="15053">
      <c r="A15053" t="str">
        <f t="shared" si="1"/>
        <v>sur#1984</v>
      </c>
      <c r="B15053" t="str">
        <f>IFERROR(__xludf.DUMMYFUNCTION("""COMPUTED_VALUE"""),"sur")</f>
        <v>sur</v>
      </c>
      <c r="C15053" t="str">
        <f>IFERROR(__xludf.DUMMYFUNCTION("""COMPUTED_VALUE"""),"Suriname")</f>
        <v>Suriname</v>
      </c>
      <c r="D15053">
        <f>IFERROR(__xludf.DUMMYFUNCTION("""COMPUTED_VALUE"""),1984.0)</f>
        <v>1984</v>
      </c>
      <c r="E15053">
        <f>IFERROR(__xludf.DUMMYFUNCTION("""COMPUTED_VALUE"""),367660.0)</f>
        <v>367660</v>
      </c>
    </row>
    <row r="15054">
      <c r="A15054" t="str">
        <f t="shared" si="1"/>
        <v>sur#1985</v>
      </c>
      <c r="B15054" t="str">
        <f>IFERROR(__xludf.DUMMYFUNCTION("""COMPUTED_VALUE"""),"sur")</f>
        <v>sur</v>
      </c>
      <c r="C15054" t="str">
        <f>IFERROR(__xludf.DUMMYFUNCTION("""COMPUTED_VALUE"""),"Suriname")</f>
        <v>Suriname</v>
      </c>
      <c r="D15054">
        <f>IFERROR(__xludf.DUMMYFUNCTION("""COMPUTED_VALUE"""),1985.0)</f>
        <v>1985</v>
      </c>
      <c r="E15054">
        <f>IFERROR(__xludf.DUMMYFUNCTION("""COMPUTED_VALUE"""),371470.0)</f>
        <v>371470</v>
      </c>
    </row>
    <row r="15055">
      <c r="A15055" t="str">
        <f t="shared" si="1"/>
        <v>sur#1986</v>
      </c>
      <c r="B15055" t="str">
        <f>IFERROR(__xludf.DUMMYFUNCTION("""COMPUTED_VALUE"""),"sur")</f>
        <v>sur</v>
      </c>
      <c r="C15055" t="str">
        <f>IFERROR(__xludf.DUMMYFUNCTION("""COMPUTED_VALUE"""),"Suriname")</f>
        <v>Suriname</v>
      </c>
      <c r="D15055">
        <f>IFERROR(__xludf.DUMMYFUNCTION("""COMPUTED_VALUE"""),1986.0)</f>
        <v>1986</v>
      </c>
      <c r="E15055">
        <f>IFERROR(__xludf.DUMMYFUNCTION("""COMPUTED_VALUE"""),376867.0)</f>
        <v>376867</v>
      </c>
    </row>
    <row r="15056">
      <c r="A15056" t="str">
        <f t="shared" si="1"/>
        <v>sur#1987</v>
      </c>
      <c r="B15056" t="str">
        <f>IFERROR(__xludf.DUMMYFUNCTION("""COMPUTED_VALUE"""),"sur")</f>
        <v>sur</v>
      </c>
      <c r="C15056" t="str">
        <f>IFERROR(__xludf.DUMMYFUNCTION("""COMPUTED_VALUE"""),"Suriname")</f>
        <v>Suriname</v>
      </c>
      <c r="D15056">
        <f>IFERROR(__xludf.DUMMYFUNCTION("""COMPUTED_VALUE"""),1987.0)</f>
        <v>1987</v>
      </c>
      <c r="E15056">
        <f>IFERROR(__xludf.DUMMYFUNCTION("""COMPUTED_VALUE"""),383654.0)</f>
        <v>383654</v>
      </c>
    </row>
    <row r="15057">
      <c r="A15057" t="str">
        <f t="shared" si="1"/>
        <v>sur#1988</v>
      </c>
      <c r="B15057" t="str">
        <f>IFERROR(__xludf.DUMMYFUNCTION("""COMPUTED_VALUE"""),"sur")</f>
        <v>sur</v>
      </c>
      <c r="C15057" t="str">
        <f>IFERROR(__xludf.DUMMYFUNCTION("""COMPUTED_VALUE"""),"Suriname")</f>
        <v>Suriname</v>
      </c>
      <c r="D15057">
        <f>IFERROR(__xludf.DUMMYFUNCTION("""COMPUTED_VALUE"""),1988.0)</f>
        <v>1988</v>
      </c>
      <c r="E15057">
        <f>IFERROR(__xludf.DUMMYFUNCTION("""COMPUTED_VALUE"""),391391.0)</f>
        <v>391391</v>
      </c>
    </row>
    <row r="15058">
      <c r="A15058" t="str">
        <f t="shared" si="1"/>
        <v>sur#1989</v>
      </c>
      <c r="B15058" t="str">
        <f>IFERROR(__xludf.DUMMYFUNCTION("""COMPUTED_VALUE"""),"sur")</f>
        <v>sur</v>
      </c>
      <c r="C15058" t="str">
        <f>IFERROR(__xludf.DUMMYFUNCTION("""COMPUTED_VALUE"""),"Suriname")</f>
        <v>Suriname</v>
      </c>
      <c r="D15058">
        <f>IFERROR(__xludf.DUMMYFUNCTION("""COMPUTED_VALUE"""),1989.0)</f>
        <v>1989</v>
      </c>
      <c r="E15058">
        <f>IFERROR(__xludf.DUMMYFUNCTION("""COMPUTED_VALUE"""),399492.0)</f>
        <v>399492</v>
      </c>
    </row>
    <row r="15059">
      <c r="A15059" t="str">
        <f t="shared" si="1"/>
        <v>sur#1990</v>
      </c>
      <c r="B15059" t="str">
        <f>IFERROR(__xludf.DUMMYFUNCTION("""COMPUTED_VALUE"""),"sur")</f>
        <v>sur</v>
      </c>
      <c r="C15059" t="str">
        <f>IFERROR(__xludf.DUMMYFUNCTION("""COMPUTED_VALUE"""),"Suriname")</f>
        <v>Suriname</v>
      </c>
      <c r="D15059">
        <f>IFERROR(__xludf.DUMMYFUNCTION("""COMPUTED_VALUE"""),1990.0)</f>
        <v>1990</v>
      </c>
      <c r="E15059">
        <f>IFERROR(__xludf.DUMMYFUNCTION("""COMPUTED_VALUE"""),407472.0)</f>
        <v>407472</v>
      </c>
    </row>
    <row r="15060">
      <c r="A15060" t="str">
        <f t="shared" si="1"/>
        <v>sur#1991</v>
      </c>
      <c r="B15060" t="str">
        <f>IFERROR(__xludf.DUMMYFUNCTION("""COMPUTED_VALUE"""),"sur")</f>
        <v>sur</v>
      </c>
      <c r="C15060" t="str">
        <f>IFERROR(__xludf.DUMMYFUNCTION("""COMPUTED_VALUE"""),"Suriname")</f>
        <v>Suriname</v>
      </c>
      <c r="D15060">
        <f>IFERROR(__xludf.DUMMYFUNCTION("""COMPUTED_VALUE"""),1991.0)</f>
        <v>1991</v>
      </c>
      <c r="E15060">
        <f>IFERROR(__xludf.DUMMYFUNCTION("""COMPUTED_VALUE"""),415216.0)</f>
        <v>415216</v>
      </c>
    </row>
    <row r="15061">
      <c r="A15061" t="str">
        <f t="shared" si="1"/>
        <v>sur#1992</v>
      </c>
      <c r="B15061" t="str">
        <f>IFERROR(__xludf.DUMMYFUNCTION("""COMPUTED_VALUE"""),"sur")</f>
        <v>sur</v>
      </c>
      <c r="C15061" t="str">
        <f>IFERROR(__xludf.DUMMYFUNCTION("""COMPUTED_VALUE"""),"Suriname")</f>
        <v>Suriname</v>
      </c>
      <c r="D15061">
        <f>IFERROR(__xludf.DUMMYFUNCTION("""COMPUTED_VALUE"""),1992.0)</f>
        <v>1992</v>
      </c>
      <c r="E15061">
        <f>IFERROR(__xludf.DUMMYFUNCTION("""COMPUTED_VALUE"""),422763.0)</f>
        <v>422763</v>
      </c>
    </row>
    <row r="15062">
      <c r="A15062" t="str">
        <f t="shared" si="1"/>
        <v>sur#1993</v>
      </c>
      <c r="B15062" t="str">
        <f>IFERROR(__xludf.DUMMYFUNCTION("""COMPUTED_VALUE"""),"sur")</f>
        <v>sur</v>
      </c>
      <c r="C15062" t="str">
        <f>IFERROR(__xludf.DUMMYFUNCTION("""COMPUTED_VALUE"""),"Suriname")</f>
        <v>Suriname</v>
      </c>
      <c r="D15062">
        <f>IFERROR(__xludf.DUMMYFUNCTION("""COMPUTED_VALUE"""),1993.0)</f>
        <v>1993</v>
      </c>
      <c r="E15062">
        <f>IFERROR(__xludf.DUMMYFUNCTION("""COMPUTED_VALUE"""),430039.0)</f>
        <v>430039</v>
      </c>
    </row>
    <row r="15063">
      <c r="A15063" t="str">
        <f t="shared" si="1"/>
        <v>sur#1994</v>
      </c>
      <c r="B15063" t="str">
        <f>IFERROR(__xludf.DUMMYFUNCTION("""COMPUTED_VALUE"""),"sur")</f>
        <v>sur</v>
      </c>
      <c r="C15063" t="str">
        <f>IFERROR(__xludf.DUMMYFUNCTION("""COMPUTED_VALUE"""),"Suriname")</f>
        <v>Suriname</v>
      </c>
      <c r="D15063">
        <f>IFERROR(__xludf.DUMMYFUNCTION("""COMPUTED_VALUE"""),1994.0)</f>
        <v>1994</v>
      </c>
      <c r="E15063">
        <f>IFERROR(__xludf.DUMMYFUNCTION("""COMPUTED_VALUE"""),437037.0)</f>
        <v>437037</v>
      </c>
    </row>
    <row r="15064">
      <c r="A15064" t="str">
        <f t="shared" si="1"/>
        <v>sur#1995</v>
      </c>
      <c r="B15064" t="str">
        <f>IFERROR(__xludf.DUMMYFUNCTION("""COMPUTED_VALUE"""),"sur")</f>
        <v>sur</v>
      </c>
      <c r="C15064" t="str">
        <f>IFERROR(__xludf.DUMMYFUNCTION("""COMPUTED_VALUE"""),"Suriname")</f>
        <v>Suriname</v>
      </c>
      <c r="D15064">
        <f>IFERROR(__xludf.DUMMYFUNCTION("""COMPUTED_VALUE"""),1995.0)</f>
        <v>1995</v>
      </c>
      <c r="E15064">
        <f>IFERROR(__xludf.DUMMYFUNCTION("""COMPUTED_VALUE"""),443724.0)</f>
        <v>443724</v>
      </c>
    </row>
    <row r="15065">
      <c r="A15065" t="str">
        <f t="shared" si="1"/>
        <v>sur#1996</v>
      </c>
      <c r="B15065" t="str">
        <f>IFERROR(__xludf.DUMMYFUNCTION("""COMPUTED_VALUE"""),"sur")</f>
        <v>sur</v>
      </c>
      <c r="C15065" t="str">
        <f>IFERROR(__xludf.DUMMYFUNCTION("""COMPUTED_VALUE"""),"Suriname")</f>
        <v>Suriname</v>
      </c>
      <c r="D15065">
        <f>IFERROR(__xludf.DUMMYFUNCTION("""COMPUTED_VALUE"""),1996.0)</f>
        <v>1996</v>
      </c>
      <c r="E15065">
        <f>IFERROR(__xludf.DUMMYFUNCTION("""COMPUTED_VALUE"""),450036.0)</f>
        <v>450036</v>
      </c>
    </row>
    <row r="15066">
      <c r="A15066" t="str">
        <f t="shared" si="1"/>
        <v>sur#1997</v>
      </c>
      <c r="B15066" t="str">
        <f>IFERROR(__xludf.DUMMYFUNCTION("""COMPUTED_VALUE"""),"sur")</f>
        <v>sur</v>
      </c>
      <c r="C15066" t="str">
        <f>IFERROR(__xludf.DUMMYFUNCTION("""COMPUTED_VALUE"""),"Suriname")</f>
        <v>Suriname</v>
      </c>
      <c r="D15066">
        <f>IFERROR(__xludf.DUMMYFUNCTION("""COMPUTED_VALUE"""),1997.0)</f>
        <v>1997</v>
      </c>
      <c r="E15066">
        <f>IFERROR(__xludf.DUMMYFUNCTION("""COMPUTED_VALUE"""),455954.0)</f>
        <v>455954</v>
      </c>
    </row>
    <row r="15067">
      <c r="A15067" t="str">
        <f t="shared" si="1"/>
        <v>sur#1998</v>
      </c>
      <c r="B15067" t="str">
        <f>IFERROR(__xludf.DUMMYFUNCTION("""COMPUTED_VALUE"""),"sur")</f>
        <v>sur</v>
      </c>
      <c r="C15067" t="str">
        <f>IFERROR(__xludf.DUMMYFUNCTION("""COMPUTED_VALUE"""),"Suriname")</f>
        <v>Suriname</v>
      </c>
      <c r="D15067">
        <f>IFERROR(__xludf.DUMMYFUNCTION("""COMPUTED_VALUE"""),1998.0)</f>
        <v>1998</v>
      </c>
      <c r="E15067">
        <f>IFERROR(__xludf.DUMMYFUNCTION("""COMPUTED_VALUE"""),461560.0)</f>
        <v>461560</v>
      </c>
    </row>
    <row r="15068">
      <c r="A15068" t="str">
        <f t="shared" si="1"/>
        <v>sur#1999</v>
      </c>
      <c r="B15068" t="str">
        <f>IFERROR(__xludf.DUMMYFUNCTION("""COMPUTED_VALUE"""),"sur")</f>
        <v>sur</v>
      </c>
      <c r="C15068" t="str">
        <f>IFERROR(__xludf.DUMMYFUNCTION("""COMPUTED_VALUE"""),"Suriname")</f>
        <v>Suriname</v>
      </c>
      <c r="D15068">
        <f>IFERROR(__xludf.DUMMYFUNCTION("""COMPUTED_VALUE"""),1999.0)</f>
        <v>1999</v>
      </c>
      <c r="E15068">
        <f>IFERROR(__xludf.DUMMYFUNCTION("""COMPUTED_VALUE"""),467003.0)</f>
        <v>467003</v>
      </c>
    </row>
    <row r="15069">
      <c r="A15069" t="str">
        <f t="shared" si="1"/>
        <v>sur#2000</v>
      </c>
      <c r="B15069" t="str">
        <f>IFERROR(__xludf.DUMMYFUNCTION("""COMPUTED_VALUE"""),"sur")</f>
        <v>sur</v>
      </c>
      <c r="C15069" t="str">
        <f>IFERROR(__xludf.DUMMYFUNCTION("""COMPUTED_VALUE"""),"Suriname")</f>
        <v>Suriname</v>
      </c>
      <c r="D15069">
        <f>IFERROR(__xludf.DUMMYFUNCTION("""COMPUTED_VALUE"""),2000.0)</f>
        <v>2000</v>
      </c>
      <c r="E15069">
        <f>IFERROR(__xludf.DUMMYFUNCTION("""COMPUTED_VALUE"""),472390.0)</f>
        <v>472390</v>
      </c>
    </row>
    <row r="15070">
      <c r="A15070" t="str">
        <f t="shared" si="1"/>
        <v>sur#2001</v>
      </c>
      <c r="B15070" t="str">
        <f>IFERROR(__xludf.DUMMYFUNCTION("""COMPUTED_VALUE"""),"sur")</f>
        <v>sur</v>
      </c>
      <c r="C15070" t="str">
        <f>IFERROR(__xludf.DUMMYFUNCTION("""COMPUTED_VALUE"""),"Suriname")</f>
        <v>Suriname</v>
      </c>
      <c r="D15070">
        <f>IFERROR(__xludf.DUMMYFUNCTION("""COMPUTED_VALUE"""),2001.0)</f>
        <v>2001</v>
      </c>
      <c r="E15070">
        <f>IFERROR(__xludf.DUMMYFUNCTION("""COMPUTED_VALUE"""),477740.0)</f>
        <v>477740</v>
      </c>
    </row>
    <row r="15071">
      <c r="A15071" t="str">
        <f t="shared" si="1"/>
        <v>sur#2002</v>
      </c>
      <c r="B15071" t="str">
        <f>IFERROR(__xludf.DUMMYFUNCTION("""COMPUTED_VALUE"""),"sur")</f>
        <v>sur</v>
      </c>
      <c r="C15071" t="str">
        <f>IFERROR(__xludf.DUMMYFUNCTION("""COMPUTED_VALUE"""),"Suriname")</f>
        <v>Suriname</v>
      </c>
      <c r="D15071">
        <f>IFERROR(__xludf.DUMMYFUNCTION("""COMPUTED_VALUE"""),2002.0)</f>
        <v>2002</v>
      </c>
      <c r="E15071">
        <f>IFERROR(__xludf.DUMMYFUNCTION("""COMPUTED_VALUE"""),483044.0)</f>
        <v>483044</v>
      </c>
    </row>
    <row r="15072">
      <c r="A15072" t="str">
        <f t="shared" si="1"/>
        <v>sur#2003</v>
      </c>
      <c r="B15072" t="str">
        <f>IFERROR(__xludf.DUMMYFUNCTION("""COMPUTED_VALUE"""),"sur")</f>
        <v>sur</v>
      </c>
      <c r="C15072" t="str">
        <f>IFERROR(__xludf.DUMMYFUNCTION("""COMPUTED_VALUE"""),"Suriname")</f>
        <v>Suriname</v>
      </c>
      <c r="D15072">
        <f>IFERROR(__xludf.DUMMYFUNCTION("""COMPUTED_VALUE"""),2003.0)</f>
        <v>2003</v>
      </c>
      <c r="E15072">
        <f>IFERROR(__xludf.DUMMYFUNCTION("""COMPUTED_VALUE"""),488332.0)</f>
        <v>488332</v>
      </c>
    </row>
    <row r="15073">
      <c r="A15073" t="str">
        <f t="shared" si="1"/>
        <v>sur#2004</v>
      </c>
      <c r="B15073" t="str">
        <f>IFERROR(__xludf.DUMMYFUNCTION("""COMPUTED_VALUE"""),"sur")</f>
        <v>sur</v>
      </c>
      <c r="C15073" t="str">
        <f>IFERROR(__xludf.DUMMYFUNCTION("""COMPUTED_VALUE"""),"Suriname")</f>
        <v>Suriname</v>
      </c>
      <c r="D15073">
        <f>IFERROR(__xludf.DUMMYFUNCTION("""COMPUTED_VALUE"""),2004.0)</f>
        <v>2004</v>
      </c>
      <c r="E15073">
        <f>IFERROR(__xludf.DUMMYFUNCTION("""COMPUTED_VALUE"""),493630.0)</f>
        <v>493630</v>
      </c>
    </row>
    <row r="15074">
      <c r="A15074" t="str">
        <f t="shared" si="1"/>
        <v>sur#2005</v>
      </c>
      <c r="B15074" t="str">
        <f>IFERROR(__xludf.DUMMYFUNCTION("""COMPUTED_VALUE"""),"sur")</f>
        <v>sur</v>
      </c>
      <c r="C15074" t="str">
        <f>IFERROR(__xludf.DUMMYFUNCTION("""COMPUTED_VALUE"""),"Suriname")</f>
        <v>Suriname</v>
      </c>
      <c r="D15074">
        <f>IFERROR(__xludf.DUMMYFUNCTION("""COMPUTED_VALUE"""),2005.0)</f>
        <v>2005</v>
      </c>
      <c r="E15074">
        <f>IFERROR(__xludf.DUMMYFUNCTION("""COMPUTED_VALUE"""),498946.0)</f>
        <v>498946</v>
      </c>
    </row>
    <row r="15075">
      <c r="A15075" t="str">
        <f t="shared" si="1"/>
        <v>sur#2006</v>
      </c>
      <c r="B15075" t="str">
        <f>IFERROR(__xludf.DUMMYFUNCTION("""COMPUTED_VALUE"""),"sur")</f>
        <v>sur</v>
      </c>
      <c r="C15075" t="str">
        <f>IFERROR(__xludf.DUMMYFUNCTION("""COMPUTED_VALUE"""),"Suriname")</f>
        <v>Suriname</v>
      </c>
      <c r="D15075">
        <f>IFERROR(__xludf.DUMMYFUNCTION("""COMPUTED_VALUE"""),2006.0)</f>
        <v>2006</v>
      </c>
      <c r="E15075">
        <f>IFERROR(__xludf.DUMMYFUNCTION("""COMPUTED_VALUE"""),504307.0)</f>
        <v>504307</v>
      </c>
    </row>
    <row r="15076">
      <c r="A15076" t="str">
        <f t="shared" si="1"/>
        <v>sur#2007</v>
      </c>
      <c r="B15076" t="str">
        <f>IFERROR(__xludf.DUMMYFUNCTION("""COMPUTED_VALUE"""),"sur")</f>
        <v>sur</v>
      </c>
      <c r="C15076" t="str">
        <f>IFERROR(__xludf.DUMMYFUNCTION("""COMPUTED_VALUE"""),"Suriname")</f>
        <v>Suriname</v>
      </c>
      <c r="D15076">
        <f>IFERROR(__xludf.DUMMYFUNCTION("""COMPUTED_VALUE"""),2007.0)</f>
        <v>2007</v>
      </c>
      <c r="E15076">
        <f>IFERROR(__xludf.DUMMYFUNCTION("""COMPUTED_VALUE"""),509705.0)</f>
        <v>509705</v>
      </c>
    </row>
    <row r="15077">
      <c r="A15077" t="str">
        <f t="shared" si="1"/>
        <v>sur#2008</v>
      </c>
      <c r="B15077" t="str">
        <f>IFERROR(__xludf.DUMMYFUNCTION("""COMPUTED_VALUE"""),"sur")</f>
        <v>sur</v>
      </c>
      <c r="C15077" t="str">
        <f>IFERROR(__xludf.DUMMYFUNCTION("""COMPUTED_VALUE"""),"Suriname")</f>
        <v>Suriname</v>
      </c>
      <c r="D15077">
        <f>IFERROR(__xludf.DUMMYFUNCTION("""COMPUTED_VALUE"""),2008.0)</f>
        <v>2008</v>
      </c>
      <c r="E15077">
        <f>IFERROR(__xludf.DUMMYFUNCTION("""COMPUTED_VALUE"""),515148.0)</f>
        <v>515148</v>
      </c>
    </row>
    <row r="15078">
      <c r="A15078" t="str">
        <f t="shared" si="1"/>
        <v>sur#2009</v>
      </c>
      <c r="B15078" t="str">
        <f>IFERROR(__xludf.DUMMYFUNCTION("""COMPUTED_VALUE"""),"sur")</f>
        <v>sur</v>
      </c>
      <c r="C15078" t="str">
        <f>IFERROR(__xludf.DUMMYFUNCTION("""COMPUTED_VALUE"""),"Suriname")</f>
        <v>Suriname</v>
      </c>
      <c r="D15078">
        <f>IFERROR(__xludf.DUMMYFUNCTION("""COMPUTED_VALUE"""),2009.0)</f>
        <v>2009</v>
      </c>
      <c r="E15078">
        <f>IFERROR(__xludf.DUMMYFUNCTION("""COMPUTED_VALUE"""),520619.0)</f>
        <v>520619</v>
      </c>
    </row>
    <row r="15079">
      <c r="A15079" t="str">
        <f t="shared" si="1"/>
        <v>sur#2010</v>
      </c>
      <c r="B15079" t="str">
        <f>IFERROR(__xludf.DUMMYFUNCTION("""COMPUTED_VALUE"""),"sur")</f>
        <v>sur</v>
      </c>
      <c r="C15079" t="str">
        <f>IFERROR(__xludf.DUMMYFUNCTION("""COMPUTED_VALUE"""),"Suriname")</f>
        <v>Suriname</v>
      </c>
      <c r="D15079">
        <f>IFERROR(__xludf.DUMMYFUNCTION("""COMPUTED_VALUE"""),2010.0)</f>
        <v>2010</v>
      </c>
      <c r="E15079">
        <f>IFERROR(__xludf.DUMMYFUNCTION("""COMPUTED_VALUE"""),526103.0)</f>
        <v>526103</v>
      </c>
    </row>
    <row r="15080">
      <c r="A15080" t="str">
        <f t="shared" si="1"/>
        <v>sur#2011</v>
      </c>
      <c r="B15080" t="str">
        <f>IFERROR(__xludf.DUMMYFUNCTION("""COMPUTED_VALUE"""),"sur")</f>
        <v>sur</v>
      </c>
      <c r="C15080" t="str">
        <f>IFERROR(__xludf.DUMMYFUNCTION("""COMPUTED_VALUE"""),"Suriname")</f>
        <v>Suriname</v>
      </c>
      <c r="D15080">
        <f>IFERROR(__xludf.DUMMYFUNCTION("""COMPUTED_VALUE"""),2011.0)</f>
        <v>2011</v>
      </c>
      <c r="E15080">
        <f>IFERROR(__xludf.DUMMYFUNCTION("""COMPUTED_VALUE"""),531589.0)</f>
        <v>531589</v>
      </c>
    </row>
    <row r="15081">
      <c r="A15081" t="str">
        <f t="shared" si="1"/>
        <v>sur#2012</v>
      </c>
      <c r="B15081" t="str">
        <f>IFERROR(__xludf.DUMMYFUNCTION("""COMPUTED_VALUE"""),"sur")</f>
        <v>sur</v>
      </c>
      <c r="C15081" t="str">
        <f>IFERROR(__xludf.DUMMYFUNCTION("""COMPUTED_VALUE"""),"Suriname")</f>
        <v>Suriname</v>
      </c>
      <c r="D15081">
        <f>IFERROR(__xludf.DUMMYFUNCTION("""COMPUTED_VALUE"""),2012.0)</f>
        <v>2012</v>
      </c>
      <c r="E15081">
        <f>IFERROR(__xludf.DUMMYFUNCTION("""COMPUTED_VALUE"""),537077.0)</f>
        <v>537077</v>
      </c>
    </row>
    <row r="15082">
      <c r="A15082" t="str">
        <f t="shared" si="1"/>
        <v>sur#2013</v>
      </c>
      <c r="B15082" t="str">
        <f>IFERROR(__xludf.DUMMYFUNCTION("""COMPUTED_VALUE"""),"sur")</f>
        <v>sur</v>
      </c>
      <c r="C15082" t="str">
        <f>IFERROR(__xludf.DUMMYFUNCTION("""COMPUTED_VALUE"""),"Suriname")</f>
        <v>Suriname</v>
      </c>
      <c r="D15082">
        <f>IFERROR(__xludf.DUMMYFUNCTION("""COMPUTED_VALUE"""),2013.0)</f>
        <v>2013</v>
      </c>
      <c r="E15082">
        <f>IFERROR(__xludf.DUMMYFUNCTION("""COMPUTED_VALUE"""),542540.0)</f>
        <v>542540</v>
      </c>
    </row>
    <row r="15083">
      <c r="A15083" t="str">
        <f t="shared" si="1"/>
        <v>sur#2014</v>
      </c>
      <c r="B15083" t="str">
        <f>IFERROR(__xludf.DUMMYFUNCTION("""COMPUTED_VALUE"""),"sur")</f>
        <v>sur</v>
      </c>
      <c r="C15083" t="str">
        <f>IFERROR(__xludf.DUMMYFUNCTION("""COMPUTED_VALUE"""),"Suriname")</f>
        <v>Suriname</v>
      </c>
      <c r="D15083">
        <f>IFERROR(__xludf.DUMMYFUNCTION("""COMPUTED_VALUE"""),2014.0)</f>
        <v>2014</v>
      </c>
      <c r="E15083">
        <f>IFERROR(__xludf.DUMMYFUNCTION("""COMPUTED_VALUE"""),547928.0)</f>
        <v>547928</v>
      </c>
    </row>
    <row r="15084">
      <c r="A15084" t="str">
        <f t="shared" si="1"/>
        <v>sur#2015</v>
      </c>
      <c r="B15084" t="str">
        <f>IFERROR(__xludf.DUMMYFUNCTION("""COMPUTED_VALUE"""),"sur")</f>
        <v>sur</v>
      </c>
      <c r="C15084" t="str">
        <f>IFERROR(__xludf.DUMMYFUNCTION("""COMPUTED_VALUE"""),"Suriname")</f>
        <v>Suriname</v>
      </c>
      <c r="D15084">
        <f>IFERROR(__xludf.DUMMYFUNCTION("""COMPUTED_VALUE"""),2015.0)</f>
        <v>2015</v>
      </c>
      <c r="E15084">
        <f>IFERROR(__xludf.DUMMYFUNCTION("""COMPUTED_VALUE"""),553208.0)</f>
        <v>553208</v>
      </c>
    </row>
    <row r="15085">
      <c r="A15085" t="str">
        <f t="shared" si="1"/>
        <v>sur#2016</v>
      </c>
      <c r="B15085" t="str">
        <f>IFERROR(__xludf.DUMMYFUNCTION("""COMPUTED_VALUE"""),"sur")</f>
        <v>sur</v>
      </c>
      <c r="C15085" t="str">
        <f>IFERROR(__xludf.DUMMYFUNCTION("""COMPUTED_VALUE"""),"Suriname")</f>
        <v>Suriname</v>
      </c>
      <c r="D15085">
        <f>IFERROR(__xludf.DUMMYFUNCTION("""COMPUTED_VALUE"""),2016.0)</f>
        <v>2016</v>
      </c>
      <c r="E15085">
        <f>IFERROR(__xludf.DUMMYFUNCTION("""COMPUTED_VALUE"""),558368.0)</f>
        <v>558368</v>
      </c>
    </row>
    <row r="15086">
      <c r="A15086" t="str">
        <f t="shared" si="1"/>
        <v>sur#2017</v>
      </c>
      <c r="B15086" t="str">
        <f>IFERROR(__xludf.DUMMYFUNCTION("""COMPUTED_VALUE"""),"sur")</f>
        <v>sur</v>
      </c>
      <c r="C15086" t="str">
        <f>IFERROR(__xludf.DUMMYFUNCTION("""COMPUTED_VALUE"""),"Suriname")</f>
        <v>Suriname</v>
      </c>
      <c r="D15086">
        <f>IFERROR(__xludf.DUMMYFUNCTION("""COMPUTED_VALUE"""),2017.0)</f>
        <v>2017</v>
      </c>
      <c r="E15086">
        <f>IFERROR(__xludf.DUMMYFUNCTION("""COMPUTED_VALUE"""),563402.0)</f>
        <v>563402</v>
      </c>
    </row>
    <row r="15087">
      <c r="A15087" t="str">
        <f t="shared" si="1"/>
        <v>sur#2018</v>
      </c>
      <c r="B15087" t="str">
        <f>IFERROR(__xludf.DUMMYFUNCTION("""COMPUTED_VALUE"""),"sur")</f>
        <v>sur</v>
      </c>
      <c r="C15087" t="str">
        <f>IFERROR(__xludf.DUMMYFUNCTION("""COMPUTED_VALUE"""),"Suriname")</f>
        <v>Suriname</v>
      </c>
      <c r="D15087">
        <f>IFERROR(__xludf.DUMMYFUNCTION("""COMPUTED_VALUE"""),2018.0)</f>
        <v>2018</v>
      </c>
      <c r="E15087">
        <f>IFERROR(__xludf.DUMMYFUNCTION("""COMPUTED_VALUE"""),568301.0)</f>
        <v>568301</v>
      </c>
    </row>
    <row r="15088">
      <c r="A15088" t="str">
        <f t="shared" si="1"/>
        <v>sur#2019</v>
      </c>
      <c r="B15088" t="str">
        <f>IFERROR(__xludf.DUMMYFUNCTION("""COMPUTED_VALUE"""),"sur")</f>
        <v>sur</v>
      </c>
      <c r="C15088" t="str">
        <f>IFERROR(__xludf.DUMMYFUNCTION("""COMPUTED_VALUE"""),"Suriname")</f>
        <v>Suriname</v>
      </c>
      <c r="D15088">
        <f>IFERROR(__xludf.DUMMYFUNCTION("""COMPUTED_VALUE"""),2019.0)</f>
        <v>2019</v>
      </c>
      <c r="E15088">
        <f>IFERROR(__xludf.DUMMYFUNCTION("""COMPUTED_VALUE"""),573085.0)</f>
        <v>573085</v>
      </c>
    </row>
    <row r="15089">
      <c r="A15089" t="str">
        <f t="shared" si="1"/>
        <v>sur#2020</v>
      </c>
      <c r="B15089" t="str">
        <f>IFERROR(__xludf.DUMMYFUNCTION("""COMPUTED_VALUE"""),"sur")</f>
        <v>sur</v>
      </c>
      <c r="C15089" t="str">
        <f>IFERROR(__xludf.DUMMYFUNCTION("""COMPUTED_VALUE"""),"Suriname")</f>
        <v>Suriname</v>
      </c>
      <c r="D15089">
        <f>IFERROR(__xludf.DUMMYFUNCTION("""COMPUTED_VALUE"""),2020.0)</f>
        <v>2020</v>
      </c>
      <c r="E15089">
        <f>IFERROR(__xludf.DUMMYFUNCTION("""COMPUTED_VALUE"""),577752.0)</f>
        <v>577752</v>
      </c>
    </row>
    <row r="15090">
      <c r="A15090" t="str">
        <f t="shared" si="1"/>
        <v>sur#2021</v>
      </c>
      <c r="B15090" t="str">
        <f>IFERROR(__xludf.DUMMYFUNCTION("""COMPUTED_VALUE"""),"sur")</f>
        <v>sur</v>
      </c>
      <c r="C15090" t="str">
        <f>IFERROR(__xludf.DUMMYFUNCTION("""COMPUTED_VALUE"""),"Suriname")</f>
        <v>Suriname</v>
      </c>
      <c r="D15090">
        <f>IFERROR(__xludf.DUMMYFUNCTION("""COMPUTED_VALUE"""),2021.0)</f>
        <v>2021</v>
      </c>
      <c r="E15090">
        <f>IFERROR(__xludf.DUMMYFUNCTION("""COMPUTED_VALUE"""),582296.0)</f>
        <v>582296</v>
      </c>
    </row>
    <row r="15091">
      <c r="A15091" t="str">
        <f t="shared" si="1"/>
        <v>sur#2022</v>
      </c>
      <c r="B15091" t="str">
        <f>IFERROR(__xludf.DUMMYFUNCTION("""COMPUTED_VALUE"""),"sur")</f>
        <v>sur</v>
      </c>
      <c r="C15091" t="str">
        <f>IFERROR(__xludf.DUMMYFUNCTION("""COMPUTED_VALUE"""),"Suriname")</f>
        <v>Suriname</v>
      </c>
      <c r="D15091">
        <f>IFERROR(__xludf.DUMMYFUNCTION("""COMPUTED_VALUE"""),2022.0)</f>
        <v>2022</v>
      </c>
      <c r="E15091">
        <f>IFERROR(__xludf.DUMMYFUNCTION("""COMPUTED_VALUE"""),586707.0)</f>
        <v>586707</v>
      </c>
    </row>
    <row r="15092">
      <c r="A15092" t="str">
        <f t="shared" si="1"/>
        <v>sur#2023</v>
      </c>
      <c r="B15092" t="str">
        <f>IFERROR(__xludf.DUMMYFUNCTION("""COMPUTED_VALUE"""),"sur")</f>
        <v>sur</v>
      </c>
      <c r="C15092" t="str">
        <f>IFERROR(__xludf.DUMMYFUNCTION("""COMPUTED_VALUE"""),"Suriname")</f>
        <v>Suriname</v>
      </c>
      <c r="D15092">
        <f>IFERROR(__xludf.DUMMYFUNCTION("""COMPUTED_VALUE"""),2023.0)</f>
        <v>2023</v>
      </c>
      <c r="E15092">
        <f>IFERROR(__xludf.DUMMYFUNCTION("""COMPUTED_VALUE"""),590977.0)</f>
        <v>590977</v>
      </c>
    </row>
    <row r="15093">
      <c r="A15093" t="str">
        <f t="shared" si="1"/>
        <v>sur#2024</v>
      </c>
      <c r="B15093" t="str">
        <f>IFERROR(__xludf.DUMMYFUNCTION("""COMPUTED_VALUE"""),"sur")</f>
        <v>sur</v>
      </c>
      <c r="C15093" t="str">
        <f>IFERROR(__xludf.DUMMYFUNCTION("""COMPUTED_VALUE"""),"Suriname")</f>
        <v>Suriname</v>
      </c>
      <c r="D15093">
        <f>IFERROR(__xludf.DUMMYFUNCTION("""COMPUTED_VALUE"""),2024.0)</f>
        <v>2024</v>
      </c>
      <c r="E15093">
        <f>IFERROR(__xludf.DUMMYFUNCTION("""COMPUTED_VALUE"""),595108.0)</f>
        <v>595108</v>
      </c>
    </row>
    <row r="15094">
      <c r="A15094" t="str">
        <f t="shared" si="1"/>
        <v>sur#2025</v>
      </c>
      <c r="B15094" t="str">
        <f>IFERROR(__xludf.DUMMYFUNCTION("""COMPUTED_VALUE"""),"sur")</f>
        <v>sur</v>
      </c>
      <c r="C15094" t="str">
        <f>IFERROR(__xludf.DUMMYFUNCTION("""COMPUTED_VALUE"""),"Suriname")</f>
        <v>Suriname</v>
      </c>
      <c r="D15094">
        <f>IFERROR(__xludf.DUMMYFUNCTION("""COMPUTED_VALUE"""),2025.0)</f>
        <v>2025</v>
      </c>
      <c r="E15094">
        <f>IFERROR(__xludf.DUMMYFUNCTION("""COMPUTED_VALUE"""),599095.0)</f>
        <v>599095</v>
      </c>
    </row>
    <row r="15095">
      <c r="A15095" t="str">
        <f t="shared" si="1"/>
        <v>sur#2026</v>
      </c>
      <c r="B15095" t="str">
        <f>IFERROR(__xludf.DUMMYFUNCTION("""COMPUTED_VALUE"""),"sur")</f>
        <v>sur</v>
      </c>
      <c r="C15095" t="str">
        <f>IFERROR(__xludf.DUMMYFUNCTION("""COMPUTED_VALUE"""),"Suriname")</f>
        <v>Suriname</v>
      </c>
      <c r="D15095">
        <f>IFERROR(__xludf.DUMMYFUNCTION("""COMPUTED_VALUE"""),2026.0)</f>
        <v>2026</v>
      </c>
      <c r="E15095">
        <f>IFERROR(__xludf.DUMMYFUNCTION("""COMPUTED_VALUE"""),602926.0)</f>
        <v>602926</v>
      </c>
    </row>
    <row r="15096">
      <c r="A15096" t="str">
        <f t="shared" si="1"/>
        <v>sur#2027</v>
      </c>
      <c r="B15096" t="str">
        <f>IFERROR(__xludf.DUMMYFUNCTION("""COMPUTED_VALUE"""),"sur")</f>
        <v>sur</v>
      </c>
      <c r="C15096" t="str">
        <f>IFERROR(__xludf.DUMMYFUNCTION("""COMPUTED_VALUE"""),"Suriname")</f>
        <v>Suriname</v>
      </c>
      <c r="D15096">
        <f>IFERROR(__xludf.DUMMYFUNCTION("""COMPUTED_VALUE"""),2027.0)</f>
        <v>2027</v>
      </c>
      <c r="E15096">
        <f>IFERROR(__xludf.DUMMYFUNCTION("""COMPUTED_VALUE"""),606611.0)</f>
        <v>606611</v>
      </c>
    </row>
    <row r="15097">
      <c r="A15097" t="str">
        <f t="shared" si="1"/>
        <v>sur#2028</v>
      </c>
      <c r="B15097" t="str">
        <f>IFERROR(__xludf.DUMMYFUNCTION("""COMPUTED_VALUE"""),"sur")</f>
        <v>sur</v>
      </c>
      <c r="C15097" t="str">
        <f>IFERROR(__xludf.DUMMYFUNCTION("""COMPUTED_VALUE"""),"Suriname")</f>
        <v>Suriname</v>
      </c>
      <c r="D15097">
        <f>IFERROR(__xludf.DUMMYFUNCTION("""COMPUTED_VALUE"""),2028.0)</f>
        <v>2028</v>
      </c>
      <c r="E15097">
        <f>IFERROR(__xludf.DUMMYFUNCTION("""COMPUTED_VALUE"""),610141.0)</f>
        <v>610141</v>
      </c>
    </row>
    <row r="15098">
      <c r="A15098" t="str">
        <f t="shared" si="1"/>
        <v>sur#2029</v>
      </c>
      <c r="B15098" t="str">
        <f>IFERROR(__xludf.DUMMYFUNCTION("""COMPUTED_VALUE"""),"sur")</f>
        <v>sur</v>
      </c>
      <c r="C15098" t="str">
        <f>IFERROR(__xludf.DUMMYFUNCTION("""COMPUTED_VALUE"""),"Suriname")</f>
        <v>Suriname</v>
      </c>
      <c r="D15098">
        <f>IFERROR(__xludf.DUMMYFUNCTION("""COMPUTED_VALUE"""),2029.0)</f>
        <v>2029</v>
      </c>
      <c r="E15098">
        <f>IFERROR(__xludf.DUMMYFUNCTION("""COMPUTED_VALUE"""),613514.0)</f>
        <v>613514</v>
      </c>
    </row>
    <row r="15099">
      <c r="A15099" t="str">
        <f t="shared" si="1"/>
        <v>sur#2030</v>
      </c>
      <c r="B15099" t="str">
        <f>IFERROR(__xludf.DUMMYFUNCTION("""COMPUTED_VALUE"""),"sur")</f>
        <v>sur</v>
      </c>
      <c r="C15099" t="str">
        <f>IFERROR(__xludf.DUMMYFUNCTION("""COMPUTED_VALUE"""),"Suriname")</f>
        <v>Suriname</v>
      </c>
      <c r="D15099">
        <f>IFERROR(__xludf.DUMMYFUNCTION("""COMPUTED_VALUE"""),2030.0)</f>
        <v>2030</v>
      </c>
      <c r="E15099">
        <f>IFERROR(__xludf.DUMMYFUNCTION("""COMPUTED_VALUE"""),616728.0)</f>
        <v>616728</v>
      </c>
    </row>
    <row r="15100">
      <c r="A15100" t="str">
        <f t="shared" si="1"/>
        <v>sur#2031</v>
      </c>
      <c r="B15100" t="str">
        <f>IFERROR(__xludf.DUMMYFUNCTION("""COMPUTED_VALUE"""),"sur")</f>
        <v>sur</v>
      </c>
      <c r="C15100" t="str">
        <f>IFERROR(__xludf.DUMMYFUNCTION("""COMPUTED_VALUE"""),"Suriname")</f>
        <v>Suriname</v>
      </c>
      <c r="D15100">
        <f>IFERROR(__xludf.DUMMYFUNCTION("""COMPUTED_VALUE"""),2031.0)</f>
        <v>2031</v>
      </c>
      <c r="E15100">
        <f>IFERROR(__xludf.DUMMYFUNCTION("""COMPUTED_VALUE"""),619782.0)</f>
        <v>619782</v>
      </c>
    </row>
    <row r="15101">
      <c r="A15101" t="str">
        <f t="shared" si="1"/>
        <v>sur#2032</v>
      </c>
      <c r="B15101" t="str">
        <f>IFERROR(__xludf.DUMMYFUNCTION("""COMPUTED_VALUE"""),"sur")</f>
        <v>sur</v>
      </c>
      <c r="C15101" t="str">
        <f>IFERROR(__xludf.DUMMYFUNCTION("""COMPUTED_VALUE"""),"Suriname")</f>
        <v>Suriname</v>
      </c>
      <c r="D15101">
        <f>IFERROR(__xludf.DUMMYFUNCTION("""COMPUTED_VALUE"""),2032.0)</f>
        <v>2032</v>
      </c>
      <c r="E15101">
        <f>IFERROR(__xludf.DUMMYFUNCTION("""COMPUTED_VALUE"""),622677.0)</f>
        <v>622677</v>
      </c>
    </row>
    <row r="15102">
      <c r="A15102" t="str">
        <f t="shared" si="1"/>
        <v>sur#2033</v>
      </c>
      <c r="B15102" t="str">
        <f>IFERROR(__xludf.DUMMYFUNCTION("""COMPUTED_VALUE"""),"sur")</f>
        <v>sur</v>
      </c>
      <c r="C15102" t="str">
        <f>IFERROR(__xludf.DUMMYFUNCTION("""COMPUTED_VALUE"""),"Suriname")</f>
        <v>Suriname</v>
      </c>
      <c r="D15102">
        <f>IFERROR(__xludf.DUMMYFUNCTION("""COMPUTED_VALUE"""),2033.0)</f>
        <v>2033</v>
      </c>
      <c r="E15102">
        <f>IFERROR(__xludf.DUMMYFUNCTION("""COMPUTED_VALUE"""),625407.0)</f>
        <v>625407</v>
      </c>
    </row>
    <row r="15103">
      <c r="A15103" t="str">
        <f t="shared" si="1"/>
        <v>sur#2034</v>
      </c>
      <c r="B15103" t="str">
        <f>IFERROR(__xludf.DUMMYFUNCTION("""COMPUTED_VALUE"""),"sur")</f>
        <v>sur</v>
      </c>
      <c r="C15103" t="str">
        <f>IFERROR(__xludf.DUMMYFUNCTION("""COMPUTED_VALUE"""),"Suriname")</f>
        <v>Suriname</v>
      </c>
      <c r="D15103">
        <f>IFERROR(__xludf.DUMMYFUNCTION("""COMPUTED_VALUE"""),2034.0)</f>
        <v>2034</v>
      </c>
      <c r="E15103">
        <f>IFERROR(__xludf.DUMMYFUNCTION("""COMPUTED_VALUE"""),627981.0)</f>
        <v>627981</v>
      </c>
    </row>
    <row r="15104">
      <c r="A15104" t="str">
        <f t="shared" si="1"/>
        <v>sur#2035</v>
      </c>
      <c r="B15104" t="str">
        <f>IFERROR(__xludf.DUMMYFUNCTION("""COMPUTED_VALUE"""),"sur")</f>
        <v>sur</v>
      </c>
      <c r="C15104" t="str">
        <f>IFERROR(__xludf.DUMMYFUNCTION("""COMPUTED_VALUE"""),"Suriname")</f>
        <v>Suriname</v>
      </c>
      <c r="D15104">
        <f>IFERROR(__xludf.DUMMYFUNCTION("""COMPUTED_VALUE"""),2035.0)</f>
        <v>2035</v>
      </c>
      <c r="E15104">
        <f>IFERROR(__xludf.DUMMYFUNCTION("""COMPUTED_VALUE"""),630385.0)</f>
        <v>630385</v>
      </c>
    </row>
    <row r="15105">
      <c r="A15105" t="str">
        <f t="shared" si="1"/>
        <v>sur#2036</v>
      </c>
      <c r="B15105" t="str">
        <f>IFERROR(__xludf.DUMMYFUNCTION("""COMPUTED_VALUE"""),"sur")</f>
        <v>sur</v>
      </c>
      <c r="C15105" t="str">
        <f>IFERROR(__xludf.DUMMYFUNCTION("""COMPUTED_VALUE"""),"Suriname")</f>
        <v>Suriname</v>
      </c>
      <c r="D15105">
        <f>IFERROR(__xludf.DUMMYFUNCTION("""COMPUTED_VALUE"""),2036.0)</f>
        <v>2036</v>
      </c>
      <c r="E15105">
        <f>IFERROR(__xludf.DUMMYFUNCTION("""COMPUTED_VALUE"""),632633.0)</f>
        <v>632633</v>
      </c>
    </row>
    <row r="15106">
      <c r="A15106" t="str">
        <f t="shared" si="1"/>
        <v>sur#2037</v>
      </c>
      <c r="B15106" t="str">
        <f>IFERROR(__xludf.DUMMYFUNCTION("""COMPUTED_VALUE"""),"sur")</f>
        <v>sur</v>
      </c>
      <c r="C15106" t="str">
        <f>IFERROR(__xludf.DUMMYFUNCTION("""COMPUTED_VALUE"""),"Suriname")</f>
        <v>Suriname</v>
      </c>
      <c r="D15106">
        <f>IFERROR(__xludf.DUMMYFUNCTION("""COMPUTED_VALUE"""),2037.0)</f>
        <v>2037</v>
      </c>
      <c r="E15106">
        <f>IFERROR(__xludf.DUMMYFUNCTION("""COMPUTED_VALUE"""),634711.0)</f>
        <v>634711</v>
      </c>
    </row>
    <row r="15107">
      <c r="A15107" t="str">
        <f t="shared" si="1"/>
        <v>sur#2038</v>
      </c>
      <c r="B15107" t="str">
        <f>IFERROR(__xludf.DUMMYFUNCTION("""COMPUTED_VALUE"""),"sur")</f>
        <v>sur</v>
      </c>
      <c r="C15107" t="str">
        <f>IFERROR(__xludf.DUMMYFUNCTION("""COMPUTED_VALUE"""),"Suriname")</f>
        <v>Suriname</v>
      </c>
      <c r="D15107">
        <f>IFERROR(__xludf.DUMMYFUNCTION("""COMPUTED_VALUE"""),2038.0)</f>
        <v>2038</v>
      </c>
      <c r="E15107">
        <f>IFERROR(__xludf.DUMMYFUNCTION("""COMPUTED_VALUE"""),636632.0)</f>
        <v>636632</v>
      </c>
    </row>
    <row r="15108">
      <c r="A15108" t="str">
        <f t="shared" si="1"/>
        <v>sur#2039</v>
      </c>
      <c r="B15108" t="str">
        <f>IFERROR(__xludf.DUMMYFUNCTION("""COMPUTED_VALUE"""),"sur")</f>
        <v>sur</v>
      </c>
      <c r="C15108" t="str">
        <f>IFERROR(__xludf.DUMMYFUNCTION("""COMPUTED_VALUE"""),"Suriname")</f>
        <v>Suriname</v>
      </c>
      <c r="D15108">
        <f>IFERROR(__xludf.DUMMYFUNCTION("""COMPUTED_VALUE"""),2039.0)</f>
        <v>2039</v>
      </c>
      <c r="E15108">
        <f>IFERROR(__xludf.DUMMYFUNCTION("""COMPUTED_VALUE"""),638402.0)</f>
        <v>638402</v>
      </c>
    </row>
    <row r="15109">
      <c r="A15109" t="str">
        <f t="shared" si="1"/>
        <v>sur#2040</v>
      </c>
      <c r="B15109" t="str">
        <f>IFERROR(__xludf.DUMMYFUNCTION("""COMPUTED_VALUE"""),"sur")</f>
        <v>sur</v>
      </c>
      <c r="C15109" t="str">
        <f>IFERROR(__xludf.DUMMYFUNCTION("""COMPUTED_VALUE"""),"Suriname")</f>
        <v>Suriname</v>
      </c>
      <c r="D15109">
        <f>IFERROR(__xludf.DUMMYFUNCTION("""COMPUTED_VALUE"""),2040.0)</f>
        <v>2040</v>
      </c>
      <c r="E15109">
        <f>IFERROR(__xludf.DUMMYFUNCTION("""COMPUTED_VALUE"""),640018.0)</f>
        <v>640018</v>
      </c>
    </row>
    <row r="15110">
      <c r="A15110" t="str">
        <f t="shared" si="1"/>
        <v>swz#1950</v>
      </c>
      <c r="B15110" t="str">
        <f>IFERROR(__xludf.DUMMYFUNCTION("""COMPUTED_VALUE"""),"swz")</f>
        <v>swz</v>
      </c>
      <c r="C15110" t="str">
        <f>IFERROR(__xludf.DUMMYFUNCTION("""COMPUTED_VALUE"""),"Swaziland")</f>
        <v>Swaziland</v>
      </c>
      <c r="D15110">
        <f>IFERROR(__xludf.DUMMYFUNCTION("""COMPUTED_VALUE"""),1950.0)</f>
        <v>1950</v>
      </c>
      <c r="E15110">
        <f>IFERROR(__xludf.DUMMYFUNCTION("""COMPUTED_VALUE"""),273003.0)</f>
        <v>273003</v>
      </c>
    </row>
    <row r="15111">
      <c r="A15111" t="str">
        <f t="shared" si="1"/>
        <v>swz#1951</v>
      </c>
      <c r="B15111" t="str">
        <f>IFERROR(__xludf.DUMMYFUNCTION("""COMPUTED_VALUE"""),"swz")</f>
        <v>swz</v>
      </c>
      <c r="C15111" t="str">
        <f>IFERROR(__xludf.DUMMYFUNCTION("""COMPUTED_VALUE"""),"Swaziland")</f>
        <v>Swaziland</v>
      </c>
      <c r="D15111">
        <f>IFERROR(__xludf.DUMMYFUNCTION("""COMPUTED_VALUE"""),1951.0)</f>
        <v>1951</v>
      </c>
      <c r="E15111">
        <f>IFERROR(__xludf.DUMMYFUNCTION("""COMPUTED_VALUE"""),278952.0)</f>
        <v>278952</v>
      </c>
    </row>
    <row r="15112">
      <c r="A15112" t="str">
        <f t="shared" si="1"/>
        <v>swz#1952</v>
      </c>
      <c r="B15112" t="str">
        <f>IFERROR(__xludf.DUMMYFUNCTION("""COMPUTED_VALUE"""),"swz")</f>
        <v>swz</v>
      </c>
      <c r="C15112" t="str">
        <f>IFERROR(__xludf.DUMMYFUNCTION("""COMPUTED_VALUE"""),"Swaziland")</f>
        <v>Swaziland</v>
      </c>
      <c r="D15112">
        <f>IFERROR(__xludf.DUMMYFUNCTION("""COMPUTED_VALUE"""),1952.0)</f>
        <v>1952</v>
      </c>
      <c r="E15112">
        <f>IFERROR(__xludf.DUMMYFUNCTION("""COMPUTED_VALUE"""),285334.0)</f>
        <v>285334</v>
      </c>
    </row>
    <row r="15113">
      <c r="A15113" t="str">
        <f t="shared" si="1"/>
        <v>swz#1953</v>
      </c>
      <c r="B15113" t="str">
        <f>IFERROR(__xludf.DUMMYFUNCTION("""COMPUTED_VALUE"""),"swz")</f>
        <v>swz</v>
      </c>
      <c r="C15113" t="str">
        <f>IFERROR(__xludf.DUMMYFUNCTION("""COMPUTED_VALUE"""),"Swaziland")</f>
        <v>Swaziland</v>
      </c>
      <c r="D15113">
        <f>IFERROR(__xludf.DUMMYFUNCTION("""COMPUTED_VALUE"""),1953.0)</f>
        <v>1953</v>
      </c>
      <c r="E15113">
        <f>IFERROR(__xludf.DUMMYFUNCTION("""COMPUTED_VALUE"""),292178.0)</f>
        <v>292178</v>
      </c>
    </row>
    <row r="15114">
      <c r="A15114" t="str">
        <f t="shared" si="1"/>
        <v>swz#1954</v>
      </c>
      <c r="B15114" t="str">
        <f>IFERROR(__xludf.DUMMYFUNCTION("""COMPUTED_VALUE"""),"swz")</f>
        <v>swz</v>
      </c>
      <c r="C15114" t="str">
        <f>IFERROR(__xludf.DUMMYFUNCTION("""COMPUTED_VALUE"""),"Swaziland")</f>
        <v>Swaziland</v>
      </c>
      <c r="D15114">
        <f>IFERROR(__xludf.DUMMYFUNCTION("""COMPUTED_VALUE"""),1954.0)</f>
        <v>1954</v>
      </c>
      <c r="E15114">
        <f>IFERROR(__xludf.DUMMYFUNCTION("""COMPUTED_VALUE"""),299486.0)</f>
        <v>299486</v>
      </c>
    </row>
    <row r="15115">
      <c r="A15115" t="str">
        <f t="shared" si="1"/>
        <v>swz#1955</v>
      </c>
      <c r="B15115" t="str">
        <f>IFERROR(__xludf.DUMMYFUNCTION("""COMPUTED_VALUE"""),"swz")</f>
        <v>swz</v>
      </c>
      <c r="C15115" t="str">
        <f>IFERROR(__xludf.DUMMYFUNCTION("""COMPUTED_VALUE"""),"Swaziland")</f>
        <v>Swaziland</v>
      </c>
      <c r="D15115">
        <f>IFERROR(__xludf.DUMMYFUNCTION("""COMPUTED_VALUE"""),1955.0)</f>
        <v>1955</v>
      </c>
      <c r="E15115">
        <f>IFERROR(__xludf.DUMMYFUNCTION("""COMPUTED_VALUE"""),307226.0)</f>
        <v>307226</v>
      </c>
    </row>
    <row r="15116">
      <c r="A15116" t="str">
        <f t="shared" si="1"/>
        <v>swz#1956</v>
      </c>
      <c r="B15116" t="str">
        <f>IFERROR(__xludf.DUMMYFUNCTION("""COMPUTED_VALUE"""),"swz")</f>
        <v>swz</v>
      </c>
      <c r="C15116" t="str">
        <f>IFERROR(__xludf.DUMMYFUNCTION("""COMPUTED_VALUE"""),"Swaziland")</f>
        <v>Swaziland</v>
      </c>
      <c r="D15116">
        <f>IFERROR(__xludf.DUMMYFUNCTION("""COMPUTED_VALUE"""),1956.0)</f>
        <v>1956</v>
      </c>
      <c r="E15116">
        <f>IFERROR(__xludf.DUMMYFUNCTION("""COMPUTED_VALUE"""),315341.0)</f>
        <v>315341</v>
      </c>
    </row>
    <row r="15117">
      <c r="A15117" t="str">
        <f t="shared" si="1"/>
        <v>swz#1957</v>
      </c>
      <c r="B15117" t="str">
        <f>IFERROR(__xludf.DUMMYFUNCTION("""COMPUTED_VALUE"""),"swz")</f>
        <v>swz</v>
      </c>
      <c r="C15117" t="str">
        <f>IFERROR(__xludf.DUMMYFUNCTION("""COMPUTED_VALUE"""),"Swaziland")</f>
        <v>Swaziland</v>
      </c>
      <c r="D15117">
        <f>IFERROR(__xludf.DUMMYFUNCTION("""COMPUTED_VALUE"""),1957.0)</f>
        <v>1957</v>
      </c>
      <c r="E15117">
        <f>IFERROR(__xludf.DUMMYFUNCTION("""COMPUTED_VALUE"""),323712.0)</f>
        <v>323712</v>
      </c>
    </row>
    <row r="15118">
      <c r="A15118" t="str">
        <f t="shared" si="1"/>
        <v>swz#1958</v>
      </c>
      <c r="B15118" t="str">
        <f>IFERROR(__xludf.DUMMYFUNCTION("""COMPUTED_VALUE"""),"swz")</f>
        <v>swz</v>
      </c>
      <c r="C15118" t="str">
        <f>IFERROR(__xludf.DUMMYFUNCTION("""COMPUTED_VALUE"""),"Swaziland")</f>
        <v>Swaziland</v>
      </c>
      <c r="D15118">
        <f>IFERROR(__xludf.DUMMYFUNCTION("""COMPUTED_VALUE"""),1958.0)</f>
        <v>1958</v>
      </c>
      <c r="E15118">
        <f>IFERROR(__xludf.DUMMYFUNCTION("""COMPUTED_VALUE"""),332221.0)</f>
        <v>332221</v>
      </c>
    </row>
    <row r="15119">
      <c r="A15119" t="str">
        <f t="shared" si="1"/>
        <v>swz#1959</v>
      </c>
      <c r="B15119" t="str">
        <f>IFERROR(__xludf.DUMMYFUNCTION("""COMPUTED_VALUE"""),"swz")</f>
        <v>swz</v>
      </c>
      <c r="C15119" t="str">
        <f>IFERROR(__xludf.DUMMYFUNCTION("""COMPUTED_VALUE"""),"Swaziland")</f>
        <v>Swaziland</v>
      </c>
      <c r="D15119">
        <f>IFERROR(__xludf.DUMMYFUNCTION("""COMPUTED_VALUE"""),1959.0)</f>
        <v>1959</v>
      </c>
      <c r="E15119">
        <f>IFERROR(__xludf.DUMMYFUNCTION("""COMPUTED_VALUE"""),340748.0)</f>
        <v>340748</v>
      </c>
    </row>
    <row r="15120">
      <c r="A15120" t="str">
        <f t="shared" si="1"/>
        <v>swz#1960</v>
      </c>
      <c r="B15120" t="str">
        <f>IFERROR(__xludf.DUMMYFUNCTION("""COMPUTED_VALUE"""),"swz")</f>
        <v>swz</v>
      </c>
      <c r="C15120" t="str">
        <f>IFERROR(__xludf.DUMMYFUNCTION("""COMPUTED_VALUE"""),"Swaziland")</f>
        <v>Swaziland</v>
      </c>
      <c r="D15120">
        <f>IFERROR(__xludf.DUMMYFUNCTION("""COMPUTED_VALUE"""),1960.0)</f>
        <v>1960</v>
      </c>
      <c r="E15120">
        <f>IFERROR(__xludf.DUMMYFUNCTION("""COMPUTED_VALUE"""),349174.0)</f>
        <v>349174</v>
      </c>
    </row>
    <row r="15121">
      <c r="A15121" t="str">
        <f t="shared" si="1"/>
        <v>swz#1961</v>
      </c>
      <c r="B15121" t="str">
        <f>IFERROR(__xludf.DUMMYFUNCTION("""COMPUTED_VALUE"""),"swz")</f>
        <v>swz</v>
      </c>
      <c r="C15121" t="str">
        <f>IFERROR(__xludf.DUMMYFUNCTION("""COMPUTED_VALUE"""),"Swaziland")</f>
        <v>Swaziland</v>
      </c>
      <c r="D15121">
        <f>IFERROR(__xludf.DUMMYFUNCTION("""COMPUTED_VALUE"""),1961.0)</f>
        <v>1961</v>
      </c>
      <c r="E15121">
        <f>IFERROR(__xludf.DUMMYFUNCTION("""COMPUTED_VALUE"""),357453.0)</f>
        <v>357453</v>
      </c>
    </row>
    <row r="15122">
      <c r="A15122" t="str">
        <f t="shared" si="1"/>
        <v>swz#1962</v>
      </c>
      <c r="B15122" t="str">
        <f>IFERROR(__xludf.DUMMYFUNCTION("""COMPUTED_VALUE"""),"swz")</f>
        <v>swz</v>
      </c>
      <c r="C15122" t="str">
        <f>IFERROR(__xludf.DUMMYFUNCTION("""COMPUTED_VALUE"""),"Swaziland")</f>
        <v>Swaziland</v>
      </c>
      <c r="D15122">
        <f>IFERROR(__xludf.DUMMYFUNCTION("""COMPUTED_VALUE"""),1962.0)</f>
        <v>1962</v>
      </c>
      <c r="E15122">
        <f>IFERROR(__xludf.DUMMYFUNCTION("""COMPUTED_VALUE"""),365636.0)</f>
        <v>365636</v>
      </c>
    </row>
    <row r="15123">
      <c r="A15123" t="str">
        <f t="shared" si="1"/>
        <v>swz#1963</v>
      </c>
      <c r="B15123" t="str">
        <f>IFERROR(__xludf.DUMMYFUNCTION("""COMPUTED_VALUE"""),"swz")</f>
        <v>swz</v>
      </c>
      <c r="C15123" t="str">
        <f>IFERROR(__xludf.DUMMYFUNCTION("""COMPUTED_VALUE"""),"Swaziland")</f>
        <v>Swaziland</v>
      </c>
      <c r="D15123">
        <f>IFERROR(__xludf.DUMMYFUNCTION("""COMPUTED_VALUE"""),1963.0)</f>
        <v>1963</v>
      </c>
      <c r="E15123">
        <f>IFERROR(__xludf.DUMMYFUNCTION("""COMPUTED_VALUE"""),373897.0)</f>
        <v>373897</v>
      </c>
    </row>
    <row r="15124">
      <c r="A15124" t="str">
        <f t="shared" si="1"/>
        <v>swz#1964</v>
      </c>
      <c r="B15124" t="str">
        <f>IFERROR(__xludf.DUMMYFUNCTION("""COMPUTED_VALUE"""),"swz")</f>
        <v>swz</v>
      </c>
      <c r="C15124" t="str">
        <f>IFERROR(__xludf.DUMMYFUNCTION("""COMPUTED_VALUE"""),"Swaziland")</f>
        <v>Swaziland</v>
      </c>
      <c r="D15124">
        <f>IFERROR(__xludf.DUMMYFUNCTION("""COMPUTED_VALUE"""),1964.0)</f>
        <v>1964</v>
      </c>
      <c r="E15124">
        <f>IFERROR(__xludf.DUMMYFUNCTION("""COMPUTED_VALUE"""),382469.0)</f>
        <v>382469</v>
      </c>
    </row>
    <row r="15125">
      <c r="A15125" t="str">
        <f t="shared" si="1"/>
        <v>swz#1965</v>
      </c>
      <c r="B15125" t="str">
        <f>IFERROR(__xludf.DUMMYFUNCTION("""COMPUTED_VALUE"""),"swz")</f>
        <v>swz</v>
      </c>
      <c r="C15125" t="str">
        <f>IFERROR(__xludf.DUMMYFUNCTION("""COMPUTED_VALUE"""),"Swaziland")</f>
        <v>Swaziland</v>
      </c>
      <c r="D15125">
        <f>IFERROR(__xludf.DUMMYFUNCTION("""COMPUTED_VALUE"""),1965.0)</f>
        <v>1965</v>
      </c>
      <c r="E15125">
        <f>IFERROR(__xludf.DUMMYFUNCTION("""COMPUTED_VALUE"""),391546.0)</f>
        <v>391546</v>
      </c>
    </row>
    <row r="15126">
      <c r="A15126" t="str">
        <f t="shared" si="1"/>
        <v>swz#1966</v>
      </c>
      <c r="B15126" t="str">
        <f>IFERROR(__xludf.DUMMYFUNCTION("""COMPUTED_VALUE"""),"swz")</f>
        <v>swz</v>
      </c>
      <c r="C15126" t="str">
        <f>IFERROR(__xludf.DUMMYFUNCTION("""COMPUTED_VALUE"""),"Swaziland")</f>
        <v>Swaziland</v>
      </c>
      <c r="D15126">
        <f>IFERROR(__xludf.DUMMYFUNCTION("""COMPUTED_VALUE"""),1966.0)</f>
        <v>1966</v>
      </c>
      <c r="E15126">
        <f>IFERROR(__xludf.DUMMYFUNCTION("""COMPUTED_VALUE"""),401183.0)</f>
        <v>401183</v>
      </c>
    </row>
    <row r="15127">
      <c r="A15127" t="str">
        <f t="shared" si="1"/>
        <v>swz#1967</v>
      </c>
      <c r="B15127" t="str">
        <f>IFERROR(__xludf.DUMMYFUNCTION("""COMPUTED_VALUE"""),"swz")</f>
        <v>swz</v>
      </c>
      <c r="C15127" t="str">
        <f>IFERROR(__xludf.DUMMYFUNCTION("""COMPUTED_VALUE"""),"Swaziland")</f>
        <v>Swaziland</v>
      </c>
      <c r="D15127">
        <f>IFERROR(__xludf.DUMMYFUNCTION("""COMPUTED_VALUE"""),1967.0)</f>
        <v>1967</v>
      </c>
      <c r="E15127">
        <f>IFERROR(__xludf.DUMMYFUNCTION("""COMPUTED_VALUE"""),411352.0)</f>
        <v>411352</v>
      </c>
    </row>
    <row r="15128">
      <c r="A15128" t="str">
        <f t="shared" si="1"/>
        <v>swz#1968</v>
      </c>
      <c r="B15128" t="str">
        <f>IFERROR(__xludf.DUMMYFUNCTION("""COMPUTED_VALUE"""),"swz")</f>
        <v>swz</v>
      </c>
      <c r="C15128" t="str">
        <f>IFERROR(__xludf.DUMMYFUNCTION("""COMPUTED_VALUE"""),"Swaziland")</f>
        <v>Swaziland</v>
      </c>
      <c r="D15128">
        <f>IFERROR(__xludf.DUMMYFUNCTION("""COMPUTED_VALUE"""),1968.0)</f>
        <v>1968</v>
      </c>
      <c r="E15128">
        <f>IFERROR(__xludf.DUMMYFUNCTION("""COMPUTED_VALUE"""),422140.0)</f>
        <v>422140</v>
      </c>
    </row>
    <row r="15129">
      <c r="A15129" t="str">
        <f t="shared" si="1"/>
        <v>swz#1969</v>
      </c>
      <c r="B15129" t="str">
        <f>IFERROR(__xludf.DUMMYFUNCTION("""COMPUTED_VALUE"""),"swz")</f>
        <v>swz</v>
      </c>
      <c r="C15129" t="str">
        <f>IFERROR(__xludf.DUMMYFUNCTION("""COMPUTED_VALUE"""),"Swaziland")</f>
        <v>Swaziland</v>
      </c>
      <c r="D15129">
        <f>IFERROR(__xludf.DUMMYFUNCTION("""COMPUTED_VALUE"""),1969.0)</f>
        <v>1969</v>
      </c>
      <c r="E15129">
        <f>IFERROR(__xludf.DUMMYFUNCTION("""COMPUTED_VALUE"""),433588.0)</f>
        <v>433588</v>
      </c>
    </row>
    <row r="15130">
      <c r="A15130" t="str">
        <f t="shared" si="1"/>
        <v>swz#1970</v>
      </c>
      <c r="B15130" t="str">
        <f>IFERROR(__xludf.DUMMYFUNCTION("""COMPUTED_VALUE"""),"swz")</f>
        <v>swz</v>
      </c>
      <c r="C15130" t="str">
        <f>IFERROR(__xludf.DUMMYFUNCTION("""COMPUTED_VALUE"""),"Swaziland")</f>
        <v>Swaziland</v>
      </c>
      <c r="D15130">
        <f>IFERROR(__xludf.DUMMYFUNCTION("""COMPUTED_VALUE"""),1970.0)</f>
        <v>1970</v>
      </c>
      <c r="E15130">
        <f>IFERROR(__xludf.DUMMYFUNCTION("""COMPUTED_VALUE"""),445729.0)</f>
        <v>445729</v>
      </c>
    </row>
    <row r="15131">
      <c r="A15131" t="str">
        <f t="shared" si="1"/>
        <v>swz#1971</v>
      </c>
      <c r="B15131" t="str">
        <f>IFERROR(__xludf.DUMMYFUNCTION("""COMPUTED_VALUE"""),"swz")</f>
        <v>swz</v>
      </c>
      <c r="C15131" t="str">
        <f>IFERROR(__xludf.DUMMYFUNCTION("""COMPUTED_VALUE"""),"Swaziland")</f>
        <v>Swaziland</v>
      </c>
      <c r="D15131">
        <f>IFERROR(__xludf.DUMMYFUNCTION("""COMPUTED_VALUE"""),1971.0)</f>
        <v>1971</v>
      </c>
      <c r="E15131">
        <f>IFERROR(__xludf.DUMMYFUNCTION("""COMPUTED_VALUE"""),458605.0)</f>
        <v>458605</v>
      </c>
    </row>
    <row r="15132">
      <c r="A15132" t="str">
        <f t="shared" si="1"/>
        <v>swz#1972</v>
      </c>
      <c r="B15132" t="str">
        <f>IFERROR(__xludf.DUMMYFUNCTION("""COMPUTED_VALUE"""),"swz")</f>
        <v>swz</v>
      </c>
      <c r="C15132" t="str">
        <f>IFERROR(__xludf.DUMMYFUNCTION("""COMPUTED_VALUE"""),"Swaziland")</f>
        <v>Swaziland</v>
      </c>
      <c r="D15132">
        <f>IFERROR(__xludf.DUMMYFUNCTION("""COMPUTED_VALUE"""),1972.0)</f>
        <v>1972</v>
      </c>
      <c r="E15132">
        <f>IFERROR(__xludf.DUMMYFUNCTION("""COMPUTED_VALUE"""),472230.0)</f>
        <v>472230</v>
      </c>
    </row>
    <row r="15133">
      <c r="A15133" t="str">
        <f t="shared" si="1"/>
        <v>swz#1973</v>
      </c>
      <c r="B15133" t="str">
        <f>IFERROR(__xludf.DUMMYFUNCTION("""COMPUTED_VALUE"""),"swz")</f>
        <v>swz</v>
      </c>
      <c r="C15133" t="str">
        <f>IFERROR(__xludf.DUMMYFUNCTION("""COMPUTED_VALUE"""),"Swaziland")</f>
        <v>Swaziland</v>
      </c>
      <c r="D15133">
        <f>IFERROR(__xludf.DUMMYFUNCTION("""COMPUTED_VALUE"""),1973.0)</f>
        <v>1973</v>
      </c>
      <c r="E15133">
        <f>IFERROR(__xludf.DUMMYFUNCTION("""COMPUTED_VALUE"""),486561.0)</f>
        <v>486561</v>
      </c>
    </row>
    <row r="15134">
      <c r="A15134" t="str">
        <f t="shared" si="1"/>
        <v>swz#1974</v>
      </c>
      <c r="B15134" t="str">
        <f>IFERROR(__xludf.DUMMYFUNCTION("""COMPUTED_VALUE"""),"swz")</f>
        <v>swz</v>
      </c>
      <c r="C15134" t="str">
        <f>IFERROR(__xludf.DUMMYFUNCTION("""COMPUTED_VALUE"""),"Swaziland")</f>
        <v>Swaziland</v>
      </c>
      <c r="D15134">
        <f>IFERROR(__xludf.DUMMYFUNCTION("""COMPUTED_VALUE"""),1974.0)</f>
        <v>1974</v>
      </c>
      <c r="E15134">
        <f>IFERROR(__xludf.DUMMYFUNCTION("""COMPUTED_VALUE"""),501512.0)</f>
        <v>501512</v>
      </c>
    </row>
    <row r="15135">
      <c r="A15135" t="str">
        <f t="shared" si="1"/>
        <v>swz#1975</v>
      </c>
      <c r="B15135" t="str">
        <f>IFERROR(__xludf.DUMMYFUNCTION("""COMPUTED_VALUE"""),"swz")</f>
        <v>swz</v>
      </c>
      <c r="C15135" t="str">
        <f>IFERROR(__xludf.DUMMYFUNCTION("""COMPUTED_VALUE"""),"Swaziland")</f>
        <v>Swaziland</v>
      </c>
      <c r="D15135">
        <f>IFERROR(__xludf.DUMMYFUNCTION("""COMPUTED_VALUE"""),1975.0)</f>
        <v>1975</v>
      </c>
      <c r="E15135">
        <f>IFERROR(__xludf.DUMMYFUNCTION("""COMPUTED_VALUE"""),517024.0)</f>
        <v>517024</v>
      </c>
    </row>
    <row r="15136">
      <c r="A15136" t="str">
        <f t="shared" si="1"/>
        <v>swz#1976</v>
      </c>
      <c r="B15136" t="str">
        <f>IFERROR(__xludf.DUMMYFUNCTION("""COMPUTED_VALUE"""),"swz")</f>
        <v>swz</v>
      </c>
      <c r="C15136" t="str">
        <f>IFERROR(__xludf.DUMMYFUNCTION("""COMPUTED_VALUE"""),"Swaziland")</f>
        <v>Swaziland</v>
      </c>
      <c r="D15136">
        <f>IFERROR(__xludf.DUMMYFUNCTION("""COMPUTED_VALUE"""),1976.0)</f>
        <v>1976</v>
      </c>
      <c r="E15136">
        <f>IFERROR(__xludf.DUMMYFUNCTION("""COMPUTED_VALUE"""),533214.0)</f>
        <v>533214</v>
      </c>
    </row>
    <row r="15137">
      <c r="A15137" t="str">
        <f t="shared" si="1"/>
        <v>swz#1977</v>
      </c>
      <c r="B15137" t="str">
        <f>IFERROR(__xludf.DUMMYFUNCTION("""COMPUTED_VALUE"""),"swz")</f>
        <v>swz</v>
      </c>
      <c r="C15137" t="str">
        <f>IFERROR(__xludf.DUMMYFUNCTION("""COMPUTED_VALUE"""),"Swaziland")</f>
        <v>Swaziland</v>
      </c>
      <c r="D15137">
        <f>IFERROR(__xludf.DUMMYFUNCTION("""COMPUTED_VALUE"""),1977.0)</f>
        <v>1977</v>
      </c>
      <c r="E15137">
        <f>IFERROR(__xludf.DUMMYFUNCTION("""COMPUTED_VALUE"""),550118.0)</f>
        <v>550118</v>
      </c>
    </row>
    <row r="15138">
      <c r="A15138" t="str">
        <f t="shared" si="1"/>
        <v>swz#1978</v>
      </c>
      <c r="B15138" t="str">
        <f>IFERROR(__xludf.DUMMYFUNCTION("""COMPUTED_VALUE"""),"swz")</f>
        <v>swz</v>
      </c>
      <c r="C15138" t="str">
        <f>IFERROR(__xludf.DUMMYFUNCTION("""COMPUTED_VALUE"""),"Swaziland")</f>
        <v>Swaziland</v>
      </c>
      <c r="D15138">
        <f>IFERROR(__xludf.DUMMYFUNCTION("""COMPUTED_VALUE"""),1978.0)</f>
        <v>1978</v>
      </c>
      <c r="E15138">
        <f>IFERROR(__xludf.DUMMYFUNCTION("""COMPUTED_VALUE"""),567559.0)</f>
        <v>567559</v>
      </c>
    </row>
    <row r="15139">
      <c r="A15139" t="str">
        <f t="shared" si="1"/>
        <v>swz#1979</v>
      </c>
      <c r="B15139" t="str">
        <f>IFERROR(__xludf.DUMMYFUNCTION("""COMPUTED_VALUE"""),"swz")</f>
        <v>swz</v>
      </c>
      <c r="C15139" t="str">
        <f>IFERROR(__xludf.DUMMYFUNCTION("""COMPUTED_VALUE"""),"Swaziland")</f>
        <v>Swaziland</v>
      </c>
      <c r="D15139">
        <f>IFERROR(__xludf.DUMMYFUNCTION("""COMPUTED_VALUE"""),1979.0)</f>
        <v>1979</v>
      </c>
      <c r="E15139">
        <f>IFERROR(__xludf.DUMMYFUNCTION("""COMPUTED_VALUE"""),585344.0)</f>
        <v>585344</v>
      </c>
    </row>
    <row r="15140">
      <c r="A15140" t="str">
        <f t="shared" si="1"/>
        <v>swz#1980</v>
      </c>
      <c r="B15140" t="str">
        <f>IFERROR(__xludf.DUMMYFUNCTION("""COMPUTED_VALUE"""),"swz")</f>
        <v>swz</v>
      </c>
      <c r="C15140" t="str">
        <f>IFERROR(__xludf.DUMMYFUNCTION("""COMPUTED_VALUE"""),"Swaziland")</f>
        <v>Swaziland</v>
      </c>
      <c r="D15140">
        <f>IFERROR(__xludf.DUMMYFUNCTION("""COMPUTED_VALUE"""),1980.0)</f>
        <v>1980</v>
      </c>
      <c r="E15140">
        <f>IFERROR(__xludf.DUMMYFUNCTION("""COMPUTED_VALUE"""),603372.0)</f>
        <v>603372</v>
      </c>
    </row>
    <row r="15141">
      <c r="A15141" t="str">
        <f t="shared" si="1"/>
        <v>swz#1981</v>
      </c>
      <c r="B15141" t="str">
        <f>IFERROR(__xludf.DUMMYFUNCTION("""COMPUTED_VALUE"""),"swz")</f>
        <v>swz</v>
      </c>
      <c r="C15141" t="str">
        <f>IFERROR(__xludf.DUMMYFUNCTION("""COMPUTED_VALUE"""),"Swaziland")</f>
        <v>Swaziland</v>
      </c>
      <c r="D15141">
        <f>IFERROR(__xludf.DUMMYFUNCTION("""COMPUTED_VALUE"""),1981.0)</f>
        <v>1981</v>
      </c>
      <c r="E15141">
        <f>IFERROR(__xludf.DUMMYFUNCTION("""COMPUTED_VALUE"""),621276.0)</f>
        <v>621276</v>
      </c>
    </row>
    <row r="15142">
      <c r="A15142" t="str">
        <f t="shared" si="1"/>
        <v>swz#1982</v>
      </c>
      <c r="B15142" t="str">
        <f>IFERROR(__xludf.DUMMYFUNCTION("""COMPUTED_VALUE"""),"swz")</f>
        <v>swz</v>
      </c>
      <c r="C15142" t="str">
        <f>IFERROR(__xludf.DUMMYFUNCTION("""COMPUTED_VALUE"""),"Swaziland")</f>
        <v>Swaziland</v>
      </c>
      <c r="D15142">
        <f>IFERROR(__xludf.DUMMYFUNCTION("""COMPUTED_VALUE"""),1982.0)</f>
        <v>1982</v>
      </c>
      <c r="E15142">
        <f>IFERROR(__xludf.DUMMYFUNCTION("""COMPUTED_VALUE"""),639237.0)</f>
        <v>639237</v>
      </c>
    </row>
    <row r="15143">
      <c r="A15143" t="str">
        <f t="shared" si="1"/>
        <v>swz#1983</v>
      </c>
      <c r="B15143" t="str">
        <f>IFERROR(__xludf.DUMMYFUNCTION("""COMPUTED_VALUE"""),"swz")</f>
        <v>swz</v>
      </c>
      <c r="C15143" t="str">
        <f>IFERROR(__xludf.DUMMYFUNCTION("""COMPUTED_VALUE"""),"Swaziland")</f>
        <v>Swaziland</v>
      </c>
      <c r="D15143">
        <f>IFERROR(__xludf.DUMMYFUNCTION("""COMPUTED_VALUE"""),1983.0)</f>
        <v>1983</v>
      </c>
      <c r="E15143">
        <f>IFERROR(__xludf.DUMMYFUNCTION("""COMPUTED_VALUE"""),658320.0)</f>
        <v>658320</v>
      </c>
    </row>
    <row r="15144">
      <c r="A15144" t="str">
        <f t="shared" si="1"/>
        <v>swz#1984</v>
      </c>
      <c r="B15144" t="str">
        <f>IFERROR(__xludf.DUMMYFUNCTION("""COMPUTED_VALUE"""),"swz")</f>
        <v>swz</v>
      </c>
      <c r="C15144" t="str">
        <f>IFERROR(__xludf.DUMMYFUNCTION("""COMPUTED_VALUE"""),"Swaziland")</f>
        <v>Swaziland</v>
      </c>
      <c r="D15144">
        <f>IFERROR(__xludf.DUMMYFUNCTION("""COMPUTED_VALUE"""),1984.0)</f>
        <v>1984</v>
      </c>
      <c r="E15144">
        <f>IFERROR(__xludf.DUMMYFUNCTION("""COMPUTED_VALUE"""),679976.0)</f>
        <v>679976</v>
      </c>
    </row>
    <row r="15145">
      <c r="A15145" t="str">
        <f t="shared" si="1"/>
        <v>swz#1985</v>
      </c>
      <c r="B15145" t="str">
        <f>IFERROR(__xludf.DUMMYFUNCTION("""COMPUTED_VALUE"""),"swz")</f>
        <v>swz</v>
      </c>
      <c r="C15145" t="str">
        <f>IFERROR(__xludf.DUMMYFUNCTION("""COMPUTED_VALUE"""),"Swaziland")</f>
        <v>Swaziland</v>
      </c>
      <c r="D15145">
        <f>IFERROR(__xludf.DUMMYFUNCTION("""COMPUTED_VALUE"""),1985.0)</f>
        <v>1985</v>
      </c>
      <c r="E15145">
        <f>IFERROR(__xludf.DUMMYFUNCTION("""COMPUTED_VALUE"""),705085.0)</f>
        <v>705085</v>
      </c>
    </row>
    <row r="15146">
      <c r="A15146" t="str">
        <f t="shared" si="1"/>
        <v>swz#1986</v>
      </c>
      <c r="B15146" t="str">
        <f>IFERROR(__xludf.DUMMYFUNCTION("""COMPUTED_VALUE"""),"swz")</f>
        <v>swz</v>
      </c>
      <c r="C15146" t="str">
        <f>IFERROR(__xludf.DUMMYFUNCTION("""COMPUTED_VALUE"""),"Swaziland")</f>
        <v>Swaziland</v>
      </c>
      <c r="D15146">
        <f>IFERROR(__xludf.DUMMYFUNCTION("""COMPUTED_VALUE"""),1986.0)</f>
        <v>1986</v>
      </c>
      <c r="E15146">
        <f>IFERROR(__xludf.DUMMYFUNCTION("""COMPUTED_VALUE"""),734243.0)</f>
        <v>734243</v>
      </c>
    </row>
    <row r="15147">
      <c r="A15147" t="str">
        <f t="shared" si="1"/>
        <v>swz#1987</v>
      </c>
      <c r="B15147" t="str">
        <f>IFERROR(__xludf.DUMMYFUNCTION("""COMPUTED_VALUE"""),"swz")</f>
        <v>swz</v>
      </c>
      <c r="C15147" t="str">
        <f>IFERROR(__xludf.DUMMYFUNCTION("""COMPUTED_VALUE"""),"Swaziland")</f>
        <v>Swaziland</v>
      </c>
      <c r="D15147">
        <f>IFERROR(__xludf.DUMMYFUNCTION("""COMPUTED_VALUE"""),1987.0)</f>
        <v>1987</v>
      </c>
      <c r="E15147">
        <f>IFERROR(__xludf.DUMMYFUNCTION("""COMPUTED_VALUE"""),766707.0)</f>
        <v>766707</v>
      </c>
    </row>
    <row r="15148">
      <c r="A15148" t="str">
        <f t="shared" si="1"/>
        <v>swz#1988</v>
      </c>
      <c r="B15148" t="str">
        <f>IFERROR(__xludf.DUMMYFUNCTION("""COMPUTED_VALUE"""),"swz")</f>
        <v>swz</v>
      </c>
      <c r="C15148" t="str">
        <f>IFERROR(__xludf.DUMMYFUNCTION("""COMPUTED_VALUE"""),"Swaziland")</f>
        <v>Swaziland</v>
      </c>
      <c r="D15148">
        <f>IFERROR(__xludf.DUMMYFUNCTION("""COMPUTED_VALUE"""),1988.0)</f>
        <v>1988</v>
      </c>
      <c r="E15148">
        <f>IFERROR(__xludf.DUMMYFUNCTION("""COMPUTED_VALUE"""),800456.0)</f>
        <v>800456</v>
      </c>
    </row>
    <row r="15149">
      <c r="A15149" t="str">
        <f t="shared" si="1"/>
        <v>swz#1989</v>
      </c>
      <c r="B15149" t="str">
        <f>IFERROR(__xludf.DUMMYFUNCTION("""COMPUTED_VALUE"""),"swz")</f>
        <v>swz</v>
      </c>
      <c r="C15149" t="str">
        <f>IFERROR(__xludf.DUMMYFUNCTION("""COMPUTED_VALUE"""),"Swaziland")</f>
        <v>Swaziland</v>
      </c>
      <c r="D15149">
        <f>IFERROR(__xludf.DUMMYFUNCTION("""COMPUTED_VALUE"""),1989.0)</f>
        <v>1989</v>
      </c>
      <c r="E15149">
        <f>IFERROR(__xludf.DUMMYFUNCTION("""COMPUTED_VALUE"""),832682.0)</f>
        <v>832682</v>
      </c>
    </row>
    <row r="15150">
      <c r="A15150" t="str">
        <f t="shared" si="1"/>
        <v>swz#1990</v>
      </c>
      <c r="B15150" t="str">
        <f>IFERROR(__xludf.DUMMYFUNCTION("""COMPUTED_VALUE"""),"swz")</f>
        <v>swz</v>
      </c>
      <c r="C15150" t="str">
        <f>IFERROR(__xludf.DUMMYFUNCTION("""COMPUTED_VALUE"""),"Swaziland")</f>
        <v>Swaziland</v>
      </c>
      <c r="D15150">
        <f>IFERROR(__xludf.DUMMYFUNCTION("""COMPUTED_VALUE"""),1990.0)</f>
        <v>1990</v>
      </c>
      <c r="E15150">
        <f>IFERROR(__xludf.DUMMYFUNCTION("""COMPUTED_VALUE"""),861373.0)</f>
        <v>861373</v>
      </c>
    </row>
    <row r="15151">
      <c r="A15151" t="str">
        <f t="shared" si="1"/>
        <v>swz#1991</v>
      </c>
      <c r="B15151" t="str">
        <f>IFERROR(__xludf.DUMMYFUNCTION("""COMPUTED_VALUE"""),"swz")</f>
        <v>swz</v>
      </c>
      <c r="C15151" t="str">
        <f>IFERROR(__xludf.DUMMYFUNCTION("""COMPUTED_VALUE"""),"Swaziland")</f>
        <v>Swaziland</v>
      </c>
      <c r="D15151">
        <f>IFERROR(__xludf.DUMMYFUNCTION("""COMPUTED_VALUE"""),1991.0)</f>
        <v>1991</v>
      </c>
      <c r="E15151">
        <f>IFERROR(__xludf.DUMMYFUNCTION("""COMPUTED_VALUE"""),885623.0)</f>
        <v>885623</v>
      </c>
    </row>
    <row r="15152">
      <c r="A15152" t="str">
        <f t="shared" si="1"/>
        <v>swz#1992</v>
      </c>
      <c r="B15152" t="str">
        <f>IFERROR(__xludf.DUMMYFUNCTION("""COMPUTED_VALUE"""),"swz")</f>
        <v>swz</v>
      </c>
      <c r="C15152" t="str">
        <f>IFERROR(__xludf.DUMMYFUNCTION("""COMPUTED_VALUE"""),"Swaziland")</f>
        <v>Swaziland</v>
      </c>
      <c r="D15152">
        <f>IFERROR(__xludf.DUMMYFUNCTION("""COMPUTED_VALUE"""),1992.0)</f>
        <v>1992</v>
      </c>
      <c r="E15152">
        <f>IFERROR(__xludf.DUMMYFUNCTION("""COMPUTED_VALUE"""),906034.0)</f>
        <v>906034</v>
      </c>
    </row>
    <row r="15153">
      <c r="A15153" t="str">
        <f t="shared" si="1"/>
        <v>swz#1993</v>
      </c>
      <c r="B15153" t="str">
        <f>IFERROR(__xludf.DUMMYFUNCTION("""COMPUTED_VALUE"""),"swz")</f>
        <v>swz</v>
      </c>
      <c r="C15153" t="str">
        <f>IFERROR(__xludf.DUMMYFUNCTION("""COMPUTED_VALUE"""),"Swaziland")</f>
        <v>Swaziland</v>
      </c>
      <c r="D15153">
        <f>IFERROR(__xludf.DUMMYFUNCTION("""COMPUTED_VALUE"""),1993.0)</f>
        <v>1993</v>
      </c>
      <c r="E15153">
        <f>IFERROR(__xludf.DUMMYFUNCTION("""COMPUTED_VALUE"""),924025.0)</f>
        <v>924025</v>
      </c>
    </row>
    <row r="15154">
      <c r="A15154" t="str">
        <f t="shared" si="1"/>
        <v>swz#1994</v>
      </c>
      <c r="B15154" t="str">
        <f>IFERROR(__xludf.DUMMYFUNCTION("""COMPUTED_VALUE"""),"swz")</f>
        <v>swz</v>
      </c>
      <c r="C15154" t="str">
        <f>IFERROR(__xludf.DUMMYFUNCTION("""COMPUTED_VALUE"""),"Swaziland")</f>
        <v>Swaziland</v>
      </c>
      <c r="D15154">
        <f>IFERROR(__xludf.DUMMYFUNCTION("""COMPUTED_VALUE"""),1994.0)</f>
        <v>1994</v>
      </c>
      <c r="E15154">
        <f>IFERROR(__xludf.DUMMYFUNCTION("""COMPUTED_VALUE"""),941774.0)</f>
        <v>941774</v>
      </c>
    </row>
    <row r="15155">
      <c r="A15155" t="str">
        <f t="shared" si="1"/>
        <v>swz#1995</v>
      </c>
      <c r="B15155" t="str">
        <f>IFERROR(__xludf.DUMMYFUNCTION("""COMPUTED_VALUE"""),"swz")</f>
        <v>swz</v>
      </c>
      <c r="C15155" t="str">
        <f>IFERROR(__xludf.DUMMYFUNCTION("""COMPUTED_VALUE"""),"Swaziland")</f>
        <v>Swaziland</v>
      </c>
      <c r="D15155">
        <f>IFERROR(__xludf.DUMMYFUNCTION("""COMPUTED_VALUE"""),1995.0)</f>
        <v>1995</v>
      </c>
      <c r="E15155">
        <f>IFERROR(__xludf.DUMMYFUNCTION("""COMPUTED_VALUE"""),960792.0)</f>
        <v>960792</v>
      </c>
    </row>
    <row r="15156">
      <c r="A15156" t="str">
        <f t="shared" si="1"/>
        <v>swz#1996</v>
      </c>
      <c r="B15156" t="str">
        <f>IFERROR(__xludf.DUMMYFUNCTION("""COMPUTED_VALUE"""),"swz")</f>
        <v>swz</v>
      </c>
      <c r="C15156" t="str">
        <f>IFERROR(__xludf.DUMMYFUNCTION("""COMPUTED_VALUE"""),"Swaziland")</f>
        <v>Swaziland</v>
      </c>
      <c r="D15156">
        <f>IFERROR(__xludf.DUMMYFUNCTION("""COMPUTED_VALUE"""),1996.0)</f>
        <v>1996</v>
      </c>
      <c r="E15156">
        <f>IFERROR(__xludf.DUMMYFUNCTION("""COMPUTED_VALUE"""),981764.0)</f>
        <v>981764</v>
      </c>
    </row>
    <row r="15157">
      <c r="A15157" t="str">
        <f t="shared" si="1"/>
        <v>swz#1997</v>
      </c>
      <c r="B15157" t="str">
        <f>IFERROR(__xludf.DUMMYFUNCTION("""COMPUTED_VALUE"""),"swz")</f>
        <v>swz</v>
      </c>
      <c r="C15157" t="str">
        <f>IFERROR(__xludf.DUMMYFUNCTION("""COMPUTED_VALUE"""),"Swaziland")</f>
        <v>Swaziland</v>
      </c>
      <c r="D15157">
        <f>IFERROR(__xludf.DUMMYFUNCTION("""COMPUTED_VALUE"""),1997.0)</f>
        <v>1997</v>
      </c>
      <c r="E15157">
        <f>IFERROR(__xludf.DUMMYFUNCTION("""COMPUTED_VALUE"""),1003995.0)</f>
        <v>1003995</v>
      </c>
    </row>
    <row r="15158">
      <c r="A15158" t="str">
        <f t="shared" si="1"/>
        <v>swz#1998</v>
      </c>
      <c r="B15158" t="str">
        <f>IFERROR(__xludf.DUMMYFUNCTION("""COMPUTED_VALUE"""),"swz")</f>
        <v>swz</v>
      </c>
      <c r="C15158" t="str">
        <f>IFERROR(__xludf.DUMMYFUNCTION("""COMPUTED_VALUE"""),"Swaziland")</f>
        <v>Swaziland</v>
      </c>
      <c r="D15158">
        <f>IFERROR(__xludf.DUMMYFUNCTION("""COMPUTED_VALUE"""),1998.0)</f>
        <v>1998</v>
      </c>
      <c r="E15158">
        <f>IFERROR(__xludf.DUMMYFUNCTION("""COMPUTED_VALUE"""),1026009.0)</f>
        <v>1026009</v>
      </c>
    </row>
    <row r="15159">
      <c r="A15159" t="str">
        <f t="shared" si="1"/>
        <v>swz#1999</v>
      </c>
      <c r="B15159" t="str">
        <f>IFERROR(__xludf.DUMMYFUNCTION("""COMPUTED_VALUE"""),"swz")</f>
        <v>swz</v>
      </c>
      <c r="C15159" t="str">
        <f>IFERROR(__xludf.DUMMYFUNCTION("""COMPUTED_VALUE"""),"Swaziland")</f>
        <v>Swaziland</v>
      </c>
      <c r="D15159">
        <f>IFERROR(__xludf.DUMMYFUNCTION("""COMPUTED_VALUE"""),1999.0)</f>
        <v>1999</v>
      </c>
      <c r="E15159">
        <f>IFERROR(__xludf.DUMMYFUNCTION("""COMPUTED_VALUE"""),1045629.0)</f>
        <v>1045629</v>
      </c>
    </row>
    <row r="15160">
      <c r="A15160" t="str">
        <f t="shared" si="1"/>
        <v>swz#2000</v>
      </c>
      <c r="B15160" t="str">
        <f>IFERROR(__xludf.DUMMYFUNCTION("""COMPUTED_VALUE"""),"swz")</f>
        <v>swz</v>
      </c>
      <c r="C15160" t="str">
        <f>IFERROR(__xludf.DUMMYFUNCTION("""COMPUTED_VALUE"""),"Swaziland")</f>
        <v>Swaziland</v>
      </c>
      <c r="D15160">
        <f>IFERROR(__xludf.DUMMYFUNCTION("""COMPUTED_VALUE"""),2000.0)</f>
        <v>2000</v>
      </c>
      <c r="E15160">
        <f>IFERROR(__xludf.DUMMYFUNCTION("""COMPUTED_VALUE"""),1061468.0)</f>
        <v>1061468</v>
      </c>
    </row>
    <row r="15161">
      <c r="A15161" t="str">
        <f t="shared" si="1"/>
        <v>swz#2001</v>
      </c>
      <c r="B15161" t="str">
        <f>IFERROR(__xludf.DUMMYFUNCTION("""COMPUTED_VALUE"""),"swz")</f>
        <v>swz</v>
      </c>
      <c r="C15161" t="str">
        <f>IFERROR(__xludf.DUMMYFUNCTION("""COMPUTED_VALUE"""),"Swaziland")</f>
        <v>Swaziland</v>
      </c>
      <c r="D15161">
        <f>IFERROR(__xludf.DUMMYFUNCTION("""COMPUTED_VALUE"""),2001.0)</f>
        <v>2001</v>
      </c>
      <c r="E15161">
        <f>IFERROR(__xludf.DUMMYFUNCTION("""COMPUTED_VALUE"""),1072927.0)</f>
        <v>1072927</v>
      </c>
    </row>
    <row r="15162">
      <c r="A15162" t="str">
        <f t="shared" si="1"/>
        <v>swz#2002</v>
      </c>
      <c r="B15162" t="str">
        <f>IFERROR(__xludf.DUMMYFUNCTION("""COMPUTED_VALUE"""),"swz")</f>
        <v>swz</v>
      </c>
      <c r="C15162" t="str">
        <f>IFERROR(__xludf.DUMMYFUNCTION("""COMPUTED_VALUE"""),"Swaziland")</f>
        <v>Swaziland</v>
      </c>
      <c r="D15162">
        <f>IFERROR(__xludf.DUMMYFUNCTION("""COMPUTED_VALUE"""),2002.0)</f>
        <v>2002</v>
      </c>
      <c r="E15162">
        <f>IFERROR(__xludf.DUMMYFUNCTION("""COMPUTED_VALUE"""),1080930.0)</f>
        <v>1080930</v>
      </c>
    </row>
    <row r="15163">
      <c r="A15163" t="str">
        <f t="shared" si="1"/>
        <v>swz#2003</v>
      </c>
      <c r="B15163" t="str">
        <f>IFERROR(__xludf.DUMMYFUNCTION("""COMPUTED_VALUE"""),"swz")</f>
        <v>swz</v>
      </c>
      <c r="C15163" t="str">
        <f>IFERROR(__xludf.DUMMYFUNCTION("""COMPUTED_VALUE"""),"Swaziland")</f>
        <v>Swaziland</v>
      </c>
      <c r="D15163">
        <f>IFERROR(__xludf.DUMMYFUNCTION("""COMPUTED_VALUE"""),2003.0)</f>
        <v>2003</v>
      </c>
      <c r="E15163">
        <f>IFERROR(__xludf.DUMMYFUNCTION("""COMPUTED_VALUE"""),1087392.0)</f>
        <v>1087392</v>
      </c>
    </row>
    <row r="15164">
      <c r="A15164" t="str">
        <f t="shared" si="1"/>
        <v>swz#2004</v>
      </c>
      <c r="B15164" t="str">
        <f>IFERROR(__xludf.DUMMYFUNCTION("""COMPUTED_VALUE"""),"swz")</f>
        <v>swz</v>
      </c>
      <c r="C15164" t="str">
        <f>IFERROR(__xludf.DUMMYFUNCTION("""COMPUTED_VALUE"""),"Swaziland")</f>
        <v>Swaziland</v>
      </c>
      <c r="D15164">
        <f>IFERROR(__xludf.DUMMYFUNCTION("""COMPUTED_VALUE"""),2004.0)</f>
        <v>2004</v>
      </c>
      <c r="E15164">
        <f>IFERROR(__xludf.DUMMYFUNCTION("""COMPUTED_VALUE"""),1095053.0)</f>
        <v>1095053</v>
      </c>
    </row>
    <row r="15165">
      <c r="A15165" t="str">
        <f t="shared" si="1"/>
        <v>swz#2005</v>
      </c>
      <c r="B15165" t="str">
        <f>IFERROR(__xludf.DUMMYFUNCTION("""COMPUTED_VALUE"""),"swz")</f>
        <v>swz</v>
      </c>
      <c r="C15165" t="str">
        <f>IFERROR(__xludf.DUMMYFUNCTION("""COMPUTED_VALUE"""),"Swaziland")</f>
        <v>Swaziland</v>
      </c>
      <c r="D15165">
        <f>IFERROR(__xludf.DUMMYFUNCTION("""COMPUTED_VALUE"""),2005.0)</f>
        <v>2005</v>
      </c>
      <c r="E15165">
        <f>IFERROR(__xludf.DUMMYFUNCTION("""COMPUTED_VALUE"""),1105873.0)</f>
        <v>1105873</v>
      </c>
    </row>
    <row r="15166">
      <c r="A15166" t="str">
        <f t="shared" si="1"/>
        <v>swz#2006</v>
      </c>
      <c r="B15166" t="str">
        <f>IFERROR(__xludf.DUMMYFUNCTION("""COMPUTED_VALUE"""),"swz")</f>
        <v>swz</v>
      </c>
      <c r="C15166" t="str">
        <f>IFERROR(__xludf.DUMMYFUNCTION("""COMPUTED_VALUE"""),"Swaziland")</f>
        <v>Swaziland</v>
      </c>
      <c r="D15166">
        <f>IFERROR(__xludf.DUMMYFUNCTION("""COMPUTED_VALUE"""),2006.0)</f>
        <v>2006</v>
      </c>
      <c r="E15166">
        <f>IFERROR(__xludf.DUMMYFUNCTION("""COMPUTED_VALUE"""),1120514.0)</f>
        <v>1120514</v>
      </c>
    </row>
    <row r="15167">
      <c r="A15167" t="str">
        <f t="shared" si="1"/>
        <v>swz#2007</v>
      </c>
      <c r="B15167" t="str">
        <f>IFERROR(__xludf.DUMMYFUNCTION("""COMPUTED_VALUE"""),"swz")</f>
        <v>swz</v>
      </c>
      <c r="C15167" t="str">
        <f>IFERROR(__xludf.DUMMYFUNCTION("""COMPUTED_VALUE"""),"Swaziland")</f>
        <v>Swaziland</v>
      </c>
      <c r="D15167">
        <f>IFERROR(__xludf.DUMMYFUNCTION("""COMPUTED_VALUE"""),2007.0)</f>
        <v>2007</v>
      </c>
      <c r="E15167">
        <f>IFERROR(__xludf.DUMMYFUNCTION("""COMPUTED_VALUE"""),1138434.0)</f>
        <v>1138434</v>
      </c>
    </row>
    <row r="15168">
      <c r="A15168" t="str">
        <f t="shared" si="1"/>
        <v>swz#2008</v>
      </c>
      <c r="B15168" t="str">
        <f>IFERROR(__xludf.DUMMYFUNCTION("""COMPUTED_VALUE"""),"swz")</f>
        <v>swz</v>
      </c>
      <c r="C15168" t="str">
        <f>IFERROR(__xludf.DUMMYFUNCTION("""COMPUTED_VALUE"""),"Swaziland")</f>
        <v>Swaziland</v>
      </c>
      <c r="D15168">
        <f>IFERROR(__xludf.DUMMYFUNCTION("""COMPUTED_VALUE"""),2008.0)</f>
        <v>2008</v>
      </c>
      <c r="E15168">
        <f>IFERROR(__xludf.DUMMYFUNCTION("""COMPUTED_VALUE"""),1158897.0)</f>
        <v>1158897</v>
      </c>
    </row>
    <row r="15169">
      <c r="A15169" t="str">
        <f t="shared" si="1"/>
        <v>swz#2009</v>
      </c>
      <c r="B15169" t="str">
        <f>IFERROR(__xludf.DUMMYFUNCTION("""COMPUTED_VALUE"""),"swz")</f>
        <v>swz</v>
      </c>
      <c r="C15169" t="str">
        <f>IFERROR(__xludf.DUMMYFUNCTION("""COMPUTED_VALUE"""),"Swaziland")</f>
        <v>Swaziland</v>
      </c>
      <c r="D15169">
        <f>IFERROR(__xludf.DUMMYFUNCTION("""COMPUTED_VALUE"""),2009.0)</f>
        <v>2009</v>
      </c>
      <c r="E15169">
        <f>IFERROR(__xludf.DUMMYFUNCTION("""COMPUTED_VALUE"""),1180675.0)</f>
        <v>1180675</v>
      </c>
    </row>
    <row r="15170">
      <c r="A15170" t="str">
        <f t="shared" si="1"/>
        <v>swz#2010</v>
      </c>
      <c r="B15170" t="str">
        <f>IFERROR(__xludf.DUMMYFUNCTION("""COMPUTED_VALUE"""),"swz")</f>
        <v>swz</v>
      </c>
      <c r="C15170" t="str">
        <f>IFERROR(__xludf.DUMMYFUNCTION("""COMPUTED_VALUE"""),"Swaziland")</f>
        <v>Swaziland</v>
      </c>
      <c r="D15170">
        <f>IFERROR(__xludf.DUMMYFUNCTION("""COMPUTED_VALUE"""),2010.0)</f>
        <v>2010</v>
      </c>
      <c r="E15170">
        <f>IFERROR(__xludf.DUMMYFUNCTION("""COMPUTED_VALUE"""),1202843.0)</f>
        <v>1202843</v>
      </c>
    </row>
    <row r="15171">
      <c r="A15171" t="str">
        <f t="shared" si="1"/>
        <v>swz#2011</v>
      </c>
      <c r="B15171" t="str">
        <f>IFERROR(__xludf.DUMMYFUNCTION("""COMPUTED_VALUE"""),"swz")</f>
        <v>swz</v>
      </c>
      <c r="C15171" t="str">
        <f>IFERROR(__xludf.DUMMYFUNCTION("""COMPUTED_VALUE"""),"Swaziland")</f>
        <v>Swaziland</v>
      </c>
      <c r="D15171">
        <f>IFERROR(__xludf.DUMMYFUNCTION("""COMPUTED_VALUE"""),2011.0)</f>
        <v>2011</v>
      </c>
      <c r="E15171">
        <f>IFERROR(__xludf.DUMMYFUNCTION("""COMPUTED_VALUE"""),1225258.0)</f>
        <v>1225258</v>
      </c>
    </row>
    <row r="15172">
      <c r="A15172" t="str">
        <f t="shared" si="1"/>
        <v>swz#2012</v>
      </c>
      <c r="B15172" t="str">
        <f>IFERROR(__xludf.DUMMYFUNCTION("""COMPUTED_VALUE"""),"swz")</f>
        <v>swz</v>
      </c>
      <c r="C15172" t="str">
        <f>IFERROR(__xludf.DUMMYFUNCTION("""COMPUTED_VALUE"""),"Swaziland")</f>
        <v>Swaziland</v>
      </c>
      <c r="D15172">
        <f>IFERROR(__xludf.DUMMYFUNCTION("""COMPUTED_VALUE"""),2012.0)</f>
        <v>2012</v>
      </c>
      <c r="E15172">
        <f>IFERROR(__xludf.DUMMYFUNCTION("""COMPUTED_VALUE"""),1248158.0)</f>
        <v>1248158</v>
      </c>
    </row>
    <row r="15173">
      <c r="A15173" t="str">
        <f t="shared" si="1"/>
        <v>swz#2013</v>
      </c>
      <c r="B15173" t="str">
        <f>IFERROR(__xludf.DUMMYFUNCTION("""COMPUTED_VALUE"""),"swz")</f>
        <v>swz</v>
      </c>
      <c r="C15173" t="str">
        <f>IFERROR(__xludf.DUMMYFUNCTION("""COMPUTED_VALUE"""),"Swaziland")</f>
        <v>Swaziland</v>
      </c>
      <c r="D15173">
        <f>IFERROR(__xludf.DUMMYFUNCTION("""COMPUTED_VALUE"""),2013.0)</f>
        <v>2013</v>
      </c>
      <c r="E15173">
        <f>IFERROR(__xludf.DUMMYFUNCTION("""COMPUTED_VALUE"""),1271456.0)</f>
        <v>1271456</v>
      </c>
    </row>
    <row r="15174">
      <c r="A15174" t="str">
        <f t="shared" si="1"/>
        <v>swz#2014</v>
      </c>
      <c r="B15174" t="str">
        <f>IFERROR(__xludf.DUMMYFUNCTION("""COMPUTED_VALUE"""),"swz")</f>
        <v>swz</v>
      </c>
      <c r="C15174" t="str">
        <f>IFERROR(__xludf.DUMMYFUNCTION("""COMPUTED_VALUE"""),"Swaziland")</f>
        <v>Swaziland</v>
      </c>
      <c r="D15174">
        <f>IFERROR(__xludf.DUMMYFUNCTION("""COMPUTED_VALUE"""),2014.0)</f>
        <v>2014</v>
      </c>
      <c r="E15174">
        <f>IFERROR(__xludf.DUMMYFUNCTION("""COMPUTED_VALUE"""),1295097.0)</f>
        <v>1295097</v>
      </c>
    </row>
    <row r="15175">
      <c r="A15175" t="str">
        <f t="shared" si="1"/>
        <v>swz#2015</v>
      </c>
      <c r="B15175" t="str">
        <f>IFERROR(__xludf.DUMMYFUNCTION("""COMPUTED_VALUE"""),"swz")</f>
        <v>swz</v>
      </c>
      <c r="C15175" t="str">
        <f>IFERROR(__xludf.DUMMYFUNCTION("""COMPUTED_VALUE"""),"Swaziland")</f>
        <v>Swaziland</v>
      </c>
      <c r="D15175">
        <f>IFERROR(__xludf.DUMMYFUNCTION("""COMPUTED_VALUE"""),2015.0)</f>
        <v>2015</v>
      </c>
      <c r="E15175">
        <f>IFERROR(__xludf.DUMMYFUNCTION("""COMPUTED_VALUE"""),1319011.0)</f>
        <v>1319011</v>
      </c>
    </row>
    <row r="15176">
      <c r="A15176" t="str">
        <f t="shared" si="1"/>
        <v>swz#2016</v>
      </c>
      <c r="B15176" t="str">
        <f>IFERROR(__xludf.DUMMYFUNCTION("""COMPUTED_VALUE"""),"swz")</f>
        <v>swz</v>
      </c>
      <c r="C15176" t="str">
        <f>IFERROR(__xludf.DUMMYFUNCTION("""COMPUTED_VALUE"""),"Swaziland")</f>
        <v>Swaziland</v>
      </c>
      <c r="D15176">
        <f>IFERROR(__xludf.DUMMYFUNCTION("""COMPUTED_VALUE"""),2016.0)</f>
        <v>2016</v>
      </c>
      <c r="E15176">
        <f>IFERROR(__xludf.DUMMYFUNCTION("""COMPUTED_VALUE"""),1343098.0)</f>
        <v>1343098</v>
      </c>
    </row>
    <row r="15177">
      <c r="A15177" t="str">
        <f t="shared" si="1"/>
        <v>swz#2017</v>
      </c>
      <c r="B15177" t="str">
        <f>IFERROR(__xludf.DUMMYFUNCTION("""COMPUTED_VALUE"""),"swz")</f>
        <v>swz</v>
      </c>
      <c r="C15177" t="str">
        <f>IFERROR(__xludf.DUMMYFUNCTION("""COMPUTED_VALUE"""),"Swaziland")</f>
        <v>Swaziland</v>
      </c>
      <c r="D15177">
        <f>IFERROR(__xludf.DUMMYFUNCTION("""COMPUTED_VALUE"""),2017.0)</f>
        <v>2017</v>
      </c>
      <c r="E15177">
        <f>IFERROR(__xludf.DUMMYFUNCTION("""COMPUTED_VALUE"""),1367254.0)</f>
        <v>1367254</v>
      </c>
    </row>
    <row r="15178">
      <c r="A15178" t="str">
        <f t="shared" si="1"/>
        <v>swz#2018</v>
      </c>
      <c r="B15178" t="str">
        <f>IFERROR(__xludf.DUMMYFUNCTION("""COMPUTED_VALUE"""),"swz")</f>
        <v>swz</v>
      </c>
      <c r="C15178" t="str">
        <f>IFERROR(__xludf.DUMMYFUNCTION("""COMPUTED_VALUE"""),"Swaziland")</f>
        <v>Swaziland</v>
      </c>
      <c r="D15178">
        <f>IFERROR(__xludf.DUMMYFUNCTION("""COMPUTED_VALUE"""),2018.0)</f>
        <v>2018</v>
      </c>
      <c r="E15178">
        <f>IFERROR(__xludf.DUMMYFUNCTION("""COMPUTED_VALUE"""),1391385.0)</f>
        <v>1391385</v>
      </c>
    </row>
    <row r="15179">
      <c r="A15179" t="str">
        <f t="shared" si="1"/>
        <v>swz#2019</v>
      </c>
      <c r="B15179" t="str">
        <f>IFERROR(__xludf.DUMMYFUNCTION("""COMPUTED_VALUE"""),"swz")</f>
        <v>swz</v>
      </c>
      <c r="C15179" t="str">
        <f>IFERROR(__xludf.DUMMYFUNCTION("""COMPUTED_VALUE"""),"Swaziland")</f>
        <v>Swaziland</v>
      </c>
      <c r="D15179">
        <f>IFERROR(__xludf.DUMMYFUNCTION("""COMPUTED_VALUE"""),2019.0)</f>
        <v>2019</v>
      </c>
      <c r="E15179">
        <f>IFERROR(__xludf.DUMMYFUNCTION("""COMPUTED_VALUE"""),1415414.0)</f>
        <v>1415414</v>
      </c>
    </row>
    <row r="15180">
      <c r="A15180" t="str">
        <f t="shared" si="1"/>
        <v>swz#2020</v>
      </c>
      <c r="B15180" t="str">
        <f>IFERROR(__xludf.DUMMYFUNCTION("""COMPUTED_VALUE"""),"swz")</f>
        <v>swz</v>
      </c>
      <c r="C15180" t="str">
        <f>IFERROR(__xludf.DUMMYFUNCTION("""COMPUTED_VALUE"""),"Swaziland")</f>
        <v>Swaziland</v>
      </c>
      <c r="D15180">
        <f>IFERROR(__xludf.DUMMYFUNCTION("""COMPUTED_VALUE"""),2020.0)</f>
        <v>2020</v>
      </c>
      <c r="E15180">
        <f>IFERROR(__xludf.DUMMYFUNCTION("""COMPUTED_VALUE"""),1439295.0)</f>
        <v>1439295</v>
      </c>
    </row>
    <row r="15181">
      <c r="A15181" t="str">
        <f t="shared" si="1"/>
        <v>swz#2021</v>
      </c>
      <c r="B15181" t="str">
        <f>IFERROR(__xludf.DUMMYFUNCTION("""COMPUTED_VALUE"""),"swz")</f>
        <v>swz</v>
      </c>
      <c r="C15181" t="str">
        <f>IFERROR(__xludf.DUMMYFUNCTION("""COMPUTED_VALUE"""),"Swaziland")</f>
        <v>Swaziland</v>
      </c>
      <c r="D15181">
        <f>IFERROR(__xludf.DUMMYFUNCTION("""COMPUTED_VALUE"""),2021.0)</f>
        <v>2021</v>
      </c>
      <c r="E15181">
        <f>IFERROR(__xludf.DUMMYFUNCTION("""COMPUTED_VALUE"""),1462954.0)</f>
        <v>1462954</v>
      </c>
    </row>
    <row r="15182">
      <c r="A15182" t="str">
        <f t="shared" si="1"/>
        <v>swz#2022</v>
      </c>
      <c r="B15182" t="str">
        <f>IFERROR(__xludf.DUMMYFUNCTION("""COMPUTED_VALUE"""),"swz")</f>
        <v>swz</v>
      </c>
      <c r="C15182" t="str">
        <f>IFERROR(__xludf.DUMMYFUNCTION("""COMPUTED_VALUE"""),"Swaziland")</f>
        <v>Swaziland</v>
      </c>
      <c r="D15182">
        <f>IFERROR(__xludf.DUMMYFUNCTION("""COMPUTED_VALUE"""),2022.0)</f>
        <v>2022</v>
      </c>
      <c r="E15182">
        <f>IFERROR(__xludf.DUMMYFUNCTION("""COMPUTED_VALUE"""),1486380.0)</f>
        <v>1486380</v>
      </c>
    </row>
    <row r="15183">
      <c r="A15183" t="str">
        <f t="shared" si="1"/>
        <v>swz#2023</v>
      </c>
      <c r="B15183" t="str">
        <f>IFERROR(__xludf.DUMMYFUNCTION("""COMPUTED_VALUE"""),"swz")</f>
        <v>swz</v>
      </c>
      <c r="C15183" t="str">
        <f>IFERROR(__xludf.DUMMYFUNCTION("""COMPUTED_VALUE"""),"Swaziland")</f>
        <v>Swaziland</v>
      </c>
      <c r="D15183">
        <f>IFERROR(__xludf.DUMMYFUNCTION("""COMPUTED_VALUE"""),2023.0)</f>
        <v>2023</v>
      </c>
      <c r="E15183">
        <f>IFERROR(__xludf.DUMMYFUNCTION("""COMPUTED_VALUE"""),1509567.0)</f>
        <v>1509567</v>
      </c>
    </row>
    <row r="15184">
      <c r="A15184" t="str">
        <f t="shared" si="1"/>
        <v>swz#2024</v>
      </c>
      <c r="B15184" t="str">
        <f>IFERROR(__xludf.DUMMYFUNCTION("""COMPUTED_VALUE"""),"swz")</f>
        <v>swz</v>
      </c>
      <c r="C15184" t="str">
        <f>IFERROR(__xludf.DUMMYFUNCTION("""COMPUTED_VALUE"""),"Swaziland")</f>
        <v>Swaziland</v>
      </c>
      <c r="D15184">
        <f>IFERROR(__xludf.DUMMYFUNCTION("""COMPUTED_VALUE"""),2024.0)</f>
        <v>2024</v>
      </c>
      <c r="E15184">
        <f>IFERROR(__xludf.DUMMYFUNCTION("""COMPUTED_VALUE"""),1532540.0)</f>
        <v>1532540</v>
      </c>
    </row>
    <row r="15185">
      <c r="A15185" t="str">
        <f t="shared" si="1"/>
        <v>swz#2025</v>
      </c>
      <c r="B15185" t="str">
        <f>IFERROR(__xludf.DUMMYFUNCTION("""COMPUTED_VALUE"""),"swz")</f>
        <v>swz</v>
      </c>
      <c r="C15185" t="str">
        <f>IFERROR(__xludf.DUMMYFUNCTION("""COMPUTED_VALUE"""),"Swaziland")</f>
        <v>Swaziland</v>
      </c>
      <c r="D15185">
        <f>IFERROR(__xludf.DUMMYFUNCTION("""COMPUTED_VALUE"""),2025.0)</f>
        <v>2025</v>
      </c>
      <c r="E15185">
        <f>IFERROR(__xludf.DUMMYFUNCTION("""COMPUTED_VALUE"""),1555332.0)</f>
        <v>1555332</v>
      </c>
    </row>
    <row r="15186">
      <c r="A15186" t="str">
        <f t="shared" si="1"/>
        <v>swz#2026</v>
      </c>
      <c r="B15186" t="str">
        <f>IFERROR(__xludf.DUMMYFUNCTION("""COMPUTED_VALUE"""),"swz")</f>
        <v>swz</v>
      </c>
      <c r="C15186" t="str">
        <f>IFERROR(__xludf.DUMMYFUNCTION("""COMPUTED_VALUE"""),"Swaziland")</f>
        <v>Swaziland</v>
      </c>
      <c r="D15186">
        <f>IFERROR(__xludf.DUMMYFUNCTION("""COMPUTED_VALUE"""),2026.0)</f>
        <v>2026</v>
      </c>
      <c r="E15186">
        <f>IFERROR(__xludf.DUMMYFUNCTION("""COMPUTED_VALUE"""),1577900.0)</f>
        <v>1577900</v>
      </c>
    </row>
    <row r="15187">
      <c r="A15187" t="str">
        <f t="shared" si="1"/>
        <v>swz#2027</v>
      </c>
      <c r="B15187" t="str">
        <f>IFERROR(__xludf.DUMMYFUNCTION("""COMPUTED_VALUE"""),"swz")</f>
        <v>swz</v>
      </c>
      <c r="C15187" t="str">
        <f>IFERROR(__xludf.DUMMYFUNCTION("""COMPUTED_VALUE"""),"Swaziland")</f>
        <v>Swaziland</v>
      </c>
      <c r="D15187">
        <f>IFERROR(__xludf.DUMMYFUNCTION("""COMPUTED_VALUE"""),2027.0)</f>
        <v>2027</v>
      </c>
      <c r="E15187">
        <f>IFERROR(__xludf.DUMMYFUNCTION("""COMPUTED_VALUE"""),1600277.0)</f>
        <v>1600277</v>
      </c>
    </row>
    <row r="15188">
      <c r="A15188" t="str">
        <f t="shared" si="1"/>
        <v>swz#2028</v>
      </c>
      <c r="B15188" t="str">
        <f>IFERROR(__xludf.DUMMYFUNCTION("""COMPUTED_VALUE"""),"swz")</f>
        <v>swz</v>
      </c>
      <c r="C15188" t="str">
        <f>IFERROR(__xludf.DUMMYFUNCTION("""COMPUTED_VALUE"""),"Swaziland")</f>
        <v>Swaziland</v>
      </c>
      <c r="D15188">
        <f>IFERROR(__xludf.DUMMYFUNCTION("""COMPUTED_VALUE"""),2028.0)</f>
        <v>2028</v>
      </c>
      <c r="E15188">
        <f>IFERROR(__xludf.DUMMYFUNCTION("""COMPUTED_VALUE"""),1622466.0)</f>
        <v>1622466</v>
      </c>
    </row>
    <row r="15189">
      <c r="A15189" t="str">
        <f t="shared" si="1"/>
        <v>swz#2029</v>
      </c>
      <c r="B15189" t="str">
        <f>IFERROR(__xludf.DUMMYFUNCTION("""COMPUTED_VALUE"""),"swz")</f>
        <v>swz</v>
      </c>
      <c r="C15189" t="str">
        <f>IFERROR(__xludf.DUMMYFUNCTION("""COMPUTED_VALUE"""),"Swaziland")</f>
        <v>Swaziland</v>
      </c>
      <c r="D15189">
        <f>IFERROR(__xludf.DUMMYFUNCTION("""COMPUTED_VALUE"""),2029.0)</f>
        <v>2029</v>
      </c>
      <c r="E15189">
        <f>IFERROR(__xludf.DUMMYFUNCTION("""COMPUTED_VALUE"""),1644509.0)</f>
        <v>1644509</v>
      </c>
    </row>
    <row r="15190">
      <c r="A15190" t="str">
        <f t="shared" si="1"/>
        <v>swz#2030</v>
      </c>
      <c r="B15190" t="str">
        <f>IFERROR(__xludf.DUMMYFUNCTION("""COMPUTED_VALUE"""),"swz")</f>
        <v>swz</v>
      </c>
      <c r="C15190" t="str">
        <f>IFERROR(__xludf.DUMMYFUNCTION("""COMPUTED_VALUE"""),"Swaziland")</f>
        <v>Swaziland</v>
      </c>
      <c r="D15190">
        <f>IFERROR(__xludf.DUMMYFUNCTION("""COMPUTED_VALUE"""),2030.0)</f>
        <v>2030</v>
      </c>
      <c r="E15190">
        <f>IFERROR(__xludf.DUMMYFUNCTION("""COMPUTED_VALUE"""),1666435.0)</f>
        <v>1666435</v>
      </c>
    </row>
    <row r="15191">
      <c r="A15191" t="str">
        <f t="shared" si="1"/>
        <v>swz#2031</v>
      </c>
      <c r="B15191" t="str">
        <f>IFERROR(__xludf.DUMMYFUNCTION("""COMPUTED_VALUE"""),"swz")</f>
        <v>swz</v>
      </c>
      <c r="C15191" t="str">
        <f>IFERROR(__xludf.DUMMYFUNCTION("""COMPUTED_VALUE"""),"Swaziland")</f>
        <v>Swaziland</v>
      </c>
      <c r="D15191">
        <f>IFERROR(__xludf.DUMMYFUNCTION("""COMPUTED_VALUE"""),2031.0)</f>
        <v>2031</v>
      </c>
      <c r="E15191">
        <f>IFERROR(__xludf.DUMMYFUNCTION("""COMPUTED_VALUE"""),1688252.0)</f>
        <v>1688252</v>
      </c>
    </row>
    <row r="15192">
      <c r="A15192" t="str">
        <f t="shared" si="1"/>
        <v>swz#2032</v>
      </c>
      <c r="B15192" t="str">
        <f>IFERROR(__xludf.DUMMYFUNCTION("""COMPUTED_VALUE"""),"swz")</f>
        <v>swz</v>
      </c>
      <c r="C15192" t="str">
        <f>IFERROR(__xludf.DUMMYFUNCTION("""COMPUTED_VALUE"""),"Swaziland")</f>
        <v>Swaziland</v>
      </c>
      <c r="D15192">
        <f>IFERROR(__xludf.DUMMYFUNCTION("""COMPUTED_VALUE"""),2032.0)</f>
        <v>2032</v>
      </c>
      <c r="E15192">
        <f>IFERROR(__xludf.DUMMYFUNCTION("""COMPUTED_VALUE"""),1709967.0)</f>
        <v>1709967</v>
      </c>
    </row>
    <row r="15193">
      <c r="A15193" t="str">
        <f t="shared" si="1"/>
        <v>swz#2033</v>
      </c>
      <c r="B15193" t="str">
        <f>IFERROR(__xludf.DUMMYFUNCTION("""COMPUTED_VALUE"""),"swz")</f>
        <v>swz</v>
      </c>
      <c r="C15193" t="str">
        <f>IFERROR(__xludf.DUMMYFUNCTION("""COMPUTED_VALUE"""),"Swaziland")</f>
        <v>Swaziland</v>
      </c>
      <c r="D15193">
        <f>IFERROR(__xludf.DUMMYFUNCTION("""COMPUTED_VALUE"""),2033.0)</f>
        <v>2033</v>
      </c>
      <c r="E15193">
        <f>IFERROR(__xludf.DUMMYFUNCTION("""COMPUTED_VALUE"""),1731598.0)</f>
        <v>1731598</v>
      </c>
    </row>
    <row r="15194">
      <c r="A15194" t="str">
        <f t="shared" si="1"/>
        <v>swz#2034</v>
      </c>
      <c r="B15194" t="str">
        <f>IFERROR(__xludf.DUMMYFUNCTION("""COMPUTED_VALUE"""),"swz")</f>
        <v>swz</v>
      </c>
      <c r="C15194" t="str">
        <f>IFERROR(__xludf.DUMMYFUNCTION("""COMPUTED_VALUE"""),"Swaziland")</f>
        <v>Swaziland</v>
      </c>
      <c r="D15194">
        <f>IFERROR(__xludf.DUMMYFUNCTION("""COMPUTED_VALUE"""),2034.0)</f>
        <v>2034</v>
      </c>
      <c r="E15194">
        <f>IFERROR(__xludf.DUMMYFUNCTION("""COMPUTED_VALUE"""),1753160.0)</f>
        <v>1753160</v>
      </c>
    </row>
    <row r="15195">
      <c r="A15195" t="str">
        <f t="shared" si="1"/>
        <v>swz#2035</v>
      </c>
      <c r="B15195" t="str">
        <f>IFERROR(__xludf.DUMMYFUNCTION("""COMPUTED_VALUE"""),"swz")</f>
        <v>swz</v>
      </c>
      <c r="C15195" t="str">
        <f>IFERROR(__xludf.DUMMYFUNCTION("""COMPUTED_VALUE"""),"Swaziland")</f>
        <v>Swaziland</v>
      </c>
      <c r="D15195">
        <f>IFERROR(__xludf.DUMMYFUNCTION("""COMPUTED_VALUE"""),2035.0)</f>
        <v>2035</v>
      </c>
      <c r="E15195">
        <f>IFERROR(__xludf.DUMMYFUNCTION("""COMPUTED_VALUE"""),1774685.0)</f>
        <v>1774685</v>
      </c>
    </row>
    <row r="15196">
      <c r="A15196" t="str">
        <f t="shared" si="1"/>
        <v>swz#2036</v>
      </c>
      <c r="B15196" t="str">
        <f>IFERROR(__xludf.DUMMYFUNCTION("""COMPUTED_VALUE"""),"swz")</f>
        <v>swz</v>
      </c>
      <c r="C15196" t="str">
        <f>IFERROR(__xludf.DUMMYFUNCTION("""COMPUTED_VALUE"""),"Swaziland")</f>
        <v>Swaziland</v>
      </c>
      <c r="D15196">
        <f>IFERROR(__xludf.DUMMYFUNCTION("""COMPUTED_VALUE"""),2036.0)</f>
        <v>2036</v>
      </c>
      <c r="E15196">
        <f>IFERROR(__xludf.DUMMYFUNCTION("""COMPUTED_VALUE"""),1796164.0)</f>
        <v>1796164</v>
      </c>
    </row>
    <row r="15197">
      <c r="A15197" t="str">
        <f t="shared" si="1"/>
        <v>swz#2037</v>
      </c>
      <c r="B15197" t="str">
        <f>IFERROR(__xludf.DUMMYFUNCTION("""COMPUTED_VALUE"""),"swz")</f>
        <v>swz</v>
      </c>
      <c r="C15197" t="str">
        <f>IFERROR(__xludf.DUMMYFUNCTION("""COMPUTED_VALUE"""),"Swaziland")</f>
        <v>Swaziland</v>
      </c>
      <c r="D15197">
        <f>IFERROR(__xludf.DUMMYFUNCTION("""COMPUTED_VALUE"""),2037.0)</f>
        <v>2037</v>
      </c>
      <c r="E15197">
        <f>IFERROR(__xludf.DUMMYFUNCTION("""COMPUTED_VALUE"""),1817596.0)</f>
        <v>1817596</v>
      </c>
    </row>
    <row r="15198">
      <c r="A15198" t="str">
        <f t="shared" si="1"/>
        <v>swz#2038</v>
      </c>
      <c r="B15198" t="str">
        <f>IFERROR(__xludf.DUMMYFUNCTION("""COMPUTED_VALUE"""),"swz")</f>
        <v>swz</v>
      </c>
      <c r="C15198" t="str">
        <f>IFERROR(__xludf.DUMMYFUNCTION("""COMPUTED_VALUE"""),"Swaziland")</f>
        <v>Swaziland</v>
      </c>
      <c r="D15198">
        <f>IFERROR(__xludf.DUMMYFUNCTION("""COMPUTED_VALUE"""),2038.0)</f>
        <v>2038</v>
      </c>
      <c r="E15198">
        <f>IFERROR(__xludf.DUMMYFUNCTION("""COMPUTED_VALUE"""),1838959.0)</f>
        <v>1838959</v>
      </c>
    </row>
    <row r="15199">
      <c r="A15199" t="str">
        <f t="shared" si="1"/>
        <v>swz#2039</v>
      </c>
      <c r="B15199" t="str">
        <f>IFERROR(__xludf.DUMMYFUNCTION("""COMPUTED_VALUE"""),"swz")</f>
        <v>swz</v>
      </c>
      <c r="C15199" t="str">
        <f>IFERROR(__xludf.DUMMYFUNCTION("""COMPUTED_VALUE"""),"Swaziland")</f>
        <v>Swaziland</v>
      </c>
      <c r="D15199">
        <f>IFERROR(__xludf.DUMMYFUNCTION("""COMPUTED_VALUE"""),2039.0)</f>
        <v>2039</v>
      </c>
      <c r="E15199">
        <f>IFERROR(__xludf.DUMMYFUNCTION("""COMPUTED_VALUE"""),1860223.0)</f>
        <v>1860223</v>
      </c>
    </row>
    <row r="15200">
      <c r="A15200" t="str">
        <f t="shared" si="1"/>
        <v>swz#2040</v>
      </c>
      <c r="B15200" t="str">
        <f>IFERROR(__xludf.DUMMYFUNCTION("""COMPUTED_VALUE"""),"swz")</f>
        <v>swz</v>
      </c>
      <c r="C15200" t="str">
        <f>IFERROR(__xludf.DUMMYFUNCTION("""COMPUTED_VALUE"""),"Swaziland")</f>
        <v>Swaziland</v>
      </c>
      <c r="D15200">
        <f>IFERROR(__xludf.DUMMYFUNCTION("""COMPUTED_VALUE"""),2040.0)</f>
        <v>2040</v>
      </c>
      <c r="E15200">
        <f>IFERROR(__xludf.DUMMYFUNCTION("""COMPUTED_VALUE"""),1881370.0)</f>
        <v>1881370</v>
      </c>
    </row>
    <row r="15201">
      <c r="A15201" t="str">
        <f t="shared" si="1"/>
        <v>swe#1950</v>
      </c>
      <c r="B15201" t="str">
        <f>IFERROR(__xludf.DUMMYFUNCTION("""COMPUTED_VALUE"""),"swe")</f>
        <v>swe</v>
      </c>
      <c r="C15201" t="str">
        <f>IFERROR(__xludf.DUMMYFUNCTION("""COMPUTED_VALUE"""),"Sweden")</f>
        <v>Sweden</v>
      </c>
      <c r="D15201">
        <f>IFERROR(__xludf.DUMMYFUNCTION("""COMPUTED_VALUE"""),1950.0)</f>
        <v>1950</v>
      </c>
      <c r="E15201">
        <f>IFERROR(__xludf.DUMMYFUNCTION("""COMPUTED_VALUE"""),7009912.0)</f>
        <v>7009912</v>
      </c>
    </row>
    <row r="15202">
      <c r="A15202" t="str">
        <f t="shared" si="1"/>
        <v>swe#1951</v>
      </c>
      <c r="B15202" t="str">
        <f>IFERROR(__xludf.DUMMYFUNCTION("""COMPUTED_VALUE"""),"swe")</f>
        <v>swe</v>
      </c>
      <c r="C15202" t="str">
        <f>IFERROR(__xludf.DUMMYFUNCTION("""COMPUTED_VALUE"""),"Sweden")</f>
        <v>Sweden</v>
      </c>
      <c r="D15202">
        <f>IFERROR(__xludf.DUMMYFUNCTION("""COMPUTED_VALUE"""),1951.0)</f>
        <v>1951</v>
      </c>
      <c r="E15202">
        <f>IFERROR(__xludf.DUMMYFUNCTION("""COMPUTED_VALUE"""),7073227.0)</f>
        <v>7073227</v>
      </c>
    </row>
    <row r="15203">
      <c r="A15203" t="str">
        <f t="shared" si="1"/>
        <v>swe#1952</v>
      </c>
      <c r="B15203" t="str">
        <f>IFERROR(__xludf.DUMMYFUNCTION("""COMPUTED_VALUE"""),"swe")</f>
        <v>swe</v>
      </c>
      <c r="C15203" t="str">
        <f>IFERROR(__xludf.DUMMYFUNCTION("""COMPUTED_VALUE"""),"Sweden")</f>
        <v>Sweden</v>
      </c>
      <c r="D15203">
        <f>IFERROR(__xludf.DUMMYFUNCTION("""COMPUTED_VALUE"""),1952.0)</f>
        <v>1952</v>
      </c>
      <c r="E15203">
        <f>IFERROR(__xludf.DUMMYFUNCTION("""COMPUTED_VALUE"""),7127520.0)</f>
        <v>7127520</v>
      </c>
    </row>
    <row r="15204">
      <c r="A15204" t="str">
        <f t="shared" si="1"/>
        <v>swe#1953</v>
      </c>
      <c r="B15204" t="str">
        <f>IFERROR(__xludf.DUMMYFUNCTION("""COMPUTED_VALUE"""),"swe")</f>
        <v>swe</v>
      </c>
      <c r="C15204" t="str">
        <f>IFERROR(__xludf.DUMMYFUNCTION("""COMPUTED_VALUE"""),"Sweden")</f>
        <v>Sweden</v>
      </c>
      <c r="D15204">
        <f>IFERROR(__xludf.DUMMYFUNCTION("""COMPUTED_VALUE"""),1953.0)</f>
        <v>1953</v>
      </c>
      <c r="E15204">
        <f>IFERROR(__xludf.DUMMYFUNCTION("""COMPUTED_VALUE"""),7175667.0)</f>
        <v>7175667</v>
      </c>
    </row>
    <row r="15205">
      <c r="A15205" t="str">
        <f t="shared" si="1"/>
        <v>swe#1954</v>
      </c>
      <c r="B15205" t="str">
        <f>IFERROR(__xludf.DUMMYFUNCTION("""COMPUTED_VALUE"""),"swe")</f>
        <v>swe</v>
      </c>
      <c r="C15205" t="str">
        <f>IFERROR(__xludf.DUMMYFUNCTION("""COMPUTED_VALUE"""),"Sweden")</f>
        <v>Sweden</v>
      </c>
      <c r="D15205">
        <f>IFERROR(__xludf.DUMMYFUNCTION("""COMPUTED_VALUE"""),1954.0)</f>
        <v>1954</v>
      </c>
      <c r="E15205">
        <f>IFERROR(__xludf.DUMMYFUNCTION("""COMPUTED_VALUE"""),7220064.0)</f>
        <v>7220064</v>
      </c>
    </row>
    <row r="15206">
      <c r="A15206" t="str">
        <f t="shared" si="1"/>
        <v>swe#1955</v>
      </c>
      <c r="B15206" t="str">
        <f>IFERROR(__xludf.DUMMYFUNCTION("""COMPUTED_VALUE"""),"swe")</f>
        <v>swe</v>
      </c>
      <c r="C15206" t="str">
        <f>IFERROR(__xludf.DUMMYFUNCTION("""COMPUTED_VALUE"""),"Sweden")</f>
        <v>Sweden</v>
      </c>
      <c r="D15206">
        <f>IFERROR(__xludf.DUMMYFUNCTION("""COMPUTED_VALUE"""),1955.0)</f>
        <v>1955</v>
      </c>
      <c r="E15206">
        <f>IFERROR(__xludf.DUMMYFUNCTION("""COMPUTED_VALUE"""),7262623.0)</f>
        <v>7262623</v>
      </c>
    </row>
    <row r="15207">
      <c r="A15207" t="str">
        <f t="shared" si="1"/>
        <v>swe#1956</v>
      </c>
      <c r="B15207" t="str">
        <f>IFERROR(__xludf.DUMMYFUNCTION("""COMPUTED_VALUE"""),"swe")</f>
        <v>swe</v>
      </c>
      <c r="C15207" t="str">
        <f>IFERROR(__xludf.DUMMYFUNCTION("""COMPUTED_VALUE"""),"Sweden")</f>
        <v>Sweden</v>
      </c>
      <c r="D15207">
        <f>IFERROR(__xludf.DUMMYFUNCTION("""COMPUTED_VALUE"""),1956.0)</f>
        <v>1956</v>
      </c>
      <c r="E15207">
        <f>IFERROR(__xludf.DUMMYFUNCTION("""COMPUTED_VALUE"""),7304779.0)</f>
        <v>7304779</v>
      </c>
    </row>
    <row r="15208">
      <c r="A15208" t="str">
        <f t="shared" si="1"/>
        <v>swe#1957</v>
      </c>
      <c r="B15208" t="str">
        <f>IFERROR(__xludf.DUMMYFUNCTION("""COMPUTED_VALUE"""),"swe")</f>
        <v>swe</v>
      </c>
      <c r="C15208" t="str">
        <f>IFERROR(__xludf.DUMMYFUNCTION("""COMPUTED_VALUE"""),"Sweden")</f>
        <v>Sweden</v>
      </c>
      <c r="D15208">
        <f>IFERROR(__xludf.DUMMYFUNCTION("""COMPUTED_VALUE"""),1957.0)</f>
        <v>1957</v>
      </c>
      <c r="E15208">
        <f>IFERROR(__xludf.DUMMYFUNCTION("""COMPUTED_VALUE"""),7347479.0)</f>
        <v>7347479</v>
      </c>
    </row>
    <row r="15209">
      <c r="A15209" t="str">
        <f t="shared" si="1"/>
        <v>swe#1958</v>
      </c>
      <c r="B15209" t="str">
        <f>IFERROR(__xludf.DUMMYFUNCTION("""COMPUTED_VALUE"""),"swe")</f>
        <v>swe</v>
      </c>
      <c r="C15209" t="str">
        <f>IFERROR(__xludf.DUMMYFUNCTION("""COMPUTED_VALUE"""),"Sweden")</f>
        <v>Sweden</v>
      </c>
      <c r="D15209">
        <f>IFERROR(__xludf.DUMMYFUNCTION("""COMPUTED_VALUE"""),1958.0)</f>
        <v>1958</v>
      </c>
      <c r="E15209">
        <f>IFERROR(__xludf.DUMMYFUNCTION("""COMPUTED_VALUE"""),7391248.0)</f>
        <v>7391248</v>
      </c>
    </row>
    <row r="15210">
      <c r="A15210" t="str">
        <f t="shared" si="1"/>
        <v>swe#1959</v>
      </c>
      <c r="B15210" t="str">
        <f>IFERROR(__xludf.DUMMYFUNCTION("""COMPUTED_VALUE"""),"swe")</f>
        <v>swe</v>
      </c>
      <c r="C15210" t="str">
        <f>IFERROR(__xludf.DUMMYFUNCTION("""COMPUTED_VALUE"""),"Sweden")</f>
        <v>Sweden</v>
      </c>
      <c r="D15210">
        <f>IFERROR(__xludf.DUMMYFUNCTION("""COMPUTED_VALUE"""),1959.0)</f>
        <v>1959</v>
      </c>
      <c r="E15210">
        <f>IFERROR(__xludf.DUMMYFUNCTION("""COMPUTED_VALUE"""),7436262.0)</f>
        <v>7436262</v>
      </c>
    </row>
    <row r="15211">
      <c r="A15211" t="str">
        <f t="shared" si="1"/>
        <v>swe#1960</v>
      </c>
      <c r="B15211" t="str">
        <f>IFERROR(__xludf.DUMMYFUNCTION("""COMPUTED_VALUE"""),"swe")</f>
        <v>swe</v>
      </c>
      <c r="C15211" t="str">
        <f>IFERROR(__xludf.DUMMYFUNCTION("""COMPUTED_VALUE"""),"Sweden")</f>
        <v>Sweden</v>
      </c>
      <c r="D15211">
        <f>IFERROR(__xludf.DUMMYFUNCTION("""COMPUTED_VALUE"""),1960.0)</f>
        <v>1960</v>
      </c>
      <c r="E15211">
        <f>IFERROR(__xludf.DUMMYFUNCTION("""COMPUTED_VALUE"""),7482543.0)</f>
        <v>7482543</v>
      </c>
    </row>
    <row r="15212">
      <c r="A15212" t="str">
        <f t="shared" si="1"/>
        <v>swe#1961</v>
      </c>
      <c r="B15212" t="str">
        <f>IFERROR(__xludf.DUMMYFUNCTION("""COMPUTED_VALUE"""),"swe")</f>
        <v>swe</v>
      </c>
      <c r="C15212" t="str">
        <f>IFERROR(__xludf.DUMMYFUNCTION("""COMPUTED_VALUE"""),"Sweden")</f>
        <v>Sweden</v>
      </c>
      <c r="D15212">
        <f>IFERROR(__xludf.DUMMYFUNCTION("""COMPUTED_VALUE"""),1961.0)</f>
        <v>1961</v>
      </c>
      <c r="E15212">
        <f>IFERROR(__xludf.DUMMYFUNCTION("""COMPUTED_VALUE"""),7530181.0)</f>
        <v>7530181</v>
      </c>
    </row>
    <row r="15213">
      <c r="A15213" t="str">
        <f t="shared" si="1"/>
        <v>swe#1962</v>
      </c>
      <c r="B15213" t="str">
        <f>IFERROR(__xludf.DUMMYFUNCTION("""COMPUTED_VALUE"""),"swe")</f>
        <v>swe</v>
      </c>
      <c r="C15213" t="str">
        <f>IFERROR(__xludf.DUMMYFUNCTION("""COMPUTED_VALUE"""),"Sweden")</f>
        <v>Sweden</v>
      </c>
      <c r="D15213">
        <f>IFERROR(__xludf.DUMMYFUNCTION("""COMPUTED_VALUE"""),1962.0)</f>
        <v>1962</v>
      </c>
      <c r="E15213">
        <f>IFERROR(__xludf.DUMMYFUNCTION("""COMPUTED_VALUE"""),7579566.0)</f>
        <v>7579566</v>
      </c>
    </row>
    <row r="15214">
      <c r="A15214" t="str">
        <f t="shared" si="1"/>
        <v>swe#1963</v>
      </c>
      <c r="B15214" t="str">
        <f>IFERROR(__xludf.DUMMYFUNCTION("""COMPUTED_VALUE"""),"swe")</f>
        <v>swe</v>
      </c>
      <c r="C15214" t="str">
        <f>IFERROR(__xludf.DUMMYFUNCTION("""COMPUTED_VALUE"""),"Sweden")</f>
        <v>Sweden</v>
      </c>
      <c r="D15214">
        <f>IFERROR(__xludf.DUMMYFUNCTION("""COMPUTED_VALUE"""),1963.0)</f>
        <v>1963</v>
      </c>
      <c r="E15214">
        <f>IFERROR(__xludf.DUMMYFUNCTION("""COMPUTED_VALUE"""),7631457.0)</f>
        <v>7631457</v>
      </c>
    </row>
    <row r="15215">
      <c r="A15215" t="str">
        <f t="shared" si="1"/>
        <v>swe#1964</v>
      </c>
      <c r="B15215" t="str">
        <f>IFERROR(__xludf.DUMMYFUNCTION("""COMPUTED_VALUE"""),"swe")</f>
        <v>swe</v>
      </c>
      <c r="C15215" t="str">
        <f>IFERROR(__xludf.DUMMYFUNCTION("""COMPUTED_VALUE"""),"Sweden")</f>
        <v>Sweden</v>
      </c>
      <c r="D15215">
        <f>IFERROR(__xludf.DUMMYFUNCTION("""COMPUTED_VALUE"""),1964.0)</f>
        <v>1964</v>
      </c>
      <c r="E15215">
        <f>IFERROR(__xludf.DUMMYFUNCTION("""COMPUTED_VALUE"""),7686730.0)</f>
        <v>7686730</v>
      </c>
    </row>
    <row r="15216">
      <c r="A15216" t="str">
        <f t="shared" si="1"/>
        <v>swe#1965</v>
      </c>
      <c r="B15216" t="str">
        <f>IFERROR(__xludf.DUMMYFUNCTION("""COMPUTED_VALUE"""),"swe")</f>
        <v>swe</v>
      </c>
      <c r="C15216" t="str">
        <f>IFERROR(__xludf.DUMMYFUNCTION("""COMPUTED_VALUE"""),"Sweden")</f>
        <v>Sweden</v>
      </c>
      <c r="D15216">
        <f>IFERROR(__xludf.DUMMYFUNCTION("""COMPUTED_VALUE"""),1965.0)</f>
        <v>1965</v>
      </c>
      <c r="E15216">
        <f>IFERROR(__xludf.DUMMYFUNCTION("""COMPUTED_VALUE"""),7745673.0)</f>
        <v>7745673</v>
      </c>
    </row>
    <row r="15217">
      <c r="A15217" t="str">
        <f t="shared" si="1"/>
        <v>swe#1966</v>
      </c>
      <c r="B15217" t="str">
        <f>IFERROR(__xludf.DUMMYFUNCTION("""COMPUTED_VALUE"""),"swe")</f>
        <v>swe</v>
      </c>
      <c r="C15217" t="str">
        <f>IFERROR(__xludf.DUMMYFUNCTION("""COMPUTED_VALUE"""),"Sweden")</f>
        <v>Sweden</v>
      </c>
      <c r="D15217">
        <f>IFERROR(__xludf.DUMMYFUNCTION("""COMPUTED_VALUE"""),1966.0)</f>
        <v>1966</v>
      </c>
      <c r="E15217">
        <f>IFERROR(__xludf.DUMMYFUNCTION("""COMPUTED_VALUE"""),7809086.0)</f>
        <v>7809086</v>
      </c>
    </row>
    <row r="15218">
      <c r="A15218" t="str">
        <f t="shared" si="1"/>
        <v>swe#1967</v>
      </c>
      <c r="B15218" t="str">
        <f>IFERROR(__xludf.DUMMYFUNCTION("""COMPUTED_VALUE"""),"swe")</f>
        <v>swe</v>
      </c>
      <c r="C15218" t="str">
        <f>IFERROR(__xludf.DUMMYFUNCTION("""COMPUTED_VALUE"""),"Sweden")</f>
        <v>Sweden</v>
      </c>
      <c r="D15218">
        <f>IFERROR(__xludf.DUMMYFUNCTION("""COMPUTED_VALUE"""),1967.0)</f>
        <v>1967</v>
      </c>
      <c r="E15218">
        <f>IFERROR(__xludf.DUMMYFUNCTION("""COMPUTED_VALUE"""),7875907.0)</f>
        <v>7875907</v>
      </c>
    </row>
    <row r="15219">
      <c r="A15219" t="str">
        <f t="shared" si="1"/>
        <v>swe#1968</v>
      </c>
      <c r="B15219" t="str">
        <f>IFERROR(__xludf.DUMMYFUNCTION("""COMPUTED_VALUE"""),"swe")</f>
        <v>swe</v>
      </c>
      <c r="C15219" t="str">
        <f>IFERROR(__xludf.DUMMYFUNCTION("""COMPUTED_VALUE"""),"Sweden")</f>
        <v>Sweden</v>
      </c>
      <c r="D15219">
        <f>IFERROR(__xludf.DUMMYFUNCTION("""COMPUTED_VALUE"""),1968.0)</f>
        <v>1968</v>
      </c>
      <c r="E15219">
        <f>IFERROR(__xludf.DUMMYFUNCTION("""COMPUTED_VALUE"""),7942322.0)</f>
        <v>7942322</v>
      </c>
    </row>
    <row r="15220">
      <c r="A15220" t="str">
        <f t="shared" si="1"/>
        <v>swe#1969</v>
      </c>
      <c r="B15220" t="str">
        <f>IFERROR(__xludf.DUMMYFUNCTION("""COMPUTED_VALUE"""),"swe")</f>
        <v>swe</v>
      </c>
      <c r="C15220" t="str">
        <f>IFERROR(__xludf.DUMMYFUNCTION("""COMPUTED_VALUE"""),"Sweden")</f>
        <v>Sweden</v>
      </c>
      <c r="D15220">
        <f>IFERROR(__xludf.DUMMYFUNCTION("""COMPUTED_VALUE"""),1969.0)</f>
        <v>1969</v>
      </c>
      <c r="E15220">
        <f>IFERROR(__xludf.DUMMYFUNCTION("""COMPUTED_VALUE"""),8003185.0)</f>
        <v>8003185</v>
      </c>
    </row>
    <row r="15221">
      <c r="A15221" t="str">
        <f t="shared" si="1"/>
        <v>swe#1970</v>
      </c>
      <c r="B15221" t="str">
        <f>IFERROR(__xludf.DUMMYFUNCTION("""COMPUTED_VALUE"""),"swe")</f>
        <v>swe</v>
      </c>
      <c r="C15221" t="str">
        <f>IFERROR(__xludf.DUMMYFUNCTION("""COMPUTED_VALUE"""),"Sweden")</f>
        <v>Sweden</v>
      </c>
      <c r="D15221">
        <f>IFERROR(__xludf.DUMMYFUNCTION("""COMPUTED_VALUE"""),1970.0)</f>
        <v>1970</v>
      </c>
      <c r="E15221">
        <f>IFERROR(__xludf.DUMMYFUNCTION("""COMPUTED_VALUE"""),8054916.0)</f>
        <v>8054916</v>
      </c>
    </row>
    <row r="15222">
      <c r="A15222" t="str">
        <f t="shared" si="1"/>
        <v>swe#1971</v>
      </c>
      <c r="B15222" t="str">
        <f>IFERROR(__xludf.DUMMYFUNCTION("""COMPUTED_VALUE"""),"swe")</f>
        <v>swe</v>
      </c>
      <c r="C15222" t="str">
        <f>IFERROR(__xludf.DUMMYFUNCTION("""COMPUTED_VALUE"""),"Sweden")</f>
        <v>Sweden</v>
      </c>
      <c r="D15222">
        <f>IFERROR(__xludf.DUMMYFUNCTION("""COMPUTED_VALUE"""),1971.0)</f>
        <v>1971</v>
      </c>
      <c r="E15222">
        <f>IFERROR(__xludf.DUMMYFUNCTION("""COMPUTED_VALUE"""),8095793.0)</f>
        <v>8095793</v>
      </c>
    </row>
    <row r="15223">
      <c r="A15223" t="str">
        <f t="shared" si="1"/>
        <v>swe#1972</v>
      </c>
      <c r="B15223" t="str">
        <f>IFERROR(__xludf.DUMMYFUNCTION("""COMPUTED_VALUE"""),"swe")</f>
        <v>swe</v>
      </c>
      <c r="C15223" t="str">
        <f>IFERROR(__xludf.DUMMYFUNCTION("""COMPUTED_VALUE"""),"Sweden")</f>
        <v>Sweden</v>
      </c>
      <c r="D15223">
        <f>IFERROR(__xludf.DUMMYFUNCTION("""COMPUTED_VALUE"""),1972.0)</f>
        <v>1972</v>
      </c>
      <c r="E15223">
        <f>IFERROR(__xludf.DUMMYFUNCTION("""COMPUTED_VALUE"""),8127034.0)</f>
        <v>8127034</v>
      </c>
    </row>
    <row r="15224">
      <c r="A15224" t="str">
        <f t="shared" si="1"/>
        <v>swe#1973</v>
      </c>
      <c r="B15224" t="str">
        <f>IFERROR(__xludf.DUMMYFUNCTION("""COMPUTED_VALUE"""),"swe")</f>
        <v>swe</v>
      </c>
      <c r="C15224" t="str">
        <f>IFERROR(__xludf.DUMMYFUNCTION("""COMPUTED_VALUE"""),"Sweden")</f>
        <v>Sweden</v>
      </c>
      <c r="D15224">
        <f>IFERROR(__xludf.DUMMYFUNCTION("""COMPUTED_VALUE"""),1973.0)</f>
        <v>1973</v>
      </c>
      <c r="E15224">
        <f>IFERROR(__xludf.DUMMYFUNCTION("""COMPUTED_VALUE"""),8151598.0)</f>
        <v>8151598</v>
      </c>
    </row>
    <row r="15225">
      <c r="A15225" t="str">
        <f t="shared" si="1"/>
        <v>swe#1974</v>
      </c>
      <c r="B15225" t="str">
        <f>IFERROR(__xludf.DUMMYFUNCTION("""COMPUTED_VALUE"""),"swe")</f>
        <v>swe</v>
      </c>
      <c r="C15225" t="str">
        <f>IFERROR(__xludf.DUMMYFUNCTION("""COMPUTED_VALUE"""),"Sweden")</f>
        <v>Sweden</v>
      </c>
      <c r="D15225">
        <f>IFERROR(__xludf.DUMMYFUNCTION("""COMPUTED_VALUE"""),1974.0)</f>
        <v>1974</v>
      </c>
      <c r="E15225">
        <f>IFERROR(__xludf.DUMMYFUNCTION("""COMPUTED_VALUE"""),8173968.0)</f>
        <v>8173968</v>
      </c>
    </row>
    <row r="15226">
      <c r="A15226" t="str">
        <f t="shared" si="1"/>
        <v>swe#1975</v>
      </c>
      <c r="B15226" t="str">
        <f>IFERROR(__xludf.DUMMYFUNCTION("""COMPUTED_VALUE"""),"swe")</f>
        <v>swe</v>
      </c>
      <c r="C15226" t="str">
        <f>IFERROR(__xludf.DUMMYFUNCTION("""COMPUTED_VALUE"""),"Sweden")</f>
        <v>Sweden</v>
      </c>
      <c r="D15226">
        <f>IFERROR(__xludf.DUMMYFUNCTION("""COMPUTED_VALUE"""),1975.0)</f>
        <v>1975</v>
      </c>
      <c r="E15226">
        <f>IFERROR(__xludf.DUMMYFUNCTION("""COMPUTED_VALUE"""),8197340.0)</f>
        <v>8197340</v>
      </c>
    </row>
    <row r="15227">
      <c r="A15227" t="str">
        <f t="shared" si="1"/>
        <v>swe#1976</v>
      </c>
      <c r="B15227" t="str">
        <f>IFERROR(__xludf.DUMMYFUNCTION("""COMPUTED_VALUE"""),"swe")</f>
        <v>swe</v>
      </c>
      <c r="C15227" t="str">
        <f>IFERROR(__xludf.DUMMYFUNCTION("""COMPUTED_VALUE"""),"Sweden")</f>
        <v>Sweden</v>
      </c>
      <c r="D15227">
        <f>IFERROR(__xludf.DUMMYFUNCTION("""COMPUTED_VALUE"""),1976.0)</f>
        <v>1976</v>
      </c>
      <c r="E15227">
        <f>IFERROR(__xludf.DUMMYFUNCTION("""COMPUTED_VALUE"""),8223249.0)</f>
        <v>8223249</v>
      </c>
    </row>
    <row r="15228">
      <c r="A15228" t="str">
        <f t="shared" si="1"/>
        <v>swe#1977</v>
      </c>
      <c r="B15228" t="str">
        <f>IFERROR(__xludf.DUMMYFUNCTION("""COMPUTED_VALUE"""),"swe")</f>
        <v>swe</v>
      </c>
      <c r="C15228" t="str">
        <f>IFERROR(__xludf.DUMMYFUNCTION("""COMPUTED_VALUE"""),"Sweden")</f>
        <v>Sweden</v>
      </c>
      <c r="D15228">
        <f>IFERROR(__xludf.DUMMYFUNCTION("""COMPUTED_VALUE"""),1977.0)</f>
        <v>1977</v>
      </c>
      <c r="E15228">
        <f>IFERROR(__xludf.DUMMYFUNCTION("""COMPUTED_VALUE"""),8250695.0)</f>
        <v>8250695</v>
      </c>
    </row>
    <row r="15229">
      <c r="A15229" t="str">
        <f t="shared" si="1"/>
        <v>swe#1978</v>
      </c>
      <c r="B15229" t="str">
        <f>IFERROR(__xludf.DUMMYFUNCTION("""COMPUTED_VALUE"""),"swe")</f>
        <v>swe</v>
      </c>
      <c r="C15229" t="str">
        <f>IFERROR(__xludf.DUMMYFUNCTION("""COMPUTED_VALUE"""),"Sweden")</f>
        <v>Sweden</v>
      </c>
      <c r="D15229">
        <f>IFERROR(__xludf.DUMMYFUNCTION("""COMPUTED_VALUE"""),1978.0)</f>
        <v>1978</v>
      </c>
      <c r="E15229">
        <f>IFERROR(__xludf.DUMMYFUNCTION("""COMPUTED_VALUE"""),8277414.0)</f>
        <v>8277414</v>
      </c>
    </row>
    <row r="15230">
      <c r="A15230" t="str">
        <f t="shared" si="1"/>
        <v>swe#1979</v>
      </c>
      <c r="B15230" t="str">
        <f>IFERROR(__xludf.DUMMYFUNCTION("""COMPUTED_VALUE"""),"swe")</f>
        <v>swe</v>
      </c>
      <c r="C15230" t="str">
        <f>IFERROR(__xludf.DUMMYFUNCTION("""COMPUTED_VALUE"""),"Sweden")</f>
        <v>Sweden</v>
      </c>
      <c r="D15230">
        <f>IFERROR(__xludf.DUMMYFUNCTION("""COMPUTED_VALUE"""),1979.0)</f>
        <v>1979</v>
      </c>
      <c r="E15230">
        <f>IFERROR(__xludf.DUMMYFUNCTION("""COMPUTED_VALUE"""),8300003.0)</f>
        <v>8300003</v>
      </c>
    </row>
    <row r="15231">
      <c r="A15231" t="str">
        <f t="shared" si="1"/>
        <v>swe#1980</v>
      </c>
      <c r="B15231" t="str">
        <f>IFERROR(__xludf.DUMMYFUNCTION("""COMPUTED_VALUE"""),"swe")</f>
        <v>swe</v>
      </c>
      <c r="C15231" t="str">
        <f>IFERROR(__xludf.DUMMYFUNCTION("""COMPUTED_VALUE"""),"Sweden")</f>
        <v>Sweden</v>
      </c>
      <c r="D15231">
        <f>IFERROR(__xludf.DUMMYFUNCTION("""COMPUTED_VALUE"""),1980.0)</f>
        <v>1980</v>
      </c>
      <c r="E15231">
        <f>IFERROR(__xludf.DUMMYFUNCTION("""COMPUTED_VALUE"""),8316338.0)</f>
        <v>8316338</v>
      </c>
    </row>
    <row r="15232">
      <c r="A15232" t="str">
        <f t="shared" si="1"/>
        <v>swe#1981</v>
      </c>
      <c r="B15232" t="str">
        <f>IFERROR(__xludf.DUMMYFUNCTION("""COMPUTED_VALUE"""),"swe")</f>
        <v>swe</v>
      </c>
      <c r="C15232" t="str">
        <f>IFERROR(__xludf.DUMMYFUNCTION("""COMPUTED_VALUE"""),"Sweden")</f>
        <v>Sweden</v>
      </c>
      <c r="D15232">
        <f>IFERROR(__xludf.DUMMYFUNCTION("""COMPUTED_VALUE"""),1981.0)</f>
        <v>1981</v>
      </c>
      <c r="E15232">
        <f>IFERROR(__xludf.DUMMYFUNCTION("""COMPUTED_VALUE"""),8325493.0)</f>
        <v>8325493</v>
      </c>
    </row>
    <row r="15233">
      <c r="A15233" t="str">
        <f t="shared" si="1"/>
        <v>swe#1982</v>
      </c>
      <c r="B15233" t="str">
        <f>IFERROR(__xludf.DUMMYFUNCTION("""COMPUTED_VALUE"""),"swe")</f>
        <v>swe</v>
      </c>
      <c r="C15233" t="str">
        <f>IFERROR(__xludf.DUMMYFUNCTION("""COMPUTED_VALUE"""),"Sweden")</f>
        <v>Sweden</v>
      </c>
      <c r="D15233">
        <f>IFERROR(__xludf.DUMMYFUNCTION("""COMPUTED_VALUE"""),1982.0)</f>
        <v>1982</v>
      </c>
      <c r="E15233">
        <f>IFERROR(__xludf.DUMMYFUNCTION("""COMPUTED_VALUE"""),8329425.0)</f>
        <v>8329425</v>
      </c>
    </row>
    <row r="15234">
      <c r="A15234" t="str">
        <f t="shared" si="1"/>
        <v>swe#1983</v>
      </c>
      <c r="B15234" t="str">
        <f>IFERROR(__xludf.DUMMYFUNCTION("""COMPUTED_VALUE"""),"swe")</f>
        <v>swe</v>
      </c>
      <c r="C15234" t="str">
        <f>IFERROR(__xludf.DUMMYFUNCTION("""COMPUTED_VALUE"""),"Sweden")</f>
        <v>Sweden</v>
      </c>
      <c r="D15234">
        <f>IFERROR(__xludf.DUMMYFUNCTION("""COMPUTED_VALUE"""),1983.0)</f>
        <v>1983</v>
      </c>
      <c r="E15234">
        <f>IFERROR(__xludf.DUMMYFUNCTION("""COMPUTED_VALUE"""),8332443.0)</f>
        <v>8332443</v>
      </c>
    </row>
    <row r="15235">
      <c r="A15235" t="str">
        <f t="shared" si="1"/>
        <v>swe#1984</v>
      </c>
      <c r="B15235" t="str">
        <f>IFERROR(__xludf.DUMMYFUNCTION("""COMPUTED_VALUE"""),"swe")</f>
        <v>swe</v>
      </c>
      <c r="C15235" t="str">
        <f>IFERROR(__xludf.DUMMYFUNCTION("""COMPUTED_VALUE"""),"Sweden")</f>
        <v>Sweden</v>
      </c>
      <c r="D15235">
        <f>IFERROR(__xludf.DUMMYFUNCTION("""COMPUTED_VALUE"""),1984.0)</f>
        <v>1984</v>
      </c>
      <c r="E15235">
        <f>IFERROR(__xludf.DUMMYFUNCTION("""COMPUTED_VALUE"""),8340440.0)</f>
        <v>8340440</v>
      </c>
    </row>
    <row r="15236">
      <c r="A15236" t="str">
        <f t="shared" si="1"/>
        <v>swe#1985</v>
      </c>
      <c r="B15236" t="str">
        <f>IFERROR(__xludf.DUMMYFUNCTION("""COMPUTED_VALUE"""),"swe")</f>
        <v>swe</v>
      </c>
      <c r="C15236" t="str">
        <f>IFERROR(__xludf.DUMMYFUNCTION("""COMPUTED_VALUE"""),"Sweden")</f>
        <v>Sweden</v>
      </c>
      <c r="D15236">
        <f>IFERROR(__xludf.DUMMYFUNCTION("""COMPUTED_VALUE"""),1985.0)</f>
        <v>1985</v>
      </c>
      <c r="E15236">
        <f>IFERROR(__xludf.DUMMYFUNCTION("""COMPUTED_VALUE"""),8357652.0)</f>
        <v>8357652</v>
      </c>
    </row>
    <row r="15237">
      <c r="A15237" t="str">
        <f t="shared" si="1"/>
        <v>swe#1986</v>
      </c>
      <c r="B15237" t="str">
        <f>IFERROR(__xludf.DUMMYFUNCTION("""COMPUTED_VALUE"""),"swe")</f>
        <v>swe</v>
      </c>
      <c r="C15237" t="str">
        <f>IFERROR(__xludf.DUMMYFUNCTION("""COMPUTED_VALUE"""),"Sweden")</f>
        <v>Sweden</v>
      </c>
      <c r="D15237">
        <f>IFERROR(__xludf.DUMMYFUNCTION("""COMPUTED_VALUE"""),1986.0)</f>
        <v>1986</v>
      </c>
      <c r="E15237">
        <f>IFERROR(__xludf.DUMMYFUNCTION("""COMPUTED_VALUE"""),8384989.0)</f>
        <v>8384989</v>
      </c>
    </row>
    <row r="15238">
      <c r="A15238" t="str">
        <f t="shared" si="1"/>
        <v>swe#1987</v>
      </c>
      <c r="B15238" t="str">
        <f>IFERROR(__xludf.DUMMYFUNCTION("""COMPUTED_VALUE"""),"swe")</f>
        <v>swe</v>
      </c>
      <c r="C15238" t="str">
        <f>IFERROR(__xludf.DUMMYFUNCTION("""COMPUTED_VALUE"""),"Sweden")</f>
        <v>Sweden</v>
      </c>
      <c r="D15238">
        <f>IFERROR(__xludf.DUMMYFUNCTION("""COMPUTED_VALUE"""),1987.0)</f>
        <v>1987</v>
      </c>
      <c r="E15238">
        <f>IFERROR(__xludf.DUMMYFUNCTION("""COMPUTED_VALUE"""),8421056.0)</f>
        <v>8421056</v>
      </c>
    </row>
    <row r="15239">
      <c r="A15239" t="str">
        <f t="shared" si="1"/>
        <v>swe#1988</v>
      </c>
      <c r="B15239" t="str">
        <f>IFERROR(__xludf.DUMMYFUNCTION("""COMPUTED_VALUE"""),"swe")</f>
        <v>swe</v>
      </c>
      <c r="C15239" t="str">
        <f>IFERROR(__xludf.DUMMYFUNCTION("""COMPUTED_VALUE"""),"Sweden")</f>
        <v>Sweden</v>
      </c>
      <c r="D15239">
        <f>IFERROR(__xludf.DUMMYFUNCTION("""COMPUTED_VALUE"""),1988.0)</f>
        <v>1988</v>
      </c>
      <c r="E15239">
        <f>IFERROR(__xludf.DUMMYFUNCTION("""COMPUTED_VALUE"""),8464787.0)</f>
        <v>8464787</v>
      </c>
    </row>
    <row r="15240">
      <c r="A15240" t="str">
        <f t="shared" si="1"/>
        <v>swe#1989</v>
      </c>
      <c r="B15240" t="str">
        <f>IFERROR(__xludf.DUMMYFUNCTION("""COMPUTED_VALUE"""),"swe")</f>
        <v>swe</v>
      </c>
      <c r="C15240" t="str">
        <f>IFERROR(__xludf.DUMMYFUNCTION("""COMPUTED_VALUE"""),"Sweden")</f>
        <v>Sweden</v>
      </c>
      <c r="D15240">
        <f>IFERROR(__xludf.DUMMYFUNCTION("""COMPUTED_VALUE"""),1989.0)</f>
        <v>1989</v>
      </c>
      <c r="E15240">
        <f>IFERROR(__xludf.DUMMYFUNCTION("""COMPUTED_VALUE"""),8514206.0)</f>
        <v>8514206</v>
      </c>
    </row>
    <row r="15241">
      <c r="A15241" t="str">
        <f t="shared" si="1"/>
        <v>swe#1990</v>
      </c>
      <c r="B15241" t="str">
        <f>IFERROR(__xludf.DUMMYFUNCTION("""COMPUTED_VALUE"""),"swe")</f>
        <v>swe</v>
      </c>
      <c r="C15241" t="str">
        <f>IFERROR(__xludf.DUMMYFUNCTION("""COMPUTED_VALUE"""),"Sweden")</f>
        <v>Sweden</v>
      </c>
      <c r="D15241">
        <f>IFERROR(__xludf.DUMMYFUNCTION("""COMPUTED_VALUE"""),1990.0)</f>
        <v>1990</v>
      </c>
      <c r="E15241">
        <f>IFERROR(__xludf.DUMMYFUNCTION("""COMPUTED_VALUE"""),8567384.0)</f>
        <v>8567384</v>
      </c>
    </row>
    <row r="15242">
      <c r="A15242" t="str">
        <f t="shared" si="1"/>
        <v>swe#1991</v>
      </c>
      <c r="B15242" t="str">
        <f>IFERROR(__xludf.DUMMYFUNCTION("""COMPUTED_VALUE"""),"swe")</f>
        <v>swe</v>
      </c>
      <c r="C15242" t="str">
        <f>IFERROR(__xludf.DUMMYFUNCTION("""COMPUTED_VALUE"""),"Sweden")</f>
        <v>Sweden</v>
      </c>
      <c r="D15242">
        <f>IFERROR(__xludf.DUMMYFUNCTION("""COMPUTED_VALUE"""),1991.0)</f>
        <v>1991</v>
      </c>
      <c r="E15242">
        <f>IFERROR(__xludf.DUMMYFUNCTION("""COMPUTED_VALUE"""),8625137.0)</f>
        <v>8625137</v>
      </c>
    </row>
    <row r="15243">
      <c r="A15243" t="str">
        <f t="shared" si="1"/>
        <v>swe#1992</v>
      </c>
      <c r="B15243" t="str">
        <f>IFERROR(__xludf.DUMMYFUNCTION("""COMPUTED_VALUE"""),"swe")</f>
        <v>swe</v>
      </c>
      <c r="C15243" t="str">
        <f>IFERROR(__xludf.DUMMYFUNCTION("""COMPUTED_VALUE"""),"Sweden")</f>
        <v>Sweden</v>
      </c>
      <c r="D15243">
        <f>IFERROR(__xludf.DUMMYFUNCTION("""COMPUTED_VALUE"""),1992.0)</f>
        <v>1992</v>
      </c>
      <c r="E15243">
        <f>IFERROR(__xludf.DUMMYFUNCTION("""COMPUTED_VALUE"""),8686738.0)</f>
        <v>8686738</v>
      </c>
    </row>
    <row r="15244">
      <c r="A15244" t="str">
        <f t="shared" si="1"/>
        <v>swe#1993</v>
      </c>
      <c r="B15244" t="str">
        <f>IFERROR(__xludf.DUMMYFUNCTION("""COMPUTED_VALUE"""),"swe")</f>
        <v>swe</v>
      </c>
      <c r="C15244" t="str">
        <f>IFERROR(__xludf.DUMMYFUNCTION("""COMPUTED_VALUE"""),"Sweden")</f>
        <v>Sweden</v>
      </c>
      <c r="D15244">
        <f>IFERROR(__xludf.DUMMYFUNCTION("""COMPUTED_VALUE"""),1993.0)</f>
        <v>1993</v>
      </c>
      <c r="E15244">
        <f>IFERROR(__xludf.DUMMYFUNCTION("""COMPUTED_VALUE"""),8746776.0)</f>
        <v>8746776</v>
      </c>
    </row>
    <row r="15245">
      <c r="A15245" t="str">
        <f t="shared" si="1"/>
        <v>swe#1994</v>
      </c>
      <c r="B15245" t="str">
        <f>IFERROR(__xludf.DUMMYFUNCTION("""COMPUTED_VALUE"""),"swe")</f>
        <v>swe</v>
      </c>
      <c r="C15245" t="str">
        <f>IFERROR(__xludf.DUMMYFUNCTION("""COMPUTED_VALUE"""),"Sweden")</f>
        <v>Sweden</v>
      </c>
      <c r="D15245">
        <f>IFERROR(__xludf.DUMMYFUNCTION("""COMPUTED_VALUE"""),1994.0)</f>
        <v>1994</v>
      </c>
      <c r="E15245">
        <f>IFERROR(__xludf.DUMMYFUNCTION("""COMPUTED_VALUE"""),8798234.0)</f>
        <v>8798234</v>
      </c>
    </row>
    <row r="15246">
      <c r="A15246" t="str">
        <f t="shared" si="1"/>
        <v>swe#1995</v>
      </c>
      <c r="B15246" t="str">
        <f>IFERROR(__xludf.DUMMYFUNCTION("""COMPUTED_VALUE"""),"swe")</f>
        <v>swe</v>
      </c>
      <c r="C15246" t="str">
        <f>IFERROR(__xludf.DUMMYFUNCTION("""COMPUTED_VALUE"""),"Sweden")</f>
        <v>Sweden</v>
      </c>
      <c r="D15246">
        <f>IFERROR(__xludf.DUMMYFUNCTION("""COMPUTED_VALUE"""),1995.0)</f>
        <v>1995</v>
      </c>
      <c r="E15246">
        <f>IFERROR(__xludf.DUMMYFUNCTION("""COMPUTED_VALUE"""),8836420.0)</f>
        <v>8836420</v>
      </c>
    </row>
    <row r="15247">
      <c r="A15247" t="str">
        <f t="shared" si="1"/>
        <v>swe#1996</v>
      </c>
      <c r="B15247" t="str">
        <f>IFERROR(__xludf.DUMMYFUNCTION("""COMPUTED_VALUE"""),"swe")</f>
        <v>swe</v>
      </c>
      <c r="C15247" t="str">
        <f>IFERROR(__xludf.DUMMYFUNCTION("""COMPUTED_VALUE"""),"Sweden")</f>
        <v>Sweden</v>
      </c>
      <c r="D15247">
        <f>IFERROR(__xludf.DUMMYFUNCTION("""COMPUTED_VALUE"""),1996.0)</f>
        <v>1996</v>
      </c>
      <c r="E15247">
        <f>IFERROR(__xludf.DUMMYFUNCTION("""COMPUTED_VALUE"""),8859191.0)</f>
        <v>8859191</v>
      </c>
    </row>
    <row r="15248">
      <c r="A15248" t="str">
        <f t="shared" si="1"/>
        <v>swe#1997</v>
      </c>
      <c r="B15248" t="str">
        <f>IFERROR(__xludf.DUMMYFUNCTION("""COMPUTED_VALUE"""),"swe")</f>
        <v>swe</v>
      </c>
      <c r="C15248" t="str">
        <f>IFERROR(__xludf.DUMMYFUNCTION("""COMPUTED_VALUE"""),"Sweden")</f>
        <v>Sweden</v>
      </c>
      <c r="D15248">
        <f>IFERROR(__xludf.DUMMYFUNCTION("""COMPUTED_VALUE"""),1997.0)</f>
        <v>1997</v>
      </c>
      <c r="E15248">
        <f>IFERROR(__xludf.DUMMYFUNCTION("""COMPUTED_VALUE"""),8868853.0)</f>
        <v>8868853</v>
      </c>
    </row>
    <row r="15249">
      <c r="A15249" t="str">
        <f t="shared" si="1"/>
        <v>swe#1998</v>
      </c>
      <c r="B15249" t="str">
        <f>IFERROR(__xludf.DUMMYFUNCTION("""COMPUTED_VALUE"""),"swe")</f>
        <v>swe</v>
      </c>
      <c r="C15249" t="str">
        <f>IFERROR(__xludf.DUMMYFUNCTION("""COMPUTED_VALUE"""),"Sweden")</f>
        <v>Sweden</v>
      </c>
      <c r="D15249">
        <f>IFERROR(__xludf.DUMMYFUNCTION("""COMPUTED_VALUE"""),1998.0)</f>
        <v>1998</v>
      </c>
      <c r="E15249">
        <f>IFERROR(__xludf.DUMMYFUNCTION("""COMPUTED_VALUE"""),8870848.0)</f>
        <v>8870848</v>
      </c>
    </row>
    <row r="15250">
      <c r="A15250" t="str">
        <f t="shared" si="1"/>
        <v>swe#1999</v>
      </c>
      <c r="B15250" t="str">
        <f>IFERROR(__xludf.DUMMYFUNCTION("""COMPUTED_VALUE"""),"swe")</f>
        <v>swe</v>
      </c>
      <c r="C15250" t="str">
        <f>IFERROR(__xludf.DUMMYFUNCTION("""COMPUTED_VALUE"""),"Sweden")</f>
        <v>Sweden</v>
      </c>
      <c r="D15250">
        <f>IFERROR(__xludf.DUMMYFUNCTION("""COMPUTED_VALUE"""),1999.0)</f>
        <v>1999</v>
      </c>
      <c r="E15250">
        <f>IFERROR(__xludf.DUMMYFUNCTION("""COMPUTED_VALUE"""),8873100.0)</f>
        <v>8873100</v>
      </c>
    </row>
    <row r="15251">
      <c r="A15251" t="str">
        <f t="shared" si="1"/>
        <v>swe#2000</v>
      </c>
      <c r="B15251" t="str">
        <f>IFERROR(__xludf.DUMMYFUNCTION("""COMPUTED_VALUE"""),"swe")</f>
        <v>swe</v>
      </c>
      <c r="C15251" t="str">
        <f>IFERROR(__xludf.DUMMYFUNCTION("""COMPUTED_VALUE"""),"Sweden")</f>
        <v>Sweden</v>
      </c>
      <c r="D15251">
        <f>IFERROR(__xludf.DUMMYFUNCTION("""COMPUTED_VALUE"""),2000.0)</f>
        <v>2000</v>
      </c>
      <c r="E15251">
        <f>IFERROR(__xludf.DUMMYFUNCTION("""COMPUTED_VALUE"""),8881640.0)</f>
        <v>8881640</v>
      </c>
    </row>
    <row r="15252">
      <c r="A15252" t="str">
        <f t="shared" si="1"/>
        <v>swe#2001</v>
      </c>
      <c r="B15252" t="str">
        <f>IFERROR(__xludf.DUMMYFUNCTION("""COMPUTED_VALUE"""),"swe")</f>
        <v>swe</v>
      </c>
      <c r="C15252" t="str">
        <f>IFERROR(__xludf.DUMMYFUNCTION("""COMPUTED_VALUE"""),"Sweden")</f>
        <v>Sweden</v>
      </c>
      <c r="D15252">
        <f>IFERROR(__xludf.DUMMYFUNCTION("""COMPUTED_VALUE"""),2001.0)</f>
        <v>2001</v>
      </c>
      <c r="E15252">
        <f>IFERROR(__xludf.DUMMYFUNCTION("""COMPUTED_VALUE"""),8897793.0)</f>
        <v>8897793</v>
      </c>
    </row>
    <row r="15253">
      <c r="A15253" t="str">
        <f t="shared" si="1"/>
        <v>swe#2002</v>
      </c>
      <c r="B15253" t="str">
        <f>IFERROR(__xludf.DUMMYFUNCTION("""COMPUTED_VALUE"""),"swe")</f>
        <v>swe</v>
      </c>
      <c r="C15253" t="str">
        <f>IFERROR(__xludf.DUMMYFUNCTION("""COMPUTED_VALUE"""),"Sweden")</f>
        <v>Sweden</v>
      </c>
      <c r="D15253">
        <f>IFERROR(__xludf.DUMMYFUNCTION("""COMPUTED_VALUE"""),2002.0)</f>
        <v>2002</v>
      </c>
      <c r="E15253">
        <f>IFERROR(__xludf.DUMMYFUNCTION("""COMPUTED_VALUE"""),8920694.0)</f>
        <v>8920694</v>
      </c>
    </row>
    <row r="15254">
      <c r="A15254" t="str">
        <f t="shared" si="1"/>
        <v>swe#2003</v>
      </c>
      <c r="B15254" t="str">
        <f>IFERROR(__xludf.DUMMYFUNCTION("""COMPUTED_VALUE"""),"swe")</f>
        <v>swe</v>
      </c>
      <c r="C15254" t="str">
        <f>IFERROR(__xludf.DUMMYFUNCTION("""COMPUTED_VALUE"""),"Sweden")</f>
        <v>Sweden</v>
      </c>
      <c r="D15254">
        <f>IFERROR(__xludf.DUMMYFUNCTION("""COMPUTED_VALUE"""),2003.0)</f>
        <v>2003</v>
      </c>
      <c r="E15254">
        <f>IFERROR(__xludf.DUMMYFUNCTION("""COMPUTED_VALUE"""),8951422.0)</f>
        <v>8951422</v>
      </c>
    </row>
    <row r="15255">
      <c r="A15255" t="str">
        <f t="shared" si="1"/>
        <v>swe#2004</v>
      </c>
      <c r="B15255" t="str">
        <f>IFERROR(__xludf.DUMMYFUNCTION("""COMPUTED_VALUE"""),"swe")</f>
        <v>swe</v>
      </c>
      <c r="C15255" t="str">
        <f>IFERROR(__xludf.DUMMYFUNCTION("""COMPUTED_VALUE"""),"Sweden")</f>
        <v>Sweden</v>
      </c>
      <c r="D15255">
        <f>IFERROR(__xludf.DUMMYFUNCTION("""COMPUTED_VALUE"""),2004.0)</f>
        <v>2004</v>
      </c>
      <c r="E15255">
        <f>IFERROR(__xludf.DUMMYFUNCTION("""COMPUTED_VALUE"""),8990639.0)</f>
        <v>8990639</v>
      </c>
    </row>
    <row r="15256">
      <c r="A15256" t="str">
        <f t="shared" si="1"/>
        <v>swe#2005</v>
      </c>
      <c r="B15256" t="str">
        <f>IFERROR(__xludf.DUMMYFUNCTION("""COMPUTED_VALUE"""),"swe")</f>
        <v>swe</v>
      </c>
      <c r="C15256" t="str">
        <f>IFERROR(__xludf.DUMMYFUNCTION("""COMPUTED_VALUE"""),"Sweden")</f>
        <v>Sweden</v>
      </c>
      <c r="D15256">
        <f>IFERROR(__xludf.DUMMYFUNCTION("""COMPUTED_VALUE"""),2005.0)</f>
        <v>2005</v>
      </c>
      <c r="E15256">
        <f>IFERROR(__xludf.DUMMYFUNCTION("""COMPUTED_VALUE"""),9038623.0)</f>
        <v>9038623</v>
      </c>
    </row>
    <row r="15257">
      <c r="A15257" t="str">
        <f t="shared" si="1"/>
        <v>swe#2006</v>
      </c>
      <c r="B15257" t="str">
        <f>IFERROR(__xludf.DUMMYFUNCTION("""COMPUTED_VALUE"""),"swe")</f>
        <v>swe</v>
      </c>
      <c r="C15257" t="str">
        <f>IFERROR(__xludf.DUMMYFUNCTION("""COMPUTED_VALUE"""),"Sweden")</f>
        <v>Sweden</v>
      </c>
      <c r="D15257">
        <f>IFERROR(__xludf.DUMMYFUNCTION("""COMPUTED_VALUE"""),2006.0)</f>
        <v>2006</v>
      </c>
      <c r="E15257">
        <f>IFERROR(__xludf.DUMMYFUNCTION("""COMPUTED_VALUE"""),9096264.0)</f>
        <v>9096264</v>
      </c>
    </row>
    <row r="15258">
      <c r="A15258" t="str">
        <f t="shared" si="1"/>
        <v>swe#2007</v>
      </c>
      <c r="B15258" t="str">
        <f>IFERROR(__xludf.DUMMYFUNCTION("""COMPUTED_VALUE"""),"swe")</f>
        <v>swe</v>
      </c>
      <c r="C15258" t="str">
        <f>IFERROR(__xludf.DUMMYFUNCTION("""COMPUTED_VALUE"""),"Sweden")</f>
        <v>Sweden</v>
      </c>
      <c r="D15258">
        <f>IFERROR(__xludf.DUMMYFUNCTION("""COMPUTED_VALUE"""),2007.0)</f>
        <v>2007</v>
      </c>
      <c r="E15258">
        <f>IFERROR(__xludf.DUMMYFUNCTION("""COMPUTED_VALUE"""),9163243.0)</f>
        <v>9163243</v>
      </c>
    </row>
    <row r="15259">
      <c r="A15259" t="str">
        <f t="shared" si="1"/>
        <v>swe#2008</v>
      </c>
      <c r="B15259" t="str">
        <f>IFERROR(__xludf.DUMMYFUNCTION("""COMPUTED_VALUE"""),"swe")</f>
        <v>swe</v>
      </c>
      <c r="C15259" t="str">
        <f>IFERROR(__xludf.DUMMYFUNCTION("""COMPUTED_VALUE"""),"Sweden")</f>
        <v>Sweden</v>
      </c>
      <c r="D15259">
        <f>IFERROR(__xludf.DUMMYFUNCTION("""COMPUTED_VALUE"""),2008.0)</f>
        <v>2008</v>
      </c>
      <c r="E15259">
        <f>IFERROR(__xludf.DUMMYFUNCTION("""COMPUTED_VALUE"""),9236890.0)</f>
        <v>9236890</v>
      </c>
    </row>
    <row r="15260">
      <c r="A15260" t="str">
        <f t="shared" si="1"/>
        <v>swe#2009</v>
      </c>
      <c r="B15260" t="str">
        <f>IFERROR(__xludf.DUMMYFUNCTION("""COMPUTED_VALUE"""),"swe")</f>
        <v>swe</v>
      </c>
      <c r="C15260" t="str">
        <f>IFERROR(__xludf.DUMMYFUNCTION("""COMPUTED_VALUE"""),"Sweden")</f>
        <v>Sweden</v>
      </c>
      <c r="D15260">
        <f>IFERROR(__xludf.DUMMYFUNCTION("""COMPUTED_VALUE"""),2009.0)</f>
        <v>2009</v>
      </c>
      <c r="E15260">
        <f>IFERROR(__xludf.DUMMYFUNCTION("""COMPUTED_VALUE"""),9313478.0)</f>
        <v>9313478</v>
      </c>
    </row>
    <row r="15261">
      <c r="A15261" t="str">
        <f t="shared" si="1"/>
        <v>swe#2010</v>
      </c>
      <c r="B15261" t="str">
        <f>IFERROR(__xludf.DUMMYFUNCTION("""COMPUTED_VALUE"""),"swe")</f>
        <v>swe</v>
      </c>
      <c r="C15261" t="str">
        <f>IFERROR(__xludf.DUMMYFUNCTION("""COMPUTED_VALUE"""),"Sweden")</f>
        <v>Sweden</v>
      </c>
      <c r="D15261">
        <f>IFERROR(__xludf.DUMMYFUNCTION("""COMPUTED_VALUE"""),2010.0)</f>
        <v>2010</v>
      </c>
      <c r="E15261">
        <f>IFERROR(__xludf.DUMMYFUNCTION("""COMPUTED_VALUE"""),9390168.0)</f>
        <v>9390168</v>
      </c>
    </row>
    <row r="15262">
      <c r="A15262" t="str">
        <f t="shared" si="1"/>
        <v>swe#2011</v>
      </c>
      <c r="B15262" t="str">
        <f>IFERROR(__xludf.DUMMYFUNCTION("""COMPUTED_VALUE"""),"swe")</f>
        <v>swe</v>
      </c>
      <c r="C15262" t="str">
        <f>IFERROR(__xludf.DUMMYFUNCTION("""COMPUTED_VALUE"""),"Sweden")</f>
        <v>Sweden</v>
      </c>
      <c r="D15262">
        <f>IFERROR(__xludf.DUMMYFUNCTION("""COMPUTED_VALUE"""),2011.0)</f>
        <v>2011</v>
      </c>
      <c r="E15262">
        <f>IFERROR(__xludf.DUMMYFUNCTION("""COMPUTED_VALUE"""),9465892.0)</f>
        <v>9465892</v>
      </c>
    </row>
    <row r="15263">
      <c r="A15263" t="str">
        <f t="shared" si="1"/>
        <v>swe#2012</v>
      </c>
      <c r="B15263" t="str">
        <f>IFERROR(__xludf.DUMMYFUNCTION("""COMPUTED_VALUE"""),"swe")</f>
        <v>swe</v>
      </c>
      <c r="C15263" t="str">
        <f>IFERROR(__xludf.DUMMYFUNCTION("""COMPUTED_VALUE"""),"Sweden")</f>
        <v>Sweden</v>
      </c>
      <c r="D15263">
        <f>IFERROR(__xludf.DUMMYFUNCTION("""COMPUTED_VALUE"""),2012.0)</f>
        <v>2012</v>
      </c>
      <c r="E15263">
        <f>IFERROR(__xludf.DUMMYFUNCTION("""COMPUTED_VALUE"""),9540907.0)</f>
        <v>9540907</v>
      </c>
    </row>
    <row r="15264">
      <c r="A15264" t="str">
        <f t="shared" si="1"/>
        <v>swe#2013</v>
      </c>
      <c r="B15264" t="str">
        <f>IFERROR(__xludf.DUMMYFUNCTION("""COMPUTED_VALUE"""),"swe")</f>
        <v>swe</v>
      </c>
      <c r="C15264" t="str">
        <f>IFERROR(__xludf.DUMMYFUNCTION("""COMPUTED_VALUE"""),"Sweden")</f>
        <v>Sweden</v>
      </c>
      <c r="D15264">
        <f>IFERROR(__xludf.DUMMYFUNCTION("""COMPUTED_VALUE"""),2013.0)</f>
        <v>2013</v>
      </c>
      <c r="E15264">
        <f>IFERROR(__xludf.DUMMYFUNCTION("""COMPUTED_VALUE"""),9615247.0)</f>
        <v>9615247</v>
      </c>
    </row>
    <row r="15265">
      <c r="A15265" t="str">
        <f t="shared" si="1"/>
        <v>swe#2014</v>
      </c>
      <c r="B15265" t="str">
        <f>IFERROR(__xludf.DUMMYFUNCTION("""COMPUTED_VALUE"""),"swe")</f>
        <v>swe</v>
      </c>
      <c r="C15265" t="str">
        <f>IFERROR(__xludf.DUMMYFUNCTION("""COMPUTED_VALUE"""),"Sweden")</f>
        <v>Sweden</v>
      </c>
      <c r="D15265">
        <f>IFERROR(__xludf.DUMMYFUNCTION("""COMPUTED_VALUE"""),2014.0)</f>
        <v>2014</v>
      </c>
      <c r="E15265">
        <f>IFERROR(__xludf.DUMMYFUNCTION("""COMPUTED_VALUE"""),9689376.0)</f>
        <v>9689376</v>
      </c>
    </row>
    <row r="15266">
      <c r="A15266" t="str">
        <f t="shared" si="1"/>
        <v>swe#2015</v>
      </c>
      <c r="B15266" t="str">
        <f>IFERROR(__xludf.DUMMYFUNCTION("""COMPUTED_VALUE"""),"swe")</f>
        <v>swe</v>
      </c>
      <c r="C15266" t="str">
        <f>IFERROR(__xludf.DUMMYFUNCTION("""COMPUTED_VALUE"""),"Sweden")</f>
        <v>Sweden</v>
      </c>
      <c r="D15266">
        <f>IFERROR(__xludf.DUMMYFUNCTION("""COMPUTED_VALUE"""),2015.0)</f>
        <v>2015</v>
      </c>
      <c r="E15266">
        <f>IFERROR(__xludf.DUMMYFUNCTION("""COMPUTED_VALUE"""),9763565.0)</f>
        <v>9763565</v>
      </c>
    </row>
    <row r="15267">
      <c r="A15267" t="str">
        <f t="shared" si="1"/>
        <v>swe#2016</v>
      </c>
      <c r="B15267" t="str">
        <f>IFERROR(__xludf.DUMMYFUNCTION("""COMPUTED_VALUE"""),"swe")</f>
        <v>swe</v>
      </c>
      <c r="C15267" t="str">
        <f>IFERROR(__xludf.DUMMYFUNCTION("""COMPUTED_VALUE"""),"Sweden")</f>
        <v>Sweden</v>
      </c>
      <c r="D15267">
        <f>IFERROR(__xludf.DUMMYFUNCTION("""COMPUTED_VALUE"""),2016.0)</f>
        <v>2016</v>
      </c>
      <c r="E15267">
        <f>IFERROR(__xludf.DUMMYFUNCTION("""COMPUTED_VALUE"""),9837533.0)</f>
        <v>9837533</v>
      </c>
    </row>
    <row r="15268">
      <c r="A15268" t="str">
        <f t="shared" si="1"/>
        <v>swe#2017</v>
      </c>
      <c r="B15268" t="str">
        <f>IFERROR(__xludf.DUMMYFUNCTION("""COMPUTED_VALUE"""),"swe")</f>
        <v>swe</v>
      </c>
      <c r="C15268" t="str">
        <f>IFERROR(__xludf.DUMMYFUNCTION("""COMPUTED_VALUE"""),"Sweden")</f>
        <v>Sweden</v>
      </c>
      <c r="D15268">
        <f>IFERROR(__xludf.DUMMYFUNCTION("""COMPUTED_VALUE"""),2017.0)</f>
        <v>2017</v>
      </c>
      <c r="E15268">
        <f>IFERROR(__xludf.DUMMYFUNCTION("""COMPUTED_VALUE"""),9910701.0)</f>
        <v>9910701</v>
      </c>
    </row>
    <row r="15269">
      <c r="A15269" t="str">
        <f t="shared" si="1"/>
        <v>swe#2018</v>
      </c>
      <c r="B15269" t="str">
        <f>IFERROR(__xludf.DUMMYFUNCTION("""COMPUTED_VALUE"""),"swe")</f>
        <v>swe</v>
      </c>
      <c r="C15269" t="str">
        <f>IFERROR(__xludf.DUMMYFUNCTION("""COMPUTED_VALUE"""),"Sweden")</f>
        <v>Sweden</v>
      </c>
      <c r="D15269">
        <f>IFERROR(__xludf.DUMMYFUNCTION("""COMPUTED_VALUE"""),2018.0)</f>
        <v>2018</v>
      </c>
      <c r="E15269">
        <f>IFERROR(__xludf.DUMMYFUNCTION("""COMPUTED_VALUE"""),9982709.0)</f>
        <v>9982709</v>
      </c>
    </row>
    <row r="15270">
      <c r="A15270" t="str">
        <f t="shared" si="1"/>
        <v>swe#2019</v>
      </c>
      <c r="B15270" t="str">
        <f>IFERROR(__xludf.DUMMYFUNCTION("""COMPUTED_VALUE"""),"swe")</f>
        <v>swe</v>
      </c>
      <c r="C15270" t="str">
        <f>IFERROR(__xludf.DUMMYFUNCTION("""COMPUTED_VALUE"""),"Sweden")</f>
        <v>Sweden</v>
      </c>
      <c r="D15270">
        <f>IFERROR(__xludf.DUMMYFUNCTION("""COMPUTED_VALUE"""),2019.0)</f>
        <v>2019</v>
      </c>
      <c r="E15270">
        <f>IFERROR(__xludf.DUMMYFUNCTION("""COMPUTED_VALUE"""),1.0053135E7)</f>
        <v>10053135</v>
      </c>
    </row>
    <row r="15271">
      <c r="A15271" t="str">
        <f t="shared" si="1"/>
        <v>swe#2020</v>
      </c>
      <c r="B15271" t="str">
        <f>IFERROR(__xludf.DUMMYFUNCTION("""COMPUTED_VALUE"""),"swe")</f>
        <v>swe</v>
      </c>
      <c r="C15271" t="str">
        <f>IFERROR(__xludf.DUMMYFUNCTION("""COMPUTED_VALUE"""),"Sweden")</f>
        <v>Sweden</v>
      </c>
      <c r="D15271">
        <f>IFERROR(__xludf.DUMMYFUNCTION("""COMPUTED_VALUE"""),2020.0)</f>
        <v>2020</v>
      </c>
      <c r="E15271">
        <f>IFERROR(__xludf.DUMMYFUNCTION("""COMPUTED_VALUE"""),1.0121686E7)</f>
        <v>10121686</v>
      </c>
    </row>
    <row r="15272">
      <c r="A15272" t="str">
        <f t="shared" si="1"/>
        <v>swe#2021</v>
      </c>
      <c r="B15272" t="str">
        <f>IFERROR(__xludf.DUMMYFUNCTION("""COMPUTED_VALUE"""),"swe")</f>
        <v>swe</v>
      </c>
      <c r="C15272" t="str">
        <f>IFERROR(__xludf.DUMMYFUNCTION("""COMPUTED_VALUE"""),"Sweden")</f>
        <v>Sweden</v>
      </c>
      <c r="D15272">
        <f>IFERROR(__xludf.DUMMYFUNCTION("""COMPUTED_VALUE"""),2021.0)</f>
        <v>2021</v>
      </c>
      <c r="E15272">
        <f>IFERROR(__xludf.DUMMYFUNCTION("""COMPUTED_VALUE"""),1.0188119E7)</f>
        <v>10188119</v>
      </c>
    </row>
    <row r="15273">
      <c r="A15273" t="str">
        <f t="shared" si="1"/>
        <v>swe#2022</v>
      </c>
      <c r="B15273" t="str">
        <f>IFERROR(__xludf.DUMMYFUNCTION("""COMPUTED_VALUE"""),"swe")</f>
        <v>swe</v>
      </c>
      <c r="C15273" t="str">
        <f>IFERROR(__xludf.DUMMYFUNCTION("""COMPUTED_VALUE"""),"Sweden")</f>
        <v>Sweden</v>
      </c>
      <c r="D15273">
        <f>IFERROR(__xludf.DUMMYFUNCTION("""COMPUTED_VALUE"""),2022.0)</f>
        <v>2022</v>
      </c>
      <c r="E15273">
        <f>IFERROR(__xludf.DUMMYFUNCTION("""COMPUTED_VALUE"""),1.0252422E7)</f>
        <v>10252422</v>
      </c>
    </row>
    <row r="15274">
      <c r="A15274" t="str">
        <f t="shared" si="1"/>
        <v>swe#2023</v>
      </c>
      <c r="B15274" t="str">
        <f>IFERROR(__xludf.DUMMYFUNCTION("""COMPUTED_VALUE"""),"swe")</f>
        <v>swe</v>
      </c>
      <c r="C15274" t="str">
        <f>IFERROR(__xludf.DUMMYFUNCTION("""COMPUTED_VALUE"""),"Sweden")</f>
        <v>Sweden</v>
      </c>
      <c r="D15274">
        <f>IFERROR(__xludf.DUMMYFUNCTION("""COMPUTED_VALUE"""),2023.0)</f>
        <v>2023</v>
      </c>
      <c r="E15274">
        <f>IFERROR(__xludf.DUMMYFUNCTION("""COMPUTED_VALUE"""),1.0314825E7)</f>
        <v>10314825</v>
      </c>
    </row>
    <row r="15275">
      <c r="A15275" t="str">
        <f t="shared" si="1"/>
        <v>swe#2024</v>
      </c>
      <c r="B15275" t="str">
        <f>IFERROR(__xludf.DUMMYFUNCTION("""COMPUTED_VALUE"""),"swe")</f>
        <v>swe</v>
      </c>
      <c r="C15275" t="str">
        <f>IFERROR(__xludf.DUMMYFUNCTION("""COMPUTED_VALUE"""),"Sweden")</f>
        <v>Sweden</v>
      </c>
      <c r="D15275">
        <f>IFERROR(__xludf.DUMMYFUNCTION("""COMPUTED_VALUE"""),2024.0)</f>
        <v>2024</v>
      </c>
      <c r="E15275">
        <f>IFERROR(__xludf.DUMMYFUNCTION("""COMPUTED_VALUE"""),1.037571E7)</f>
        <v>10375710</v>
      </c>
    </row>
    <row r="15276">
      <c r="A15276" t="str">
        <f t="shared" si="1"/>
        <v>swe#2025</v>
      </c>
      <c r="B15276" t="str">
        <f>IFERROR(__xludf.DUMMYFUNCTION("""COMPUTED_VALUE"""),"swe")</f>
        <v>swe</v>
      </c>
      <c r="C15276" t="str">
        <f>IFERROR(__xludf.DUMMYFUNCTION("""COMPUTED_VALUE"""),"Sweden")</f>
        <v>Sweden</v>
      </c>
      <c r="D15276">
        <f>IFERROR(__xludf.DUMMYFUNCTION("""COMPUTED_VALUE"""),2025.0)</f>
        <v>2025</v>
      </c>
      <c r="E15276">
        <f>IFERROR(__xludf.DUMMYFUNCTION("""COMPUTED_VALUE"""),1.0435342E7)</f>
        <v>10435342</v>
      </c>
    </row>
    <row r="15277">
      <c r="A15277" t="str">
        <f t="shared" si="1"/>
        <v>swe#2026</v>
      </c>
      <c r="B15277" t="str">
        <f>IFERROR(__xludf.DUMMYFUNCTION("""COMPUTED_VALUE"""),"swe")</f>
        <v>swe</v>
      </c>
      <c r="C15277" t="str">
        <f>IFERROR(__xludf.DUMMYFUNCTION("""COMPUTED_VALUE"""),"Sweden")</f>
        <v>Sweden</v>
      </c>
      <c r="D15277">
        <f>IFERROR(__xludf.DUMMYFUNCTION("""COMPUTED_VALUE"""),2026.0)</f>
        <v>2026</v>
      </c>
      <c r="E15277">
        <f>IFERROR(__xludf.DUMMYFUNCTION("""COMPUTED_VALUE"""),1.0493845E7)</f>
        <v>10493845</v>
      </c>
    </row>
    <row r="15278">
      <c r="A15278" t="str">
        <f t="shared" si="1"/>
        <v>swe#2027</v>
      </c>
      <c r="B15278" t="str">
        <f>IFERROR(__xludf.DUMMYFUNCTION("""COMPUTED_VALUE"""),"swe")</f>
        <v>swe</v>
      </c>
      <c r="C15278" t="str">
        <f>IFERROR(__xludf.DUMMYFUNCTION("""COMPUTED_VALUE"""),"Sweden")</f>
        <v>Sweden</v>
      </c>
      <c r="D15278">
        <f>IFERROR(__xludf.DUMMYFUNCTION("""COMPUTED_VALUE"""),2027.0)</f>
        <v>2027</v>
      </c>
      <c r="E15278">
        <f>IFERROR(__xludf.DUMMYFUNCTION("""COMPUTED_VALUE"""),1.0551107E7)</f>
        <v>10551107</v>
      </c>
    </row>
    <row r="15279">
      <c r="A15279" t="str">
        <f t="shared" si="1"/>
        <v>swe#2028</v>
      </c>
      <c r="B15279" t="str">
        <f>IFERROR(__xludf.DUMMYFUNCTION("""COMPUTED_VALUE"""),"swe")</f>
        <v>swe</v>
      </c>
      <c r="C15279" t="str">
        <f>IFERROR(__xludf.DUMMYFUNCTION("""COMPUTED_VALUE"""),"Sweden")</f>
        <v>Sweden</v>
      </c>
      <c r="D15279">
        <f>IFERROR(__xludf.DUMMYFUNCTION("""COMPUTED_VALUE"""),2028.0)</f>
        <v>2028</v>
      </c>
      <c r="E15279">
        <f>IFERROR(__xludf.DUMMYFUNCTION("""COMPUTED_VALUE"""),1.060681E7)</f>
        <v>10606810</v>
      </c>
    </row>
    <row r="15280">
      <c r="A15280" t="str">
        <f t="shared" si="1"/>
        <v>swe#2029</v>
      </c>
      <c r="B15280" t="str">
        <f>IFERROR(__xludf.DUMMYFUNCTION("""COMPUTED_VALUE"""),"swe")</f>
        <v>swe</v>
      </c>
      <c r="C15280" t="str">
        <f>IFERROR(__xludf.DUMMYFUNCTION("""COMPUTED_VALUE"""),"Sweden")</f>
        <v>Sweden</v>
      </c>
      <c r="D15280">
        <f>IFERROR(__xludf.DUMMYFUNCTION("""COMPUTED_VALUE"""),2029.0)</f>
        <v>2029</v>
      </c>
      <c r="E15280">
        <f>IFERROR(__xludf.DUMMYFUNCTION("""COMPUTED_VALUE"""),1.0660539E7)</f>
        <v>10660539</v>
      </c>
    </row>
    <row r="15281">
      <c r="A15281" t="str">
        <f t="shared" si="1"/>
        <v>swe#2030</v>
      </c>
      <c r="B15281" t="str">
        <f>IFERROR(__xludf.DUMMYFUNCTION("""COMPUTED_VALUE"""),"swe")</f>
        <v>swe</v>
      </c>
      <c r="C15281" t="str">
        <f>IFERROR(__xludf.DUMMYFUNCTION("""COMPUTED_VALUE"""),"Sweden")</f>
        <v>Sweden</v>
      </c>
      <c r="D15281">
        <f>IFERROR(__xludf.DUMMYFUNCTION("""COMPUTED_VALUE"""),2030.0)</f>
        <v>2030</v>
      </c>
      <c r="E15281">
        <f>IFERROR(__xludf.DUMMYFUNCTION("""COMPUTED_VALUE"""),1.0712041E7)</f>
        <v>10712041</v>
      </c>
    </row>
    <row r="15282">
      <c r="A15282" t="str">
        <f t="shared" si="1"/>
        <v>swe#2031</v>
      </c>
      <c r="B15282" t="str">
        <f>IFERROR(__xludf.DUMMYFUNCTION("""COMPUTED_VALUE"""),"swe")</f>
        <v>swe</v>
      </c>
      <c r="C15282" t="str">
        <f>IFERROR(__xludf.DUMMYFUNCTION("""COMPUTED_VALUE"""),"Sweden")</f>
        <v>Sweden</v>
      </c>
      <c r="D15282">
        <f>IFERROR(__xludf.DUMMYFUNCTION("""COMPUTED_VALUE"""),2031.0)</f>
        <v>2031</v>
      </c>
      <c r="E15282">
        <f>IFERROR(__xludf.DUMMYFUNCTION("""COMPUTED_VALUE"""),1.0761291E7)</f>
        <v>10761291</v>
      </c>
    </row>
    <row r="15283">
      <c r="A15283" t="str">
        <f t="shared" si="1"/>
        <v>swe#2032</v>
      </c>
      <c r="B15283" t="str">
        <f>IFERROR(__xludf.DUMMYFUNCTION("""COMPUTED_VALUE"""),"swe")</f>
        <v>swe</v>
      </c>
      <c r="C15283" t="str">
        <f>IFERROR(__xludf.DUMMYFUNCTION("""COMPUTED_VALUE"""),"Sweden")</f>
        <v>Sweden</v>
      </c>
      <c r="D15283">
        <f>IFERROR(__xludf.DUMMYFUNCTION("""COMPUTED_VALUE"""),2032.0)</f>
        <v>2032</v>
      </c>
      <c r="E15283">
        <f>IFERROR(__xludf.DUMMYFUNCTION("""COMPUTED_VALUE"""),1.0808532E7)</f>
        <v>10808532</v>
      </c>
    </row>
    <row r="15284">
      <c r="A15284" t="str">
        <f t="shared" si="1"/>
        <v>swe#2033</v>
      </c>
      <c r="B15284" t="str">
        <f>IFERROR(__xludf.DUMMYFUNCTION("""COMPUTED_VALUE"""),"swe")</f>
        <v>swe</v>
      </c>
      <c r="C15284" t="str">
        <f>IFERROR(__xludf.DUMMYFUNCTION("""COMPUTED_VALUE"""),"Sweden")</f>
        <v>Sweden</v>
      </c>
      <c r="D15284">
        <f>IFERROR(__xludf.DUMMYFUNCTION("""COMPUTED_VALUE"""),2033.0)</f>
        <v>2033</v>
      </c>
      <c r="E15284">
        <f>IFERROR(__xludf.DUMMYFUNCTION("""COMPUTED_VALUE"""),1.0854142E7)</f>
        <v>10854142</v>
      </c>
    </row>
    <row r="15285">
      <c r="A15285" t="str">
        <f t="shared" si="1"/>
        <v>swe#2034</v>
      </c>
      <c r="B15285" t="str">
        <f>IFERROR(__xludf.DUMMYFUNCTION("""COMPUTED_VALUE"""),"swe")</f>
        <v>swe</v>
      </c>
      <c r="C15285" t="str">
        <f>IFERROR(__xludf.DUMMYFUNCTION("""COMPUTED_VALUE"""),"Sweden")</f>
        <v>Sweden</v>
      </c>
      <c r="D15285">
        <f>IFERROR(__xludf.DUMMYFUNCTION("""COMPUTED_VALUE"""),2034.0)</f>
        <v>2034</v>
      </c>
      <c r="E15285">
        <f>IFERROR(__xludf.DUMMYFUNCTION("""COMPUTED_VALUE"""),1.089863E7)</f>
        <v>10898630</v>
      </c>
    </row>
    <row r="15286">
      <c r="A15286" t="str">
        <f t="shared" si="1"/>
        <v>swe#2035</v>
      </c>
      <c r="B15286" t="str">
        <f>IFERROR(__xludf.DUMMYFUNCTION("""COMPUTED_VALUE"""),"swe")</f>
        <v>swe</v>
      </c>
      <c r="C15286" t="str">
        <f>IFERROR(__xludf.DUMMYFUNCTION("""COMPUTED_VALUE"""),"Sweden")</f>
        <v>Sweden</v>
      </c>
      <c r="D15286">
        <f>IFERROR(__xludf.DUMMYFUNCTION("""COMPUTED_VALUE"""),2035.0)</f>
        <v>2035</v>
      </c>
      <c r="E15286">
        <f>IFERROR(__xludf.DUMMYFUNCTION("""COMPUTED_VALUE"""),1.094247E7)</f>
        <v>10942470</v>
      </c>
    </row>
    <row r="15287">
      <c r="A15287" t="str">
        <f t="shared" si="1"/>
        <v>swe#2036</v>
      </c>
      <c r="B15287" t="str">
        <f>IFERROR(__xludf.DUMMYFUNCTION("""COMPUTED_VALUE"""),"swe")</f>
        <v>swe</v>
      </c>
      <c r="C15287" t="str">
        <f>IFERROR(__xludf.DUMMYFUNCTION("""COMPUTED_VALUE"""),"Sweden")</f>
        <v>Sweden</v>
      </c>
      <c r="D15287">
        <f>IFERROR(__xludf.DUMMYFUNCTION("""COMPUTED_VALUE"""),2036.0)</f>
        <v>2036</v>
      </c>
      <c r="E15287">
        <f>IFERROR(__xludf.DUMMYFUNCTION("""COMPUTED_VALUE"""),1.0985788E7)</f>
        <v>10985788</v>
      </c>
    </row>
    <row r="15288">
      <c r="A15288" t="str">
        <f t="shared" si="1"/>
        <v>swe#2037</v>
      </c>
      <c r="B15288" t="str">
        <f>IFERROR(__xludf.DUMMYFUNCTION("""COMPUTED_VALUE"""),"swe")</f>
        <v>swe</v>
      </c>
      <c r="C15288" t="str">
        <f>IFERROR(__xludf.DUMMYFUNCTION("""COMPUTED_VALUE"""),"Sweden")</f>
        <v>Sweden</v>
      </c>
      <c r="D15288">
        <f>IFERROR(__xludf.DUMMYFUNCTION("""COMPUTED_VALUE"""),2037.0)</f>
        <v>2037</v>
      </c>
      <c r="E15288">
        <f>IFERROR(__xludf.DUMMYFUNCTION("""COMPUTED_VALUE"""),1.1028687E7)</f>
        <v>11028687</v>
      </c>
    </row>
    <row r="15289">
      <c r="A15289" t="str">
        <f t="shared" si="1"/>
        <v>swe#2038</v>
      </c>
      <c r="B15289" t="str">
        <f>IFERROR(__xludf.DUMMYFUNCTION("""COMPUTED_VALUE"""),"swe")</f>
        <v>swe</v>
      </c>
      <c r="C15289" t="str">
        <f>IFERROR(__xludf.DUMMYFUNCTION("""COMPUTED_VALUE"""),"Sweden")</f>
        <v>Sweden</v>
      </c>
      <c r="D15289">
        <f>IFERROR(__xludf.DUMMYFUNCTION("""COMPUTED_VALUE"""),2038.0)</f>
        <v>2038</v>
      </c>
      <c r="E15289">
        <f>IFERROR(__xludf.DUMMYFUNCTION("""COMPUTED_VALUE"""),1.1071464E7)</f>
        <v>11071464</v>
      </c>
    </row>
    <row r="15290">
      <c r="A15290" t="str">
        <f t="shared" si="1"/>
        <v>swe#2039</v>
      </c>
      <c r="B15290" t="str">
        <f>IFERROR(__xludf.DUMMYFUNCTION("""COMPUTED_VALUE"""),"swe")</f>
        <v>swe</v>
      </c>
      <c r="C15290" t="str">
        <f>IFERROR(__xludf.DUMMYFUNCTION("""COMPUTED_VALUE"""),"Sweden")</f>
        <v>Sweden</v>
      </c>
      <c r="D15290">
        <f>IFERROR(__xludf.DUMMYFUNCTION("""COMPUTED_VALUE"""),2039.0)</f>
        <v>2039</v>
      </c>
      <c r="E15290">
        <f>IFERROR(__xludf.DUMMYFUNCTION("""COMPUTED_VALUE"""),1.1114443E7)</f>
        <v>11114443</v>
      </c>
    </row>
    <row r="15291">
      <c r="A15291" t="str">
        <f t="shared" si="1"/>
        <v>swe#2040</v>
      </c>
      <c r="B15291" t="str">
        <f>IFERROR(__xludf.DUMMYFUNCTION("""COMPUTED_VALUE"""),"swe")</f>
        <v>swe</v>
      </c>
      <c r="C15291" t="str">
        <f>IFERROR(__xludf.DUMMYFUNCTION("""COMPUTED_VALUE"""),"Sweden")</f>
        <v>Sweden</v>
      </c>
      <c r="D15291">
        <f>IFERROR(__xludf.DUMMYFUNCTION("""COMPUTED_VALUE"""),2040.0)</f>
        <v>2040</v>
      </c>
      <c r="E15291">
        <f>IFERROR(__xludf.DUMMYFUNCTION("""COMPUTED_VALUE"""),1.1157892E7)</f>
        <v>11157892</v>
      </c>
    </row>
    <row r="15292">
      <c r="A15292" t="str">
        <f t="shared" si="1"/>
        <v>che#1950</v>
      </c>
      <c r="B15292" t="str">
        <f>IFERROR(__xludf.DUMMYFUNCTION("""COMPUTED_VALUE"""),"che")</f>
        <v>che</v>
      </c>
      <c r="C15292" t="str">
        <f>IFERROR(__xludf.DUMMYFUNCTION("""COMPUTED_VALUE"""),"Switzerland")</f>
        <v>Switzerland</v>
      </c>
      <c r="D15292">
        <f>IFERROR(__xludf.DUMMYFUNCTION("""COMPUTED_VALUE"""),1950.0)</f>
        <v>1950</v>
      </c>
      <c r="E15292">
        <f>IFERROR(__xludf.DUMMYFUNCTION("""COMPUTED_VALUE"""),4668086.0)</f>
        <v>4668086</v>
      </c>
    </row>
    <row r="15293">
      <c r="A15293" t="str">
        <f t="shared" si="1"/>
        <v>che#1951</v>
      </c>
      <c r="B15293" t="str">
        <f>IFERROR(__xludf.DUMMYFUNCTION("""COMPUTED_VALUE"""),"che")</f>
        <v>che</v>
      </c>
      <c r="C15293" t="str">
        <f>IFERROR(__xludf.DUMMYFUNCTION("""COMPUTED_VALUE"""),"Switzerland")</f>
        <v>Switzerland</v>
      </c>
      <c r="D15293">
        <f>IFERROR(__xludf.DUMMYFUNCTION("""COMPUTED_VALUE"""),1951.0)</f>
        <v>1951</v>
      </c>
      <c r="E15293">
        <f>IFERROR(__xludf.DUMMYFUNCTION("""COMPUTED_VALUE"""),4726288.0)</f>
        <v>4726288</v>
      </c>
    </row>
    <row r="15294">
      <c r="A15294" t="str">
        <f t="shared" si="1"/>
        <v>che#1952</v>
      </c>
      <c r="B15294" t="str">
        <f>IFERROR(__xludf.DUMMYFUNCTION("""COMPUTED_VALUE"""),"che")</f>
        <v>che</v>
      </c>
      <c r="C15294" t="str">
        <f>IFERROR(__xludf.DUMMYFUNCTION("""COMPUTED_VALUE"""),"Switzerland")</f>
        <v>Switzerland</v>
      </c>
      <c r="D15294">
        <f>IFERROR(__xludf.DUMMYFUNCTION("""COMPUTED_VALUE"""),1952.0)</f>
        <v>1952</v>
      </c>
      <c r="E15294">
        <f>IFERROR(__xludf.DUMMYFUNCTION("""COMPUTED_VALUE"""),4788957.0)</f>
        <v>4788957</v>
      </c>
    </row>
    <row r="15295">
      <c r="A15295" t="str">
        <f t="shared" si="1"/>
        <v>che#1953</v>
      </c>
      <c r="B15295" t="str">
        <f>IFERROR(__xludf.DUMMYFUNCTION("""COMPUTED_VALUE"""),"che")</f>
        <v>che</v>
      </c>
      <c r="C15295" t="str">
        <f>IFERROR(__xludf.DUMMYFUNCTION("""COMPUTED_VALUE"""),"Switzerland")</f>
        <v>Switzerland</v>
      </c>
      <c r="D15295">
        <f>IFERROR(__xludf.DUMMYFUNCTION("""COMPUTED_VALUE"""),1953.0)</f>
        <v>1953</v>
      </c>
      <c r="E15295">
        <f>IFERROR(__xludf.DUMMYFUNCTION("""COMPUTED_VALUE"""),4851982.0)</f>
        <v>4851982</v>
      </c>
    </row>
    <row r="15296">
      <c r="A15296" t="str">
        <f t="shared" si="1"/>
        <v>che#1954</v>
      </c>
      <c r="B15296" t="str">
        <f>IFERROR(__xludf.DUMMYFUNCTION("""COMPUTED_VALUE"""),"che")</f>
        <v>che</v>
      </c>
      <c r="C15296" t="str">
        <f>IFERROR(__xludf.DUMMYFUNCTION("""COMPUTED_VALUE"""),"Switzerland")</f>
        <v>Switzerland</v>
      </c>
      <c r="D15296">
        <f>IFERROR(__xludf.DUMMYFUNCTION("""COMPUTED_VALUE"""),1954.0)</f>
        <v>1954</v>
      </c>
      <c r="E15296">
        <f>IFERROR(__xludf.DUMMYFUNCTION("""COMPUTED_VALUE"""),4912886.0)</f>
        <v>4912886</v>
      </c>
    </row>
    <row r="15297">
      <c r="A15297" t="str">
        <f t="shared" si="1"/>
        <v>che#1955</v>
      </c>
      <c r="B15297" t="str">
        <f>IFERROR(__xludf.DUMMYFUNCTION("""COMPUTED_VALUE"""),"che")</f>
        <v>che</v>
      </c>
      <c r="C15297" t="str">
        <f>IFERROR(__xludf.DUMMYFUNCTION("""COMPUTED_VALUE"""),"Switzerland")</f>
        <v>Switzerland</v>
      </c>
      <c r="D15297">
        <f>IFERROR(__xludf.DUMMYFUNCTION("""COMPUTED_VALUE"""),1955.0)</f>
        <v>1955</v>
      </c>
      <c r="E15297">
        <f>IFERROR(__xludf.DUMMYFUNCTION("""COMPUTED_VALUE"""),4970806.0)</f>
        <v>4970806</v>
      </c>
    </row>
    <row r="15298">
      <c r="A15298" t="str">
        <f t="shared" si="1"/>
        <v>che#1956</v>
      </c>
      <c r="B15298" t="str">
        <f>IFERROR(__xludf.DUMMYFUNCTION("""COMPUTED_VALUE"""),"che")</f>
        <v>che</v>
      </c>
      <c r="C15298" t="str">
        <f>IFERROR(__xludf.DUMMYFUNCTION("""COMPUTED_VALUE"""),"Switzerland")</f>
        <v>Switzerland</v>
      </c>
      <c r="D15298">
        <f>IFERROR(__xludf.DUMMYFUNCTION("""COMPUTED_VALUE"""),1956.0)</f>
        <v>1956</v>
      </c>
      <c r="E15298">
        <f>IFERROR(__xludf.DUMMYFUNCTION("""COMPUTED_VALUE"""),5026667.0)</f>
        <v>5026667</v>
      </c>
    </row>
    <row r="15299">
      <c r="A15299" t="str">
        <f t="shared" si="1"/>
        <v>che#1957</v>
      </c>
      <c r="B15299" t="str">
        <f>IFERROR(__xludf.DUMMYFUNCTION("""COMPUTED_VALUE"""),"che")</f>
        <v>che</v>
      </c>
      <c r="C15299" t="str">
        <f>IFERROR(__xludf.DUMMYFUNCTION("""COMPUTED_VALUE"""),"Switzerland")</f>
        <v>Switzerland</v>
      </c>
      <c r="D15299">
        <f>IFERROR(__xludf.DUMMYFUNCTION("""COMPUTED_VALUE"""),1957.0)</f>
        <v>1957</v>
      </c>
      <c r="E15299">
        <f>IFERROR(__xludf.DUMMYFUNCTION("""COMPUTED_VALUE"""),5082999.0)</f>
        <v>5082999</v>
      </c>
    </row>
    <row r="15300">
      <c r="A15300" t="str">
        <f t="shared" si="1"/>
        <v>che#1958</v>
      </c>
      <c r="B15300" t="str">
        <f>IFERROR(__xludf.DUMMYFUNCTION("""COMPUTED_VALUE"""),"che")</f>
        <v>che</v>
      </c>
      <c r="C15300" t="str">
        <f>IFERROR(__xludf.DUMMYFUNCTION("""COMPUTED_VALUE"""),"Switzerland")</f>
        <v>Switzerland</v>
      </c>
      <c r="D15300">
        <f>IFERROR(__xludf.DUMMYFUNCTION("""COMPUTED_VALUE"""),1958.0)</f>
        <v>1958</v>
      </c>
      <c r="E15300">
        <f>IFERROR(__xludf.DUMMYFUNCTION("""COMPUTED_VALUE"""),5143673.0)</f>
        <v>5143673</v>
      </c>
    </row>
    <row r="15301">
      <c r="A15301" t="str">
        <f t="shared" si="1"/>
        <v>che#1959</v>
      </c>
      <c r="B15301" t="str">
        <f>IFERROR(__xludf.DUMMYFUNCTION("""COMPUTED_VALUE"""),"che")</f>
        <v>che</v>
      </c>
      <c r="C15301" t="str">
        <f>IFERROR(__xludf.DUMMYFUNCTION("""COMPUTED_VALUE"""),"Switzerland")</f>
        <v>Switzerland</v>
      </c>
      <c r="D15301">
        <f>IFERROR(__xludf.DUMMYFUNCTION("""COMPUTED_VALUE"""),1959.0)</f>
        <v>1959</v>
      </c>
      <c r="E15301">
        <f>IFERROR(__xludf.DUMMYFUNCTION("""COMPUTED_VALUE"""),5213396.0)</f>
        <v>5213396</v>
      </c>
    </row>
    <row r="15302">
      <c r="A15302" t="str">
        <f t="shared" si="1"/>
        <v>che#1960</v>
      </c>
      <c r="B15302" t="str">
        <f>IFERROR(__xludf.DUMMYFUNCTION("""COMPUTED_VALUE"""),"che")</f>
        <v>che</v>
      </c>
      <c r="C15302" t="str">
        <f>IFERROR(__xludf.DUMMYFUNCTION("""COMPUTED_VALUE"""),"Switzerland")</f>
        <v>Switzerland</v>
      </c>
      <c r="D15302">
        <f>IFERROR(__xludf.DUMMYFUNCTION("""COMPUTED_VALUE"""),1960.0)</f>
        <v>1960</v>
      </c>
      <c r="E15302">
        <f>IFERROR(__xludf.DUMMYFUNCTION("""COMPUTED_VALUE"""),5296118.0)</f>
        <v>5296118</v>
      </c>
    </row>
    <row r="15303">
      <c r="A15303" t="str">
        <f t="shared" si="1"/>
        <v>che#1961</v>
      </c>
      <c r="B15303" t="str">
        <f>IFERROR(__xludf.DUMMYFUNCTION("""COMPUTED_VALUE"""),"che")</f>
        <v>che</v>
      </c>
      <c r="C15303" t="str">
        <f>IFERROR(__xludf.DUMMYFUNCTION("""COMPUTED_VALUE"""),"Switzerland")</f>
        <v>Switzerland</v>
      </c>
      <c r="D15303">
        <f>IFERROR(__xludf.DUMMYFUNCTION("""COMPUTED_VALUE"""),1961.0)</f>
        <v>1961</v>
      </c>
      <c r="E15303">
        <f>IFERROR(__xludf.DUMMYFUNCTION("""COMPUTED_VALUE"""),5393407.0)</f>
        <v>5393407</v>
      </c>
    </row>
    <row r="15304">
      <c r="A15304" t="str">
        <f t="shared" si="1"/>
        <v>che#1962</v>
      </c>
      <c r="B15304" t="str">
        <f>IFERROR(__xludf.DUMMYFUNCTION("""COMPUTED_VALUE"""),"che")</f>
        <v>che</v>
      </c>
      <c r="C15304" t="str">
        <f>IFERROR(__xludf.DUMMYFUNCTION("""COMPUTED_VALUE"""),"Switzerland")</f>
        <v>Switzerland</v>
      </c>
      <c r="D15304">
        <f>IFERROR(__xludf.DUMMYFUNCTION("""COMPUTED_VALUE"""),1962.0)</f>
        <v>1962</v>
      </c>
      <c r="E15304">
        <f>IFERROR(__xludf.DUMMYFUNCTION("""COMPUTED_VALUE"""),5502998.0)</f>
        <v>5502998</v>
      </c>
    </row>
    <row r="15305">
      <c r="A15305" t="str">
        <f t="shared" si="1"/>
        <v>che#1963</v>
      </c>
      <c r="B15305" t="str">
        <f>IFERROR(__xludf.DUMMYFUNCTION("""COMPUTED_VALUE"""),"che")</f>
        <v>che</v>
      </c>
      <c r="C15305" t="str">
        <f>IFERROR(__xludf.DUMMYFUNCTION("""COMPUTED_VALUE"""),"Switzerland")</f>
        <v>Switzerland</v>
      </c>
      <c r="D15305">
        <f>IFERROR(__xludf.DUMMYFUNCTION("""COMPUTED_VALUE"""),1963.0)</f>
        <v>1963</v>
      </c>
      <c r="E15305">
        <f>IFERROR(__xludf.DUMMYFUNCTION("""COMPUTED_VALUE"""),5618158.0)</f>
        <v>5618158</v>
      </c>
    </row>
    <row r="15306">
      <c r="A15306" t="str">
        <f t="shared" si="1"/>
        <v>che#1964</v>
      </c>
      <c r="B15306" t="str">
        <f>IFERROR(__xludf.DUMMYFUNCTION("""COMPUTED_VALUE"""),"che")</f>
        <v>che</v>
      </c>
      <c r="C15306" t="str">
        <f>IFERROR(__xludf.DUMMYFUNCTION("""COMPUTED_VALUE"""),"Switzerland")</f>
        <v>Switzerland</v>
      </c>
      <c r="D15306">
        <f>IFERROR(__xludf.DUMMYFUNCTION("""COMPUTED_VALUE"""),1964.0)</f>
        <v>1964</v>
      </c>
      <c r="E15306">
        <f>IFERROR(__xludf.DUMMYFUNCTION("""COMPUTED_VALUE"""),5729464.0)</f>
        <v>5729464</v>
      </c>
    </row>
    <row r="15307">
      <c r="A15307" t="str">
        <f t="shared" si="1"/>
        <v>che#1965</v>
      </c>
      <c r="B15307" t="str">
        <f>IFERROR(__xludf.DUMMYFUNCTION("""COMPUTED_VALUE"""),"che")</f>
        <v>che</v>
      </c>
      <c r="C15307" t="str">
        <f>IFERROR(__xludf.DUMMYFUNCTION("""COMPUTED_VALUE"""),"Switzerland")</f>
        <v>Switzerland</v>
      </c>
      <c r="D15307">
        <f>IFERROR(__xludf.DUMMYFUNCTION("""COMPUTED_VALUE"""),1965.0)</f>
        <v>1965</v>
      </c>
      <c r="E15307">
        <f>IFERROR(__xludf.DUMMYFUNCTION("""COMPUTED_VALUE"""),5829956.0)</f>
        <v>5829956</v>
      </c>
    </row>
    <row r="15308">
      <c r="A15308" t="str">
        <f t="shared" si="1"/>
        <v>che#1966</v>
      </c>
      <c r="B15308" t="str">
        <f>IFERROR(__xludf.DUMMYFUNCTION("""COMPUTED_VALUE"""),"che")</f>
        <v>che</v>
      </c>
      <c r="C15308" t="str">
        <f>IFERROR(__xludf.DUMMYFUNCTION("""COMPUTED_VALUE"""),"Switzerland")</f>
        <v>Switzerland</v>
      </c>
      <c r="D15308">
        <f>IFERROR(__xludf.DUMMYFUNCTION("""COMPUTED_VALUE"""),1966.0)</f>
        <v>1966</v>
      </c>
      <c r="E15308">
        <f>IFERROR(__xludf.DUMMYFUNCTION("""COMPUTED_VALUE"""),5916909.0)</f>
        <v>5916909</v>
      </c>
    </row>
    <row r="15309">
      <c r="A15309" t="str">
        <f t="shared" si="1"/>
        <v>che#1967</v>
      </c>
      <c r="B15309" t="str">
        <f>IFERROR(__xludf.DUMMYFUNCTION("""COMPUTED_VALUE"""),"che")</f>
        <v>che</v>
      </c>
      <c r="C15309" t="str">
        <f>IFERROR(__xludf.DUMMYFUNCTION("""COMPUTED_VALUE"""),"Switzerland")</f>
        <v>Switzerland</v>
      </c>
      <c r="D15309">
        <f>IFERROR(__xludf.DUMMYFUNCTION("""COMPUTED_VALUE"""),1967.0)</f>
        <v>1967</v>
      </c>
      <c r="E15309">
        <f>IFERROR(__xludf.DUMMYFUNCTION("""COMPUTED_VALUE"""),5991679.0)</f>
        <v>5991679</v>
      </c>
    </row>
    <row r="15310">
      <c r="A15310" t="str">
        <f t="shared" si="1"/>
        <v>che#1968</v>
      </c>
      <c r="B15310" t="str">
        <f>IFERROR(__xludf.DUMMYFUNCTION("""COMPUTED_VALUE"""),"che")</f>
        <v>che</v>
      </c>
      <c r="C15310" t="str">
        <f>IFERROR(__xludf.DUMMYFUNCTION("""COMPUTED_VALUE"""),"Switzerland")</f>
        <v>Switzerland</v>
      </c>
      <c r="D15310">
        <f>IFERROR(__xludf.DUMMYFUNCTION("""COMPUTED_VALUE"""),1968.0)</f>
        <v>1968</v>
      </c>
      <c r="E15310">
        <f>IFERROR(__xludf.DUMMYFUNCTION("""COMPUTED_VALUE"""),6056361.0)</f>
        <v>6056361</v>
      </c>
    </row>
    <row r="15311">
      <c r="A15311" t="str">
        <f t="shared" si="1"/>
        <v>che#1969</v>
      </c>
      <c r="B15311" t="str">
        <f>IFERROR(__xludf.DUMMYFUNCTION("""COMPUTED_VALUE"""),"che")</f>
        <v>che</v>
      </c>
      <c r="C15311" t="str">
        <f>IFERROR(__xludf.DUMMYFUNCTION("""COMPUTED_VALUE"""),"Switzerland")</f>
        <v>Switzerland</v>
      </c>
      <c r="D15311">
        <f>IFERROR(__xludf.DUMMYFUNCTION("""COMPUTED_VALUE"""),1969.0)</f>
        <v>1969</v>
      </c>
      <c r="E15311">
        <f>IFERROR(__xludf.DUMMYFUNCTION("""COMPUTED_VALUE"""),6114722.0)</f>
        <v>6114722</v>
      </c>
    </row>
    <row r="15312">
      <c r="A15312" t="str">
        <f t="shared" si="1"/>
        <v>che#1970</v>
      </c>
      <c r="B15312" t="str">
        <f>IFERROR(__xludf.DUMMYFUNCTION("""COMPUTED_VALUE"""),"che")</f>
        <v>che</v>
      </c>
      <c r="C15312" t="str">
        <f>IFERROR(__xludf.DUMMYFUNCTION("""COMPUTED_VALUE"""),"Switzerland")</f>
        <v>Switzerland</v>
      </c>
      <c r="D15312">
        <f>IFERROR(__xludf.DUMMYFUNCTION("""COMPUTED_VALUE"""),1970.0)</f>
        <v>1970</v>
      </c>
      <c r="E15312">
        <f>IFERROR(__xludf.DUMMYFUNCTION("""COMPUTED_VALUE"""),6169358.0)</f>
        <v>6169358</v>
      </c>
    </row>
    <row r="15313">
      <c r="A15313" t="str">
        <f t="shared" si="1"/>
        <v>che#1971</v>
      </c>
      <c r="B15313" t="str">
        <f>IFERROR(__xludf.DUMMYFUNCTION("""COMPUTED_VALUE"""),"che")</f>
        <v>che</v>
      </c>
      <c r="C15313" t="str">
        <f>IFERROR(__xludf.DUMMYFUNCTION("""COMPUTED_VALUE"""),"Switzerland")</f>
        <v>Switzerland</v>
      </c>
      <c r="D15313">
        <f>IFERROR(__xludf.DUMMYFUNCTION("""COMPUTED_VALUE"""),1971.0)</f>
        <v>1971</v>
      </c>
      <c r="E15313">
        <f>IFERROR(__xludf.DUMMYFUNCTION("""COMPUTED_VALUE"""),6221635.0)</f>
        <v>6221635</v>
      </c>
    </row>
    <row r="15314">
      <c r="A15314" t="str">
        <f t="shared" si="1"/>
        <v>che#1972</v>
      </c>
      <c r="B15314" t="str">
        <f>IFERROR(__xludf.DUMMYFUNCTION("""COMPUTED_VALUE"""),"che")</f>
        <v>che</v>
      </c>
      <c r="C15314" t="str">
        <f>IFERROR(__xludf.DUMMYFUNCTION("""COMPUTED_VALUE"""),"Switzerland")</f>
        <v>Switzerland</v>
      </c>
      <c r="D15314">
        <f>IFERROR(__xludf.DUMMYFUNCTION("""COMPUTED_VALUE"""),1972.0)</f>
        <v>1972</v>
      </c>
      <c r="E15314">
        <f>IFERROR(__xludf.DUMMYFUNCTION("""COMPUTED_VALUE"""),6270121.0)</f>
        <v>6270121</v>
      </c>
    </row>
    <row r="15315">
      <c r="A15315" t="str">
        <f t="shared" si="1"/>
        <v>che#1973</v>
      </c>
      <c r="B15315" t="str">
        <f>IFERROR(__xludf.DUMMYFUNCTION("""COMPUTED_VALUE"""),"che")</f>
        <v>che</v>
      </c>
      <c r="C15315" t="str">
        <f>IFERROR(__xludf.DUMMYFUNCTION("""COMPUTED_VALUE"""),"Switzerland")</f>
        <v>Switzerland</v>
      </c>
      <c r="D15315">
        <f>IFERROR(__xludf.DUMMYFUNCTION("""COMPUTED_VALUE"""),1973.0)</f>
        <v>1973</v>
      </c>
      <c r="E15315">
        <f>IFERROR(__xludf.DUMMYFUNCTION("""COMPUTED_VALUE"""),6311478.0)</f>
        <v>6311478</v>
      </c>
    </row>
    <row r="15316">
      <c r="A15316" t="str">
        <f t="shared" si="1"/>
        <v>che#1974</v>
      </c>
      <c r="B15316" t="str">
        <f>IFERROR(__xludf.DUMMYFUNCTION("""COMPUTED_VALUE"""),"che")</f>
        <v>che</v>
      </c>
      <c r="C15316" t="str">
        <f>IFERROR(__xludf.DUMMYFUNCTION("""COMPUTED_VALUE"""),"Switzerland")</f>
        <v>Switzerland</v>
      </c>
      <c r="D15316">
        <f>IFERROR(__xludf.DUMMYFUNCTION("""COMPUTED_VALUE"""),1974.0)</f>
        <v>1974</v>
      </c>
      <c r="E15316">
        <f>IFERROR(__xludf.DUMMYFUNCTION("""COMPUTED_VALUE"""),6341062.0)</f>
        <v>6341062</v>
      </c>
    </row>
    <row r="15317">
      <c r="A15317" t="str">
        <f t="shared" si="1"/>
        <v>che#1975</v>
      </c>
      <c r="B15317" t="str">
        <f>IFERROR(__xludf.DUMMYFUNCTION("""COMPUTED_VALUE"""),"che")</f>
        <v>che</v>
      </c>
      <c r="C15317" t="str">
        <f>IFERROR(__xludf.DUMMYFUNCTION("""COMPUTED_VALUE"""),"Switzerland")</f>
        <v>Switzerland</v>
      </c>
      <c r="D15317">
        <f>IFERROR(__xludf.DUMMYFUNCTION("""COMPUTED_VALUE"""),1975.0)</f>
        <v>1975</v>
      </c>
      <c r="E15317">
        <f>IFERROR(__xludf.DUMMYFUNCTION("""COMPUTED_VALUE"""),6356185.0)</f>
        <v>6356185</v>
      </c>
    </row>
    <row r="15318">
      <c r="A15318" t="str">
        <f t="shared" si="1"/>
        <v>che#1976</v>
      </c>
      <c r="B15318" t="str">
        <f>IFERROR(__xludf.DUMMYFUNCTION("""COMPUTED_VALUE"""),"che")</f>
        <v>che</v>
      </c>
      <c r="C15318" t="str">
        <f>IFERROR(__xludf.DUMMYFUNCTION("""COMPUTED_VALUE"""),"Switzerland")</f>
        <v>Switzerland</v>
      </c>
      <c r="D15318">
        <f>IFERROR(__xludf.DUMMYFUNCTION("""COMPUTED_VALUE"""),1976.0)</f>
        <v>1976</v>
      </c>
      <c r="E15318">
        <f>IFERROR(__xludf.DUMMYFUNCTION("""COMPUTED_VALUE"""),6355230.0)</f>
        <v>6355230</v>
      </c>
    </row>
    <row r="15319">
      <c r="A15319" t="str">
        <f t="shared" si="1"/>
        <v>che#1977</v>
      </c>
      <c r="B15319" t="str">
        <f>IFERROR(__xludf.DUMMYFUNCTION("""COMPUTED_VALUE"""),"che")</f>
        <v>che</v>
      </c>
      <c r="C15319" t="str">
        <f>IFERROR(__xludf.DUMMYFUNCTION("""COMPUTED_VALUE"""),"Switzerland")</f>
        <v>Switzerland</v>
      </c>
      <c r="D15319">
        <f>IFERROR(__xludf.DUMMYFUNCTION("""COMPUTED_VALUE"""),1977.0)</f>
        <v>1977</v>
      </c>
      <c r="E15319">
        <f>IFERROR(__xludf.DUMMYFUNCTION("""COMPUTED_VALUE"""),6341181.0)</f>
        <v>6341181</v>
      </c>
    </row>
    <row r="15320">
      <c r="A15320" t="str">
        <f t="shared" si="1"/>
        <v>che#1978</v>
      </c>
      <c r="B15320" t="str">
        <f>IFERROR(__xludf.DUMMYFUNCTION("""COMPUTED_VALUE"""),"che")</f>
        <v>che</v>
      </c>
      <c r="C15320" t="str">
        <f>IFERROR(__xludf.DUMMYFUNCTION("""COMPUTED_VALUE"""),"Switzerland")</f>
        <v>Switzerland</v>
      </c>
      <c r="D15320">
        <f>IFERROR(__xludf.DUMMYFUNCTION("""COMPUTED_VALUE"""),1978.0)</f>
        <v>1978</v>
      </c>
      <c r="E15320">
        <f>IFERROR(__xludf.DUMMYFUNCTION("""COMPUTED_VALUE"""),6321535.0)</f>
        <v>6321535</v>
      </c>
    </row>
    <row r="15321">
      <c r="A15321" t="str">
        <f t="shared" si="1"/>
        <v>che#1979</v>
      </c>
      <c r="B15321" t="str">
        <f>IFERROR(__xludf.DUMMYFUNCTION("""COMPUTED_VALUE"""),"che")</f>
        <v>che</v>
      </c>
      <c r="C15321" t="str">
        <f>IFERROR(__xludf.DUMMYFUNCTION("""COMPUTED_VALUE"""),"Switzerland")</f>
        <v>Switzerland</v>
      </c>
      <c r="D15321">
        <f>IFERROR(__xludf.DUMMYFUNCTION("""COMPUTED_VALUE"""),1979.0)</f>
        <v>1979</v>
      </c>
      <c r="E15321">
        <f>IFERROR(__xludf.DUMMYFUNCTION("""COMPUTED_VALUE"""),6306539.0)</f>
        <v>6306539</v>
      </c>
    </row>
    <row r="15322">
      <c r="A15322" t="str">
        <f t="shared" si="1"/>
        <v>che#1980</v>
      </c>
      <c r="B15322" t="str">
        <f>IFERROR(__xludf.DUMMYFUNCTION("""COMPUTED_VALUE"""),"che")</f>
        <v>che</v>
      </c>
      <c r="C15322" t="str">
        <f>IFERROR(__xludf.DUMMYFUNCTION("""COMPUTED_VALUE"""),"Switzerland")</f>
        <v>Switzerland</v>
      </c>
      <c r="D15322">
        <f>IFERROR(__xludf.DUMMYFUNCTION("""COMPUTED_VALUE"""),1980.0)</f>
        <v>1980</v>
      </c>
      <c r="E15322">
        <f>IFERROR(__xludf.DUMMYFUNCTION("""COMPUTED_VALUE"""),6303610.0)</f>
        <v>6303610</v>
      </c>
    </row>
    <row r="15323">
      <c r="A15323" t="str">
        <f t="shared" si="1"/>
        <v>che#1981</v>
      </c>
      <c r="B15323" t="str">
        <f>IFERROR(__xludf.DUMMYFUNCTION("""COMPUTED_VALUE"""),"che")</f>
        <v>che</v>
      </c>
      <c r="C15323" t="str">
        <f>IFERROR(__xludf.DUMMYFUNCTION("""COMPUTED_VALUE"""),"Switzerland")</f>
        <v>Switzerland</v>
      </c>
      <c r="D15323">
        <f>IFERROR(__xludf.DUMMYFUNCTION("""COMPUTED_VALUE"""),1981.0)</f>
        <v>1981</v>
      </c>
      <c r="E15323">
        <f>IFERROR(__xludf.DUMMYFUNCTION("""COMPUTED_VALUE"""),6315881.0)</f>
        <v>6315881</v>
      </c>
    </row>
    <row r="15324">
      <c r="A15324" t="str">
        <f t="shared" si="1"/>
        <v>che#1982</v>
      </c>
      <c r="B15324" t="str">
        <f>IFERROR(__xludf.DUMMYFUNCTION("""COMPUTED_VALUE"""),"che")</f>
        <v>che</v>
      </c>
      <c r="C15324" t="str">
        <f>IFERROR(__xludf.DUMMYFUNCTION("""COMPUTED_VALUE"""),"Switzerland")</f>
        <v>Switzerland</v>
      </c>
      <c r="D15324">
        <f>IFERROR(__xludf.DUMMYFUNCTION("""COMPUTED_VALUE"""),1982.0)</f>
        <v>1982</v>
      </c>
      <c r="E15324">
        <f>IFERROR(__xludf.DUMMYFUNCTION("""COMPUTED_VALUE"""),6341548.0)</f>
        <v>6341548</v>
      </c>
    </row>
    <row r="15325">
      <c r="A15325" t="str">
        <f t="shared" si="1"/>
        <v>che#1983</v>
      </c>
      <c r="B15325" t="str">
        <f>IFERROR(__xludf.DUMMYFUNCTION("""COMPUTED_VALUE"""),"che")</f>
        <v>che</v>
      </c>
      <c r="C15325" t="str">
        <f>IFERROR(__xludf.DUMMYFUNCTION("""COMPUTED_VALUE"""),"Switzerland")</f>
        <v>Switzerland</v>
      </c>
      <c r="D15325">
        <f>IFERROR(__xludf.DUMMYFUNCTION("""COMPUTED_VALUE"""),1983.0)</f>
        <v>1983</v>
      </c>
      <c r="E15325">
        <f>IFERROR(__xludf.DUMMYFUNCTION("""COMPUTED_VALUE"""),6377095.0)</f>
        <v>6377095</v>
      </c>
    </row>
    <row r="15326">
      <c r="A15326" t="str">
        <f t="shared" si="1"/>
        <v>che#1984</v>
      </c>
      <c r="B15326" t="str">
        <f>IFERROR(__xludf.DUMMYFUNCTION("""COMPUTED_VALUE"""),"che")</f>
        <v>che</v>
      </c>
      <c r="C15326" t="str">
        <f>IFERROR(__xludf.DUMMYFUNCTION("""COMPUTED_VALUE"""),"Switzerland")</f>
        <v>Switzerland</v>
      </c>
      <c r="D15326">
        <f>IFERROR(__xludf.DUMMYFUNCTION("""COMPUTED_VALUE"""),1984.0)</f>
        <v>1984</v>
      </c>
      <c r="E15326">
        <f>IFERROR(__xludf.DUMMYFUNCTION("""COMPUTED_VALUE"""),6416705.0)</f>
        <v>6416705</v>
      </c>
    </row>
    <row r="15327">
      <c r="A15327" t="str">
        <f t="shared" si="1"/>
        <v>che#1985</v>
      </c>
      <c r="B15327" t="str">
        <f>IFERROR(__xludf.DUMMYFUNCTION("""COMPUTED_VALUE"""),"che")</f>
        <v>che</v>
      </c>
      <c r="C15327" t="str">
        <f>IFERROR(__xludf.DUMMYFUNCTION("""COMPUTED_VALUE"""),"Switzerland")</f>
        <v>Switzerland</v>
      </c>
      <c r="D15327">
        <f>IFERROR(__xludf.DUMMYFUNCTION("""COMPUTED_VALUE"""),1985.0)</f>
        <v>1985</v>
      </c>
      <c r="E15327">
        <f>IFERROR(__xludf.DUMMYFUNCTION("""COMPUTED_VALUE"""),6456224.0)</f>
        <v>6456224</v>
      </c>
    </row>
    <row r="15328">
      <c r="A15328" t="str">
        <f t="shared" si="1"/>
        <v>che#1986</v>
      </c>
      <c r="B15328" t="str">
        <f>IFERROR(__xludf.DUMMYFUNCTION("""COMPUTED_VALUE"""),"che")</f>
        <v>che</v>
      </c>
      <c r="C15328" t="str">
        <f>IFERROR(__xludf.DUMMYFUNCTION("""COMPUTED_VALUE"""),"Switzerland")</f>
        <v>Switzerland</v>
      </c>
      <c r="D15328">
        <f>IFERROR(__xludf.DUMMYFUNCTION("""COMPUTED_VALUE"""),1986.0)</f>
        <v>1986</v>
      </c>
      <c r="E15328">
        <f>IFERROR(__xludf.DUMMYFUNCTION("""COMPUTED_VALUE"""),6494086.0)</f>
        <v>6494086</v>
      </c>
    </row>
    <row r="15329">
      <c r="A15329" t="str">
        <f t="shared" si="1"/>
        <v>che#1987</v>
      </c>
      <c r="B15329" t="str">
        <f>IFERROR(__xludf.DUMMYFUNCTION("""COMPUTED_VALUE"""),"che")</f>
        <v>che</v>
      </c>
      <c r="C15329" t="str">
        <f>IFERROR(__xludf.DUMMYFUNCTION("""COMPUTED_VALUE"""),"Switzerland")</f>
        <v>Switzerland</v>
      </c>
      <c r="D15329">
        <f>IFERROR(__xludf.DUMMYFUNCTION("""COMPUTED_VALUE"""),1987.0)</f>
        <v>1987</v>
      </c>
      <c r="E15329">
        <f>IFERROR(__xludf.DUMMYFUNCTION("""COMPUTED_VALUE"""),6531889.0)</f>
        <v>6531889</v>
      </c>
    </row>
    <row r="15330">
      <c r="A15330" t="str">
        <f t="shared" si="1"/>
        <v>che#1988</v>
      </c>
      <c r="B15330" t="str">
        <f>IFERROR(__xludf.DUMMYFUNCTION("""COMPUTED_VALUE"""),"che")</f>
        <v>che</v>
      </c>
      <c r="C15330" t="str">
        <f>IFERROR(__xludf.DUMMYFUNCTION("""COMPUTED_VALUE"""),"Switzerland")</f>
        <v>Switzerland</v>
      </c>
      <c r="D15330">
        <f>IFERROR(__xludf.DUMMYFUNCTION("""COMPUTED_VALUE"""),1988.0)</f>
        <v>1988</v>
      </c>
      <c r="E15330">
        <f>IFERROR(__xludf.DUMMYFUNCTION("""COMPUTED_VALUE"""),6572266.0)</f>
        <v>6572266</v>
      </c>
    </row>
    <row r="15331">
      <c r="A15331" t="str">
        <f t="shared" si="1"/>
        <v>che#1989</v>
      </c>
      <c r="B15331" t="str">
        <f>IFERROR(__xludf.DUMMYFUNCTION("""COMPUTED_VALUE"""),"che")</f>
        <v>che</v>
      </c>
      <c r="C15331" t="str">
        <f>IFERROR(__xludf.DUMMYFUNCTION("""COMPUTED_VALUE"""),"Switzerland")</f>
        <v>Switzerland</v>
      </c>
      <c r="D15331">
        <f>IFERROR(__xludf.DUMMYFUNCTION("""COMPUTED_VALUE"""),1989.0)</f>
        <v>1989</v>
      </c>
      <c r="E15331">
        <f>IFERROR(__xludf.DUMMYFUNCTION("""COMPUTED_VALUE"""),6619155.0)</f>
        <v>6619155</v>
      </c>
    </row>
    <row r="15332">
      <c r="A15332" t="str">
        <f t="shared" si="1"/>
        <v>che#1990</v>
      </c>
      <c r="B15332" t="str">
        <f>IFERROR(__xludf.DUMMYFUNCTION("""COMPUTED_VALUE"""),"che")</f>
        <v>che</v>
      </c>
      <c r="C15332" t="str">
        <f>IFERROR(__xludf.DUMMYFUNCTION("""COMPUTED_VALUE"""),"Switzerland")</f>
        <v>Switzerland</v>
      </c>
      <c r="D15332">
        <f>IFERROR(__xludf.DUMMYFUNCTION("""COMPUTED_VALUE"""),1990.0)</f>
        <v>1990</v>
      </c>
      <c r="E15332">
        <f>IFERROR(__xludf.DUMMYFUNCTION("""COMPUTED_VALUE"""),6674890.0)</f>
        <v>6674890</v>
      </c>
    </row>
    <row r="15333">
      <c r="A15333" t="str">
        <f t="shared" si="1"/>
        <v>che#1991</v>
      </c>
      <c r="B15333" t="str">
        <f>IFERROR(__xludf.DUMMYFUNCTION("""COMPUTED_VALUE"""),"che")</f>
        <v>che</v>
      </c>
      <c r="C15333" t="str">
        <f>IFERROR(__xludf.DUMMYFUNCTION("""COMPUTED_VALUE"""),"Switzerland")</f>
        <v>Switzerland</v>
      </c>
      <c r="D15333">
        <f>IFERROR(__xludf.DUMMYFUNCTION("""COMPUTED_VALUE"""),1991.0)</f>
        <v>1991</v>
      </c>
      <c r="E15333">
        <f>IFERROR(__xludf.DUMMYFUNCTION("""COMPUTED_VALUE"""),6741069.0)</f>
        <v>6741069</v>
      </c>
    </row>
    <row r="15334">
      <c r="A15334" t="str">
        <f t="shared" si="1"/>
        <v>che#1992</v>
      </c>
      <c r="B15334" t="str">
        <f>IFERROR(__xludf.DUMMYFUNCTION("""COMPUTED_VALUE"""),"che")</f>
        <v>che</v>
      </c>
      <c r="C15334" t="str">
        <f>IFERROR(__xludf.DUMMYFUNCTION("""COMPUTED_VALUE"""),"Switzerland")</f>
        <v>Switzerland</v>
      </c>
      <c r="D15334">
        <f>IFERROR(__xludf.DUMMYFUNCTION("""COMPUTED_VALUE"""),1992.0)</f>
        <v>1992</v>
      </c>
      <c r="E15334">
        <f>IFERROR(__xludf.DUMMYFUNCTION("""COMPUTED_VALUE"""),6815376.0)</f>
        <v>6815376</v>
      </c>
    </row>
    <row r="15335">
      <c r="A15335" t="str">
        <f t="shared" si="1"/>
        <v>che#1993</v>
      </c>
      <c r="B15335" t="str">
        <f>IFERROR(__xludf.DUMMYFUNCTION("""COMPUTED_VALUE"""),"che")</f>
        <v>che</v>
      </c>
      <c r="C15335" t="str">
        <f>IFERROR(__xludf.DUMMYFUNCTION("""COMPUTED_VALUE"""),"Switzerland")</f>
        <v>Switzerland</v>
      </c>
      <c r="D15335">
        <f>IFERROR(__xludf.DUMMYFUNCTION("""COMPUTED_VALUE"""),1993.0)</f>
        <v>1993</v>
      </c>
      <c r="E15335">
        <f>IFERROR(__xludf.DUMMYFUNCTION("""COMPUTED_VALUE"""),6891600.0)</f>
        <v>6891600</v>
      </c>
    </row>
    <row r="15336">
      <c r="A15336" t="str">
        <f t="shared" si="1"/>
        <v>che#1994</v>
      </c>
      <c r="B15336" t="str">
        <f>IFERROR(__xludf.DUMMYFUNCTION("""COMPUTED_VALUE"""),"che")</f>
        <v>che</v>
      </c>
      <c r="C15336" t="str">
        <f>IFERROR(__xludf.DUMMYFUNCTION("""COMPUTED_VALUE"""),"Switzerland")</f>
        <v>Switzerland</v>
      </c>
      <c r="D15336">
        <f>IFERROR(__xludf.DUMMYFUNCTION("""COMPUTED_VALUE"""),1994.0)</f>
        <v>1994</v>
      </c>
      <c r="E15336">
        <f>IFERROR(__xludf.DUMMYFUNCTION("""COMPUTED_VALUE"""),6961263.0)</f>
        <v>6961263</v>
      </c>
    </row>
    <row r="15337">
      <c r="A15337" t="str">
        <f t="shared" si="1"/>
        <v>che#1995</v>
      </c>
      <c r="B15337" t="str">
        <f>IFERROR(__xludf.DUMMYFUNCTION("""COMPUTED_VALUE"""),"che")</f>
        <v>che</v>
      </c>
      <c r="C15337" t="str">
        <f>IFERROR(__xludf.DUMMYFUNCTION("""COMPUTED_VALUE"""),"Switzerland")</f>
        <v>Switzerland</v>
      </c>
      <c r="D15337">
        <f>IFERROR(__xludf.DUMMYFUNCTION("""COMPUTED_VALUE"""),1995.0)</f>
        <v>1995</v>
      </c>
      <c r="E15337">
        <f>IFERROR(__xludf.DUMMYFUNCTION("""COMPUTED_VALUE"""),7018525.0)</f>
        <v>7018525</v>
      </c>
    </row>
    <row r="15338">
      <c r="A15338" t="str">
        <f t="shared" si="1"/>
        <v>che#1996</v>
      </c>
      <c r="B15338" t="str">
        <f>IFERROR(__xludf.DUMMYFUNCTION("""COMPUTED_VALUE"""),"che")</f>
        <v>che</v>
      </c>
      <c r="C15338" t="str">
        <f>IFERROR(__xludf.DUMMYFUNCTION("""COMPUTED_VALUE"""),"Switzerland")</f>
        <v>Switzerland</v>
      </c>
      <c r="D15338">
        <f>IFERROR(__xludf.DUMMYFUNCTION("""COMPUTED_VALUE"""),1996.0)</f>
        <v>1996</v>
      </c>
      <c r="E15338">
        <f>IFERROR(__xludf.DUMMYFUNCTION("""COMPUTED_VALUE"""),7061173.0)</f>
        <v>7061173</v>
      </c>
    </row>
    <row r="15339">
      <c r="A15339" t="str">
        <f t="shared" si="1"/>
        <v>che#1997</v>
      </c>
      <c r="B15339" t="str">
        <f>IFERROR(__xludf.DUMMYFUNCTION("""COMPUTED_VALUE"""),"che")</f>
        <v>che</v>
      </c>
      <c r="C15339" t="str">
        <f>IFERROR(__xludf.DUMMYFUNCTION("""COMPUTED_VALUE"""),"Switzerland")</f>
        <v>Switzerland</v>
      </c>
      <c r="D15339">
        <f>IFERROR(__xludf.DUMMYFUNCTION("""COMPUTED_VALUE"""),1997.0)</f>
        <v>1997</v>
      </c>
      <c r="E15339">
        <f>IFERROR(__xludf.DUMMYFUNCTION("""COMPUTED_VALUE"""),7091765.0)</f>
        <v>7091765</v>
      </c>
    </row>
    <row r="15340">
      <c r="A15340" t="str">
        <f t="shared" si="1"/>
        <v>che#1998</v>
      </c>
      <c r="B15340" t="str">
        <f>IFERROR(__xludf.DUMMYFUNCTION("""COMPUTED_VALUE"""),"che")</f>
        <v>che</v>
      </c>
      <c r="C15340" t="str">
        <f>IFERROR(__xludf.DUMMYFUNCTION("""COMPUTED_VALUE"""),"Switzerland")</f>
        <v>Switzerland</v>
      </c>
      <c r="D15340">
        <f>IFERROR(__xludf.DUMMYFUNCTION("""COMPUTED_VALUE"""),1998.0)</f>
        <v>1998</v>
      </c>
      <c r="E15340">
        <f>IFERROR(__xludf.DUMMYFUNCTION("""COMPUTED_VALUE"""),7115127.0)</f>
        <v>7115127</v>
      </c>
    </row>
    <row r="15341">
      <c r="A15341" t="str">
        <f t="shared" si="1"/>
        <v>che#1999</v>
      </c>
      <c r="B15341" t="str">
        <f>IFERROR(__xludf.DUMMYFUNCTION("""COMPUTED_VALUE"""),"che")</f>
        <v>che</v>
      </c>
      <c r="C15341" t="str">
        <f>IFERROR(__xludf.DUMMYFUNCTION("""COMPUTED_VALUE"""),"Switzerland")</f>
        <v>Switzerland</v>
      </c>
      <c r="D15341">
        <f>IFERROR(__xludf.DUMMYFUNCTION("""COMPUTED_VALUE"""),1999.0)</f>
        <v>1999</v>
      </c>
      <c r="E15341">
        <f>IFERROR(__xludf.DUMMYFUNCTION("""COMPUTED_VALUE"""),7138464.0)</f>
        <v>7138464</v>
      </c>
    </row>
    <row r="15342">
      <c r="A15342" t="str">
        <f t="shared" si="1"/>
        <v>che#2000</v>
      </c>
      <c r="B15342" t="str">
        <f>IFERROR(__xludf.DUMMYFUNCTION("""COMPUTED_VALUE"""),"che")</f>
        <v>che</v>
      </c>
      <c r="C15342" t="str">
        <f>IFERROR(__xludf.DUMMYFUNCTION("""COMPUTED_VALUE"""),"Switzerland")</f>
        <v>Switzerland</v>
      </c>
      <c r="D15342">
        <f>IFERROR(__xludf.DUMMYFUNCTION("""COMPUTED_VALUE"""),2000.0)</f>
        <v>2000</v>
      </c>
      <c r="E15342">
        <f>IFERROR(__xludf.DUMMYFUNCTION("""COMPUTED_VALUE"""),7167250.0)</f>
        <v>7167250</v>
      </c>
    </row>
    <row r="15343">
      <c r="A15343" t="str">
        <f t="shared" si="1"/>
        <v>che#2001</v>
      </c>
      <c r="B15343" t="str">
        <f>IFERROR(__xludf.DUMMYFUNCTION("""COMPUTED_VALUE"""),"che")</f>
        <v>che</v>
      </c>
      <c r="C15343" t="str">
        <f>IFERROR(__xludf.DUMMYFUNCTION("""COMPUTED_VALUE"""),"Switzerland")</f>
        <v>Switzerland</v>
      </c>
      <c r="D15343">
        <f>IFERROR(__xludf.DUMMYFUNCTION("""COMPUTED_VALUE"""),2001.0)</f>
        <v>2001</v>
      </c>
      <c r="E15343">
        <f>IFERROR(__xludf.DUMMYFUNCTION("""COMPUTED_VALUE"""),7202685.0)</f>
        <v>7202685</v>
      </c>
    </row>
    <row r="15344">
      <c r="A15344" t="str">
        <f t="shared" si="1"/>
        <v>che#2002</v>
      </c>
      <c r="B15344" t="str">
        <f>IFERROR(__xludf.DUMMYFUNCTION("""COMPUTED_VALUE"""),"che")</f>
        <v>che</v>
      </c>
      <c r="C15344" t="str">
        <f>IFERROR(__xludf.DUMMYFUNCTION("""COMPUTED_VALUE"""),"Switzerland")</f>
        <v>Switzerland</v>
      </c>
      <c r="D15344">
        <f>IFERROR(__xludf.DUMMYFUNCTION("""COMPUTED_VALUE"""),2002.0)</f>
        <v>2002</v>
      </c>
      <c r="E15344">
        <f>IFERROR(__xludf.DUMMYFUNCTION("""COMPUTED_VALUE"""),7243914.0)</f>
        <v>7243914</v>
      </c>
    </row>
    <row r="15345">
      <c r="A15345" t="str">
        <f t="shared" si="1"/>
        <v>che#2003</v>
      </c>
      <c r="B15345" t="str">
        <f>IFERROR(__xludf.DUMMYFUNCTION("""COMPUTED_VALUE"""),"che")</f>
        <v>che</v>
      </c>
      <c r="C15345" t="str">
        <f>IFERROR(__xludf.DUMMYFUNCTION("""COMPUTED_VALUE"""),"Switzerland")</f>
        <v>Switzerland</v>
      </c>
      <c r="D15345">
        <f>IFERROR(__xludf.DUMMYFUNCTION("""COMPUTED_VALUE"""),2003.0)</f>
        <v>2003</v>
      </c>
      <c r="E15345">
        <f>IFERROR(__xludf.DUMMYFUNCTION("""COMPUTED_VALUE"""),7291893.0)</f>
        <v>7291893</v>
      </c>
    </row>
    <row r="15346">
      <c r="A15346" t="str">
        <f t="shared" si="1"/>
        <v>che#2004</v>
      </c>
      <c r="B15346" t="str">
        <f>IFERROR(__xludf.DUMMYFUNCTION("""COMPUTED_VALUE"""),"che")</f>
        <v>che</v>
      </c>
      <c r="C15346" t="str">
        <f>IFERROR(__xludf.DUMMYFUNCTION("""COMPUTED_VALUE"""),"Switzerland")</f>
        <v>Switzerland</v>
      </c>
      <c r="D15346">
        <f>IFERROR(__xludf.DUMMYFUNCTION("""COMPUTED_VALUE"""),2004.0)</f>
        <v>2004</v>
      </c>
      <c r="E15346">
        <f>IFERROR(__xludf.DUMMYFUNCTION("""COMPUTED_VALUE"""),7347247.0)</f>
        <v>7347247</v>
      </c>
    </row>
    <row r="15347">
      <c r="A15347" t="str">
        <f t="shared" si="1"/>
        <v>che#2005</v>
      </c>
      <c r="B15347" t="str">
        <f>IFERROR(__xludf.DUMMYFUNCTION("""COMPUTED_VALUE"""),"che")</f>
        <v>che</v>
      </c>
      <c r="C15347" t="str">
        <f>IFERROR(__xludf.DUMMYFUNCTION("""COMPUTED_VALUE"""),"Switzerland")</f>
        <v>Switzerland</v>
      </c>
      <c r="D15347">
        <f>IFERROR(__xludf.DUMMYFUNCTION("""COMPUTED_VALUE"""),2005.0)</f>
        <v>2005</v>
      </c>
      <c r="E15347">
        <f>IFERROR(__xludf.DUMMYFUNCTION("""COMPUTED_VALUE"""),7410308.0)</f>
        <v>7410308</v>
      </c>
    </row>
    <row r="15348">
      <c r="A15348" t="str">
        <f t="shared" si="1"/>
        <v>che#2006</v>
      </c>
      <c r="B15348" t="str">
        <f>IFERROR(__xludf.DUMMYFUNCTION("""COMPUTED_VALUE"""),"che")</f>
        <v>che</v>
      </c>
      <c r="C15348" t="str">
        <f>IFERROR(__xludf.DUMMYFUNCTION("""COMPUTED_VALUE"""),"Switzerland")</f>
        <v>Switzerland</v>
      </c>
      <c r="D15348">
        <f>IFERROR(__xludf.DUMMYFUNCTION("""COMPUTED_VALUE"""),2006.0)</f>
        <v>2006</v>
      </c>
      <c r="E15348">
        <f>IFERROR(__xludf.DUMMYFUNCTION("""COMPUTED_VALUE"""),7481407.0)</f>
        <v>7481407</v>
      </c>
    </row>
    <row r="15349">
      <c r="A15349" t="str">
        <f t="shared" si="1"/>
        <v>che#2007</v>
      </c>
      <c r="B15349" t="str">
        <f>IFERROR(__xludf.DUMMYFUNCTION("""COMPUTED_VALUE"""),"che")</f>
        <v>che</v>
      </c>
      <c r="C15349" t="str">
        <f>IFERROR(__xludf.DUMMYFUNCTION("""COMPUTED_VALUE"""),"Switzerland")</f>
        <v>Switzerland</v>
      </c>
      <c r="D15349">
        <f>IFERROR(__xludf.DUMMYFUNCTION("""COMPUTED_VALUE"""),2007.0)</f>
        <v>2007</v>
      </c>
      <c r="E15349">
        <f>IFERROR(__xludf.DUMMYFUNCTION("""COMPUTED_VALUE"""),7560358.0)</f>
        <v>7560358</v>
      </c>
    </row>
    <row r="15350">
      <c r="A15350" t="str">
        <f t="shared" si="1"/>
        <v>che#2008</v>
      </c>
      <c r="B15350" t="str">
        <f>IFERROR(__xludf.DUMMYFUNCTION("""COMPUTED_VALUE"""),"che")</f>
        <v>che</v>
      </c>
      <c r="C15350" t="str">
        <f>IFERROR(__xludf.DUMMYFUNCTION("""COMPUTED_VALUE"""),"Switzerland")</f>
        <v>Switzerland</v>
      </c>
      <c r="D15350">
        <f>IFERROR(__xludf.DUMMYFUNCTION("""COMPUTED_VALUE"""),2008.0)</f>
        <v>2008</v>
      </c>
      <c r="E15350">
        <f>IFERROR(__xludf.DUMMYFUNCTION("""COMPUTED_VALUE"""),7646113.0)</f>
        <v>7646113</v>
      </c>
    </row>
    <row r="15351">
      <c r="A15351" t="str">
        <f t="shared" si="1"/>
        <v>che#2009</v>
      </c>
      <c r="B15351" t="str">
        <f>IFERROR(__xludf.DUMMYFUNCTION("""COMPUTED_VALUE"""),"che")</f>
        <v>che</v>
      </c>
      <c r="C15351" t="str">
        <f>IFERROR(__xludf.DUMMYFUNCTION("""COMPUTED_VALUE"""),"Switzerland")</f>
        <v>Switzerland</v>
      </c>
      <c r="D15351">
        <f>IFERROR(__xludf.DUMMYFUNCTION("""COMPUTED_VALUE"""),2009.0)</f>
        <v>2009</v>
      </c>
      <c r="E15351">
        <f>IFERROR(__xludf.DUMMYFUNCTION("""COMPUTED_VALUE"""),7737161.0)</f>
        <v>7737161</v>
      </c>
    </row>
    <row r="15352">
      <c r="A15352" t="str">
        <f t="shared" si="1"/>
        <v>che#2010</v>
      </c>
      <c r="B15352" t="str">
        <f>IFERROR(__xludf.DUMMYFUNCTION("""COMPUTED_VALUE"""),"che")</f>
        <v>che</v>
      </c>
      <c r="C15352" t="str">
        <f>IFERROR(__xludf.DUMMYFUNCTION("""COMPUTED_VALUE"""),"Switzerland")</f>
        <v>Switzerland</v>
      </c>
      <c r="D15352">
        <f>IFERROR(__xludf.DUMMYFUNCTION("""COMPUTED_VALUE"""),2010.0)</f>
        <v>2010</v>
      </c>
      <c r="E15352">
        <f>IFERROR(__xludf.DUMMYFUNCTION("""COMPUTED_VALUE"""),7831971.0)</f>
        <v>7831971</v>
      </c>
    </row>
    <row r="15353">
      <c r="A15353" t="str">
        <f t="shared" si="1"/>
        <v>che#2011</v>
      </c>
      <c r="B15353" t="str">
        <f>IFERROR(__xludf.DUMMYFUNCTION("""COMPUTED_VALUE"""),"che")</f>
        <v>che</v>
      </c>
      <c r="C15353" t="str">
        <f>IFERROR(__xludf.DUMMYFUNCTION("""COMPUTED_VALUE"""),"Switzerland")</f>
        <v>Switzerland</v>
      </c>
      <c r="D15353">
        <f>IFERROR(__xludf.DUMMYFUNCTION("""COMPUTED_VALUE"""),2011.0)</f>
        <v>2011</v>
      </c>
      <c r="E15353">
        <f>IFERROR(__xludf.DUMMYFUNCTION("""COMPUTED_VALUE"""),7930421.0)</f>
        <v>7930421</v>
      </c>
    </row>
    <row r="15354">
      <c r="A15354" t="str">
        <f t="shared" si="1"/>
        <v>che#2012</v>
      </c>
      <c r="B15354" t="str">
        <f>IFERROR(__xludf.DUMMYFUNCTION("""COMPUTED_VALUE"""),"che")</f>
        <v>che</v>
      </c>
      <c r="C15354" t="str">
        <f>IFERROR(__xludf.DUMMYFUNCTION("""COMPUTED_VALUE"""),"Switzerland")</f>
        <v>Switzerland</v>
      </c>
      <c r="D15354">
        <f>IFERROR(__xludf.DUMMYFUNCTION("""COMPUTED_VALUE"""),2012.0)</f>
        <v>2012</v>
      </c>
      <c r="E15354">
        <f>IFERROR(__xludf.DUMMYFUNCTION("""COMPUTED_VALUE"""),8031670.0)</f>
        <v>8031670</v>
      </c>
    </row>
    <row r="15355">
      <c r="A15355" t="str">
        <f t="shared" si="1"/>
        <v>che#2013</v>
      </c>
      <c r="B15355" t="str">
        <f>IFERROR(__xludf.DUMMYFUNCTION("""COMPUTED_VALUE"""),"che")</f>
        <v>che</v>
      </c>
      <c r="C15355" t="str">
        <f>IFERROR(__xludf.DUMMYFUNCTION("""COMPUTED_VALUE"""),"Switzerland")</f>
        <v>Switzerland</v>
      </c>
      <c r="D15355">
        <f>IFERROR(__xludf.DUMMYFUNCTION("""COMPUTED_VALUE"""),2013.0)</f>
        <v>2013</v>
      </c>
      <c r="E15355">
        <f>IFERROR(__xludf.DUMMYFUNCTION("""COMPUTED_VALUE"""),8132674.0)</f>
        <v>8132674</v>
      </c>
    </row>
    <row r="15356">
      <c r="A15356" t="str">
        <f t="shared" si="1"/>
        <v>che#2014</v>
      </c>
      <c r="B15356" t="str">
        <f>IFERROR(__xludf.DUMMYFUNCTION("""COMPUTED_VALUE"""),"che")</f>
        <v>che</v>
      </c>
      <c r="C15356" t="str">
        <f>IFERROR(__xludf.DUMMYFUNCTION("""COMPUTED_VALUE"""),"Switzerland")</f>
        <v>Switzerland</v>
      </c>
      <c r="D15356">
        <f>IFERROR(__xludf.DUMMYFUNCTION("""COMPUTED_VALUE"""),2014.0)</f>
        <v>2014</v>
      </c>
      <c r="E15356">
        <f>IFERROR(__xludf.DUMMYFUNCTION("""COMPUTED_VALUE"""),8229629.0)</f>
        <v>8229629</v>
      </c>
    </row>
    <row r="15357">
      <c r="A15357" t="str">
        <f t="shared" si="1"/>
        <v>che#2015</v>
      </c>
      <c r="B15357" t="str">
        <f>IFERROR(__xludf.DUMMYFUNCTION("""COMPUTED_VALUE"""),"che")</f>
        <v>che</v>
      </c>
      <c r="C15357" t="str">
        <f>IFERROR(__xludf.DUMMYFUNCTION("""COMPUTED_VALUE"""),"Switzerland")</f>
        <v>Switzerland</v>
      </c>
      <c r="D15357">
        <f>IFERROR(__xludf.DUMMYFUNCTION("""COMPUTED_VALUE"""),2015.0)</f>
        <v>2015</v>
      </c>
      <c r="E15357">
        <f>IFERROR(__xludf.DUMMYFUNCTION("""COMPUTED_VALUE"""),8319769.0)</f>
        <v>8319769</v>
      </c>
    </row>
    <row r="15358">
      <c r="A15358" t="str">
        <f t="shared" si="1"/>
        <v>che#2016</v>
      </c>
      <c r="B15358" t="str">
        <f>IFERROR(__xludf.DUMMYFUNCTION("""COMPUTED_VALUE"""),"che")</f>
        <v>che</v>
      </c>
      <c r="C15358" t="str">
        <f>IFERROR(__xludf.DUMMYFUNCTION("""COMPUTED_VALUE"""),"Switzerland")</f>
        <v>Switzerland</v>
      </c>
      <c r="D15358">
        <f>IFERROR(__xludf.DUMMYFUNCTION("""COMPUTED_VALUE"""),2016.0)</f>
        <v>2016</v>
      </c>
      <c r="E15358">
        <f>IFERROR(__xludf.DUMMYFUNCTION("""COMPUTED_VALUE"""),8401739.0)</f>
        <v>8401739</v>
      </c>
    </row>
    <row r="15359">
      <c r="A15359" t="str">
        <f t="shared" si="1"/>
        <v>che#2017</v>
      </c>
      <c r="B15359" t="str">
        <f>IFERROR(__xludf.DUMMYFUNCTION("""COMPUTED_VALUE"""),"che")</f>
        <v>che</v>
      </c>
      <c r="C15359" t="str">
        <f>IFERROR(__xludf.DUMMYFUNCTION("""COMPUTED_VALUE"""),"Switzerland")</f>
        <v>Switzerland</v>
      </c>
      <c r="D15359">
        <f>IFERROR(__xludf.DUMMYFUNCTION("""COMPUTED_VALUE"""),2017.0)</f>
        <v>2017</v>
      </c>
      <c r="E15359">
        <f>IFERROR(__xludf.DUMMYFUNCTION("""COMPUTED_VALUE"""),8476005.0)</f>
        <v>8476005</v>
      </c>
    </row>
    <row r="15360">
      <c r="A15360" t="str">
        <f t="shared" si="1"/>
        <v>che#2018</v>
      </c>
      <c r="B15360" t="str">
        <f>IFERROR(__xludf.DUMMYFUNCTION("""COMPUTED_VALUE"""),"che")</f>
        <v>che</v>
      </c>
      <c r="C15360" t="str">
        <f>IFERROR(__xludf.DUMMYFUNCTION("""COMPUTED_VALUE"""),"Switzerland")</f>
        <v>Switzerland</v>
      </c>
      <c r="D15360">
        <f>IFERROR(__xludf.DUMMYFUNCTION("""COMPUTED_VALUE"""),2018.0)</f>
        <v>2018</v>
      </c>
      <c r="E15360">
        <f>IFERROR(__xludf.DUMMYFUNCTION("""COMPUTED_VALUE"""),8544034.0)</f>
        <v>8544034</v>
      </c>
    </row>
    <row r="15361">
      <c r="A15361" t="str">
        <f t="shared" si="1"/>
        <v>che#2019</v>
      </c>
      <c r="B15361" t="str">
        <f>IFERROR(__xludf.DUMMYFUNCTION("""COMPUTED_VALUE"""),"che")</f>
        <v>che</v>
      </c>
      <c r="C15361" t="str">
        <f>IFERROR(__xludf.DUMMYFUNCTION("""COMPUTED_VALUE"""),"Switzerland")</f>
        <v>Switzerland</v>
      </c>
      <c r="D15361">
        <f>IFERROR(__xludf.DUMMYFUNCTION("""COMPUTED_VALUE"""),2019.0)</f>
        <v>2019</v>
      </c>
      <c r="E15361">
        <f>IFERROR(__xludf.DUMMYFUNCTION("""COMPUTED_VALUE"""),8608259.0)</f>
        <v>8608259</v>
      </c>
    </row>
    <row r="15362">
      <c r="A15362" t="str">
        <f t="shared" si="1"/>
        <v>che#2020</v>
      </c>
      <c r="B15362" t="str">
        <f>IFERROR(__xludf.DUMMYFUNCTION("""COMPUTED_VALUE"""),"che")</f>
        <v>che</v>
      </c>
      <c r="C15362" t="str">
        <f>IFERROR(__xludf.DUMMYFUNCTION("""COMPUTED_VALUE"""),"Switzerland")</f>
        <v>Switzerland</v>
      </c>
      <c r="D15362">
        <f>IFERROR(__xludf.DUMMYFUNCTION("""COMPUTED_VALUE"""),2020.0)</f>
        <v>2020</v>
      </c>
      <c r="E15362">
        <f>IFERROR(__xludf.DUMMYFUNCTION("""COMPUTED_VALUE"""),8670535.0)</f>
        <v>8670535</v>
      </c>
    </row>
    <row r="15363">
      <c r="A15363" t="str">
        <f t="shared" si="1"/>
        <v>che#2021</v>
      </c>
      <c r="B15363" t="str">
        <f>IFERROR(__xludf.DUMMYFUNCTION("""COMPUTED_VALUE"""),"che")</f>
        <v>che</v>
      </c>
      <c r="C15363" t="str">
        <f>IFERROR(__xludf.DUMMYFUNCTION("""COMPUTED_VALUE"""),"Switzerland")</f>
        <v>Switzerland</v>
      </c>
      <c r="D15363">
        <f>IFERROR(__xludf.DUMMYFUNCTION("""COMPUTED_VALUE"""),2021.0)</f>
        <v>2021</v>
      </c>
      <c r="E15363">
        <f>IFERROR(__xludf.DUMMYFUNCTION("""COMPUTED_VALUE"""),8731111.0)</f>
        <v>8731111</v>
      </c>
    </row>
    <row r="15364">
      <c r="A15364" t="str">
        <f t="shared" si="1"/>
        <v>che#2022</v>
      </c>
      <c r="B15364" t="str">
        <f>IFERROR(__xludf.DUMMYFUNCTION("""COMPUTED_VALUE"""),"che")</f>
        <v>che</v>
      </c>
      <c r="C15364" t="str">
        <f>IFERROR(__xludf.DUMMYFUNCTION("""COMPUTED_VALUE"""),"Switzerland")</f>
        <v>Switzerland</v>
      </c>
      <c r="D15364">
        <f>IFERROR(__xludf.DUMMYFUNCTION("""COMPUTED_VALUE"""),2022.0)</f>
        <v>2022</v>
      </c>
      <c r="E15364">
        <f>IFERROR(__xludf.DUMMYFUNCTION("""COMPUTED_VALUE"""),8789509.0)</f>
        <v>8789509</v>
      </c>
    </row>
    <row r="15365">
      <c r="A15365" t="str">
        <f t="shared" si="1"/>
        <v>che#2023</v>
      </c>
      <c r="B15365" t="str">
        <f>IFERROR(__xludf.DUMMYFUNCTION("""COMPUTED_VALUE"""),"che")</f>
        <v>che</v>
      </c>
      <c r="C15365" t="str">
        <f>IFERROR(__xludf.DUMMYFUNCTION("""COMPUTED_VALUE"""),"Switzerland")</f>
        <v>Switzerland</v>
      </c>
      <c r="D15365">
        <f>IFERROR(__xludf.DUMMYFUNCTION("""COMPUTED_VALUE"""),2023.0)</f>
        <v>2023</v>
      </c>
      <c r="E15365">
        <f>IFERROR(__xludf.DUMMYFUNCTION("""COMPUTED_VALUE"""),8846072.0)</f>
        <v>8846072</v>
      </c>
    </row>
    <row r="15366">
      <c r="A15366" t="str">
        <f t="shared" si="1"/>
        <v>che#2024</v>
      </c>
      <c r="B15366" t="str">
        <f>IFERROR(__xludf.DUMMYFUNCTION("""COMPUTED_VALUE"""),"che")</f>
        <v>che</v>
      </c>
      <c r="C15366" t="str">
        <f>IFERROR(__xludf.DUMMYFUNCTION("""COMPUTED_VALUE"""),"Switzerland")</f>
        <v>Switzerland</v>
      </c>
      <c r="D15366">
        <f>IFERROR(__xludf.DUMMYFUNCTION("""COMPUTED_VALUE"""),2024.0)</f>
        <v>2024</v>
      </c>
      <c r="E15366">
        <f>IFERROR(__xludf.DUMMYFUNCTION("""COMPUTED_VALUE"""),8901021.0)</f>
        <v>8901021</v>
      </c>
    </row>
    <row r="15367">
      <c r="A15367" t="str">
        <f t="shared" si="1"/>
        <v>che#2025</v>
      </c>
      <c r="B15367" t="str">
        <f>IFERROR(__xludf.DUMMYFUNCTION("""COMPUTED_VALUE"""),"che")</f>
        <v>che</v>
      </c>
      <c r="C15367" t="str">
        <f>IFERROR(__xludf.DUMMYFUNCTION("""COMPUTED_VALUE"""),"Switzerland")</f>
        <v>Switzerland</v>
      </c>
      <c r="D15367">
        <f>IFERROR(__xludf.DUMMYFUNCTION("""COMPUTED_VALUE"""),2025.0)</f>
        <v>2025</v>
      </c>
      <c r="E15367">
        <f>IFERROR(__xludf.DUMMYFUNCTION("""COMPUTED_VALUE"""),8954578.0)</f>
        <v>8954578</v>
      </c>
    </row>
    <row r="15368">
      <c r="A15368" t="str">
        <f t="shared" si="1"/>
        <v>che#2026</v>
      </c>
      <c r="B15368" t="str">
        <f>IFERROR(__xludf.DUMMYFUNCTION("""COMPUTED_VALUE"""),"che")</f>
        <v>che</v>
      </c>
      <c r="C15368" t="str">
        <f>IFERROR(__xludf.DUMMYFUNCTION("""COMPUTED_VALUE"""),"Switzerland")</f>
        <v>Switzerland</v>
      </c>
      <c r="D15368">
        <f>IFERROR(__xludf.DUMMYFUNCTION("""COMPUTED_VALUE"""),2026.0)</f>
        <v>2026</v>
      </c>
      <c r="E15368">
        <f>IFERROR(__xludf.DUMMYFUNCTION("""COMPUTED_VALUE"""),9007018.0)</f>
        <v>9007018</v>
      </c>
    </row>
    <row r="15369">
      <c r="A15369" t="str">
        <f t="shared" si="1"/>
        <v>che#2027</v>
      </c>
      <c r="B15369" t="str">
        <f>IFERROR(__xludf.DUMMYFUNCTION("""COMPUTED_VALUE"""),"che")</f>
        <v>che</v>
      </c>
      <c r="C15369" t="str">
        <f>IFERROR(__xludf.DUMMYFUNCTION("""COMPUTED_VALUE"""),"Switzerland")</f>
        <v>Switzerland</v>
      </c>
      <c r="D15369">
        <f>IFERROR(__xludf.DUMMYFUNCTION("""COMPUTED_VALUE"""),2027.0)</f>
        <v>2027</v>
      </c>
      <c r="E15369">
        <f>IFERROR(__xludf.DUMMYFUNCTION("""COMPUTED_VALUE"""),9058436.0)</f>
        <v>9058436</v>
      </c>
    </row>
    <row r="15370">
      <c r="A15370" t="str">
        <f t="shared" si="1"/>
        <v>che#2028</v>
      </c>
      <c r="B15370" t="str">
        <f>IFERROR(__xludf.DUMMYFUNCTION("""COMPUTED_VALUE"""),"che")</f>
        <v>che</v>
      </c>
      <c r="C15370" t="str">
        <f>IFERROR(__xludf.DUMMYFUNCTION("""COMPUTED_VALUE"""),"Switzerland")</f>
        <v>Switzerland</v>
      </c>
      <c r="D15370">
        <f>IFERROR(__xludf.DUMMYFUNCTION("""COMPUTED_VALUE"""),2028.0)</f>
        <v>2028</v>
      </c>
      <c r="E15370">
        <f>IFERROR(__xludf.DUMMYFUNCTION("""COMPUTED_VALUE"""),9108617.0)</f>
        <v>9108617</v>
      </c>
    </row>
    <row r="15371">
      <c r="A15371" t="str">
        <f t="shared" si="1"/>
        <v>che#2029</v>
      </c>
      <c r="B15371" t="str">
        <f>IFERROR(__xludf.DUMMYFUNCTION("""COMPUTED_VALUE"""),"che")</f>
        <v>che</v>
      </c>
      <c r="C15371" t="str">
        <f>IFERROR(__xludf.DUMMYFUNCTION("""COMPUTED_VALUE"""),"Switzerland")</f>
        <v>Switzerland</v>
      </c>
      <c r="D15371">
        <f>IFERROR(__xludf.DUMMYFUNCTION("""COMPUTED_VALUE"""),2029.0)</f>
        <v>2029</v>
      </c>
      <c r="E15371">
        <f>IFERROR(__xludf.DUMMYFUNCTION("""COMPUTED_VALUE"""),9157185.0)</f>
        <v>9157185</v>
      </c>
    </row>
    <row r="15372">
      <c r="A15372" t="str">
        <f t="shared" si="1"/>
        <v>che#2030</v>
      </c>
      <c r="B15372" t="str">
        <f>IFERROR(__xludf.DUMMYFUNCTION("""COMPUTED_VALUE"""),"che")</f>
        <v>che</v>
      </c>
      <c r="C15372" t="str">
        <f>IFERROR(__xludf.DUMMYFUNCTION("""COMPUTED_VALUE"""),"Switzerland")</f>
        <v>Switzerland</v>
      </c>
      <c r="D15372">
        <f>IFERROR(__xludf.DUMMYFUNCTION("""COMPUTED_VALUE"""),2030.0)</f>
        <v>2030</v>
      </c>
      <c r="E15372">
        <f>IFERROR(__xludf.DUMMYFUNCTION("""COMPUTED_VALUE"""),9203908.0)</f>
        <v>9203908</v>
      </c>
    </row>
    <row r="15373">
      <c r="A15373" t="str">
        <f t="shared" si="1"/>
        <v>che#2031</v>
      </c>
      <c r="B15373" t="str">
        <f>IFERROR(__xludf.DUMMYFUNCTION("""COMPUTED_VALUE"""),"che")</f>
        <v>che</v>
      </c>
      <c r="C15373" t="str">
        <f>IFERROR(__xludf.DUMMYFUNCTION("""COMPUTED_VALUE"""),"Switzerland")</f>
        <v>Switzerland</v>
      </c>
      <c r="D15373">
        <f>IFERROR(__xludf.DUMMYFUNCTION("""COMPUTED_VALUE"""),2031.0)</f>
        <v>2031</v>
      </c>
      <c r="E15373">
        <f>IFERROR(__xludf.DUMMYFUNCTION("""COMPUTED_VALUE"""),9248770.0)</f>
        <v>9248770</v>
      </c>
    </row>
    <row r="15374">
      <c r="A15374" t="str">
        <f t="shared" si="1"/>
        <v>che#2032</v>
      </c>
      <c r="B15374" t="str">
        <f>IFERROR(__xludf.DUMMYFUNCTION("""COMPUTED_VALUE"""),"che")</f>
        <v>che</v>
      </c>
      <c r="C15374" t="str">
        <f>IFERROR(__xludf.DUMMYFUNCTION("""COMPUTED_VALUE"""),"Switzerland")</f>
        <v>Switzerland</v>
      </c>
      <c r="D15374">
        <f>IFERROR(__xludf.DUMMYFUNCTION("""COMPUTED_VALUE"""),2032.0)</f>
        <v>2032</v>
      </c>
      <c r="E15374">
        <f>IFERROR(__xludf.DUMMYFUNCTION("""COMPUTED_VALUE"""),9291930.0)</f>
        <v>9291930</v>
      </c>
    </row>
    <row r="15375">
      <c r="A15375" t="str">
        <f t="shared" si="1"/>
        <v>che#2033</v>
      </c>
      <c r="B15375" t="str">
        <f>IFERROR(__xludf.DUMMYFUNCTION("""COMPUTED_VALUE"""),"che")</f>
        <v>che</v>
      </c>
      <c r="C15375" t="str">
        <f>IFERROR(__xludf.DUMMYFUNCTION("""COMPUTED_VALUE"""),"Switzerland")</f>
        <v>Switzerland</v>
      </c>
      <c r="D15375">
        <f>IFERROR(__xludf.DUMMYFUNCTION("""COMPUTED_VALUE"""),2033.0)</f>
        <v>2033</v>
      </c>
      <c r="E15375">
        <f>IFERROR(__xludf.DUMMYFUNCTION("""COMPUTED_VALUE"""),9333466.0)</f>
        <v>9333466</v>
      </c>
    </row>
    <row r="15376">
      <c r="A15376" t="str">
        <f t="shared" si="1"/>
        <v>che#2034</v>
      </c>
      <c r="B15376" t="str">
        <f>IFERROR(__xludf.DUMMYFUNCTION("""COMPUTED_VALUE"""),"che")</f>
        <v>che</v>
      </c>
      <c r="C15376" t="str">
        <f>IFERROR(__xludf.DUMMYFUNCTION("""COMPUTED_VALUE"""),"Switzerland")</f>
        <v>Switzerland</v>
      </c>
      <c r="D15376">
        <f>IFERROR(__xludf.DUMMYFUNCTION("""COMPUTED_VALUE"""),2034.0)</f>
        <v>2034</v>
      </c>
      <c r="E15376">
        <f>IFERROR(__xludf.DUMMYFUNCTION("""COMPUTED_VALUE"""),9373492.0)</f>
        <v>9373492</v>
      </c>
    </row>
    <row r="15377">
      <c r="A15377" t="str">
        <f t="shared" si="1"/>
        <v>che#2035</v>
      </c>
      <c r="B15377" t="str">
        <f>IFERROR(__xludf.DUMMYFUNCTION("""COMPUTED_VALUE"""),"che")</f>
        <v>che</v>
      </c>
      <c r="C15377" t="str">
        <f>IFERROR(__xludf.DUMMYFUNCTION("""COMPUTED_VALUE"""),"Switzerland")</f>
        <v>Switzerland</v>
      </c>
      <c r="D15377">
        <f>IFERROR(__xludf.DUMMYFUNCTION("""COMPUTED_VALUE"""),2035.0)</f>
        <v>2035</v>
      </c>
      <c r="E15377">
        <f>IFERROR(__xludf.DUMMYFUNCTION("""COMPUTED_VALUE"""),9412115.0)</f>
        <v>9412115</v>
      </c>
    </row>
    <row r="15378">
      <c r="A15378" t="str">
        <f t="shared" si="1"/>
        <v>che#2036</v>
      </c>
      <c r="B15378" t="str">
        <f>IFERROR(__xludf.DUMMYFUNCTION("""COMPUTED_VALUE"""),"che")</f>
        <v>che</v>
      </c>
      <c r="C15378" t="str">
        <f>IFERROR(__xludf.DUMMYFUNCTION("""COMPUTED_VALUE"""),"Switzerland")</f>
        <v>Switzerland</v>
      </c>
      <c r="D15378">
        <f>IFERROR(__xludf.DUMMYFUNCTION("""COMPUTED_VALUE"""),2036.0)</f>
        <v>2036</v>
      </c>
      <c r="E15378">
        <f>IFERROR(__xludf.DUMMYFUNCTION("""COMPUTED_VALUE"""),9449364.0)</f>
        <v>9449364</v>
      </c>
    </row>
    <row r="15379">
      <c r="A15379" t="str">
        <f t="shared" si="1"/>
        <v>che#2037</v>
      </c>
      <c r="B15379" t="str">
        <f>IFERROR(__xludf.DUMMYFUNCTION("""COMPUTED_VALUE"""),"che")</f>
        <v>che</v>
      </c>
      <c r="C15379" t="str">
        <f>IFERROR(__xludf.DUMMYFUNCTION("""COMPUTED_VALUE"""),"Switzerland")</f>
        <v>Switzerland</v>
      </c>
      <c r="D15379">
        <f>IFERROR(__xludf.DUMMYFUNCTION("""COMPUTED_VALUE"""),2037.0)</f>
        <v>2037</v>
      </c>
      <c r="E15379">
        <f>IFERROR(__xludf.DUMMYFUNCTION("""COMPUTED_VALUE"""),9485304.0)</f>
        <v>9485304</v>
      </c>
    </row>
    <row r="15380">
      <c r="A15380" t="str">
        <f t="shared" si="1"/>
        <v>che#2038</v>
      </c>
      <c r="B15380" t="str">
        <f>IFERROR(__xludf.DUMMYFUNCTION("""COMPUTED_VALUE"""),"che")</f>
        <v>che</v>
      </c>
      <c r="C15380" t="str">
        <f>IFERROR(__xludf.DUMMYFUNCTION("""COMPUTED_VALUE"""),"Switzerland")</f>
        <v>Switzerland</v>
      </c>
      <c r="D15380">
        <f>IFERROR(__xludf.DUMMYFUNCTION("""COMPUTED_VALUE"""),2038.0)</f>
        <v>2038</v>
      </c>
      <c r="E15380">
        <f>IFERROR(__xludf.DUMMYFUNCTION("""COMPUTED_VALUE"""),9520093.0)</f>
        <v>9520093</v>
      </c>
    </row>
    <row r="15381">
      <c r="A15381" t="str">
        <f t="shared" si="1"/>
        <v>che#2039</v>
      </c>
      <c r="B15381" t="str">
        <f>IFERROR(__xludf.DUMMYFUNCTION("""COMPUTED_VALUE"""),"che")</f>
        <v>che</v>
      </c>
      <c r="C15381" t="str">
        <f>IFERROR(__xludf.DUMMYFUNCTION("""COMPUTED_VALUE"""),"Switzerland")</f>
        <v>Switzerland</v>
      </c>
      <c r="D15381">
        <f>IFERROR(__xludf.DUMMYFUNCTION("""COMPUTED_VALUE"""),2039.0)</f>
        <v>2039</v>
      </c>
      <c r="E15381">
        <f>IFERROR(__xludf.DUMMYFUNCTION("""COMPUTED_VALUE"""),9553924.0)</f>
        <v>9553924</v>
      </c>
    </row>
    <row r="15382">
      <c r="A15382" t="str">
        <f t="shared" si="1"/>
        <v>che#2040</v>
      </c>
      <c r="B15382" t="str">
        <f>IFERROR(__xludf.DUMMYFUNCTION("""COMPUTED_VALUE"""),"che")</f>
        <v>che</v>
      </c>
      <c r="C15382" t="str">
        <f>IFERROR(__xludf.DUMMYFUNCTION("""COMPUTED_VALUE"""),"Switzerland")</f>
        <v>Switzerland</v>
      </c>
      <c r="D15382">
        <f>IFERROR(__xludf.DUMMYFUNCTION("""COMPUTED_VALUE"""),2040.0)</f>
        <v>2040</v>
      </c>
      <c r="E15382">
        <f>IFERROR(__xludf.DUMMYFUNCTION("""COMPUTED_VALUE"""),9586938.0)</f>
        <v>9586938</v>
      </c>
    </row>
    <row r="15383">
      <c r="A15383" t="str">
        <f t="shared" si="1"/>
        <v>syr#1950</v>
      </c>
      <c r="B15383" t="str">
        <f>IFERROR(__xludf.DUMMYFUNCTION("""COMPUTED_VALUE"""),"syr")</f>
        <v>syr</v>
      </c>
      <c r="C15383" t="str">
        <f>IFERROR(__xludf.DUMMYFUNCTION("""COMPUTED_VALUE"""),"Syria")</f>
        <v>Syria</v>
      </c>
      <c r="D15383">
        <f>IFERROR(__xludf.DUMMYFUNCTION("""COMPUTED_VALUE"""),1950.0)</f>
        <v>1950</v>
      </c>
      <c r="E15383">
        <f>IFERROR(__xludf.DUMMYFUNCTION("""COMPUTED_VALUE"""),3413331.0)</f>
        <v>3413331</v>
      </c>
    </row>
    <row r="15384">
      <c r="A15384" t="str">
        <f t="shared" si="1"/>
        <v>syr#1951</v>
      </c>
      <c r="B15384" t="str">
        <f>IFERROR(__xludf.DUMMYFUNCTION("""COMPUTED_VALUE"""),"syr")</f>
        <v>syr</v>
      </c>
      <c r="C15384" t="str">
        <f>IFERROR(__xludf.DUMMYFUNCTION("""COMPUTED_VALUE"""),"Syria")</f>
        <v>Syria</v>
      </c>
      <c r="D15384">
        <f>IFERROR(__xludf.DUMMYFUNCTION("""COMPUTED_VALUE"""),1951.0)</f>
        <v>1951</v>
      </c>
      <c r="E15384">
        <f>IFERROR(__xludf.DUMMYFUNCTION("""COMPUTED_VALUE"""),3498526.0)</f>
        <v>3498526</v>
      </c>
    </row>
    <row r="15385">
      <c r="A15385" t="str">
        <f t="shared" si="1"/>
        <v>syr#1952</v>
      </c>
      <c r="B15385" t="str">
        <f>IFERROR(__xludf.DUMMYFUNCTION("""COMPUTED_VALUE"""),"syr")</f>
        <v>syr</v>
      </c>
      <c r="C15385" t="str">
        <f>IFERROR(__xludf.DUMMYFUNCTION("""COMPUTED_VALUE"""),"Syria")</f>
        <v>Syria</v>
      </c>
      <c r="D15385">
        <f>IFERROR(__xludf.DUMMYFUNCTION("""COMPUTED_VALUE"""),1952.0)</f>
        <v>1952</v>
      </c>
      <c r="E15385">
        <f>IFERROR(__xludf.DUMMYFUNCTION("""COMPUTED_VALUE"""),3591006.0)</f>
        <v>3591006</v>
      </c>
    </row>
    <row r="15386">
      <c r="A15386" t="str">
        <f t="shared" si="1"/>
        <v>syr#1953</v>
      </c>
      <c r="B15386" t="str">
        <f>IFERROR(__xludf.DUMMYFUNCTION("""COMPUTED_VALUE"""),"syr")</f>
        <v>syr</v>
      </c>
      <c r="C15386" t="str">
        <f>IFERROR(__xludf.DUMMYFUNCTION("""COMPUTED_VALUE"""),"Syria")</f>
        <v>Syria</v>
      </c>
      <c r="D15386">
        <f>IFERROR(__xludf.DUMMYFUNCTION("""COMPUTED_VALUE"""),1953.0)</f>
        <v>1953</v>
      </c>
      <c r="E15386">
        <f>IFERROR(__xludf.DUMMYFUNCTION("""COMPUTED_VALUE"""),3690735.0)</f>
        <v>3690735</v>
      </c>
    </row>
    <row r="15387">
      <c r="A15387" t="str">
        <f t="shared" si="1"/>
        <v>syr#1954</v>
      </c>
      <c r="B15387" t="str">
        <f>IFERROR(__xludf.DUMMYFUNCTION("""COMPUTED_VALUE"""),"syr")</f>
        <v>syr</v>
      </c>
      <c r="C15387" t="str">
        <f>IFERROR(__xludf.DUMMYFUNCTION("""COMPUTED_VALUE"""),"Syria")</f>
        <v>Syria</v>
      </c>
      <c r="D15387">
        <f>IFERROR(__xludf.DUMMYFUNCTION("""COMPUTED_VALUE"""),1954.0)</f>
        <v>1954</v>
      </c>
      <c r="E15387">
        <f>IFERROR(__xludf.DUMMYFUNCTION("""COMPUTED_VALUE"""),3797624.0)</f>
        <v>3797624</v>
      </c>
    </row>
    <row r="15388">
      <c r="A15388" t="str">
        <f t="shared" si="1"/>
        <v>syr#1955</v>
      </c>
      <c r="B15388" t="str">
        <f>IFERROR(__xludf.DUMMYFUNCTION("""COMPUTED_VALUE"""),"syr")</f>
        <v>syr</v>
      </c>
      <c r="C15388" t="str">
        <f>IFERROR(__xludf.DUMMYFUNCTION("""COMPUTED_VALUE"""),"Syria")</f>
        <v>Syria</v>
      </c>
      <c r="D15388">
        <f>IFERROR(__xludf.DUMMYFUNCTION("""COMPUTED_VALUE"""),1955.0)</f>
        <v>1955</v>
      </c>
      <c r="E15388">
        <f>IFERROR(__xludf.DUMMYFUNCTION("""COMPUTED_VALUE"""),3911501.0)</f>
        <v>3911501</v>
      </c>
    </row>
    <row r="15389">
      <c r="A15389" t="str">
        <f t="shared" si="1"/>
        <v>syr#1956</v>
      </c>
      <c r="B15389" t="str">
        <f>IFERROR(__xludf.DUMMYFUNCTION("""COMPUTED_VALUE"""),"syr")</f>
        <v>syr</v>
      </c>
      <c r="C15389" t="str">
        <f>IFERROR(__xludf.DUMMYFUNCTION("""COMPUTED_VALUE"""),"Syria")</f>
        <v>Syria</v>
      </c>
      <c r="D15389">
        <f>IFERROR(__xludf.DUMMYFUNCTION("""COMPUTED_VALUE"""),1956.0)</f>
        <v>1956</v>
      </c>
      <c r="E15389">
        <f>IFERROR(__xludf.DUMMYFUNCTION("""COMPUTED_VALUE"""),4032069.0)</f>
        <v>4032069</v>
      </c>
    </row>
    <row r="15390">
      <c r="A15390" t="str">
        <f t="shared" si="1"/>
        <v>syr#1957</v>
      </c>
      <c r="B15390" t="str">
        <f>IFERROR(__xludf.DUMMYFUNCTION("""COMPUTED_VALUE"""),"syr")</f>
        <v>syr</v>
      </c>
      <c r="C15390" t="str">
        <f>IFERROR(__xludf.DUMMYFUNCTION("""COMPUTED_VALUE"""),"Syria")</f>
        <v>Syria</v>
      </c>
      <c r="D15390">
        <f>IFERROR(__xludf.DUMMYFUNCTION("""COMPUTED_VALUE"""),1957.0)</f>
        <v>1957</v>
      </c>
      <c r="E15390">
        <f>IFERROR(__xludf.DUMMYFUNCTION("""COMPUTED_VALUE"""),4158976.0)</f>
        <v>4158976</v>
      </c>
    </row>
    <row r="15391">
      <c r="A15391" t="str">
        <f t="shared" si="1"/>
        <v>syr#1958</v>
      </c>
      <c r="B15391" t="str">
        <f>IFERROR(__xludf.DUMMYFUNCTION("""COMPUTED_VALUE"""),"syr")</f>
        <v>syr</v>
      </c>
      <c r="C15391" t="str">
        <f>IFERROR(__xludf.DUMMYFUNCTION("""COMPUTED_VALUE"""),"Syria")</f>
        <v>Syria</v>
      </c>
      <c r="D15391">
        <f>IFERROR(__xludf.DUMMYFUNCTION("""COMPUTED_VALUE"""),1958.0)</f>
        <v>1958</v>
      </c>
      <c r="E15391">
        <f>IFERROR(__xludf.DUMMYFUNCTION("""COMPUTED_VALUE"""),4291803.0)</f>
        <v>4291803</v>
      </c>
    </row>
    <row r="15392">
      <c r="A15392" t="str">
        <f t="shared" si="1"/>
        <v>syr#1959</v>
      </c>
      <c r="B15392" t="str">
        <f>IFERROR(__xludf.DUMMYFUNCTION("""COMPUTED_VALUE"""),"syr")</f>
        <v>syr</v>
      </c>
      <c r="C15392" t="str">
        <f>IFERROR(__xludf.DUMMYFUNCTION("""COMPUTED_VALUE"""),"Syria")</f>
        <v>Syria</v>
      </c>
      <c r="D15392">
        <f>IFERROR(__xludf.DUMMYFUNCTION("""COMPUTED_VALUE"""),1959.0)</f>
        <v>1959</v>
      </c>
      <c r="E15392">
        <f>IFERROR(__xludf.DUMMYFUNCTION("""COMPUTED_VALUE"""),4430101.0)</f>
        <v>4430101</v>
      </c>
    </row>
    <row r="15393">
      <c r="A15393" t="str">
        <f t="shared" si="1"/>
        <v>syr#1960</v>
      </c>
      <c r="B15393" t="str">
        <f>IFERROR(__xludf.DUMMYFUNCTION("""COMPUTED_VALUE"""),"syr")</f>
        <v>syr</v>
      </c>
      <c r="C15393" t="str">
        <f>IFERROR(__xludf.DUMMYFUNCTION("""COMPUTED_VALUE"""),"Syria")</f>
        <v>Syria</v>
      </c>
      <c r="D15393">
        <f>IFERROR(__xludf.DUMMYFUNCTION("""COMPUTED_VALUE"""),1960.0)</f>
        <v>1960</v>
      </c>
      <c r="E15393">
        <f>IFERROR(__xludf.DUMMYFUNCTION("""COMPUTED_VALUE"""),4573512.0)</f>
        <v>4573512</v>
      </c>
    </row>
    <row r="15394">
      <c r="A15394" t="str">
        <f t="shared" si="1"/>
        <v>syr#1961</v>
      </c>
      <c r="B15394" t="str">
        <f>IFERROR(__xludf.DUMMYFUNCTION("""COMPUTED_VALUE"""),"syr")</f>
        <v>syr</v>
      </c>
      <c r="C15394" t="str">
        <f>IFERROR(__xludf.DUMMYFUNCTION("""COMPUTED_VALUE"""),"Syria")</f>
        <v>Syria</v>
      </c>
      <c r="D15394">
        <f>IFERROR(__xludf.DUMMYFUNCTION("""COMPUTED_VALUE"""),1961.0)</f>
        <v>1961</v>
      </c>
      <c r="E15394">
        <f>IFERROR(__xludf.DUMMYFUNCTION("""COMPUTED_VALUE"""),4721896.0)</f>
        <v>4721896</v>
      </c>
    </row>
    <row r="15395">
      <c r="A15395" t="str">
        <f t="shared" si="1"/>
        <v>syr#1962</v>
      </c>
      <c r="B15395" t="str">
        <f>IFERROR(__xludf.DUMMYFUNCTION("""COMPUTED_VALUE"""),"syr")</f>
        <v>syr</v>
      </c>
      <c r="C15395" t="str">
        <f>IFERROR(__xludf.DUMMYFUNCTION("""COMPUTED_VALUE"""),"Syria")</f>
        <v>Syria</v>
      </c>
      <c r="D15395">
        <f>IFERROR(__xludf.DUMMYFUNCTION("""COMPUTED_VALUE"""),1962.0)</f>
        <v>1962</v>
      </c>
      <c r="E15395">
        <f>IFERROR(__xludf.DUMMYFUNCTION("""COMPUTED_VALUE"""),4875422.0)</f>
        <v>4875422</v>
      </c>
    </row>
    <row r="15396">
      <c r="A15396" t="str">
        <f t="shared" si="1"/>
        <v>syr#1963</v>
      </c>
      <c r="B15396" t="str">
        <f>IFERROR(__xludf.DUMMYFUNCTION("""COMPUTED_VALUE"""),"syr")</f>
        <v>syr</v>
      </c>
      <c r="C15396" t="str">
        <f>IFERROR(__xludf.DUMMYFUNCTION("""COMPUTED_VALUE"""),"Syria")</f>
        <v>Syria</v>
      </c>
      <c r="D15396">
        <f>IFERROR(__xludf.DUMMYFUNCTION("""COMPUTED_VALUE"""),1963.0)</f>
        <v>1963</v>
      </c>
      <c r="E15396">
        <f>IFERROR(__xludf.DUMMYFUNCTION("""COMPUTED_VALUE"""),5034646.0)</f>
        <v>5034646</v>
      </c>
    </row>
    <row r="15397">
      <c r="A15397" t="str">
        <f t="shared" si="1"/>
        <v>syr#1964</v>
      </c>
      <c r="B15397" t="str">
        <f>IFERROR(__xludf.DUMMYFUNCTION("""COMPUTED_VALUE"""),"syr")</f>
        <v>syr</v>
      </c>
      <c r="C15397" t="str">
        <f>IFERROR(__xludf.DUMMYFUNCTION("""COMPUTED_VALUE"""),"Syria")</f>
        <v>Syria</v>
      </c>
      <c r="D15397">
        <f>IFERROR(__xludf.DUMMYFUNCTION("""COMPUTED_VALUE"""),1964.0)</f>
        <v>1964</v>
      </c>
      <c r="E15397">
        <f>IFERROR(__xludf.DUMMYFUNCTION("""COMPUTED_VALUE"""),5200336.0)</f>
        <v>5200336</v>
      </c>
    </row>
    <row r="15398">
      <c r="A15398" t="str">
        <f t="shared" si="1"/>
        <v>syr#1965</v>
      </c>
      <c r="B15398" t="str">
        <f>IFERROR(__xludf.DUMMYFUNCTION("""COMPUTED_VALUE"""),"syr")</f>
        <v>syr</v>
      </c>
      <c r="C15398" t="str">
        <f>IFERROR(__xludf.DUMMYFUNCTION("""COMPUTED_VALUE"""),"Syria")</f>
        <v>Syria</v>
      </c>
      <c r="D15398">
        <f>IFERROR(__xludf.DUMMYFUNCTION("""COMPUTED_VALUE"""),1965.0)</f>
        <v>1965</v>
      </c>
      <c r="E15398">
        <f>IFERROR(__xludf.DUMMYFUNCTION("""COMPUTED_VALUE"""),5373137.0)</f>
        <v>5373137</v>
      </c>
    </row>
    <row r="15399">
      <c r="A15399" t="str">
        <f t="shared" si="1"/>
        <v>syr#1966</v>
      </c>
      <c r="B15399" t="str">
        <f>IFERROR(__xludf.DUMMYFUNCTION("""COMPUTED_VALUE"""),"syr")</f>
        <v>syr</v>
      </c>
      <c r="C15399" t="str">
        <f>IFERROR(__xludf.DUMMYFUNCTION("""COMPUTED_VALUE"""),"Syria")</f>
        <v>Syria</v>
      </c>
      <c r="D15399">
        <f>IFERROR(__xludf.DUMMYFUNCTION("""COMPUTED_VALUE"""),1966.0)</f>
        <v>1966</v>
      </c>
      <c r="E15399">
        <f>IFERROR(__xludf.DUMMYFUNCTION("""COMPUTED_VALUE"""),5553246.0)</f>
        <v>5553246</v>
      </c>
    </row>
    <row r="15400">
      <c r="A15400" t="str">
        <f t="shared" si="1"/>
        <v>syr#1967</v>
      </c>
      <c r="B15400" t="str">
        <f>IFERROR(__xludf.DUMMYFUNCTION("""COMPUTED_VALUE"""),"syr")</f>
        <v>syr</v>
      </c>
      <c r="C15400" t="str">
        <f>IFERROR(__xludf.DUMMYFUNCTION("""COMPUTED_VALUE"""),"Syria")</f>
        <v>Syria</v>
      </c>
      <c r="D15400">
        <f>IFERROR(__xludf.DUMMYFUNCTION("""COMPUTED_VALUE"""),1967.0)</f>
        <v>1967</v>
      </c>
      <c r="E15400">
        <f>IFERROR(__xludf.DUMMYFUNCTION("""COMPUTED_VALUE"""),5740710.0)</f>
        <v>5740710</v>
      </c>
    </row>
    <row r="15401">
      <c r="A15401" t="str">
        <f t="shared" si="1"/>
        <v>syr#1968</v>
      </c>
      <c r="B15401" t="str">
        <f>IFERROR(__xludf.DUMMYFUNCTION("""COMPUTED_VALUE"""),"syr")</f>
        <v>syr</v>
      </c>
      <c r="C15401" t="str">
        <f>IFERROR(__xludf.DUMMYFUNCTION("""COMPUTED_VALUE"""),"Syria")</f>
        <v>Syria</v>
      </c>
      <c r="D15401">
        <f>IFERROR(__xludf.DUMMYFUNCTION("""COMPUTED_VALUE"""),1968.0)</f>
        <v>1968</v>
      </c>
      <c r="E15401">
        <f>IFERROR(__xludf.DUMMYFUNCTION("""COMPUTED_VALUE"""),5935860.0)</f>
        <v>5935860</v>
      </c>
    </row>
    <row r="15402">
      <c r="A15402" t="str">
        <f t="shared" si="1"/>
        <v>syr#1969</v>
      </c>
      <c r="B15402" t="str">
        <f>IFERROR(__xludf.DUMMYFUNCTION("""COMPUTED_VALUE"""),"syr")</f>
        <v>syr</v>
      </c>
      <c r="C15402" t="str">
        <f>IFERROR(__xludf.DUMMYFUNCTION("""COMPUTED_VALUE"""),"Syria")</f>
        <v>Syria</v>
      </c>
      <c r="D15402">
        <f>IFERROR(__xludf.DUMMYFUNCTION("""COMPUTED_VALUE"""),1969.0)</f>
        <v>1969</v>
      </c>
      <c r="E15402">
        <f>IFERROR(__xludf.DUMMYFUNCTION("""COMPUTED_VALUE"""),6139048.0)</f>
        <v>6139048</v>
      </c>
    </row>
    <row r="15403">
      <c r="A15403" t="str">
        <f t="shared" si="1"/>
        <v>syr#1970</v>
      </c>
      <c r="B15403" t="str">
        <f>IFERROR(__xludf.DUMMYFUNCTION("""COMPUTED_VALUE"""),"syr")</f>
        <v>syr</v>
      </c>
      <c r="C15403" t="str">
        <f>IFERROR(__xludf.DUMMYFUNCTION("""COMPUTED_VALUE"""),"Syria")</f>
        <v>Syria</v>
      </c>
      <c r="D15403">
        <f>IFERROR(__xludf.DUMMYFUNCTION("""COMPUTED_VALUE"""),1970.0)</f>
        <v>1970</v>
      </c>
      <c r="E15403">
        <f>IFERROR(__xludf.DUMMYFUNCTION("""COMPUTED_VALUE"""),6350541.0)</f>
        <v>6350541</v>
      </c>
    </row>
    <row r="15404">
      <c r="A15404" t="str">
        <f t="shared" si="1"/>
        <v>syr#1971</v>
      </c>
      <c r="B15404" t="str">
        <f>IFERROR(__xludf.DUMMYFUNCTION("""COMPUTED_VALUE"""),"syr")</f>
        <v>syr</v>
      </c>
      <c r="C15404" t="str">
        <f>IFERROR(__xludf.DUMMYFUNCTION("""COMPUTED_VALUE"""),"Syria")</f>
        <v>Syria</v>
      </c>
      <c r="D15404">
        <f>IFERROR(__xludf.DUMMYFUNCTION("""COMPUTED_VALUE"""),1971.0)</f>
        <v>1971</v>
      </c>
      <c r="E15404">
        <f>IFERROR(__xludf.DUMMYFUNCTION("""COMPUTED_VALUE"""),6570857.0)</f>
        <v>6570857</v>
      </c>
    </row>
    <row r="15405">
      <c r="A15405" t="str">
        <f t="shared" si="1"/>
        <v>syr#1972</v>
      </c>
      <c r="B15405" t="str">
        <f>IFERROR(__xludf.DUMMYFUNCTION("""COMPUTED_VALUE"""),"syr")</f>
        <v>syr</v>
      </c>
      <c r="C15405" t="str">
        <f>IFERROR(__xludf.DUMMYFUNCTION("""COMPUTED_VALUE"""),"Syria")</f>
        <v>Syria</v>
      </c>
      <c r="D15405">
        <f>IFERROR(__xludf.DUMMYFUNCTION("""COMPUTED_VALUE"""),1972.0)</f>
        <v>1972</v>
      </c>
      <c r="E15405">
        <f>IFERROR(__xludf.DUMMYFUNCTION("""COMPUTED_VALUE"""),6800141.0)</f>
        <v>6800141</v>
      </c>
    </row>
    <row r="15406">
      <c r="A15406" t="str">
        <f t="shared" si="1"/>
        <v>syr#1973</v>
      </c>
      <c r="B15406" t="str">
        <f>IFERROR(__xludf.DUMMYFUNCTION("""COMPUTED_VALUE"""),"syr")</f>
        <v>syr</v>
      </c>
      <c r="C15406" t="str">
        <f>IFERROR(__xludf.DUMMYFUNCTION("""COMPUTED_VALUE"""),"Syria")</f>
        <v>Syria</v>
      </c>
      <c r="D15406">
        <f>IFERROR(__xludf.DUMMYFUNCTION("""COMPUTED_VALUE"""),1973.0)</f>
        <v>1973</v>
      </c>
      <c r="E15406">
        <f>IFERROR(__xludf.DUMMYFUNCTION("""COMPUTED_VALUE"""),7037851.0)</f>
        <v>7037851</v>
      </c>
    </row>
    <row r="15407">
      <c r="A15407" t="str">
        <f t="shared" si="1"/>
        <v>syr#1974</v>
      </c>
      <c r="B15407" t="str">
        <f>IFERROR(__xludf.DUMMYFUNCTION("""COMPUTED_VALUE"""),"syr")</f>
        <v>syr</v>
      </c>
      <c r="C15407" t="str">
        <f>IFERROR(__xludf.DUMMYFUNCTION("""COMPUTED_VALUE"""),"Syria")</f>
        <v>Syria</v>
      </c>
      <c r="D15407">
        <f>IFERROR(__xludf.DUMMYFUNCTION("""COMPUTED_VALUE"""),1974.0)</f>
        <v>1974</v>
      </c>
      <c r="E15407">
        <f>IFERROR(__xludf.DUMMYFUNCTION("""COMPUTED_VALUE"""),7283177.0)</f>
        <v>7283177</v>
      </c>
    </row>
    <row r="15408">
      <c r="A15408" t="str">
        <f t="shared" si="1"/>
        <v>syr#1975</v>
      </c>
      <c r="B15408" t="str">
        <f>IFERROR(__xludf.DUMMYFUNCTION("""COMPUTED_VALUE"""),"syr")</f>
        <v>syr</v>
      </c>
      <c r="C15408" t="str">
        <f>IFERROR(__xludf.DUMMYFUNCTION("""COMPUTED_VALUE"""),"Syria")</f>
        <v>Syria</v>
      </c>
      <c r="D15408">
        <f>IFERROR(__xludf.DUMMYFUNCTION("""COMPUTED_VALUE"""),1975.0)</f>
        <v>1975</v>
      </c>
      <c r="E15408">
        <f>IFERROR(__xludf.DUMMYFUNCTION("""COMPUTED_VALUE"""),7535714.0)</f>
        <v>7535714</v>
      </c>
    </row>
    <row r="15409">
      <c r="A15409" t="str">
        <f t="shared" si="1"/>
        <v>syr#1976</v>
      </c>
      <c r="B15409" t="str">
        <f>IFERROR(__xludf.DUMMYFUNCTION("""COMPUTED_VALUE"""),"syr")</f>
        <v>syr</v>
      </c>
      <c r="C15409" t="str">
        <f>IFERROR(__xludf.DUMMYFUNCTION("""COMPUTED_VALUE"""),"Syria")</f>
        <v>Syria</v>
      </c>
      <c r="D15409">
        <f>IFERROR(__xludf.DUMMYFUNCTION("""COMPUTED_VALUE"""),1976.0)</f>
        <v>1976</v>
      </c>
      <c r="E15409">
        <f>IFERROR(__xludf.DUMMYFUNCTION("""COMPUTED_VALUE"""),7794662.0)</f>
        <v>7794662</v>
      </c>
    </row>
    <row r="15410">
      <c r="A15410" t="str">
        <f t="shared" si="1"/>
        <v>syr#1977</v>
      </c>
      <c r="B15410" t="str">
        <f>IFERROR(__xludf.DUMMYFUNCTION("""COMPUTED_VALUE"""),"syr")</f>
        <v>syr</v>
      </c>
      <c r="C15410" t="str">
        <f>IFERROR(__xludf.DUMMYFUNCTION("""COMPUTED_VALUE"""),"Syria")</f>
        <v>Syria</v>
      </c>
      <c r="D15410">
        <f>IFERROR(__xludf.DUMMYFUNCTION("""COMPUTED_VALUE"""),1977.0)</f>
        <v>1977</v>
      </c>
      <c r="E15410">
        <f>IFERROR(__xludf.DUMMYFUNCTION("""COMPUTED_VALUE"""),8060649.0)</f>
        <v>8060649</v>
      </c>
    </row>
    <row r="15411">
      <c r="A15411" t="str">
        <f t="shared" si="1"/>
        <v>syr#1978</v>
      </c>
      <c r="B15411" t="str">
        <f>IFERROR(__xludf.DUMMYFUNCTION("""COMPUTED_VALUE"""),"syr")</f>
        <v>syr</v>
      </c>
      <c r="C15411" t="str">
        <f>IFERROR(__xludf.DUMMYFUNCTION("""COMPUTED_VALUE"""),"Syria")</f>
        <v>Syria</v>
      </c>
      <c r="D15411">
        <f>IFERROR(__xludf.DUMMYFUNCTION("""COMPUTED_VALUE"""),1978.0)</f>
        <v>1978</v>
      </c>
      <c r="E15411">
        <f>IFERROR(__xludf.DUMMYFUNCTION("""COMPUTED_VALUE"""),8336418.0)</f>
        <v>8336418</v>
      </c>
    </row>
    <row r="15412">
      <c r="A15412" t="str">
        <f t="shared" si="1"/>
        <v>syr#1979</v>
      </c>
      <c r="B15412" t="str">
        <f>IFERROR(__xludf.DUMMYFUNCTION("""COMPUTED_VALUE"""),"syr")</f>
        <v>syr</v>
      </c>
      <c r="C15412" t="str">
        <f>IFERROR(__xludf.DUMMYFUNCTION("""COMPUTED_VALUE"""),"Syria")</f>
        <v>Syria</v>
      </c>
      <c r="D15412">
        <f>IFERROR(__xludf.DUMMYFUNCTION("""COMPUTED_VALUE"""),1979.0)</f>
        <v>1979</v>
      </c>
      <c r="E15412">
        <f>IFERROR(__xludf.DUMMYFUNCTION("""COMPUTED_VALUE"""),8625690.0)</f>
        <v>8625690</v>
      </c>
    </row>
    <row r="15413">
      <c r="A15413" t="str">
        <f t="shared" si="1"/>
        <v>syr#1980</v>
      </c>
      <c r="B15413" t="str">
        <f>IFERROR(__xludf.DUMMYFUNCTION("""COMPUTED_VALUE"""),"syr")</f>
        <v>syr</v>
      </c>
      <c r="C15413" t="str">
        <f>IFERROR(__xludf.DUMMYFUNCTION("""COMPUTED_VALUE"""),"Syria")</f>
        <v>Syria</v>
      </c>
      <c r="D15413">
        <f>IFERROR(__xludf.DUMMYFUNCTION("""COMPUTED_VALUE"""),1980.0)</f>
        <v>1980</v>
      </c>
      <c r="E15413">
        <f>IFERROR(__xludf.DUMMYFUNCTION("""COMPUTED_VALUE"""),8930774.0)</f>
        <v>8930774</v>
      </c>
    </row>
    <row r="15414">
      <c r="A15414" t="str">
        <f t="shared" si="1"/>
        <v>syr#1981</v>
      </c>
      <c r="B15414" t="str">
        <f>IFERROR(__xludf.DUMMYFUNCTION("""COMPUTED_VALUE"""),"syr")</f>
        <v>syr</v>
      </c>
      <c r="C15414" t="str">
        <f>IFERROR(__xludf.DUMMYFUNCTION("""COMPUTED_VALUE"""),"Syria")</f>
        <v>Syria</v>
      </c>
      <c r="D15414">
        <f>IFERROR(__xludf.DUMMYFUNCTION("""COMPUTED_VALUE"""),1981.0)</f>
        <v>1981</v>
      </c>
      <c r="E15414">
        <f>IFERROR(__xludf.DUMMYFUNCTION("""COMPUTED_VALUE"""),9252851.0)</f>
        <v>9252851</v>
      </c>
    </row>
    <row r="15415">
      <c r="A15415" t="str">
        <f t="shared" si="1"/>
        <v>syr#1982</v>
      </c>
      <c r="B15415" t="str">
        <f>IFERROR(__xludf.DUMMYFUNCTION("""COMPUTED_VALUE"""),"syr")</f>
        <v>syr</v>
      </c>
      <c r="C15415" t="str">
        <f>IFERROR(__xludf.DUMMYFUNCTION("""COMPUTED_VALUE"""),"Syria")</f>
        <v>Syria</v>
      </c>
      <c r="D15415">
        <f>IFERROR(__xludf.DUMMYFUNCTION("""COMPUTED_VALUE"""),1982.0)</f>
        <v>1982</v>
      </c>
      <c r="E15415">
        <f>IFERROR(__xludf.DUMMYFUNCTION("""COMPUTED_VALUE"""),9590227.0)</f>
        <v>9590227</v>
      </c>
    </row>
    <row r="15416">
      <c r="A15416" t="str">
        <f t="shared" si="1"/>
        <v>syr#1983</v>
      </c>
      <c r="B15416" t="str">
        <f>IFERROR(__xludf.DUMMYFUNCTION("""COMPUTED_VALUE"""),"syr")</f>
        <v>syr</v>
      </c>
      <c r="C15416" t="str">
        <f>IFERROR(__xludf.DUMMYFUNCTION("""COMPUTED_VALUE"""),"Syria")</f>
        <v>Syria</v>
      </c>
      <c r="D15416">
        <f>IFERROR(__xludf.DUMMYFUNCTION("""COMPUTED_VALUE"""),1983.0)</f>
        <v>1983</v>
      </c>
      <c r="E15416">
        <f>IFERROR(__xludf.DUMMYFUNCTION("""COMPUTED_VALUE"""),9938847.0)</f>
        <v>9938847</v>
      </c>
    </row>
    <row r="15417">
      <c r="A15417" t="str">
        <f t="shared" si="1"/>
        <v>syr#1984</v>
      </c>
      <c r="B15417" t="str">
        <f>IFERROR(__xludf.DUMMYFUNCTION("""COMPUTED_VALUE"""),"syr")</f>
        <v>syr</v>
      </c>
      <c r="C15417" t="str">
        <f>IFERROR(__xludf.DUMMYFUNCTION("""COMPUTED_VALUE"""),"Syria")</f>
        <v>Syria</v>
      </c>
      <c r="D15417">
        <f>IFERROR(__xludf.DUMMYFUNCTION("""COMPUTED_VALUE"""),1984.0)</f>
        <v>1984</v>
      </c>
      <c r="E15417">
        <f>IFERROR(__xludf.DUMMYFUNCTION("""COMPUTED_VALUE"""),1.0293049E7)</f>
        <v>10293049</v>
      </c>
    </row>
    <row r="15418">
      <c r="A15418" t="str">
        <f t="shared" si="1"/>
        <v>syr#1985</v>
      </c>
      <c r="B15418" t="str">
        <f>IFERROR(__xludf.DUMMYFUNCTION("""COMPUTED_VALUE"""),"syr")</f>
        <v>syr</v>
      </c>
      <c r="C15418" t="str">
        <f>IFERROR(__xludf.DUMMYFUNCTION("""COMPUTED_VALUE"""),"Syria")</f>
        <v>Syria</v>
      </c>
      <c r="D15418">
        <f>IFERROR(__xludf.DUMMYFUNCTION("""COMPUTED_VALUE"""),1985.0)</f>
        <v>1985</v>
      </c>
      <c r="E15418">
        <f>IFERROR(__xludf.DUMMYFUNCTION("""COMPUTED_VALUE"""),1.0648632E7)</f>
        <v>10648632</v>
      </c>
    </row>
    <row r="15419">
      <c r="A15419" t="str">
        <f t="shared" si="1"/>
        <v>syr#1986</v>
      </c>
      <c r="B15419" t="str">
        <f>IFERROR(__xludf.DUMMYFUNCTION("""COMPUTED_VALUE"""),"syr")</f>
        <v>syr</v>
      </c>
      <c r="C15419" t="str">
        <f>IFERROR(__xludf.DUMMYFUNCTION("""COMPUTED_VALUE"""),"Syria")</f>
        <v>Syria</v>
      </c>
      <c r="D15419">
        <f>IFERROR(__xludf.DUMMYFUNCTION("""COMPUTED_VALUE"""),1986.0)</f>
        <v>1986</v>
      </c>
      <c r="E15419">
        <f>IFERROR(__xludf.DUMMYFUNCTION("""COMPUTED_VALUE"""),1.1004272E7)</f>
        <v>11004272</v>
      </c>
    </row>
    <row r="15420">
      <c r="A15420" t="str">
        <f t="shared" si="1"/>
        <v>syr#1987</v>
      </c>
      <c r="B15420" t="str">
        <f>IFERROR(__xludf.DUMMYFUNCTION("""COMPUTED_VALUE"""),"syr")</f>
        <v>syr</v>
      </c>
      <c r="C15420" t="str">
        <f>IFERROR(__xludf.DUMMYFUNCTION("""COMPUTED_VALUE"""),"Syria")</f>
        <v>Syria</v>
      </c>
      <c r="D15420">
        <f>IFERROR(__xludf.DUMMYFUNCTION("""COMPUTED_VALUE"""),1987.0)</f>
        <v>1987</v>
      </c>
      <c r="E15420">
        <f>IFERROR(__xludf.DUMMYFUNCTION("""COMPUTED_VALUE"""),1.1360852E7)</f>
        <v>11360852</v>
      </c>
    </row>
    <row r="15421">
      <c r="A15421" t="str">
        <f t="shared" si="1"/>
        <v>syr#1988</v>
      </c>
      <c r="B15421" t="str">
        <f>IFERROR(__xludf.DUMMYFUNCTION("""COMPUTED_VALUE"""),"syr")</f>
        <v>syr</v>
      </c>
      <c r="C15421" t="str">
        <f>IFERROR(__xludf.DUMMYFUNCTION("""COMPUTED_VALUE"""),"Syria")</f>
        <v>Syria</v>
      </c>
      <c r="D15421">
        <f>IFERROR(__xludf.DUMMYFUNCTION("""COMPUTED_VALUE"""),1988.0)</f>
        <v>1988</v>
      </c>
      <c r="E15421">
        <f>IFERROR(__xludf.DUMMYFUNCTION("""COMPUTED_VALUE"""),1.1719071E7)</f>
        <v>11719071</v>
      </c>
    </row>
    <row r="15422">
      <c r="A15422" t="str">
        <f t="shared" si="1"/>
        <v>syr#1989</v>
      </c>
      <c r="B15422" t="str">
        <f>IFERROR(__xludf.DUMMYFUNCTION("""COMPUTED_VALUE"""),"syr")</f>
        <v>syr</v>
      </c>
      <c r="C15422" t="str">
        <f>IFERROR(__xludf.DUMMYFUNCTION("""COMPUTED_VALUE"""),"Syria")</f>
        <v>Syria</v>
      </c>
      <c r="D15422">
        <f>IFERROR(__xludf.DUMMYFUNCTION("""COMPUTED_VALUE"""),1989.0)</f>
        <v>1989</v>
      </c>
      <c r="E15422">
        <f>IFERROR(__xludf.DUMMYFUNCTION("""COMPUTED_VALUE"""),1.2080444E7)</f>
        <v>12080444</v>
      </c>
    </row>
    <row r="15423">
      <c r="A15423" t="str">
        <f t="shared" si="1"/>
        <v>syr#1990</v>
      </c>
      <c r="B15423" t="str">
        <f>IFERROR(__xludf.DUMMYFUNCTION("""COMPUTED_VALUE"""),"syr")</f>
        <v>syr</v>
      </c>
      <c r="C15423" t="str">
        <f>IFERROR(__xludf.DUMMYFUNCTION("""COMPUTED_VALUE"""),"Syria")</f>
        <v>Syria</v>
      </c>
      <c r="D15423">
        <f>IFERROR(__xludf.DUMMYFUNCTION("""COMPUTED_VALUE"""),1990.0)</f>
        <v>1990</v>
      </c>
      <c r="E15423">
        <f>IFERROR(__xludf.DUMMYFUNCTION("""COMPUTED_VALUE"""),1.2446171E7)</f>
        <v>12446171</v>
      </c>
    </row>
    <row r="15424">
      <c r="A15424" t="str">
        <f t="shared" si="1"/>
        <v>syr#1991</v>
      </c>
      <c r="B15424" t="str">
        <f>IFERROR(__xludf.DUMMYFUNCTION("""COMPUTED_VALUE"""),"syr")</f>
        <v>syr</v>
      </c>
      <c r="C15424" t="str">
        <f>IFERROR(__xludf.DUMMYFUNCTION("""COMPUTED_VALUE"""),"Syria")</f>
        <v>Syria</v>
      </c>
      <c r="D15424">
        <f>IFERROR(__xludf.DUMMYFUNCTION("""COMPUTED_VALUE"""),1991.0)</f>
        <v>1991</v>
      </c>
      <c r="E15424">
        <f>IFERROR(__xludf.DUMMYFUNCTION("""COMPUTED_VALUE"""),1.2815219E7)</f>
        <v>12815219</v>
      </c>
    </row>
    <row r="15425">
      <c r="A15425" t="str">
        <f t="shared" si="1"/>
        <v>syr#1992</v>
      </c>
      <c r="B15425" t="str">
        <f>IFERROR(__xludf.DUMMYFUNCTION("""COMPUTED_VALUE"""),"syr")</f>
        <v>syr</v>
      </c>
      <c r="C15425" t="str">
        <f>IFERROR(__xludf.DUMMYFUNCTION("""COMPUTED_VALUE"""),"Syria")</f>
        <v>Syria</v>
      </c>
      <c r="D15425">
        <f>IFERROR(__xludf.DUMMYFUNCTION("""COMPUTED_VALUE"""),1992.0)</f>
        <v>1992</v>
      </c>
      <c r="E15425">
        <f>IFERROR(__xludf.DUMMYFUNCTION("""COMPUTED_VALUE"""),1.3187085E7)</f>
        <v>13187085</v>
      </c>
    </row>
    <row r="15426">
      <c r="A15426" t="str">
        <f t="shared" si="1"/>
        <v>syr#1993</v>
      </c>
      <c r="B15426" t="str">
        <f>IFERROR(__xludf.DUMMYFUNCTION("""COMPUTED_VALUE"""),"syr")</f>
        <v>syr</v>
      </c>
      <c r="C15426" t="str">
        <f>IFERROR(__xludf.DUMMYFUNCTION("""COMPUTED_VALUE"""),"Syria")</f>
        <v>Syria</v>
      </c>
      <c r="D15426">
        <f>IFERROR(__xludf.DUMMYFUNCTION("""COMPUTED_VALUE"""),1993.0)</f>
        <v>1993</v>
      </c>
      <c r="E15426">
        <f>IFERROR(__xludf.DUMMYFUNCTION("""COMPUTED_VALUE"""),1.3564167E7)</f>
        <v>13564167</v>
      </c>
    </row>
    <row r="15427">
      <c r="A15427" t="str">
        <f t="shared" si="1"/>
        <v>syr#1994</v>
      </c>
      <c r="B15427" t="str">
        <f>IFERROR(__xludf.DUMMYFUNCTION("""COMPUTED_VALUE"""),"syr")</f>
        <v>syr</v>
      </c>
      <c r="C15427" t="str">
        <f>IFERROR(__xludf.DUMMYFUNCTION("""COMPUTED_VALUE"""),"Syria")</f>
        <v>Syria</v>
      </c>
      <c r="D15427">
        <f>IFERROR(__xludf.DUMMYFUNCTION("""COMPUTED_VALUE"""),1994.0)</f>
        <v>1994</v>
      </c>
      <c r="E15427">
        <f>IFERROR(__xludf.DUMMYFUNCTION("""COMPUTED_VALUE"""),1.3949697E7)</f>
        <v>13949697</v>
      </c>
    </row>
    <row r="15428">
      <c r="A15428" t="str">
        <f t="shared" si="1"/>
        <v>syr#1995</v>
      </c>
      <c r="B15428" t="str">
        <f>IFERROR(__xludf.DUMMYFUNCTION("""COMPUTED_VALUE"""),"syr")</f>
        <v>syr</v>
      </c>
      <c r="C15428" t="str">
        <f>IFERROR(__xludf.DUMMYFUNCTION("""COMPUTED_VALUE"""),"Syria")</f>
        <v>Syria</v>
      </c>
      <c r="D15428">
        <f>IFERROR(__xludf.DUMMYFUNCTION("""COMPUTED_VALUE"""),1995.0)</f>
        <v>1995</v>
      </c>
      <c r="E15428">
        <f>IFERROR(__xludf.DUMMYFUNCTION("""COMPUTED_VALUE"""),1.4345492E7)</f>
        <v>14345492</v>
      </c>
    </row>
    <row r="15429">
      <c r="A15429" t="str">
        <f t="shared" si="1"/>
        <v>syr#1996</v>
      </c>
      <c r="B15429" t="str">
        <f>IFERROR(__xludf.DUMMYFUNCTION("""COMPUTED_VALUE"""),"syr")</f>
        <v>syr</v>
      </c>
      <c r="C15429" t="str">
        <f>IFERROR(__xludf.DUMMYFUNCTION("""COMPUTED_VALUE"""),"Syria")</f>
        <v>Syria</v>
      </c>
      <c r="D15429">
        <f>IFERROR(__xludf.DUMMYFUNCTION("""COMPUTED_VALUE"""),1996.0)</f>
        <v>1996</v>
      </c>
      <c r="E15429">
        <f>IFERROR(__xludf.DUMMYFUNCTION("""COMPUTED_VALUE"""),1.4755286E7)</f>
        <v>14755286</v>
      </c>
    </row>
    <row r="15430">
      <c r="A15430" t="str">
        <f t="shared" si="1"/>
        <v>syr#1997</v>
      </c>
      <c r="B15430" t="str">
        <f>IFERROR(__xludf.DUMMYFUNCTION("""COMPUTED_VALUE"""),"syr")</f>
        <v>syr</v>
      </c>
      <c r="C15430" t="str">
        <f>IFERROR(__xludf.DUMMYFUNCTION("""COMPUTED_VALUE"""),"Syria")</f>
        <v>Syria</v>
      </c>
      <c r="D15430">
        <f>IFERROR(__xludf.DUMMYFUNCTION("""COMPUTED_VALUE"""),1997.0)</f>
        <v>1997</v>
      </c>
      <c r="E15430">
        <f>IFERROR(__xludf.DUMMYFUNCTION("""COMPUTED_VALUE"""),1.5177456E7)</f>
        <v>15177456</v>
      </c>
    </row>
    <row r="15431">
      <c r="A15431" t="str">
        <f t="shared" si="1"/>
        <v>syr#1998</v>
      </c>
      <c r="B15431" t="str">
        <f>IFERROR(__xludf.DUMMYFUNCTION("""COMPUTED_VALUE"""),"syr")</f>
        <v>syr</v>
      </c>
      <c r="C15431" t="str">
        <f>IFERROR(__xludf.DUMMYFUNCTION("""COMPUTED_VALUE"""),"Syria")</f>
        <v>Syria</v>
      </c>
      <c r="D15431">
        <f>IFERROR(__xludf.DUMMYFUNCTION("""COMPUTED_VALUE"""),1998.0)</f>
        <v>1998</v>
      </c>
      <c r="E15431">
        <f>IFERROR(__xludf.DUMMYFUNCTION("""COMPUTED_VALUE"""),1.560221E7)</f>
        <v>15602210</v>
      </c>
    </row>
    <row r="15432">
      <c r="A15432" t="str">
        <f t="shared" si="1"/>
        <v>syr#1999</v>
      </c>
      <c r="B15432" t="str">
        <f>IFERROR(__xludf.DUMMYFUNCTION("""COMPUTED_VALUE"""),"syr")</f>
        <v>syr</v>
      </c>
      <c r="C15432" t="str">
        <f>IFERROR(__xludf.DUMMYFUNCTION("""COMPUTED_VALUE"""),"Syria")</f>
        <v>Syria</v>
      </c>
      <c r="D15432">
        <f>IFERROR(__xludf.DUMMYFUNCTION("""COMPUTED_VALUE"""),1999.0)</f>
        <v>1999</v>
      </c>
      <c r="E15432">
        <f>IFERROR(__xludf.DUMMYFUNCTION("""COMPUTED_VALUE"""),1.6016092E7)</f>
        <v>16016092</v>
      </c>
    </row>
    <row r="15433">
      <c r="A15433" t="str">
        <f t="shared" si="1"/>
        <v>syr#2000</v>
      </c>
      <c r="B15433" t="str">
        <f>IFERROR(__xludf.DUMMYFUNCTION("""COMPUTED_VALUE"""),"syr")</f>
        <v>syr</v>
      </c>
      <c r="C15433" t="str">
        <f>IFERROR(__xludf.DUMMYFUNCTION("""COMPUTED_VALUE"""),"Syria")</f>
        <v>Syria</v>
      </c>
      <c r="D15433">
        <f>IFERROR(__xludf.DUMMYFUNCTION("""COMPUTED_VALUE"""),2000.0)</f>
        <v>2000</v>
      </c>
      <c r="E15433">
        <f>IFERROR(__xludf.DUMMYFUNCTION("""COMPUTED_VALUE"""),1.6410848E7)</f>
        <v>16410848</v>
      </c>
    </row>
    <row r="15434">
      <c r="A15434" t="str">
        <f t="shared" si="1"/>
        <v>syr#2001</v>
      </c>
      <c r="B15434" t="str">
        <f>IFERROR(__xludf.DUMMYFUNCTION("""COMPUTED_VALUE"""),"syr")</f>
        <v>syr</v>
      </c>
      <c r="C15434" t="str">
        <f>IFERROR(__xludf.DUMMYFUNCTION("""COMPUTED_VALUE"""),"Syria")</f>
        <v>Syria</v>
      </c>
      <c r="D15434">
        <f>IFERROR(__xludf.DUMMYFUNCTION("""COMPUTED_VALUE"""),2001.0)</f>
        <v>2001</v>
      </c>
      <c r="E15434">
        <f>IFERROR(__xludf.DUMMYFUNCTION("""COMPUTED_VALUE"""),1.6766899E7)</f>
        <v>16766899</v>
      </c>
    </row>
    <row r="15435">
      <c r="A15435" t="str">
        <f t="shared" si="1"/>
        <v>syr#2002</v>
      </c>
      <c r="B15435" t="str">
        <f>IFERROR(__xludf.DUMMYFUNCTION("""COMPUTED_VALUE"""),"syr")</f>
        <v>syr</v>
      </c>
      <c r="C15435" t="str">
        <f>IFERROR(__xludf.DUMMYFUNCTION("""COMPUTED_VALUE"""),"Syria")</f>
        <v>Syria</v>
      </c>
      <c r="D15435">
        <f>IFERROR(__xludf.DUMMYFUNCTION("""COMPUTED_VALUE"""),2002.0)</f>
        <v>2002</v>
      </c>
      <c r="E15435">
        <f>IFERROR(__xludf.DUMMYFUNCTION("""COMPUTED_VALUE"""),1.7087901E7)</f>
        <v>17087901</v>
      </c>
    </row>
    <row r="15436">
      <c r="A15436" t="str">
        <f t="shared" si="1"/>
        <v>syr#2003</v>
      </c>
      <c r="B15436" t="str">
        <f>IFERROR(__xludf.DUMMYFUNCTION("""COMPUTED_VALUE"""),"syr")</f>
        <v>syr</v>
      </c>
      <c r="C15436" t="str">
        <f>IFERROR(__xludf.DUMMYFUNCTION("""COMPUTED_VALUE"""),"Syria")</f>
        <v>Syria</v>
      </c>
      <c r="D15436">
        <f>IFERROR(__xludf.DUMMYFUNCTION("""COMPUTED_VALUE"""),2003.0)</f>
        <v>2003</v>
      </c>
      <c r="E15436">
        <f>IFERROR(__xludf.DUMMYFUNCTION("""COMPUTED_VALUE"""),1.7415266E7)</f>
        <v>17415266</v>
      </c>
    </row>
    <row r="15437">
      <c r="A15437" t="str">
        <f t="shared" si="1"/>
        <v>syr#2004</v>
      </c>
      <c r="B15437" t="str">
        <f>IFERROR(__xludf.DUMMYFUNCTION("""COMPUTED_VALUE"""),"syr")</f>
        <v>syr</v>
      </c>
      <c r="C15437" t="str">
        <f>IFERROR(__xludf.DUMMYFUNCTION("""COMPUTED_VALUE"""),"Syria")</f>
        <v>Syria</v>
      </c>
      <c r="D15437">
        <f>IFERROR(__xludf.DUMMYFUNCTION("""COMPUTED_VALUE"""),2004.0)</f>
        <v>2004</v>
      </c>
      <c r="E15437">
        <f>IFERROR(__xludf.DUMMYFUNCTION("""COMPUTED_VALUE"""),1.7806638E7)</f>
        <v>17806638</v>
      </c>
    </row>
    <row r="15438">
      <c r="A15438" t="str">
        <f t="shared" si="1"/>
        <v>syr#2005</v>
      </c>
      <c r="B15438" t="str">
        <f>IFERROR(__xludf.DUMMYFUNCTION("""COMPUTED_VALUE"""),"syr")</f>
        <v>syr</v>
      </c>
      <c r="C15438" t="str">
        <f>IFERROR(__xludf.DUMMYFUNCTION("""COMPUTED_VALUE"""),"Syria")</f>
        <v>Syria</v>
      </c>
      <c r="D15438">
        <f>IFERROR(__xludf.DUMMYFUNCTION("""COMPUTED_VALUE"""),2005.0)</f>
        <v>2005</v>
      </c>
      <c r="E15438">
        <f>IFERROR(__xludf.DUMMYFUNCTION("""COMPUTED_VALUE"""),1.8294611E7)</f>
        <v>18294611</v>
      </c>
    </row>
    <row r="15439">
      <c r="A15439" t="str">
        <f t="shared" si="1"/>
        <v>syr#2006</v>
      </c>
      <c r="B15439" t="str">
        <f>IFERROR(__xludf.DUMMYFUNCTION("""COMPUTED_VALUE"""),"syr")</f>
        <v>syr</v>
      </c>
      <c r="C15439" t="str">
        <f>IFERROR(__xludf.DUMMYFUNCTION("""COMPUTED_VALUE"""),"Syria")</f>
        <v>Syria</v>
      </c>
      <c r="D15439">
        <f>IFERROR(__xludf.DUMMYFUNCTION("""COMPUTED_VALUE"""),2006.0)</f>
        <v>2006</v>
      </c>
      <c r="E15439">
        <f>IFERROR(__xludf.DUMMYFUNCTION("""COMPUTED_VALUE"""),1.8914977E7)</f>
        <v>18914977</v>
      </c>
    </row>
    <row r="15440">
      <c r="A15440" t="str">
        <f t="shared" si="1"/>
        <v>syr#2007</v>
      </c>
      <c r="B15440" t="str">
        <f>IFERROR(__xludf.DUMMYFUNCTION("""COMPUTED_VALUE"""),"syr")</f>
        <v>syr</v>
      </c>
      <c r="C15440" t="str">
        <f>IFERROR(__xludf.DUMMYFUNCTION("""COMPUTED_VALUE"""),"Syria")</f>
        <v>Syria</v>
      </c>
      <c r="D15440">
        <f>IFERROR(__xludf.DUMMYFUNCTION("""COMPUTED_VALUE"""),2007.0)</f>
        <v>2007</v>
      </c>
      <c r="E15440">
        <f>IFERROR(__xludf.DUMMYFUNCTION("""COMPUTED_VALUE"""),1.9632806E7)</f>
        <v>19632806</v>
      </c>
    </row>
    <row r="15441">
      <c r="A15441" t="str">
        <f t="shared" si="1"/>
        <v>syr#2008</v>
      </c>
      <c r="B15441" t="str">
        <f>IFERROR(__xludf.DUMMYFUNCTION("""COMPUTED_VALUE"""),"syr")</f>
        <v>syr</v>
      </c>
      <c r="C15441" t="str">
        <f>IFERROR(__xludf.DUMMYFUNCTION("""COMPUTED_VALUE"""),"Syria")</f>
        <v>Syria</v>
      </c>
      <c r="D15441">
        <f>IFERROR(__xludf.DUMMYFUNCTION("""COMPUTED_VALUE"""),2008.0)</f>
        <v>2008</v>
      </c>
      <c r="E15441">
        <f>IFERROR(__xludf.DUMMYFUNCTION("""COMPUTED_VALUE"""),2.0325443E7)</f>
        <v>20325443</v>
      </c>
    </row>
    <row r="15442">
      <c r="A15442" t="str">
        <f t="shared" si="1"/>
        <v>syr#2009</v>
      </c>
      <c r="B15442" t="str">
        <f>IFERROR(__xludf.DUMMYFUNCTION("""COMPUTED_VALUE"""),"syr")</f>
        <v>syr</v>
      </c>
      <c r="C15442" t="str">
        <f>IFERROR(__xludf.DUMMYFUNCTION("""COMPUTED_VALUE"""),"Syria")</f>
        <v>Syria</v>
      </c>
      <c r="D15442">
        <f>IFERROR(__xludf.DUMMYFUNCTION("""COMPUTED_VALUE"""),2009.0)</f>
        <v>2009</v>
      </c>
      <c r="E15442">
        <f>IFERROR(__xludf.DUMMYFUNCTION("""COMPUTED_VALUE"""),2.0824893E7)</f>
        <v>20824893</v>
      </c>
    </row>
    <row r="15443">
      <c r="A15443" t="str">
        <f t="shared" si="1"/>
        <v>syr#2010</v>
      </c>
      <c r="B15443" t="str">
        <f>IFERROR(__xludf.DUMMYFUNCTION("""COMPUTED_VALUE"""),"syr")</f>
        <v>syr</v>
      </c>
      <c r="C15443" t="str">
        <f>IFERROR(__xludf.DUMMYFUNCTION("""COMPUTED_VALUE"""),"Syria")</f>
        <v>Syria</v>
      </c>
      <c r="D15443">
        <f>IFERROR(__xludf.DUMMYFUNCTION("""COMPUTED_VALUE"""),2010.0)</f>
        <v>2010</v>
      </c>
      <c r="E15443">
        <f>IFERROR(__xludf.DUMMYFUNCTION("""COMPUTED_VALUE"""),2.1018834E7)</f>
        <v>21018834</v>
      </c>
    </row>
    <row r="15444">
      <c r="A15444" t="str">
        <f t="shared" si="1"/>
        <v>syr#2011</v>
      </c>
      <c r="B15444" t="str">
        <f>IFERROR(__xludf.DUMMYFUNCTION("""COMPUTED_VALUE"""),"syr")</f>
        <v>syr</v>
      </c>
      <c r="C15444" t="str">
        <f>IFERROR(__xludf.DUMMYFUNCTION("""COMPUTED_VALUE"""),"Syria")</f>
        <v>Syria</v>
      </c>
      <c r="D15444">
        <f>IFERROR(__xludf.DUMMYFUNCTION("""COMPUTED_VALUE"""),2011.0)</f>
        <v>2011</v>
      </c>
      <c r="E15444">
        <f>IFERROR(__xludf.DUMMYFUNCTION("""COMPUTED_VALUE"""),2.0863993E7)</f>
        <v>20863993</v>
      </c>
    </row>
    <row r="15445">
      <c r="A15445" t="str">
        <f t="shared" si="1"/>
        <v>syr#2012</v>
      </c>
      <c r="B15445" t="str">
        <f>IFERROR(__xludf.DUMMYFUNCTION("""COMPUTED_VALUE"""),"syr")</f>
        <v>syr</v>
      </c>
      <c r="C15445" t="str">
        <f>IFERROR(__xludf.DUMMYFUNCTION("""COMPUTED_VALUE"""),"Syria")</f>
        <v>Syria</v>
      </c>
      <c r="D15445">
        <f>IFERROR(__xludf.DUMMYFUNCTION("""COMPUTED_VALUE"""),2012.0)</f>
        <v>2012</v>
      </c>
      <c r="E15445">
        <f>IFERROR(__xludf.DUMMYFUNCTION("""COMPUTED_VALUE"""),2.0420701E7)</f>
        <v>20420701</v>
      </c>
    </row>
    <row r="15446">
      <c r="A15446" t="str">
        <f t="shared" si="1"/>
        <v>syr#2013</v>
      </c>
      <c r="B15446" t="str">
        <f>IFERROR(__xludf.DUMMYFUNCTION("""COMPUTED_VALUE"""),"syr")</f>
        <v>syr</v>
      </c>
      <c r="C15446" t="str">
        <f>IFERROR(__xludf.DUMMYFUNCTION("""COMPUTED_VALUE"""),"Syria")</f>
        <v>Syria</v>
      </c>
      <c r="D15446">
        <f>IFERROR(__xludf.DUMMYFUNCTION("""COMPUTED_VALUE"""),2013.0)</f>
        <v>2013</v>
      </c>
      <c r="E15446">
        <f>IFERROR(__xludf.DUMMYFUNCTION("""COMPUTED_VALUE"""),1.9809141E7)</f>
        <v>19809141</v>
      </c>
    </row>
    <row r="15447">
      <c r="A15447" t="str">
        <f t="shared" si="1"/>
        <v>syr#2014</v>
      </c>
      <c r="B15447" t="str">
        <f>IFERROR(__xludf.DUMMYFUNCTION("""COMPUTED_VALUE"""),"syr")</f>
        <v>syr</v>
      </c>
      <c r="C15447" t="str">
        <f>IFERROR(__xludf.DUMMYFUNCTION("""COMPUTED_VALUE"""),"Syria")</f>
        <v>Syria</v>
      </c>
      <c r="D15447">
        <f>IFERROR(__xludf.DUMMYFUNCTION("""COMPUTED_VALUE"""),2014.0)</f>
        <v>2014</v>
      </c>
      <c r="E15447">
        <f>IFERROR(__xludf.DUMMYFUNCTION("""COMPUTED_VALUE"""),1.920309E7)</f>
        <v>19203090</v>
      </c>
    </row>
    <row r="15448">
      <c r="A15448" t="str">
        <f t="shared" si="1"/>
        <v>syr#2015</v>
      </c>
      <c r="B15448" t="str">
        <f>IFERROR(__xludf.DUMMYFUNCTION("""COMPUTED_VALUE"""),"syr")</f>
        <v>syr</v>
      </c>
      <c r="C15448" t="str">
        <f>IFERROR(__xludf.DUMMYFUNCTION("""COMPUTED_VALUE"""),"Syria")</f>
        <v>Syria</v>
      </c>
      <c r="D15448">
        <f>IFERROR(__xludf.DUMMYFUNCTION("""COMPUTED_VALUE"""),2015.0)</f>
        <v>2015</v>
      </c>
      <c r="E15448">
        <f>IFERROR(__xludf.DUMMYFUNCTION("""COMPUTED_VALUE"""),1.8734987E7)</f>
        <v>18734987</v>
      </c>
    </row>
    <row r="15449">
      <c r="A15449" t="str">
        <f t="shared" si="1"/>
        <v>syr#2016</v>
      </c>
      <c r="B15449" t="str">
        <f>IFERROR(__xludf.DUMMYFUNCTION("""COMPUTED_VALUE"""),"syr")</f>
        <v>syr</v>
      </c>
      <c r="C15449" t="str">
        <f>IFERROR(__xludf.DUMMYFUNCTION("""COMPUTED_VALUE"""),"Syria")</f>
        <v>Syria</v>
      </c>
      <c r="D15449">
        <f>IFERROR(__xludf.DUMMYFUNCTION("""COMPUTED_VALUE"""),2016.0)</f>
        <v>2016</v>
      </c>
      <c r="E15449">
        <f>IFERROR(__xludf.DUMMYFUNCTION("""COMPUTED_VALUE"""),1.8430453E7)</f>
        <v>18430453</v>
      </c>
    </row>
    <row r="15450">
      <c r="A15450" t="str">
        <f t="shared" si="1"/>
        <v>syr#2017</v>
      </c>
      <c r="B15450" t="str">
        <f>IFERROR(__xludf.DUMMYFUNCTION("""COMPUTED_VALUE"""),"syr")</f>
        <v>syr</v>
      </c>
      <c r="C15450" t="str">
        <f>IFERROR(__xludf.DUMMYFUNCTION("""COMPUTED_VALUE"""),"Syria")</f>
        <v>Syria</v>
      </c>
      <c r="D15450">
        <f>IFERROR(__xludf.DUMMYFUNCTION("""COMPUTED_VALUE"""),2017.0)</f>
        <v>2017</v>
      </c>
      <c r="E15450">
        <f>IFERROR(__xludf.DUMMYFUNCTION("""COMPUTED_VALUE"""),1.8269868E7)</f>
        <v>18269868</v>
      </c>
    </row>
    <row r="15451">
      <c r="A15451" t="str">
        <f t="shared" si="1"/>
        <v>syr#2018</v>
      </c>
      <c r="B15451" t="str">
        <f>IFERROR(__xludf.DUMMYFUNCTION("""COMPUTED_VALUE"""),"syr")</f>
        <v>syr</v>
      </c>
      <c r="C15451" t="str">
        <f>IFERROR(__xludf.DUMMYFUNCTION("""COMPUTED_VALUE"""),"Syria")</f>
        <v>Syria</v>
      </c>
      <c r="D15451">
        <f>IFERROR(__xludf.DUMMYFUNCTION("""COMPUTED_VALUE"""),2018.0)</f>
        <v>2018</v>
      </c>
      <c r="E15451">
        <f>IFERROR(__xludf.DUMMYFUNCTION("""COMPUTED_VALUE"""),1.8284407E7)</f>
        <v>18284407</v>
      </c>
    </row>
    <row r="15452">
      <c r="A15452" t="str">
        <f t="shared" si="1"/>
        <v>syr#2019</v>
      </c>
      <c r="B15452" t="str">
        <f>IFERROR(__xludf.DUMMYFUNCTION("""COMPUTED_VALUE"""),"syr")</f>
        <v>syr</v>
      </c>
      <c r="C15452" t="str">
        <f>IFERROR(__xludf.DUMMYFUNCTION("""COMPUTED_VALUE"""),"Syria")</f>
        <v>Syria</v>
      </c>
      <c r="D15452">
        <f>IFERROR(__xludf.DUMMYFUNCTION("""COMPUTED_VALUE"""),2019.0)</f>
        <v>2019</v>
      </c>
      <c r="E15452">
        <f>IFERROR(__xludf.DUMMYFUNCTION("""COMPUTED_VALUE"""),1.8499181E7)</f>
        <v>18499181</v>
      </c>
    </row>
    <row r="15453">
      <c r="A15453" t="str">
        <f t="shared" si="1"/>
        <v>syr#2020</v>
      </c>
      <c r="B15453" t="str">
        <f>IFERROR(__xludf.DUMMYFUNCTION("""COMPUTED_VALUE"""),"syr")</f>
        <v>syr</v>
      </c>
      <c r="C15453" t="str">
        <f>IFERROR(__xludf.DUMMYFUNCTION("""COMPUTED_VALUE"""),"Syria")</f>
        <v>Syria</v>
      </c>
      <c r="D15453">
        <f>IFERROR(__xludf.DUMMYFUNCTION("""COMPUTED_VALUE"""),2020.0)</f>
        <v>2020</v>
      </c>
      <c r="E15453">
        <f>IFERROR(__xludf.DUMMYFUNCTION("""COMPUTED_VALUE"""),1.8924442E7)</f>
        <v>18924442</v>
      </c>
    </row>
    <row r="15454">
      <c r="A15454" t="str">
        <f t="shared" si="1"/>
        <v>syr#2021</v>
      </c>
      <c r="B15454" t="str">
        <f>IFERROR(__xludf.DUMMYFUNCTION("""COMPUTED_VALUE"""),"syr")</f>
        <v>syr</v>
      </c>
      <c r="C15454" t="str">
        <f>IFERROR(__xludf.DUMMYFUNCTION("""COMPUTED_VALUE"""),"Syria")</f>
        <v>Syria</v>
      </c>
      <c r="D15454">
        <f>IFERROR(__xludf.DUMMYFUNCTION("""COMPUTED_VALUE"""),2021.0)</f>
        <v>2021</v>
      </c>
      <c r="E15454">
        <f>IFERROR(__xludf.DUMMYFUNCTION("""COMPUTED_VALUE"""),1.9586107E7)</f>
        <v>19586107</v>
      </c>
    </row>
    <row r="15455">
      <c r="A15455" t="str">
        <f t="shared" si="1"/>
        <v>syr#2022</v>
      </c>
      <c r="B15455" t="str">
        <f>IFERROR(__xludf.DUMMYFUNCTION("""COMPUTED_VALUE"""),"syr")</f>
        <v>syr</v>
      </c>
      <c r="C15455" t="str">
        <f>IFERROR(__xludf.DUMMYFUNCTION("""COMPUTED_VALUE"""),"Syria")</f>
        <v>Syria</v>
      </c>
      <c r="D15455">
        <f>IFERROR(__xludf.DUMMYFUNCTION("""COMPUTED_VALUE"""),2022.0)</f>
        <v>2022</v>
      </c>
      <c r="E15455">
        <f>IFERROR(__xludf.DUMMYFUNCTION("""COMPUTED_VALUE"""),2.0466483E7)</f>
        <v>20466483</v>
      </c>
    </row>
    <row r="15456">
      <c r="A15456" t="str">
        <f t="shared" si="1"/>
        <v>syr#2023</v>
      </c>
      <c r="B15456" t="str">
        <f>IFERROR(__xludf.DUMMYFUNCTION("""COMPUTED_VALUE"""),"syr")</f>
        <v>syr</v>
      </c>
      <c r="C15456" t="str">
        <f>IFERROR(__xludf.DUMMYFUNCTION("""COMPUTED_VALUE"""),"Syria")</f>
        <v>Syria</v>
      </c>
      <c r="D15456">
        <f>IFERROR(__xludf.DUMMYFUNCTION("""COMPUTED_VALUE"""),2023.0)</f>
        <v>2023</v>
      </c>
      <c r="E15456">
        <f>IFERROR(__xludf.DUMMYFUNCTION("""COMPUTED_VALUE"""),2.1475277E7)</f>
        <v>21475277</v>
      </c>
    </row>
    <row r="15457">
      <c r="A15457" t="str">
        <f t="shared" si="1"/>
        <v>syr#2024</v>
      </c>
      <c r="B15457" t="str">
        <f>IFERROR(__xludf.DUMMYFUNCTION("""COMPUTED_VALUE"""),"syr")</f>
        <v>syr</v>
      </c>
      <c r="C15457" t="str">
        <f>IFERROR(__xludf.DUMMYFUNCTION("""COMPUTED_VALUE"""),"Syria")</f>
        <v>Syria</v>
      </c>
      <c r="D15457">
        <f>IFERROR(__xludf.DUMMYFUNCTION("""COMPUTED_VALUE"""),2024.0)</f>
        <v>2024</v>
      </c>
      <c r="E15457">
        <f>IFERROR(__xludf.DUMMYFUNCTION("""COMPUTED_VALUE"""),2.2487636E7)</f>
        <v>22487636</v>
      </c>
    </row>
    <row r="15458">
      <c r="A15458" t="str">
        <f t="shared" si="1"/>
        <v>syr#2025</v>
      </c>
      <c r="B15458" t="str">
        <f>IFERROR(__xludf.DUMMYFUNCTION("""COMPUTED_VALUE"""),"syr")</f>
        <v>syr</v>
      </c>
      <c r="C15458" t="str">
        <f>IFERROR(__xludf.DUMMYFUNCTION("""COMPUTED_VALUE"""),"Syria")</f>
        <v>Syria</v>
      </c>
      <c r="D15458">
        <f>IFERROR(__xludf.DUMMYFUNCTION("""COMPUTED_VALUE"""),2025.0)</f>
        <v>2025</v>
      </c>
      <c r="E15458">
        <f>IFERROR(__xludf.DUMMYFUNCTION("""COMPUTED_VALUE"""),2.3410906E7)</f>
        <v>23410906</v>
      </c>
    </row>
    <row r="15459">
      <c r="A15459" t="str">
        <f t="shared" si="1"/>
        <v>syr#2026</v>
      </c>
      <c r="B15459" t="str">
        <f>IFERROR(__xludf.DUMMYFUNCTION("""COMPUTED_VALUE"""),"syr")</f>
        <v>syr</v>
      </c>
      <c r="C15459" t="str">
        <f>IFERROR(__xludf.DUMMYFUNCTION("""COMPUTED_VALUE"""),"Syria")</f>
        <v>Syria</v>
      </c>
      <c r="D15459">
        <f>IFERROR(__xludf.DUMMYFUNCTION("""COMPUTED_VALUE"""),2026.0)</f>
        <v>2026</v>
      </c>
      <c r="E15459">
        <f>IFERROR(__xludf.DUMMYFUNCTION("""COMPUTED_VALUE"""),2.4211928E7)</f>
        <v>24211928</v>
      </c>
    </row>
    <row r="15460">
      <c r="A15460" t="str">
        <f t="shared" si="1"/>
        <v>syr#2027</v>
      </c>
      <c r="B15460" t="str">
        <f>IFERROR(__xludf.DUMMYFUNCTION("""COMPUTED_VALUE"""),"syr")</f>
        <v>syr</v>
      </c>
      <c r="C15460" t="str">
        <f>IFERROR(__xludf.DUMMYFUNCTION("""COMPUTED_VALUE"""),"Syria")</f>
        <v>Syria</v>
      </c>
      <c r="D15460">
        <f>IFERROR(__xludf.DUMMYFUNCTION("""COMPUTED_VALUE"""),2027.0)</f>
        <v>2027</v>
      </c>
      <c r="E15460">
        <f>IFERROR(__xludf.DUMMYFUNCTION("""COMPUTED_VALUE"""),2.4907221E7)</f>
        <v>24907221</v>
      </c>
    </row>
    <row r="15461">
      <c r="A15461" t="str">
        <f t="shared" si="1"/>
        <v>syr#2028</v>
      </c>
      <c r="B15461" t="str">
        <f>IFERROR(__xludf.DUMMYFUNCTION("""COMPUTED_VALUE"""),"syr")</f>
        <v>syr</v>
      </c>
      <c r="C15461" t="str">
        <f>IFERROR(__xludf.DUMMYFUNCTION("""COMPUTED_VALUE"""),"Syria")</f>
        <v>Syria</v>
      </c>
      <c r="D15461">
        <f>IFERROR(__xludf.DUMMYFUNCTION("""COMPUTED_VALUE"""),2028.0)</f>
        <v>2028</v>
      </c>
      <c r="E15461">
        <f>IFERROR(__xludf.DUMMYFUNCTION("""COMPUTED_VALUE"""),2.5514968E7)</f>
        <v>25514968</v>
      </c>
    </row>
    <row r="15462">
      <c r="A15462" t="str">
        <f t="shared" si="1"/>
        <v>syr#2029</v>
      </c>
      <c r="B15462" t="str">
        <f>IFERROR(__xludf.DUMMYFUNCTION("""COMPUTED_VALUE"""),"syr")</f>
        <v>syr</v>
      </c>
      <c r="C15462" t="str">
        <f>IFERROR(__xludf.DUMMYFUNCTION("""COMPUTED_VALUE"""),"Syria")</f>
        <v>Syria</v>
      </c>
      <c r="D15462">
        <f>IFERROR(__xludf.DUMMYFUNCTION("""COMPUTED_VALUE"""),2029.0)</f>
        <v>2029</v>
      </c>
      <c r="E15462">
        <f>IFERROR(__xludf.DUMMYFUNCTION("""COMPUTED_VALUE"""),2.6072715E7)</f>
        <v>26072715</v>
      </c>
    </row>
    <row r="15463">
      <c r="A15463" t="str">
        <f t="shared" si="1"/>
        <v>syr#2030</v>
      </c>
      <c r="B15463" t="str">
        <f>IFERROR(__xludf.DUMMYFUNCTION("""COMPUTED_VALUE"""),"syr")</f>
        <v>syr</v>
      </c>
      <c r="C15463" t="str">
        <f>IFERROR(__xludf.DUMMYFUNCTION("""COMPUTED_VALUE"""),"Syria")</f>
        <v>Syria</v>
      </c>
      <c r="D15463">
        <f>IFERROR(__xludf.DUMMYFUNCTION("""COMPUTED_VALUE"""),2030.0)</f>
        <v>2030</v>
      </c>
      <c r="E15463">
        <f>IFERROR(__xludf.DUMMYFUNCTION("""COMPUTED_VALUE"""),2.6608489E7)</f>
        <v>26608489</v>
      </c>
    </row>
    <row r="15464">
      <c r="A15464" t="str">
        <f t="shared" si="1"/>
        <v>syr#2031</v>
      </c>
      <c r="B15464" t="str">
        <f>IFERROR(__xludf.DUMMYFUNCTION("""COMPUTED_VALUE"""),"syr")</f>
        <v>syr</v>
      </c>
      <c r="C15464" t="str">
        <f>IFERROR(__xludf.DUMMYFUNCTION("""COMPUTED_VALUE"""),"Syria")</f>
        <v>Syria</v>
      </c>
      <c r="D15464">
        <f>IFERROR(__xludf.DUMMYFUNCTION("""COMPUTED_VALUE"""),2031.0)</f>
        <v>2031</v>
      </c>
      <c r="E15464">
        <f>IFERROR(__xludf.DUMMYFUNCTION("""COMPUTED_VALUE"""),2.7120835E7)</f>
        <v>27120835</v>
      </c>
    </row>
    <row r="15465">
      <c r="A15465" t="str">
        <f t="shared" si="1"/>
        <v>syr#2032</v>
      </c>
      <c r="B15465" t="str">
        <f>IFERROR(__xludf.DUMMYFUNCTION("""COMPUTED_VALUE"""),"syr")</f>
        <v>syr</v>
      </c>
      <c r="C15465" t="str">
        <f>IFERROR(__xludf.DUMMYFUNCTION("""COMPUTED_VALUE"""),"Syria")</f>
        <v>Syria</v>
      </c>
      <c r="D15465">
        <f>IFERROR(__xludf.DUMMYFUNCTION("""COMPUTED_VALUE"""),2032.0)</f>
        <v>2032</v>
      </c>
      <c r="E15465">
        <f>IFERROR(__xludf.DUMMYFUNCTION("""COMPUTED_VALUE"""),2.7597719E7)</f>
        <v>27597719</v>
      </c>
    </row>
    <row r="15466">
      <c r="A15466" t="str">
        <f t="shared" si="1"/>
        <v>syr#2033</v>
      </c>
      <c r="B15466" t="str">
        <f>IFERROR(__xludf.DUMMYFUNCTION("""COMPUTED_VALUE"""),"syr")</f>
        <v>syr</v>
      </c>
      <c r="C15466" t="str">
        <f>IFERROR(__xludf.DUMMYFUNCTION("""COMPUTED_VALUE"""),"Syria")</f>
        <v>Syria</v>
      </c>
      <c r="D15466">
        <f>IFERROR(__xludf.DUMMYFUNCTION("""COMPUTED_VALUE"""),2033.0)</f>
        <v>2033</v>
      </c>
      <c r="E15466">
        <f>IFERROR(__xludf.DUMMYFUNCTION("""COMPUTED_VALUE"""),2.8045737E7)</f>
        <v>28045737</v>
      </c>
    </row>
    <row r="15467">
      <c r="A15467" t="str">
        <f t="shared" si="1"/>
        <v>syr#2034</v>
      </c>
      <c r="B15467" t="str">
        <f>IFERROR(__xludf.DUMMYFUNCTION("""COMPUTED_VALUE"""),"syr")</f>
        <v>syr</v>
      </c>
      <c r="C15467" t="str">
        <f>IFERROR(__xludf.DUMMYFUNCTION("""COMPUTED_VALUE"""),"Syria")</f>
        <v>Syria</v>
      </c>
      <c r="D15467">
        <f>IFERROR(__xludf.DUMMYFUNCTION("""COMPUTED_VALUE"""),2034.0)</f>
        <v>2034</v>
      </c>
      <c r="E15467">
        <f>IFERROR(__xludf.DUMMYFUNCTION("""COMPUTED_VALUE"""),2.8472807E7)</f>
        <v>28472807</v>
      </c>
    </row>
    <row r="15468">
      <c r="A15468" t="str">
        <f t="shared" si="1"/>
        <v>syr#2035</v>
      </c>
      <c r="B15468" t="str">
        <f>IFERROR(__xludf.DUMMYFUNCTION("""COMPUTED_VALUE"""),"syr")</f>
        <v>syr</v>
      </c>
      <c r="C15468" t="str">
        <f>IFERROR(__xludf.DUMMYFUNCTION("""COMPUTED_VALUE"""),"Syria")</f>
        <v>Syria</v>
      </c>
      <c r="D15468">
        <f>IFERROR(__xludf.DUMMYFUNCTION("""COMPUTED_VALUE"""),2035.0)</f>
        <v>2035</v>
      </c>
      <c r="E15468">
        <f>IFERROR(__xludf.DUMMYFUNCTION("""COMPUTED_VALUE"""),2.8885224E7)</f>
        <v>28885224</v>
      </c>
    </row>
    <row r="15469">
      <c r="A15469" t="str">
        <f t="shared" si="1"/>
        <v>syr#2036</v>
      </c>
      <c r="B15469" t="str">
        <f>IFERROR(__xludf.DUMMYFUNCTION("""COMPUTED_VALUE"""),"syr")</f>
        <v>syr</v>
      </c>
      <c r="C15469" t="str">
        <f>IFERROR(__xludf.DUMMYFUNCTION("""COMPUTED_VALUE"""),"Syria")</f>
        <v>Syria</v>
      </c>
      <c r="D15469">
        <f>IFERROR(__xludf.DUMMYFUNCTION("""COMPUTED_VALUE"""),2036.0)</f>
        <v>2036</v>
      </c>
      <c r="E15469">
        <f>IFERROR(__xludf.DUMMYFUNCTION("""COMPUTED_VALUE"""),2.9286341E7)</f>
        <v>29286341</v>
      </c>
    </row>
    <row r="15470">
      <c r="A15470" t="str">
        <f t="shared" si="1"/>
        <v>syr#2037</v>
      </c>
      <c r="B15470" t="str">
        <f>IFERROR(__xludf.DUMMYFUNCTION("""COMPUTED_VALUE"""),"syr")</f>
        <v>syr</v>
      </c>
      <c r="C15470" t="str">
        <f>IFERROR(__xludf.DUMMYFUNCTION("""COMPUTED_VALUE"""),"Syria")</f>
        <v>Syria</v>
      </c>
      <c r="D15470">
        <f>IFERROR(__xludf.DUMMYFUNCTION("""COMPUTED_VALUE"""),2037.0)</f>
        <v>2037</v>
      </c>
      <c r="E15470">
        <f>IFERROR(__xludf.DUMMYFUNCTION("""COMPUTED_VALUE"""),2.9677328E7)</f>
        <v>29677328</v>
      </c>
    </row>
    <row r="15471">
      <c r="A15471" t="str">
        <f t="shared" si="1"/>
        <v>syr#2038</v>
      </c>
      <c r="B15471" t="str">
        <f>IFERROR(__xludf.DUMMYFUNCTION("""COMPUTED_VALUE"""),"syr")</f>
        <v>syr</v>
      </c>
      <c r="C15471" t="str">
        <f>IFERROR(__xludf.DUMMYFUNCTION("""COMPUTED_VALUE"""),"Syria")</f>
        <v>Syria</v>
      </c>
      <c r="D15471">
        <f>IFERROR(__xludf.DUMMYFUNCTION("""COMPUTED_VALUE"""),2038.0)</f>
        <v>2038</v>
      </c>
      <c r="E15471">
        <f>IFERROR(__xludf.DUMMYFUNCTION("""COMPUTED_VALUE"""),3.00595E7)</f>
        <v>30059500</v>
      </c>
    </row>
    <row r="15472">
      <c r="A15472" t="str">
        <f t="shared" si="1"/>
        <v>syr#2039</v>
      </c>
      <c r="B15472" t="str">
        <f>IFERROR(__xludf.DUMMYFUNCTION("""COMPUTED_VALUE"""),"syr")</f>
        <v>syr</v>
      </c>
      <c r="C15472" t="str">
        <f>IFERROR(__xludf.DUMMYFUNCTION("""COMPUTED_VALUE"""),"Syria")</f>
        <v>Syria</v>
      </c>
      <c r="D15472">
        <f>IFERROR(__xludf.DUMMYFUNCTION("""COMPUTED_VALUE"""),2039.0)</f>
        <v>2039</v>
      </c>
      <c r="E15472">
        <f>IFERROR(__xludf.DUMMYFUNCTION("""COMPUTED_VALUE"""),3.0433257E7)</f>
        <v>30433257</v>
      </c>
    </row>
    <row r="15473">
      <c r="A15473" t="str">
        <f t="shared" si="1"/>
        <v>syr#2040</v>
      </c>
      <c r="B15473" t="str">
        <f>IFERROR(__xludf.DUMMYFUNCTION("""COMPUTED_VALUE"""),"syr")</f>
        <v>syr</v>
      </c>
      <c r="C15473" t="str">
        <f>IFERROR(__xludf.DUMMYFUNCTION("""COMPUTED_VALUE"""),"Syria")</f>
        <v>Syria</v>
      </c>
      <c r="D15473">
        <f>IFERROR(__xludf.DUMMYFUNCTION("""COMPUTED_VALUE"""),2040.0)</f>
        <v>2040</v>
      </c>
      <c r="E15473">
        <f>IFERROR(__xludf.DUMMYFUNCTION("""COMPUTED_VALUE"""),3.0798944E7)</f>
        <v>30798944</v>
      </c>
    </row>
    <row r="15474">
      <c r="A15474" t="str">
        <f t="shared" si="1"/>
        <v>twn#1950</v>
      </c>
      <c r="B15474" t="str">
        <f>IFERROR(__xludf.DUMMYFUNCTION("""COMPUTED_VALUE"""),"twn")</f>
        <v>twn</v>
      </c>
      <c r="C15474" t="str">
        <f>IFERROR(__xludf.DUMMYFUNCTION("""COMPUTED_VALUE"""),"Taiwan")</f>
        <v>Taiwan</v>
      </c>
      <c r="D15474">
        <f>IFERROR(__xludf.DUMMYFUNCTION("""COMPUTED_VALUE"""),1950.0)</f>
        <v>1950</v>
      </c>
      <c r="E15474">
        <f>IFERROR(__xludf.DUMMYFUNCTION("""COMPUTED_VALUE"""),7623360.0)</f>
        <v>7623360</v>
      </c>
    </row>
    <row r="15475">
      <c r="A15475" t="str">
        <f t="shared" si="1"/>
        <v>twn#1951</v>
      </c>
      <c r="B15475" t="str">
        <f>IFERROR(__xludf.DUMMYFUNCTION("""COMPUTED_VALUE"""),"twn")</f>
        <v>twn</v>
      </c>
      <c r="C15475" t="str">
        <f>IFERROR(__xludf.DUMMYFUNCTION("""COMPUTED_VALUE"""),"Taiwan")</f>
        <v>Taiwan</v>
      </c>
      <c r="D15475">
        <f>IFERROR(__xludf.DUMMYFUNCTION("""COMPUTED_VALUE"""),1951.0)</f>
        <v>1951</v>
      </c>
      <c r="E15475">
        <f>IFERROR(__xludf.DUMMYFUNCTION("""COMPUTED_VALUE"""),7893060.0)</f>
        <v>7893060</v>
      </c>
    </row>
    <row r="15476">
      <c r="A15476" t="str">
        <f t="shared" si="1"/>
        <v>twn#1952</v>
      </c>
      <c r="B15476" t="str">
        <f>IFERROR(__xludf.DUMMYFUNCTION("""COMPUTED_VALUE"""),"twn")</f>
        <v>twn</v>
      </c>
      <c r="C15476" t="str">
        <f>IFERROR(__xludf.DUMMYFUNCTION("""COMPUTED_VALUE"""),"Taiwan")</f>
        <v>Taiwan</v>
      </c>
      <c r="D15476">
        <f>IFERROR(__xludf.DUMMYFUNCTION("""COMPUTED_VALUE"""),1952.0)</f>
        <v>1952</v>
      </c>
      <c r="E15476">
        <f>IFERROR(__xludf.DUMMYFUNCTION("""COMPUTED_VALUE"""),8163933.0)</f>
        <v>8163933</v>
      </c>
    </row>
    <row r="15477">
      <c r="A15477" t="str">
        <f t="shared" si="1"/>
        <v>twn#1953</v>
      </c>
      <c r="B15477" t="str">
        <f>IFERROR(__xludf.DUMMYFUNCTION("""COMPUTED_VALUE"""),"twn")</f>
        <v>twn</v>
      </c>
      <c r="C15477" t="str">
        <f>IFERROR(__xludf.DUMMYFUNCTION("""COMPUTED_VALUE"""),"Taiwan")</f>
        <v>Taiwan</v>
      </c>
      <c r="D15477">
        <f>IFERROR(__xludf.DUMMYFUNCTION("""COMPUTED_VALUE"""),1953.0)</f>
        <v>1953</v>
      </c>
      <c r="E15477">
        <f>IFERROR(__xludf.DUMMYFUNCTION("""COMPUTED_VALUE"""),8440260.0)</f>
        <v>8440260</v>
      </c>
    </row>
    <row r="15478">
      <c r="A15478" t="str">
        <f t="shared" si="1"/>
        <v>twn#1954</v>
      </c>
      <c r="B15478" t="str">
        <f>IFERROR(__xludf.DUMMYFUNCTION("""COMPUTED_VALUE"""),"twn")</f>
        <v>twn</v>
      </c>
      <c r="C15478" t="str">
        <f>IFERROR(__xludf.DUMMYFUNCTION("""COMPUTED_VALUE"""),"Taiwan")</f>
        <v>Taiwan</v>
      </c>
      <c r="D15478">
        <f>IFERROR(__xludf.DUMMYFUNCTION("""COMPUTED_VALUE"""),1954.0)</f>
        <v>1954</v>
      </c>
      <c r="E15478">
        <f>IFERROR(__xludf.DUMMYFUNCTION("""COMPUTED_VALUE"""),8725467.0)</f>
        <v>8725467</v>
      </c>
    </row>
    <row r="15479">
      <c r="A15479" t="str">
        <f t="shared" si="1"/>
        <v>twn#1955</v>
      </c>
      <c r="B15479" t="str">
        <f>IFERROR(__xludf.DUMMYFUNCTION("""COMPUTED_VALUE"""),"twn")</f>
        <v>twn</v>
      </c>
      <c r="C15479" t="str">
        <f>IFERROR(__xludf.DUMMYFUNCTION("""COMPUTED_VALUE"""),"Taiwan")</f>
        <v>Taiwan</v>
      </c>
      <c r="D15479">
        <f>IFERROR(__xludf.DUMMYFUNCTION("""COMPUTED_VALUE"""),1955.0)</f>
        <v>1955</v>
      </c>
      <c r="E15479">
        <f>IFERROR(__xludf.DUMMYFUNCTION("""COMPUTED_VALUE"""),9022183.0)</f>
        <v>9022183</v>
      </c>
    </row>
    <row r="15480">
      <c r="A15480" t="str">
        <f t="shared" si="1"/>
        <v>twn#1956</v>
      </c>
      <c r="B15480" t="str">
        <f>IFERROR(__xludf.DUMMYFUNCTION("""COMPUTED_VALUE"""),"twn")</f>
        <v>twn</v>
      </c>
      <c r="C15480" t="str">
        <f>IFERROR(__xludf.DUMMYFUNCTION("""COMPUTED_VALUE"""),"Taiwan")</f>
        <v>Taiwan</v>
      </c>
      <c r="D15480">
        <f>IFERROR(__xludf.DUMMYFUNCTION("""COMPUTED_VALUE"""),1956.0)</f>
        <v>1956</v>
      </c>
      <c r="E15480">
        <f>IFERROR(__xludf.DUMMYFUNCTION("""COMPUTED_VALUE"""),9331898.0)</f>
        <v>9331898</v>
      </c>
    </row>
    <row r="15481">
      <c r="A15481" t="str">
        <f t="shared" si="1"/>
        <v>twn#1957</v>
      </c>
      <c r="B15481" t="str">
        <f>IFERROR(__xludf.DUMMYFUNCTION("""COMPUTED_VALUE"""),"twn")</f>
        <v>twn</v>
      </c>
      <c r="C15481" t="str">
        <f>IFERROR(__xludf.DUMMYFUNCTION("""COMPUTED_VALUE"""),"Taiwan")</f>
        <v>Taiwan</v>
      </c>
      <c r="D15481">
        <f>IFERROR(__xludf.DUMMYFUNCTION("""COMPUTED_VALUE"""),1957.0)</f>
        <v>1957</v>
      </c>
      <c r="E15481">
        <f>IFERROR(__xludf.DUMMYFUNCTION("""COMPUTED_VALUE"""),9655237.0)</f>
        <v>9655237</v>
      </c>
    </row>
    <row r="15482">
      <c r="A15482" t="str">
        <f t="shared" si="1"/>
        <v>twn#1958</v>
      </c>
      <c r="B15482" t="str">
        <f>IFERROR(__xludf.DUMMYFUNCTION("""COMPUTED_VALUE"""),"twn")</f>
        <v>twn</v>
      </c>
      <c r="C15482" t="str">
        <f>IFERROR(__xludf.DUMMYFUNCTION("""COMPUTED_VALUE"""),"Taiwan")</f>
        <v>Taiwan</v>
      </c>
      <c r="D15482">
        <f>IFERROR(__xludf.DUMMYFUNCTION("""COMPUTED_VALUE"""),1958.0)</f>
        <v>1958</v>
      </c>
      <c r="E15482">
        <f>IFERROR(__xludf.DUMMYFUNCTION("""COMPUTED_VALUE"""),9991985.0)</f>
        <v>9991985</v>
      </c>
    </row>
    <row r="15483">
      <c r="A15483" t="str">
        <f t="shared" si="1"/>
        <v>twn#1959</v>
      </c>
      <c r="B15483" t="str">
        <f>IFERROR(__xludf.DUMMYFUNCTION("""COMPUTED_VALUE"""),"twn")</f>
        <v>twn</v>
      </c>
      <c r="C15483" t="str">
        <f>IFERROR(__xludf.DUMMYFUNCTION("""COMPUTED_VALUE"""),"Taiwan")</f>
        <v>Taiwan</v>
      </c>
      <c r="D15483">
        <f>IFERROR(__xludf.DUMMYFUNCTION("""COMPUTED_VALUE"""),1959.0)</f>
        <v>1959</v>
      </c>
      <c r="E15483">
        <f>IFERROR(__xludf.DUMMYFUNCTION("""COMPUTED_VALUE"""),1.0341215E7)</f>
        <v>10341215</v>
      </c>
    </row>
    <row r="15484">
      <c r="A15484" t="str">
        <f t="shared" si="1"/>
        <v>twn#1960</v>
      </c>
      <c r="B15484" t="str">
        <f>IFERROR(__xludf.DUMMYFUNCTION("""COMPUTED_VALUE"""),"twn")</f>
        <v>twn</v>
      </c>
      <c r="C15484" t="str">
        <f>IFERROR(__xludf.DUMMYFUNCTION("""COMPUTED_VALUE"""),"Taiwan")</f>
        <v>Taiwan</v>
      </c>
      <c r="D15484">
        <f>IFERROR(__xludf.DUMMYFUNCTION("""COMPUTED_VALUE"""),1960.0)</f>
        <v>1960</v>
      </c>
      <c r="E15484">
        <f>IFERROR(__xludf.DUMMYFUNCTION("""COMPUTED_VALUE"""),1.0701713E7)</f>
        <v>10701713</v>
      </c>
    </row>
    <row r="15485">
      <c r="A15485" t="str">
        <f t="shared" si="1"/>
        <v>twn#1961</v>
      </c>
      <c r="B15485" t="str">
        <f>IFERROR(__xludf.DUMMYFUNCTION("""COMPUTED_VALUE"""),"twn")</f>
        <v>twn</v>
      </c>
      <c r="C15485" t="str">
        <f>IFERROR(__xludf.DUMMYFUNCTION("""COMPUTED_VALUE"""),"Taiwan")</f>
        <v>Taiwan</v>
      </c>
      <c r="D15485">
        <f>IFERROR(__xludf.DUMMYFUNCTION("""COMPUTED_VALUE"""),1961.0)</f>
        <v>1961</v>
      </c>
      <c r="E15485">
        <f>IFERROR(__xludf.DUMMYFUNCTION("""COMPUTED_VALUE"""),1.1072338E7)</f>
        <v>11072338</v>
      </c>
    </row>
    <row r="15486">
      <c r="A15486" t="str">
        <f t="shared" si="1"/>
        <v>twn#1962</v>
      </c>
      <c r="B15486" t="str">
        <f>IFERROR(__xludf.DUMMYFUNCTION("""COMPUTED_VALUE"""),"twn")</f>
        <v>twn</v>
      </c>
      <c r="C15486" t="str">
        <f>IFERROR(__xludf.DUMMYFUNCTION("""COMPUTED_VALUE"""),"Taiwan")</f>
        <v>Taiwan</v>
      </c>
      <c r="D15486">
        <f>IFERROR(__xludf.DUMMYFUNCTION("""COMPUTED_VALUE"""),1962.0)</f>
        <v>1962</v>
      </c>
      <c r="E15486">
        <f>IFERROR(__xludf.DUMMYFUNCTION("""COMPUTED_VALUE"""),1.1452476E7)</f>
        <v>11452476</v>
      </c>
    </row>
    <row r="15487">
      <c r="A15487" t="str">
        <f t="shared" si="1"/>
        <v>twn#1963</v>
      </c>
      <c r="B15487" t="str">
        <f>IFERROR(__xludf.DUMMYFUNCTION("""COMPUTED_VALUE"""),"twn")</f>
        <v>twn</v>
      </c>
      <c r="C15487" t="str">
        <f>IFERROR(__xludf.DUMMYFUNCTION("""COMPUTED_VALUE"""),"Taiwan")</f>
        <v>Taiwan</v>
      </c>
      <c r="D15487">
        <f>IFERROR(__xludf.DUMMYFUNCTION("""COMPUTED_VALUE"""),1963.0)</f>
        <v>1963</v>
      </c>
      <c r="E15487">
        <f>IFERROR(__xludf.DUMMYFUNCTION("""COMPUTED_VALUE"""),1.184214E7)</f>
        <v>11842140</v>
      </c>
    </row>
    <row r="15488">
      <c r="A15488" t="str">
        <f t="shared" si="1"/>
        <v>twn#1964</v>
      </c>
      <c r="B15488" t="str">
        <f>IFERROR(__xludf.DUMMYFUNCTION("""COMPUTED_VALUE"""),"twn")</f>
        <v>twn</v>
      </c>
      <c r="C15488" t="str">
        <f>IFERROR(__xludf.DUMMYFUNCTION("""COMPUTED_VALUE"""),"Taiwan")</f>
        <v>Taiwan</v>
      </c>
      <c r="D15488">
        <f>IFERROR(__xludf.DUMMYFUNCTION("""COMPUTED_VALUE"""),1964.0)</f>
        <v>1964</v>
      </c>
      <c r="E15488">
        <f>IFERROR(__xludf.DUMMYFUNCTION("""COMPUTED_VALUE"""),1.2241535E7)</f>
        <v>12241535</v>
      </c>
    </row>
    <row r="15489">
      <c r="A15489" t="str">
        <f t="shared" si="1"/>
        <v>twn#1965</v>
      </c>
      <c r="B15489" t="str">
        <f>IFERROR(__xludf.DUMMYFUNCTION("""COMPUTED_VALUE"""),"twn")</f>
        <v>twn</v>
      </c>
      <c r="C15489" t="str">
        <f>IFERROR(__xludf.DUMMYFUNCTION("""COMPUTED_VALUE"""),"Taiwan")</f>
        <v>Taiwan</v>
      </c>
      <c r="D15489">
        <f>IFERROR(__xludf.DUMMYFUNCTION("""COMPUTED_VALUE"""),1965.0)</f>
        <v>1965</v>
      </c>
      <c r="E15489">
        <f>IFERROR(__xludf.DUMMYFUNCTION("""COMPUTED_VALUE"""),1.2649726E7)</f>
        <v>12649726</v>
      </c>
    </row>
    <row r="15490">
      <c r="A15490" t="str">
        <f t="shared" si="1"/>
        <v>twn#1966</v>
      </c>
      <c r="B15490" t="str">
        <f>IFERROR(__xludf.DUMMYFUNCTION("""COMPUTED_VALUE"""),"twn")</f>
        <v>twn</v>
      </c>
      <c r="C15490" t="str">
        <f>IFERROR(__xludf.DUMMYFUNCTION("""COMPUTED_VALUE"""),"Taiwan")</f>
        <v>Taiwan</v>
      </c>
      <c r="D15490">
        <f>IFERROR(__xludf.DUMMYFUNCTION("""COMPUTED_VALUE"""),1966.0)</f>
        <v>1966</v>
      </c>
      <c r="E15490">
        <f>IFERROR(__xludf.DUMMYFUNCTION("""COMPUTED_VALUE"""),1.3067806E7)</f>
        <v>13067806</v>
      </c>
    </row>
    <row r="15491">
      <c r="A15491" t="str">
        <f t="shared" si="1"/>
        <v>twn#1967</v>
      </c>
      <c r="B15491" t="str">
        <f>IFERROR(__xludf.DUMMYFUNCTION("""COMPUTED_VALUE"""),"twn")</f>
        <v>twn</v>
      </c>
      <c r="C15491" t="str">
        <f>IFERROR(__xludf.DUMMYFUNCTION("""COMPUTED_VALUE"""),"Taiwan")</f>
        <v>Taiwan</v>
      </c>
      <c r="D15491">
        <f>IFERROR(__xludf.DUMMYFUNCTION("""COMPUTED_VALUE"""),1967.0)</f>
        <v>1967</v>
      </c>
      <c r="E15491">
        <f>IFERROR(__xludf.DUMMYFUNCTION("""COMPUTED_VALUE"""),1.3492499E7)</f>
        <v>13492499</v>
      </c>
    </row>
    <row r="15492">
      <c r="A15492" t="str">
        <f t="shared" si="1"/>
        <v>twn#1968</v>
      </c>
      <c r="B15492" t="str">
        <f>IFERROR(__xludf.DUMMYFUNCTION("""COMPUTED_VALUE"""),"twn")</f>
        <v>twn</v>
      </c>
      <c r="C15492" t="str">
        <f>IFERROR(__xludf.DUMMYFUNCTION("""COMPUTED_VALUE"""),"Taiwan")</f>
        <v>Taiwan</v>
      </c>
      <c r="D15492">
        <f>IFERROR(__xludf.DUMMYFUNCTION("""COMPUTED_VALUE"""),1968.0)</f>
        <v>1968</v>
      </c>
      <c r="E15492">
        <f>IFERROR(__xludf.DUMMYFUNCTION("""COMPUTED_VALUE"""),1.3913345E7)</f>
        <v>13913345</v>
      </c>
    </row>
    <row r="15493">
      <c r="A15493" t="str">
        <f t="shared" si="1"/>
        <v>twn#1969</v>
      </c>
      <c r="B15493" t="str">
        <f>IFERROR(__xludf.DUMMYFUNCTION("""COMPUTED_VALUE"""),"twn")</f>
        <v>twn</v>
      </c>
      <c r="C15493" t="str">
        <f>IFERROR(__xludf.DUMMYFUNCTION("""COMPUTED_VALUE"""),"Taiwan")</f>
        <v>Taiwan</v>
      </c>
      <c r="D15493">
        <f>IFERROR(__xludf.DUMMYFUNCTION("""COMPUTED_VALUE"""),1969.0)</f>
        <v>1969</v>
      </c>
      <c r="E15493">
        <f>IFERROR(__xludf.DUMMYFUNCTION("""COMPUTED_VALUE"""),1.4316714E7)</f>
        <v>14316714</v>
      </c>
    </row>
    <row r="15494">
      <c r="A15494" t="str">
        <f t="shared" si="1"/>
        <v>twn#1970</v>
      </c>
      <c r="B15494" t="str">
        <f>IFERROR(__xludf.DUMMYFUNCTION("""COMPUTED_VALUE"""),"twn")</f>
        <v>twn</v>
      </c>
      <c r="C15494" t="str">
        <f>IFERROR(__xludf.DUMMYFUNCTION("""COMPUTED_VALUE"""),"Taiwan")</f>
        <v>Taiwan</v>
      </c>
      <c r="D15494">
        <f>IFERROR(__xludf.DUMMYFUNCTION("""COMPUTED_VALUE"""),1970.0)</f>
        <v>1970</v>
      </c>
      <c r="E15494">
        <f>IFERROR(__xludf.DUMMYFUNCTION("""COMPUTED_VALUE"""),1.4693153E7)</f>
        <v>14693153</v>
      </c>
    </row>
    <row r="15495">
      <c r="A15495" t="str">
        <f t="shared" si="1"/>
        <v>twn#1971</v>
      </c>
      <c r="B15495" t="str">
        <f>IFERROR(__xludf.DUMMYFUNCTION("""COMPUTED_VALUE"""),"twn")</f>
        <v>twn</v>
      </c>
      <c r="C15495" t="str">
        <f>IFERROR(__xludf.DUMMYFUNCTION("""COMPUTED_VALUE"""),"Taiwan")</f>
        <v>Taiwan</v>
      </c>
      <c r="D15495">
        <f>IFERROR(__xludf.DUMMYFUNCTION("""COMPUTED_VALUE"""),1971.0)</f>
        <v>1971</v>
      </c>
      <c r="E15495">
        <f>IFERROR(__xludf.DUMMYFUNCTION("""COMPUTED_VALUE"""),1.5037995E7)</f>
        <v>15037995</v>
      </c>
    </row>
    <row r="15496">
      <c r="A15496" t="str">
        <f t="shared" si="1"/>
        <v>twn#1972</v>
      </c>
      <c r="B15496" t="str">
        <f>IFERROR(__xludf.DUMMYFUNCTION("""COMPUTED_VALUE"""),"twn")</f>
        <v>twn</v>
      </c>
      <c r="C15496" t="str">
        <f>IFERROR(__xludf.DUMMYFUNCTION("""COMPUTED_VALUE"""),"Taiwan")</f>
        <v>Taiwan</v>
      </c>
      <c r="D15496">
        <f>IFERROR(__xludf.DUMMYFUNCTION("""COMPUTED_VALUE"""),1972.0)</f>
        <v>1972</v>
      </c>
      <c r="E15496">
        <f>IFERROR(__xludf.DUMMYFUNCTION("""COMPUTED_VALUE"""),1.5354587E7)</f>
        <v>15354587</v>
      </c>
    </row>
    <row r="15497">
      <c r="A15497" t="str">
        <f t="shared" si="1"/>
        <v>twn#1973</v>
      </c>
      <c r="B15497" t="str">
        <f>IFERROR(__xludf.DUMMYFUNCTION("""COMPUTED_VALUE"""),"twn")</f>
        <v>twn</v>
      </c>
      <c r="C15497" t="str">
        <f>IFERROR(__xludf.DUMMYFUNCTION("""COMPUTED_VALUE"""),"Taiwan")</f>
        <v>Taiwan</v>
      </c>
      <c r="D15497">
        <f>IFERROR(__xludf.DUMMYFUNCTION("""COMPUTED_VALUE"""),1973.0)</f>
        <v>1973</v>
      </c>
      <c r="E15497">
        <f>IFERROR(__xludf.DUMMYFUNCTION("""COMPUTED_VALUE"""),1.5651322E7)</f>
        <v>15651322</v>
      </c>
    </row>
    <row r="15498">
      <c r="A15498" t="str">
        <f t="shared" si="1"/>
        <v>twn#1974</v>
      </c>
      <c r="B15498" t="str">
        <f>IFERROR(__xludf.DUMMYFUNCTION("""COMPUTED_VALUE"""),"twn")</f>
        <v>twn</v>
      </c>
      <c r="C15498" t="str">
        <f>IFERROR(__xludf.DUMMYFUNCTION("""COMPUTED_VALUE"""),"Taiwan")</f>
        <v>Taiwan</v>
      </c>
      <c r="D15498">
        <f>IFERROR(__xludf.DUMMYFUNCTION("""COMPUTED_VALUE"""),1974.0)</f>
        <v>1974</v>
      </c>
      <c r="E15498">
        <f>IFERROR(__xludf.DUMMYFUNCTION("""COMPUTED_VALUE"""),1.5940897E7)</f>
        <v>15940897</v>
      </c>
    </row>
    <row r="15499">
      <c r="A15499" t="str">
        <f t="shared" si="1"/>
        <v>twn#1975</v>
      </c>
      <c r="B15499" t="str">
        <f>IFERROR(__xludf.DUMMYFUNCTION("""COMPUTED_VALUE"""),"twn")</f>
        <v>twn</v>
      </c>
      <c r="C15499" t="str">
        <f>IFERROR(__xludf.DUMMYFUNCTION("""COMPUTED_VALUE"""),"Taiwan")</f>
        <v>Taiwan</v>
      </c>
      <c r="D15499">
        <f>IFERROR(__xludf.DUMMYFUNCTION("""COMPUTED_VALUE"""),1975.0)</f>
        <v>1975</v>
      </c>
      <c r="E15499">
        <f>IFERROR(__xludf.DUMMYFUNCTION("""COMPUTED_VALUE"""),1.6232672E7)</f>
        <v>16232672</v>
      </c>
    </row>
    <row r="15500">
      <c r="A15500" t="str">
        <f t="shared" si="1"/>
        <v>twn#1976</v>
      </c>
      <c r="B15500" t="str">
        <f>IFERROR(__xludf.DUMMYFUNCTION("""COMPUTED_VALUE"""),"twn")</f>
        <v>twn</v>
      </c>
      <c r="C15500" t="str">
        <f>IFERROR(__xludf.DUMMYFUNCTION("""COMPUTED_VALUE"""),"Taiwan")</f>
        <v>Taiwan</v>
      </c>
      <c r="D15500">
        <f>IFERROR(__xludf.DUMMYFUNCTION("""COMPUTED_VALUE"""),1976.0)</f>
        <v>1976</v>
      </c>
      <c r="E15500">
        <f>IFERROR(__xludf.DUMMYFUNCTION("""COMPUTED_VALUE"""),1.6528707E7)</f>
        <v>16528707</v>
      </c>
    </row>
    <row r="15501">
      <c r="A15501" t="str">
        <f t="shared" si="1"/>
        <v>twn#1977</v>
      </c>
      <c r="B15501" t="str">
        <f>IFERROR(__xludf.DUMMYFUNCTION("""COMPUTED_VALUE"""),"twn")</f>
        <v>twn</v>
      </c>
      <c r="C15501" t="str">
        <f>IFERROR(__xludf.DUMMYFUNCTION("""COMPUTED_VALUE"""),"Taiwan")</f>
        <v>Taiwan</v>
      </c>
      <c r="D15501">
        <f>IFERROR(__xludf.DUMMYFUNCTION("""COMPUTED_VALUE"""),1977.0)</f>
        <v>1977</v>
      </c>
      <c r="E15501">
        <f>IFERROR(__xludf.DUMMYFUNCTION("""COMPUTED_VALUE"""),1.6826465E7)</f>
        <v>16826465</v>
      </c>
    </row>
    <row r="15502">
      <c r="A15502" t="str">
        <f t="shared" si="1"/>
        <v>twn#1978</v>
      </c>
      <c r="B15502" t="str">
        <f>IFERROR(__xludf.DUMMYFUNCTION("""COMPUTED_VALUE"""),"twn")</f>
        <v>twn</v>
      </c>
      <c r="C15502" t="str">
        <f>IFERROR(__xludf.DUMMYFUNCTION("""COMPUTED_VALUE"""),"Taiwan")</f>
        <v>Taiwan</v>
      </c>
      <c r="D15502">
        <f>IFERROR(__xludf.DUMMYFUNCTION("""COMPUTED_VALUE"""),1978.0)</f>
        <v>1978</v>
      </c>
      <c r="E15502">
        <f>IFERROR(__xludf.DUMMYFUNCTION("""COMPUTED_VALUE"""),1.7125169E7)</f>
        <v>17125169</v>
      </c>
    </row>
    <row r="15503">
      <c r="A15503" t="str">
        <f t="shared" si="1"/>
        <v>twn#1979</v>
      </c>
      <c r="B15503" t="str">
        <f>IFERROR(__xludf.DUMMYFUNCTION("""COMPUTED_VALUE"""),"twn")</f>
        <v>twn</v>
      </c>
      <c r="C15503" t="str">
        <f>IFERROR(__xludf.DUMMYFUNCTION("""COMPUTED_VALUE"""),"Taiwan")</f>
        <v>Taiwan</v>
      </c>
      <c r="D15503">
        <f>IFERROR(__xludf.DUMMYFUNCTION("""COMPUTED_VALUE"""),1979.0)</f>
        <v>1979</v>
      </c>
      <c r="E15503">
        <f>IFERROR(__xludf.DUMMYFUNCTION("""COMPUTED_VALUE"""),1.7422717E7)</f>
        <v>17422717</v>
      </c>
    </row>
    <row r="15504">
      <c r="A15504" t="str">
        <f t="shared" si="1"/>
        <v>twn#1980</v>
      </c>
      <c r="B15504" t="str">
        <f>IFERROR(__xludf.DUMMYFUNCTION("""COMPUTED_VALUE"""),"twn")</f>
        <v>twn</v>
      </c>
      <c r="C15504" t="str">
        <f>IFERROR(__xludf.DUMMYFUNCTION("""COMPUTED_VALUE"""),"Taiwan")</f>
        <v>Taiwan</v>
      </c>
      <c r="D15504">
        <f>IFERROR(__xludf.DUMMYFUNCTION("""COMPUTED_VALUE"""),1980.0)</f>
        <v>1980</v>
      </c>
      <c r="E15504">
        <f>IFERROR(__xludf.DUMMYFUNCTION("""COMPUTED_VALUE"""),1.7717372E7)</f>
        <v>17717372</v>
      </c>
    </row>
    <row r="15505">
      <c r="A15505" t="str">
        <f t="shared" si="1"/>
        <v>twn#1981</v>
      </c>
      <c r="B15505" t="str">
        <f>IFERROR(__xludf.DUMMYFUNCTION("""COMPUTED_VALUE"""),"twn")</f>
        <v>twn</v>
      </c>
      <c r="C15505" t="str">
        <f>IFERROR(__xludf.DUMMYFUNCTION("""COMPUTED_VALUE"""),"Taiwan")</f>
        <v>Taiwan</v>
      </c>
      <c r="D15505">
        <f>IFERROR(__xludf.DUMMYFUNCTION("""COMPUTED_VALUE"""),1981.0)</f>
        <v>1981</v>
      </c>
      <c r="E15505">
        <f>IFERROR(__xludf.DUMMYFUNCTION("""COMPUTED_VALUE"""),1.8009439E7)</f>
        <v>18009439</v>
      </c>
    </row>
    <row r="15506">
      <c r="A15506" t="str">
        <f t="shared" si="1"/>
        <v>twn#1982</v>
      </c>
      <c r="B15506" t="str">
        <f>IFERROR(__xludf.DUMMYFUNCTION("""COMPUTED_VALUE"""),"twn")</f>
        <v>twn</v>
      </c>
      <c r="C15506" t="str">
        <f>IFERROR(__xludf.DUMMYFUNCTION("""COMPUTED_VALUE"""),"Taiwan")</f>
        <v>Taiwan</v>
      </c>
      <c r="D15506">
        <f>IFERROR(__xludf.DUMMYFUNCTION("""COMPUTED_VALUE"""),1982.0)</f>
        <v>1982</v>
      </c>
      <c r="E15506">
        <f>IFERROR(__xludf.DUMMYFUNCTION("""COMPUTED_VALUE"""),1.8299157E7)</f>
        <v>18299157</v>
      </c>
    </row>
    <row r="15507">
      <c r="A15507" t="str">
        <f t="shared" si="1"/>
        <v>twn#1983</v>
      </c>
      <c r="B15507" t="str">
        <f>IFERROR(__xludf.DUMMYFUNCTION("""COMPUTED_VALUE"""),"twn")</f>
        <v>twn</v>
      </c>
      <c r="C15507" t="str">
        <f>IFERROR(__xludf.DUMMYFUNCTION("""COMPUTED_VALUE"""),"Taiwan")</f>
        <v>Taiwan</v>
      </c>
      <c r="D15507">
        <f>IFERROR(__xludf.DUMMYFUNCTION("""COMPUTED_VALUE"""),1983.0)</f>
        <v>1983</v>
      </c>
      <c r="E15507">
        <f>IFERROR(__xludf.DUMMYFUNCTION("""COMPUTED_VALUE"""),1.8584306E7)</f>
        <v>18584306</v>
      </c>
    </row>
    <row r="15508">
      <c r="A15508" t="str">
        <f t="shared" si="1"/>
        <v>twn#1984</v>
      </c>
      <c r="B15508" t="str">
        <f>IFERROR(__xludf.DUMMYFUNCTION("""COMPUTED_VALUE"""),"twn")</f>
        <v>twn</v>
      </c>
      <c r="C15508" t="str">
        <f>IFERROR(__xludf.DUMMYFUNCTION("""COMPUTED_VALUE"""),"Taiwan")</f>
        <v>Taiwan</v>
      </c>
      <c r="D15508">
        <f>IFERROR(__xludf.DUMMYFUNCTION("""COMPUTED_VALUE"""),1984.0)</f>
        <v>1984</v>
      </c>
      <c r="E15508">
        <f>IFERROR(__xludf.DUMMYFUNCTION("""COMPUTED_VALUE"""),1.8862027E7)</f>
        <v>18862027</v>
      </c>
    </row>
    <row r="15509">
      <c r="A15509" t="str">
        <f t="shared" si="1"/>
        <v>twn#1985</v>
      </c>
      <c r="B15509" t="str">
        <f>IFERROR(__xludf.DUMMYFUNCTION("""COMPUTED_VALUE"""),"twn")</f>
        <v>twn</v>
      </c>
      <c r="C15509" t="str">
        <f>IFERROR(__xludf.DUMMYFUNCTION("""COMPUTED_VALUE"""),"Taiwan")</f>
        <v>Taiwan</v>
      </c>
      <c r="D15509">
        <f>IFERROR(__xludf.DUMMYFUNCTION("""COMPUTED_VALUE"""),1985.0)</f>
        <v>1985</v>
      </c>
      <c r="E15509">
        <f>IFERROR(__xludf.DUMMYFUNCTION("""COMPUTED_VALUE"""),1.9130093E7)</f>
        <v>19130093</v>
      </c>
    </row>
    <row r="15510">
      <c r="A15510" t="str">
        <f t="shared" si="1"/>
        <v>twn#1986</v>
      </c>
      <c r="B15510" t="str">
        <f>IFERROR(__xludf.DUMMYFUNCTION("""COMPUTED_VALUE"""),"twn")</f>
        <v>twn</v>
      </c>
      <c r="C15510" t="str">
        <f>IFERROR(__xludf.DUMMYFUNCTION("""COMPUTED_VALUE"""),"Taiwan")</f>
        <v>Taiwan</v>
      </c>
      <c r="D15510">
        <f>IFERROR(__xludf.DUMMYFUNCTION("""COMPUTED_VALUE"""),1986.0)</f>
        <v>1986</v>
      </c>
      <c r="E15510">
        <f>IFERROR(__xludf.DUMMYFUNCTION("""COMPUTED_VALUE"""),1.9387424E7)</f>
        <v>19387424</v>
      </c>
    </row>
    <row r="15511">
      <c r="A15511" t="str">
        <f t="shared" si="1"/>
        <v>twn#1987</v>
      </c>
      <c r="B15511" t="str">
        <f>IFERROR(__xludf.DUMMYFUNCTION("""COMPUTED_VALUE"""),"twn")</f>
        <v>twn</v>
      </c>
      <c r="C15511" t="str">
        <f>IFERROR(__xludf.DUMMYFUNCTION("""COMPUTED_VALUE"""),"Taiwan")</f>
        <v>Taiwan</v>
      </c>
      <c r="D15511">
        <f>IFERROR(__xludf.DUMMYFUNCTION("""COMPUTED_VALUE"""),1987.0)</f>
        <v>1987</v>
      </c>
      <c r="E15511">
        <f>IFERROR(__xludf.DUMMYFUNCTION("""COMPUTED_VALUE"""),1.9634014E7)</f>
        <v>19634014</v>
      </c>
    </row>
    <row r="15512">
      <c r="A15512" t="str">
        <f t="shared" si="1"/>
        <v>twn#1988</v>
      </c>
      <c r="B15512" t="str">
        <f>IFERROR(__xludf.DUMMYFUNCTION("""COMPUTED_VALUE"""),"twn")</f>
        <v>twn</v>
      </c>
      <c r="C15512" t="str">
        <f>IFERROR(__xludf.DUMMYFUNCTION("""COMPUTED_VALUE"""),"Taiwan")</f>
        <v>Taiwan</v>
      </c>
      <c r="D15512">
        <f>IFERROR(__xludf.DUMMYFUNCTION("""COMPUTED_VALUE"""),1988.0)</f>
        <v>1988</v>
      </c>
      <c r="E15512">
        <f>IFERROR(__xludf.DUMMYFUNCTION("""COMPUTED_VALUE"""),1.9869947E7)</f>
        <v>19869947</v>
      </c>
    </row>
    <row r="15513">
      <c r="A15513" t="str">
        <f t="shared" si="1"/>
        <v>twn#1989</v>
      </c>
      <c r="B15513" t="str">
        <f>IFERROR(__xludf.DUMMYFUNCTION("""COMPUTED_VALUE"""),"twn")</f>
        <v>twn</v>
      </c>
      <c r="C15513" t="str">
        <f>IFERROR(__xludf.DUMMYFUNCTION("""COMPUTED_VALUE"""),"Taiwan")</f>
        <v>Taiwan</v>
      </c>
      <c r="D15513">
        <f>IFERROR(__xludf.DUMMYFUNCTION("""COMPUTED_VALUE"""),1989.0)</f>
        <v>1989</v>
      </c>
      <c r="E15513">
        <f>IFERROR(__xludf.DUMMYFUNCTION("""COMPUTED_VALUE"""),2.0095747E7)</f>
        <v>20095747</v>
      </c>
    </row>
    <row r="15514">
      <c r="A15514" t="str">
        <f t="shared" si="1"/>
        <v>twn#1990</v>
      </c>
      <c r="B15514" t="str">
        <f>IFERROR(__xludf.DUMMYFUNCTION("""COMPUTED_VALUE"""),"twn")</f>
        <v>twn</v>
      </c>
      <c r="C15514" t="str">
        <f>IFERROR(__xludf.DUMMYFUNCTION("""COMPUTED_VALUE"""),"Taiwan")</f>
        <v>Taiwan</v>
      </c>
      <c r="D15514">
        <f>IFERROR(__xludf.DUMMYFUNCTION("""COMPUTED_VALUE"""),1990.0)</f>
        <v>1990</v>
      </c>
      <c r="E15514">
        <f>IFERROR(__xludf.DUMMYFUNCTION("""COMPUTED_VALUE"""),2.0311698E7)</f>
        <v>20311698</v>
      </c>
    </row>
    <row r="15515">
      <c r="A15515" t="str">
        <f t="shared" si="1"/>
        <v>twn#1991</v>
      </c>
      <c r="B15515" t="str">
        <f>IFERROR(__xludf.DUMMYFUNCTION("""COMPUTED_VALUE"""),"twn")</f>
        <v>twn</v>
      </c>
      <c r="C15515" t="str">
        <f>IFERROR(__xludf.DUMMYFUNCTION("""COMPUTED_VALUE"""),"Taiwan")</f>
        <v>Taiwan</v>
      </c>
      <c r="D15515">
        <f>IFERROR(__xludf.DUMMYFUNCTION("""COMPUTED_VALUE"""),1991.0)</f>
        <v>1991</v>
      </c>
      <c r="E15515">
        <f>IFERROR(__xludf.DUMMYFUNCTION("""COMPUTED_VALUE"""),2.05188E7)</f>
        <v>20518800</v>
      </c>
    </row>
    <row r="15516">
      <c r="A15516" t="str">
        <f t="shared" si="1"/>
        <v>twn#1992</v>
      </c>
      <c r="B15516" t="str">
        <f>IFERROR(__xludf.DUMMYFUNCTION("""COMPUTED_VALUE"""),"twn")</f>
        <v>twn</v>
      </c>
      <c r="C15516" t="str">
        <f>IFERROR(__xludf.DUMMYFUNCTION("""COMPUTED_VALUE"""),"Taiwan")</f>
        <v>Taiwan</v>
      </c>
      <c r="D15516">
        <f>IFERROR(__xludf.DUMMYFUNCTION("""COMPUTED_VALUE"""),1992.0)</f>
        <v>1992</v>
      </c>
      <c r="E15516">
        <f>IFERROR(__xludf.DUMMYFUNCTION("""COMPUTED_VALUE"""),2.0716684E7)</f>
        <v>20716684</v>
      </c>
    </row>
    <row r="15517">
      <c r="A15517" t="str">
        <f t="shared" si="1"/>
        <v>twn#1993</v>
      </c>
      <c r="B15517" t="str">
        <f>IFERROR(__xludf.DUMMYFUNCTION("""COMPUTED_VALUE"""),"twn")</f>
        <v>twn</v>
      </c>
      <c r="C15517" t="str">
        <f>IFERROR(__xludf.DUMMYFUNCTION("""COMPUTED_VALUE"""),"Taiwan")</f>
        <v>Taiwan</v>
      </c>
      <c r="D15517">
        <f>IFERROR(__xludf.DUMMYFUNCTION("""COMPUTED_VALUE"""),1993.0)</f>
        <v>1993</v>
      </c>
      <c r="E15517">
        <f>IFERROR(__xludf.DUMMYFUNCTION("""COMPUTED_VALUE"""),2.0902884E7)</f>
        <v>20902884</v>
      </c>
    </row>
    <row r="15518">
      <c r="A15518" t="str">
        <f t="shared" si="1"/>
        <v>twn#1994</v>
      </c>
      <c r="B15518" t="str">
        <f>IFERROR(__xludf.DUMMYFUNCTION("""COMPUTED_VALUE"""),"twn")</f>
        <v>twn</v>
      </c>
      <c r="C15518" t="str">
        <f>IFERROR(__xludf.DUMMYFUNCTION("""COMPUTED_VALUE"""),"Taiwan")</f>
        <v>Taiwan</v>
      </c>
      <c r="D15518">
        <f>IFERROR(__xludf.DUMMYFUNCTION("""COMPUTED_VALUE"""),1994.0)</f>
        <v>1994</v>
      </c>
      <c r="E15518">
        <f>IFERROR(__xludf.DUMMYFUNCTION("""COMPUTED_VALUE"""),2.1074053E7)</f>
        <v>21074053</v>
      </c>
    </row>
    <row r="15519">
      <c r="A15519" t="str">
        <f t="shared" si="1"/>
        <v>twn#1995</v>
      </c>
      <c r="B15519" t="str">
        <f>IFERROR(__xludf.DUMMYFUNCTION("""COMPUTED_VALUE"""),"twn")</f>
        <v>twn</v>
      </c>
      <c r="C15519" t="str">
        <f>IFERROR(__xludf.DUMMYFUNCTION("""COMPUTED_VALUE"""),"Taiwan")</f>
        <v>Taiwan</v>
      </c>
      <c r="D15519">
        <f>IFERROR(__xludf.DUMMYFUNCTION("""COMPUTED_VALUE"""),1995.0)</f>
        <v>1995</v>
      </c>
      <c r="E15519">
        <f>IFERROR(__xludf.DUMMYFUNCTION("""COMPUTED_VALUE"""),2.1228512E7)</f>
        <v>21228512</v>
      </c>
    </row>
    <row r="15520">
      <c r="A15520" t="str">
        <f t="shared" si="1"/>
        <v>twn#1996</v>
      </c>
      <c r="B15520" t="str">
        <f>IFERROR(__xludf.DUMMYFUNCTION("""COMPUTED_VALUE"""),"twn")</f>
        <v>twn</v>
      </c>
      <c r="C15520" t="str">
        <f>IFERROR(__xludf.DUMMYFUNCTION("""COMPUTED_VALUE"""),"Taiwan")</f>
        <v>Taiwan</v>
      </c>
      <c r="D15520">
        <f>IFERROR(__xludf.DUMMYFUNCTION("""COMPUTED_VALUE"""),1996.0)</f>
        <v>1996</v>
      </c>
      <c r="E15520">
        <f>IFERROR(__xludf.DUMMYFUNCTION("""COMPUTED_VALUE"""),2.136413E7)</f>
        <v>21364130</v>
      </c>
    </row>
    <row r="15521">
      <c r="A15521" t="str">
        <f t="shared" si="1"/>
        <v>twn#1997</v>
      </c>
      <c r="B15521" t="str">
        <f>IFERROR(__xludf.DUMMYFUNCTION("""COMPUTED_VALUE"""),"twn")</f>
        <v>twn</v>
      </c>
      <c r="C15521" t="str">
        <f>IFERROR(__xludf.DUMMYFUNCTION("""COMPUTED_VALUE"""),"Taiwan")</f>
        <v>Taiwan</v>
      </c>
      <c r="D15521">
        <f>IFERROR(__xludf.DUMMYFUNCTION("""COMPUTED_VALUE"""),1997.0)</f>
        <v>1997</v>
      </c>
      <c r="E15521">
        <f>IFERROR(__xludf.DUMMYFUNCTION("""COMPUTED_VALUE"""),2.1483508E7)</f>
        <v>21483508</v>
      </c>
    </row>
    <row r="15522">
      <c r="A15522" t="str">
        <f t="shared" si="1"/>
        <v>twn#1998</v>
      </c>
      <c r="B15522" t="str">
        <f>IFERROR(__xludf.DUMMYFUNCTION("""COMPUTED_VALUE"""),"twn")</f>
        <v>twn</v>
      </c>
      <c r="C15522" t="str">
        <f>IFERROR(__xludf.DUMMYFUNCTION("""COMPUTED_VALUE"""),"Taiwan")</f>
        <v>Taiwan</v>
      </c>
      <c r="D15522">
        <f>IFERROR(__xludf.DUMMYFUNCTION("""COMPUTED_VALUE"""),1998.0)</f>
        <v>1998</v>
      </c>
      <c r="E15522">
        <f>IFERROR(__xludf.DUMMYFUNCTION("""COMPUTED_VALUE"""),2.1595372E7)</f>
        <v>21595372</v>
      </c>
    </row>
    <row r="15523">
      <c r="A15523" t="str">
        <f t="shared" si="1"/>
        <v>twn#1999</v>
      </c>
      <c r="B15523" t="str">
        <f>IFERROR(__xludf.DUMMYFUNCTION("""COMPUTED_VALUE"""),"twn")</f>
        <v>twn</v>
      </c>
      <c r="C15523" t="str">
        <f>IFERROR(__xludf.DUMMYFUNCTION("""COMPUTED_VALUE"""),"Taiwan")</f>
        <v>Taiwan</v>
      </c>
      <c r="D15523">
        <f>IFERROR(__xludf.DUMMYFUNCTION("""COMPUTED_VALUE"""),1999.0)</f>
        <v>1999</v>
      </c>
      <c r="E15523">
        <f>IFERROR(__xludf.DUMMYFUNCTION("""COMPUTED_VALUE"""),2.1711573E7)</f>
        <v>21711573</v>
      </c>
    </row>
    <row r="15524">
      <c r="A15524" t="str">
        <f t="shared" si="1"/>
        <v>twn#2000</v>
      </c>
      <c r="B15524" t="str">
        <f>IFERROR(__xludf.DUMMYFUNCTION("""COMPUTED_VALUE"""),"twn")</f>
        <v>twn</v>
      </c>
      <c r="C15524" t="str">
        <f>IFERROR(__xludf.DUMMYFUNCTION("""COMPUTED_VALUE"""),"Taiwan")</f>
        <v>Taiwan</v>
      </c>
      <c r="D15524">
        <f>IFERROR(__xludf.DUMMYFUNCTION("""COMPUTED_VALUE"""),2000.0)</f>
        <v>2000</v>
      </c>
      <c r="E15524">
        <f>IFERROR(__xludf.DUMMYFUNCTION("""COMPUTED_VALUE"""),2.1840235E7)</f>
        <v>21840235</v>
      </c>
    </row>
    <row r="15525">
      <c r="A15525" t="str">
        <f t="shared" si="1"/>
        <v>twn#2001</v>
      </c>
      <c r="B15525" t="str">
        <f>IFERROR(__xludf.DUMMYFUNCTION("""COMPUTED_VALUE"""),"twn")</f>
        <v>twn</v>
      </c>
      <c r="C15525" t="str">
        <f>IFERROR(__xludf.DUMMYFUNCTION("""COMPUTED_VALUE"""),"Taiwan")</f>
        <v>Taiwan</v>
      </c>
      <c r="D15525">
        <f>IFERROR(__xludf.DUMMYFUNCTION("""COMPUTED_VALUE"""),2001.0)</f>
        <v>2001</v>
      </c>
      <c r="E15525">
        <f>IFERROR(__xludf.DUMMYFUNCTION("""COMPUTED_VALUE"""),2.1985282E7)</f>
        <v>21985282</v>
      </c>
    </row>
    <row r="15526">
      <c r="A15526" t="str">
        <f t="shared" si="1"/>
        <v>twn#2002</v>
      </c>
      <c r="B15526" t="str">
        <f>IFERROR(__xludf.DUMMYFUNCTION("""COMPUTED_VALUE"""),"twn")</f>
        <v>twn</v>
      </c>
      <c r="C15526" t="str">
        <f>IFERROR(__xludf.DUMMYFUNCTION("""COMPUTED_VALUE"""),"Taiwan")</f>
        <v>Taiwan</v>
      </c>
      <c r="D15526">
        <f>IFERROR(__xludf.DUMMYFUNCTION("""COMPUTED_VALUE"""),2002.0)</f>
        <v>2002</v>
      </c>
      <c r="E15526">
        <f>IFERROR(__xludf.DUMMYFUNCTION("""COMPUTED_VALUE"""),2.2143337E7)</f>
        <v>22143337</v>
      </c>
    </row>
    <row r="15527">
      <c r="A15527" t="str">
        <f t="shared" si="1"/>
        <v>twn#2003</v>
      </c>
      <c r="B15527" t="str">
        <f>IFERROR(__xludf.DUMMYFUNCTION("""COMPUTED_VALUE"""),"twn")</f>
        <v>twn</v>
      </c>
      <c r="C15527" t="str">
        <f>IFERROR(__xludf.DUMMYFUNCTION("""COMPUTED_VALUE"""),"Taiwan")</f>
        <v>Taiwan</v>
      </c>
      <c r="D15527">
        <f>IFERROR(__xludf.DUMMYFUNCTION("""COMPUTED_VALUE"""),2003.0)</f>
        <v>2003</v>
      </c>
      <c r="E15527">
        <f>IFERROR(__xludf.DUMMYFUNCTION("""COMPUTED_VALUE"""),2.2306338E7)</f>
        <v>22306338</v>
      </c>
    </row>
    <row r="15528">
      <c r="A15528" t="str">
        <f t="shared" si="1"/>
        <v>twn#2004</v>
      </c>
      <c r="B15528" t="str">
        <f>IFERROR(__xludf.DUMMYFUNCTION("""COMPUTED_VALUE"""),"twn")</f>
        <v>twn</v>
      </c>
      <c r="C15528" t="str">
        <f>IFERROR(__xludf.DUMMYFUNCTION("""COMPUTED_VALUE"""),"Taiwan")</f>
        <v>Taiwan</v>
      </c>
      <c r="D15528">
        <f>IFERROR(__xludf.DUMMYFUNCTION("""COMPUTED_VALUE"""),2004.0)</f>
        <v>2004</v>
      </c>
      <c r="E15528">
        <f>IFERROR(__xludf.DUMMYFUNCTION("""COMPUTED_VALUE"""),2.2462374E7)</f>
        <v>22462374</v>
      </c>
    </row>
    <row r="15529">
      <c r="A15529" t="str">
        <f t="shared" si="1"/>
        <v>twn#2005</v>
      </c>
      <c r="B15529" t="str">
        <f>IFERROR(__xludf.DUMMYFUNCTION("""COMPUTED_VALUE"""),"twn")</f>
        <v>twn</v>
      </c>
      <c r="C15529" t="str">
        <f>IFERROR(__xludf.DUMMYFUNCTION("""COMPUTED_VALUE"""),"Taiwan")</f>
        <v>Taiwan</v>
      </c>
      <c r="D15529">
        <f>IFERROR(__xludf.DUMMYFUNCTION("""COMPUTED_VALUE"""),2005.0)</f>
        <v>2005</v>
      </c>
      <c r="E15529">
        <f>IFERROR(__xludf.DUMMYFUNCTION("""COMPUTED_VALUE"""),2.2602886E7)</f>
        <v>22602886</v>
      </c>
    </row>
    <row r="15530">
      <c r="A15530" t="str">
        <f t="shared" si="1"/>
        <v>twn#2006</v>
      </c>
      <c r="B15530" t="str">
        <f>IFERROR(__xludf.DUMMYFUNCTION("""COMPUTED_VALUE"""),"twn")</f>
        <v>twn</v>
      </c>
      <c r="C15530" t="str">
        <f>IFERROR(__xludf.DUMMYFUNCTION("""COMPUTED_VALUE"""),"Taiwan")</f>
        <v>Taiwan</v>
      </c>
      <c r="D15530">
        <f>IFERROR(__xludf.DUMMYFUNCTION("""COMPUTED_VALUE"""),2006.0)</f>
        <v>2006</v>
      </c>
      <c r="E15530">
        <f>IFERROR(__xludf.DUMMYFUNCTION("""COMPUTED_VALUE"""),2.2725478E7)</f>
        <v>22725478</v>
      </c>
    </row>
    <row r="15531">
      <c r="A15531" t="str">
        <f t="shared" si="1"/>
        <v>twn#2007</v>
      </c>
      <c r="B15531" t="str">
        <f>IFERROR(__xludf.DUMMYFUNCTION("""COMPUTED_VALUE"""),"twn")</f>
        <v>twn</v>
      </c>
      <c r="C15531" t="str">
        <f>IFERROR(__xludf.DUMMYFUNCTION("""COMPUTED_VALUE"""),"Taiwan")</f>
        <v>Taiwan</v>
      </c>
      <c r="D15531">
        <f>IFERROR(__xludf.DUMMYFUNCTION("""COMPUTED_VALUE"""),2007.0)</f>
        <v>2007</v>
      </c>
      <c r="E15531">
        <f>IFERROR(__xludf.DUMMYFUNCTION("""COMPUTED_VALUE"""),2.2833013E7)</f>
        <v>22833013</v>
      </c>
    </row>
    <row r="15532">
      <c r="A15532" t="str">
        <f t="shared" si="1"/>
        <v>twn#2008</v>
      </c>
      <c r="B15532" t="str">
        <f>IFERROR(__xludf.DUMMYFUNCTION("""COMPUTED_VALUE"""),"twn")</f>
        <v>twn</v>
      </c>
      <c r="C15532" t="str">
        <f>IFERROR(__xludf.DUMMYFUNCTION("""COMPUTED_VALUE"""),"Taiwan")</f>
        <v>Taiwan</v>
      </c>
      <c r="D15532">
        <f>IFERROR(__xludf.DUMMYFUNCTION("""COMPUTED_VALUE"""),2008.0)</f>
        <v>2008</v>
      </c>
      <c r="E15532">
        <f>IFERROR(__xludf.DUMMYFUNCTION("""COMPUTED_VALUE"""),2.2928526E7)</f>
        <v>22928526</v>
      </c>
    </row>
    <row r="15533">
      <c r="A15533" t="str">
        <f t="shared" si="1"/>
        <v>twn#2009</v>
      </c>
      <c r="B15533" t="str">
        <f>IFERROR(__xludf.DUMMYFUNCTION("""COMPUTED_VALUE"""),"twn")</f>
        <v>twn</v>
      </c>
      <c r="C15533" t="str">
        <f>IFERROR(__xludf.DUMMYFUNCTION("""COMPUTED_VALUE"""),"Taiwan")</f>
        <v>Taiwan</v>
      </c>
      <c r="D15533">
        <f>IFERROR(__xludf.DUMMYFUNCTION("""COMPUTED_VALUE"""),2009.0)</f>
        <v>2009</v>
      </c>
      <c r="E15533">
        <f>IFERROR(__xludf.DUMMYFUNCTION("""COMPUTED_VALUE"""),2.3017055E7)</f>
        <v>23017055</v>
      </c>
    </row>
    <row r="15534">
      <c r="A15534" t="str">
        <f t="shared" si="1"/>
        <v>twn#2010</v>
      </c>
      <c r="B15534" t="str">
        <f>IFERROR(__xludf.DUMMYFUNCTION("""COMPUTED_VALUE"""),"twn")</f>
        <v>twn</v>
      </c>
      <c r="C15534" t="str">
        <f>IFERROR(__xludf.DUMMYFUNCTION("""COMPUTED_VALUE"""),"Taiwan")</f>
        <v>Taiwan</v>
      </c>
      <c r="D15534">
        <f>IFERROR(__xludf.DUMMYFUNCTION("""COMPUTED_VALUE"""),2010.0)</f>
        <v>2010</v>
      </c>
      <c r="E15534">
        <f>IFERROR(__xludf.DUMMYFUNCTION("""COMPUTED_VALUE"""),2.3102406E7)</f>
        <v>23102406</v>
      </c>
    </row>
    <row r="15535">
      <c r="A15535" t="str">
        <f t="shared" si="1"/>
        <v>twn#2011</v>
      </c>
      <c r="B15535" t="str">
        <f>IFERROR(__xludf.DUMMYFUNCTION("""COMPUTED_VALUE"""),"twn")</f>
        <v>twn</v>
      </c>
      <c r="C15535" t="str">
        <f>IFERROR(__xludf.DUMMYFUNCTION("""COMPUTED_VALUE"""),"Taiwan")</f>
        <v>Taiwan</v>
      </c>
      <c r="D15535">
        <f>IFERROR(__xludf.DUMMYFUNCTION("""COMPUTED_VALUE"""),2011.0)</f>
        <v>2011</v>
      </c>
      <c r="E15535">
        <f>IFERROR(__xludf.DUMMYFUNCTION("""COMPUTED_VALUE"""),2.318501E7)</f>
        <v>23185010</v>
      </c>
    </row>
    <row r="15536">
      <c r="A15536" t="str">
        <f t="shared" si="1"/>
        <v>twn#2012</v>
      </c>
      <c r="B15536" t="str">
        <f>IFERROR(__xludf.DUMMYFUNCTION("""COMPUTED_VALUE"""),"twn")</f>
        <v>twn</v>
      </c>
      <c r="C15536" t="str">
        <f>IFERROR(__xludf.DUMMYFUNCTION("""COMPUTED_VALUE"""),"Taiwan")</f>
        <v>Taiwan</v>
      </c>
      <c r="D15536">
        <f>IFERROR(__xludf.DUMMYFUNCTION("""COMPUTED_VALUE"""),2012.0)</f>
        <v>2012</v>
      </c>
      <c r="E15536">
        <f>IFERROR(__xludf.DUMMYFUNCTION("""COMPUTED_VALUE"""),2.3263897E7)</f>
        <v>23263897</v>
      </c>
    </row>
    <row r="15537">
      <c r="A15537" t="str">
        <f t="shared" si="1"/>
        <v>twn#2013</v>
      </c>
      <c r="B15537" t="str">
        <f>IFERROR(__xludf.DUMMYFUNCTION("""COMPUTED_VALUE"""),"twn")</f>
        <v>twn</v>
      </c>
      <c r="C15537" t="str">
        <f>IFERROR(__xludf.DUMMYFUNCTION("""COMPUTED_VALUE"""),"Taiwan")</f>
        <v>Taiwan</v>
      </c>
      <c r="D15537">
        <f>IFERROR(__xludf.DUMMYFUNCTION("""COMPUTED_VALUE"""),2013.0)</f>
        <v>2013</v>
      </c>
      <c r="E15537">
        <f>IFERROR(__xludf.DUMMYFUNCTION("""COMPUTED_VALUE"""),2.3339858E7)</f>
        <v>23339858</v>
      </c>
    </row>
    <row r="15538">
      <c r="A15538" t="str">
        <f t="shared" si="1"/>
        <v>twn#2014</v>
      </c>
      <c r="B15538" t="str">
        <f>IFERROR(__xludf.DUMMYFUNCTION("""COMPUTED_VALUE"""),"twn")</f>
        <v>twn</v>
      </c>
      <c r="C15538" t="str">
        <f>IFERROR(__xludf.DUMMYFUNCTION("""COMPUTED_VALUE"""),"Taiwan")</f>
        <v>Taiwan</v>
      </c>
      <c r="D15538">
        <f>IFERROR(__xludf.DUMMYFUNCTION("""COMPUTED_VALUE"""),2014.0)</f>
        <v>2014</v>
      </c>
      <c r="E15538">
        <f>IFERROR(__xludf.DUMMYFUNCTION("""COMPUTED_VALUE"""),2.3413652E7)</f>
        <v>23413652</v>
      </c>
    </row>
    <row r="15539">
      <c r="A15539" t="str">
        <f t="shared" si="1"/>
        <v>twn#2015</v>
      </c>
      <c r="B15539" t="str">
        <f>IFERROR(__xludf.DUMMYFUNCTION("""COMPUTED_VALUE"""),"twn")</f>
        <v>twn</v>
      </c>
      <c r="C15539" t="str">
        <f>IFERROR(__xludf.DUMMYFUNCTION("""COMPUTED_VALUE"""),"Taiwan")</f>
        <v>Taiwan</v>
      </c>
      <c r="D15539">
        <f>IFERROR(__xludf.DUMMYFUNCTION("""COMPUTED_VALUE"""),2015.0)</f>
        <v>2015</v>
      </c>
      <c r="E15539">
        <f>IFERROR(__xludf.DUMMYFUNCTION("""COMPUTED_VALUE"""),2.3485755E7)</f>
        <v>23485755</v>
      </c>
    </row>
    <row r="15540">
      <c r="A15540" t="str">
        <f t="shared" si="1"/>
        <v>twn#2016</v>
      </c>
      <c r="B15540" t="str">
        <f>IFERROR(__xludf.DUMMYFUNCTION("""COMPUTED_VALUE"""),"twn")</f>
        <v>twn</v>
      </c>
      <c r="C15540" t="str">
        <f>IFERROR(__xludf.DUMMYFUNCTION("""COMPUTED_VALUE"""),"Taiwan")</f>
        <v>Taiwan</v>
      </c>
      <c r="D15540">
        <f>IFERROR(__xludf.DUMMYFUNCTION("""COMPUTED_VALUE"""),2016.0)</f>
        <v>2016</v>
      </c>
      <c r="E15540">
        <f>IFERROR(__xludf.DUMMYFUNCTION("""COMPUTED_VALUE"""),2.3556706E7)</f>
        <v>23556706</v>
      </c>
    </row>
    <row r="15541">
      <c r="A15541" t="str">
        <f t="shared" si="1"/>
        <v>twn#2017</v>
      </c>
      <c r="B15541" t="str">
        <f>IFERROR(__xludf.DUMMYFUNCTION("""COMPUTED_VALUE"""),"twn")</f>
        <v>twn</v>
      </c>
      <c r="C15541" t="str">
        <f>IFERROR(__xludf.DUMMYFUNCTION("""COMPUTED_VALUE"""),"Taiwan")</f>
        <v>Taiwan</v>
      </c>
      <c r="D15541">
        <f>IFERROR(__xludf.DUMMYFUNCTION("""COMPUTED_VALUE"""),2017.0)</f>
        <v>2017</v>
      </c>
      <c r="E15541">
        <f>IFERROR(__xludf.DUMMYFUNCTION("""COMPUTED_VALUE"""),2.3626456E7)</f>
        <v>23626456</v>
      </c>
    </row>
    <row r="15542">
      <c r="A15542" t="str">
        <f t="shared" si="1"/>
        <v>twn#2018</v>
      </c>
      <c r="B15542" t="str">
        <f>IFERROR(__xludf.DUMMYFUNCTION("""COMPUTED_VALUE"""),"twn")</f>
        <v>twn</v>
      </c>
      <c r="C15542" t="str">
        <f>IFERROR(__xludf.DUMMYFUNCTION("""COMPUTED_VALUE"""),"Taiwan")</f>
        <v>Taiwan</v>
      </c>
      <c r="D15542">
        <f>IFERROR(__xludf.DUMMYFUNCTION("""COMPUTED_VALUE"""),2018.0)</f>
        <v>2018</v>
      </c>
      <c r="E15542">
        <f>IFERROR(__xludf.DUMMYFUNCTION("""COMPUTED_VALUE"""),2.3694089E7)</f>
        <v>23694089</v>
      </c>
    </row>
    <row r="15543">
      <c r="A15543" t="str">
        <f t="shared" si="1"/>
        <v>twn#2019</v>
      </c>
      <c r="B15543" t="str">
        <f>IFERROR(__xludf.DUMMYFUNCTION("""COMPUTED_VALUE"""),"twn")</f>
        <v>twn</v>
      </c>
      <c r="C15543" t="str">
        <f>IFERROR(__xludf.DUMMYFUNCTION("""COMPUTED_VALUE"""),"Taiwan")</f>
        <v>Taiwan</v>
      </c>
      <c r="D15543">
        <f>IFERROR(__xludf.DUMMYFUNCTION("""COMPUTED_VALUE"""),2019.0)</f>
        <v>2019</v>
      </c>
      <c r="E15543">
        <f>IFERROR(__xludf.DUMMYFUNCTION("""COMPUTED_VALUE"""),2.3758247E7)</f>
        <v>23758247</v>
      </c>
    </row>
    <row r="15544">
      <c r="A15544" t="str">
        <f t="shared" si="1"/>
        <v>twn#2020</v>
      </c>
      <c r="B15544" t="str">
        <f>IFERROR(__xludf.DUMMYFUNCTION("""COMPUTED_VALUE"""),"twn")</f>
        <v>twn</v>
      </c>
      <c r="C15544" t="str">
        <f>IFERROR(__xludf.DUMMYFUNCTION("""COMPUTED_VALUE"""),"Taiwan")</f>
        <v>Taiwan</v>
      </c>
      <c r="D15544">
        <f>IFERROR(__xludf.DUMMYFUNCTION("""COMPUTED_VALUE"""),2020.0)</f>
        <v>2020</v>
      </c>
      <c r="E15544">
        <f>IFERROR(__xludf.DUMMYFUNCTION("""COMPUTED_VALUE"""),2.3817905E7)</f>
        <v>23817905</v>
      </c>
    </row>
    <row r="15545">
      <c r="A15545" t="str">
        <f t="shared" si="1"/>
        <v>twn#2021</v>
      </c>
      <c r="B15545" t="str">
        <f>IFERROR(__xludf.DUMMYFUNCTION("""COMPUTED_VALUE"""),"twn")</f>
        <v>twn</v>
      </c>
      <c r="C15545" t="str">
        <f>IFERROR(__xludf.DUMMYFUNCTION("""COMPUTED_VALUE"""),"Taiwan")</f>
        <v>Taiwan</v>
      </c>
      <c r="D15545">
        <f>IFERROR(__xludf.DUMMYFUNCTION("""COMPUTED_VALUE"""),2021.0)</f>
        <v>2021</v>
      </c>
      <c r="E15545">
        <f>IFERROR(__xludf.DUMMYFUNCTION("""COMPUTED_VALUE"""),2.387268E7)</f>
        <v>23872680</v>
      </c>
    </row>
    <row r="15546">
      <c r="A15546" t="str">
        <f t="shared" si="1"/>
        <v>twn#2022</v>
      </c>
      <c r="B15546" t="str">
        <f>IFERROR(__xludf.DUMMYFUNCTION("""COMPUTED_VALUE"""),"twn")</f>
        <v>twn</v>
      </c>
      <c r="C15546" t="str">
        <f>IFERROR(__xludf.DUMMYFUNCTION("""COMPUTED_VALUE"""),"Taiwan")</f>
        <v>Taiwan</v>
      </c>
      <c r="D15546">
        <f>IFERROR(__xludf.DUMMYFUNCTION("""COMPUTED_VALUE"""),2022.0)</f>
        <v>2022</v>
      </c>
      <c r="E15546">
        <f>IFERROR(__xludf.DUMMYFUNCTION("""COMPUTED_VALUE"""),2.3922727E7)</f>
        <v>23922727</v>
      </c>
    </row>
    <row r="15547">
      <c r="A15547" t="str">
        <f t="shared" si="1"/>
        <v>twn#2023</v>
      </c>
      <c r="B15547" t="str">
        <f>IFERROR(__xludf.DUMMYFUNCTION("""COMPUTED_VALUE"""),"twn")</f>
        <v>twn</v>
      </c>
      <c r="C15547" t="str">
        <f>IFERROR(__xludf.DUMMYFUNCTION("""COMPUTED_VALUE"""),"Taiwan")</f>
        <v>Taiwan</v>
      </c>
      <c r="D15547">
        <f>IFERROR(__xludf.DUMMYFUNCTION("""COMPUTED_VALUE"""),2023.0)</f>
        <v>2023</v>
      </c>
      <c r="E15547">
        <f>IFERROR(__xludf.DUMMYFUNCTION("""COMPUTED_VALUE"""),2.3968059E7)</f>
        <v>23968059</v>
      </c>
    </row>
    <row r="15548">
      <c r="A15548" t="str">
        <f t="shared" si="1"/>
        <v>twn#2024</v>
      </c>
      <c r="B15548" t="str">
        <f>IFERROR(__xludf.DUMMYFUNCTION("""COMPUTED_VALUE"""),"twn")</f>
        <v>twn</v>
      </c>
      <c r="C15548" t="str">
        <f>IFERROR(__xludf.DUMMYFUNCTION("""COMPUTED_VALUE"""),"Taiwan")</f>
        <v>Taiwan</v>
      </c>
      <c r="D15548">
        <f>IFERROR(__xludf.DUMMYFUNCTION("""COMPUTED_VALUE"""),2024.0)</f>
        <v>2024</v>
      </c>
      <c r="E15548">
        <f>IFERROR(__xludf.DUMMYFUNCTION("""COMPUTED_VALUE"""),2.4008872E7)</f>
        <v>24008872</v>
      </c>
    </row>
    <row r="15549">
      <c r="A15549" t="str">
        <f t="shared" si="1"/>
        <v>twn#2025</v>
      </c>
      <c r="B15549" t="str">
        <f>IFERROR(__xludf.DUMMYFUNCTION("""COMPUTED_VALUE"""),"twn")</f>
        <v>twn</v>
      </c>
      <c r="C15549" t="str">
        <f>IFERROR(__xludf.DUMMYFUNCTION("""COMPUTED_VALUE"""),"Taiwan")</f>
        <v>Taiwan</v>
      </c>
      <c r="D15549">
        <f>IFERROR(__xludf.DUMMYFUNCTION("""COMPUTED_VALUE"""),2025.0)</f>
        <v>2025</v>
      </c>
      <c r="E15549">
        <f>IFERROR(__xludf.DUMMYFUNCTION("""COMPUTED_VALUE"""),2.4045238E7)</f>
        <v>24045238</v>
      </c>
    </row>
    <row r="15550">
      <c r="A15550" t="str">
        <f t="shared" si="1"/>
        <v>twn#2026</v>
      </c>
      <c r="B15550" t="str">
        <f>IFERROR(__xludf.DUMMYFUNCTION("""COMPUTED_VALUE"""),"twn")</f>
        <v>twn</v>
      </c>
      <c r="C15550" t="str">
        <f>IFERROR(__xludf.DUMMYFUNCTION("""COMPUTED_VALUE"""),"Taiwan")</f>
        <v>Taiwan</v>
      </c>
      <c r="D15550">
        <f>IFERROR(__xludf.DUMMYFUNCTION("""COMPUTED_VALUE"""),2026.0)</f>
        <v>2026</v>
      </c>
      <c r="E15550">
        <f>IFERROR(__xludf.DUMMYFUNCTION("""COMPUTED_VALUE"""),2.4076884E7)</f>
        <v>24076884</v>
      </c>
    </row>
    <row r="15551">
      <c r="A15551" t="str">
        <f t="shared" si="1"/>
        <v>twn#2027</v>
      </c>
      <c r="B15551" t="str">
        <f>IFERROR(__xludf.DUMMYFUNCTION("""COMPUTED_VALUE"""),"twn")</f>
        <v>twn</v>
      </c>
      <c r="C15551" t="str">
        <f>IFERROR(__xludf.DUMMYFUNCTION("""COMPUTED_VALUE"""),"Taiwan")</f>
        <v>Taiwan</v>
      </c>
      <c r="D15551">
        <f>IFERROR(__xludf.DUMMYFUNCTION("""COMPUTED_VALUE"""),2027.0)</f>
        <v>2027</v>
      </c>
      <c r="E15551">
        <f>IFERROR(__xludf.DUMMYFUNCTION("""COMPUTED_VALUE"""),2.4103448E7)</f>
        <v>24103448</v>
      </c>
    </row>
    <row r="15552">
      <c r="A15552" t="str">
        <f t="shared" si="1"/>
        <v>twn#2028</v>
      </c>
      <c r="B15552" t="str">
        <f>IFERROR(__xludf.DUMMYFUNCTION("""COMPUTED_VALUE"""),"twn")</f>
        <v>twn</v>
      </c>
      <c r="C15552" t="str">
        <f>IFERROR(__xludf.DUMMYFUNCTION("""COMPUTED_VALUE"""),"Taiwan")</f>
        <v>Taiwan</v>
      </c>
      <c r="D15552">
        <f>IFERROR(__xludf.DUMMYFUNCTION("""COMPUTED_VALUE"""),2028.0)</f>
        <v>2028</v>
      </c>
      <c r="E15552">
        <f>IFERROR(__xludf.DUMMYFUNCTION("""COMPUTED_VALUE"""),2.4124746E7)</f>
        <v>24124746</v>
      </c>
    </row>
    <row r="15553">
      <c r="A15553" t="str">
        <f t="shared" si="1"/>
        <v>twn#2029</v>
      </c>
      <c r="B15553" t="str">
        <f>IFERROR(__xludf.DUMMYFUNCTION("""COMPUTED_VALUE"""),"twn")</f>
        <v>twn</v>
      </c>
      <c r="C15553" t="str">
        <f>IFERROR(__xludf.DUMMYFUNCTION("""COMPUTED_VALUE"""),"Taiwan")</f>
        <v>Taiwan</v>
      </c>
      <c r="D15553">
        <f>IFERROR(__xludf.DUMMYFUNCTION("""COMPUTED_VALUE"""),2029.0)</f>
        <v>2029</v>
      </c>
      <c r="E15553">
        <f>IFERROR(__xludf.DUMMYFUNCTION("""COMPUTED_VALUE"""),2.4140587E7)</f>
        <v>24140587</v>
      </c>
    </row>
    <row r="15554">
      <c r="A15554" t="str">
        <f t="shared" si="1"/>
        <v>twn#2030</v>
      </c>
      <c r="B15554" t="str">
        <f>IFERROR(__xludf.DUMMYFUNCTION("""COMPUTED_VALUE"""),"twn")</f>
        <v>twn</v>
      </c>
      <c r="C15554" t="str">
        <f>IFERROR(__xludf.DUMMYFUNCTION("""COMPUTED_VALUE"""),"Taiwan")</f>
        <v>Taiwan</v>
      </c>
      <c r="D15554">
        <f>IFERROR(__xludf.DUMMYFUNCTION("""COMPUTED_VALUE"""),2030.0)</f>
        <v>2030</v>
      </c>
      <c r="E15554">
        <f>IFERROR(__xludf.DUMMYFUNCTION("""COMPUTED_VALUE"""),2.4150708E7)</f>
        <v>24150708</v>
      </c>
    </row>
    <row r="15555">
      <c r="A15555" t="str">
        <f t="shared" si="1"/>
        <v>twn#2031</v>
      </c>
      <c r="B15555" t="str">
        <f>IFERROR(__xludf.DUMMYFUNCTION("""COMPUTED_VALUE"""),"twn")</f>
        <v>twn</v>
      </c>
      <c r="C15555" t="str">
        <f>IFERROR(__xludf.DUMMYFUNCTION("""COMPUTED_VALUE"""),"Taiwan")</f>
        <v>Taiwan</v>
      </c>
      <c r="D15555">
        <f>IFERROR(__xludf.DUMMYFUNCTION("""COMPUTED_VALUE"""),2031.0)</f>
        <v>2031</v>
      </c>
      <c r="E15555">
        <f>IFERROR(__xludf.DUMMYFUNCTION("""COMPUTED_VALUE"""),2.4155057E7)</f>
        <v>24155057</v>
      </c>
    </row>
    <row r="15556">
      <c r="A15556" t="str">
        <f t="shared" si="1"/>
        <v>twn#2032</v>
      </c>
      <c r="B15556" t="str">
        <f>IFERROR(__xludf.DUMMYFUNCTION("""COMPUTED_VALUE"""),"twn")</f>
        <v>twn</v>
      </c>
      <c r="C15556" t="str">
        <f>IFERROR(__xludf.DUMMYFUNCTION("""COMPUTED_VALUE"""),"Taiwan")</f>
        <v>Taiwan</v>
      </c>
      <c r="D15556">
        <f>IFERROR(__xludf.DUMMYFUNCTION("""COMPUTED_VALUE"""),2032.0)</f>
        <v>2032</v>
      </c>
      <c r="E15556">
        <f>IFERROR(__xludf.DUMMYFUNCTION("""COMPUTED_VALUE"""),2.4153232E7)</f>
        <v>24153232</v>
      </c>
    </row>
    <row r="15557">
      <c r="A15557" t="str">
        <f t="shared" si="1"/>
        <v>twn#2033</v>
      </c>
      <c r="B15557" t="str">
        <f>IFERROR(__xludf.DUMMYFUNCTION("""COMPUTED_VALUE"""),"twn")</f>
        <v>twn</v>
      </c>
      <c r="C15557" t="str">
        <f>IFERROR(__xludf.DUMMYFUNCTION("""COMPUTED_VALUE"""),"Taiwan")</f>
        <v>Taiwan</v>
      </c>
      <c r="D15557">
        <f>IFERROR(__xludf.DUMMYFUNCTION("""COMPUTED_VALUE"""),2033.0)</f>
        <v>2033</v>
      </c>
      <c r="E15557">
        <f>IFERROR(__xludf.DUMMYFUNCTION("""COMPUTED_VALUE"""),2.414428E7)</f>
        <v>24144280</v>
      </c>
    </row>
    <row r="15558">
      <c r="A15558" t="str">
        <f t="shared" si="1"/>
        <v>twn#2034</v>
      </c>
      <c r="B15558" t="str">
        <f>IFERROR(__xludf.DUMMYFUNCTION("""COMPUTED_VALUE"""),"twn")</f>
        <v>twn</v>
      </c>
      <c r="C15558" t="str">
        <f>IFERROR(__xludf.DUMMYFUNCTION("""COMPUTED_VALUE"""),"Taiwan")</f>
        <v>Taiwan</v>
      </c>
      <c r="D15558">
        <f>IFERROR(__xludf.DUMMYFUNCTION("""COMPUTED_VALUE"""),2034.0)</f>
        <v>2034</v>
      </c>
      <c r="E15558">
        <f>IFERROR(__xludf.DUMMYFUNCTION("""COMPUTED_VALUE"""),2.4127012E7)</f>
        <v>24127012</v>
      </c>
    </row>
    <row r="15559">
      <c r="A15559" t="str">
        <f t="shared" si="1"/>
        <v>twn#2035</v>
      </c>
      <c r="B15559" t="str">
        <f>IFERROR(__xludf.DUMMYFUNCTION("""COMPUTED_VALUE"""),"twn")</f>
        <v>twn</v>
      </c>
      <c r="C15559" t="str">
        <f>IFERROR(__xludf.DUMMYFUNCTION("""COMPUTED_VALUE"""),"Taiwan")</f>
        <v>Taiwan</v>
      </c>
      <c r="D15559">
        <f>IFERROR(__xludf.DUMMYFUNCTION("""COMPUTED_VALUE"""),2035.0)</f>
        <v>2035</v>
      </c>
      <c r="E15559">
        <f>IFERROR(__xludf.DUMMYFUNCTION("""COMPUTED_VALUE"""),2.4100534E7)</f>
        <v>24100534</v>
      </c>
    </row>
    <row r="15560">
      <c r="A15560" t="str">
        <f t="shared" si="1"/>
        <v>twn#2036</v>
      </c>
      <c r="B15560" t="str">
        <f>IFERROR(__xludf.DUMMYFUNCTION("""COMPUTED_VALUE"""),"twn")</f>
        <v>twn</v>
      </c>
      <c r="C15560" t="str">
        <f>IFERROR(__xludf.DUMMYFUNCTION("""COMPUTED_VALUE"""),"Taiwan")</f>
        <v>Taiwan</v>
      </c>
      <c r="D15560">
        <f>IFERROR(__xludf.DUMMYFUNCTION("""COMPUTED_VALUE"""),2036.0)</f>
        <v>2036</v>
      </c>
      <c r="E15560">
        <f>IFERROR(__xludf.DUMMYFUNCTION("""COMPUTED_VALUE"""),2.4064633E7)</f>
        <v>24064633</v>
      </c>
    </row>
    <row r="15561">
      <c r="A15561" t="str">
        <f t="shared" si="1"/>
        <v>twn#2037</v>
      </c>
      <c r="B15561" t="str">
        <f>IFERROR(__xludf.DUMMYFUNCTION("""COMPUTED_VALUE"""),"twn")</f>
        <v>twn</v>
      </c>
      <c r="C15561" t="str">
        <f>IFERROR(__xludf.DUMMYFUNCTION("""COMPUTED_VALUE"""),"Taiwan")</f>
        <v>Taiwan</v>
      </c>
      <c r="D15561">
        <f>IFERROR(__xludf.DUMMYFUNCTION("""COMPUTED_VALUE"""),2037.0)</f>
        <v>2037</v>
      </c>
      <c r="E15561">
        <f>IFERROR(__xludf.DUMMYFUNCTION("""COMPUTED_VALUE"""),2.4019489E7)</f>
        <v>24019489</v>
      </c>
    </row>
    <row r="15562">
      <c r="A15562" t="str">
        <f t="shared" si="1"/>
        <v>twn#2038</v>
      </c>
      <c r="B15562" t="str">
        <f>IFERROR(__xludf.DUMMYFUNCTION("""COMPUTED_VALUE"""),"twn")</f>
        <v>twn</v>
      </c>
      <c r="C15562" t="str">
        <f>IFERROR(__xludf.DUMMYFUNCTION("""COMPUTED_VALUE"""),"Taiwan")</f>
        <v>Taiwan</v>
      </c>
      <c r="D15562">
        <f>IFERROR(__xludf.DUMMYFUNCTION("""COMPUTED_VALUE"""),2038.0)</f>
        <v>2038</v>
      </c>
      <c r="E15562">
        <f>IFERROR(__xludf.DUMMYFUNCTION("""COMPUTED_VALUE"""),2.3965194E7)</f>
        <v>23965194</v>
      </c>
    </row>
    <row r="15563">
      <c r="A15563" t="str">
        <f t="shared" si="1"/>
        <v>twn#2039</v>
      </c>
      <c r="B15563" t="str">
        <f>IFERROR(__xludf.DUMMYFUNCTION("""COMPUTED_VALUE"""),"twn")</f>
        <v>twn</v>
      </c>
      <c r="C15563" t="str">
        <f>IFERROR(__xludf.DUMMYFUNCTION("""COMPUTED_VALUE"""),"Taiwan")</f>
        <v>Taiwan</v>
      </c>
      <c r="D15563">
        <f>IFERROR(__xludf.DUMMYFUNCTION("""COMPUTED_VALUE"""),2039.0)</f>
        <v>2039</v>
      </c>
      <c r="E15563">
        <f>IFERROR(__xludf.DUMMYFUNCTION("""COMPUTED_VALUE"""),2.3902035E7)</f>
        <v>23902035</v>
      </c>
    </row>
    <row r="15564">
      <c r="A15564" t="str">
        <f t="shared" si="1"/>
        <v>twn#2040</v>
      </c>
      <c r="B15564" t="str">
        <f>IFERROR(__xludf.DUMMYFUNCTION("""COMPUTED_VALUE"""),"twn")</f>
        <v>twn</v>
      </c>
      <c r="C15564" t="str">
        <f>IFERROR(__xludf.DUMMYFUNCTION("""COMPUTED_VALUE"""),"Taiwan")</f>
        <v>Taiwan</v>
      </c>
      <c r="D15564">
        <f>IFERROR(__xludf.DUMMYFUNCTION("""COMPUTED_VALUE"""),2040.0)</f>
        <v>2040</v>
      </c>
      <c r="E15564">
        <f>IFERROR(__xludf.DUMMYFUNCTION("""COMPUTED_VALUE"""),2.3830334E7)</f>
        <v>23830334</v>
      </c>
    </row>
    <row r="15565">
      <c r="A15565" t="str">
        <f t="shared" si="1"/>
        <v>tjk#1950</v>
      </c>
      <c r="B15565" t="str">
        <f>IFERROR(__xludf.DUMMYFUNCTION("""COMPUTED_VALUE"""),"tjk")</f>
        <v>tjk</v>
      </c>
      <c r="C15565" t="str">
        <f>IFERROR(__xludf.DUMMYFUNCTION("""COMPUTED_VALUE"""),"Tajikistan")</f>
        <v>Tajikistan</v>
      </c>
      <c r="D15565">
        <f>IFERROR(__xludf.DUMMYFUNCTION("""COMPUTED_VALUE"""),1950.0)</f>
        <v>1950</v>
      </c>
      <c r="E15565">
        <f>IFERROR(__xludf.DUMMYFUNCTION("""COMPUTED_VALUE"""),1531501.0)</f>
        <v>1531501</v>
      </c>
    </row>
    <row r="15566">
      <c r="A15566" t="str">
        <f t="shared" si="1"/>
        <v>tjk#1951</v>
      </c>
      <c r="B15566" t="str">
        <f>IFERROR(__xludf.DUMMYFUNCTION("""COMPUTED_VALUE"""),"tjk")</f>
        <v>tjk</v>
      </c>
      <c r="C15566" t="str">
        <f>IFERROR(__xludf.DUMMYFUNCTION("""COMPUTED_VALUE"""),"Tajikistan")</f>
        <v>Tajikistan</v>
      </c>
      <c r="D15566">
        <f>IFERROR(__xludf.DUMMYFUNCTION("""COMPUTED_VALUE"""),1951.0)</f>
        <v>1951</v>
      </c>
      <c r="E15566">
        <f>IFERROR(__xludf.DUMMYFUNCTION("""COMPUTED_VALUE"""),1584992.0)</f>
        <v>1584992</v>
      </c>
    </row>
    <row r="15567">
      <c r="A15567" t="str">
        <f t="shared" si="1"/>
        <v>tjk#1952</v>
      </c>
      <c r="B15567" t="str">
        <f>IFERROR(__xludf.DUMMYFUNCTION("""COMPUTED_VALUE"""),"tjk")</f>
        <v>tjk</v>
      </c>
      <c r="C15567" t="str">
        <f>IFERROR(__xludf.DUMMYFUNCTION("""COMPUTED_VALUE"""),"Tajikistan")</f>
        <v>Tajikistan</v>
      </c>
      <c r="D15567">
        <f>IFERROR(__xludf.DUMMYFUNCTION("""COMPUTED_VALUE"""),1952.0)</f>
        <v>1952</v>
      </c>
      <c r="E15567">
        <f>IFERROR(__xludf.DUMMYFUNCTION("""COMPUTED_VALUE"""),1637950.0)</f>
        <v>1637950</v>
      </c>
    </row>
    <row r="15568">
      <c r="A15568" t="str">
        <f t="shared" si="1"/>
        <v>tjk#1953</v>
      </c>
      <c r="B15568" t="str">
        <f>IFERROR(__xludf.DUMMYFUNCTION("""COMPUTED_VALUE"""),"tjk")</f>
        <v>tjk</v>
      </c>
      <c r="C15568" t="str">
        <f>IFERROR(__xludf.DUMMYFUNCTION("""COMPUTED_VALUE"""),"Tajikistan")</f>
        <v>Tajikistan</v>
      </c>
      <c r="D15568">
        <f>IFERROR(__xludf.DUMMYFUNCTION("""COMPUTED_VALUE"""),1953.0)</f>
        <v>1953</v>
      </c>
      <c r="E15568">
        <f>IFERROR(__xludf.DUMMYFUNCTION("""COMPUTED_VALUE"""),1690334.0)</f>
        <v>1690334</v>
      </c>
    </row>
    <row r="15569">
      <c r="A15569" t="str">
        <f t="shared" si="1"/>
        <v>tjk#1954</v>
      </c>
      <c r="B15569" t="str">
        <f>IFERROR(__xludf.DUMMYFUNCTION("""COMPUTED_VALUE"""),"tjk")</f>
        <v>tjk</v>
      </c>
      <c r="C15569" t="str">
        <f>IFERROR(__xludf.DUMMYFUNCTION("""COMPUTED_VALUE"""),"Tajikistan")</f>
        <v>Tajikistan</v>
      </c>
      <c r="D15569">
        <f>IFERROR(__xludf.DUMMYFUNCTION("""COMPUTED_VALUE"""),1954.0)</f>
        <v>1954</v>
      </c>
      <c r="E15569">
        <f>IFERROR(__xludf.DUMMYFUNCTION("""COMPUTED_VALUE"""),1742345.0)</f>
        <v>1742345</v>
      </c>
    </row>
    <row r="15570">
      <c r="A15570" t="str">
        <f t="shared" si="1"/>
        <v>tjk#1955</v>
      </c>
      <c r="B15570" t="str">
        <f>IFERROR(__xludf.DUMMYFUNCTION("""COMPUTED_VALUE"""),"tjk")</f>
        <v>tjk</v>
      </c>
      <c r="C15570" t="str">
        <f>IFERROR(__xludf.DUMMYFUNCTION("""COMPUTED_VALUE"""),"Tajikistan")</f>
        <v>Tajikistan</v>
      </c>
      <c r="D15570">
        <f>IFERROR(__xludf.DUMMYFUNCTION("""COMPUTED_VALUE"""),1955.0)</f>
        <v>1955</v>
      </c>
      <c r="E15570">
        <f>IFERROR(__xludf.DUMMYFUNCTION("""COMPUTED_VALUE"""),1794414.0)</f>
        <v>1794414</v>
      </c>
    </row>
    <row r="15571">
      <c r="A15571" t="str">
        <f t="shared" si="1"/>
        <v>tjk#1956</v>
      </c>
      <c r="B15571" t="str">
        <f>IFERROR(__xludf.DUMMYFUNCTION("""COMPUTED_VALUE"""),"tjk")</f>
        <v>tjk</v>
      </c>
      <c r="C15571" t="str">
        <f>IFERROR(__xludf.DUMMYFUNCTION("""COMPUTED_VALUE"""),"Tajikistan")</f>
        <v>Tajikistan</v>
      </c>
      <c r="D15571">
        <f>IFERROR(__xludf.DUMMYFUNCTION("""COMPUTED_VALUE"""),1956.0)</f>
        <v>1956</v>
      </c>
      <c r="E15571">
        <f>IFERROR(__xludf.DUMMYFUNCTION("""COMPUTED_VALUE"""),1847251.0)</f>
        <v>1847251</v>
      </c>
    </row>
    <row r="15572">
      <c r="A15572" t="str">
        <f t="shared" si="1"/>
        <v>tjk#1957</v>
      </c>
      <c r="B15572" t="str">
        <f>IFERROR(__xludf.DUMMYFUNCTION("""COMPUTED_VALUE"""),"tjk")</f>
        <v>tjk</v>
      </c>
      <c r="C15572" t="str">
        <f>IFERROR(__xludf.DUMMYFUNCTION("""COMPUTED_VALUE"""),"Tajikistan")</f>
        <v>Tajikistan</v>
      </c>
      <c r="D15572">
        <f>IFERROR(__xludf.DUMMYFUNCTION("""COMPUTED_VALUE"""),1957.0)</f>
        <v>1957</v>
      </c>
      <c r="E15572">
        <f>IFERROR(__xludf.DUMMYFUNCTION("""COMPUTED_VALUE"""),1901775.0)</f>
        <v>1901775</v>
      </c>
    </row>
    <row r="15573">
      <c r="A15573" t="str">
        <f t="shared" si="1"/>
        <v>tjk#1958</v>
      </c>
      <c r="B15573" t="str">
        <f>IFERROR(__xludf.DUMMYFUNCTION("""COMPUTED_VALUE"""),"tjk")</f>
        <v>tjk</v>
      </c>
      <c r="C15573" t="str">
        <f>IFERROR(__xludf.DUMMYFUNCTION("""COMPUTED_VALUE"""),"Tajikistan")</f>
        <v>Tajikistan</v>
      </c>
      <c r="D15573">
        <f>IFERROR(__xludf.DUMMYFUNCTION("""COMPUTED_VALUE"""),1958.0)</f>
        <v>1958</v>
      </c>
      <c r="E15573">
        <f>IFERROR(__xludf.DUMMYFUNCTION("""COMPUTED_VALUE"""),1959137.0)</f>
        <v>1959137</v>
      </c>
    </row>
    <row r="15574">
      <c r="A15574" t="str">
        <f t="shared" si="1"/>
        <v>tjk#1959</v>
      </c>
      <c r="B15574" t="str">
        <f>IFERROR(__xludf.DUMMYFUNCTION("""COMPUTED_VALUE"""),"tjk")</f>
        <v>tjk</v>
      </c>
      <c r="C15574" t="str">
        <f>IFERROR(__xludf.DUMMYFUNCTION("""COMPUTED_VALUE"""),"Tajikistan")</f>
        <v>Tajikistan</v>
      </c>
      <c r="D15574">
        <f>IFERROR(__xludf.DUMMYFUNCTION("""COMPUTED_VALUE"""),1959.0)</f>
        <v>1959</v>
      </c>
      <c r="E15574">
        <f>IFERROR(__xludf.DUMMYFUNCTION("""COMPUTED_VALUE"""),2020554.0)</f>
        <v>2020554</v>
      </c>
    </row>
    <row r="15575">
      <c r="A15575" t="str">
        <f t="shared" si="1"/>
        <v>tjk#1960</v>
      </c>
      <c r="B15575" t="str">
        <f>IFERROR(__xludf.DUMMYFUNCTION("""COMPUTED_VALUE"""),"tjk")</f>
        <v>tjk</v>
      </c>
      <c r="C15575" t="str">
        <f>IFERROR(__xludf.DUMMYFUNCTION("""COMPUTED_VALUE"""),"Tajikistan")</f>
        <v>Tajikistan</v>
      </c>
      <c r="D15575">
        <f>IFERROR(__xludf.DUMMYFUNCTION("""COMPUTED_VALUE"""),1960.0)</f>
        <v>1960</v>
      </c>
      <c r="E15575">
        <f>IFERROR(__xludf.DUMMYFUNCTION("""COMPUTED_VALUE"""),2087038.0)</f>
        <v>2087038</v>
      </c>
    </row>
    <row r="15576">
      <c r="A15576" t="str">
        <f t="shared" si="1"/>
        <v>tjk#1961</v>
      </c>
      <c r="B15576" t="str">
        <f>IFERROR(__xludf.DUMMYFUNCTION("""COMPUTED_VALUE"""),"tjk")</f>
        <v>tjk</v>
      </c>
      <c r="C15576" t="str">
        <f>IFERROR(__xludf.DUMMYFUNCTION("""COMPUTED_VALUE"""),"Tajikistan")</f>
        <v>Tajikistan</v>
      </c>
      <c r="D15576">
        <f>IFERROR(__xludf.DUMMYFUNCTION("""COMPUTED_VALUE"""),1961.0)</f>
        <v>1961</v>
      </c>
      <c r="E15576">
        <f>IFERROR(__xludf.DUMMYFUNCTION("""COMPUTED_VALUE"""),2159123.0)</f>
        <v>2159123</v>
      </c>
    </row>
    <row r="15577">
      <c r="A15577" t="str">
        <f t="shared" si="1"/>
        <v>tjk#1962</v>
      </c>
      <c r="B15577" t="str">
        <f>IFERROR(__xludf.DUMMYFUNCTION("""COMPUTED_VALUE"""),"tjk")</f>
        <v>tjk</v>
      </c>
      <c r="C15577" t="str">
        <f>IFERROR(__xludf.DUMMYFUNCTION("""COMPUTED_VALUE"""),"Tajikistan")</f>
        <v>Tajikistan</v>
      </c>
      <c r="D15577">
        <f>IFERROR(__xludf.DUMMYFUNCTION("""COMPUTED_VALUE"""),1962.0)</f>
        <v>1962</v>
      </c>
      <c r="E15577">
        <f>IFERROR(__xludf.DUMMYFUNCTION("""COMPUTED_VALUE"""),2236559.0)</f>
        <v>2236559</v>
      </c>
    </row>
    <row r="15578">
      <c r="A15578" t="str">
        <f t="shared" si="1"/>
        <v>tjk#1963</v>
      </c>
      <c r="B15578" t="str">
        <f>IFERROR(__xludf.DUMMYFUNCTION("""COMPUTED_VALUE"""),"tjk")</f>
        <v>tjk</v>
      </c>
      <c r="C15578" t="str">
        <f>IFERROR(__xludf.DUMMYFUNCTION("""COMPUTED_VALUE"""),"Tajikistan")</f>
        <v>Tajikistan</v>
      </c>
      <c r="D15578">
        <f>IFERROR(__xludf.DUMMYFUNCTION("""COMPUTED_VALUE"""),1963.0)</f>
        <v>1963</v>
      </c>
      <c r="E15578">
        <f>IFERROR(__xludf.DUMMYFUNCTION("""COMPUTED_VALUE"""),2318234.0)</f>
        <v>2318234</v>
      </c>
    </row>
    <row r="15579">
      <c r="A15579" t="str">
        <f t="shared" si="1"/>
        <v>tjk#1964</v>
      </c>
      <c r="B15579" t="str">
        <f>IFERROR(__xludf.DUMMYFUNCTION("""COMPUTED_VALUE"""),"tjk")</f>
        <v>tjk</v>
      </c>
      <c r="C15579" t="str">
        <f>IFERROR(__xludf.DUMMYFUNCTION("""COMPUTED_VALUE"""),"Tajikistan")</f>
        <v>Tajikistan</v>
      </c>
      <c r="D15579">
        <f>IFERROR(__xludf.DUMMYFUNCTION("""COMPUTED_VALUE"""),1964.0)</f>
        <v>1964</v>
      </c>
      <c r="E15579">
        <f>IFERROR(__xludf.DUMMYFUNCTION("""COMPUTED_VALUE"""),2402455.0)</f>
        <v>2402455</v>
      </c>
    </row>
    <row r="15580">
      <c r="A15580" t="str">
        <f t="shared" si="1"/>
        <v>tjk#1965</v>
      </c>
      <c r="B15580" t="str">
        <f>IFERROR(__xludf.DUMMYFUNCTION("""COMPUTED_VALUE"""),"tjk")</f>
        <v>tjk</v>
      </c>
      <c r="C15580" t="str">
        <f>IFERROR(__xludf.DUMMYFUNCTION("""COMPUTED_VALUE"""),"Tajikistan")</f>
        <v>Tajikistan</v>
      </c>
      <c r="D15580">
        <f>IFERROR(__xludf.DUMMYFUNCTION("""COMPUTED_VALUE"""),1965.0)</f>
        <v>1965</v>
      </c>
      <c r="E15580">
        <f>IFERROR(__xludf.DUMMYFUNCTION("""COMPUTED_VALUE"""),2487953.0)</f>
        <v>2487953</v>
      </c>
    </row>
    <row r="15581">
      <c r="A15581" t="str">
        <f t="shared" si="1"/>
        <v>tjk#1966</v>
      </c>
      <c r="B15581" t="str">
        <f>IFERROR(__xludf.DUMMYFUNCTION("""COMPUTED_VALUE"""),"tjk")</f>
        <v>tjk</v>
      </c>
      <c r="C15581" t="str">
        <f>IFERROR(__xludf.DUMMYFUNCTION("""COMPUTED_VALUE"""),"Tajikistan")</f>
        <v>Tajikistan</v>
      </c>
      <c r="D15581">
        <f>IFERROR(__xludf.DUMMYFUNCTION("""COMPUTED_VALUE"""),1966.0)</f>
        <v>1966</v>
      </c>
      <c r="E15581">
        <f>IFERROR(__xludf.DUMMYFUNCTION("""COMPUTED_VALUE"""),2574478.0)</f>
        <v>2574478</v>
      </c>
    </row>
    <row r="15582">
      <c r="A15582" t="str">
        <f t="shared" si="1"/>
        <v>tjk#1967</v>
      </c>
      <c r="B15582" t="str">
        <f>IFERROR(__xludf.DUMMYFUNCTION("""COMPUTED_VALUE"""),"tjk")</f>
        <v>tjk</v>
      </c>
      <c r="C15582" t="str">
        <f>IFERROR(__xludf.DUMMYFUNCTION("""COMPUTED_VALUE"""),"Tajikistan")</f>
        <v>Tajikistan</v>
      </c>
      <c r="D15582">
        <f>IFERROR(__xludf.DUMMYFUNCTION("""COMPUTED_VALUE"""),1967.0)</f>
        <v>1967</v>
      </c>
      <c r="E15582">
        <f>IFERROR(__xludf.DUMMYFUNCTION("""COMPUTED_VALUE"""),2662230.0)</f>
        <v>2662230</v>
      </c>
    </row>
    <row r="15583">
      <c r="A15583" t="str">
        <f t="shared" si="1"/>
        <v>tjk#1968</v>
      </c>
      <c r="B15583" t="str">
        <f>IFERROR(__xludf.DUMMYFUNCTION("""COMPUTED_VALUE"""),"tjk")</f>
        <v>tjk</v>
      </c>
      <c r="C15583" t="str">
        <f>IFERROR(__xludf.DUMMYFUNCTION("""COMPUTED_VALUE"""),"Tajikistan")</f>
        <v>Tajikistan</v>
      </c>
      <c r="D15583">
        <f>IFERROR(__xludf.DUMMYFUNCTION("""COMPUTED_VALUE"""),1968.0)</f>
        <v>1968</v>
      </c>
      <c r="E15583">
        <f>IFERROR(__xludf.DUMMYFUNCTION("""COMPUTED_VALUE"""),2750894.0)</f>
        <v>2750894</v>
      </c>
    </row>
    <row r="15584">
      <c r="A15584" t="str">
        <f t="shared" si="1"/>
        <v>tjk#1969</v>
      </c>
      <c r="B15584" t="str">
        <f>IFERROR(__xludf.DUMMYFUNCTION("""COMPUTED_VALUE"""),"tjk")</f>
        <v>tjk</v>
      </c>
      <c r="C15584" t="str">
        <f>IFERROR(__xludf.DUMMYFUNCTION("""COMPUTED_VALUE"""),"Tajikistan")</f>
        <v>Tajikistan</v>
      </c>
      <c r="D15584">
        <f>IFERROR(__xludf.DUMMYFUNCTION("""COMPUTED_VALUE"""),1969.0)</f>
        <v>1969</v>
      </c>
      <c r="E15584">
        <f>IFERROR(__xludf.DUMMYFUNCTION("""COMPUTED_VALUE"""),2840228.0)</f>
        <v>2840228</v>
      </c>
    </row>
    <row r="15585">
      <c r="A15585" t="str">
        <f t="shared" si="1"/>
        <v>tjk#1970</v>
      </c>
      <c r="B15585" t="str">
        <f>IFERROR(__xludf.DUMMYFUNCTION("""COMPUTED_VALUE"""),"tjk")</f>
        <v>tjk</v>
      </c>
      <c r="C15585" t="str">
        <f>IFERROR(__xludf.DUMMYFUNCTION("""COMPUTED_VALUE"""),"Tajikistan")</f>
        <v>Tajikistan</v>
      </c>
      <c r="D15585">
        <f>IFERROR(__xludf.DUMMYFUNCTION("""COMPUTED_VALUE"""),1970.0)</f>
        <v>1970</v>
      </c>
      <c r="E15585">
        <f>IFERROR(__xludf.DUMMYFUNCTION("""COMPUTED_VALUE"""),2930079.0)</f>
        <v>2930079</v>
      </c>
    </row>
    <row r="15586">
      <c r="A15586" t="str">
        <f t="shared" si="1"/>
        <v>tjk#1971</v>
      </c>
      <c r="B15586" t="str">
        <f>IFERROR(__xludf.DUMMYFUNCTION("""COMPUTED_VALUE"""),"tjk")</f>
        <v>tjk</v>
      </c>
      <c r="C15586" t="str">
        <f>IFERROR(__xludf.DUMMYFUNCTION("""COMPUTED_VALUE"""),"Tajikistan")</f>
        <v>Tajikistan</v>
      </c>
      <c r="D15586">
        <f>IFERROR(__xludf.DUMMYFUNCTION("""COMPUTED_VALUE"""),1971.0)</f>
        <v>1971</v>
      </c>
      <c r="E15586">
        <f>IFERROR(__xludf.DUMMYFUNCTION("""COMPUTED_VALUE"""),3020391.0)</f>
        <v>3020391</v>
      </c>
    </row>
    <row r="15587">
      <c r="A15587" t="str">
        <f t="shared" si="1"/>
        <v>tjk#1972</v>
      </c>
      <c r="B15587" t="str">
        <f>IFERROR(__xludf.DUMMYFUNCTION("""COMPUTED_VALUE"""),"tjk")</f>
        <v>tjk</v>
      </c>
      <c r="C15587" t="str">
        <f>IFERROR(__xludf.DUMMYFUNCTION("""COMPUTED_VALUE"""),"Tajikistan")</f>
        <v>Tajikistan</v>
      </c>
      <c r="D15587">
        <f>IFERROR(__xludf.DUMMYFUNCTION("""COMPUTED_VALUE"""),1972.0)</f>
        <v>1972</v>
      </c>
      <c r="E15587">
        <f>IFERROR(__xludf.DUMMYFUNCTION("""COMPUTED_VALUE"""),3111264.0)</f>
        <v>3111264</v>
      </c>
    </row>
    <row r="15588">
      <c r="A15588" t="str">
        <f t="shared" si="1"/>
        <v>tjk#1973</v>
      </c>
      <c r="B15588" t="str">
        <f>IFERROR(__xludf.DUMMYFUNCTION("""COMPUTED_VALUE"""),"tjk")</f>
        <v>tjk</v>
      </c>
      <c r="C15588" t="str">
        <f>IFERROR(__xludf.DUMMYFUNCTION("""COMPUTED_VALUE"""),"Tajikistan")</f>
        <v>Tajikistan</v>
      </c>
      <c r="D15588">
        <f>IFERROR(__xludf.DUMMYFUNCTION("""COMPUTED_VALUE"""),1973.0)</f>
        <v>1973</v>
      </c>
      <c r="E15588">
        <f>IFERROR(__xludf.DUMMYFUNCTION("""COMPUTED_VALUE"""),3203019.0)</f>
        <v>3203019</v>
      </c>
    </row>
    <row r="15589">
      <c r="A15589" t="str">
        <f t="shared" si="1"/>
        <v>tjk#1974</v>
      </c>
      <c r="B15589" t="str">
        <f>IFERROR(__xludf.DUMMYFUNCTION("""COMPUTED_VALUE"""),"tjk")</f>
        <v>tjk</v>
      </c>
      <c r="C15589" t="str">
        <f>IFERROR(__xludf.DUMMYFUNCTION("""COMPUTED_VALUE"""),"Tajikistan")</f>
        <v>Tajikistan</v>
      </c>
      <c r="D15589">
        <f>IFERROR(__xludf.DUMMYFUNCTION("""COMPUTED_VALUE"""),1974.0)</f>
        <v>1974</v>
      </c>
      <c r="E15589">
        <f>IFERROR(__xludf.DUMMYFUNCTION("""COMPUTED_VALUE"""),3296095.0)</f>
        <v>3296095</v>
      </c>
    </row>
    <row r="15590">
      <c r="A15590" t="str">
        <f t="shared" si="1"/>
        <v>tjk#1975</v>
      </c>
      <c r="B15590" t="str">
        <f>IFERROR(__xludf.DUMMYFUNCTION("""COMPUTED_VALUE"""),"tjk")</f>
        <v>tjk</v>
      </c>
      <c r="C15590" t="str">
        <f>IFERROR(__xludf.DUMMYFUNCTION("""COMPUTED_VALUE"""),"Tajikistan")</f>
        <v>Tajikistan</v>
      </c>
      <c r="D15590">
        <f>IFERROR(__xludf.DUMMYFUNCTION("""COMPUTED_VALUE"""),1975.0)</f>
        <v>1975</v>
      </c>
      <c r="E15590">
        <f>IFERROR(__xludf.DUMMYFUNCTION("""COMPUTED_VALUE"""),3390935.0)</f>
        <v>3390935</v>
      </c>
    </row>
    <row r="15591">
      <c r="A15591" t="str">
        <f t="shared" si="1"/>
        <v>tjk#1976</v>
      </c>
      <c r="B15591" t="str">
        <f>IFERROR(__xludf.DUMMYFUNCTION("""COMPUTED_VALUE"""),"tjk")</f>
        <v>tjk</v>
      </c>
      <c r="C15591" t="str">
        <f>IFERROR(__xludf.DUMMYFUNCTION("""COMPUTED_VALUE"""),"Tajikistan")</f>
        <v>Tajikistan</v>
      </c>
      <c r="D15591">
        <f>IFERROR(__xludf.DUMMYFUNCTION("""COMPUTED_VALUE"""),1976.0)</f>
        <v>1976</v>
      </c>
      <c r="E15591">
        <f>IFERROR(__xludf.DUMMYFUNCTION("""COMPUTED_VALUE"""),3487644.0)</f>
        <v>3487644</v>
      </c>
    </row>
    <row r="15592">
      <c r="A15592" t="str">
        <f t="shared" si="1"/>
        <v>tjk#1977</v>
      </c>
      <c r="B15592" t="str">
        <f>IFERROR(__xludf.DUMMYFUNCTION("""COMPUTED_VALUE"""),"tjk")</f>
        <v>tjk</v>
      </c>
      <c r="C15592" t="str">
        <f>IFERROR(__xludf.DUMMYFUNCTION("""COMPUTED_VALUE"""),"Tajikistan")</f>
        <v>Tajikistan</v>
      </c>
      <c r="D15592">
        <f>IFERROR(__xludf.DUMMYFUNCTION("""COMPUTED_VALUE"""),1977.0)</f>
        <v>1977</v>
      </c>
      <c r="E15592">
        <f>IFERROR(__xludf.DUMMYFUNCTION("""COMPUTED_VALUE"""),3586499.0)</f>
        <v>3586499</v>
      </c>
    </row>
    <row r="15593">
      <c r="A15593" t="str">
        <f t="shared" si="1"/>
        <v>tjk#1978</v>
      </c>
      <c r="B15593" t="str">
        <f>IFERROR(__xludf.DUMMYFUNCTION("""COMPUTED_VALUE"""),"tjk")</f>
        <v>tjk</v>
      </c>
      <c r="C15593" t="str">
        <f>IFERROR(__xludf.DUMMYFUNCTION("""COMPUTED_VALUE"""),"Tajikistan")</f>
        <v>Tajikistan</v>
      </c>
      <c r="D15593">
        <f>IFERROR(__xludf.DUMMYFUNCTION("""COMPUTED_VALUE"""),1978.0)</f>
        <v>1978</v>
      </c>
      <c r="E15593">
        <f>IFERROR(__xludf.DUMMYFUNCTION("""COMPUTED_VALUE"""),3688385.0)</f>
        <v>3688385</v>
      </c>
    </row>
    <row r="15594">
      <c r="A15594" t="str">
        <f t="shared" si="1"/>
        <v>tjk#1979</v>
      </c>
      <c r="B15594" t="str">
        <f>IFERROR(__xludf.DUMMYFUNCTION("""COMPUTED_VALUE"""),"tjk")</f>
        <v>tjk</v>
      </c>
      <c r="C15594" t="str">
        <f>IFERROR(__xludf.DUMMYFUNCTION("""COMPUTED_VALUE"""),"Tajikistan")</f>
        <v>Tajikistan</v>
      </c>
      <c r="D15594">
        <f>IFERROR(__xludf.DUMMYFUNCTION("""COMPUTED_VALUE"""),1979.0)</f>
        <v>1979</v>
      </c>
      <c r="E15594">
        <f>IFERROR(__xludf.DUMMYFUNCTION("""COMPUTED_VALUE"""),3794420.0)</f>
        <v>3794420</v>
      </c>
    </row>
    <row r="15595">
      <c r="A15595" t="str">
        <f t="shared" si="1"/>
        <v>tjk#1980</v>
      </c>
      <c r="B15595" t="str">
        <f>IFERROR(__xludf.DUMMYFUNCTION("""COMPUTED_VALUE"""),"tjk")</f>
        <v>tjk</v>
      </c>
      <c r="C15595" t="str">
        <f>IFERROR(__xludf.DUMMYFUNCTION("""COMPUTED_VALUE"""),"Tajikistan")</f>
        <v>Tajikistan</v>
      </c>
      <c r="D15595">
        <f>IFERROR(__xludf.DUMMYFUNCTION("""COMPUTED_VALUE"""),1980.0)</f>
        <v>1980</v>
      </c>
      <c r="E15595">
        <f>IFERROR(__xludf.DUMMYFUNCTION("""COMPUTED_VALUE"""),3905413.0)</f>
        <v>3905413</v>
      </c>
    </row>
    <row r="15596">
      <c r="A15596" t="str">
        <f t="shared" si="1"/>
        <v>tjk#1981</v>
      </c>
      <c r="B15596" t="str">
        <f>IFERROR(__xludf.DUMMYFUNCTION("""COMPUTED_VALUE"""),"tjk")</f>
        <v>tjk</v>
      </c>
      <c r="C15596" t="str">
        <f>IFERROR(__xludf.DUMMYFUNCTION("""COMPUTED_VALUE"""),"Tajikistan")</f>
        <v>Tajikistan</v>
      </c>
      <c r="D15596">
        <f>IFERROR(__xludf.DUMMYFUNCTION("""COMPUTED_VALUE"""),1981.0)</f>
        <v>1981</v>
      </c>
      <c r="E15596">
        <f>IFERROR(__xludf.DUMMYFUNCTION("""COMPUTED_VALUE"""),4020778.0)</f>
        <v>4020778</v>
      </c>
    </row>
    <row r="15597">
      <c r="A15597" t="str">
        <f t="shared" si="1"/>
        <v>tjk#1982</v>
      </c>
      <c r="B15597" t="str">
        <f>IFERROR(__xludf.DUMMYFUNCTION("""COMPUTED_VALUE"""),"tjk")</f>
        <v>tjk</v>
      </c>
      <c r="C15597" t="str">
        <f>IFERROR(__xludf.DUMMYFUNCTION("""COMPUTED_VALUE"""),"Tajikistan")</f>
        <v>Tajikistan</v>
      </c>
      <c r="D15597">
        <f>IFERROR(__xludf.DUMMYFUNCTION("""COMPUTED_VALUE"""),1982.0)</f>
        <v>1982</v>
      </c>
      <c r="E15597">
        <f>IFERROR(__xludf.DUMMYFUNCTION("""COMPUTED_VALUE"""),4140258.0)</f>
        <v>4140258</v>
      </c>
    </row>
    <row r="15598">
      <c r="A15598" t="str">
        <f t="shared" si="1"/>
        <v>tjk#1983</v>
      </c>
      <c r="B15598" t="str">
        <f>IFERROR(__xludf.DUMMYFUNCTION("""COMPUTED_VALUE"""),"tjk")</f>
        <v>tjk</v>
      </c>
      <c r="C15598" t="str">
        <f>IFERROR(__xludf.DUMMYFUNCTION("""COMPUTED_VALUE"""),"Tajikistan")</f>
        <v>Tajikistan</v>
      </c>
      <c r="D15598">
        <f>IFERROR(__xludf.DUMMYFUNCTION("""COMPUTED_VALUE"""),1983.0)</f>
        <v>1983</v>
      </c>
      <c r="E15598">
        <f>IFERROR(__xludf.DUMMYFUNCTION("""COMPUTED_VALUE"""),4265247.0)</f>
        <v>4265247</v>
      </c>
    </row>
    <row r="15599">
      <c r="A15599" t="str">
        <f t="shared" si="1"/>
        <v>tjk#1984</v>
      </c>
      <c r="B15599" t="str">
        <f>IFERROR(__xludf.DUMMYFUNCTION("""COMPUTED_VALUE"""),"tjk")</f>
        <v>tjk</v>
      </c>
      <c r="C15599" t="str">
        <f>IFERROR(__xludf.DUMMYFUNCTION("""COMPUTED_VALUE"""),"Tajikistan")</f>
        <v>Tajikistan</v>
      </c>
      <c r="D15599">
        <f>IFERROR(__xludf.DUMMYFUNCTION("""COMPUTED_VALUE"""),1984.0)</f>
        <v>1984</v>
      </c>
      <c r="E15599">
        <f>IFERROR(__xludf.DUMMYFUNCTION("""COMPUTED_VALUE"""),4397525.0)</f>
        <v>4397525</v>
      </c>
    </row>
    <row r="15600">
      <c r="A15600" t="str">
        <f t="shared" si="1"/>
        <v>tjk#1985</v>
      </c>
      <c r="B15600" t="str">
        <f>IFERROR(__xludf.DUMMYFUNCTION("""COMPUTED_VALUE"""),"tjk")</f>
        <v>tjk</v>
      </c>
      <c r="C15600" t="str">
        <f>IFERROR(__xludf.DUMMYFUNCTION("""COMPUTED_VALUE"""),"Tajikistan")</f>
        <v>Tajikistan</v>
      </c>
      <c r="D15600">
        <f>IFERROR(__xludf.DUMMYFUNCTION("""COMPUTED_VALUE"""),1985.0)</f>
        <v>1985</v>
      </c>
      <c r="E15600">
        <f>IFERROR(__xludf.DUMMYFUNCTION("""COMPUTED_VALUE"""),4537789.0)</f>
        <v>4537789</v>
      </c>
    </row>
    <row r="15601">
      <c r="A15601" t="str">
        <f t="shared" si="1"/>
        <v>tjk#1986</v>
      </c>
      <c r="B15601" t="str">
        <f>IFERROR(__xludf.DUMMYFUNCTION("""COMPUTED_VALUE"""),"tjk")</f>
        <v>tjk</v>
      </c>
      <c r="C15601" t="str">
        <f>IFERROR(__xludf.DUMMYFUNCTION("""COMPUTED_VALUE"""),"Tajikistan")</f>
        <v>Tajikistan</v>
      </c>
      <c r="D15601">
        <f>IFERROR(__xludf.DUMMYFUNCTION("""COMPUTED_VALUE"""),1986.0)</f>
        <v>1986</v>
      </c>
      <c r="E15601">
        <f>IFERROR(__xludf.DUMMYFUNCTION("""COMPUTED_VALUE"""),4687283.0)</f>
        <v>4687283</v>
      </c>
    </row>
    <row r="15602">
      <c r="A15602" t="str">
        <f t="shared" si="1"/>
        <v>tjk#1987</v>
      </c>
      <c r="B15602" t="str">
        <f>IFERROR(__xludf.DUMMYFUNCTION("""COMPUTED_VALUE"""),"tjk")</f>
        <v>tjk</v>
      </c>
      <c r="C15602" t="str">
        <f>IFERROR(__xludf.DUMMYFUNCTION("""COMPUTED_VALUE"""),"Tajikistan")</f>
        <v>Tajikistan</v>
      </c>
      <c r="D15602">
        <f>IFERROR(__xludf.DUMMYFUNCTION("""COMPUTED_VALUE"""),1987.0)</f>
        <v>1987</v>
      </c>
      <c r="E15602">
        <f>IFERROR(__xludf.DUMMYFUNCTION("""COMPUTED_VALUE"""),4843951.0)</f>
        <v>4843951</v>
      </c>
    </row>
    <row r="15603">
      <c r="A15603" t="str">
        <f t="shared" si="1"/>
        <v>tjk#1988</v>
      </c>
      <c r="B15603" t="str">
        <f>IFERROR(__xludf.DUMMYFUNCTION("""COMPUTED_VALUE"""),"tjk")</f>
        <v>tjk</v>
      </c>
      <c r="C15603" t="str">
        <f>IFERROR(__xludf.DUMMYFUNCTION("""COMPUTED_VALUE"""),"Tajikistan")</f>
        <v>Tajikistan</v>
      </c>
      <c r="D15603">
        <f>IFERROR(__xludf.DUMMYFUNCTION("""COMPUTED_VALUE"""),1988.0)</f>
        <v>1988</v>
      </c>
      <c r="E15603">
        <f>IFERROR(__xludf.DUMMYFUNCTION("""COMPUTED_VALUE"""),5001110.0)</f>
        <v>5001110</v>
      </c>
    </row>
    <row r="15604">
      <c r="A15604" t="str">
        <f t="shared" si="1"/>
        <v>tjk#1989</v>
      </c>
      <c r="B15604" t="str">
        <f>IFERROR(__xludf.DUMMYFUNCTION("""COMPUTED_VALUE"""),"tjk")</f>
        <v>tjk</v>
      </c>
      <c r="C15604" t="str">
        <f>IFERROR(__xludf.DUMMYFUNCTION("""COMPUTED_VALUE"""),"Tajikistan")</f>
        <v>Tajikistan</v>
      </c>
      <c r="D15604">
        <f>IFERROR(__xludf.DUMMYFUNCTION("""COMPUTED_VALUE"""),1989.0)</f>
        <v>1989</v>
      </c>
      <c r="E15604">
        <f>IFERROR(__xludf.DUMMYFUNCTION("""COMPUTED_VALUE"""),5149803.0)</f>
        <v>5149803</v>
      </c>
    </row>
    <row r="15605">
      <c r="A15605" t="str">
        <f t="shared" si="1"/>
        <v>tjk#1990</v>
      </c>
      <c r="B15605" t="str">
        <f>IFERROR(__xludf.DUMMYFUNCTION("""COMPUTED_VALUE"""),"tjk")</f>
        <v>tjk</v>
      </c>
      <c r="C15605" t="str">
        <f>IFERROR(__xludf.DUMMYFUNCTION("""COMPUTED_VALUE"""),"Tajikistan")</f>
        <v>Tajikistan</v>
      </c>
      <c r="D15605">
        <f>IFERROR(__xludf.DUMMYFUNCTION("""COMPUTED_VALUE"""),1990.0)</f>
        <v>1990</v>
      </c>
      <c r="E15605">
        <f>IFERROR(__xludf.DUMMYFUNCTION("""COMPUTED_VALUE"""),5283728.0)</f>
        <v>5283728</v>
      </c>
    </row>
    <row r="15606">
      <c r="A15606" t="str">
        <f t="shared" si="1"/>
        <v>tjk#1991</v>
      </c>
      <c r="B15606" t="str">
        <f>IFERROR(__xludf.DUMMYFUNCTION("""COMPUTED_VALUE"""),"tjk")</f>
        <v>tjk</v>
      </c>
      <c r="C15606" t="str">
        <f>IFERROR(__xludf.DUMMYFUNCTION("""COMPUTED_VALUE"""),"Tajikistan")</f>
        <v>Tajikistan</v>
      </c>
      <c r="D15606">
        <f>IFERROR(__xludf.DUMMYFUNCTION("""COMPUTED_VALUE"""),1991.0)</f>
        <v>1991</v>
      </c>
      <c r="E15606">
        <f>IFERROR(__xludf.DUMMYFUNCTION("""COMPUTED_VALUE"""),5400714.0)</f>
        <v>5400714</v>
      </c>
    </row>
    <row r="15607">
      <c r="A15607" t="str">
        <f t="shared" si="1"/>
        <v>tjk#1992</v>
      </c>
      <c r="B15607" t="str">
        <f>IFERROR(__xludf.DUMMYFUNCTION("""COMPUTED_VALUE"""),"tjk")</f>
        <v>tjk</v>
      </c>
      <c r="C15607" t="str">
        <f>IFERROR(__xludf.DUMMYFUNCTION("""COMPUTED_VALUE"""),"Tajikistan")</f>
        <v>Tajikistan</v>
      </c>
      <c r="D15607">
        <f>IFERROR(__xludf.DUMMYFUNCTION("""COMPUTED_VALUE"""),1992.0)</f>
        <v>1992</v>
      </c>
      <c r="E15607">
        <f>IFERROR(__xludf.DUMMYFUNCTION("""COMPUTED_VALUE"""),5502976.0)</f>
        <v>5502976</v>
      </c>
    </row>
    <row r="15608">
      <c r="A15608" t="str">
        <f t="shared" si="1"/>
        <v>tjk#1993</v>
      </c>
      <c r="B15608" t="str">
        <f>IFERROR(__xludf.DUMMYFUNCTION("""COMPUTED_VALUE"""),"tjk")</f>
        <v>tjk</v>
      </c>
      <c r="C15608" t="str">
        <f>IFERROR(__xludf.DUMMYFUNCTION("""COMPUTED_VALUE"""),"Tajikistan")</f>
        <v>Tajikistan</v>
      </c>
      <c r="D15608">
        <f>IFERROR(__xludf.DUMMYFUNCTION("""COMPUTED_VALUE"""),1993.0)</f>
        <v>1993</v>
      </c>
      <c r="E15608">
        <f>IFERROR(__xludf.DUMMYFUNCTION("""COMPUTED_VALUE"""),5594114.0)</f>
        <v>5594114</v>
      </c>
    </row>
    <row r="15609">
      <c r="A15609" t="str">
        <f t="shared" si="1"/>
        <v>tjk#1994</v>
      </c>
      <c r="B15609" t="str">
        <f>IFERROR(__xludf.DUMMYFUNCTION("""COMPUTED_VALUE"""),"tjk")</f>
        <v>tjk</v>
      </c>
      <c r="C15609" t="str">
        <f>IFERROR(__xludf.DUMMYFUNCTION("""COMPUTED_VALUE"""),"Tajikistan")</f>
        <v>Tajikistan</v>
      </c>
      <c r="D15609">
        <f>IFERROR(__xludf.DUMMYFUNCTION("""COMPUTED_VALUE"""),1994.0)</f>
        <v>1994</v>
      </c>
      <c r="E15609">
        <f>IFERROR(__xludf.DUMMYFUNCTION("""COMPUTED_VALUE"""),5679832.0)</f>
        <v>5679832</v>
      </c>
    </row>
    <row r="15610">
      <c r="A15610" t="str">
        <f t="shared" si="1"/>
        <v>tjk#1995</v>
      </c>
      <c r="B15610" t="str">
        <f>IFERROR(__xludf.DUMMYFUNCTION("""COMPUTED_VALUE"""),"tjk")</f>
        <v>tjk</v>
      </c>
      <c r="C15610" t="str">
        <f>IFERROR(__xludf.DUMMYFUNCTION("""COMPUTED_VALUE"""),"Tajikistan")</f>
        <v>Tajikistan</v>
      </c>
      <c r="D15610">
        <f>IFERROR(__xludf.DUMMYFUNCTION("""COMPUTED_VALUE"""),1995.0)</f>
        <v>1995</v>
      </c>
      <c r="E15610">
        <f>IFERROR(__xludf.DUMMYFUNCTION("""COMPUTED_VALUE"""),5764712.0)</f>
        <v>5764712</v>
      </c>
    </row>
    <row r="15611">
      <c r="A15611" t="str">
        <f t="shared" si="1"/>
        <v>tjk#1996</v>
      </c>
      <c r="B15611" t="str">
        <f>IFERROR(__xludf.DUMMYFUNCTION("""COMPUTED_VALUE"""),"tjk")</f>
        <v>tjk</v>
      </c>
      <c r="C15611" t="str">
        <f>IFERROR(__xludf.DUMMYFUNCTION("""COMPUTED_VALUE"""),"Tajikistan")</f>
        <v>Tajikistan</v>
      </c>
      <c r="D15611">
        <f>IFERROR(__xludf.DUMMYFUNCTION("""COMPUTED_VALUE"""),1996.0)</f>
        <v>1996</v>
      </c>
      <c r="E15611">
        <f>IFERROR(__xludf.DUMMYFUNCTION("""COMPUTED_VALUE"""),5849540.0)</f>
        <v>5849540</v>
      </c>
    </row>
    <row r="15612">
      <c r="A15612" t="str">
        <f t="shared" si="1"/>
        <v>tjk#1997</v>
      </c>
      <c r="B15612" t="str">
        <f>IFERROR(__xludf.DUMMYFUNCTION("""COMPUTED_VALUE"""),"tjk")</f>
        <v>tjk</v>
      </c>
      <c r="C15612" t="str">
        <f>IFERROR(__xludf.DUMMYFUNCTION("""COMPUTED_VALUE"""),"Tajikistan")</f>
        <v>Tajikistan</v>
      </c>
      <c r="D15612">
        <f>IFERROR(__xludf.DUMMYFUNCTION("""COMPUTED_VALUE"""),1997.0)</f>
        <v>1997</v>
      </c>
      <c r="E15612">
        <f>IFERROR(__xludf.DUMMYFUNCTION("""COMPUTED_VALUE"""),5934282.0)</f>
        <v>5934282</v>
      </c>
    </row>
    <row r="15613">
      <c r="A15613" t="str">
        <f t="shared" si="1"/>
        <v>tjk#1998</v>
      </c>
      <c r="B15613" t="str">
        <f>IFERROR(__xludf.DUMMYFUNCTION("""COMPUTED_VALUE"""),"tjk")</f>
        <v>tjk</v>
      </c>
      <c r="C15613" t="str">
        <f>IFERROR(__xludf.DUMMYFUNCTION("""COMPUTED_VALUE"""),"Tajikistan")</f>
        <v>Tajikistan</v>
      </c>
      <c r="D15613">
        <f>IFERROR(__xludf.DUMMYFUNCTION("""COMPUTED_VALUE"""),1998.0)</f>
        <v>1998</v>
      </c>
      <c r="E15613">
        <f>IFERROR(__xludf.DUMMYFUNCTION("""COMPUTED_VALUE"""),6021691.0)</f>
        <v>6021691</v>
      </c>
    </row>
    <row r="15614">
      <c r="A15614" t="str">
        <f t="shared" si="1"/>
        <v>tjk#1999</v>
      </c>
      <c r="B15614" t="str">
        <f>IFERROR(__xludf.DUMMYFUNCTION("""COMPUTED_VALUE"""),"tjk")</f>
        <v>tjk</v>
      </c>
      <c r="C15614" t="str">
        <f>IFERROR(__xludf.DUMMYFUNCTION("""COMPUTED_VALUE"""),"Tajikistan")</f>
        <v>Tajikistan</v>
      </c>
      <c r="D15614">
        <f>IFERROR(__xludf.DUMMYFUNCTION("""COMPUTED_VALUE"""),1999.0)</f>
        <v>1999</v>
      </c>
      <c r="E15614">
        <f>IFERROR(__xludf.DUMMYFUNCTION("""COMPUTED_VALUE"""),6114886.0)</f>
        <v>6114886</v>
      </c>
    </row>
    <row r="15615">
      <c r="A15615" t="str">
        <f t="shared" si="1"/>
        <v>tjk#2000</v>
      </c>
      <c r="B15615" t="str">
        <f>IFERROR(__xludf.DUMMYFUNCTION("""COMPUTED_VALUE"""),"tjk")</f>
        <v>tjk</v>
      </c>
      <c r="C15615" t="str">
        <f>IFERROR(__xludf.DUMMYFUNCTION("""COMPUTED_VALUE"""),"Tajikistan")</f>
        <v>Tajikistan</v>
      </c>
      <c r="D15615">
        <f>IFERROR(__xludf.DUMMYFUNCTION("""COMPUTED_VALUE"""),2000.0)</f>
        <v>2000</v>
      </c>
      <c r="E15615">
        <f>IFERROR(__xludf.DUMMYFUNCTION("""COMPUTED_VALUE"""),6216205.0)</f>
        <v>6216205</v>
      </c>
    </row>
    <row r="15616">
      <c r="A15616" t="str">
        <f t="shared" si="1"/>
        <v>tjk#2001</v>
      </c>
      <c r="B15616" t="str">
        <f>IFERROR(__xludf.DUMMYFUNCTION("""COMPUTED_VALUE"""),"tjk")</f>
        <v>tjk</v>
      </c>
      <c r="C15616" t="str">
        <f>IFERROR(__xludf.DUMMYFUNCTION("""COMPUTED_VALUE"""),"Tajikistan")</f>
        <v>Tajikistan</v>
      </c>
      <c r="D15616">
        <f>IFERROR(__xludf.DUMMYFUNCTION("""COMPUTED_VALUE"""),2001.0)</f>
        <v>2001</v>
      </c>
      <c r="E15616">
        <f>IFERROR(__xludf.DUMMYFUNCTION("""COMPUTED_VALUE"""),6327125.0)</f>
        <v>6327125</v>
      </c>
    </row>
    <row r="15617">
      <c r="A15617" t="str">
        <f t="shared" si="1"/>
        <v>tjk#2002</v>
      </c>
      <c r="B15617" t="str">
        <f>IFERROR(__xludf.DUMMYFUNCTION("""COMPUTED_VALUE"""),"tjk")</f>
        <v>tjk</v>
      </c>
      <c r="C15617" t="str">
        <f>IFERROR(__xludf.DUMMYFUNCTION("""COMPUTED_VALUE"""),"Tajikistan")</f>
        <v>Tajikistan</v>
      </c>
      <c r="D15617">
        <f>IFERROR(__xludf.DUMMYFUNCTION("""COMPUTED_VALUE"""),2002.0)</f>
        <v>2002</v>
      </c>
      <c r="E15617">
        <f>IFERROR(__xludf.DUMMYFUNCTION("""COMPUTED_VALUE"""),6447688.0)</f>
        <v>6447688</v>
      </c>
    </row>
    <row r="15618">
      <c r="A15618" t="str">
        <f t="shared" si="1"/>
        <v>tjk#2003</v>
      </c>
      <c r="B15618" t="str">
        <f>IFERROR(__xludf.DUMMYFUNCTION("""COMPUTED_VALUE"""),"tjk")</f>
        <v>tjk</v>
      </c>
      <c r="C15618" t="str">
        <f>IFERROR(__xludf.DUMMYFUNCTION("""COMPUTED_VALUE"""),"Tajikistan")</f>
        <v>Tajikistan</v>
      </c>
      <c r="D15618">
        <f>IFERROR(__xludf.DUMMYFUNCTION("""COMPUTED_VALUE"""),2003.0)</f>
        <v>2003</v>
      </c>
      <c r="E15618">
        <f>IFERROR(__xludf.DUMMYFUNCTION("""COMPUTED_VALUE"""),6576877.0)</f>
        <v>6576877</v>
      </c>
    </row>
    <row r="15619">
      <c r="A15619" t="str">
        <f t="shared" si="1"/>
        <v>tjk#2004</v>
      </c>
      <c r="B15619" t="str">
        <f>IFERROR(__xludf.DUMMYFUNCTION("""COMPUTED_VALUE"""),"tjk")</f>
        <v>tjk</v>
      </c>
      <c r="C15619" t="str">
        <f>IFERROR(__xludf.DUMMYFUNCTION("""COMPUTED_VALUE"""),"Tajikistan")</f>
        <v>Tajikistan</v>
      </c>
      <c r="D15619">
        <f>IFERROR(__xludf.DUMMYFUNCTION("""COMPUTED_VALUE"""),2004.0)</f>
        <v>2004</v>
      </c>
      <c r="E15619">
        <f>IFERROR(__xludf.DUMMYFUNCTION("""COMPUTED_VALUE"""),6712841.0)</f>
        <v>6712841</v>
      </c>
    </row>
    <row r="15620">
      <c r="A15620" t="str">
        <f t="shared" si="1"/>
        <v>tjk#2005</v>
      </c>
      <c r="B15620" t="str">
        <f>IFERROR(__xludf.DUMMYFUNCTION("""COMPUTED_VALUE"""),"tjk")</f>
        <v>tjk</v>
      </c>
      <c r="C15620" t="str">
        <f>IFERROR(__xludf.DUMMYFUNCTION("""COMPUTED_VALUE"""),"Tajikistan")</f>
        <v>Tajikistan</v>
      </c>
      <c r="D15620">
        <f>IFERROR(__xludf.DUMMYFUNCTION("""COMPUTED_VALUE"""),2005.0)</f>
        <v>2005</v>
      </c>
      <c r="E15620">
        <f>IFERROR(__xludf.DUMMYFUNCTION("""COMPUTED_VALUE"""),6854176.0)</f>
        <v>6854176</v>
      </c>
    </row>
    <row r="15621">
      <c r="A15621" t="str">
        <f t="shared" si="1"/>
        <v>tjk#2006</v>
      </c>
      <c r="B15621" t="str">
        <f>IFERROR(__xludf.DUMMYFUNCTION("""COMPUTED_VALUE"""),"tjk")</f>
        <v>tjk</v>
      </c>
      <c r="C15621" t="str">
        <f>IFERROR(__xludf.DUMMYFUNCTION("""COMPUTED_VALUE"""),"Tajikistan")</f>
        <v>Tajikistan</v>
      </c>
      <c r="D15621">
        <f>IFERROR(__xludf.DUMMYFUNCTION("""COMPUTED_VALUE"""),2006.0)</f>
        <v>2006</v>
      </c>
      <c r="E15621">
        <f>IFERROR(__xludf.DUMMYFUNCTION("""COMPUTED_VALUE"""),7000557.0)</f>
        <v>7000557</v>
      </c>
    </row>
    <row r="15622">
      <c r="A15622" t="str">
        <f t="shared" si="1"/>
        <v>tjk#2007</v>
      </c>
      <c r="B15622" t="str">
        <f>IFERROR(__xludf.DUMMYFUNCTION("""COMPUTED_VALUE"""),"tjk")</f>
        <v>tjk</v>
      </c>
      <c r="C15622" t="str">
        <f>IFERROR(__xludf.DUMMYFUNCTION("""COMPUTED_VALUE"""),"Tajikistan")</f>
        <v>Tajikistan</v>
      </c>
      <c r="D15622">
        <f>IFERROR(__xludf.DUMMYFUNCTION("""COMPUTED_VALUE"""),2007.0)</f>
        <v>2007</v>
      </c>
      <c r="E15622">
        <f>IFERROR(__xludf.DUMMYFUNCTION("""COMPUTED_VALUE"""),7152385.0)</f>
        <v>7152385</v>
      </c>
    </row>
    <row r="15623">
      <c r="A15623" t="str">
        <f t="shared" si="1"/>
        <v>tjk#2008</v>
      </c>
      <c r="B15623" t="str">
        <f>IFERROR(__xludf.DUMMYFUNCTION("""COMPUTED_VALUE"""),"tjk")</f>
        <v>tjk</v>
      </c>
      <c r="C15623" t="str">
        <f>IFERROR(__xludf.DUMMYFUNCTION("""COMPUTED_VALUE"""),"Tajikistan")</f>
        <v>Tajikistan</v>
      </c>
      <c r="D15623">
        <f>IFERROR(__xludf.DUMMYFUNCTION("""COMPUTED_VALUE"""),2008.0)</f>
        <v>2008</v>
      </c>
      <c r="E15623">
        <f>IFERROR(__xludf.DUMMYFUNCTION("""COMPUTED_VALUE"""),7309728.0)</f>
        <v>7309728</v>
      </c>
    </row>
    <row r="15624">
      <c r="A15624" t="str">
        <f t="shared" si="1"/>
        <v>tjk#2009</v>
      </c>
      <c r="B15624" t="str">
        <f>IFERROR(__xludf.DUMMYFUNCTION("""COMPUTED_VALUE"""),"tjk")</f>
        <v>tjk</v>
      </c>
      <c r="C15624" t="str">
        <f>IFERROR(__xludf.DUMMYFUNCTION("""COMPUTED_VALUE"""),"Tajikistan")</f>
        <v>Tajikistan</v>
      </c>
      <c r="D15624">
        <f>IFERROR(__xludf.DUMMYFUNCTION("""COMPUTED_VALUE"""),2009.0)</f>
        <v>2009</v>
      </c>
      <c r="E15624">
        <f>IFERROR(__xludf.DUMMYFUNCTION("""COMPUTED_VALUE"""),7472819.0)</f>
        <v>7472819</v>
      </c>
    </row>
    <row r="15625">
      <c r="A15625" t="str">
        <f t="shared" si="1"/>
        <v>tjk#2010</v>
      </c>
      <c r="B15625" t="str">
        <f>IFERROR(__xludf.DUMMYFUNCTION("""COMPUTED_VALUE"""),"tjk")</f>
        <v>tjk</v>
      </c>
      <c r="C15625" t="str">
        <f>IFERROR(__xludf.DUMMYFUNCTION("""COMPUTED_VALUE"""),"Tajikistan")</f>
        <v>Tajikistan</v>
      </c>
      <c r="D15625">
        <f>IFERROR(__xludf.DUMMYFUNCTION("""COMPUTED_VALUE"""),2010.0)</f>
        <v>2010</v>
      </c>
      <c r="E15625">
        <f>IFERROR(__xludf.DUMMYFUNCTION("""COMPUTED_VALUE"""),7641630.0)</f>
        <v>7641630</v>
      </c>
    </row>
    <row r="15626">
      <c r="A15626" t="str">
        <f t="shared" si="1"/>
        <v>tjk#2011</v>
      </c>
      <c r="B15626" t="str">
        <f>IFERROR(__xludf.DUMMYFUNCTION("""COMPUTED_VALUE"""),"tjk")</f>
        <v>tjk</v>
      </c>
      <c r="C15626" t="str">
        <f>IFERROR(__xludf.DUMMYFUNCTION("""COMPUTED_VALUE"""),"Tajikistan")</f>
        <v>Tajikistan</v>
      </c>
      <c r="D15626">
        <f>IFERROR(__xludf.DUMMYFUNCTION("""COMPUTED_VALUE"""),2011.0)</f>
        <v>2011</v>
      </c>
      <c r="E15626">
        <f>IFERROR(__xludf.DUMMYFUNCTION("""COMPUTED_VALUE"""),7815949.0)</f>
        <v>7815949</v>
      </c>
    </row>
    <row r="15627">
      <c r="A15627" t="str">
        <f t="shared" si="1"/>
        <v>tjk#2012</v>
      </c>
      <c r="B15627" t="str">
        <f>IFERROR(__xludf.DUMMYFUNCTION("""COMPUTED_VALUE"""),"tjk")</f>
        <v>tjk</v>
      </c>
      <c r="C15627" t="str">
        <f>IFERROR(__xludf.DUMMYFUNCTION("""COMPUTED_VALUE"""),"Tajikistan")</f>
        <v>Tajikistan</v>
      </c>
      <c r="D15627">
        <f>IFERROR(__xludf.DUMMYFUNCTION("""COMPUTED_VALUE"""),2012.0)</f>
        <v>2012</v>
      </c>
      <c r="E15627">
        <f>IFERROR(__xludf.DUMMYFUNCTION("""COMPUTED_VALUE"""),7995062.0)</f>
        <v>7995062</v>
      </c>
    </row>
    <row r="15628">
      <c r="A15628" t="str">
        <f t="shared" si="1"/>
        <v>tjk#2013</v>
      </c>
      <c r="B15628" t="str">
        <f>IFERROR(__xludf.DUMMYFUNCTION("""COMPUTED_VALUE"""),"tjk")</f>
        <v>tjk</v>
      </c>
      <c r="C15628" t="str">
        <f>IFERROR(__xludf.DUMMYFUNCTION("""COMPUTED_VALUE"""),"Tajikistan")</f>
        <v>Tajikistan</v>
      </c>
      <c r="D15628">
        <f>IFERROR(__xludf.DUMMYFUNCTION("""COMPUTED_VALUE"""),2013.0)</f>
        <v>2013</v>
      </c>
      <c r="E15628">
        <f>IFERROR(__xludf.DUMMYFUNCTION("""COMPUTED_VALUE"""),8177809.0)</f>
        <v>8177809</v>
      </c>
    </row>
    <row r="15629">
      <c r="A15629" t="str">
        <f t="shared" si="1"/>
        <v>tjk#2014</v>
      </c>
      <c r="B15629" t="str">
        <f>IFERROR(__xludf.DUMMYFUNCTION("""COMPUTED_VALUE"""),"tjk")</f>
        <v>tjk</v>
      </c>
      <c r="C15629" t="str">
        <f>IFERROR(__xludf.DUMMYFUNCTION("""COMPUTED_VALUE"""),"Tajikistan")</f>
        <v>Tajikistan</v>
      </c>
      <c r="D15629">
        <f>IFERROR(__xludf.DUMMYFUNCTION("""COMPUTED_VALUE"""),2014.0)</f>
        <v>2014</v>
      </c>
      <c r="E15629">
        <f>IFERROR(__xludf.DUMMYFUNCTION("""COMPUTED_VALUE"""),8362745.0)</f>
        <v>8362745</v>
      </c>
    </row>
    <row r="15630">
      <c r="A15630" t="str">
        <f t="shared" si="1"/>
        <v>tjk#2015</v>
      </c>
      <c r="B15630" t="str">
        <f>IFERROR(__xludf.DUMMYFUNCTION("""COMPUTED_VALUE"""),"tjk")</f>
        <v>tjk</v>
      </c>
      <c r="C15630" t="str">
        <f>IFERROR(__xludf.DUMMYFUNCTION("""COMPUTED_VALUE"""),"Tajikistan")</f>
        <v>Tajikistan</v>
      </c>
      <c r="D15630">
        <f>IFERROR(__xludf.DUMMYFUNCTION("""COMPUTED_VALUE"""),2015.0)</f>
        <v>2015</v>
      </c>
      <c r="E15630">
        <f>IFERROR(__xludf.DUMMYFUNCTION("""COMPUTED_VALUE"""),8548651.0)</f>
        <v>8548651</v>
      </c>
    </row>
    <row r="15631">
      <c r="A15631" t="str">
        <f t="shared" si="1"/>
        <v>tjk#2016</v>
      </c>
      <c r="B15631" t="str">
        <f>IFERROR(__xludf.DUMMYFUNCTION("""COMPUTED_VALUE"""),"tjk")</f>
        <v>tjk</v>
      </c>
      <c r="C15631" t="str">
        <f>IFERROR(__xludf.DUMMYFUNCTION("""COMPUTED_VALUE"""),"Tajikistan")</f>
        <v>Tajikistan</v>
      </c>
      <c r="D15631">
        <f>IFERROR(__xludf.DUMMYFUNCTION("""COMPUTED_VALUE"""),2016.0)</f>
        <v>2016</v>
      </c>
      <c r="E15631">
        <f>IFERROR(__xludf.DUMMYFUNCTION("""COMPUTED_VALUE"""),8734951.0)</f>
        <v>8734951</v>
      </c>
    </row>
    <row r="15632">
      <c r="A15632" t="str">
        <f t="shared" si="1"/>
        <v>tjk#2017</v>
      </c>
      <c r="B15632" t="str">
        <f>IFERROR(__xludf.DUMMYFUNCTION("""COMPUTED_VALUE"""),"tjk")</f>
        <v>tjk</v>
      </c>
      <c r="C15632" t="str">
        <f>IFERROR(__xludf.DUMMYFUNCTION("""COMPUTED_VALUE"""),"Tajikistan")</f>
        <v>Tajikistan</v>
      </c>
      <c r="D15632">
        <f>IFERROR(__xludf.DUMMYFUNCTION("""COMPUTED_VALUE"""),2017.0)</f>
        <v>2017</v>
      </c>
      <c r="E15632">
        <f>IFERROR(__xludf.DUMMYFUNCTION("""COMPUTED_VALUE"""),8921343.0)</f>
        <v>8921343</v>
      </c>
    </row>
    <row r="15633">
      <c r="A15633" t="str">
        <f t="shared" si="1"/>
        <v>tjk#2018</v>
      </c>
      <c r="B15633" t="str">
        <f>IFERROR(__xludf.DUMMYFUNCTION("""COMPUTED_VALUE"""),"tjk")</f>
        <v>tjk</v>
      </c>
      <c r="C15633" t="str">
        <f>IFERROR(__xludf.DUMMYFUNCTION("""COMPUTED_VALUE"""),"Tajikistan")</f>
        <v>Tajikistan</v>
      </c>
      <c r="D15633">
        <f>IFERROR(__xludf.DUMMYFUNCTION("""COMPUTED_VALUE"""),2018.0)</f>
        <v>2018</v>
      </c>
      <c r="E15633">
        <f>IFERROR(__xludf.DUMMYFUNCTION("""COMPUTED_VALUE"""),9107211.0)</f>
        <v>9107211</v>
      </c>
    </row>
    <row r="15634">
      <c r="A15634" t="str">
        <f t="shared" si="1"/>
        <v>tjk#2019</v>
      </c>
      <c r="B15634" t="str">
        <f>IFERROR(__xludf.DUMMYFUNCTION("""COMPUTED_VALUE"""),"tjk")</f>
        <v>tjk</v>
      </c>
      <c r="C15634" t="str">
        <f>IFERROR(__xludf.DUMMYFUNCTION("""COMPUTED_VALUE"""),"Tajikistan")</f>
        <v>Tajikistan</v>
      </c>
      <c r="D15634">
        <f>IFERROR(__xludf.DUMMYFUNCTION("""COMPUTED_VALUE"""),2019.0)</f>
        <v>2019</v>
      </c>
      <c r="E15634">
        <f>IFERROR(__xludf.DUMMYFUNCTION("""COMPUTED_VALUE"""),9292000.0)</f>
        <v>9292000</v>
      </c>
    </row>
    <row r="15635">
      <c r="A15635" t="str">
        <f t="shared" si="1"/>
        <v>tjk#2020</v>
      </c>
      <c r="B15635" t="str">
        <f>IFERROR(__xludf.DUMMYFUNCTION("""COMPUTED_VALUE"""),"tjk")</f>
        <v>tjk</v>
      </c>
      <c r="C15635" t="str">
        <f>IFERROR(__xludf.DUMMYFUNCTION("""COMPUTED_VALUE"""),"Tajikistan")</f>
        <v>Tajikistan</v>
      </c>
      <c r="D15635">
        <f>IFERROR(__xludf.DUMMYFUNCTION("""COMPUTED_VALUE"""),2020.0)</f>
        <v>2020</v>
      </c>
      <c r="E15635">
        <f>IFERROR(__xludf.DUMMYFUNCTION("""COMPUTED_VALUE"""),9475246.0)</f>
        <v>9475246</v>
      </c>
    </row>
    <row r="15636">
      <c r="A15636" t="str">
        <f t="shared" si="1"/>
        <v>tjk#2021</v>
      </c>
      <c r="B15636" t="str">
        <f>IFERROR(__xludf.DUMMYFUNCTION("""COMPUTED_VALUE"""),"tjk")</f>
        <v>tjk</v>
      </c>
      <c r="C15636" t="str">
        <f>IFERROR(__xludf.DUMMYFUNCTION("""COMPUTED_VALUE"""),"Tajikistan")</f>
        <v>Tajikistan</v>
      </c>
      <c r="D15636">
        <f>IFERROR(__xludf.DUMMYFUNCTION("""COMPUTED_VALUE"""),2021.0)</f>
        <v>2021</v>
      </c>
      <c r="E15636">
        <f>IFERROR(__xludf.DUMMYFUNCTION("""COMPUTED_VALUE"""),9656648.0)</f>
        <v>9656648</v>
      </c>
    </row>
    <row r="15637">
      <c r="A15637" t="str">
        <f t="shared" si="1"/>
        <v>tjk#2022</v>
      </c>
      <c r="B15637" t="str">
        <f>IFERROR(__xludf.DUMMYFUNCTION("""COMPUTED_VALUE"""),"tjk")</f>
        <v>tjk</v>
      </c>
      <c r="C15637" t="str">
        <f>IFERROR(__xludf.DUMMYFUNCTION("""COMPUTED_VALUE"""),"Tajikistan")</f>
        <v>Tajikistan</v>
      </c>
      <c r="D15637">
        <f>IFERROR(__xludf.DUMMYFUNCTION("""COMPUTED_VALUE"""),2022.0)</f>
        <v>2022</v>
      </c>
      <c r="E15637">
        <f>IFERROR(__xludf.DUMMYFUNCTION("""COMPUTED_VALUE"""),9835989.0)</f>
        <v>9835989</v>
      </c>
    </row>
    <row r="15638">
      <c r="A15638" t="str">
        <f t="shared" si="1"/>
        <v>tjk#2023</v>
      </c>
      <c r="B15638" t="str">
        <f>IFERROR(__xludf.DUMMYFUNCTION("""COMPUTED_VALUE"""),"tjk")</f>
        <v>tjk</v>
      </c>
      <c r="C15638" t="str">
        <f>IFERROR(__xludf.DUMMYFUNCTION("""COMPUTED_VALUE"""),"Tajikistan")</f>
        <v>Tajikistan</v>
      </c>
      <c r="D15638">
        <f>IFERROR(__xludf.DUMMYFUNCTION("""COMPUTED_VALUE"""),2023.0)</f>
        <v>2023</v>
      </c>
      <c r="E15638">
        <f>IFERROR(__xludf.DUMMYFUNCTION("""COMPUTED_VALUE"""),1.0013102E7)</f>
        <v>10013102</v>
      </c>
    </row>
    <row r="15639">
      <c r="A15639" t="str">
        <f t="shared" si="1"/>
        <v>tjk#2024</v>
      </c>
      <c r="B15639" t="str">
        <f>IFERROR(__xludf.DUMMYFUNCTION("""COMPUTED_VALUE"""),"tjk")</f>
        <v>tjk</v>
      </c>
      <c r="C15639" t="str">
        <f>IFERROR(__xludf.DUMMYFUNCTION("""COMPUTED_VALUE"""),"Tajikistan")</f>
        <v>Tajikistan</v>
      </c>
      <c r="D15639">
        <f>IFERROR(__xludf.DUMMYFUNCTION("""COMPUTED_VALUE"""),2024.0)</f>
        <v>2024</v>
      </c>
      <c r="E15639">
        <f>IFERROR(__xludf.DUMMYFUNCTION("""COMPUTED_VALUE"""),1.0187895E7)</f>
        <v>10187895</v>
      </c>
    </row>
    <row r="15640">
      <c r="A15640" t="str">
        <f t="shared" si="1"/>
        <v>tjk#2025</v>
      </c>
      <c r="B15640" t="str">
        <f>IFERROR(__xludf.DUMMYFUNCTION("""COMPUTED_VALUE"""),"tjk")</f>
        <v>tjk</v>
      </c>
      <c r="C15640" t="str">
        <f>IFERROR(__xludf.DUMMYFUNCTION("""COMPUTED_VALUE"""),"Tajikistan")</f>
        <v>Tajikistan</v>
      </c>
      <c r="D15640">
        <f>IFERROR(__xludf.DUMMYFUNCTION("""COMPUTED_VALUE"""),2025.0)</f>
        <v>2025</v>
      </c>
      <c r="E15640">
        <f>IFERROR(__xludf.DUMMYFUNCTION("""COMPUTED_VALUE"""),1.0360358E7)</f>
        <v>10360358</v>
      </c>
    </row>
    <row r="15641">
      <c r="A15641" t="str">
        <f t="shared" si="1"/>
        <v>tjk#2026</v>
      </c>
      <c r="B15641" t="str">
        <f>IFERROR(__xludf.DUMMYFUNCTION("""COMPUTED_VALUE"""),"tjk")</f>
        <v>tjk</v>
      </c>
      <c r="C15641" t="str">
        <f>IFERROR(__xludf.DUMMYFUNCTION("""COMPUTED_VALUE"""),"Tajikistan")</f>
        <v>Tajikistan</v>
      </c>
      <c r="D15641">
        <f>IFERROR(__xludf.DUMMYFUNCTION("""COMPUTED_VALUE"""),2026.0)</f>
        <v>2026</v>
      </c>
      <c r="E15641">
        <f>IFERROR(__xludf.DUMMYFUNCTION("""COMPUTED_VALUE"""),1.05304E7)</f>
        <v>10530400</v>
      </c>
    </row>
    <row r="15642">
      <c r="A15642" t="str">
        <f t="shared" si="1"/>
        <v>tjk#2027</v>
      </c>
      <c r="B15642" t="str">
        <f>IFERROR(__xludf.DUMMYFUNCTION("""COMPUTED_VALUE"""),"tjk")</f>
        <v>tjk</v>
      </c>
      <c r="C15642" t="str">
        <f>IFERROR(__xludf.DUMMYFUNCTION("""COMPUTED_VALUE"""),"Tajikistan")</f>
        <v>Tajikistan</v>
      </c>
      <c r="D15642">
        <f>IFERROR(__xludf.DUMMYFUNCTION("""COMPUTED_VALUE"""),2027.0)</f>
        <v>2027</v>
      </c>
      <c r="E15642">
        <f>IFERROR(__xludf.DUMMYFUNCTION("""COMPUTED_VALUE"""),1.0698174E7)</f>
        <v>10698174</v>
      </c>
    </row>
    <row r="15643">
      <c r="A15643" t="str">
        <f t="shared" si="1"/>
        <v>tjk#2028</v>
      </c>
      <c r="B15643" t="str">
        <f>IFERROR(__xludf.DUMMYFUNCTION("""COMPUTED_VALUE"""),"tjk")</f>
        <v>tjk</v>
      </c>
      <c r="C15643" t="str">
        <f>IFERROR(__xludf.DUMMYFUNCTION("""COMPUTED_VALUE"""),"Tajikistan")</f>
        <v>Tajikistan</v>
      </c>
      <c r="D15643">
        <f>IFERROR(__xludf.DUMMYFUNCTION("""COMPUTED_VALUE"""),2028.0)</f>
        <v>2028</v>
      </c>
      <c r="E15643">
        <f>IFERROR(__xludf.DUMMYFUNCTION("""COMPUTED_VALUE"""),1.0864265E7)</f>
        <v>10864265</v>
      </c>
    </row>
    <row r="15644">
      <c r="A15644" t="str">
        <f t="shared" si="1"/>
        <v>tjk#2029</v>
      </c>
      <c r="B15644" t="str">
        <f>IFERROR(__xludf.DUMMYFUNCTION("""COMPUTED_VALUE"""),"tjk")</f>
        <v>tjk</v>
      </c>
      <c r="C15644" t="str">
        <f>IFERROR(__xludf.DUMMYFUNCTION("""COMPUTED_VALUE"""),"Tajikistan")</f>
        <v>Tajikistan</v>
      </c>
      <c r="D15644">
        <f>IFERROR(__xludf.DUMMYFUNCTION("""COMPUTED_VALUE"""),2029.0)</f>
        <v>2029</v>
      </c>
      <c r="E15644">
        <f>IFERROR(__xludf.DUMMYFUNCTION("""COMPUTED_VALUE"""),1.1029469E7)</f>
        <v>11029469</v>
      </c>
    </row>
    <row r="15645">
      <c r="A15645" t="str">
        <f t="shared" si="1"/>
        <v>tjk#2030</v>
      </c>
      <c r="B15645" t="str">
        <f>IFERROR(__xludf.DUMMYFUNCTION("""COMPUTED_VALUE"""),"tjk")</f>
        <v>tjk</v>
      </c>
      <c r="C15645" t="str">
        <f>IFERROR(__xludf.DUMMYFUNCTION("""COMPUTED_VALUE"""),"Tajikistan")</f>
        <v>Tajikistan</v>
      </c>
      <c r="D15645">
        <f>IFERROR(__xludf.DUMMYFUNCTION("""COMPUTED_VALUE"""),2030.0)</f>
        <v>2030</v>
      </c>
      <c r="E15645">
        <f>IFERROR(__xludf.DUMMYFUNCTION("""COMPUTED_VALUE"""),1.1194411E7)</f>
        <v>11194411</v>
      </c>
    </row>
    <row r="15646">
      <c r="A15646" t="str">
        <f t="shared" si="1"/>
        <v>tjk#2031</v>
      </c>
      <c r="B15646" t="str">
        <f>IFERROR(__xludf.DUMMYFUNCTION("""COMPUTED_VALUE"""),"tjk")</f>
        <v>tjk</v>
      </c>
      <c r="C15646" t="str">
        <f>IFERROR(__xludf.DUMMYFUNCTION("""COMPUTED_VALUE"""),"Tajikistan")</f>
        <v>Tajikistan</v>
      </c>
      <c r="D15646">
        <f>IFERROR(__xludf.DUMMYFUNCTION("""COMPUTED_VALUE"""),2031.0)</f>
        <v>2031</v>
      </c>
      <c r="E15646">
        <f>IFERROR(__xludf.DUMMYFUNCTION("""COMPUTED_VALUE"""),1.1359262E7)</f>
        <v>11359262</v>
      </c>
    </row>
    <row r="15647">
      <c r="A15647" t="str">
        <f t="shared" si="1"/>
        <v>tjk#2032</v>
      </c>
      <c r="B15647" t="str">
        <f>IFERROR(__xludf.DUMMYFUNCTION("""COMPUTED_VALUE"""),"tjk")</f>
        <v>tjk</v>
      </c>
      <c r="C15647" t="str">
        <f>IFERROR(__xludf.DUMMYFUNCTION("""COMPUTED_VALUE"""),"Tajikistan")</f>
        <v>Tajikistan</v>
      </c>
      <c r="D15647">
        <f>IFERROR(__xludf.DUMMYFUNCTION("""COMPUTED_VALUE"""),2032.0)</f>
        <v>2032</v>
      </c>
      <c r="E15647">
        <f>IFERROR(__xludf.DUMMYFUNCTION("""COMPUTED_VALUE"""),1.1524091E7)</f>
        <v>11524091</v>
      </c>
    </row>
    <row r="15648">
      <c r="A15648" t="str">
        <f t="shared" si="1"/>
        <v>tjk#2033</v>
      </c>
      <c r="B15648" t="str">
        <f>IFERROR(__xludf.DUMMYFUNCTION("""COMPUTED_VALUE"""),"tjk")</f>
        <v>tjk</v>
      </c>
      <c r="C15648" t="str">
        <f>IFERROR(__xludf.DUMMYFUNCTION("""COMPUTED_VALUE"""),"Tajikistan")</f>
        <v>Tajikistan</v>
      </c>
      <c r="D15648">
        <f>IFERROR(__xludf.DUMMYFUNCTION("""COMPUTED_VALUE"""),2033.0)</f>
        <v>2033</v>
      </c>
      <c r="E15648">
        <f>IFERROR(__xludf.DUMMYFUNCTION("""COMPUTED_VALUE"""),1.1689347E7)</f>
        <v>11689347</v>
      </c>
    </row>
    <row r="15649">
      <c r="A15649" t="str">
        <f t="shared" si="1"/>
        <v>tjk#2034</v>
      </c>
      <c r="B15649" t="str">
        <f>IFERROR(__xludf.DUMMYFUNCTION("""COMPUTED_VALUE"""),"tjk")</f>
        <v>tjk</v>
      </c>
      <c r="C15649" t="str">
        <f>IFERROR(__xludf.DUMMYFUNCTION("""COMPUTED_VALUE"""),"Tajikistan")</f>
        <v>Tajikistan</v>
      </c>
      <c r="D15649">
        <f>IFERROR(__xludf.DUMMYFUNCTION("""COMPUTED_VALUE"""),2034.0)</f>
        <v>2034</v>
      </c>
      <c r="E15649">
        <f>IFERROR(__xludf.DUMMYFUNCTION("""COMPUTED_VALUE"""),1.1855513E7)</f>
        <v>11855513</v>
      </c>
    </row>
    <row r="15650">
      <c r="A15650" t="str">
        <f t="shared" si="1"/>
        <v>tjk#2035</v>
      </c>
      <c r="B15650" t="str">
        <f>IFERROR(__xludf.DUMMYFUNCTION("""COMPUTED_VALUE"""),"tjk")</f>
        <v>tjk</v>
      </c>
      <c r="C15650" t="str">
        <f>IFERROR(__xludf.DUMMYFUNCTION("""COMPUTED_VALUE"""),"Tajikistan")</f>
        <v>Tajikistan</v>
      </c>
      <c r="D15650">
        <f>IFERROR(__xludf.DUMMYFUNCTION("""COMPUTED_VALUE"""),2035.0)</f>
        <v>2035</v>
      </c>
      <c r="E15650">
        <f>IFERROR(__xludf.DUMMYFUNCTION("""COMPUTED_VALUE"""),1.2022921E7)</f>
        <v>12022921</v>
      </c>
    </row>
    <row r="15651">
      <c r="A15651" t="str">
        <f t="shared" si="1"/>
        <v>tjk#2036</v>
      </c>
      <c r="B15651" t="str">
        <f>IFERROR(__xludf.DUMMYFUNCTION("""COMPUTED_VALUE"""),"tjk")</f>
        <v>tjk</v>
      </c>
      <c r="C15651" t="str">
        <f>IFERROR(__xludf.DUMMYFUNCTION("""COMPUTED_VALUE"""),"Tajikistan")</f>
        <v>Tajikistan</v>
      </c>
      <c r="D15651">
        <f>IFERROR(__xludf.DUMMYFUNCTION("""COMPUTED_VALUE"""),2036.0)</f>
        <v>2036</v>
      </c>
      <c r="E15651">
        <f>IFERROR(__xludf.DUMMYFUNCTION("""COMPUTED_VALUE"""),1.2191668E7)</f>
        <v>12191668</v>
      </c>
    </row>
    <row r="15652">
      <c r="A15652" t="str">
        <f t="shared" si="1"/>
        <v>tjk#2037</v>
      </c>
      <c r="B15652" t="str">
        <f>IFERROR(__xludf.DUMMYFUNCTION("""COMPUTED_VALUE"""),"tjk")</f>
        <v>tjk</v>
      </c>
      <c r="C15652" t="str">
        <f>IFERROR(__xludf.DUMMYFUNCTION("""COMPUTED_VALUE"""),"Tajikistan")</f>
        <v>Tajikistan</v>
      </c>
      <c r="D15652">
        <f>IFERROR(__xludf.DUMMYFUNCTION("""COMPUTED_VALUE"""),2037.0)</f>
        <v>2037</v>
      </c>
      <c r="E15652">
        <f>IFERROR(__xludf.DUMMYFUNCTION("""COMPUTED_VALUE"""),1.2361646E7)</f>
        <v>12361646</v>
      </c>
    </row>
    <row r="15653">
      <c r="A15653" t="str">
        <f t="shared" si="1"/>
        <v>tjk#2038</v>
      </c>
      <c r="B15653" t="str">
        <f>IFERROR(__xludf.DUMMYFUNCTION("""COMPUTED_VALUE"""),"tjk")</f>
        <v>tjk</v>
      </c>
      <c r="C15653" t="str">
        <f>IFERROR(__xludf.DUMMYFUNCTION("""COMPUTED_VALUE"""),"Tajikistan")</f>
        <v>Tajikistan</v>
      </c>
      <c r="D15653">
        <f>IFERROR(__xludf.DUMMYFUNCTION("""COMPUTED_VALUE"""),2038.0)</f>
        <v>2038</v>
      </c>
      <c r="E15653">
        <f>IFERROR(__xludf.DUMMYFUNCTION("""COMPUTED_VALUE"""),1.2532613E7)</f>
        <v>12532613</v>
      </c>
    </row>
    <row r="15654">
      <c r="A15654" t="str">
        <f t="shared" si="1"/>
        <v>tjk#2039</v>
      </c>
      <c r="B15654" t="str">
        <f>IFERROR(__xludf.DUMMYFUNCTION("""COMPUTED_VALUE"""),"tjk")</f>
        <v>tjk</v>
      </c>
      <c r="C15654" t="str">
        <f>IFERROR(__xludf.DUMMYFUNCTION("""COMPUTED_VALUE"""),"Tajikistan")</f>
        <v>Tajikistan</v>
      </c>
      <c r="D15654">
        <f>IFERROR(__xludf.DUMMYFUNCTION("""COMPUTED_VALUE"""),2039.0)</f>
        <v>2039</v>
      </c>
      <c r="E15654">
        <f>IFERROR(__xludf.DUMMYFUNCTION("""COMPUTED_VALUE"""),1.2704211E7)</f>
        <v>12704211</v>
      </c>
    </row>
    <row r="15655">
      <c r="A15655" t="str">
        <f t="shared" si="1"/>
        <v>tjk#2040</v>
      </c>
      <c r="B15655" t="str">
        <f>IFERROR(__xludf.DUMMYFUNCTION("""COMPUTED_VALUE"""),"tjk")</f>
        <v>tjk</v>
      </c>
      <c r="C15655" t="str">
        <f>IFERROR(__xludf.DUMMYFUNCTION("""COMPUTED_VALUE"""),"Tajikistan")</f>
        <v>Tajikistan</v>
      </c>
      <c r="D15655">
        <f>IFERROR(__xludf.DUMMYFUNCTION("""COMPUTED_VALUE"""),2040.0)</f>
        <v>2040</v>
      </c>
      <c r="E15655">
        <f>IFERROR(__xludf.DUMMYFUNCTION("""COMPUTED_VALUE"""),1.2876073E7)</f>
        <v>12876073</v>
      </c>
    </row>
    <row r="15656">
      <c r="A15656" t="str">
        <f t="shared" si="1"/>
        <v>tza#1950</v>
      </c>
      <c r="B15656" t="str">
        <f>IFERROR(__xludf.DUMMYFUNCTION("""COMPUTED_VALUE"""),"tza")</f>
        <v>tza</v>
      </c>
      <c r="C15656" t="str">
        <f>IFERROR(__xludf.DUMMYFUNCTION("""COMPUTED_VALUE"""),"Tanzania")</f>
        <v>Tanzania</v>
      </c>
      <c r="D15656">
        <f>IFERROR(__xludf.DUMMYFUNCTION("""COMPUTED_VALUE"""),1950.0)</f>
        <v>1950</v>
      </c>
      <c r="E15656">
        <f>IFERROR(__xludf.DUMMYFUNCTION("""COMPUTED_VALUE"""),7649761.0)</f>
        <v>7649761</v>
      </c>
    </row>
    <row r="15657">
      <c r="A15657" t="str">
        <f t="shared" si="1"/>
        <v>tza#1951</v>
      </c>
      <c r="B15657" t="str">
        <f>IFERROR(__xludf.DUMMYFUNCTION("""COMPUTED_VALUE"""),"tza")</f>
        <v>tza</v>
      </c>
      <c r="C15657" t="str">
        <f>IFERROR(__xludf.DUMMYFUNCTION("""COMPUTED_VALUE"""),"Tanzania")</f>
        <v>Tanzania</v>
      </c>
      <c r="D15657">
        <f>IFERROR(__xludf.DUMMYFUNCTION("""COMPUTED_VALUE"""),1951.0)</f>
        <v>1951</v>
      </c>
      <c r="E15657">
        <f>IFERROR(__xludf.DUMMYFUNCTION("""COMPUTED_VALUE"""),7847305.0)</f>
        <v>7847305</v>
      </c>
    </row>
    <row r="15658">
      <c r="A15658" t="str">
        <f t="shared" si="1"/>
        <v>tza#1952</v>
      </c>
      <c r="B15658" t="str">
        <f>IFERROR(__xludf.DUMMYFUNCTION("""COMPUTED_VALUE"""),"tza")</f>
        <v>tza</v>
      </c>
      <c r="C15658" t="str">
        <f>IFERROR(__xludf.DUMMYFUNCTION("""COMPUTED_VALUE"""),"Tanzania")</f>
        <v>Tanzania</v>
      </c>
      <c r="D15658">
        <f>IFERROR(__xludf.DUMMYFUNCTION("""COMPUTED_VALUE"""),1952.0)</f>
        <v>1952</v>
      </c>
      <c r="E15658">
        <f>IFERROR(__xludf.DUMMYFUNCTION("""COMPUTED_VALUE"""),8055911.0)</f>
        <v>8055911</v>
      </c>
    </row>
    <row r="15659">
      <c r="A15659" t="str">
        <f t="shared" si="1"/>
        <v>tza#1953</v>
      </c>
      <c r="B15659" t="str">
        <f>IFERROR(__xludf.DUMMYFUNCTION("""COMPUTED_VALUE"""),"tza")</f>
        <v>tza</v>
      </c>
      <c r="C15659" t="str">
        <f>IFERROR(__xludf.DUMMYFUNCTION("""COMPUTED_VALUE"""),"Tanzania")</f>
        <v>Tanzania</v>
      </c>
      <c r="D15659">
        <f>IFERROR(__xludf.DUMMYFUNCTION("""COMPUTED_VALUE"""),1953.0)</f>
        <v>1953</v>
      </c>
      <c r="E15659">
        <f>IFERROR(__xludf.DUMMYFUNCTION("""COMPUTED_VALUE"""),8274746.0)</f>
        <v>8274746</v>
      </c>
    </row>
    <row r="15660">
      <c r="A15660" t="str">
        <f t="shared" si="1"/>
        <v>tza#1954</v>
      </c>
      <c r="B15660" t="str">
        <f>IFERROR(__xludf.DUMMYFUNCTION("""COMPUTED_VALUE"""),"tza")</f>
        <v>tza</v>
      </c>
      <c r="C15660" t="str">
        <f>IFERROR(__xludf.DUMMYFUNCTION("""COMPUTED_VALUE"""),"Tanzania")</f>
        <v>Tanzania</v>
      </c>
      <c r="D15660">
        <f>IFERROR(__xludf.DUMMYFUNCTION("""COMPUTED_VALUE"""),1954.0)</f>
        <v>1954</v>
      </c>
      <c r="E15660">
        <f>IFERROR(__xludf.DUMMYFUNCTION("""COMPUTED_VALUE"""),8503221.0)</f>
        <v>8503221</v>
      </c>
    </row>
    <row r="15661">
      <c r="A15661" t="str">
        <f t="shared" si="1"/>
        <v>tza#1955</v>
      </c>
      <c r="B15661" t="str">
        <f>IFERROR(__xludf.DUMMYFUNCTION("""COMPUTED_VALUE"""),"tza")</f>
        <v>tza</v>
      </c>
      <c r="C15661" t="str">
        <f>IFERROR(__xludf.DUMMYFUNCTION("""COMPUTED_VALUE"""),"Tanzania")</f>
        <v>Tanzania</v>
      </c>
      <c r="D15661">
        <f>IFERROR(__xludf.DUMMYFUNCTION("""COMPUTED_VALUE"""),1955.0)</f>
        <v>1955</v>
      </c>
      <c r="E15661">
        <f>IFERROR(__xludf.DUMMYFUNCTION("""COMPUTED_VALUE"""),8740986.0)</f>
        <v>8740986</v>
      </c>
    </row>
    <row r="15662">
      <c r="A15662" t="str">
        <f t="shared" si="1"/>
        <v>tza#1956</v>
      </c>
      <c r="B15662" t="str">
        <f>IFERROR(__xludf.DUMMYFUNCTION("""COMPUTED_VALUE"""),"tza")</f>
        <v>tza</v>
      </c>
      <c r="C15662" t="str">
        <f>IFERROR(__xludf.DUMMYFUNCTION("""COMPUTED_VALUE"""),"Tanzania")</f>
        <v>Tanzania</v>
      </c>
      <c r="D15662">
        <f>IFERROR(__xludf.DUMMYFUNCTION("""COMPUTED_VALUE"""),1956.0)</f>
        <v>1956</v>
      </c>
      <c r="E15662">
        <f>IFERROR(__xludf.DUMMYFUNCTION("""COMPUTED_VALUE"""),8987975.0)</f>
        <v>8987975</v>
      </c>
    </row>
    <row r="15663">
      <c r="A15663" t="str">
        <f t="shared" si="1"/>
        <v>tza#1957</v>
      </c>
      <c r="B15663" t="str">
        <f>IFERROR(__xludf.DUMMYFUNCTION("""COMPUTED_VALUE"""),"tza")</f>
        <v>tza</v>
      </c>
      <c r="C15663" t="str">
        <f>IFERROR(__xludf.DUMMYFUNCTION("""COMPUTED_VALUE"""),"Tanzania")</f>
        <v>Tanzania</v>
      </c>
      <c r="D15663">
        <f>IFERROR(__xludf.DUMMYFUNCTION("""COMPUTED_VALUE"""),1957.0)</f>
        <v>1957</v>
      </c>
      <c r="E15663">
        <f>IFERROR(__xludf.DUMMYFUNCTION("""COMPUTED_VALUE"""),9244352.0)</f>
        <v>9244352</v>
      </c>
    </row>
    <row r="15664">
      <c r="A15664" t="str">
        <f t="shared" si="1"/>
        <v>tza#1958</v>
      </c>
      <c r="B15664" t="str">
        <f>IFERROR(__xludf.DUMMYFUNCTION("""COMPUTED_VALUE"""),"tza")</f>
        <v>tza</v>
      </c>
      <c r="C15664" t="str">
        <f>IFERROR(__xludf.DUMMYFUNCTION("""COMPUTED_VALUE"""),"Tanzania")</f>
        <v>Tanzania</v>
      </c>
      <c r="D15664">
        <f>IFERROR(__xludf.DUMMYFUNCTION("""COMPUTED_VALUE"""),1958.0)</f>
        <v>1958</v>
      </c>
      <c r="E15664">
        <f>IFERROR(__xludf.DUMMYFUNCTION("""COMPUTED_VALUE"""),9510514.0)</f>
        <v>9510514</v>
      </c>
    </row>
    <row r="15665">
      <c r="A15665" t="str">
        <f t="shared" si="1"/>
        <v>tza#1959</v>
      </c>
      <c r="B15665" t="str">
        <f>IFERROR(__xludf.DUMMYFUNCTION("""COMPUTED_VALUE"""),"tza")</f>
        <v>tza</v>
      </c>
      <c r="C15665" t="str">
        <f>IFERROR(__xludf.DUMMYFUNCTION("""COMPUTED_VALUE"""),"Tanzania")</f>
        <v>Tanzania</v>
      </c>
      <c r="D15665">
        <f>IFERROR(__xludf.DUMMYFUNCTION("""COMPUTED_VALUE"""),1959.0)</f>
        <v>1959</v>
      </c>
      <c r="E15665">
        <f>IFERROR(__xludf.DUMMYFUNCTION("""COMPUTED_VALUE"""),9787033.0)</f>
        <v>9787033</v>
      </c>
    </row>
    <row r="15666">
      <c r="A15666" t="str">
        <f t="shared" si="1"/>
        <v>tza#1960</v>
      </c>
      <c r="B15666" t="str">
        <f>IFERROR(__xludf.DUMMYFUNCTION("""COMPUTED_VALUE"""),"tza")</f>
        <v>tza</v>
      </c>
      <c r="C15666" t="str">
        <f>IFERROR(__xludf.DUMMYFUNCTION("""COMPUTED_VALUE"""),"Tanzania")</f>
        <v>Tanzania</v>
      </c>
      <c r="D15666">
        <f>IFERROR(__xludf.DUMMYFUNCTION("""COMPUTED_VALUE"""),1960.0)</f>
        <v>1960</v>
      </c>
      <c r="E15666">
        <f>IFERROR(__xludf.DUMMYFUNCTION("""COMPUTED_VALUE"""),1.0074507E7)</f>
        <v>10074507</v>
      </c>
    </row>
    <row r="15667">
      <c r="A15667" t="str">
        <f t="shared" si="1"/>
        <v>tza#1961</v>
      </c>
      <c r="B15667" t="str">
        <f>IFERROR(__xludf.DUMMYFUNCTION("""COMPUTED_VALUE"""),"tza")</f>
        <v>tza</v>
      </c>
      <c r="C15667" t="str">
        <f>IFERROR(__xludf.DUMMYFUNCTION("""COMPUTED_VALUE"""),"Tanzania")</f>
        <v>Tanzania</v>
      </c>
      <c r="D15667">
        <f>IFERROR(__xludf.DUMMYFUNCTION("""COMPUTED_VALUE"""),1961.0)</f>
        <v>1961</v>
      </c>
      <c r="E15667">
        <f>IFERROR(__xludf.DUMMYFUNCTION("""COMPUTED_VALUE"""),1.0373398E7)</f>
        <v>10373398</v>
      </c>
    </row>
    <row r="15668">
      <c r="A15668" t="str">
        <f t="shared" si="1"/>
        <v>tza#1962</v>
      </c>
      <c r="B15668" t="str">
        <f>IFERROR(__xludf.DUMMYFUNCTION("""COMPUTED_VALUE"""),"tza")</f>
        <v>tza</v>
      </c>
      <c r="C15668" t="str">
        <f>IFERROR(__xludf.DUMMYFUNCTION("""COMPUTED_VALUE"""),"Tanzania")</f>
        <v>Tanzania</v>
      </c>
      <c r="D15668">
        <f>IFERROR(__xludf.DUMMYFUNCTION("""COMPUTED_VALUE"""),1962.0)</f>
        <v>1962</v>
      </c>
      <c r="E15668">
        <f>IFERROR(__xludf.DUMMYFUNCTION("""COMPUTED_VALUE"""),1.0683906E7)</f>
        <v>10683906</v>
      </c>
    </row>
    <row r="15669">
      <c r="A15669" t="str">
        <f t="shared" si="1"/>
        <v>tza#1963</v>
      </c>
      <c r="B15669" t="str">
        <f>IFERROR(__xludf.DUMMYFUNCTION("""COMPUTED_VALUE"""),"tza")</f>
        <v>tza</v>
      </c>
      <c r="C15669" t="str">
        <f>IFERROR(__xludf.DUMMYFUNCTION("""COMPUTED_VALUE"""),"Tanzania")</f>
        <v>Tanzania</v>
      </c>
      <c r="D15669">
        <f>IFERROR(__xludf.DUMMYFUNCTION("""COMPUTED_VALUE"""),1963.0)</f>
        <v>1963</v>
      </c>
      <c r="E15669">
        <f>IFERROR(__xludf.DUMMYFUNCTION("""COMPUTED_VALUE"""),1.1005905E7)</f>
        <v>11005905</v>
      </c>
    </row>
    <row r="15670">
      <c r="A15670" t="str">
        <f t="shared" si="1"/>
        <v>tza#1964</v>
      </c>
      <c r="B15670" t="str">
        <f>IFERROR(__xludf.DUMMYFUNCTION("""COMPUTED_VALUE"""),"tza")</f>
        <v>tza</v>
      </c>
      <c r="C15670" t="str">
        <f>IFERROR(__xludf.DUMMYFUNCTION("""COMPUTED_VALUE"""),"Tanzania")</f>
        <v>Tanzania</v>
      </c>
      <c r="D15670">
        <f>IFERROR(__xludf.DUMMYFUNCTION("""COMPUTED_VALUE"""),1964.0)</f>
        <v>1964</v>
      </c>
      <c r="E15670">
        <f>IFERROR(__xludf.DUMMYFUNCTION("""COMPUTED_VALUE"""),1.1339097E7)</f>
        <v>11339097</v>
      </c>
    </row>
    <row r="15671">
      <c r="A15671" t="str">
        <f t="shared" si="1"/>
        <v>tza#1965</v>
      </c>
      <c r="B15671" t="str">
        <f>IFERROR(__xludf.DUMMYFUNCTION("""COMPUTED_VALUE"""),"tza")</f>
        <v>tza</v>
      </c>
      <c r="C15671" t="str">
        <f>IFERROR(__xludf.DUMMYFUNCTION("""COMPUTED_VALUE"""),"Tanzania")</f>
        <v>Tanzania</v>
      </c>
      <c r="D15671">
        <f>IFERROR(__xludf.DUMMYFUNCTION("""COMPUTED_VALUE"""),1965.0)</f>
        <v>1965</v>
      </c>
      <c r="E15671">
        <f>IFERROR(__xludf.DUMMYFUNCTION("""COMPUTED_VALUE"""),1.1683528E7)</f>
        <v>11683528</v>
      </c>
    </row>
    <row r="15672">
      <c r="A15672" t="str">
        <f t="shared" si="1"/>
        <v>tza#1966</v>
      </c>
      <c r="B15672" t="str">
        <f>IFERROR(__xludf.DUMMYFUNCTION("""COMPUTED_VALUE"""),"tza")</f>
        <v>tza</v>
      </c>
      <c r="C15672" t="str">
        <f>IFERROR(__xludf.DUMMYFUNCTION("""COMPUTED_VALUE"""),"Tanzania")</f>
        <v>Tanzania</v>
      </c>
      <c r="D15672">
        <f>IFERROR(__xludf.DUMMYFUNCTION("""COMPUTED_VALUE"""),1966.0)</f>
        <v>1966</v>
      </c>
      <c r="E15672">
        <f>IFERROR(__xludf.DUMMYFUNCTION("""COMPUTED_VALUE"""),1.2038903E7)</f>
        <v>12038903</v>
      </c>
    </row>
    <row r="15673">
      <c r="A15673" t="str">
        <f t="shared" si="1"/>
        <v>tza#1967</v>
      </c>
      <c r="B15673" t="str">
        <f>IFERROR(__xludf.DUMMYFUNCTION("""COMPUTED_VALUE"""),"tza")</f>
        <v>tza</v>
      </c>
      <c r="C15673" t="str">
        <f>IFERROR(__xludf.DUMMYFUNCTION("""COMPUTED_VALUE"""),"Tanzania")</f>
        <v>Tanzania</v>
      </c>
      <c r="D15673">
        <f>IFERROR(__xludf.DUMMYFUNCTION("""COMPUTED_VALUE"""),1967.0)</f>
        <v>1967</v>
      </c>
      <c r="E15673">
        <f>IFERROR(__xludf.DUMMYFUNCTION("""COMPUTED_VALUE"""),1.240604E7)</f>
        <v>12406040</v>
      </c>
    </row>
    <row r="15674">
      <c r="A15674" t="str">
        <f t="shared" si="1"/>
        <v>tza#1968</v>
      </c>
      <c r="B15674" t="str">
        <f>IFERROR(__xludf.DUMMYFUNCTION("""COMPUTED_VALUE"""),"tza")</f>
        <v>tza</v>
      </c>
      <c r="C15674" t="str">
        <f>IFERROR(__xludf.DUMMYFUNCTION("""COMPUTED_VALUE"""),"Tanzania")</f>
        <v>Tanzania</v>
      </c>
      <c r="D15674">
        <f>IFERROR(__xludf.DUMMYFUNCTION("""COMPUTED_VALUE"""),1968.0)</f>
        <v>1968</v>
      </c>
      <c r="E15674">
        <f>IFERROR(__xludf.DUMMYFUNCTION("""COMPUTED_VALUE"""),1.2787489E7)</f>
        <v>12787489</v>
      </c>
    </row>
    <row r="15675">
      <c r="A15675" t="str">
        <f t="shared" si="1"/>
        <v>tza#1969</v>
      </c>
      <c r="B15675" t="str">
        <f>IFERROR(__xludf.DUMMYFUNCTION("""COMPUTED_VALUE"""),"tza")</f>
        <v>tza</v>
      </c>
      <c r="C15675" t="str">
        <f>IFERROR(__xludf.DUMMYFUNCTION("""COMPUTED_VALUE"""),"Tanzania")</f>
        <v>Tanzania</v>
      </c>
      <c r="D15675">
        <f>IFERROR(__xludf.DUMMYFUNCTION("""COMPUTED_VALUE"""),1969.0)</f>
        <v>1969</v>
      </c>
      <c r="E15675">
        <f>IFERROR(__xludf.DUMMYFUNCTION("""COMPUTED_VALUE"""),1.3186557E7)</f>
        <v>13186557</v>
      </c>
    </row>
    <row r="15676">
      <c r="A15676" t="str">
        <f t="shared" si="1"/>
        <v>tza#1970</v>
      </c>
      <c r="B15676" t="str">
        <f>IFERROR(__xludf.DUMMYFUNCTION("""COMPUTED_VALUE"""),"tza")</f>
        <v>tza</v>
      </c>
      <c r="C15676" t="str">
        <f>IFERROR(__xludf.DUMMYFUNCTION("""COMPUTED_VALUE"""),"Tanzania")</f>
        <v>Tanzania</v>
      </c>
      <c r="D15676">
        <f>IFERROR(__xludf.DUMMYFUNCTION("""COMPUTED_VALUE"""),1970.0)</f>
        <v>1970</v>
      </c>
      <c r="E15676">
        <f>IFERROR(__xludf.DUMMYFUNCTION("""COMPUTED_VALUE"""),1.3605529E7)</f>
        <v>13605529</v>
      </c>
    </row>
    <row r="15677">
      <c r="A15677" t="str">
        <f t="shared" si="1"/>
        <v>tza#1971</v>
      </c>
      <c r="B15677" t="str">
        <f>IFERROR(__xludf.DUMMYFUNCTION("""COMPUTED_VALUE"""),"tza")</f>
        <v>tza</v>
      </c>
      <c r="C15677" t="str">
        <f>IFERROR(__xludf.DUMMYFUNCTION("""COMPUTED_VALUE"""),"Tanzania")</f>
        <v>Tanzania</v>
      </c>
      <c r="D15677">
        <f>IFERROR(__xludf.DUMMYFUNCTION("""COMPUTED_VALUE"""),1971.0)</f>
        <v>1971</v>
      </c>
      <c r="E15677">
        <f>IFERROR(__xludf.DUMMYFUNCTION("""COMPUTED_VALUE"""),1.4045824E7)</f>
        <v>14045824</v>
      </c>
    </row>
    <row r="15678">
      <c r="A15678" t="str">
        <f t="shared" si="1"/>
        <v>tza#1972</v>
      </c>
      <c r="B15678" t="str">
        <f>IFERROR(__xludf.DUMMYFUNCTION("""COMPUTED_VALUE"""),"tza")</f>
        <v>tza</v>
      </c>
      <c r="C15678" t="str">
        <f>IFERROR(__xludf.DUMMYFUNCTION("""COMPUTED_VALUE"""),"Tanzania")</f>
        <v>Tanzania</v>
      </c>
      <c r="D15678">
        <f>IFERROR(__xludf.DUMMYFUNCTION("""COMPUTED_VALUE"""),1972.0)</f>
        <v>1972</v>
      </c>
      <c r="E15678">
        <f>IFERROR(__xludf.DUMMYFUNCTION("""COMPUTED_VALUE"""),1.4506617E7)</f>
        <v>14506617</v>
      </c>
    </row>
    <row r="15679">
      <c r="A15679" t="str">
        <f t="shared" si="1"/>
        <v>tza#1973</v>
      </c>
      <c r="B15679" t="str">
        <f>IFERROR(__xludf.DUMMYFUNCTION("""COMPUTED_VALUE"""),"tza")</f>
        <v>tza</v>
      </c>
      <c r="C15679" t="str">
        <f>IFERROR(__xludf.DUMMYFUNCTION("""COMPUTED_VALUE"""),"Tanzania")</f>
        <v>Tanzania</v>
      </c>
      <c r="D15679">
        <f>IFERROR(__xludf.DUMMYFUNCTION("""COMPUTED_VALUE"""),1973.0)</f>
        <v>1973</v>
      </c>
      <c r="E15679">
        <f>IFERROR(__xludf.DUMMYFUNCTION("""COMPUTED_VALUE"""),1.4985131E7)</f>
        <v>14985131</v>
      </c>
    </row>
    <row r="15680">
      <c r="A15680" t="str">
        <f t="shared" si="1"/>
        <v>tza#1974</v>
      </c>
      <c r="B15680" t="str">
        <f>IFERROR(__xludf.DUMMYFUNCTION("""COMPUTED_VALUE"""),"tza")</f>
        <v>tza</v>
      </c>
      <c r="C15680" t="str">
        <f>IFERROR(__xludf.DUMMYFUNCTION("""COMPUTED_VALUE"""),"Tanzania")</f>
        <v>Tanzania</v>
      </c>
      <c r="D15680">
        <f>IFERROR(__xludf.DUMMYFUNCTION("""COMPUTED_VALUE"""),1974.0)</f>
        <v>1974</v>
      </c>
      <c r="E15680">
        <f>IFERROR(__xludf.DUMMYFUNCTION("""COMPUTED_VALUE"""),1.5477294E7)</f>
        <v>15477294</v>
      </c>
    </row>
    <row r="15681">
      <c r="A15681" t="str">
        <f t="shared" si="1"/>
        <v>tza#1975</v>
      </c>
      <c r="B15681" t="str">
        <f>IFERROR(__xludf.DUMMYFUNCTION("""COMPUTED_VALUE"""),"tza")</f>
        <v>tza</v>
      </c>
      <c r="C15681" t="str">
        <f>IFERROR(__xludf.DUMMYFUNCTION("""COMPUTED_VALUE"""),"Tanzania")</f>
        <v>Tanzania</v>
      </c>
      <c r="D15681">
        <f>IFERROR(__xludf.DUMMYFUNCTION("""COMPUTED_VALUE"""),1975.0)</f>
        <v>1975</v>
      </c>
      <c r="E15681">
        <f>IFERROR(__xludf.DUMMYFUNCTION("""COMPUTED_VALUE"""),1.5980301E7)</f>
        <v>15980301</v>
      </c>
    </row>
    <row r="15682">
      <c r="A15682" t="str">
        <f t="shared" si="1"/>
        <v>tza#1976</v>
      </c>
      <c r="B15682" t="str">
        <f>IFERROR(__xludf.DUMMYFUNCTION("""COMPUTED_VALUE"""),"tza")</f>
        <v>tza</v>
      </c>
      <c r="C15682" t="str">
        <f>IFERROR(__xludf.DUMMYFUNCTION("""COMPUTED_VALUE"""),"Tanzania")</f>
        <v>Tanzania</v>
      </c>
      <c r="D15682">
        <f>IFERROR(__xludf.DUMMYFUNCTION("""COMPUTED_VALUE"""),1976.0)</f>
        <v>1976</v>
      </c>
      <c r="E15682">
        <f>IFERROR(__xludf.DUMMYFUNCTION("""COMPUTED_VALUE"""),1.6493305E7)</f>
        <v>16493305</v>
      </c>
    </row>
    <row r="15683">
      <c r="A15683" t="str">
        <f t="shared" si="1"/>
        <v>tza#1977</v>
      </c>
      <c r="B15683" t="str">
        <f>IFERROR(__xludf.DUMMYFUNCTION("""COMPUTED_VALUE"""),"tza")</f>
        <v>tza</v>
      </c>
      <c r="C15683" t="str">
        <f>IFERROR(__xludf.DUMMYFUNCTION("""COMPUTED_VALUE"""),"Tanzania")</f>
        <v>Tanzania</v>
      </c>
      <c r="D15683">
        <f>IFERROR(__xludf.DUMMYFUNCTION("""COMPUTED_VALUE"""),1977.0)</f>
        <v>1977</v>
      </c>
      <c r="E15683">
        <f>IFERROR(__xludf.DUMMYFUNCTION("""COMPUTED_VALUE"""),1.701767E7)</f>
        <v>17017670</v>
      </c>
    </row>
    <row r="15684">
      <c r="A15684" t="str">
        <f t="shared" si="1"/>
        <v>tza#1978</v>
      </c>
      <c r="B15684" t="str">
        <f>IFERROR(__xludf.DUMMYFUNCTION("""COMPUTED_VALUE"""),"tza")</f>
        <v>tza</v>
      </c>
      <c r="C15684" t="str">
        <f>IFERROR(__xludf.DUMMYFUNCTION("""COMPUTED_VALUE"""),"Tanzania")</f>
        <v>Tanzania</v>
      </c>
      <c r="D15684">
        <f>IFERROR(__xludf.DUMMYFUNCTION("""COMPUTED_VALUE"""),1978.0)</f>
        <v>1978</v>
      </c>
      <c r="E15684">
        <f>IFERROR(__xludf.DUMMYFUNCTION("""COMPUTED_VALUE"""),1.7555494E7)</f>
        <v>17555494</v>
      </c>
    </row>
    <row r="15685">
      <c r="A15685" t="str">
        <f t="shared" si="1"/>
        <v>tza#1979</v>
      </c>
      <c r="B15685" t="str">
        <f>IFERROR(__xludf.DUMMYFUNCTION("""COMPUTED_VALUE"""),"tza")</f>
        <v>tza</v>
      </c>
      <c r="C15685" t="str">
        <f>IFERROR(__xludf.DUMMYFUNCTION("""COMPUTED_VALUE"""),"Tanzania")</f>
        <v>Tanzania</v>
      </c>
      <c r="D15685">
        <f>IFERROR(__xludf.DUMMYFUNCTION("""COMPUTED_VALUE"""),1979.0)</f>
        <v>1979</v>
      </c>
      <c r="E15685">
        <f>IFERROR(__xludf.DUMMYFUNCTION("""COMPUTED_VALUE"""),1.8109884E7)</f>
        <v>18109884</v>
      </c>
    </row>
    <row r="15686">
      <c r="A15686" t="str">
        <f t="shared" si="1"/>
        <v>tza#1980</v>
      </c>
      <c r="B15686" t="str">
        <f>IFERROR(__xludf.DUMMYFUNCTION("""COMPUTED_VALUE"""),"tza")</f>
        <v>tza</v>
      </c>
      <c r="C15686" t="str">
        <f>IFERROR(__xludf.DUMMYFUNCTION("""COMPUTED_VALUE"""),"Tanzania")</f>
        <v>Tanzania</v>
      </c>
      <c r="D15686">
        <f>IFERROR(__xludf.DUMMYFUNCTION("""COMPUTED_VALUE"""),1980.0)</f>
        <v>1980</v>
      </c>
      <c r="E15686">
        <f>IFERROR(__xludf.DUMMYFUNCTION("""COMPUTED_VALUE"""),1.8683157E7)</f>
        <v>18683157</v>
      </c>
    </row>
    <row r="15687">
      <c r="A15687" t="str">
        <f t="shared" si="1"/>
        <v>tza#1981</v>
      </c>
      <c r="B15687" t="str">
        <f>IFERROR(__xludf.DUMMYFUNCTION("""COMPUTED_VALUE"""),"tza")</f>
        <v>tza</v>
      </c>
      <c r="C15687" t="str">
        <f>IFERROR(__xludf.DUMMYFUNCTION("""COMPUTED_VALUE"""),"Tanzania")</f>
        <v>Tanzania</v>
      </c>
      <c r="D15687">
        <f>IFERROR(__xludf.DUMMYFUNCTION("""COMPUTED_VALUE"""),1981.0)</f>
        <v>1981</v>
      </c>
      <c r="E15687">
        <f>IFERROR(__xludf.DUMMYFUNCTION("""COMPUTED_VALUE"""),1.9277108E7)</f>
        <v>19277108</v>
      </c>
    </row>
    <row r="15688">
      <c r="A15688" t="str">
        <f t="shared" si="1"/>
        <v>tza#1982</v>
      </c>
      <c r="B15688" t="str">
        <f>IFERROR(__xludf.DUMMYFUNCTION("""COMPUTED_VALUE"""),"tza")</f>
        <v>tza</v>
      </c>
      <c r="C15688" t="str">
        <f>IFERROR(__xludf.DUMMYFUNCTION("""COMPUTED_VALUE"""),"Tanzania")</f>
        <v>Tanzania</v>
      </c>
      <c r="D15688">
        <f>IFERROR(__xludf.DUMMYFUNCTION("""COMPUTED_VALUE"""),1982.0)</f>
        <v>1982</v>
      </c>
      <c r="E15688">
        <f>IFERROR(__xludf.DUMMYFUNCTION("""COMPUTED_VALUE"""),1.9891548E7)</f>
        <v>19891548</v>
      </c>
    </row>
    <row r="15689">
      <c r="A15689" t="str">
        <f t="shared" si="1"/>
        <v>tza#1983</v>
      </c>
      <c r="B15689" t="str">
        <f>IFERROR(__xludf.DUMMYFUNCTION("""COMPUTED_VALUE"""),"tza")</f>
        <v>tza</v>
      </c>
      <c r="C15689" t="str">
        <f>IFERROR(__xludf.DUMMYFUNCTION("""COMPUTED_VALUE"""),"Tanzania")</f>
        <v>Tanzania</v>
      </c>
      <c r="D15689">
        <f>IFERROR(__xludf.DUMMYFUNCTION("""COMPUTED_VALUE"""),1983.0)</f>
        <v>1983</v>
      </c>
      <c r="E15689">
        <f>IFERROR(__xludf.DUMMYFUNCTION("""COMPUTED_VALUE"""),2.0524666E7)</f>
        <v>20524666</v>
      </c>
    </row>
    <row r="15690">
      <c r="A15690" t="str">
        <f t="shared" si="1"/>
        <v>tza#1984</v>
      </c>
      <c r="B15690" t="str">
        <f>IFERROR(__xludf.DUMMYFUNCTION("""COMPUTED_VALUE"""),"tza")</f>
        <v>tza</v>
      </c>
      <c r="C15690" t="str">
        <f>IFERROR(__xludf.DUMMYFUNCTION("""COMPUTED_VALUE"""),"Tanzania")</f>
        <v>Tanzania</v>
      </c>
      <c r="D15690">
        <f>IFERROR(__xludf.DUMMYFUNCTION("""COMPUTED_VALUE"""),1984.0)</f>
        <v>1984</v>
      </c>
      <c r="E15690">
        <f>IFERROR(__xludf.DUMMYFUNCTION("""COMPUTED_VALUE"""),2.1173603E7)</f>
        <v>21173603</v>
      </c>
    </row>
    <row r="15691">
      <c r="A15691" t="str">
        <f t="shared" si="1"/>
        <v>tza#1985</v>
      </c>
      <c r="B15691" t="str">
        <f>IFERROR(__xludf.DUMMYFUNCTION("""COMPUTED_VALUE"""),"tza")</f>
        <v>tza</v>
      </c>
      <c r="C15691" t="str">
        <f>IFERROR(__xludf.DUMMYFUNCTION("""COMPUTED_VALUE"""),"Tanzania")</f>
        <v>Tanzania</v>
      </c>
      <c r="D15691">
        <f>IFERROR(__xludf.DUMMYFUNCTION("""COMPUTED_VALUE"""),1985.0)</f>
        <v>1985</v>
      </c>
      <c r="E15691">
        <f>IFERROR(__xludf.DUMMYFUNCTION("""COMPUTED_VALUE"""),2.1836999E7)</f>
        <v>21836999</v>
      </c>
    </row>
    <row r="15692">
      <c r="A15692" t="str">
        <f t="shared" si="1"/>
        <v>tza#1986</v>
      </c>
      <c r="B15692" t="str">
        <f>IFERROR(__xludf.DUMMYFUNCTION("""COMPUTED_VALUE"""),"tza")</f>
        <v>tza</v>
      </c>
      <c r="C15692" t="str">
        <f>IFERROR(__xludf.DUMMYFUNCTION("""COMPUTED_VALUE"""),"Tanzania")</f>
        <v>Tanzania</v>
      </c>
      <c r="D15692">
        <f>IFERROR(__xludf.DUMMYFUNCTION("""COMPUTED_VALUE"""),1986.0)</f>
        <v>1986</v>
      </c>
      <c r="E15692">
        <f>IFERROR(__xludf.DUMMYFUNCTION("""COMPUTED_VALUE"""),2.2511243E7)</f>
        <v>22511243</v>
      </c>
    </row>
    <row r="15693">
      <c r="A15693" t="str">
        <f t="shared" si="1"/>
        <v>tza#1987</v>
      </c>
      <c r="B15693" t="str">
        <f>IFERROR(__xludf.DUMMYFUNCTION("""COMPUTED_VALUE"""),"tza")</f>
        <v>tza</v>
      </c>
      <c r="C15693" t="str">
        <f>IFERROR(__xludf.DUMMYFUNCTION("""COMPUTED_VALUE"""),"Tanzania")</f>
        <v>Tanzania</v>
      </c>
      <c r="D15693">
        <f>IFERROR(__xludf.DUMMYFUNCTION("""COMPUTED_VALUE"""),1987.0)</f>
        <v>1987</v>
      </c>
      <c r="E15693">
        <f>IFERROR(__xludf.DUMMYFUNCTION("""COMPUTED_VALUE"""),2.3198533E7)</f>
        <v>23198533</v>
      </c>
    </row>
    <row r="15694">
      <c r="A15694" t="str">
        <f t="shared" si="1"/>
        <v>tza#1988</v>
      </c>
      <c r="B15694" t="str">
        <f>IFERROR(__xludf.DUMMYFUNCTION("""COMPUTED_VALUE"""),"tza")</f>
        <v>tza</v>
      </c>
      <c r="C15694" t="str">
        <f>IFERROR(__xludf.DUMMYFUNCTION("""COMPUTED_VALUE"""),"Tanzania")</f>
        <v>Tanzania</v>
      </c>
      <c r="D15694">
        <f>IFERROR(__xludf.DUMMYFUNCTION("""COMPUTED_VALUE"""),1988.0)</f>
        <v>1988</v>
      </c>
      <c r="E15694">
        <f>IFERROR(__xludf.DUMMYFUNCTION("""COMPUTED_VALUE"""),2.3909954E7)</f>
        <v>23909954</v>
      </c>
    </row>
    <row r="15695">
      <c r="A15695" t="str">
        <f t="shared" si="1"/>
        <v>tza#1989</v>
      </c>
      <c r="B15695" t="str">
        <f>IFERROR(__xludf.DUMMYFUNCTION("""COMPUTED_VALUE"""),"tza")</f>
        <v>tza</v>
      </c>
      <c r="C15695" t="str">
        <f>IFERROR(__xludf.DUMMYFUNCTION("""COMPUTED_VALUE"""),"Tanzania")</f>
        <v>Tanzania</v>
      </c>
      <c r="D15695">
        <f>IFERROR(__xludf.DUMMYFUNCTION("""COMPUTED_VALUE"""),1989.0)</f>
        <v>1989</v>
      </c>
      <c r="E15695">
        <f>IFERROR(__xludf.DUMMYFUNCTION("""COMPUTED_VALUE"""),2.4660575E7)</f>
        <v>24660575</v>
      </c>
    </row>
    <row r="15696">
      <c r="A15696" t="str">
        <f t="shared" si="1"/>
        <v>tza#1990</v>
      </c>
      <c r="B15696" t="str">
        <f>IFERROR(__xludf.DUMMYFUNCTION("""COMPUTED_VALUE"""),"tza")</f>
        <v>tza</v>
      </c>
      <c r="C15696" t="str">
        <f>IFERROR(__xludf.DUMMYFUNCTION("""COMPUTED_VALUE"""),"Tanzania")</f>
        <v>Tanzania</v>
      </c>
      <c r="D15696">
        <f>IFERROR(__xludf.DUMMYFUNCTION("""COMPUTED_VALUE"""),1990.0)</f>
        <v>1990</v>
      </c>
      <c r="E15696">
        <f>IFERROR(__xludf.DUMMYFUNCTION("""COMPUTED_VALUE"""),2.5459604E7)</f>
        <v>25459604</v>
      </c>
    </row>
    <row r="15697">
      <c r="A15697" t="str">
        <f t="shared" si="1"/>
        <v>tza#1991</v>
      </c>
      <c r="B15697" t="str">
        <f>IFERROR(__xludf.DUMMYFUNCTION("""COMPUTED_VALUE"""),"tza")</f>
        <v>tza</v>
      </c>
      <c r="C15697" t="str">
        <f>IFERROR(__xludf.DUMMYFUNCTION("""COMPUTED_VALUE"""),"Tanzania")</f>
        <v>Tanzania</v>
      </c>
      <c r="D15697">
        <f>IFERROR(__xludf.DUMMYFUNCTION("""COMPUTED_VALUE"""),1991.0)</f>
        <v>1991</v>
      </c>
      <c r="E15697">
        <f>IFERROR(__xludf.DUMMYFUNCTION("""COMPUTED_VALUE"""),2.6315013E7)</f>
        <v>26315013</v>
      </c>
    </row>
    <row r="15698">
      <c r="A15698" t="str">
        <f t="shared" si="1"/>
        <v>tza#1992</v>
      </c>
      <c r="B15698" t="str">
        <f>IFERROR(__xludf.DUMMYFUNCTION("""COMPUTED_VALUE"""),"tza")</f>
        <v>tza</v>
      </c>
      <c r="C15698" t="str">
        <f>IFERROR(__xludf.DUMMYFUNCTION("""COMPUTED_VALUE"""),"Tanzania")</f>
        <v>Tanzania</v>
      </c>
      <c r="D15698">
        <f>IFERROR(__xludf.DUMMYFUNCTION("""COMPUTED_VALUE"""),1992.0)</f>
        <v>1992</v>
      </c>
      <c r="E15698">
        <f>IFERROR(__xludf.DUMMYFUNCTION("""COMPUTED_VALUE"""),2.7219619E7)</f>
        <v>27219619</v>
      </c>
    </row>
    <row r="15699">
      <c r="A15699" t="str">
        <f t="shared" si="1"/>
        <v>tza#1993</v>
      </c>
      <c r="B15699" t="str">
        <f>IFERROR(__xludf.DUMMYFUNCTION("""COMPUTED_VALUE"""),"tza")</f>
        <v>tza</v>
      </c>
      <c r="C15699" t="str">
        <f>IFERROR(__xludf.DUMMYFUNCTION("""COMPUTED_VALUE"""),"Tanzania")</f>
        <v>Tanzania</v>
      </c>
      <c r="D15699">
        <f>IFERROR(__xludf.DUMMYFUNCTION("""COMPUTED_VALUE"""),1993.0)</f>
        <v>1993</v>
      </c>
      <c r="E15699">
        <f>IFERROR(__xludf.DUMMYFUNCTION("""COMPUTED_VALUE"""),2.8149328E7)</f>
        <v>28149328</v>
      </c>
    </row>
    <row r="15700">
      <c r="A15700" t="str">
        <f t="shared" si="1"/>
        <v>tza#1994</v>
      </c>
      <c r="B15700" t="str">
        <f>IFERROR(__xludf.DUMMYFUNCTION("""COMPUTED_VALUE"""),"tza")</f>
        <v>tza</v>
      </c>
      <c r="C15700" t="str">
        <f>IFERROR(__xludf.DUMMYFUNCTION("""COMPUTED_VALUE"""),"Tanzania")</f>
        <v>Tanzania</v>
      </c>
      <c r="D15700">
        <f>IFERROR(__xludf.DUMMYFUNCTION("""COMPUTED_VALUE"""),1994.0)</f>
        <v>1994</v>
      </c>
      <c r="E15700">
        <f>IFERROR(__xludf.DUMMYFUNCTION("""COMPUTED_VALUE"""),2.9070615E7)</f>
        <v>29070615</v>
      </c>
    </row>
    <row r="15701">
      <c r="A15701" t="str">
        <f t="shared" si="1"/>
        <v>tza#1995</v>
      </c>
      <c r="B15701" t="str">
        <f>IFERROR(__xludf.DUMMYFUNCTION("""COMPUTED_VALUE"""),"tza")</f>
        <v>tza</v>
      </c>
      <c r="C15701" t="str">
        <f>IFERROR(__xludf.DUMMYFUNCTION("""COMPUTED_VALUE"""),"Tanzania")</f>
        <v>Tanzania</v>
      </c>
      <c r="D15701">
        <f>IFERROR(__xludf.DUMMYFUNCTION("""COMPUTED_VALUE"""),1995.0)</f>
        <v>1995</v>
      </c>
      <c r="E15701">
        <f>IFERROR(__xludf.DUMMYFUNCTION("""COMPUTED_VALUE"""),2.9960776E7)</f>
        <v>29960776</v>
      </c>
    </row>
    <row r="15702">
      <c r="A15702" t="str">
        <f t="shared" si="1"/>
        <v>tza#1996</v>
      </c>
      <c r="B15702" t="str">
        <f>IFERROR(__xludf.DUMMYFUNCTION("""COMPUTED_VALUE"""),"tza")</f>
        <v>tza</v>
      </c>
      <c r="C15702" t="str">
        <f>IFERROR(__xludf.DUMMYFUNCTION("""COMPUTED_VALUE"""),"Tanzania")</f>
        <v>Tanzania</v>
      </c>
      <c r="D15702">
        <f>IFERROR(__xludf.DUMMYFUNCTION("""COMPUTED_VALUE"""),1996.0)</f>
        <v>1996</v>
      </c>
      <c r="E15702">
        <f>IFERROR(__xludf.DUMMYFUNCTION("""COMPUTED_VALUE"""),3.0811854E7)</f>
        <v>30811854</v>
      </c>
    </row>
    <row r="15703">
      <c r="A15703" t="str">
        <f t="shared" si="1"/>
        <v>tza#1997</v>
      </c>
      <c r="B15703" t="str">
        <f>IFERROR(__xludf.DUMMYFUNCTION("""COMPUTED_VALUE"""),"tza")</f>
        <v>tza</v>
      </c>
      <c r="C15703" t="str">
        <f>IFERROR(__xludf.DUMMYFUNCTION("""COMPUTED_VALUE"""),"Tanzania")</f>
        <v>Tanzania</v>
      </c>
      <c r="D15703">
        <f>IFERROR(__xludf.DUMMYFUNCTION("""COMPUTED_VALUE"""),1997.0)</f>
        <v>1997</v>
      </c>
      <c r="E15703">
        <f>IFERROR(__xludf.DUMMYFUNCTION("""COMPUTED_VALUE"""),3.1635251E7)</f>
        <v>31635251</v>
      </c>
    </row>
    <row r="15704">
      <c r="A15704" t="str">
        <f t="shared" si="1"/>
        <v>tza#1998</v>
      </c>
      <c r="B15704" t="str">
        <f>IFERROR(__xludf.DUMMYFUNCTION("""COMPUTED_VALUE"""),"tza")</f>
        <v>tza</v>
      </c>
      <c r="C15704" t="str">
        <f>IFERROR(__xludf.DUMMYFUNCTION("""COMPUTED_VALUE"""),"Tanzania")</f>
        <v>Tanzania</v>
      </c>
      <c r="D15704">
        <f>IFERROR(__xludf.DUMMYFUNCTION("""COMPUTED_VALUE"""),1998.0)</f>
        <v>1998</v>
      </c>
      <c r="E15704">
        <f>IFERROR(__xludf.DUMMYFUNCTION("""COMPUTED_VALUE"""),3.2451713E7)</f>
        <v>32451713</v>
      </c>
    </row>
    <row r="15705">
      <c r="A15705" t="str">
        <f t="shared" si="1"/>
        <v>tza#1999</v>
      </c>
      <c r="B15705" t="str">
        <f>IFERROR(__xludf.DUMMYFUNCTION("""COMPUTED_VALUE"""),"tza")</f>
        <v>tza</v>
      </c>
      <c r="C15705" t="str">
        <f>IFERROR(__xludf.DUMMYFUNCTION("""COMPUTED_VALUE"""),"Tanzania")</f>
        <v>Tanzania</v>
      </c>
      <c r="D15705">
        <f>IFERROR(__xludf.DUMMYFUNCTION("""COMPUTED_VALUE"""),1999.0)</f>
        <v>1999</v>
      </c>
      <c r="E15705">
        <f>IFERROR(__xludf.DUMMYFUNCTION("""COMPUTED_VALUE"""),3.329154E7)</f>
        <v>33291540</v>
      </c>
    </row>
    <row r="15706">
      <c r="A15706" t="str">
        <f t="shared" si="1"/>
        <v>tza#2000</v>
      </c>
      <c r="B15706" t="str">
        <f>IFERROR(__xludf.DUMMYFUNCTION("""COMPUTED_VALUE"""),"tza")</f>
        <v>tza</v>
      </c>
      <c r="C15706" t="str">
        <f>IFERROR(__xludf.DUMMYFUNCTION("""COMPUTED_VALUE"""),"Tanzania")</f>
        <v>Tanzania</v>
      </c>
      <c r="D15706">
        <f>IFERROR(__xludf.DUMMYFUNCTION("""COMPUTED_VALUE"""),2000.0)</f>
        <v>2000</v>
      </c>
      <c r="E15706">
        <f>IFERROR(__xludf.DUMMYFUNCTION("""COMPUTED_VALUE"""),3.4178042E7)</f>
        <v>34178042</v>
      </c>
    </row>
    <row r="15707">
      <c r="A15707" t="str">
        <f t="shared" si="1"/>
        <v>tza#2001</v>
      </c>
      <c r="B15707" t="str">
        <f>IFERROR(__xludf.DUMMYFUNCTION("""COMPUTED_VALUE"""),"tza")</f>
        <v>tza</v>
      </c>
      <c r="C15707" t="str">
        <f>IFERROR(__xludf.DUMMYFUNCTION("""COMPUTED_VALUE"""),"Tanzania")</f>
        <v>Tanzania</v>
      </c>
      <c r="D15707">
        <f>IFERROR(__xludf.DUMMYFUNCTION("""COMPUTED_VALUE"""),2001.0)</f>
        <v>2001</v>
      </c>
      <c r="E15707">
        <f>IFERROR(__xludf.DUMMYFUNCTION("""COMPUTED_VALUE"""),3.5117019E7)</f>
        <v>35117019</v>
      </c>
    </row>
    <row r="15708">
      <c r="A15708" t="str">
        <f t="shared" si="1"/>
        <v>tza#2002</v>
      </c>
      <c r="B15708" t="str">
        <f>IFERROR(__xludf.DUMMYFUNCTION("""COMPUTED_VALUE"""),"tza")</f>
        <v>tza</v>
      </c>
      <c r="C15708" t="str">
        <f>IFERROR(__xludf.DUMMYFUNCTION("""COMPUTED_VALUE"""),"Tanzania")</f>
        <v>Tanzania</v>
      </c>
      <c r="D15708">
        <f>IFERROR(__xludf.DUMMYFUNCTION("""COMPUTED_VALUE"""),2002.0)</f>
        <v>2002</v>
      </c>
      <c r="E15708">
        <f>IFERROR(__xludf.DUMMYFUNCTION("""COMPUTED_VALUE"""),3.6105808E7)</f>
        <v>36105808</v>
      </c>
    </row>
    <row r="15709">
      <c r="A15709" t="str">
        <f t="shared" si="1"/>
        <v>tza#2003</v>
      </c>
      <c r="B15709" t="str">
        <f>IFERROR(__xludf.DUMMYFUNCTION("""COMPUTED_VALUE"""),"tza")</f>
        <v>tza</v>
      </c>
      <c r="C15709" t="str">
        <f>IFERROR(__xludf.DUMMYFUNCTION("""COMPUTED_VALUE"""),"Tanzania")</f>
        <v>Tanzania</v>
      </c>
      <c r="D15709">
        <f>IFERROR(__xludf.DUMMYFUNCTION("""COMPUTED_VALUE"""),2003.0)</f>
        <v>2003</v>
      </c>
      <c r="E15709">
        <f>IFERROR(__xludf.DUMMYFUNCTION("""COMPUTED_VALUE"""),3.7149072E7)</f>
        <v>37149072</v>
      </c>
    </row>
    <row r="15710">
      <c r="A15710" t="str">
        <f t="shared" si="1"/>
        <v>tza#2004</v>
      </c>
      <c r="B15710" t="str">
        <f>IFERROR(__xludf.DUMMYFUNCTION("""COMPUTED_VALUE"""),"tza")</f>
        <v>tza</v>
      </c>
      <c r="C15710" t="str">
        <f>IFERROR(__xludf.DUMMYFUNCTION("""COMPUTED_VALUE"""),"Tanzania")</f>
        <v>Tanzania</v>
      </c>
      <c r="D15710">
        <f>IFERROR(__xludf.DUMMYFUNCTION("""COMPUTED_VALUE"""),2004.0)</f>
        <v>2004</v>
      </c>
      <c r="E15710">
        <f>IFERROR(__xludf.DUMMYFUNCTION("""COMPUTED_VALUE"""),3.8249984E7)</f>
        <v>38249984</v>
      </c>
    </row>
    <row r="15711">
      <c r="A15711" t="str">
        <f t="shared" si="1"/>
        <v>tza#2005</v>
      </c>
      <c r="B15711" t="str">
        <f>IFERROR(__xludf.DUMMYFUNCTION("""COMPUTED_VALUE"""),"tza")</f>
        <v>tza</v>
      </c>
      <c r="C15711" t="str">
        <f>IFERROR(__xludf.DUMMYFUNCTION("""COMPUTED_VALUE"""),"Tanzania")</f>
        <v>Tanzania</v>
      </c>
      <c r="D15711">
        <f>IFERROR(__xludf.DUMMYFUNCTION("""COMPUTED_VALUE"""),2005.0)</f>
        <v>2005</v>
      </c>
      <c r="E15711">
        <f>IFERROR(__xludf.DUMMYFUNCTION("""COMPUTED_VALUE"""),3.9410545E7)</f>
        <v>39410545</v>
      </c>
    </row>
    <row r="15712">
      <c r="A15712" t="str">
        <f t="shared" si="1"/>
        <v>tza#2006</v>
      </c>
      <c r="B15712" t="str">
        <f>IFERROR(__xludf.DUMMYFUNCTION("""COMPUTED_VALUE"""),"tza")</f>
        <v>tza</v>
      </c>
      <c r="C15712" t="str">
        <f>IFERROR(__xludf.DUMMYFUNCTION("""COMPUTED_VALUE"""),"Tanzania")</f>
        <v>Tanzania</v>
      </c>
      <c r="D15712">
        <f>IFERROR(__xludf.DUMMYFUNCTION("""COMPUTED_VALUE"""),2006.0)</f>
        <v>2006</v>
      </c>
      <c r="E15712">
        <f>IFERROR(__xludf.DUMMYFUNCTION("""COMPUTED_VALUE"""),4.0634948E7)</f>
        <v>40634948</v>
      </c>
    </row>
    <row r="15713">
      <c r="A15713" t="str">
        <f t="shared" si="1"/>
        <v>tza#2007</v>
      </c>
      <c r="B15713" t="str">
        <f>IFERROR(__xludf.DUMMYFUNCTION("""COMPUTED_VALUE"""),"tza")</f>
        <v>tza</v>
      </c>
      <c r="C15713" t="str">
        <f>IFERROR(__xludf.DUMMYFUNCTION("""COMPUTED_VALUE"""),"Tanzania")</f>
        <v>Tanzania</v>
      </c>
      <c r="D15713">
        <f>IFERROR(__xludf.DUMMYFUNCTION("""COMPUTED_VALUE"""),2007.0)</f>
        <v>2007</v>
      </c>
      <c r="E15713">
        <f>IFERROR(__xludf.DUMMYFUNCTION("""COMPUTED_VALUE"""),4.1923715E7)</f>
        <v>41923715</v>
      </c>
    </row>
    <row r="15714">
      <c r="A15714" t="str">
        <f t="shared" si="1"/>
        <v>tza#2008</v>
      </c>
      <c r="B15714" t="str">
        <f>IFERROR(__xludf.DUMMYFUNCTION("""COMPUTED_VALUE"""),"tza")</f>
        <v>tza</v>
      </c>
      <c r="C15714" t="str">
        <f>IFERROR(__xludf.DUMMYFUNCTION("""COMPUTED_VALUE"""),"Tanzania")</f>
        <v>Tanzania</v>
      </c>
      <c r="D15714">
        <f>IFERROR(__xludf.DUMMYFUNCTION("""COMPUTED_VALUE"""),2008.0)</f>
        <v>2008</v>
      </c>
      <c r="E15714">
        <f>IFERROR(__xludf.DUMMYFUNCTION("""COMPUTED_VALUE"""),4.3270144E7)</f>
        <v>43270144</v>
      </c>
    </row>
    <row r="15715">
      <c r="A15715" t="str">
        <f t="shared" si="1"/>
        <v>tza#2009</v>
      </c>
      <c r="B15715" t="str">
        <f>IFERROR(__xludf.DUMMYFUNCTION("""COMPUTED_VALUE"""),"tza")</f>
        <v>tza</v>
      </c>
      <c r="C15715" t="str">
        <f>IFERROR(__xludf.DUMMYFUNCTION("""COMPUTED_VALUE"""),"Tanzania")</f>
        <v>Tanzania</v>
      </c>
      <c r="D15715">
        <f>IFERROR(__xludf.DUMMYFUNCTION("""COMPUTED_VALUE"""),2009.0)</f>
        <v>2009</v>
      </c>
      <c r="E15715">
        <f>IFERROR(__xludf.DUMMYFUNCTION("""COMPUTED_VALUE"""),4.4664231E7)</f>
        <v>44664231</v>
      </c>
    </row>
    <row r="15716">
      <c r="A15716" t="str">
        <f t="shared" si="1"/>
        <v>tza#2010</v>
      </c>
      <c r="B15716" t="str">
        <f>IFERROR(__xludf.DUMMYFUNCTION("""COMPUTED_VALUE"""),"tza")</f>
        <v>tza</v>
      </c>
      <c r="C15716" t="str">
        <f>IFERROR(__xludf.DUMMYFUNCTION("""COMPUTED_VALUE"""),"Tanzania")</f>
        <v>Tanzania</v>
      </c>
      <c r="D15716">
        <f>IFERROR(__xludf.DUMMYFUNCTION("""COMPUTED_VALUE"""),2010.0)</f>
        <v>2010</v>
      </c>
      <c r="E15716">
        <f>IFERROR(__xludf.DUMMYFUNCTION("""COMPUTED_VALUE"""),4.6098591E7)</f>
        <v>46098591</v>
      </c>
    </row>
    <row r="15717">
      <c r="A15717" t="str">
        <f t="shared" si="1"/>
        <v>tza#2011</v>
      </c>
      <c r="B15717" t="str">
        <f>IFERROR(__xludf.DUMMYFUNCTION("""COMPUTED_VALUE"""),"tza")</f>
        <v>tza</v>
      </c>
      <c r="C15717" t="str">
        <f>IFERROR(__xludf.DUMMYFUNCTION("""COMPUTED_VALUE"""),"Tanzania")</f>
        <v>Tanzania</v>
      </c>
      <c r="D15717">
        <f>IFERROR(__xludf.DUMMYFUNCTION("""COMPUTED_VALUE"""),2011.0)</f>
        <v>2011</v>
      </c>
      <c r="E15717">
        <f>IFERROR(__xludf.DUMMYFUNCTION("""COMPUTED_VALUE"""),4.7570902E7)</f>
        <v>47570902</v>
      </c>
    </row>
    <row r="15718">
      <c r="A15718" t="str">
        <f t="shared" si="1"/>
        <v>tza#2012</v>
      </c>
      <c r="B15718" t="str">
        <f>IFERROR(__xludf.DUMMYFUNCTION("""COMPUTED_VALUE"""),"tza")</f>
        <v>tza</v>
      </c>
      <c r="C15718" t="str">
        <f>IFERROR(__xludf.DUMMYFUNCTION("""COMPUTED_VALUE"""),"Tanzania")</f>
        <v>Tanzania</v>
      </c>
      <c r="D15718">
        <f>IFERROR(__xludf.DUMMYFUNCTION("""COMPUTED_VALUE"""),2012.0)</f>
        <v>2012</v>
      </c>
      <c r="E15718">
        <f>IFERROR(__xludf.DUMMYFUNCTION("""COMPUTED_VALUE"""),4.9082997E7)</f>
        <v>49082997</v>
      </c>
    </row>
    <row r="15719">
      <c r="A15719" t="str">
        <f t="shared" si="1"/>
        <v>tza#2013</v>
      </c>
      <c r="B15719" t="str">
        <f>IFERROR(__xludf.DUMMYFUNCTION("""COMPUTED_VALUE"""),"tza")</f>
        <v>tza</v>
      </c>
      <c r="C15719" t="str">
        <f>IFERROR(__xludf.DUMMYFUNCTION("""COMPUTED_VALUE"""),"Tanzania")</f>
        <v>Tanzania</v>
      </c>
      <c r="D15719">
        <f>IFERROR(__xludf.DUMMYFUNCTION("""COMPUTED_VALUE"""),2013.0)</f>
        <v>2013</v>
      </c>
      <c r="E15719">
        <f>IFERROR(__xludf.DUMMYFUNCTION("""COMPUTED_VALUE"""),5.0636595E7)</f>
        <v>50636595</v>
      </c>
    </row>
    <row r="15720">
      <c r="A15720" t="str">
        <f t="shared" si="1"/>
        <v>tza#2014</v>
      </c>
      <c r="B15720" t="str">
        <f>IFERROR(__xludf.DUMMYFUNCTION("""COMPUTED_VALUE"""),"tza")</f>
        <v>tza</v>
      </c>
      <c r="C15720" t="str">
        <f>IFERROR(__xludf.DUMMYFUNCTION("""COMPUTED_VALUE"""),"Tanzania")</f>
        <v>Tanzania</v>
      </c>
      <c r="D15720">
        <f>IFERROR(__xludf.DUMMYFUNCTION("""COMPUTED_VALUE"""),2014.0)</f>
        <v>2014</v>
      </c>
      <c r="E15720">
        <f>IFERROR(__xludf.DUMMYFUNCTION("""COMPUTED_VALUE"""),5.2234869E7)</f>
        <v>52234869</v>
      </c>
    </row>
    <row r="15721">
      <c r="A15721" t="str">
        <f t="shared" si="1"/>
        <v>tza#2015</v>
      </c>
      <c r="B15721" t="str">
        <f>IFERROR(__xludf.DUMMYFUNCTION("""COMPUTED_VALUE"""),"tza")</f>
        <v>tza</v>
      </c>
      <c r="C15721" t="str">
        <f>IFERROR(__xludf.DUMMYFUNCTION("""COMPUTED_VALUE"""),"Tanzania")</f>
        <v>Tanzania</v>
      </c>
      <c r="D15721">
        <f>IFERROR(__xludf.DUMMYFUNCTION("""COMPUTED_VALUE"""),2015.0)</f>
        <v>2015</v>
      </c>
      <c r="E15721">
        <f>IFERROR(__xludf.DUMMYFUNCTION("""COMPUTED_VALUE"""),5.3879957E7)</f>
        <v>53879957</v>
      </c>
    </row>
    <row r="15722">
      <c r="A15722" t="str">
        <f t="shared" si="1"/>
        <v>tza#2016</v>
      </c>
      <c r="B15722" t="str">
        <f>IFERROR(__xludf.DUMMYFUNCTION("""COMPUTED_VALUE"""),"tza")</f>
        <v>tza</v>
      </c>
      <c r="C15722" t="str">
        <f>IFERROR(__xludf.DUMMYFUNCTION("""COMPUTED_VALUE"""),"Tanzania")</f>
        <v>Tanzania</v>
      </c>
      <c r="D15722">
        <f>IFERROR(__xludf.DUMMYFUNCTION("""COMPUTED_VALUE"""),2016.0)</f>
        <v>2016</v>
      </c>
      <c r="E15722">
        <f>IFERROR(__xludf.DUMMYFUNCTION("""COMPUTED_VALUE"""),5.5572201E7)</f>
        <v>55572201</v>
      </c>
    </row>
    <row r="15723">
      <c r="A15723" t="str">
        <f t="shared" si="1"/>
        <v>tza#2017</v>
      </c>
      <c r="B15723" t="str">
        <f>IFERROR(__xludf.DUMMYFUNCTION("""COMPUTED_VALUE"""),"tza")</f>
        <v>tza</v>
      </c>
      <c r="C15723" t="str">
        <f>IFERROR(__xludf.DUMMYFUNCTION("""COMPUTED_VALUE"""),"Tanzania")</f>
        <v>Tanzania</v>
      </c>
      <c r="D15723">
        <f>IFERROR(__xludf.DUMMYFUNCTION("""COMPUTED_VALUE"""),2017.0)</f>
        <v>2017</v>
      </c>
      <c r="E15723">
        <f>IFERROR(__xludf.DUMMYFUNCTION("""COMPUTED_VALUE"""),5.7310019E7)</f>
        <v>57310019</v>
      </c>
    </row>
    <row r="15724">
      <c r="A15724" t="str">
        <f t="shared" si="1"/>
        <v>tza#2018</v>
      </c>
      <c r="B15724" t="str">
        <f>IFERROR(__xludf.DUMMYFUNCTION("""COMPUTED_VALUE"""),"tza")</f>
        <v>tza</v>
      </c>
      <c r="C15724" t="str">
        <f>IFERROR(__xludf.DUMMYFUNCTION("""COMPUTED_VALUE"""),"Tanzania")</f>
        <v>Tanzania</v>
      </c>
      <c r="D15724">
        <f>IFERROR(__xludf.DUMMYFUNCTION("""COMPUTED_VALUE"""),2018.0)</f>
        <v>2018</v>
      </c>
      <c r="E15724">
        <f>IFERROR(__xludf.DUMMYFUNCTION("""COMPUTED_VALUE"""),5.9091392E7)</f>
        <v>59091392</v>
      </c>
    </row>
    <row r="15725">
      <c r="A15725" t="str">
        <f t="shared" si="1"/>
        <v>tza#2019</v>
      </c>
      <c r="B15725" t="str">
        <f>IFERROR(__xludf.DUMMYFUNCTION("""COMPUTED_VALUE"""),"tza")</f>
        <v>tza</v>
      </c>
      <c r="C15725" t="str">
        <f>IFERROR(__xludf.DUMMYFUNCTION("""COMPUTED_VALUE"""),"Tanzania")</f>
        <v>Tanzania</v>
      </c>
      <c r="D15725">
        <f>IFERROR(__xludf.DUMMYFUNCTION("""COMPUTED_VALUE"""),2019.0)</f>
        <v>2019</v>
      </c>
      <c r="E15725">
        <f>IFERROR(__xludf.DUMMYFUNCTION("""COMPUTED_VALUE"""),6.0913557E7)</f>
        <v>60913557</v>
      </c>
    </row>
    <row r="15726">
      <c r="A15726" t="str">
        <f t="shared" si="1"/>
        <v>tza#2020</v>
      </c>
      <c r="B15726" t="str">
        <f>IFERROR(__xludf.DUMMYFUNCTION("""COMPUTED_VALUE"""),"tza")</f>
        <v>tza</v>
      </c>
      <c r="C15726" t="str">
        <f>IFERROR(__xludf.DUMMYFUNCTION("""COMPUTED_VALUE"""),"Tanzania")</f>
        <v>Tanzania</v>
      </c>
      <c r="D15726">
        <f>IFERROR(__xludf.DUMMYFUNCTION("""COMPUTED_VALUE"""),2020.0)</f>
        <v>2020</v>
      </c>
      <c r="E15726">
        <f>IFERROR(__xludf.DUMMYFUNCTION("""COMPUTED_VALUE"""),6.2774619E7)</f>
        <v>62774619</v>
      </c>
    </row>
    <row r="15727">
      <c r="A15727" t="str">
        <f t="shared" si="1"/>
        <v>tza#2021</v>
      </c>
      <c r="B15727" t="str">
        <f>IFERROR(__xludf.DUMMYFUNCTION("""COMPUTED_VALUE"""),"tza")</f>
        <v>tza</v>
      </c>
      <c r="C15727" t="str">
        <f>IFERROR(__xludf.DUMMYFUNCTION("""COMPUTED_VALUE"""),"Tanzania")</f>
        <v>Tanzania</v>
      </c>
      <c r="D15727">
        <f>IFERROR(__xludf.DUMMYFUNCTION("""COMPUTED_VALUE"""),2021.0)</f>
        <v>2021</v>
      </c>
      <c r="E15727">
        <f>IFERROR(__xludf.DUMMYFUNCTION("""COMPUTED_VALUE"""),6.4673854E7)</f>
        <v>64673854</v>
      </c>
    </row>
    <row r="15728">
      <c r="A15728" t="str">
        <f t="shared" si="1"/>
        <v>tza#2022</v>
      </c>
      <c r="B15728" t="str">
        <f>IFERROR(__xludf.DUMMYFUNCTION("""COMPUTED_VALUE"""),"tza")</f>
        <v>tza</v>
      </c>
      <c r="C15728" t="str">
        <f>IFERROR(__xludf.DUMMYFUNCTION("""COMPUTED_VALUE"""),"Tanzania")</f>
        <v>Tanzania</v>
      </c>
      <c r="D15728">
        <f>IFERROR(__xludf.DUMMYFUNCTION("""COMPUTED_VALUE"""),2022.0)</f>
        <v>2022</v>
      </c>
      <c r="E15728">
        <f>IFERROR(__xludf.DUMMYFUNCTION("""COMPUTED_VALUE"""),6.6612147E7)</f>
        <v>66612147</v>
      </c>
    </row>
    <row r="15729">
      <c r="A15729" t="str">
        <f t="shared" si="1"/>
        <v>tza#2023</v>
      </c>
      <c r="B15729" t="str">
        <f>IFERROR(__xludf.DUMMYFUNCTION("""COMPUTED_VALUE"""),"tza")</f>
        <v>tza</v>
      </c>
      <c r="C15729" t="str">
        <f>IFERROR(__xludf.DUMMYFUNCTION("""COMPUTED_VALUE"""),"Tanzania")</f>
        <v>Tanzania</v>
      </c>
      <c r="D15729">
        <f>IFERROR(__xludf.DUMMYFUNCTION("""COMPUTED_VALUE"""),2023.0)</f>
        <v>2023</v>
      </c>
      <c r="E15729">
        <f>IFERROR(__xludf.DUMMYFUNCTION("""COMPUTED_VALUE"""),6.8591196E7)</f>
        <v>68591196</v>
      </c>
    </row>
    <row r="15730">
      <c r="A15730" t="str">
        <f t="shared" si="1"/>
        <v>tza#2024</v>
      </c>
      <c r="B15730" t="str">
        <f>IFERROR(__xludf.DUMMYFUNCTION("""COMPUTED_VALUE"""),"tza")</f>
        <v>tza</v>
      </c>
      <c r="C15730" t="str">
        <f>IFERROR(__xludf.DUMMYFUNCTION("""COMPUTED_VALUE"""),"Tanzania")</f>
        <v>Tanzania</v>
      </c>
      <c r="D15730">
        <f>IFERROR(__xludf.DUMMYFUNCTION("""COMPUTED_VALUE"""),2024.0)</f>
        <v>2024</v>
      </c>
      <c r="E15730">
        <f>IFERROR(__xludf.DUMMYFUNCTION("""COMPUTED_VALUE"""),7.0613532E7)</f>
        <v>70613532</v>
      </c>
    </row>
    <row r="15731">
      <c r="A15731" t="str">
        <f t="shared" si="1"/>
        <v>tza#2025</v>
      </c>
      <c r="B15731" t="str">
        <f>IFERROR(__xludf.DUMMYFUNCTION("""COMPUTED_VALUE"""),"tza")</f>
        <v>tza</v>
      </c>
      <c r="C15731" t="str">
        <f>IFERROR(__xludf.DUMMYFUNCTION("""COMPUTED_VALUE"""),"Tanzania")</f>
        <v>Tanzania</v>
      </c>
      <c r="D15731">
        <f>IFERROR(__xludf.DUMMYFUNCTION("""COMPUTED_VALUE"""),2025.0)</f>
        <v>2025</v>
      </c>
      <c r="E15731">
        <f>IFERROR(__xludf.DUMMYFUNCTION("""COMPUTED_VALUE"""),7.268107E7)</f>
        <v>72681070</v>
      </c>
    </row>
    <row r="15732">
      <c r="A15732" t="str">
        <f t="shared" si="1"/>
        <v>tza#2026</v>
      </c>
      <c r="B15732" t="str">
        <f>IFERROR(__xludf.DUMMYFUNCTION("""COMPUTED_VALUE"""),"tza")</f>
        <v>tza</v>
      </c>
      <c r="C15732" t="str">
        <f>IFERROR(__xludf.DUMMYFUNCTION("""COMPUTED_VALUE"""),"Tanzania")</f>
        <v>Tanzania</v>
      </c>
      <c r="D15732">
        <f>IFERROR(__xludf.DUMMYFUNCTION("""COMPUTED_VALUE"""),2026.0)</f>
        <v>2026</v>
      </c>
      <c r="E15732">
        <f>IFERROR(__xludf.DUMMYFUNCTION("""COMPUTED_VALUE"""),7.4794078E7)</f>
        <v>74794078</v>
      </c>
    </row>
    <row r="15733">
      <c r="A15733" t="str">
        <f t="shared" si="1"/>
        <v>tza#2027</v>
      </c>
      <c r="B15733" t="str">
        <f>IFERROR(__xludf.DUMMYFUNCTION("""COMPUTED_VALUE"""),"tza")</f>
        <v>tza</v>
      </c>
      <c r="C15733" t="str">
        <f>IFERROR(__xludf.DUMMYFUNCTION("""COMPUTED_VALUE"""),"Tanzania")</f>
        <v>Tanzania</v>
      </c>
      <c r="D15733">
        <f>IFERROR(__xludf.DUMMYFUNCTION("""COMPUTED_VALUE"""),2027.0)</f>
        <v>2027</v>
      </c>
      <c r="E15733">
        <f>IFERROR(__xludf.DUMMYFUNCTION("""COMPUTED_VALUE"""),7.6952218E7)</f>
        <v>76952218</v>
      </c>
    </row>
    <row r="15734">
      <c r="A15734" t="str">
        <f t="shared" si="1"/>
        <v>tza#2028</v>
      </c>
      <c r="B15734" t="str">
        <f>IFERROR(__xludf.DUMMYFUNCTION("""COMPUTED_VALUE"""),"tza")</f>
        <v>tza</v>
      </c>
      <c r="C15734" t="str">
        <f>IFERROR(__xludf.DUMMYFUNCTION("""COMPUTED_VALUE"""),"Tanzania")</f>
        <v>Tanzania</v>
      </c>
      <c r="D15734">
        <f>IFERROR(__xludf.DUMMYFUNCTION("""COMPUTED_VALUE"""),2028.0)</f>
        <v>2028</v>
      </c>
      <c r="E15734">
        <f>IFERROR(__xludf.DUMMYFUNCTION("""COMPUTED_VALUE"""),7.9155997E7)</f>
        <v>79155997</v>
      </c>
    </row>
    <row r="15735">
      <c r="A15735" t="str">
        <f t="shared" si="1"/>
        <v>tza#2029</v>
      </c>
      <c r="B15735" t="str">
        <f>IFERROR(__xludf.DUMMYFUNCTION("""COMPUTED_VALUE"""),"tza")</f>
        <v>tza</v>
      </c>
      <c r="C15735" t="str">
        <f>IFERROR(__xludf.DUMMYFUNCTION("""COMPUTED_VALUE"""),"Tanzania")</f>
        <v>Tanzania</v>
      </c>
      <c r="D15735">
        <f>IFERROR(__xludf.DUMMYFUNCTION("""COMPUTED_VALUE"""),2029.0)</f>
        <v>2029</v>
      </c>
      <c r="E15735">
        <f>IFERROR(__xludf.DUMMYFUNCTION("""COMPUTED_VALUE"""),8.140588E7)</f>
        <v>81405880</v>
      </c>
    </row>
    <row r="15736">
      <c r="A15736" t="str">
        <f t="shared" si="1"/>
        <v>tza#2030</v>
      </c>
      <c r="B15736" t="str">
        <f>IFERROR(__xludf.DUMMYFUNCTION("""COMPUTED_VALUE"""),"tza")</f>
        <v>tza</v>
      </c>
      <c r="C15736" t="str">
        <f>IFERROR(__xludf.DUMMYFUNCTION("""COMPUTED_VALUE"""),"Tanzania")</f>
        <v>Tanzania</v>
      </c>
      <c r="D15736">
        <f>IFERROR(__xludf.DUMMYFUNCTION("""COMPUTED_VALUE"""),2030.0)</f>
        <v>2030</v>
      </c>
      <c r="E15736">
        <f>IFERROR(__xludf.DUMMYFUNCTION("""COMPUTED_VALUE"""),8.3702053E7)</f>
        <v>83702053</v>
      </c>
    </row>
    <row r="15737">
      <c r="A15737" t="str">
        <f t="shared" si="1"/>
        <v>tza#2031</v>
      </c>
      <c r="B15737" t="str">
        <f>IFERROR(__xludf.DUMMYFUNCTION("""COMPUTED_VALUE"""),"tza")</f>
        <v>tza</v>
      </c>
      <c r="C15737" t="str">
        <f>IFERROR(__xludf.DUMMYFUNCTION("""COMPUTED_VALUE"""),"Tanzania")</f>
        <v>Tanzania</v>
      </c>
      <c r="D15737">
        <f>IFERROR(__xludf.DUMMYFUNCTION("""COMPUTED_VALUE"""),2031.0)</f>
        <v>2031</v>
      </c>
      <c r="E15737">
        <f>IFERROR(__xludf.DUMMYFUNCTION("""COMPUTED_VALUE"""),8.6044557E7)</f>
        <v>86044557</v>
      </c>
    </row>
    <row r="15738">
      <c r="A15738" t="str">
        <f t="shared" si="1"/>
        <v>tza#2032</v>
      </c>
      <c r="B15738" t="str">
        <f>IFERROR(__xludf.DUMMYFUNCTION("""COMPUTED_VALUE"""),"tza")</f>
        <v>tza</v>
      </c>
      <c r="C15738" t="str">
        <f>IFERROR(__xludf.DUMMYFUNCTION("""COMPUTED_VALUE"""),"Tanzania")</f>
        <v>Tanzania</v>
      </c>
      <c r="D15738">
        <f>IFERROR(__xludf.DUMMYFUNCTION("""COMPUTED_VALUE"""),2032.0)</f>
        <v>2032</v>
      </c>
      <c r="E15738">
        <f>IFERROR(__xludf.DUMMYFUNCTION("""COMPUTED_VALUE"""),8.8432938E7)</f>
        <v>88432938</v>
      </c>
    </row>
    <row r="15739">
      <c r="A15739" t="str">
        <f t="shared" si="1"/>
        <v>tza#2033</v>
      </c>
      <c r="B15739" t="str">
        <f>IFERROR(__xludf.DUMMYFUNCTION("""COMPUTED_VALUE"""),"tza")</f>
        <v>tza</v>
      </c>
      <c r="C15739" t="str">
        <f>IFERROR(__xludf.DUMMYFUNCTION("""COMPUTED_VALUE"""),"Tanzania")</f>
        <v>Tanzania</v>
      </c>
      <c r="D15739">
        <f>IFERROR(__xludf.DUMMYFUNCTION("""COMPUTED_VALUE"""),2033.0)</f>
        <v>2033</v>
      </c>
      <c r="E15739">
        <f>IFERROR(__xludf.DUMMYFUNCTION("""COMPUTED_VALUE"""),9.0866132E7)</f>
        <v>90866132</v>
      </c>
    </row>
    <row r="15740">
      <c r="A15740" t="str">
        <f t="shared" si="1"/>
        <v>tza#2034</v>
      </c>
      <c r="B15740" t="str">
        <f>IFERROR(__xludf.DUMMYFUNCTION("""COMPUTED_VALUE"""),"tza")</f>
        <v>tza</v>
      </c>
      <c r="C15740" t="str">
        <f>IFERROR(__xludf.DUMMYFUNCTION("""COMPUTED_VALUE"""),"Tanzania")</f>
        <v>Tanzania</v>
      </c>
      <c r="D15740">
        <f>IFERROR(__xludf.DUMMYFUNCTION("""COMPUTED_VALUE"""),2034.0)</f>
        <v>2034</v>
      </c>
      <c r="E15740">
        <f>IFERROR(__xludf.DUMMYFUNCTION("""COMPUTED_VALUE"""),9.3342754E7)</f>
        <v>93342754</v>
      </c>
    </row>
    <row r="15741">
      <c r="A15741" t="str">
        <f t="shared" si="1"/>
        <v>tza#2035</v>
      </c>
      <c r="B15741" t="str">
        <f>IFERROR(__xludf.DUMMYFUNCTION("""COMPUTED_VALUE"""),"tza")</f>
        <v>tza</v>
      </c>
      <c r="C15741" t="str">
        <f>IFERROR(__xludf.DUMMYFUNCTION("""COMPUTED_VALUE"""),"Tanzania")</f>
        <v>Tanzania</v>
      </c>
      <c r="D15741">
        <f>IFERROR(__xludf.DUMMYFUNCTION("""COMPUTED_VALUE"""),2035.0)</f>
        <v>2035</v>
      </c>
      <c r="E15741">
        <f>IFERROR(__xludf.DUMMYFUNCTION("""COMPUTED_VALUE"""),9.5861531E7)</f>
        <v>95861531</v>
      </c>
    </row>
    <row r="15742">
      <c r="A15742" t="str">
        <f t="shared" si="1"/>
        <v>tza#2036</v>
      </c>
      <c r="B15742" t="str">
        <f>IFERROR(__xludf.DUMMYFUNCTION("""COMPUTED_VALUE"""),"tza")</f>
        <v>tza</v>
      </c>
      <c r="C15742" t="str">
        <f>IFERROR(__xludf.DUMMYFUNCTION("""COMPUTED_VALUE"""),"Tanzania")</f>
        <v>Tanzania</v>
      </c>
      <c r="D15742">
        <f>IFERROR(__xludf.DUMMYFUNCTION("""COMPUTED_VALUE"""),2036.0)</f>
        <v>2036</v>
      </c>
      <c r="E15742">
        <f>IFERROR(__xludf.DUMMYFUNCTION("""COMPUTED_VALUE"""),9.8421696E7)</f>
        <v>98421696</v>
      </c>
    </row>
    <row r="15743">
      <c r="A15743" t="str">
        <f t="shared" si="1"/>
        <v>tza#2037</v>
      </c>
      <c r="B15743" t="str">
        <f>IFERROR(__xludf.DUMMYFUNCTION("""COMPUTED_VALUE"""),"tza")</f>
        <v>tza</v>
      </c>
      <c r="C15743" t="str">
        <f>IFERROR(__xludf.DUMMYFUNCTION("""COMPUTED_VALUE"""),"Tanzania")</f>
        <v>Tanzania</v>
      </c>
      <c r="D15743">
        <f>IFERROR(__xludf.DUMMYFUNCTION("""COMPUTED_VALUE"""),2037.0)</f>
        <v>2037</v>
      </c>
      <c r="E15743">
        <f>IFERROR(__xludf.DUMMYFUNCTION("""COMPUTED_VALUE"""),1.01022629E8)</f>
        <v>101022629</v>
      </c>
    </row>
    <row r="15744">
      <c r="A15744" t="str">
        <f t="shared" si="1"/>
        <v>tza#2038</v>
      </c>
      <c r="B15744" t="str">
        <f>IFERROR(__xludf.DUMMYFUNCTION("""COMPUTED_VALUE"""),"tza")</f>
        <v>tza</v>
      </c>
      <c r="C15744" t="str">
        <f>IFERROR(__xludf.DUMMYFUNCTION("""COMPUTED_VALUE"""),"Tanzania")</f>
        <v>Tanzania</v>
      </c>
      <c r="D15744">
        <f>IFERROR(__xludf.DUMMYFUNCTION("""COMPUTED_VALUE"""),2038.0)</f>
        <v>2038</v>
      </c>
      <c r="E15744">
        <f>IFERROR(__xludf.DUMMYFUNCTION("""COMPUTED_VALUE"""),1.03663322E8)</f>
        <v>103663322</v>
      </c>
    </row>
    <row r="15745">
      <c r="A15745" t="str">
        <f t="shared" si="1"/>
        <v>tza#2039</v>
      </c>
      <c r="B15745" t="str">
        <f>IFERROR(__xludf.DUMMYFUNCTION("""COMPUTED_VALUE"""),"tza")</f>
        <v>tza</v>
      </c>
      <c r="C15745" t="str">
        <f>IFERROR(__xludf.DUMMYFUNCTION("""COMPUTED_VALUE"""),"Tanzania")</f>
        <v>Tanzania</v>
      </c>
      <c r="D15745">
        <f>IFERROR(__xludf.DUMMYFUNCTION("""COMPUTED_VALUE"""),2039.0)</f>
        <v>2039</v>
      </c>
      <c r="E15745">
        <f>IFERROR(__xludf.DUMMYFUNCTION("""COMPUTED_VALUE"""),1.06342632E8)</f>
        <v>106342632</v>
      </c>
    </row>
    <row r="15746">
      <c r="A15746" t="str">
        <f t="shared" si="1"/>
        <v>tza#2040</v>
      </c>
      <c r="B15746" t="str">
        <f>IFERROR(__xludf.DUMMYFUNCTION("""COMPUTED_VALUE"""),"tza")</f>
        <v>tza</v>
      </c>
      <c r="C15746" t="str">
        <f>IFERROR(__xludf.DUMMYFUNCTION("""COMPUTED_VALUE"""),"Tanzania")</f>
        <v>Tanzania</v>
      </c>
      <c r="D15746">
        <f>IFERROR(__xludf.DUMMYFUNCTION("""COMPUTED_VALUE"""),2040.0)</f>
        <v>2040</v>
      </c>
      <c r="E15746">
        <f>IFERROR(__xludf.DUMMYFUNCTION("""COMPUTED_VALUE"""),1.09059518E8)</f>
        <v>109059518</v>
      </c>
    </row>
    <row r="15747">
      <c r="A15747" t="str">
        <f t="shared" si="1"/>
        <v>tha#1950</v>
      </c>
      <c r="B15747" t="str">
        <f>IFERROR(__xludf.DUMMYFUNCTION("""COMPUTED_VALUE"""),"tha")</f>
        <v>tha</v>
      </c>
      <c r="C15747" t="str">
        <f>IFERROR(__xludf.DUMMYFUNCTION("""COMPUTED_VALUE"""),"Thailand")</f>
        <v>Thailand</v>
      </c>
      <c r="D15747">
        <f>IFERROR(__xludf.DUMMYFUNCTION("""COMPUTED_VALUE"""),1950.0)</f>
        <v>1950</v>
      </c>
      <c r="E15747">
        <f>IFERROR(__xludf.DUMMYFUNCTION("""COMPUTED_VALUE"""),2.071036E7)</f>
        <v>20710360</v>
      </c>
    </row>
    <row r="15748">
      <c r="A15748" t="str">
        <f t="shared" si="1"/>
        <v>tha#1951</v>
      </c>
      <c r="B15748" t="str">
        <f>IFERROR(__xludf.DUMMYFUNCTION("""COMPUTED_VALUE"""),"tha")</f>
        <v>tha</v>
      </c>
      <c r="C15748" t="str">
        <f>IFERROR(__xludf.DUMMYFUNCTION("""COMPUTED_VALUE"""),"Thailand")</f>
        <v>Thailand</v>
      </c>
      <c r="D15748">
        <f>IFERROR(__xludf.DUMMYFUNCTION("""COMPUTED_VALUE"""),1951.0)</f>
        <v>1951</v>
      </c>
      <c r="E15748">
        <f>IFERROR(__xludf.DUMMYFUNCTION("""COMPUTED_VALUE"""),2.1263202E7)</f>
        <v>21263202</v>
      </c>
    </row>
    <row r="15749">
      <c r="A15749" t="str">
        <f t="shared" si="1"/>
        <v>tha#1952</v>
      </c>
      <c r="B15749" t="str">
        <f>IFERROR(__xludf.DUMMYFUNCTION("""COMPUTED_VALUE"""),"tha")</f>
        <v>tha</v>
      </c>
      <c r="C15749" t="str">
        <f>IFERROR(__xludf.DUMMYFUNCTION("""COMPUTED_VALUE"""),"Thailand")</f>
        <v>Thailand</v>
      </c>
      <c r="D15749">
        <f>IFERROR(__xludf.DUMMYFUNCTION("""COMPUTED_VALUE"""),1952.0)</f>
        <v>1952</v>
      </c>
      <c r="E15749">
        <f>IFERROR(__xludf.DUMMYFUNCTION("""COMPUTED_VALUE"""),2.1837985E7)</f>
        <v>21837985</v>
      </c>
    </row>
    <row r="15750">
      <c r="A15750" t="str">
        <f t="shared" si="1"/>
        <v>tha#1953</v>
      </c>
      <c r="B15750" t="str">
        <f>IFERROR(__xludf.DUMMYFUNCTION("""COMPUTED_VALUE"""),"tha")</f>
        <v>tha</v>
      </c>
      <c r="C15750" t="str">
        <f>IFERROR(__xludf.DUMMYFUNCTION("""COMPUTED_VALUE"""),"Thailand")</f>
        <v>Thailand</v>
      </c>
      <c r="D15750">
        <f>IFERROR(__xludf.DUMMYFUNCTION("""COMPUTED_VALUE"""),1953.0)</f>
        <v>1953</v>
      </c>
      <c r="E15750">
        <f>IFERROR(__xludf.DUMMYFUNCTION("""COMPUTED_VALUE"""),2.2436533E7)</f>
        <v>22436533</v>
      </c>
    </row>
    <row r="15751">
      <c r="A15751" t="str">
        <f t="shared" si="1"/>
        <v>tha#1954</v>
      </c>
      <c r="B15751" t="str">
        <f>IFERROR(__xludf.DUMMYFUNCTION("""COMPUTED_VALUE"""),"tha")</f>
        <v>tha</v>
      </c>
      <c r="C15751" t="str">
        <f>IFERROR(__xludf.DUMMYFUNCTION("""COMPUTED_VALUE"""),"Thailand")</f>
        <v>Thailand</v>
      </c>
      <c r="D15751">
        <f>IFERROR(__xludf.DUMMYFUNCTION("""COMPUTED_VALUE"""),1954.0)</f>
        <v>1954</v>
      </c>
      <c r="E15751">
        <f>IFERROR(__xludf.DUMMYFUNCTION("""COMPUTED_VALUE"""),2.306043E7)</f>
        <v>23060430</v>
      </c>
    </row>
    <row r="15752">
      <c r="A15752" t="str">
        <f t="shared" si="1"/>
        <v>tha#1955</v>
      </c>
      <c r="B15752" t="str">
        <f>IFERROR(__xludf.DUMMYFUNCTION("""COMPUTED_VALUE"""),"tha")</f>
        <v>tha</v>
      </c>
      <c r="C15752" t="str">
        <f>IFERROR(__xludf.DUMMYFUNCTION("""COMPUTED_VALUE"""),"Thailand")</f>
        <v>Thailand</v>
      </c>
      <c r="D15752">
        <f>IFERROR(__xludf.DUMMYFUNCTION("""COMPUTED_VALUE"""),1955.0)</f>
        <v>1955</v>
      </c>
      <c r="E15752">
        <f>IFERROR(__xludf.DUMMYFUNCTION("""COMPUTED_VALUE"""),2.3711046E7)</f>
        <v>23711046</v>
      </c>
    </row>
    <row r="15753">
      <c r="A15753" t="str">
        <f t="shared" si="1"/>
        <v>tha#1956</v>
      </c>
      <c r="B15753" t="str">
        <f>IFERROR(__xludf.DUMMYFUNCTION("""COMPUTED_VALUE"""),"tha")</f>
        <v>tha</v>
      </c>
      <c r="C15753" t="str">
        <f>IFERROR(__xludf.DUMMYFUNCTION("""COMPUTED_VALUE"""),"Thailand")</f>
        <v>Thailand</v>
      </c>
      <c r="D15753">
        <f>IFERROR(__xludf.DUMMYFUNCTION("""COMPUTED_VALUE"""),1956.0)</f>
        <v>1956</v>
      </c>
      <c r="E15753">
        <f>IFERROR(__xludf.DUMMYFUNCTION("""COMPUTED_VALUE"""),2.4389519E7)</f>
        <v>24389519</v>
      </c>
    </row>
    <row r="15754">
      <c r="A15754" t="str">
        <f t="shared" si="1"/>
        <v>tha#1957</v>
      </c>
      <c r="B15754" t="str">
        <f>IFERROR(__xludf.DUMMYFUNCTION("""COMPUTED_VALUE"""),"tha")</f>
        <v>tha</v>
      </c>
      <c r="C15754" t="str">
        <f>IFERROR(__xludf.DUMMYFUNCTION("""COMPUTED_VALUE"""),"Thailand")</f>
        <v>Thailand</v>
      </c>
      <c r="D15754">
        <f>IFERROR(__xludf.DUMMYFUNCTION("""COMPUTED_VALUE"""),1957.0)</f>
        <v>1957</v>
      </c>
      <c r="E15754">
        <f>IFERROR(__xludf.DUMMYFUNCTION("""COMPUTED_VALUE"""),2.5096792E7)</f>
        <v>25096792</v>
      </c>
    </row>
    <row r="15755">
      <c r="A15755" t="str">
        <f t="shared" si="1"/>
        <v>tha#1958</v>
      </c>
      <c r="B15755" t="str">
        <f>IFERROR(__xludf.DUMMYFUNCTION("""COMPUTED_VALUE"""),"tha")</f>
        <v>tha</v>
      </c>
      <c r="C15755" t="str">
        <f>IFERROR(__xludf.DUMMYFUNCTION("""COMPUTED_VALUE"""),"Thailand")</f>
        <v>Thailand</v>
      </c>
      <c r="D15755">
        <f>IFERROR(__xludf.DUMMYFUNCTION("""COMPUTED_VALUE"""),1958.0)</f>
        <v>1958</v>
      </c>
      <c r="E15755">
        <f>IFERROR(__xludf.DUMMYFUNCTION("""COMPUTED_VALUE"""),2.5833553E7)</f>
        <v>25833553</v>
      </c>
    </row>
    <row r="15756">
      <c r="A15756" t="str">
        <f t="shared" si="1"/>
        <v>tha#1959</v>
      </c>
      <c r="B15756" t="str">
        <f>IFERROR(__xludf.DUMMYFUNCTION("""COMPUTED_VALUE"""),"tha")</f>
        <v>tha</v>
      </c>
      <c r="C15756" t="str">
        <f>IFERROR(__xludf.DUMMYFUNCTION("""COMPUTED_VALUE"""),"Thailand")</f>
        <v>Thailand</v>
      </c>
      <c r="D15756">
        <f>IFERROR(__xludf.DUMMYFUNCTION("""COMPUTED_VALUE"""),1959.0)</f>
        <v>1959</v>
      </c>
      <c r="E15756">
        <f>IFERROR(__xludf.DUMMYFUNCTION("""COMPUTED_VALUE"""),2.6600275E7)</f>
        <v>26600275</v>
      </c>
    </row>
    <row r="15757">
      <c r="A15757" t="str">
        <f t="shared" si="1"/>
        <v>tha#1960</v>
      </c>
      <c r="B15757" t="str">
        <f>IFERROR(__xludf.DUMMYFUNCTION("""COMPUTED_VALUE"""),"tha")</f>
        <v>tha</v>
      </c>
      <c r="C15757" t="str">
        <f>IFERROR(__xludf.DUMMYFUNCTION("""COMPUTED_VALUE"""),"Thailand")</f>
        <v>Thailand</v>
      </c>
      <c r="D15757">
        <f>IFERROR(__xludf.DUMMYFUNCTION("""COMPUTED_VALUE"""),1960.0)</f>
        <v>1960</v>
      </c>
      <c r="E15757">
        <f>IFERROR(__xludf.DUMMYFUNCTION("""COMPUTED_VALUE"""),2.7397175E7)</f>
        <v>27397175</v>
      </c>
    </row>
    <row r="15758">
      <c r="A15758" t="str">
        <f t="shared" si="1"/>
        <v>tha#1961</v>
      </c>
      <c r="B15758" t="str">
        <f>IFERROR(__xludf.DUMMYFUNCTION("""COMPUTED_VALUE"""),"tha")</f>
        <v>tha</v>
      </c>
      <c r="C15758" t="str">
        <f>IFERROR(__xludf.DUMMYFUNCTION("""COMPUTED_VALUE"""),"Thailand")</f>
        <v>Thailand</v>
      </c>
      <c r="D15758">
        <f>IFERROR(__xludf.DUMMYFUNCTION("""COMPUTED_VALUE"""),1961.0)</f>
        <v>1961</v>
      </c>
      <c r="E15758">
        <f>IFERROR(__xludf.DUMMYFUNCTION("""COMPUTED_VALUE"""),2.8224204E7)</f>
        <v>28224204</v>
      </c>
    </row>
    <row r="15759">
      <c r="A15759" t="str">
        <f t="shared" si="1"/>
        <v>tha#1962</v>
      </c>
      <c r="B15759" t="str">
        <f>IFERROR(__xludf.DUMMYFUNCTION("""COMPUTED_VALUE"""),"tha")</f>
        <v>tha</v>
      </c>
      <c r="C15759" t="str">
        <f>IFERROR(__xludf.DUMMYFUNCTION("""COMPUTED_VALUE"""),"Thailand")</f>
        <v>Thailand</v>
      </c>
      <c r="D15759">
        <f>IFERROR(__xludf.DUMMYFUNCTION("""COMPUTED_VALUE"""),1962.0)</f>
        <v>1962</v>
      </c>
      <c r="E15759">
        <f>IFERROR(__xludf.DUMMYFUNCTION("""COMPUTED_VALUE"""),2.9081034E7)</f>
        <v>29081034</v>
      </c>
    </row>
    <row r="15760">
      <c r="A15760" t="str">
        <f t="shared" si="1"/>
        <v>tha#1963</v>
      </c>
      <c r="B15760" t="str">
        <f>IFERROR(__xludf.DUMMYFUNCTION("""COMPUTED_VALUE"""),"tha")</f>
        <v>tha</v>
      </c>
      <c r="C15760" t="str">
        <f>IFERROR(__xludf.DUMMYFUNCTION("""COMPUTED_VALUE"""),"Thailand")</f>
        <v>Thailand</v>
      </c>
      <c r="D15760">
        <f>IFERROR(__xludf.DUMMYFUNCTION("""COMPUTED_VALUE"""),1963.0)</f>
        <v>1963</v>
      </c>
      <c r="E15760">
        <f>IFERROR(__xludf.DUMMYFUNCTION("""COMPUTED_VALUE"""),2.9967041E7)</f>
        <v>29967041</v>
      </c>
    </row>
    <row r="15761">
      <c r="A15761" t="str">
        <f t="shared" si="1"/>
        <v>tha#1964</v>
      </c>
      <c r="B15761" t="str">
        <f>IFERROR(__xludf.DUMMYFUNCTION("""COMPUTED_VALUE"""),"tha")</f>
        <v>tha</v>
      </c>
      <c r="C15761" t="str">
        <f>IFERROR(__xludf.DUMMYFUNCTION("""COMPUTED_VALUE"""),"Thailand")</f>
        <v>Thailand</v>
      </c>
      <c r="D15761">
        <f>IFERROR(__xludf.DUMMYFUNCTION("""COMPUTED_VALUE"""),1964.0)</f>
        <v>1964</v>
      </c>
      <c r="E15761">
        <f>IFERROR(__xludf.DUMMYFUNCTION("""COMPUTED_VALUE"""),3.0881332E7)</f>
        <v>30881332</v>
      </c>
    </row>
    <row r="15762">
      <c r="A15762" t="str">
        <f t="shared" si="1"/>
        <v>tha#1965</v>
      </c>
      <c r="B15762" t="str">
        <f>IFERROR(__xludf.DUMMYFUNCTION("""COMPUTED_VALUE"""),"tha")</f>
        <v>tha</v>
      </c>
      <c r="C15762" t="str">
        <f>IFERROR(__xludf.DUMMYFUNCTION("""COMPUTED_VALUE"""),"Thailand")</f>
        <v>Thailand</v>
      </c>
      <c r="D15762">
        <f>IFERROR(__xludf.DUMMYFUNCTION("""COMPUTED_VALUE"""),1965.0)</f>
        <v>1965</v>
      </c>
      <c r="E15762">
        <f>IFERROR(__xludf.DUMMYFUNCTION("""COMPUTED_VALUE"""),3.1822796E7)</f>
        <v>31822796</v>
      </c>
    </row>
    <row r="15763">
      <c r="A15763" t="str">
        <f t="shared" si="1"/>
        <v>tha#1966</v>
      </c>
      <c r="B15763" t="str">
        <f>IFERROR(__xludf.DUMMYFUNCTION("""COMPUTED_VALUE"""),"tha")</f>
        <v>tha</v>
      </c>
      <c r="C15763" t="str">
        <f>IFERROR(__xludf.DUMMYFUNCTION("""COMPUTED_VALUE"""),"Thailand")</f>
        <v>Thailand</v>
      </c>
      <c r="D15763">
        <f>IFERROR(__xludf.DUMMYFUNCTION("""COMPUTED_VALUE"""),1966.0)</f>
        <v>1966</v>
      </c>
      <c r="E15763">
        <f>IFERROR(__xludf.DUMMYFUNCTION("""COMPUTED_VALUE"""),3.2789096E7)</f>
        <v>32789096</v>
      </c>
    </row>
    <row r="15764">
      <c r="A15764" t="str">
        <f t="shared" si="1"/>
        <v>tha#1967</v>
      </c>
      <c r="B15764" t="str">
        <f>IFERROR(__xludf.DUMMYFUNCTION("""COMPUTED_VALUE"""),"tha")</f>
        <v>tha</v>
      </c>
      <c r="C15764" t="str">
        <f>IFERROR(__xludf.DUMMYFUNCTION("""COMPUTED_VALUE"""),"Thailand")</f>
        <v>Thailand</v>
      </c>
      <c r="D15764">
        <f>IFERROR(__xludf.DUMMYFUNCTION("""COMPUTED_VALUE"""),1967.0)</f>
        <v>1967</v>
      </c>
      <c r="E15764">
        <f>IFERROR(__xludf.DUMMYFUNCTION("""COMPUTED_VALUE"""),3.3778504E7)</f>
        <v>33778504</v>
      </c>
    </row>
    <row r="15765">
      <c r="A15765" t="str">
        <f t="shared" si="1"/>
        <v>tha#1968</v>
      </c>
      <c r="B15765" t="str">
        <f>IFERROR(__xludf.DUMMYFUNCTION("""COMPUTED_VALUE"""),"tha")</f>
        <v>tha</v>
      </c>
      <c r="C15765" t="str">
        <f>IFERROR(__xludf.DUMMYFUNCTION("""COMPUTED_VALUE"""),"Thailand")</f>
        <v>Thailand</v>
      </c>
      <c r="D15765">
        <f>IFERROR(__xludf.DUMMYFUNCTION("""COMPUTED_VALUE"""),1968.0)</f>
        <v>1968</v>
      </c>
      <c r="E15765">
        <f>IFERROR(__xludf.DUMMYFUNCTION("""COMPUTED_VALUE"""),3.4790945E7)</f>
        <v>34790945</v>
      </c>
    </row>
    <row r="15766">
      <c r="A15766" t="str">
        <f t="shared" si="1"/>
        <v>tha#1969</v>
      </c>
      <c r="B15766" t="str">
        <f>IFERROR(__xludf.DUMMYFUNCTION("""COMPUTED_VALUE"""),"tha")</f>
        <v>tha</v>
      </c>
      <c r="C15766" t="str">
        <f>IFERROR(__xludf.DUMMYFUNCTION("""COMPUTED_VALUE"""),"Thailand")</f>
        <v>Thailand</v>
      </c>
      <c r="D15766">
        <f>IFERROR(__xludf.DUMMYFUNCTION("""COMPUTED_VALUE"""),1969.0)</f>
        <v>1969</v>
      </c>
      <c r="E15766">
        <f>IFERROR(__xludf.DUMMYFUNCTION("""COMPUTED_VALUE"""),3.5826804E7)</f>
        <v>35826804</v>
      </c>
    </row>
    <row r="15767">
      <c r="A15767" t="str">
        <f t="shared" si="1"/>
        <v>tha#1970</v>
      </c>
      <c r="B15767" t="str">
        <f>IFERROR(__xludf.DUMMYFUNCTION("""COMPUTED_VALUE"""),"tha")</f>
        <v>tha</v>
      </c>
      <c r="C15767" t="str">
        <f>IFERROR(__xludf.DUMMYFUNCTION("""COMPUTED_VALUE"""),"Thailand")</f>
        <v>Thailand</v>
      </c>
      <c r="D15767">
        <f>IFERROR(__xludf.DUMMYFUNCTION("""COMPUTED_VALUE"""),1970.0)</f>
        <v>1970</v>
      </c>
      <c r="E15767">
        <f>IFERROR(__xludf.DUMMYFUNCTION("""COMPUTED_VALUE"""),3.6884913E7)</f>
        <v>36884913</v>
      </c>
    </row>
    <row r="15768">
      <c r="A15768" t="str">
        <f t="shared" si="1"/>
        <v>tha#1971</v>
      </c>
      <c r="B15768" t="str">
        <f>IFERROR(__xludf.DUMMYFUNCTION("""COMPUTED_VALUE"""),"tha")</f>
        <v>tha</v>
      </c>
      <c r="C15768" t="str">
        <f>IFERROR(__xludf.DUMMYFUNCTION("""COMPUTED_VALUE"""),"Thailand")</f>
        <v>Thailand</v>
      </c>
      <c r="D15768">
        <f>IFERROR(__xludf.DUMMYFUNCTION("""COMPUTED_VALUE"""),1971.0)</f>
        <v>1971</v>
      </c>
      <c r="E15768">
        <f>IFERROR(__xludf.DUMMYFUNCTION("""COMPUTED_VALUE"""),3.7964925E7)</f>
        <v>37964925</v>
      </c>
    </row>
    <row r="15769">
      <c r="A15769" t="str">
        <f t="shared" si="1"/>
        <v>tha#1972</v>
      </c>
      <c r="B15769" t="str">
        <f>IFERROR(__xludf.DUMMYFUNCTION("""COMPUTED_VALUE"""),"tha")</f>
        <v>tha</v>
      </c>
      <c r="C15769" t="str">
        <f>IFERROR(__xludf.DUMMYFUNCTION("""COMPUTED_VALUE"""),"Thailand")</f>
        <v>Thailand</v>
      </c>
      <c r="D15769">
        <f>IFERROR(__xludf.DUMMYFUNCTION("""COMPUTED_VALUE"""),1972.0)</f>
        <v>1972</v>
      </c>
      <c r="E15769">
        <f>IFERROR(__xludf.DUMMYFUNCTION("""COMPUTED_VALUE"""),3.9061994E7)</f>
        <v>39061994</v>
      </c>
    </row>
    <row r="15770">
      <c r="A15770" t="str">
        <f t="shared" si="1"/>
        <v>tha#1973</v>
      </c>
      <c r="B15770" t="str">
        <f>IFERROR(__xludf.DUMMYFUNCTION("""COMPUTED_VALUE"""),"tha")</f>
        <v>tha</v>
      </c>
      <c r="C15770" t="str">
        <f>IFERROR(__xludf.DUMMYFUNCTION("""COMPUTED_VALUE"""),"Thailand")</f>
        <v>Thailand</v>
      </c>
      <c r="D15770">
        <f>IFERROR(__xludf.DUMMYFUNCTION("""COMPUTED_VALUE"""),1973.0)</f>
        <v>1973</v>
      </c>
      <c r="E15770">
        <f>IFERROR(__xludf.DUMMYFUNCTION("""COMPUTED_VALUE"""),4.0164966E7)</f>
        <v>40164966</v>
      </c>
    </row>
    <row r="15771">
      <c r="A15771" t="str">
        <f t="shared" si="1"/>
        <v>tha#1974</v>
      </c>
      <c r="B15771" t="str">
        <f>IFERROR(__xludf.DUMMYFUNCTION("""COMPUTED_VALUE"""),"tha")</f>
        <v>tha</v>
      </c>
      <c r="C15771" t="str">
        <f>IFERROR(__xludf.DUMMYFUNCTION("""COMPUTED_VALUE"""),"Thailand")</f>
        <v>Thailand</v>
      </c>
      <c r="D15771">
        <f>IFERROR(__xludf.DUMMYFUNCTION("""COMPUTED_VALUE"""),1974.0)</f>
        <v>1974</v>
      </c>
      <c r="E15771">
        <f>IFERROR(__xludf.DUMMYFUNCTION("""COMPUTED_VALUE"""),4.1259536E7)</f>
        <v>41259536</v>
      </c>
    </row>
    <row r="15772">
      <c r="A15772" t="str">
        <f t="shared" si="1"/>
        <v>tha#1975</v>
      </c>
      <c r="B15772" t="str">
        <f>IFERROR(__xludf.DUMMYFUNCTION("""COMPUTED_VALUE"""),"tha")</f>
        <v>tha</v>
      </c>
      <c r="C15772" t="str">
        <f>IFERROR(__xludf.DUMMYFUNCTION("""COMPUTED_VALUE"""),"Thailand")</f>
        <v>Thailand</v>
      </c>
      <c r="D15772">
        <f>IFERROR(__xludf.DUMMYFUNCTION("""COMPUTED_VALUE"""),1975.0)</f>
        <v>1975</v>
      </c>
      <c r="E15772">
        <f>IFERROR(__xludf.DUMMYFUNCTION("""COMPUTED_VALUE"""),4.2334954E7)</f>
        <v>42334954</v>
      </c>
    </row>
    <row r="15773">
      <c r="A15773" t="str">
        <f t="shared" si="1"/>
        <v>tha#1976</v>
      </c>
      <c r="B15773" t="str">
        <f>IFERROR(__xludf.DUMMYFUNCTION("""COMPUTED_VALUE"""),"tha")</f>
        <v>tha</v>
      </c>
      <c r="C15773" t="str">
        <f>IFERROR(__xludf.DUMMYFUNCTION("""COMPUTED_VALUE"""),"Thailand")</f>
        <v>Thailand</v>
      </c>
      <c r="D15773">
        <f>IFERROR(__xludf.DUMMYFUNCTION("""COMPUTED_VALUE"""),1976.0)</f>
        <v>1976</v>
      </c>
      <c r="E15773">
        <f>IFERROR(__xludf.DUMMYFUNCTION("""COMPUTED_VALUE"""),4.3386841E7)</f>
        <v>43386841</v>
      </c>
    </row>
    <row r="15774">
      <c r="A15774" t="str">
        <f t="shared" si="1"/>
        <v>tha#1977</v>
      </c>
      <c r="B15774" t="str">
        <f>IFERROR(__xludf.DUMMYFUNCTION("""COMPUTED_VALUE"""),"tha")</f>
        <v>tha</v>
      </c>
      <c r="C15774" t="str">
        <f>IFERROR(__xludf.DUMMYFUNCTION("""COMPUTED_VALUE"""),"Thailand")</f>
        <v>Thailand</v>
      </c>
      <c r="D15774">
        <f>IFERROR(__xludf.DUMMYFUNCTION("""COMPUTED_VALUE"""),1977.0)</f>
        <v>1977</v>
      </c>
      <c r="E15774">
        <f>IFERROR(__xludf.DUMMYFUNCTION("""COMPUTED_VALUE"""),4.441601E7)</f>
        <v>44416010</v>
      </c>
    </row>
    <row r="15775">
      <c r="A15775" t="str">
        <f t="shared" si="1"/>
        <v>tha#1978</v>
      </c>
      <c r="B15775" t="str">
        <f>IFERROR(__xludf.DUMMYFUNCTION("""COMPUTED_VALUE"""),"tha")</f>
        <v>tha</v>
      </c>
      <c r="C15775" t="str">
        <f>IFERROR(__xludf.DUMMYFUNCTION("""COMPUTED_VALUE"""),"Thailand")</f>
        <v>Thailand</v>
      </c>
      <c r="D15775">
        <f>IFERROR(__xludf.DUMMYFUNCTION("""COMPUTED_VALUE"""),1978.0)</f>
        <v>1978</v>
      </c>
      <c r="E15775">
        <f>IFERROR(__xludf.DUMMYFUNCTION("""COMPUTED_VALUE"""),4.5423436E7)</f>
        <v>45423436</v>
      </c>
    </row>
    <row r="15776">
      <c r="A15776" t="str">
        <f t="shared" si="1"/>
        <v>tha#1979</v>
      </c>
      <c r="B15776" t="str">
        <f>IFERROR(__xludf.DUMMYFUNCTION("""COMPUTED_VALUE"""),"tha")</f>
        <v>tha</v>
      </c>
      <c r="C15776" t="str">
        <f>IFERROR(__xludf.DUMMYFUNCTION("""COMPUTED_VALUE"""),"Thailand")</f>
        <v>Thailand</v>
      </c>
      <c r="D15776">
        <f>IFERROR(__xludf.DUMMYFUNCTION("""COMPUTED_VALUE"""),1979.0)</f>
        <v>1979</v>
      </c>
      <c r="E15776">
        <f>IFERROR(__xludf.DUMMYFUNCTION("""COMPUTED_VALUE"""),4.6412307E7)</f>
        <v>46412307</v>
      </c>
    </row>
    <row r="15777">
      <c r="A15777" t="str">
        <f t="shared" si="1"/>
        <v>tha#1980</v>
      </c>
      <c r="B15777" t="str">
        <f>IFERROR(__xludf.DUMMYFUNCTION("""COMPUTED_VALUE"""),"tha")</f>
        <v>tha</v>
      </c>
      <c r="C15777" t="str">
        <f>IFERROR(__xludf.DUMMYFUNCTION("""COMPUTED_VALUE"""),"Thailand")</f>
        <v>Thailand</v>
      </c>
      <c r="D15777">
        <f>IFERROR(__xludf.DUMMYFUNCTION("""COMPUTED_VALUE"""),1980.0)</f>
        <v>1980</v>
      </c>
      <c r="E15777">
        <f>IFERROR(__xludf.DUMMYFUNCTION("""COMPUTED_VALUE"""),4.7385323E7)</f>
        <v>47385323</v>
      </c>
    </row>
    <row r="15778">
      <c r="A15778" t="str">
        <f t="shared" si="1"/>
        <v>tha#1981</v>
      </c>
      <c r="B15778" t="str">
        <f>IFERROR(__xludf.DUMMYFUNCTION("""COMPUTED_VALUE"""),"tha")</f>
        <v>tha</v>
      </c>
      <c r="C15778" t="str">
        <f>IFERROR(__xludf.DUMMYFUNCTION("""COMPUTED_VALUE"""),"Thailand")</f>
        <v>Thailand</v>
      </c>
      <c r="D15778">
        <f>IFERROR(__xludf.DUMMYFUNCTION("""COMPUTED_VALUE"""),1981.0)</f>
        <v>1981</v>
      </c>
      <c r="E15778">
        <f>IFERROR(__xludf.DUMMYFUNCTION("""COMPUTED_VALUE"""),4.8337503E7)</f>
        <v>48337503</v>
      </c>
    </row>
    <row r="15779">
      <c r="A15779" t="str">
        <f t="shared" si="1"/>
        <v>tha#1982</v>
      </c>
      <c r="B15779" t="str">
        <f>IFERROR(__xludf.DUMMYFUNCTION("""COMPUTED_VALUE"""),"tha")</f>
        <v>tha</v>
      </c>
      <c r="C15779" t="str">
        <f>IFERROR(__xludf.DUMMYFUNCTION("""COMPUTED_VALUE"""),"Thailand")</f>
        <v>Thailand</v>
      </c>
      <c r="D15779">
        <f>IFERROR(__xludf.DUMMYFUNCTION("""COMPUTED_VALUE"""),1982.0)</f>
        <v>1982</v>
      </c>
      <c r="E15779">
        <f>IFERROR(__xludf.DUMMYFUNCTION("""COMPUTED_VALUE"""),4.926756E7)</f>
        <v>49267560</v>
      </c>
    </row>
    <row r="15780">
      <c r="A15780" t="str">
        <f t="shared" si="1"/>
        <v>tha#1983</v>
      </c>
      <c r="B15780" t="str">
        <f>IFERROR(__xludf.DUMMYFUNCTION("""COMPUTED_VALUE"""),"tha")</f>
        <v>tha</v>
      </c>
      <c r="C15780" t="str">
        <f>IFERROR(__xludf.DUMMYFUNCTION("""COMPUTED_VALUE"""),"Thailand")</f>
        <v>Thailand</v>
      </c>
      <c r="D15780">
        <f>IFERROR(__xludf.DUMMYFUNCTION("""COMPUTED_VALUE"""),1983.0)</f>
        <v>1983</v>
      </c>
      <c r="E15780">
        <f>IFERROR(__xludf.DUMMYFUNCTION("""COMPUTED_VALUE"""),5.0186199E7)</f>
        <v>50186199</v>
      </c>
    </row>
    <row r="15781">
      <c r="A15781" t="str">
        <f t="shared" si="1"/>
        <v>tha#1984</v>
      </c>
      <c r="B15781" t="str">
        <f>IFERROR(__xludf.DUMMYFUNCTION("""COMPUTED_VALUE"""),"tha")</f>
        <v>tha</v>
      </c>
      <c r="C15781" t="str">
        <f>IFERROR(__xludf.DUMMYFUNCTION("""COMPUTED_VALUE"""),"Thailand")</f>
        <v>Thailand</v>
      </c>
      <c r="D15781">
        <f>IFERROR(__xludf.DUMMYFUNCTION("""COMPUTED_VALUE"""),1984.0)</f>
        <v>1984</v>
      </c>
      <c r="E15781">
        <f>IFERROR(__xludf.DUMMYFUNCTION("""COMPUTED_VALUE"""),5.1108082E7)</f>
        <v>51108082</v>
      </c>
    </row>
    <row r="15782">
      <c r="A15782" t="str">
        <f t="shared" si="1"/>
        <v>tha#1985</v>
      </c>
      <c r="B15782" t="str">
        <f>IFERROR(__xludf.DUMMYFUNCTION("""COMPUTED_VALUE"""),"tha")</f>
        <v>tha</v>
      </c>
      <c r="C15782" t="str">
        <f>IFERROR(__xludf.DUMMYFUNCTION("""COMPUTED_VALUE"""),"Thailand")</f>
        <v>Thailand</v>
      </c>
      <c r="D15782">
        <f>IFERROR(__xludf.DUMMYFUNCTION("""COMPUTED_VALUE"""),1985.0)</f>
        <v>1985</v>
      </c>
      <c r="E15782">
        <f>IFERROR(__xludf.DUMMYFUNCTION("""COMPUTED_VALUE"""),5.2041469E7)</f>
        <v>52041469</v>
      </c>
    </row>
    <row r="15783">
      <c r="A15783" t="str">
        <f t="shared" si="1"/>
        <v>tha#1986</v>
      </c>
      <c r="B15783" t="str">
        <f>IFERROR(__xludf.DUMMYFUNCTION("""COMPUTED_VALUE"""),"tha")</f>
        <v>tha</v>
      </c>
      <c r="C15783" t="str">
        <f>IFERROR(__xludf.DUMMYFUNCTION("""COMPUTED_VALUE"""),"Thailand")</f>
        <v>Thailand</v>
      </c>
      <c r="D15783">
        <f>IFERROR(__xludf.DUMMYFUNCTION("""COMPUTED_VALUE"""),1986.0)</f>
        <v>1986</v>
      </c>
      <c r="E15783">
        <f>IFERROR(__xludf.DUMMYFUNCTION("""COMPUTED_VALUE"""),5.2996467E7)</f>
        <v>52996467</v>
      </c>
    </row>
    <row r="15784">
      <c r="A15784" t="str">
        <f t="shared" si="1"/>
        <v>tha#1987</v>
      </c>
      <c r="B15784" t="str">
        <f>IFERROR(__xludf.DUMMYFUNCTION("""COMPUTED_VALUE"""),"tha")</f>
        <v>tha</v>
      </c>
      <c r="C15784" t="str">
        <f>IFERROR(__xludf.DUMMYFUNCTION("""COMPUTED_VALUE"""),"Thailand")</f>
        <v>Thailand</v>
      </c>
      <c r="D15784">
        <f>IFERROR(__xludf.DUMMYFUNCTION("""COMPUTED_VALUE"""),1987.0)</f>
        <v>1987</v>
      </c>
      <c r="E15784">
        <f>IFERROR(__xludf.DUMMYFUNCTION("""COMPUTED_VALUE"""),5.3964406E7)</f>
        <v>53964406</v>
      </c>
    </row>
    <row r="15785">
      <c r="A15785" t="str">
        <f t="shared" si="1"/>
        <v>tha#1988</v>
      </c>
      <c r="B15785" t="str">
        <f>IFERROR(__xludf.DUMMYFUNCTION("""COMPUTED_VALUE"""),"tha")</f>
        <v>tha</v>
      </c>
      <c r="C15785" t="str">
        <f>IFERROR(__xludf.DUMMYFUNCTION("""COMPUTED_VALUE"""),"Thailand")</f>
        <v>Thailand</v>
      </c>
      <c r="D15785">
        <f>IFERROR(__xludf.DUMMYFUNCTION("""COMPUTED_VALUE"""),1988.0)</f>
        <v>1988</v>
      </c>
      <c r="E15785">
        <f>IFERROR(__xludf.DUMMYFUNCTION("""COMPUTED_VALUE"""),5.4912334E7)</f>
        <v>54912334</v>
      </c>
    </row>
    <row r="15786">
      <c r="A15786" t="str">
        <f t="shared" si="1"/>
        <v>tha#1989</v>
      </c>
      <c r="B15786" t="str">
        <f>IFERROR(__xludf.DUMMYFUNCTION("""COMPUTED_VALUE"""),"tha")</f>
        <v>tha</v>
      </c>
      <c r="C15786" t="str">
        <f>IFERROR(__xludf.DUMMYFUNCTION("""COMPUTED_VALUE"""),"Thailand")</f>
        <v>Thailand</v>
      </c>
      <c r="D15786">
        <f>IFERROR(__xludf.DUMMYFUNCTION("""COMPUTED_VALUE"""),1989.0)</f>
        <v>1989</v>
      </c>
      <c r="E15786">
        <f>IFERROR(__xludf.DUMMYFUNCTION("""COMPUTED_VALUE"""),5.5795106E7)</f>
        <v>55795106</v>
      </c>
    </row>
    <row r="15787">
      <c r="A15787" t="str">
        <f t="shared" si="1"/>
        <v>tha#1990</v>
      </c>
      <c r="B15787" t="str">
        <f>IFERROR(__xludf.DUMMYFUNCTION("""COMPUTED_VALUE"""),"tha")</f>
        <v>tha</v>
      </c>
      <c r="C15787" t="str">
        <f>IFERROR(__xludf.DUMMYFUNCTION("""COMPUTED_VALUE"""),"Thailand")</f>
        <v>Thailand</v>
      </c>
      <c r="D15787">
        <f>IFERROR(__xludf.DUMMYFUNCTION("""COMPUTED_VALUE"""),1990.0)</f>
        <v>1990</v>
      </c>
      <c r="E15787">
        <f>IFERROR(__xludf.DUMMYFUNCTION("""COMPUTED_VALUE"""),5.6582821E7)</f>
        <v>56582821</v>
      </c>
    </row>
    <row r="15788">
      <c r="A15788" t="str">
        <f t="shared" si="1"/>
        <v>tha#1991</v>
      </c>
      <c r="B15788" t="str">
        <f>IFERROR(__xludf.DUMMYFUNCTION("""COMPUTED_VALUE"""),"tha")</f>
        <v>tha</v>
      </c>
      <c r="C15788" t="str">
        <f>IFERROR(__xludf.DUMMYFUNCTION("""COMPUTED_VALUE"""),"Thailand")</f>
        <v>Thailand</v>
      </c>
      <c r="D15788">
        <f>IFERROR(__xludf.DUMMYFUNCTION("""COMPUTED_VALUE"""),1991.0)</f>
        <v>1991</v>
      </c>
      <c r="E15788">
        <f>IFERROR(__xludf.DUMMYFUNCTION("""COMPUTED_VALUE"""),5.7258401E7)</f>
        <v>57258401</v>
      </c>
    </row>
    <row r="15789">
      <c r="A15789" t="str">
        <f t="shared" si="1"/>
        <v>tha#1992</v>
      </c>
      <c r="B15789" t="str">
        <f>IFERROR(__xludf.DUMMYFUNCTION("""COMPUTED_VALUE"""),"tha")</f>
        <v>tha</v>
      </c>
      <c r="C15789" t="str">
        <f>IFERROR(__xludf.DUMMYFUNCTION("""COMPUTED_VALUE"""),"Thailand")</f>
        <v>Thailand</v>
      </c>
      <c r="D15789">
        <f>IFERROR(__xludf.DUMMYFUNCTION("""COMPUTED_VALUE"""),1992.0)</f>
        <v>1992</v>
      </c>
      <c r="E15789">
        <f>IFERROR(__xludf.DUMMYFUNCTION("""COMPUTED_VALUE"""),5.7837878E7)</f>
        <v>57837878</v>
      </c>
    </row>
    <row r="15790">
      <c r="A15790" t="str">
        <f t="shared" si="1"/>
        <v>tha#1993</v>
      </c>
      <c r="B15790" t="str">
        <f>IFERROR(__xludf.DUMMYFUNCTION("""COMPUTED_VALUE"""),"tha")</f>
        <v>tha</v>
      </c>
      <c r="C15790" t="str">
        <f>IFERROR(__xludf.DUMMYFUNCTION("""COMPUTED_VALUE"""),"Thailand")</f>
        <v>Thailand</v>
      </c>
      <c r="D15790">
        <f>IFERROR(__xludf.DUMMYFUNCTION("""COMPUTED_VALUE"""),1993.0)</f>
        <v>1993</v>
      </c>
      <c r="E15790">
        <f>IFERROR(__xludf.DUMMYFUNCTION("""COMPUTED_VALUE"""),5.8364891E7)</f>
        <v>58364891</v>
      </c>
    </row>
    <row r="15791">
      <c r="A15791" t="str">
        <f t="shared" si="1"/>
        <v>tha#1994</v>
      </c>
      <c r="B15791" t="str">
        <f>IFERROR(__xludf.DUMMYFUNCTION("""COMPUTED_VALUE"""),"tha")</f>
        <v>tha</v>
      </c>
      <c r="C15791" t="str">
        <f>IFERROR(__xludf.DUMMYFUNCTION("""COMPUTED_VALUE"""),"Thailand")</f>
        <v>Thailand</v>
      </c>
      <c r="D15791">
        <f>IFERROR(__xludf.DUMMYFUNCTION("""COMPUTED_VALUE"""),1994.0)</f>
        <v>1994</v>
      </c>
      <c r="E15791">
        <f>IFERROR(__xludf.DUMMYFUNCTION("""COMPUTED_VALUE"""),5.8901666E7)</f>
        <v>58901666</v>
      </c>
    </row>
    <row r="15792">
      <c r="A15792" t="str">
        <f t="shared" si="1"/>
        <v>tha#1995</v>
      </c>
      <c r="B15792" t="str">
        <f>IFERROR(__xludf.DUMMYFUNCTION("""COMPUTED_VALUE"""),"tha")</f>
        <v>tha</v>
      </c>
      <c r="C15792" t="str">
        <f>IFERROR(__xludf.DUMMYFUNCTION("""COMPUTED_VALUE"""),"Thailand")</f>
        <v>Thailand</v>
      </c>
      <c r="D15792">
        <f>IFERROR(__xludf.DUMMYFUNCTION("""COMPUTED_VALUE"""),1995.0)</f>
        <v>1995</v>
      </c>
      <c r="E15792">
        <f>IFERROR(__xludf.DUMMYFUNCTION("""COMPUTED_VALUE"""),5.949179E7)</f>
        <v>59491790</v>
      </c>
    </row>
    <row r="15793">
      <c r="A15793" t="str">
        <f t="shared" si="1"/>
        <v>tha#1996</v>
      </c>
      <c r="B15793" t="str">
        <f>IFERROR(__xludf.DUMMYFUNCTION("""COMPUTED_VALUE"""),"tha")</f>
        <v>tha</v>
      </c>
      <c r="C15793" t="str">
        <f>IFERROR(__xludf.DUMMYFUNCTION("""COMPUTED_VALUE"""),"Thailand")</f>
        <v>Thailand</v>
      </c>
      <c r="D15793">
        <f>IFERROR(__xludf.DUMMYFUNCTION("""COMPUTED_VALUE"""),1996.0)</f>
        <v>1996</v>
      </c>
      <c r="E15793">
        <f>IFERROR(__xludf.DUMMYFUNCTION("""COMPUTED_VALUE"""),6.0151472E7)</f>
        <v>60151472</v>
      </c>
    </row>
    <row r="15794">
      <c r="A15794" t="str">
        <f t="shared" si="1"/>
        <v>tha#1997</v>
      </c>
      <c r="B15794" t="str">
        <f>IFERROR(__xludf.DUMMYFUNCTION("""COMPUTED_VALUE"""),"tha")</f>
        <v>tha</v>
      </c>
      <c r="C15794" t="str">
        <f>IFERROR(__xludf.DUMMYFUNCTION("""COMPUTED_VALUE"""),"Thailand")</f>
        <v>Thailand</v>
      </c>
      <c r="D15794">
        <f>IFERROR(__xludf.DUMMYFUNCTION("""COMPUTED_VALUE"""),1997.0)</f>
        <v>1997</v>
      </c>
      <c r="E15794">
        <f>IFERROR(__xludf.DUMMYFUNCTION("""COMPUTED_VALUE"""),6.0863506E7)</f>
        <v>60863506</v>
      </c>
    </row>
    <row r="15795">
      <c r="A15795" t="str">
        <f t="shared" si="1"/>
        <v>tha#1998</v>
      </c>
      <c r="B15795" t="str">
        <f>IFERROR(__xludf.DUMMYFUNCTION("""COMPUTED_VALUE"""),"tha")</f>
        <v>tha</v>
      </c>
      <c r="C15795" t="str">
        <f>IFERROR(__xludf.DUMMYFUNCTION("""COMPUTED_VALUE"""),"Thailand")</f>
        <v>Thailand</v>
      </c>
      <c r="D15795">
        <f>IFERROR(__xludf.DUMMYFUNCTION("""COMPUTED_VALUE"""),1998.0)</f>
        <v>1998</v>
      </c>
      <c r="E15795">
        <f>IFERROR(__xludf.DUMMYFUNCTION("""COMPUTED_VALUE"""),6.1597283E7)</f>
        <v>61597283</v>
      </c>
    </row>
    <row r="15796">
      <c r="A15796" t="str">
        <f t="shared" si="1"/>
        <v>tha#1999</v>
      </c>
      <c r="B15796" t="str">
        <f>IFERROR(__xludf.DUMMYFUNCTION("""COMPUTED_VALUE"""),"tha")</f>
        <v>tha</v>
      </c>
      <c r="C15796" t="str">
        <f>IFERROR(__xludf.DUMMYFUNCTION("""COMPUTED_VALUE"""),"Thailand")</f>
        <v>Thailand</v>
      </c>
      <c r="D15796">
        <f>IFERROR(__xludf.DUMMYFUNCTION("""COMPUTED_VALUE"""),1999.0)</f>
        <v>1999</v>
      </c>
      <c r="E15796">
        <f>IFERROR(__xludf.DUMMYFUNCTION("""COMPUTED_VALUE"""),6.2306651E7)</f>
        <v>62306651</v>
      </c>
    </row>
    <row r="15797">
      <c r="A15797" t="str">
        <f t="shared" si="1"/>
        <v>tha#2000</v>
      </c>
      <c r="B15797" t="str">
        <f>IFERROR(__xludf.DUMMYFUNCTION("""COMPUTED_VALUE"""),"tha")</f>
        <v>tha</v>
      </c>
      <c r="C15797" t="str">
        <f>IFERROR(__xludf.DUMMYFUNCTION("""COMPUTED_VALUE"""),"Thailand")</f>
        <v>Thailand</v>
      </c>
      <c r="D15797">
        <f>IFERROR(__xludf.DUMMYFUNCTION("""COMPUTED_VALUE"""),2000.0)</f>
        <v>2000</v>
      </c>
      <c r="E15797">
        <f>IFERROR(__xludf.DUMMYFUNCTION("""COMPUTED_VALUE"""),6.2958021E7)</f>
        <v>62958021</v>
      </c>
    </row>
    <row r="15798">
      <c r="A15798" t="str">
        <f t="shared" si="1"/>
        <v>tha#2001</v>
      </c>
      <c r="B15798" t="str">
        <f>IFERROR(__xludf.DUMMYFUNCTION("""COMPUTED_VALUE"""),"tha")</f>
        <v>tha</v>
      </c>
      <c r="C15798" t="str">
        <f>IFERROR(__xludf.DUMMYFUNCTION("""COMPUTED_VALUE"""),"Thailand")</f>
        <v>Thailand</v>
      </c>
      <c r="D15798">
        <f>IFERROR(__xludf.DUMMYFUNCTION("""COMPUTED_VALUE"""),2001.0)</f>
        <v>2001</v>
      </c>
      <c r="E15798">
        <f>IFERROR(__xludf.DUMMYFUNCTION("""COMPUTED_VALUE"""),6.3543322E7)</f>
        <v>63543322</v>
      </c>
    </row>
    <row r="15799">
      <c r="A15799" t="str">
        <f t="shared" si="1"/>
        <v>tha#2002</v>
      </c>
      <c r="B15799" t="str">
        <f>IFERROR(__xludf.DUMMYFUNCTION("""COMPUTED_VALUE"""),"tha")</f>
        <v>tha</v>
      </c>
      <c r="C15799" t="str">
        <f>IFERROR(__xludf.DUMMYFUNCTION("""COMPUTED_VALUE"""),"Thailand")</f>
        <v>Thailand</v>
      </c>
      <c r="D15799">
        <f>IFERROR(__xludf.DUMMYFUNCTION("""COMPUTED_VALUE"""),2002.0)</f>
        <v>2002</v>
      </c>
      <c r="E15799">
        <f>IFERROR(__xludf.DUMMYFUNCTION("""COMPUTED_VALUE"""),6.4073164E7)</f>
        <v>64073164</v>
      </c>
    </row>
    <row r="15800">
      <c r="A15800" t="str">
        <f t="shared" si="1"/>
        <v>tha#2003</v>
      </c>
      <c r="B15800" t="str">
        <f>IFERROR(__xludf.DUMMYFUNCTION("""COMPUTED_VALUE"""),"tha")</f>
        <v>tha</v>
      </c>
      <c r="C15800" t="str">
        <f>IFERROR(__xludf.DUMMYFUNCTION("""COMPUTED_VALUE"""),"Thailand")</f>
        <v>Thailand</v>
      </c>
      <c r="D15800">
        <f>IFERROR(__xludf.DUMMYFUNCTION("""COMPUTED_VALUE"""),2003.0)</f>
        <v>2003</v>
      </c>
      <c r="E15800">
        <f>IFERROR(__xludf.DUMMYFUNCTION("""COMPUTED_VALUE"""),6.4554952E7)</f>
        <v>64554952</v>
      </c>
    </row>
    <row r="15801">
      <c r="A15801" t="str">
        <f t="shared" si="1"/>
        <v>tha#2004</v>
      </c>
      <c r="B15801" t="str">
        <f>IFERROR(__xludf.DUMMYFUNCTION("""COMPUTED_VALUE"""),"tha")</f>
        <v>tha</v>
      </c>
      <c r="C15801" t="str">
        <f>IFERROR(__xludf.DUMMYFUNCTION("""COMPUTED_VALUE"""),"Thailand")</f>
        <v>Thailand</v>
      </c>
      <c r="D15801">
        <f>IFERROR(__xludf.DUMMYFUNCTION("""COMPUTED_VALUE"""),2004.0)</f>
        <v>2004</v>
      </c>
      <c r="E15801">
        <f>IFERROR(__xludf.DUMMYFUNCTION("""COMPUTED_VALUE"""),6.5002231E7)</f>
        <v>65002231</v>
      </c>
    </row>
    <row r="15802">
      <c r="A15802" t="str">
        <f t="shared" si="1"/>
        <v>tha#2005</v>
      </c>
      <c r="B15802" t="str">
        <f>IFERROR(__xludf.DUMMYFUNCTION("""COMPUTED_VALUE"""),"tha")</f>
        <v>tha</v>
      </c>
      <c r="C15802" t="str">
        <f>IFERROR(__xludf.DUMMYFUNCTION("""COMPUTED_VALUE"""),"Thailand")</f>
        <v>Thailand</v>
      </c>
      <c r="D15802">
        <f>IFERROR(__xludf.DUMMYFUNCTION("""COMPUTED_VALUE"""),2005.0)</f>
        <v>2005</v>
      </c>
      <c r="E15802">
        <f>IFERROR(__xludf.DUMMYFUNCTION("""COMPUTED_VALUE"""),6.542547E7)</f>
        <v>65425470</v>
      </c>
    </row>
    <row r="15803">
      <c r="A15803" t="str">
        <f t="shared" si="1"/>
        <v>tha#2006</v>
      </c>
      <c r="B15803" t="str">
        <f>IFERROR(__xludf.DUMMYFUNCTION("""COMPUTED_VALUE"""),"tha")</f>
        <v>tha</v>
      </c>
      <c r="C15803" t="str">
        <f>IFERROR(__xludf.DUMMYFUNCTION("""COMPUTED_VALUE"""),"Thailand")</f>
        <v>Thailand</v>
      </c>
      <c r="D15803">
        <f>IFERROR(__xludf.DUMMYFUNCTION("""COMPUTED_VALUE"""),2006.0)</f>
        <v>2006</v>
      </c>
      <c r="E15803">
        <f>IFERROR(__xludf.DUMMYFUNCTION("""COMPUTED_VALUE"""),6.5824164E7)</f>
        <v>65824164</v>
      </c>
    </row>
    <row r="15804">
      <c r="A15804" t="str">
        <f t="shared" si="1"/>
        <v>tha#2007</v>
      </c>
      <c r="B15804" t="str">
        <f>IFERROR(__xludf.DUMMYFUNCTION("""COMPUTED_VALUE"""),"tha")</f>
        <v>tha</v>
      </c>
      <c r="C15804" t="str">
        <f>IFERROR(__xludf.DUMMYFUNCTION("""COMPUTED_VALUE"""),"Thailand")</f>
        <v>Thailand</v>
      </c>
      <c r="D15804">
        <f>IFERROR(__xludf.DUMMYFUNCTION("""COMPUTED_VALUE"""),2007.0)</f>
        <v>2007</v>
      </c>
      <c r="E15804">
        <f>IFERROR(__xludf.DUMMYFUNCTION("""COMPUTED_VALUE"""),6.6195615E7)</f>
        <v>66195615</v>
      </c>
    </row>
    <row r="15805">
      <c r="A15805" t="str">
        <f t="shared" si="1"/>
        <v>tha#2008</v>
      </c>
      <c r="B15805" t="str">
        <f>IFERROR(__xludf.DUMMYFUNCTION("""COMPUTED_VALUE"""),"tha")</f>
        <v>tha</v>
      </c>
      <c r="C15805" t="str">
        <f>IFERROR(__xludf.DUMMYFUNCTION("""COMPUTED_VALUE"""),"Thailand")</f>
        <v>Thailand</v>
      </c>
      <c r="D15805">
        <f>IFERROR(__xludf.DUMMYFUNCTION("""COMPUTED_VALUE"""),2008.0)</f>
        <v>2008</v>
      </c>
      <c r="E15805">
        <f>IFERROR(__xludf.DUMMYFUNCTION("""COMPUTED_VALUE"""),6.654576E7)</f>
        <v>66545760</v>
      </c>
    </row>
    <row r="15806">
      <c r="A15806" t="str">
        <f t="shared" si="1"/>
        <v>tha#2009</v>
      </c>
      <c r="B15806" t="str">
        <f>IFERROR(__xludf.DUMMYFUNCTION("""COMPUTED_VALUE"""),"tha")</f>
        <v>tha</v>
      </c>
      <c r="C15806" t="str">
        <f>IFERROR(__xludf.DUMMYFUNCTION("""COMPUTED_VALUE"""),"Thailand")</f>
        <v>Thailand</v>
      </c>
      <c r="D15806">
        <f>IFERROR(__xludf.DUMMYFUNCTION("""COMPUTED_VALUE"""),2009.0)</f>
        <v>2009</v>
      </c>
      <c r="E15806">
        <f>IFERROR(__xludf.DUMMYFUNCTION("""COMPUTED_VALUE"""),6.6881867E7)</f>
        <v>66881867</v>
      </c>
    </row>
    <row r="15807">
      <c r="A15807" t="str">
        <f t="shared" si="1"/>
        <v>tha#2010</v>
      </c>
      <c r="B15807" t="str">
        <f>IFERROR(__xludf.DUMMYFUNCTION("""COMPUTED_VALUE"""),"tha")</f>
        <v>tha</v>
      </c>
      <c r="C15807" t="str">
        <f>IFERROR(__xludf.DUMMYFUNCTION("""COMPUTED_VALUE"""),"Thailand")</f>
        <v>Thailand</v>
      </c>
      <c r="D15807">
        <f>IFERROR(__xludf.DUMMYFUNCTION("""COMPUTED_VALUE"""),2010.0)</f>
        <v>2010</v>
      </c>
      <c r="E15807">
        <f>IFERROR(__xludf.DUMMYFUNCTION("""COMPUTED_VALUE"""),6.7208808E7)</f>
        <v>67208808</v>
      </c>
    </row>
    <row r="15808">
      <c r="A15808" t="str">
        <f t="shared" si="1"/>
        <v>tha#2011</v>
      </c>
      <c r="B15808" t="str">
        <f>IFERROR(__xludf.DUMMYFUNCTION("""COMPUTED_VALUE"""),"tha")</f>
        <v>tha</v>
      </c>
      <c r="C15808" t="str">
        <f>IFERROR(__xludf.DUMMYFUNCTION("""COMPUTED_VALUE"""),"Thailand")</f>
        <v>Thailand</v>
      </c>
      <c r="D15808">
        <f>IFERROR(__xludf.DUMMYFUNCTION("""COMPUTED_VALUE"""),2011.0)</f>
        <v>2011</v>
      </c>
      <c r="E15808">
        <f>IFERROR(__xludf.DUMMYFUNCTION("""COMPUTED_VALUE"""),6.753013E7)</f>
        <v>67530130</v>
      </c>
    </row>
    <row r="15809">
      <c r="A15809" t="str">
        <f t="shared" si="1"/>
        <v>tha#2012</v>
      </c>
      <c r="B15809" t="str">
        <f>IFERROR(__xludf.DUMMYFUNCTION("""COMPUTED_VALUE"""),"tha")</f>
        <v>tha</v>
      </c>
      <c r="C15809" t="str">
        <f>IFERROR(__xludf.DUMMYFUNCTION("""COMPUTED_VALUE"""),"Thailand")</f>
        <v>Thailand</v>
      </c>
      <c r="D15809">
        <f>IFERROR(__xludf.DUMMYFUNCTION("""COMPUTED_VALUE"""),2012.0)</f>
        <v>2012</v>
      </c>
      <c r="E15809">
        <f>IFERROR(__xludf.DUMMYFUNCTION("""COMPUTED_VALUE"""),6.7843979E7)</f>
        <v>67843979</v>
      </c>
    </row>
    <row r="15810">
      <c r="A15810" t="str">
        <f t="shared" si="1"/>
        <v>tha#2013</v>
      </c>
      <c r="B15810" t="str">
        <f>IFERROR(__xludf.DUMMYFUNCTION("""COMPUTED_VALUE"""),"tha")</f>
        <v>tha</v>
      </c>
      <c r="C15810" t="str">
        <f>IFERROR(__xludf.DUMMYFUNCTION("""COMPUTED_VALUE"""),"Thailand")</f>
        <v>Thailand</v>
      </c>
      <c r="D15810">
        <f>IFERROR(__xludf.DUMMYFUNCTION("""COMPUTED_VALUE"""),2013.0)</f>
        <v>2013</v>
      </c>
      <c r="E15810">
        <f>IFERROR(__xludf.DUMMYFUNCTION("""COMPUTED_VALUE"""),6.8143065E7)</f>
        <v>68143065</v>
      </c>
    </row>
    <row r="15811">
      <c r="A15811" t="str">
        <f t="shared" si="1"/>
        <v>tha#2014</v>
      </c>
      <c r="B15811" t="str">
        <f>IFERROR(__xludf.DUMMYFUNCTION("""COMPUTED_VALUE"""),"tha")</f>
        <v>tha</v>
      </c>
      <c r="C15811" t="str">
        <f>IFERROR(__xludf.DUMMYFUNCTION("""COMPUTED_VALUE"""),"Thailand")</f>
        <v>Thailand</v>
      </c>
      <c r="D15811">
        <f>IFERROR(__xludf.DUMMYFUNCTION("""COMPUTED_VALUE"""),2014.0)</f>
        <v>2014</v>
      </c>
      <c r="E15811">
        <f>IFERROR(__xludf.DUMMYFUNCTION("""COMPUTED_VALUE"""),6.8416772E7)</f>
        <v>68416772</v>
      </c>
    </row>
    <row r="15812">
      <c r="A15812" t="str">
        <f t="shared" si="1"/>
        <v>tha#2015</v>
      </c>
      <c r="B15812" t="str">
        <f>IFERROR(__xludf.DUMMYFUNCTION("""COMPUTED_VALUE"""),"tha")</f>
        <v>tha</v>
      </c>
      <c r="C15812" t="str">
        <f>IFERROR(__xludf.DUMMYFUNCTION("""COMPUTED_VALUE"""),"Thailand")</f>
        <v>Thailand</v>
      </c>
      <c r="D15812">
        <f>IFERROR(__xludf.DUMMYFUNCTION("""COMPUTED_VALUE"""),2015.0)</f>
        <v>2015</v>
      </c>
      <c r="E15812">
        <f>IFERROR(__xludf.DUMMYFUNCTION("""COMPUTED_VALUE"""),6.86576E7)</f>
        <v>68657600</v>
      </c>
    </row>
    <row r="15813">
      <c r="A15813" t="str">
        <f t="shared" si="1"/>
        <v>tha#2016</v>
      </c>
      <c r="B15813" t="str">
        <f>IFERROR(__xludf.DUMMYFUNCTION("""COMPUTED_VALUE"""),"tha")</f>
        <v>tha</v>
      </c>
      <c r="C15813" t="str">
        <f>IFERROR(__xludf.DUMMYFUNCTION("""COMPUTED_VALUE"""),"Thailand")</f>
        <v>Thailand</v>
      </c>
      <c r="D15813">
        <f>IFERROR(__xludf.DUMMYFUNCTION("""COMPUTED_VALUE"""),2016.0)</f>
        <v>2016</v>
      </c>
      <c r="E15813">
        <f>IFERROR(__xludf.DUMMYFUNCTION("""COMPUTED_VALUE"""),6.8863514E7)</f>
        <v>68863514</v>
      </c>
    </row>
    <row r="15814">
      <c r="A15814" t="str">
        <f t="shared" si="1"/>
        <v>tha#2017</v>
      </c>
      <c r="B15814" t="str">
        <f>IFERROR(__xludf.DUMMYFUNCTION("""COMPUTED_VALUE"""),"tha")</f>
        <v>tha</v>
      </c>
      <c r="C15814" t="str">
        <f>IFERROR(__xludf.DUMMYFUNCTION("""COMPUTED_VALUE"""),"Thailand")</f>
        <v>Thailand</v>
      </c>
      <c r="D15814">
        <f>IFERROR(__xludf.DUMMYFUNCTION("""COMPUTED_VALUE"""),2017.0)</f>
        <v>2017</v>
      </c>
      <c r="E15814">
        <f>IFERROR(__xludf.DUMMYFUNCTION("""COMPUTED_VALUE"""),6.9037513E7)</f>
        <v>69037513</v>
      </c>
    </row>
    <row r="15815">
      <c r="A15815" t="str">
        <f t="shared" si="1"/>
        <v>tha#2018</v>
      </c>
      <c r="B15815" t="str">
        <f>IFERROR(__xludf.DUMMYFUNCTION("""COMPUTED_VALUE"""),"tha")</f>
        <v>tha</v>
      </c>
      <c r="C15815" t="str">
        <f>IFERROR(__xludf.DUMMYFUNCTION("""COMPUTED_VALUE"""),"Thailand")</f>
        <v>Thailand</v>
      </c>
      <c r="D15815">
        <f>IFERROR(__xludf.DUMMYFUNCTION("""COMPUTED_VALUE"""),2018.0)</f>
        <v>2018</v>
      </c>
      <c r="E15815">
        <f>IFERROR(__xludf.DUMMYFUNCTION("""COMPUTED_VALUE"""),6.9183173E7)</f>
        <v>69183173</v>
      </c>
    </row>
    <row r="15816">
      <c r="A15816" t="str">
        <f t="shared" si="1"/>
        <v>tha#2019</v>
      </c>
      <c r="B15816" t="str">
        <f>IFERROR(__xludf.DUMMYFUNCTION("""COMPUTED_VALUE"""),"tha")</f>
        <v>tha</v>
      </c>
      <c r="C15816" t="str">
        <f>IFERROR(__xludf.DUMMYFUNCTION("""COMPUTED_VALUE"""),"Thailand")</f>
        <v>Thailand</v>
      </c>
      <c r="D15816">
        <f>IFERROR(__xludf.DUMMYFUNCTION("""COMPUTED_VALUE"""),2019.0)</f>
        <v>2019</v>
      </c>
      <c r="E15816">
        <f>IFERROR(__xludf.DUMMYFUNCTION("""COMPUTED_VALUE"""),6.930616E7)</f>
        <v>69306160</v>
      </c>
    </row>
    <row r="15817">
      <c r="A15817" t="str">
        <f t="shared" si="1"/>
        <v>tha#2020</v>
      </c>
      <c r="B15817" t="str">
        <f>IFERROR(__xludf.DUMMYFUNCTION("""COMPUTED_VALUE"""),"tha")</f>
        <v>tha</v>
      </c>
      <c r="C15817" t="str">
        <f>IFERROR(__xludf.DUMMYFUNCTION("""COMPUTED_VALUE"""),"Thailand")</f>
        <v>Thailand</v>
      </c>
      <c r="D15817">
        <f>IFERROR(__xludf.DUMMYFUNCTION("""COMPUTED_VALUE"""),2020.0)</f>
        <v>2020</v>
      </c>
      <c r="E15817">
        <f>IFERROR(__xludf.DUMMYFUNCTION("""COMPUTED_VALUE"""),6.9410868E7)</f>
        <v>69410868</v>
      </c>
    </row>
    <row r="15818">
      <c r="A15818" t="str">
        <f t="shared" si="1"/>
        <v>tha#2021</v>
      </c>
      <c r="B15818" t="str">
        <f>IFERROR(__xludf.DUMMYFUNCTION("""COMPUTED_VALUE"""),"tha")</f>
        <v>tha</v>
      </c>
      <c r="C15818" t="str">
        <f>IFERROR(__xludf.DUMMYFUNCTION("""COMPUTED_VALUE"""),"Thailand")</f>
        <v>Thailand</v>
      </c>
      <c r="D15818">
        <f>IFERROR(__xludf.DUMMYFUNCTION("""COMPUTED_VALUE"""),2021.0)</f>
        <v>2021</v>
      </c>
      <c r="E15818">
        <f>IFERROR(__xludf.DUMMYFUNCTION("""COMPUTED_VALUE"""),6.9498124E7)</f>
        <v>69498124</v>
      </c>
    </row>
    <row r="15819">
      <c r="A15819" t="str">
        <f t="shared" si="1"/>
        <v>tha#2022</v>
      </c>
      <c r="B15819" t="str">
        <f>IFERROR(__xludf.DUMMYFUNCTION("""COMPUTED_VALUE"""),"tha")</f>
        <v>tha</v>
      </c>
      <c r="C15819" t="str">
        <f>IFERROR(__xludf.DUMMYFUNCTION("""COMPUTED_VALUE"""),"Thailand")</f>
        <v>Thailand</v>
      </c>
      <c r="D15819">
        <f>IFERROR(__xludf.DUMMYFUNCTION("""COMPUTED_VALUE"""),2022.0)</f>
        <v>2022</v>
      </c>
      <c r="E15819">
        <f>IFERROR(__xludf.DUMMYFUNCTION("""COMPUTED_VALUE"""),6.9567505E7)</f>
        <v>69567505</v>
      </c>
    </row>
    <row r="15820">
      <c r="A15820" t="str">
        <f t="shared" si="1"/>
        <v>tha#2023</v>
      </c>
      <c r="B15820" t="str">
        <f>IFERROR(__xludf.DUMMYFUNCTION("""COMPUTED_VALUE"""),"tha")</f>
        <v>tha</v>
      </c>
      <c r="C15820" t="str">
        <f>IFERROR(__xludf.DUMMYFUNCTION("""COMPUTED_VALUE"""),"Thailand")</f>
        <v>Thailand</v>
      </c>
      <c r="D15820">
        <f>IFERROR(__xludf.DUMMYFUNCTION("""COMPUTED_VALUE"""),2023.0)</f>
        <v>2023</v>
      </c>
      <c r="E15820">
        <f>IFERROR(__xludf.DUMMYFUNCTION("""COMPUTED_VALUE"""),6.962074E7)</f>
        <v>69620740</v>
      </c>
    </row>
    <row r="15821">
      <c r="A15821" t="str">
        <f t="shared" si="1"/>
        <v>tha#2024</v>
      </c>
      <c r="B15821" t="str">
        <f>IFERROR(__xludf.DUMMYFUNCTION("""COMPUTED_VALUE"""),"tha")</f>
        <v>tha</v>
      </c>
      <c r="C15821" t="str">
        <f>IFERROR(__xludf.DUMMYFUNCTION("""COMPUTED_VALUE"""),"Thailand")</f>
        <v>Thailand</v>
      </c>
      <c r="D15821">
        <f>IFERROR(__xludf.DUMMYFUNCTION("""COMPUTED_VALUE"""),2024.0)</f>
        <v>2024</v>
      </c>
      <c r="E15821">
        <f>IFERROR(__xludf.DUMMYFUNCTION("""COMPUTED_VALUE"""),6.9659623E7)</f>
        <v>69659623</v>
      </c>
    </row>
    <row r="15822">
      <c r="A15822" t="str">
        <f t="shared" si="1"/>
        <v>tha#2025</v>
      </c>
      <c r="B15822" t="str">
        <f>IFERROR(__xludf.DUMMYFUNCTION("""COMPUTED_VALUE"""),"tha")</f>
        <v>tha</v>
      </c>
      <c r="C15822" t="str">
        <f>IFERROR(__xludf.DUMMYFUNCTION("""COMPUTED_VALUE"""),"Thailand")</f>
        <v>Thailand</v>
      </c>
      <c r="D15822">
        <f>IFERROR(__xludf.DUMMYFUNCTION("""COMPUTED_VALUE"""),2025.0)</f>
        <v>2025</v>
      </c>
      <c r="E15822">
        <f>IFERROR(__xludf.DUMMYFUNCTION("""COMPUTED_VALUE"""),6.9685486E7)</f>
        <v>69685486</v>
      </c>
    </row>
    <row r="15823">
      <c r="A15823" t="str">
        <f t="shared" si="1"/>
        <v>tha#2026</v>
      </c>
      <c r="B15823" t="str">
        <f>IFERROR(__xludf.DUMMYFUNCTION("""COMPUTED_VALUE"""),"tha")</f>
        <v>tha</v>
      </c>
      <c r="C15823" t="str">
        <f>IFERROR(__xludf.DUMMYFUNCTION("""COMPUTED_VALUE"""),"Thailand")</f>
        <v>Thailand</v>
      </c>
      <c r="D15823">
        <f>IFERROR(__xludf.DUMMYFUNCTION("""COMPUTED_VALUE"""),2026.0)</f>
        <v>2026</v>
      </c>
      <c r="E15823">
        <f>IFERROR(__xludf.DUMMYFUNCTION("""COMPUTED_VALUE"""),6.9699233E7)</f>
        <v>69699233</v>
      </c>
    </row>
    <row r="15824">
      <c r="A15824" t="str">
        <f t="shared" si="1"/>
        <v>tha#2027</v>
      </c>
      <c r="B15824" t="str">
        <f>IFERROR(__xludf.DUMMYFUNCTION("""COMPUTED_VALUE"""),"tha")</f>
        <v>tha</v>
      </c>
      <c r="C15824" t="str">
        <f>IFERROR(__xludf.DUMMYFUNCTION("""COMPUTED_VALUE"""),"Thailand")</f>
        <v>Thailand</v>
      </c>
      <c r="D15824">
        <f>IFERROR(__xludf.DUMMYFUNCTION("""COMPUTED_VALUE"""),2027.0)</f>
        <v>2027</v>
      </c>
      <c r="E15824">
        <f>IFERROR(__xludf.DUMMYFUNCTION("""COMPUTED_VALUE"""),6.9700973E7)</f>
        <v>69700973</v>
      </c>
    </row>
    <row r="15825">
      <c r="A15825" t="str">
        <f t="shared" si="1"/>
        <v>tha#2028</v>
      </c>
      <c r="B15825" t="str">
        <f>IFERROR(__xludf.DUMMYFUNCTION("""COMPUTED_VALUE"""),"tha")</f>
        <v>tha</v>
      </c>
      <c r="C15825" t="str">
        <f>IFERROR(__xludf.DUMMYFUNCTION("""COMPUTED_VALUE"""),"Thailand")</f>
        <v>Thailand</v>
      </c>
      <c r="D15825">
        <f>IFERROR(__xludf.DUMMYFUNCTION("""COMPUTED_VALUE"""),2028.0)</f>
        <v>2028</v>
      </c>
      <c r="E15825">
        <f>IFERROR(__xludf.DUMMYFUNCTION("""COMPUTED_VALUE"""),6.9690112E7)</f>
        <v>69690112</v>
      </c>
    </row>
    <row r="15826">
      <c r="A15826" t="str">
        <f t="shared" si="1"/>
        <v>tha#2029</v>
      </c>
      <c r="B15826" t="str">
        <f>IFERROR(__xludf.DUMMYFUNCTION("""COMPUTED_VALUE"""),"tha")</f>
        <v>tha</v>
      </c>
      <c r="C15826" t="str">
        <f>IFERROR(__xludf.DUMMYFUNCTION("""COMPUTED_VALUE"""),"Thailand")</f>
        <v>Thailand</v>
      </c>
      <c r="D15826">
        <f>IFERROR(__xludf.DUMMYFUNCTION("""COMPUTED_VALUE"""),2029.0)</f>
        <v>2029</v>
      </c>
      <c r="E15826">
        <f>IFERROR(__xludf.DUMMYFUNCTION("""COMPUTED_VALUE"""),6.9665506E7)</f>
        <v>69665506</v>
      </c>
    </row>
    <row r="15827">
      <c r="A15827" t="str">
        <f t="shared" si="1"/>
        <v>tha#2030</v>
      </c>
      <c r="B15827" t="str">
        <f>IFERROR(__xludf.DUMMYFUNCTION("""COMPUTED_VALUE"""),"tha")</f>
        <v>tha</v>
      </c>
      <c r="C15827" t="str">
        <f>IFERROR(__xludf.DUMMYFUNCTION("""COMPUTED_VALUE"""),"Thailand")</f>
        <v>Thailand</v>
      </c>
      <c r="D15827">
        <f>IFERROR(__xludf.DUMMYFUNCTION("""COMPUTED_VALUE"""),2030.0)</f>
        <v>2030</v>
      </c>
      <c r="E15827">
        <f>IFERROR(__xludf.DUMMYFUNCTION("""COMPUTED_VALUE"""),6.9626212E7)</f>
        <v>69626212</v>
      </c>
    </row>
    <row r="15828">
      <c r="A15828" t="str">
        <f t="shared" si="1"/>
        <v>tha#2031</v>
      </c>
      <c r="B15828" t="str">
        <f>IFERROR(__xludf.DUMMYFUNCTION("""COMPUTED_VALUE"""),"tha")</f>
        <v>tha</v>
      </c>
      <c r="C15828" t="str">
        <f>IFERROR(__xludf.DUMMYFUNCTION("""COMPUTED_VALUE"""),"Thailand")</f>
        <v>Thailand</v>
      </c>
      <c r="D15828">
        <f>IFERROR(__xludf.DUMMYFUNCTION("""COMPUTED_VALUE"""),2031.0)</f>
        <v>2031</v>
      </c>
      <c r="E15828">
        <f>IFERROR(__xludf.DUMMYFUNCTION("""COMPUTED_VALUE"""),6.9572239E7)</f>
        <v>69572239</v>
      </c>
    </row>
    <row r="15829">
      <c r="A15829" t="str">
        <f t="shared" si="1"/>
        <v>tha#2032</v>
      </c>
      <c r="B15829" t="str">
        <f>IFERROR(__xludf.DUMMYFUNCTION("""COMPUTED_VALUE"""),"tha")</f>
        <v>tha</v>
      </c>
      <c r="C15829" t="str">
        <f>IFERROR(__xludf.DUMMYFUNCTION("""COMPUTED_VALUE"""),"Thailand")</f>
        <v>Thailand</v>
      </c>
      <c r="D15829">
        <f>IFERROR(__xludf.DUMMYFUNCTION("""COMPUTED_VALUE"""),2032.0)</f>
        <v>2032</v>
      </c>
      <c r="E15829">
        <f>IFERROR(__xludf.DUMMYFUNCTION("""COMPUTED_VALUE"""),6.9503583E7)</f>
        <v>69503583</v>
      </c>
    </row>
    <row r="15830">
      <c r="A15830" t="str">
        <f t="shared" si="1"/>
        <v>tha#2033</v>
      </c>
      <c r="B15830" t="str">
        <f>IFERROR(__xludf.DUMMYFUNCTION("""COMPUTED_VALUE"""),"tha")</f>
        <v>tha</v>
      </c>
      <c r="C15830" t="str">
        <f>IFERROR(__xludf.DUMMYFUNCTION("""COMPUTED_VALUE"""),"Thailand")</f>
        <v>Thailand</v>
      </c>
      <c r="D15830">
        <f>IFERROR(__xludf.DUMMYFUNCTION("""COMPUTED_VALUE"""),2033.0)</f>
        <v>2033</v>
      </c>
      <c r="E15830">
        <f>IFERROR(__xludf.DUMMYFUNCTION("""COMPUTED_VALUE"""),6.9419331E7)</f>
        <v>69419331</v>
      </c>
    </row>
    <row r="15831">
      <c r="A15831" t="str">
        <f t="shared" si="1"/>
        <v>tha#2034</v>
      </c>
      <c r="B15831" t="str">
        <f>IFERROR(__xludf.DUMMYFUNCTION("""COMPUTED_VALUE"""),"tha")</f>
        <v>tha</v>
      </c>
      <c r="C15831" t="str">
        <f>IFERROR(__xludf.DUMMYFUNCTION("""COMPUTED_VALUE"""),"Thailand")</f>
        <v>Thailand</v>
      </c>
      <c r="D15831">
        <f>IFERROR(__xludf.DUMMYFUNCTION("""COMPUTED_VALUE"""),2034.0)</f>
        <v>2034</v>
      </c>
      <c r="E15831">
        <f>IFERROR(__xludf.DUMMYFUNCTION("""COMPUTED_VALUE"""),6.9318316E7)</f>
        <v>69318316</v>
      </c>
    </row>
    <row r="15832">
      <c r="A15832" t="str">
        <f t="shared" si="1"/>
        <v>tha#2035</v>
      </c>
      <c r="B15832" t="str">
        <f>IFERROR(__xludf.DUMMYFUNCTION("""COMPUTED_VALUE"""),"tha")</f>
        <v>tha</v>
      </c>
      <c r="C15832" t="str">
        <f>IFERROR(__xludf.DUMMYFUNCTION("""COMPUTED_VALUE"""),"Thailand")</f>
        <v>Thailand</v>
      </c>
      <c r="D15832">
        <f>IFERROR(__xludf.DUMMYFUNCTION("""COMPUTED_VALUE"""),2035.0)</f>
        <v>2035</v>
      </c>
      <c r="E15832">
        <f>IFERROR(__xludf.DUMMYFUNCTION("""COMPUTED_VALUE"""),6.9199658E7)</f>
        <v>69199658</v>
      </c>
    </row>
    <row r="15833">
      <c r="A15833" t="str">
        <f t="shared" si="1"/>
        <v>tha#2036</v>
      </c>
      <c r="B15833" t="str">
        <f>IFERROR(__xludf.DUMMYFUNCTION("""COMPUTED_VALUE"""),"tha")</f>
        <v>tha</v>
      </c>
      <c r="C15833" t="str">
        <f>IFERROR(__xludf.DUMMYFUNCTION("""COMPUTED_VALUE"""),"Thailand")</f>
        <v>Thailand</v>
      </c>
      <c r="D15833">
        <f>IFERROR(__xludf.DUMMYFUNCTION("""COMPUTED_VALUE"""),2036.0)</f>
        <v>2036</v>
      </c>
      <c r="E15833">
        <f>IFERROR(__xludf.DUMMYFUNCTION("""COMPUTED_VALUE"""),6.9063054E7)</f>
        <v>69063054</v>
      </c>
    </row>
    <row r="15834">
      <c r="A15834" t="str">
        <f t="shared" si="1"/>
        <v>tha#2037</v>
      </c>
      <c r="B15834" t="str">
        <f>IFERROR(__xludf.DUMMYFUNCTION("""COMPUTED_VALUE"""),"tha")</f>
        <v>tha</v>
      </c>
      <c r="C15834" t="str">
        <f>IFERROR(__xludf.DUMMYFUNCTION("""COMPUTED_VALUE"""),"Thailand")</f>
        <v>Thailand</v>
      </c>
      <c r="D15834">
        <f>IFERROR(__xludf.DUMMYFUNCTION("""COMPUTED_VALUE"""),2037.0)</f>
        <v>2037</v>
      </c>
      <c r="E15834">
        <f>IFERROR(__xludf.DUMMYFUNCTION("""COMPUTED_VALUE"""),6.8908559E7)</f>
        <v>68908559</v>
      </c>
    </row>
    <row r="15835">
      <c r="A15835" t="str">
        <f t="shared" si="1"/>
        <v>tha#2038</v>
      </c>
      <c r="B15835" t="str">
        <f>IFERROR(__xludf.DUMMYFUNCTION("""COMPUTED_VALUE"""),"tha")</f>
        <v>tha</v>
      </c>
      <c r="C15835" t="str">
        <f>IFERROR(__xludf.DUMMYFUNCTION("""COMPUTED_VALUE"""),"Thailand")</f>
        <v>Thailand</v>
      </c>
      <c r="D15835">
        <f>IFERROR(__xludf.DUMMYFUNCTION("""COMPUTED_VALUE"""),2038.0)</f>
        <v>2038</v>
      </c>
      <c r="E15835">
        <f>IFERROR(__xludf.DUMMYFUNCTION("""COMPUTED_VALUE"""),6.8736189E7)</f>
        <v>68736189</v>
      </c>
    </row>
    <row r="15836">
      <c r="A15836" t="str">
        <f t="shared" si="1"/>
        <v>tha#2039</v>
      </c>
      <c r="B15836" t="str">
        <f>IFERROR(__xludf.DUMMYFUNCTION("""COMPUTED_VALUE"""),"tha")</f>
        <v>tha</v>
      </c>
      <c r="C15836" t="str">
        <f>IFERROR(__xludf.DUMMYFUNCTION("""COMPUTED_VALUE"""),"Thailand")</f>
        <v>Thailand</v>
      </c>
      <c r="D15836">
        <f>IFERROR(__xludf.DUMMYFUNCTION("""COMPUTED_VALUE"""),2039.0)</f>
        <v>2039</v>
      </c>
      <c r="E15836">
        <f>IFERROR(__xludf.DUMMYFUNCTION("""COMPUTED_VALUE"""),6.85461E7)</f>
        <v>68546100</v>
      </c>
    </row>
    <row r="15837">
      <c r="A15837" t="str">
        <f t="shared" si="1"/>
        <v>tha#2040</v>
      </c>
      <c r="B15837" t="str">
        <f>IFERROR(__xludf.DUMMYFUNCTION("""COMPUTED_VALUE"""),"tha")</f>
        <v>tha</v>
      </c>
      <c r="C15837" t="str">
        <f>IFERROR(__xludf.DUMMYFUNCTION("""COMPUTED_VALUE"""),"Thailand")</f>
        <v>Thailand</v>
      </c>
      <c r="D15837">
        <f>IFERROR(__xludf.DUMMYFUNCTION("""COMPUTED_VALUE"""),2040.0)</f>
        <v>2040</v>
      </c>
      <c r="E15837">
        <f>IFERROR(__xludf.DUMMYFUNCTION("""COMPUTED_VALUE"""),6.8338474E7)</f>
        <v>68338474</v>
      </c>
    </row>
    <row r="15838">
      <c r="A15838" t="str">
        <f t="shared" si="1"/>
        <v>tls#1950</v>
      </c>
      <c r="B15838" t="str">
        <f>IFERROR(__xludf.DUMMYFUNCTION("""COMPUTED_VALUE"""),"tls")</f>
        <v>tls</v>
      </c>
      <c r="C15838" t="str">
        <f>IFERROR(__xludf.DUMMYFUNCTION("""COMPUTED_VALUE"""),"Timor-Leste")</f>
        <v>Timor-Leste</v>
      </c>
      <c r="D15838">
        <f>IFERROR(__xludf.DUMMYFUNCTION("""COMPUTED_VALUE"""),1950.0)</f>
        <v>1950</v>
      </c>
      <c r="E15838">
        <f>IFERROR(__xludf.DUMMYFUNCTION("""COMPUTED_VALUE"""),433397.0)</f>
        <v>433397</v>
      </c>
    </row>
    <row r="15839">
      <c r="A15839" t="str">
        <f t="shared" si="1"/>
        <v>tls#1951</v>
      </c>
      <c r="B15839" t="str">
        <f>IFERROR(__xludf.DUMMYFUNCTION("""COMPUTED_VALUE"""),"tls")</f>
        <v>tls</v>
      </c>
      <c r="C15839" t="str">
        <f>IFERROR(__xludf.DUMMYFUNCTION("""COMPUTED_VALUE"""),"Timor-Leste")</f>
        <v>Timor-Leste</v>
      </c>
      <c r="D15839">
        <f>IFERROR(__xludf.DUMMYFUNCTION("""COMPUTED_VALUE"""),1951.0)</f>
        <v>1951</v>
      </c>
      <c r="E15839">
        <f>IFERROR(__xludf.DUMMYFUNCTION("""COMPUTED_VALUE"""),438237.0)</f>
        <v>438237</v>
      </c>
    </row>
    <row r="15840">
      <c r="A15840" t="str">
        <f t="shared" si="1"/>
        <v>tls#1952</v>
      </c>
      <c r="B15840" t="str">
        <f>IFERROR(__xludf.DUMMYFUNCTION("""COMPUTED_VALUE"""),"tls")</f>
        <v>tls</v>
      </c>
      <c r="C15840" t="str">
        <f>IFERROR(__xludf.DUMMYFUNCTION("""COMPUTED_VALUE"""),"Timor-Leste")</f>
        <v>Timor-Leste</v>
      </c>
      <c r="D15840">
        <f>IFERROR(__xludf.DUMMYFUNCTION("""COMPUTED_VALUE"""),1952.0)</f>
        <v>1952</v>
      </c>
      <c r="E15840">
        <f>IFERROR(__xludf.DUMMYFUNCTION("""COMPUTED_VALUE"""),443420.0)</f>
        <v>443420</v>
      </c>
    </row>
    <row r="15841">
      <c r="A15841" t="str">
        <f t="shared" si="1"/>
        <v>tls#1953</v>
      </c>
      <c r="B15841" t="str">
        <f>IFERROR(__xludf.DUMMYFUNCTION("""COMPUTED_VALUE"""),"tls")</f>
        <v>tls</v>
      </c>
      <c r="C15841" t="str">
        <f>IFERROR(__xludf.DUMMYFUNCTION("""COMPUTED_VALUE"""),"Timor-Leste")</f>
        <v>Timor-Leste</v>
      </c>
      <c r="D15841">
        <f>IFERROR(__xludf.DUMMYFUNCTION("""COMPUTED_VALUE"""),1953.0)</f>
        <v>1953</v>
      </c>
      <c r="E15841">
        <f>IFERROR(__xludf.DUMMYFUNCTION("""COMPUTED_VALUE"""),448981.0)</f>
        <v>448981</v>
      </c>
    </row>
    <row r="15842">
      <c r="A15842" t="str">
        <f t="shared" si="1"/>
        <v>tls#1954</v>
      </c>
      <c r="B15842" t="str">
        <f>IFERROR(__xludf.DUMMYFUNCTION("""COMPUTED_VALUE"""),"tls")</f>
        <v>tls</v>
      </c>
      <c r="C15842" t="str">
        <f>IFERROR(__xludf.DUMMYFUNCTION("""COMPUTED_VALUE"""),"Timor-Leste")</f>
        <v>Timor-Leste</v>
      </c>
      <c r="D15842">
        <f>IFERROR(__xludf.DUMMYFUNCTION("""COMPUTED_VALUE"""),1954.0)</f>
        <v>1954</v>
      </c>
      <c r="E15842">
        <f>IFERROR(__xludf.DUMMYFUNCTION("""COMPUTED_VALUE"""),454968.0)</f>
        <v>454968</v>
      </c>
    </row>
    <row r="15843">
      <c r="A15843" t="str">
        <f t="shared" si="1"/>
        <v>tls#1955</v>
      </c>
      <c r="B15843" t="str">
        <f>IFERROR(__xludf.DUMMYFUNCTION("""COMPUTED_VALUE"""),"tls")</f>
        <v>tls</v>
      </c>
      <c r="C15843" t="str">
        <f>IFERROR(__xludf.DUMMYFUNCTION("""COMPUTED_VALUE"""),"Timor-Leste")</f>
        <v>Timor-Leste</v>
      </c>
      <c r="D15843">
        <f>IFERROR(__xludf.DUMMYFUNCTION("""COMPUTED_VALUE"""),1955.0)</f>
        <v>1955</v>
      </c>
      <c r="E15843">
        <f>IFERROR(__xludf.DUMMYFUNCTION("""COMPUTED_VALUE"""),461385.0)</f>
        <v>461385</v>
      </c>
    </row>
    <row r="15844">
      <c r="A15844" t="str">
        <f t="shared" si="1"/>
        <v>tls#1956</v>
      </c>
      <c r="B15844" t="str">
        <f>IFERROR(__xludf.DUMMYFUNCTION("""COMPUTED_VALUE"""),"tls")</f>
        <v>tls</v>
      </c>
      <c r="C15844" t="str">
        <f>IFERROR(__xludf.DUMMYFUNCTION("""COMPUTED_VALUE"""),"Timor-Leste")</f>
        <v>Timor-Leste</v>
      </c>
      <c r="D15844">
        <f>IFERROR(__xludf.DUMMYFUNCTION("""COMPUTED_VALUE"""),1956.0)</f>
        <v>1956</v>
      </c>
      <c r="E15844">
        <f>IFERROR(__xludf.DUMMYFUNCTION("""COMPUTED_VALUE"""),468246.0)</f>
        <v>468246</v>
      </c>
    </row>
    <row r="15845">
      <c r="A15845" t="str">
        <f t="shared" si="1"/>
        <v>tls#1957</v>
      </c>
      <c r="B15845" t="str">
        <f>IFERROR(__xludf.DUMMYFUNCTION("""COMPUTED_VALUE"""),"tls")</f>
        <v>tls</v>
      </c>
      <c r="C15845" t="str">
        <f>IFERROR(__xludf.DUMMYFUNCTION("""COMPUTED_VALUE"""),"Timor-Leste")</f>
        <v>Timor-Leste</v>
      </c>
      <c r="D15845">
        <f>IFERROR(__xludf.DUMMYFUNCTION("""COMPUTED_VALUE"""),1957.0)</f>
        <v>1957</v>
      </c>
      <c r="E15845">
        <f>IFERROR(__xludf.DUMMYFUNCTION("""COMPUTED_VALUE"""),475546.0)</f>
        <v>475546</v>
      </c>
    </row>
    <row r="15846">
      <c r="A15846" t="str">
        <f t="shared" si="1"/>
        <v>tls#1958</v>
      </c>
      <c r="B15846" t="str">
        <f>IFERROR(__xludf.DUMMYFUNCTION("""COMPUTED_VALUE"""),"tls")</f>
        <v>tls</v>
      </c>
      <c r="C15846" t="str">
        <f>IFERROR(__xludf.DUMMYFUNCTION("""COMPUTED_VALUE"""),"Timor-Leste")</f>
        <v>Timor-Leste</v>
      </c>
      <c r="D15846">
        <f>IFERROR(__xludf.DUMMYFUNCTION("""COMPUTED_VALUE"""),1958.0)</f>
        <v>1958</v>
      </c>
      <c r="E15846">
        <f>IFERROR(__xludf.DUMMYFUNCTION("""COMPUTED_VALUE"""),483279.0)</f>
        <v>483279</v>
      </c>
    </row>
    <row r="15847">
      <c r="A15847" t="str">
        <f t="shared" si="1"/>
        <v>tls#1959</v>
      </c>
      <c r="B15847" t="str">
        <f>IFERROR(__xludf.DUMMYFUNCTION("""COMPUTED_VALUE"""),"tls")</f>
        <v>tls</v>
      </c>
      <c r="C15847" t="str">
        <f>IFERROR(__xludf.DUMMYFUNCTION("""COMPUTED_VALUE"""),"Timor-Leste")</f>
        <v>Timor-Leste</v>
      </c>
      <c r="D15847">
        <f>IFERROR(__xludf.DUMMYFUNCTION("""COMPUTED_VALUE"""),1959.0)</f>
        <v>1959</v>
      </c>
      <c r="E15847">
        <f>IFERROR(__xludf.DUMMYFUNCTION("""COMPUTED_VALUE"""),491423.0)</f>
        <v>491423</v>
      </c>
    </row>
    <row r="15848">
      <c r="A15848" t="str">
        <f t="shared" si="1"/>
        <v>tls#1960</v>
      </c>
      <c r="B15848" t="str">
        <f>IFERROR(__xludf.DUMMYFUNCTION("""COMPUTED_VALUE"""),"tls")</f>
        <v>tls</v>
      </c>
      <c r="C15848" t="str">
        <f>IFERROR(__xludf.DUMMYFUNCTION("""COMPUTED_VALUE"""),"Timor-Leste")</f>
        <v>Timor-Leste</v>
      </c>
      <c r="D15848">
        <f>IFERROR(__xludf.DUMMYFUNCTION("""COMPUTED_VALUE"""),1960.0)</f>
        <v>1960</v>
      </c>
      <c r="E15848">
        <f>IFERROR(__xludf.DUMMYFUNCTION("""COMPUTED_VALUE"""),499950.0)</f>
        <v>499950</v>
      </c>
    </row>
    <row r="15849">
      <c r="A15849" t="str">
        <f t="shared" si="1"/>
        <v>tls#1961</v>
      </c>
      <c r="B15849" t="str">
        <f>IFERROR(__xludf.DUMMYFUNCTION("""COMPUTED_VALUE"""),"tls")</f>
        <v>tls</v>
      </c>
      <c r="C15849" t="str">
        <f>IFERROR(__xludf.DUMMYFUNCTION("""COMPUTED_VALUE"""),"Timor-Leste")</f>
        <v>Timor-Leste</v>
      </c>
      <c r="D15849">
        <f>IFERROR(__xludf.DUMMYFUNCTION("""COMPUTED_VALUE"""),1961.0)</f>
        <v>1961</v>
      </c>
      <c r="E15849">
        <f>IFERROR(__xludf.DUMMYFUNCTION("""COMPUTED_VALUE"""),508845.0)</f>
        <v>508845</v>
      </c>
    </row>
    <row r="15850">
      <c r="A15850" t="str">
        <f t="shared" si="1"/>
        <v>tls#1962</v>
      </c>
      <c r="B15850" t="str">
        <f>IFERROR(__xludf.DUMMYFUNCTION("""COMPUTED_VALUE"""),"tls")</f>
        <v>tls</v>
      </c>
      <c r="C15850" t="str">
        <f>IFERROR(__xludf.DUMMYFUNCTION("""COMPUTED_VALUE"""),"Timor-Leste")</f>
        <v>Timor-Leste</v>
      </c>
      <c r="D15850">
        <f>IFERROR(__xludf.DUMMYFUNCTION("""COMPUTED_VALUE"""),1962.0)</f>
        <v>1962</v>
      </c>
      <c r="E15850">
        <f>IFERROR(__xludf.DUMMYFUNCTION("""COMPUTED_VALUE"""),518107.0)</f>
        <v>518107</v>
      </c>
    </row>
    <row r="15851">
      <c r="A15851" t="str">
        <f t="shared" si="1"/>
        <v>tls#1963</v>
      </c>
      <c r="B15851" t="str">
        <f>IFERROR(__xludf.DUMMYFUNCTION("""COMPUTED_VALUE"""),"tls")</f>
        <v>tls</v>
      </c>
      <c r="C15851" t="str">
        <f>IFERROR(__xludf.DUMMYFUNCTION("""COMPUTED_VALUE"""),"Timor-Leste")</f>
        <v>Timor-Leste</v>
      </c>
      <c r="D15851">
        <f>IFERROR(__xludf.DUMMYFUNCTION("""COMPUTED_VALUE"""),1963.0)</f>
        <v>1963</v>
      </c>
      <c r="E15851">
        <f>IFERROR(__xludf.DUMMYFUNCTION("""COMPUTED_VALUE"""),527749.0)</f>
        <v>527749</v>
      </c>
    </row>
    <row r="15852">
      <c r="A15852" t="str">
        <f t="shared" si="1"/>
        <v>tls#1964</v>
      </c>
      <c r="B15852" t="str">
        <f>IFERROR(__xludf.DUMMYFUNCTION("""COMPUTED_VALUE"""),"tls")</f>
        <v>tls</v>
      </c>
      <c r="C15852" t="str">
        <f>IFERROR(__xludf.DUMMYFUNCTION("""COMPUTED_VALUE"""),"Timor-Leste")</f>
        <v>Timor-Leste</v>
      </c>
      <c r="D15852">
        <f>IFERROR(__xludf.DUMMYFUNCTION("""COMPUTED_VALUE"""),1964.0)</f>
        <v>1964</v>
      </c>
      <c r="E15852">
        <f>IFERROR(__xludf.DUMMYFUNCTION("""COMPUTED_VALUE"""),537786.0)</f>
        <v>537786</v>
      </c>
    </row>
    <row r="15853">
      <c r="A15853" t="str">
        <f t="shared" si="1"/>
        <v>tls#1965</v>
      </c>
      <c r="B15853" t="str">
        <f>IFERROR(__xludf.DUMMYFUNCTION("""COMPUTED_VALUE"""),"tls")</f>
        <v>tls</v>
      </c>
      <c r="C15853" t="str">
        <f>IFERROR(__xludf.DUMMYFUNCTION("""COMPUTED_VALUE"""),"Timor-Leste")</f>
        <v>Timor-Leste</v>
      </c>
      <c r="D15853">
        <f>IFERROR(__xludf.DUMMYFUNCTION("""COMPUTED_VALUE"""),1965.0)</f>
        <v>1965</v>
      </c>
      <c r="E15853">
        <f>IFERROR(__xludf.DUMMYFUNCTION("""COMPUTED_VALUE"""),548218.0)</f>
        <v>548218</v>
      </c>
    </row>
    <row r="15854">
      <c r="A15854" t="str">
        <f t="shared" si="1"/>
        <v>tls#1966</v>
      </c>
      <c r="B15854" t="str">
        <f>IFERROR(__xludf.DUMMYFUNCTION("""COMPUTED_VALUE"""),"tls")</f>
        <v>tls</v>
      </c>
      <c r="C15854" t="str">
        <f>IFERROR(__xludf.DUMMYFUNCTION("""COMPUTED_VALUE"""),"Timor-Leste")</f>
        <v>Timor-Leste</v>
      </c>
      <c r="D15854">
        <f>IFERROR(__xludf.DUMMYFUNCTION("""COMPUTED_VALUE"""),1966.0)</f>
        <v>1966</v>
      </c>
      <c r="E15854">
        <f>IFERROR(__xludf.DUMMYFUNCTION("""COMPUTED_VALUE"""),558676.0)</f>
        <v>558676</v>
      </c>
    </row>
    <row r="15855">
      <c r="A15855" t="str">
        <f t="shared" si="1"/>
        <v>tls#1967</v>
      </c>
      <c r="B15855" t="str">
        <f>IFERROR(__xludf.DUMMYFUNCTION("""COMPUTED_VALUE"""),"tls")</f>
        <v>tls</v>
      </c>
      <c r="C15855" t="str">
        <f>IFERROR(__xludf.DUMMYFUNCTION("""COMPUTED_VALUE"""),"Timor-Leste")</f>
        <v>Timor-Leste</v>
      </c>
      <c r="D15855">
        <f>IFERROR(__xludf.DUMMYFUNCTION("""COMPUTED_VALUE"""),1967.0)</f>
        <v>1967</v>
      </c>
      <c r="E15855">
        <f>IFERROR(__xludf.DUMMYFUNCTION("""COMPUTED_VALUE"""),569031.0)</f>
        <v>569031</v>
      </c>
    </row>
    <row r="15856">
      <c r="A15856" t="str">
        <f t="shared" si="1"/>
        <v>tls#1968</v>
      </c>
      <c r="B15856" t="str">
        <f>IFERROR(__xludf.DUMMYFUNCTION("""COMPUTED_VALUE"""),"tls")</f>
        <v>tls</v>
      </c>
      <c r="C15856" t="str">
        <f>IFERROR(__xludf.DUMMYFUNCTION("""COMPUTED_VALUE"""),"Timor-Leste")</f>
        <v>Timor-Leste</v>
      </c>
      <c r="D15856">
        <f>IFERROR(__xludf.DUMMYFUNCTION("""COMPUTED_VALUE"""),1968.0)</f>
        <v>1968</v>
      </c>
      <c r="E15856">
        <f>IFERROR(__xludf.DUMMYFUNCTION("""COMPUTED_VALUE"""),579807.0)</f>
        <v>579807</v>
      </c>
    </row>
    <row r="15857">
      <c r="A15857" t="str">
        <f t="shared" si="1"/>
        <v>tls#1969</v>
      </c>
      <c r="B15857" t="str">
        <f>IFERROR(__xludf.DUMMYFUNCTION("""COMPUTED_VALUE"""),"tls")</f>
        <v>tls</v>
      </c>
      <c r="C15857" t="str">
        <f>IFERROR(__xludf.DUMMYFUNCTION("""COMPUTED_VALUE"""),"Timor-Leste")</f>
        <v>Timor-Leste</v>
      </c>
      <c r="D15857">
        <f>IFERROR(__xludf.DUMMYFUNCTION("""COMPUTED_VALUE"""),1969.0)</f>
        <v>1969</v>
      </c>
      <c r="E15857">
        <f>IFERROR(__xludf.DUMMYFUNCTION("""COMPUTED_VALUE"""),591739.0)</f>
        <v>591739</v>
      </c>
    </row>
    <row r="15858">
      <c r="A15858" t="str">
        <f t="shared" si="1"/>
        <v>tls#1970</v>
      </c>
      <c r="B15858" t="str">
        <f>IFERROR(__xludf.DUMMYFUNCTION("""COMPUTED_VALUE"""),"tls")</f>
        <v>tls</v>
      </c>
      <c r="C15858" t="str">
        <f>IFERROR(__xludf.DUMMYFUNCTION("""COMPUTED_VALUE"""),"Timor-Leste")</f>
        <v>Timor-Leste</v>
      </c>
      <c r="D15858">
        <f>IFERROR(__xludf.DUMMYFUNCTION("""COMPUTED_VALUE"""),1970.0)</f>
        <v>1970</v>
      </c>
      <c r="E15858">
        <f>IFERROR(__xludf.DUMMYFUNCTION("""COMPUTED_VALUE"""),605125.0)</f>
        <v>605125</v>
      </c>
    </row>
    <row r="15859">
      <c r="A15859" t="str">
        <f t="shared" si="1"/>
        <v>tls#1971</v>
      </c>
      <c r="B15859" t="str">
        <f>IFERROR(__xludf.DUMMYFUNCTION("""COMPUTED_VALUE"""),"tls")</f>
        <v>tls</v>
      </c>
      <c r="C15859" t="str">
        <f>IFERROR(__xludf.DUMMYFUNCTION("""COMPUTED_VALUE"""),"Timor-Leste")</f>
        <v>Timor-Leste</v>
      </c>
      <c r="D15859">
        <f>IFERROR(__xludf.DUMMYFUNCTION("""COMPUTED_VALUE"""),1971.0)</f>
        <v>1971</v>
      </c>
      <c r="E15859">
        <f>IFERROR(__xludf.DUMMYFUNCTION("""COMPUTED_VALUE"""),620945.0)</f>
        <v>620945</v>
      </c>
    </row>
    <row r="15860">
      <c r="A15860" t="str">
        <f t="shared" si="1"/>
        <v>tls#1972</v>
      </c>
      <c r="B15860" t="str">
        <f>IFERROR(__xludf.DUMMYFUNCTION("""COMPUTED_VALUE"""),"tls")</f>
        <v>tls</v>
      </c>
      <c r="C15860" t="str">
        <f>IFERROR(__xludf.DUMMYFUNCTION("""COMPUTED_VALUE"""),"Timor-Leste")</f>
        <v>Timor-Leste</v>
      </c>
      <c r="D15860">
        <f>IFERROR(__xludf.DUMMYFUNCTION("""COMPUTED_VALUE"""),1972.0)</f>
        <v>1972</v>
      </c>
      <c r="E15860">
        <f>IFERROR(__xludf.DUMMYFUNCTION("""COMPUTED_VALUE"""),638499.0)</f>
        <v>638499</v>
      </c>
    </row>
    <row r="15861">
      <c r="A15861" t="str">
        <f t="shared" si="1"/>
        <v>tls#1973</v>
      </c>
      <c r="B15861" t="str">
        <f>IFERROR(__xludf.DUMMYFUNCTION("""COMPUTED_VALUE"""),"tls")</f>
        <v>tls</v>
      </c>
      <c r="C15861" t="str">
        <f>IFERROR(__xludf.DUMMYFUNCTION("""COMPUTED_VALUE"""),"Timor-Leste")</f>
        <v>Timor-Leste</v>
      </c>
      <c r="D15861">
        <f>IFERROR(__xludf.DUMMYFUNCTION("""COMPUTED_VALUE"""),1973.0)</f>
        <v>1973</v>
      </c>
      <c r="E15861">
        <f>IFERROR(__xludf.DUMMYFUNCTION("""COMPUTED_VALUE"""),654437.0)</f>
        <v>654437</v>
      </c>
    </row>
    <row r="15862">
      <c r="A15862" t="str">
        <f t="shared" si="1"/>
        <v>tls#1974</v>
      </c>
      <c r="B15862" t="str">
        <f>IFERROR(__xludf.DUMMYFUNCTION("""COMPUTED_VALUE"""),"tls")</f>
        <v>tls</v>
      </c>
      <c r="C15862" t="str">
        <f>IFERROR(__xludf.DUMMYFUNCTION("""COMPUTED_VALUE"""),"Timor-Leste")</f>
        <v>Timor-Leste</v>
      </c>
      <c r="D15862">
        <f>IFERROR(__xludf.DUMMYFUNCTION("""COMPUTED_VALUE"""),1974.0)</f>
        <v>1974</v>
      </c>
      <c r="E15862">
        <f>IFERROR(__xludf.DUMMYFUNCTION("""COMPUTED_VALUE"""),664223.0)</f>
        <v>664223</v>
      </c>
    </row>
    <row r="15863">
      <c r="A15863" t="str">
        <f t="shared" si="1"/>
        <v>tls#1975</v>
      </c>
      <c r="B15863" t="str">
        <f>IFERROR(__xludf.DUMMYFUNCTION("""COMPUTED_VALUE"""),"tls")</f>
        <v>tls</v>
      </c>
      <c r="C15863" t="str">
        <f>IFERROR(__xludf.DUMMYFUNCTION("""COMPUTED_VALUE"""),"Timor-Leste")</f>
        <v>Timor-Leste</v>
      </c>
      <c r="D15863">
        <f>IFERROR(__xludf.DUMMYFUNCTION("""COMPUTED_VALUE"""),1975.0)</f>
        <v>1975</v>
      </c>
      <c r="E15863">
        <f>IFERROR(__xludf.DUMMYFUNCTION("""COMPUTED_VALUE"""),664984.0)</f>
        <v>664984</v>
      </c>
    </row>
    <row r="15864">
      <c r="A15864" t="str">
        <f t="shared" si="1"/>
        <v>tls#1976</v>
      </c>
      <c r="B15864" t="str">
        <f>IFERROR(__xludf.DUMMYFUNCTION("""COMPUTED_VALUE"""),"tls")</f>
        <v>tls</v>
      </c>
      <c r="C15864" t="str">
        <f>IFERROR(__xludf.DUMMYFUNCTION("""COMPUTED_VALUE"""),"Timor-Leste")</f>
        <v>Timor-Leste</v>
      </c>
      <c r="D15864">
        <f>IFERROR(__xludf.DUMMYFUNCTION("""COMPUTED_VALUE"""),1976.0)</f>
        <v>1976</v>
      </c>
      <c r="E15864">
        <f>IFERROR(__xludf.DUMMYFUNCTION("""COMPUTED_VALUE"""),654947.0)</f>
        <v>654947</v>
      </c>
    </row>
    <row r="15865">
      <c r="A15865" t="str">
        <f t="shared" si="1"/>
        <v>tls#1977</v>
      </c>
      <c r="B15865" t="str">
        <f>IFERROR(__xludf.DUMMYFUNCTION("""COMPUTED_VALUE"""),"tls")</f>
        <v>tls</v>
      </c>
      <c r="C15865" t="str">
        <f>IFERROR(__xludf.DUMMYFUNCTION("""COMPUTED_VALUE"""),"Timor-Leste")</f>
        <v>Timor-Leste</v>
      </c>
      <c r="D15865">
        <f>IFERROR(__xludf.DUMMYFUNCTION("""COMPUTED_VALUE"""),1977.0)</f>
        <v>1977</v>
      </c>
      <c r="E15865">
        <f>IFERROR(__xludf.DUMMYFUNCTION("""COMPUTED_VALUE"""),636096.0)</f>
        <v>636096</v>
      </c>
    </row>
    <row r="15866">
      <c r="A15866" t="str">
        <f t="shared" si="1"/>
        <v>tls#1978</v>
      </c>
      <c r="B15866" t="str">
        <f>IFERROR(__xludf.DUMMYFUNCTION("""COMPUTED_VALUE"""),"tls")</f>
        <v>tls</v>
      </c>
      <c r="C15866" t="str">
        <f>IFERROR(__xludf.DUMMYFUNCTION("""COMPUTED_VALUE"""),"Timor-Leste")</f>
        <v>Timor-Leste</v>
      </c>
      <c r="D15866">
        <f>IFERROR(__xludf.DUMMYFUNCTION("""COMPUTED_VALUE"""),1978.0)</f>
        <v>1978</v>
      </c>
      <c r="E15866">
        <f>IFERROR(__xludf.DUMMYFUNCTION("""COMPUTED_VALUE"""),613857.0)</f>
        <v>613857</v>
      </c>
    </row>
    <row r="15867">
      <c r="A15867" t="str">
        <f t="shared" si="1"/>
        <v>tls#1979</v>
      </c>
      <c r="B15867" t="str">
        <f>IFERROR(__xludf.DUMMYFUNCTION("""COMPUTED_VALUE"""),"tls")</f>
        <v>tls</v>
      </c>
      <c r="C15867" t="str">
        <f>IFERROR(__xludf.DUMMYFUNCTION("""COMPUTED_VALUE"""),"Timor-Leste")</f>
        <v>Timor-Leste</v>
      </c>
      <c r="D15867">
        <f>IFERROR(__xludf.DUMMYFUNCTION("""COMPUTED_VALUE"""),1979.0)</f>
        <v>1979</v>
      </c>
      <c r="E15867">
        <f>IFERROR(__xludf.DUMMYFUNCTION("""COMPUTED_VALUE"""),595872.0)</f>
        <v>595872</v>
      </c>
    </row>
    <row r="15868">
      <c r="A15868" t="str">
        <f t="shared" si="1"/>
        <v>tls#1980</v>
      </c>
      <c r="B15868" t="str">
        <f>IFERROR(__xludf.DUMMYFUNCTION("""COMPUTED_VALUE"""),"tls")</f>
        <v>tls</v>
      </c>
      <c r="C15868" t="str">
        <f>IFERROR(__xludf.DUMMYFUNCTION("""COMPUTED_VALUE"""),"Timor-Leste")</f>
        <v>Timor-Leste</v>
      </c>
      <c r="D15868">
        <f>IFERROR(__xludf.DUMMYFUNCTION("""COMPUTED_VALUE"""),1980.0)</f>
        <v>1980</v>
      </c>
      <c r="E15868">
        <f>IFERROR(__xludf.DUMMYFUNCTION("""COMPUTED_VALUE"""),587563.0)</f>
        <v>587563</v>
      </c>
    </row>
    <row r="15869">
      <c r="A15869" t="str">
        <f t="shared" si="1"/>
        <v>tls#1981</v>
      </c>
      <c r="B15869" t="str">
        <f>IFERROR(__xludf.DUMMYFUNCTION("""COMPUTED_VALUE"""),"tls")</f>
        <v>tls</v>
      </c>
      <c r="C15869" t="str">
        <f>IFERROR(__xludf.DUMMYFUNCTION("""COMPUTED_VALUE"""),"Timor-Leste")</f>
        <v>Timor-Leste</v>
      </c>
      <c r="D15869">
        <f>IFERROR(__xludf.DUMMYFUNCTION("""COMPUTED_VALUE"""),1981.0)</f>
        <v>1981</v>
      </c>
      <c r="E15869">
        <f>IFERROR(__xludf.DUMMYFUNCTION("""COMPUTED_VALUE"""),591005.0)</f>
        <v>591005</v>
      </c>
    </row>
    <row r="15870">
      <c r="A15870" t="str">
        <f t="shared" si="1"/>
        <v>tls#1982</v>
      </c>
      <c r="B15870" t="str">
        <f>IFERROR(__xludf.DUMMYFUNCTION("""COMPUTED_VALUE"""),"tls")</f>
        <v>tls</v>
      </c>
      <c r="C15870" t="str">
        <f>IFERROR(__xludf.DUMMYFUNCTION("""COMPUTED_VALUE"""),"Timor-Leste")</f>
        <v>Timor-Leste</v>
      </c>
      <c r="D15870">
        <f>IFERROR(__xludf.DUMMYFUNCTION("""COMPUTED_VALUE"""),1982.0)</f>
        <v>1982</v>
      </c>
      <c r="E15870">
        <f>IFERROR(__xludf.DUMMYFUNCTION("""COMPUTED_VALUE"""),604430.0)</f>
        <v>604430</v>
      </c>
    </row>
    <row r="15871">
      <c r="A15871" t="str">
        <f t="shared" si="1"/>
        <v>tls#1983</v>
      </c>
      <c r="B15871" t="str">
        <f>IFERROR(__xludf.DUMMYFUNCTION("""COMPUTED_VALUE"""),"tls")</f>
        <v>tls</v>
      </c>
      <c r="C15871" t="str">
        <f>IFERROR(__xludf.DUMMYFUNCTION("""COMPUTED_VALUE"""),"Timor-Leste")</f>
        <v>Timor-Leste</v>
      </c>
      <c r="D15871">
        <f>IFERROR(__xludf.DUMMYFUNCTION("""COMPUTED_VALUE"""),1983.0)</f>
        <v>1983</v>
      </c>
      <c r="E15871">
        <f>IFERROR(__xludf.DUMMYFUNCTION("""COMPUTED_VALUE"""),624648.0)</f>
        <v>624648</v>
      </c>
    </row>
    <row r="15872">
      <c r="A15872" t="str">
        <f t="shared" si="1"/>
        <v>tls#1984</v>
      </c>
      <c r="B15872" t="str">
        <f>IFERROR(__xludf.DUMMYFUNCTION("""COMPUTED_VALUE"""),"tls")</f>
        <v>tls</v>
      </c>
      <c r="C15872" t="str">
        <f>IFERROR(__xludf.DUMMYFUNCTION("""COMPUTED_VALUE"""),"Timor-Leste")</f>
        <v>Timor-Leste</v>
      </c>
      <c r="D15872">
        <f>IFERROR(__xludf.DUMMYFUNCTION("""COMPUTED_VALUE"""),1984.0)</f>
        <v>1984</v>
      </c>
      <c r="E15872">
        <f>IFERROR(__xludf.DUMMYFUNCTION("""COMPUTED_VALUE"""),646688.0)</f>
        <v>646688</v>
      </c>
    </row>
    <row r="15873">
      <c r="A15873" t="str">
        <f t="shared" si="1"/>
        <v>tls#1985</v>
      </c>
      <c r="B15873" t="str">
        <f>IFERROR(__xludf.DUMMYFUNCTION("""COMPUTED_VALUE"""),"tls")</f>
        <v>tls</v>
      </c>
      <c r="C15873" t="str">
        <f>IFERROR(__xludf.DUMMYFUNCTION("""COMPUTED_VALUE"""),"Timor-Leste")</f>
        <v>Timor-Leste</v>
      </c>
      <c r="D15873">
        <f>IFERROR(__xludf.DUMMYFUNCTION("""COMPUTED_VALUE"""),1985.0)</f>
        <v>1985</v>
      </c>
      <c r="E15873">
        <f>IFERROR(__xludf.DUMMYFUNCTION("""COMPUTED_VALUE"""),666945.0)</f>
        <v>666945</v>
      </c>
    </row>
    <row r="15874">
      <c r="A15874" t="str">
        <f t="shared" si="1"/>
        <v>tls#1986</v>
      </c>
      <c r="B15874" t="str">
        <f>IFERROR(__xludf.DUMMYFUNCTION("""COMPUTED_VALUE"""),"tls")</f>
        <v>tls</v>
      </c>
      <c r="C15874" t="str">
        <f>IFERROR(__xludf.DUMMYFUNCTION("""COMPUTED_VALUE"""),"Timor-Leste")</f>
        <v>Timor-Leste</v>
      </c>
      <c r="D15874">
        <f>IFERROR(__xludf.DUMMYFUNCTION("""COMPUTED_VALUE"""),1986.0)</f>
        <v>1986</v>
      </c>
      <c r="E15874">
        <f>IFERROR(__xludf.DUMMYFUNCTION("""COMPUTED_VALUE"""),684184.0)</f>
        <v>684184</v>
      </c>
    </row>
    <row r="15875">
      <c r="A15875" t="str">
        <f t="shared" si="1"/>
        <v>tls#1987</v>
      </c>
      <c r="B15875" t="str">
        <f>IFERROR(__xludf.DUMMYFUNCTION("""COMPUTED_VALUE"""),"tls")</f>
        <v>tls</v>
      </c>
      <c r="C15875" t="str">
        <f>IFERROR(__xludf.DUMMYFUNCTION("""COMPUTED_VALUE"""),"Timor-Leste")</f>
        <v>Timor-Leste</v>
      </c>
      <c r="D15875">
        <f>IFERROR(__xludf.DUMMYFUNCTION("""COMPUTED_VALUE"""),1987.0)</f>
        <v>1987</v>
      </c>
      <c r="E15875">
        <f>IFERROR(__xludf.DUMMYFUNCTION("""COMPUTED_VALUE"""),699522.0)</f>
        <v>699522</v>
      </c>
    </row>
    <row r="15876">
      <c r="A15876" t="str">
        <f t="shared" si="1"/>
        <v>tls#1988</v>
      </c>
      <c r="B15876" t="str">
        <f>IFERROR(__xludf.DUMMYFUNCTION("""COMPUTED_VALUE"""),"tls")</f>
        <v>tls</v>
      </c>
      <c r="C15876" t="str">
        <f>IFERROR(__xludf.DUMMYFUNCTION("""COMPUTED_VALUE"""),"Timor-Leste")</f>
        <v>Timor-Leste</v>
      </c>
      <c r="D15876">
        <f>IFERROR(__xludf.DUMMYFUNCTION("""COMPUTED_VALUE"""),1988.0)</f>
        <v>1988</v>
      </c>
      <c r="E15876">
        <f>IFERROR(__xludf.DUMMYFUNCTION("""COMPUTED_VALUE"""),714474.0)</f>
        <v>714474</v>
      </c>
    </row>
    <row r="15877">
      <c r="A15877" t="str">
        <f t="shared" si="1"/>
        <v>tls#1989</v>
      </c>
      <c r="B15877" t="str">
        <f>IFERROR(__xludf.DUMMYFUNCTION("""COMPUTED_VALUE"""),"tls")</f>
        <v>tls</v>
      </c>
      <c r="C15877" t="str">
        <f>IFERROR(__xludf.DUMMYFUNCTION("""COMPUTED_VALUE"""),"Timor-Leste")</f>
        <v>Timor-Leste</v>
      </c>
      <c r="D15877">
        <f>IFERROR(__xludf.DUMMYFUNCTION("""COMPUTED_VALUE"""),1989.0)</f>
        <v>1989</v>
      </c>
      <c r="E15877">
        <f>IFERROR(__xludf.DUMMYFUNCTION("""COMPUTED_VALUE"""),731444.0)</f>
        <v>731444</v>
      </c>
    </row>
    <row r="15878">
      <c r="A15878" t="str">
        <f t="shared" si="1"/>
        <v>tls#1990</v>
      </c>
      <c r="B15878" t="str">
        <f>IFERROR(__xludf.DUMMYFUNCTION("""COMPUTED_VALUE"""),"tls")</f>
        <v>tls</v>
      </c>
      <c r="C15878" t="str">
        <f>IFERROR(__xludf.DUMMYFUNCTION("""COMPUTED_VALUE"""),"Timor-Leste")</f>
        <v>Timor-Leste</v>
      </c>
      <c r="D15878">
        <f>IFERROR(__xludf.DUMMYFUNCTION("""COMPUTED_VALUE"""),1990.0)</f>
        <v>1990</v>
      </c>
      <c r="E15878">
        <f>IFERROR(__xludf.DUMMYFUNCTION("""COMPUTED_VALUE"""),751933.0)</f>
        <v>751933</v>
      </c>
    </row>
    <row r="15879">
      <c r="A15879" t="str">
        <f t="shared" si="1"/>
        <v>tls#1991</v>
      </c>
      <c r="B15879" t="str">
        <f>IFERROR(__xludf.DUMMYFUNCTION("""COMPUTED_VALUE"""),"tls")</f>
        <v>tls</v>
      </c>
      <c r="C15879" t="str">
        <f>IFERROR(__xludf.DUMMYFUNCTION("""COMPUTED_VALUE"""),"Timor-Leste")</f>
        <v>Timor-Leste</v>
      </c>
      <c r="D15879">
        <f>IFERROR(__xludf.DUMMYFUNCTION("""COMPUTED_VALUE"""),1991.0)</f>
        <v>1991</v>
      </c>
      <c r="E15879">
        <f>IFERROR(__xludf.DUMMYFUNCTION("""COMPUTED_VALUE"""),777011.0)</f>
        <v>777011</v>
      </c>
    </row>
    <row r="15880">
      <c r="A15880" t="str">
        <f t="shared" si="1"/>
        <v>tls#1992</v>
      </c>
      <c r="B15880" t="str">
        <f>IFERROR(__xludf.DUMMYFUNCTION("""COMPUTED_VALUE"""),"tls")</f>
        <v>tls</v>
      </c>
      <c r="C15880" t="str">
        <f>IFERROR(__xludf.DUMMYFUNCTION("""COMPUTED_VALUE"""),"Timor-Leste")</f>
        <v>Timor-Leste</v>
      </c>
      <c r="D15880">
        <f>IFERROR(__xludf.DUMMYFUNCTION("""COMPUTED_VALUE"""),1992.0)</f>
        <v>1992</v>
      </c>
      <c r="E15880">
        <f>IFERROR(__xludf.DUMMYFUNCTION("""COMPUTED_VALUE"""),805435.0)</f>
        <v>805435</v>
      </c>
    </row>
    <row r="15881">
      <c r="A15881" t="str">
        <f t="shared" si="1"/>
        <v>tls#1993</v>
      </c>
      <c r="B15881" t="str">
        <f>IFERROR(__xludf.DUMMYFUNCTION("""COMPUTED_VALUE"""),"tls")</f>
        <v>tls</v>
      </c>
      <c r="C15881" t="str">
        <f>IFERROR(__xludf.DUMMYFUNCTION("""COMPUTED_VALUE"""),"Timor-Leste")</f>
        <v>Timor-Leste</v>
      </c>
      <c r="D15881">
        <f>IFERROR(__xludf.DUMMYFUNCTION("""COMPUTED_VALUE"""),1993.0)</f>
        <v>1993</v>
      </c>
      <c r="E15881">
        <f>IFERROR(__xludf.DUMMYFUNCTION("""COMPUTED_VALUE"""),833611.0)</f>
        <v>833611</v>
      </c>
    </row>
    <row r="15882">
      <c r="A15882" t="str">
        <f t="shared" si="1"/>
        <v>tls#1994</v>
      </c>
      <c r="B15882" t="str">
        <f>IFERROR(__xludf.DUMMYFUNCTION("""COMPUTED_VALUE"""),"tls")</f>
        <v>tls</v>
      </c>
      <c r="C15882" t="str">
        <f>IFERROR(__xludf.DUMMYFUNCTION("""COMPUTED_VALUE"""),"Timor-Leste")</f>
        <v>Timor-Leste</v>
      </c>
      <c r="D15882">
        <f>IFERROR(__xludf.DUMMYFUNCTION("""COMPUTED_VALUE"""),1994.0)</f>
        <v>1994</v>
      </c>
      <c r="E15882">
        <f>IFERROR(__xludf.DUMMYFUNCTION("""COMPUTED_VALUE"""),856684.0)</f>
        <v>856684</v>
      </c>
    </row>
    <row r="15883">
      <c r="A15883" t="str">
        <f t="shared" si="1"/>
        <v>tls#1995</v>
      </c>
      <c r="B15883" t="str">
        <f>IFERROR(__xludf.DUMMYFUNCTION("""COMPUTED_VALUE"""),"tls")</f>
        <v>tls</v>
      </c>
      <c r="C15883" t="str">
        <f>IFERROR(__xludf.DUMMYFUNCTION("""COMPUTED_VALUE"""),"Timor-Leste")</f>
        <v>Timor-Leste</v>
      </c>
      <c r="D15883">
        <f>IFERROR(__xludf.DUMMYFUNCTION("""COMPUTED_VALUE"""),1995.0)</f>
        <v>1995</v>
      </c>
      <c r="E15883">
        <f>IFERROR(__xludf.DUMMYFUNCTION("""COMPUTED_VALUE"""),871447.0)</f>
        <v>871447</v>
      </c>
    </row>
    <row r="15884">
      <c r="A15884" t="str">
        <f t="shared" si="1"/>
        <v>tls#1996</v>
      </c>
      <c r="B15884" t="str">
        <f>IFERROR(__xludf.DUMMYFUNCTION("""COMPUTED_VALUE"""),"tls")</f>
        <v>tls</v>
      </c>
      <c r="C15884" t="str">
        <f>IFERROR(__xludf.DUMMYFUNCTION("""COMPUTED_VALUE"""),"Timor-Leste")</f>
        <v>Timor-Leste</v>
      </c>
      <c r="D15884">
        <f>IFERROR(__xludf.DUMMYFUNCTION("""COMPUTED_VALUE"""),1996.0)</f>
        <v>1996</v>
      </c>
      <c r="E15884">
        <f>IFERROR(__xludf.DUMMYFUNCTION("""COMPUTED_VALUE"""),875916.0)</f>
        <v>875916</v>
      </c>
    </row>
    <row r="15885">
      <c r="A15885" t="str">
        <f t="shared" si="1"/>
        <v>tls#1997</v>
      </c>
      <c r="B15885" t="str">
        <f>IFERROR(__xludf.DUMMYFUNCTION("""COMPUTED_VALUE"""),"tls")</f>
        <v>tls</v>
      </c>
      <c r="C15885" t="str">
        <f>IFERROR(__xludf.DUMMYFUNCTION("""COMPUTED_VALUE"""),"Timor-Leste")</f>
        <v>Timor-Leste</v>
      </c>
      <c r="D15885">
        <f>IFERROR(__xludf.DUMMYFUNCTION("""COMPUTED_VALUE"""),1997.0)</f>
        <v>1997</v>
      </c>
      <c r="E15885">
        <f>IFERROR(__xludf.DUMMYFUNCTION("""COMPUTED_VALUE"""),871994.0)</f>
        <v>871994</v>
      </c>
    </row>
    <row r="15886">
      <c r="A15886" t="str">
        <f t="shared" si="1"/>
        <v>tls#1998</v>
      </c>
      <c r="B15886" t="str">
        <f>IFERROR(__xludf.DUMMYFUNCTION("""COMPUTED_VALUE"""),"tls")</f>
        <v>tls</v>
      </c>
      <c r="C15886" t="str">
        <f>IFERROR(__xludf.DUMMYFUNCTION("""COMPUTED_VALUE"""),"Timor-Leste")</f>
        <v>Timor-Leste</v>
      </c>
      <c r="D15886">
        <f>IFERROR(__xludf.DUMMYFUNCTION("""COMPUTED_VALUE"""),1998.0)</f>
        <v>1998</v>
      </c>
      <c r="E15886">
        <f>IFERROR(__xludf.DUMMYFUNCTION("""COMPUTED_VALUE"""),865194.0)</f>
        <v>865194</v>
      </c>
    </row>
    <row r="15887">
      <c r="A15887" t="str">
        <f t="shared" si="1"/>
        <v>tls#1999</v>
      </c>
      <c r="B15887" t="str">
        <f>IFERROR(__xludf.DUMMYFUNCTION("""COMPUTED_VALUE"""),"tls")</f>
        <v>tls</v>
      </c>
      <c r="C15887" t="str">
        <f>IFERROR(__xludf.DUMMYFUNCTION("""COMPUTED_VALUE"""),"Timor-Leste")</f>
        <v>Timor-Leste</v>
      </c>
      <c r="D15887">
        <f>IFERROR(__xludf.DUMMYFUNCTION("""COMPUTED_VALUE"""),1999.0)</f>
        <v>1999</v>
      </c>
      <c r="E15887">
        <f>IFERROR(__xludf.DUMMYFUNCTION("""COMPUTED_VALUE"""),863269.0)</f>
        <v>863269</v>
      </c>
    </row>
    <row r="15888">
      <c r="A15888" t="str">
        <f t="shared" si="1"/>
        <v>tls#2000</v>
      </c>
      <c r="B15888" t="str">
        <f>IFERROR(__xludf.DUMMYFUNCTION("""COMPUTED_VALUE"""),"tls")</f>
        <v>tls</v>
      </c>
      <c r="C15888" t="str">
        <f>IFERROR(__xludf.DUMMYFUNCTION("""COMPUTED_VALUE"""),"Timor-Leste")</f>
        <v>Timor-Leste</v>
      </c>
      <c r="D15888">
        <f>IFERROR(__xludf.DUMMYFUNCTION("""COMPUTED_VALUE"""),2000.0)</f>
        <v>2000</v>
      </c>
      <c r="E15888">
        <f>IFERROR(__xludf.DUMMYFUNCTION("""COMPUTED_VALUE"""),871607.0)</f>
        <v>871607</v>
      </c>
    </row>
    <row r="15889">
      <c r="A15889" t="str">
        <f t="shared" si="1"/>
        <v>tls#2001</v>
      </c>
      <c r="B15889" t="str">
        <f>IFERROR(__xludf.DUMMYFUNCTION("""COMPUTED_VALUE"""),"tls")</f>
        <v>tls</v>
      </c>
      <c r="C15889" t="str">
        <f>IFERROR(__xludf.DUMMYFUNCTION("""COMPUTED_VALUE"""),"Timor-Leste")</f>
        <v>Timor-Leste</v>
      </c>
      <c r="D15889">
        <f>IFERROR(__xludf.DUMMYFUNCTION("""COMPUTED_VALUE"""),2001.0)</f>
        <v>2001</v>
      </c>
      <c r="E15889">
        <f>IFERROR(__xludf.DUMMYFUNCTION("""COMPUTED_VALUE"""),892531.0)</f>
        <v>892531</v>
      </c>
    </row>
    <row r="15890">
      <c r="A15890" t="str">
        <f t="shared" si="1"/>
        <v>tls#2002</v>
      </c>
      <c r="B15890" t="str">
        <f>IFERROR(__xludf.DUMMYFUNCTION("""COMPUTED_VALUE"""),"tls")</f>
        <v>tls</v>
      </c>
      <c r="C15890" t="str">
        <f>IFERROR(__xludf.DUMMYFUNCTION("""COMPUTED_VALUE"""),"Timor-Leste")</f>
        <v>Timor-Leste</v>
      </c>
      <c r="D15890">
        <f>IFERROR(__xludf.DUMMYFUNCTION("""COMPUTED_VALUE"""),2002.0)</f>
        <v>2002</v>
      </c>
      <c r="E15890">
        <f>IFERROR(__xludf.DUMMYFUNCTION("""COMPUTED_VALUE"""),923825.0)</f>
        <v>923825</v>
      </c>
    </row>
    <row r="15891">
      <c r="A15891" t="str">
        <f t="shared" si="1"/>
        <v>tls#2003</v>
      </c>
      <c r="B15891" t="str">
        <f>IFERROR(__xludf.DUMMYFUNCTION("""COMPUTED_VALUE"""),"tls")</f>
        <v>tls</v>
      </c>
      <c r="C15891" t="str">
        <f>IFERROR(__xludf.DUMMYFUNCTION("""COMPUTED_VALUE"""),"Timor-Leste")</f>
        <v>Timor-Leste</v>
      </c>
      <c r="D15891">
        <f>IFERROR(__xludf.DUMMYFUNCTION("""COMPUTED_VALUE"""),2003.0)</f>
        <v>2003</v>
      </c>
      <c r="E15891">
        <f>IFERROR(__xludf.DUMMYFUNCTION("""COMPUTED_VALUE"""),960852.0)</f>
        <v>960852</v>
      </c>
    </row>
    <row r="15892">
      <c r="A15892" t="str">
        <f t="shared" si="1"/>
        <v>tls#2004</v>
      </c>
      <c r="B15892" t="str">
        <f>IFERROR(__xludf.DUMMYFUNCTION("""COMPUTED_VALUE"""),"tls")</f>
        <v>tls</v>
      </c>
      <c r="C15892" t="str">
        <f>IFERROR(__xludf.DUMMYFUNCTION("""COMPUTED_VALUE"""),"Timor-Leste")</f>
        <v>Timor-Leste</v>
      </c>
      <c r="D15892">
        <f>IFERROR(__xludf.DUMMYFUNCTION("""COMPUTED_VALUE"""),2004.0)</f>
        <v>2004</v>
      </c>
      <c r="E15892">
        <f>IFERROR(__xludf.DUMMYFUNCTION("""COMPUTED_VALUE"""),996698.0)</f>
        <v>996698</v>
      </c>
    </row>
    <row r="15893">
      <c r="A15893" t="str">
        <f t="shared" si="1"/>
        <v>tls#2005</v>
      </c>
      <c r="B15893" t="str">
        <f>IFERROR(__xludf.DUMMYFUNCTION("""COMPUTED_VALUE"""),"tls")</f>
        <v>tls</v>
      </c>
      <c r="C15893" t="str">
        <f>IFERROR(__xludf.DUMMYFUNCTION("""COMPUTED_VALUE"""),"Timor-Leste")</f>
        <v>Timor-Leste</v>
      </c>
      <c r="D15893">
        <f>IFERROR(__xludf.DUMMYFUNCTION("""COMPUTED_VALUE"""),2005.0)</f>
        <v>2005</v>
      </c>
      <c r="E15893">
        <f>IFERROR(__xludf.DUMMYFUNCTION("""COMPUTED_VALUE"""),1026484.0)</f>
        <v>1026484</v>
      </c>
    </row>
    <row r="15894">
      <c r="A15894" t="str">
        <f t="shared" si="1"/>
        <v>tls#2006</v>
      </c>
      <c r="B15894" t="str">
        <f>IFERROR(__xludf.DUMMYFUNCTION("""COMPUTED_VALUE"""),"tls")</f>
        <v>tls</v>
      </c>
      <c r="C15894" t="str">
        <f>IFERROR(__xludf.DUMMYFUNCTION("""COMPUTED_VALUE"""),"Timor-Leste")</f>
        <v>Timor-Leste</v>
      </c>
      <c r="D15894">
        <f>IFERROR(__xludf.DUMMYFUNCTION("""COMPUTED_VALUE"""),2006.0)</f>
        <v>2006</v>
      </c>
      <c r="E15894">
        <f>IFERROR(__xludf.DUMMYFUNCTION("""COMPUTED_VALUE"""),1048621.0)</f>
        <v>1048621</v>
      </c>
    </row>
    <row r="15895">
      <c r="A15895" t="str">
        <f t="shared" si="1"/>
        <v>tls#2007</v>
      </c>
      <c r="B15895" t="str">
        <f>IFERROR(__xludf.DUMMYFUNCTION("""COMPUTED_VALUE"""),"tls")</f>
        <v>tls</v>
      </c>
      <c r="C15895" t="str">
        <f>IFERROR(__xludf.DUMMYFUNCTION("""COMPUTED_VALUE"""),"Timor-Leste")</f>
        <v>Timor-Leste</v>
      </c>
      <c r="D15895">
        <f>IFERROR(__xludf.DUMMYFUNCTION("""COMPUTED_VALUE"""),2007.0)</f>
        <v>2007</v>
      </c>
      <c r="E15895">
        <f>IFERROR(__xludf.DUMMYFUNCTION("""COMPUTED_VALUE"""),1064973.0)</f>
        <v>1064973</v>
      </c>
    </row>
    <row r="15896">
      <c r="A15896" t="str">
        <f t="shared" si="1"/>
        <v>tls#2008</v>
      </c>
      <c r="B15896" t="str">
        <f>IFERROR(__xludf.DUMMYFUNCTION("""COMPUTED_VALUE"""),"tls")</f>
        <v>tls</v>
      </c>
      <c r="C15896" t="str">
        <f>IFERROR(__xludf.DUMMYFUNCTION("""COMPUTED_VALUE"""),"Timor-Leste")</f>
        <v>Timor-Leste</v>
      </c>
      <c r="D15896">
        <f>IFERROR(__xludf.DUMMYFUNCTION("""COMPUTED_VALUE"""),2008.0)</f>
        <v>2008</v>
      </c>
      <c r="E15896">
        <f>IFERROR(__xludf.DUMMYFUNCTION("""COMPUTED_VALUE"""),1078110.0)</f>
        <v>1078110</v>
      </c>
    </row>
    <row r="15897">
      <c r="A15897" t="str">
        <f t="shared" si="1"/>
        <v>tls#2009</v>
      </c>
      <c r="B15897" t="str">
        <f>IFERROR(__xludf.DUMMYFUNCTION("""COMPUTED_VALUE"""),"tls")</f>
        <v>tls</v>
      </c>
      <c r="C15897" t="str">
        <f>IFERROR(__xludf.DUMMYFUNCTION("""COMPUTED_VALUE"""),"Timor-Leste")</f>
        <v>Timor-Leste</v>
      </c>
      <c r="D15897">
        <f>IFERROR(__xludf.DUMMYFUNCTION("""COMPUTED_VALUE"""),2009.0)</f>
        <v>2009</v>
      </c>
      <c r="E15897">
        <f>IFERROR(__xludf.DUMMYFUNCTION("""COMPUTED_VALUE"""),1092021.0)</f>
        <v>1092021</v>
      </c>
    </row>
    <row r="15898">
      <c r="A15898" t="str">
        <f t="shared" si="1"/>
        <v>tls#2010</v>
      </c>
      <c r="B15898" t="str">
        <f>IFERROR(__xludf.DUMMYFUNCTION("""COMPUTED_VALUE"""),"tls")</f>
        <v>tls</v>
      </c>
      <c r="C15898" t="str">
        <f>IFERROR(__xludf.DUMMYFUNCTION("""COMPUTED_VALUE"""),"Timor-Leste")</f>
        <v>Timor-Leste</v>
      </c>
      <c r="D15898">
        <f>IFERROR(__xludf.DUMMYFUNCTION("""COMPUTED_VALUE"""),2010.0)</f>
        <v>2010</v>
      </c>
      <c r="E15898">
        <f>IFERROR(__xludf.DUMMYFUNCTION("""COMPUTED_VALUE"""),1109591.0)</f>
        <v>1109591</v>
      </c>
    </row>
    <row r="15899">
      <c r="A15899" t="str">
        <f t="shared" si="1"/>
        <v>tls#2011</v>
      </c>
      <c r="B15899" t="str">
        <f>IFERROR(__xludf.DUMMYFUNCTION("""COMPUTED_VALUE"""),"tls")</f>
        <v>tls</v>
      </c>
      <c r="C15899" t="str">
        <f>IFERROR(__xludf.DUMMYFUNCTION("""COMPUTED_VALUE"""),"Timor-Leste")</f>
        <v>Timor-Leste</v>
      </c>
      <c r="D15899">
        <f>IFERROR(__xludf.DUMMYFUNCTION("""COMPUTED_VALUE"""),2011.0)</f>
        <v>2011</v>
      </c>
      <c r="E15899">
        <f>IFERROR(__xludf.DUMMYFUNCTION("""COMPUTED_VALUE"""),1131523.0)</f>
        <v>1131523</v>
      </c>
    </row>
    <row r="15900">
      <c r="A15900" t="str">
        <f t="shared" si="1"/>
        <v>tls#2012</v>
      </c>
      <c r="B15900" t="str">
        <f>IFERROR(__xludf.DUMMYFUNCTION("""COMPUTED_VALUE"""),"tls")</f>
        <v>tls</v>
      </c>
      <c r="C15900" t="str">
        <f>IFERROR(__xludf.DUMMYFUNCTION("""COMPUTED_VALUE"""),"Timor-Leste")</f>
        <v>Timor-Leste</v>
      </c>
      <c r="D15900">
        <f>IFERROR(__xludf.DUMMYFUNCTION("""COMPUTED_VALUE"""),2012.0)</f>
        <v>2012</v>
      </c>
      <c r="E15900">
        <f>IFERROR(__xludf.DUMMYFUNCTION("""COMPUTED_VALUE"""),1156760.0)</f>
        <v>1156760</v>
      </c>
    </row>
    <row r="15901">
      <c r="A15901" t="str">
        <f t="shared" si="1"/>
        <v>tls#2013</v>
      </c>
      <c r="B15901" t="str">
        <f>IFERROR(__xludf.DUMMYFUNCTION("""COMPUTED_VALUE"""),"tls")</f>
        <v>tls</v>
      </c>
      <c r="C15901" t="str">
        <f>IFERROR(__xludf.DUMMYFUNCTION("""COMPUTED_VALUE"""),"Timor-Leste")</f>
        <v>Timor-Leste</v>
      </c>
      <c r="D15901">
        <f>IFERROR(__xludf.DUMMYFUNCTION("""COMPUTED_VALUE"""),2013.0)</f>
        <v>2013</v>
      </c>
      <c r="E15901">
        <f>IFERROR(__xludf.DUMMYFUNCTION("""COMPUTED_VALUE"""),1184366.0)</f>
        <v>1184366</v>
      </c>
    </row>
    <row r="15902">
      <c r="A15902" t="str">
        <f t="shared" si="1"/>
        <v>tls#2014</v>
      </c>
      <c r="B15902" t="str">
        <f>IFERROR(__xludf.DUMMYFUNCTION("""COMPUTED_VALUE"""),"tls")</f>
        <v>tls</v>
      </c>
      <c r="C15902" t="str">
        <f>IFERROR(__xludf.DUMMYFUNCTION("""COMPUTED_VALUE"""),"Timor-Leste")</f>
        <v>Timor-Leste</v>
      </c>
      <c r="D15902">
        <f>IFERROR(__xludf.DUMMYFUNCTION("""COMPUTED_VALUE"""),2014.0)</f>
        <v>2014</v>
      </c>
      <c r="E15902">
        <f>IFERROR(__xludf.DUMMYFUNCTION("""COMPUTED_VALUE"""),1212814.0)</f>
        <v>1212814</v>
      </c>
    </row>
    <row r="15903">
      <c r="A15903" t="str">
        <f t="shared" si="1"/>
        <v>tls#2015</v>
      </c>
      <c r="B15903" t="str">
        <f>IFERROR(__xludf.DUMMYFUNCTION("""COMPUTED_VALUE"""),"tls")</f>
        <v>tls</v>
      </c>
      <c r="C15903" t="str">
        <f>IFERROR(__xludf.DUMMYFUNCTION("""COMPUTED_VALUE"""),"Timor-Leste")</f>
        <v>Timor-Leste</v>
      </c>
      <c r="D15903">
        <f>IFERROR(__xludf.DUMMYFUNCTION("""COMPUTED_VALUE"""),2015.0)</f>
        <v>2015</v>
      </c>
      <c r="E15903">
        <f>IFERROR(__xludf.DUMMYFUNCTION("""COMPUTED_VALUE"""),1240977.0)</f>
        <v>1240977</v>
      </c>
    </row>
    <row r="15904">
      <c r="A15904" t="str">
        <f t="shared" si="1"/>
        <v>tls#2016</v>
      </c>
      <c r="B15904" t="str">
        <f>IFERROR(__xludf.DUMMYFUNCTION("""COMPUTED_VALUE"""),"tls")</f>
        <v>tls</v>
      </c>
      <c r="C15904" t="str">
        <f>IFERROR(__xludf.DUMMYFUNCTION("""COMPUTED_VALUE"""),"Timor-Leste")</f>
        <v>Timor-Leste</v>
      </c>
      <c r="D15904">
        <f>IFERROR(__xludf.DUMMYFUNCTION("""COMPUTED_VALUE"""),2016.0)</f>
        <v>2016</v>
      </c>
      <c r="E15904">
        <f>IFERROR(__xludf.DUMMYFUNCTION("""COMPUTED_VALUE"""),1268671.0)</f>
        <v>1268671</v>
      </c>
    </row>
    <row r="15905">
      <c r="A15905" t="str">
        <f t="shared" si="1"/>
        <v>tls#2017</v>
      </c>
      <c r="B15905" t="str">
        <f>IFERROR(__xludf.DUMMYFUNCTION("""COMPUTED_VALUE"""),"tls")</f>
        <v>tls</v>
      </c>
      <c r="C15905" t="str">
        <f>IFERROR(__xludf.DUMMYFUNCTION("""COMPUTED_VALUE"""),"Timor-Leste")</f>
        <v>Timor-Leste</v>
      </c>
      <c r="D15905">
        <f>IFERROR(__xludf.DUMMYFUNCTION("""COMPUTED_VALUE"""),2017.0)</f>
        <v>2017</v>
      </c>
      <c r="E15905">
        <f>IFERROR(__xludf.DUMMYFUNCTION("""COMPUTED_VALUE"""),1296311.0)</f>
        <v>1296311</v>
      </c>
    </row>
    <row r="15906">
      <c r="A15906" t="str">
        <f t="shared" si="1"/>
        <v>tls#2018</v>
      </c>
      <c r="B15906" t="str">
        <f>IFERROR(__xludf.DUMMYFUNCTION("""COMPUTED_VALUE"""),"tls")</f>
        <v>tls</v>
      </c>
      <c r="C15906" t="str">
        <f>IFERROR(__xludf.DUMMYFUNCTION("""COMPUTED_VALUE"""),"Timor-Leste")</f>
        <v>Timor-Leste</v>
      </c>
      <c r="D15906">
        <f>IFERROR(__xludf.DUMMYFUNCTION("""COMPUTED_VALUE"""),2018.0)</f>
        <v>2018</v>
      </c>
      <c r="E15906">
        <f>IFERROR(__xludf.DUMMYFUNCTION("""COMPUTED_VALUE"""),1324094.0)</f>
        <v>1324094</v>
      </c>
    </row>
    <row r="15907">
      <c r="A15907" t="str">
        <f t="shared" si="1"/>
        <v>tls#2019</v>
      </c>
      <c r="B15907" t="str">
        <f>IFERROR(__xludf.DUMMYFUNCTION("""COMPUTED_VALUE"""),"tls")</f>
        <v>tls</v>
      </c>
      <c r="C15907" t="str">
        <f>IFERROR(__xludf.DUMMYFUNCTION("""COMPUTED_VALUE"""),"Timor-Leste")</f>
        <v>Timor-Leste</v>
      </c>
      <c r="D15907">
        <f>IFERROR(__xludf.DUMMYFUNCTION("""COMPUTED_VALUE"""),2019.0)</f>
        <v>2019</v>
      </c>
      <c r="E15907">
        <f>IFERROR(__xludf.DUMMYFUNCTION("""COMPUTED_VALUE"""),1352360.0)</f>
        <v>1352360</v>
      </c>
    </row>
    <row r="15908">
      <c r="A15908" t="str">
        <f t="shared" si="1"/>
        <v>tls#2020</v>
      </c>
      <c r="B15908" t="str">
        <f>IFERROR(__xludf.DUMMYFUNCTION("""COMPUTED_VALUE"""),"tls")</f>
        <v>tls</v>
      </c>
      <c r="C15908" t="str">
        <f>IFERROR(__xludf.DUMMYFUNCTION("""COMPUTED_VALUE"""),"Timor-Leste")</f>
        <v>Timor-Leste</v>
      </c>
      <c r="D15908">
        <f>IFERROR(__xludf.DUMMYFUNCTION("""COMPUTED_VALUE"""),2020.0)</f>
        <v>2020</v>
      </c>
      <c r="E15908">
        <f>IFERROR(__xludf.DUMMYFUNCTION("""COMPUTED_VALUE"""),1381400.0)</f>
        <v>1381400</v>
      </c>
    </row>
    <row r="15909">
      <c r="A15909" t="str">
        <f t="shared" si="1"/>
        <v>tls#2021</v>
      </c>
      <c r="B15909" t="str">
        <f>IFERROR(__xludf.DUMMYFUNCTION("""COMPUTED_VALUE"""),"tls")</f>
        <v>tls</v>
      </c>
      <c r="C15909" t="str">
        <f>IFERROR(__xludf.DUMMYFUNCTION("""COMPUTED_VALUE"""),"Timor-Leste")</f>
        <v>Timor-Leste</v>
      </c>
      <c r="D15909">
        <f>IFERROR(__xludf.DUMMYFUNCTION("""COMPUTED_VALUE"""),2021.0)</f>
        <v>2021</v>
      </c>
      <c r="E15909">
        <f>IFERROR(__xludf.DUMMYFUNCTION("""COMPUTED_VALUE"""),1411186.0)</f>
        <v>1411186</v>
      </c>
    </row>
    <row r="15910">
      <c r="A15910" t="str">
        <f t="shared" si="1"/>
        <v>tls#2022</v>
      </c>
      <c r="B15910" t="str">
        <f>IFERROR(__xludf.DUMMYFUNCTION("""COMPUTED_VALUE"""),"tls")</f>
        <v>tls</v>
      </c>
      <c r="C15910" t="str">
        <f>IFERROR(__xludf.DUMMYFUNCTION("""COMPUTED_VALUE"""),"Timor-Leste")</f>
        <v>Timor-Leste</v>
      </c>
      <c r="D15910">
        <f>IFERROR(__xludf.DUMMYFUNCTION("""COMPUTED_VALUE"""),2022.0)</f>
        <v>2022</v>
      </c>
      <c r="E15910">
        <f>IFERROR(__xludf.DUMMYFUNCTION("""COMPUTED_VALUE"""),1441606.0)</f>
        <v>1441606</v>
      </c>
    </row>
    <row r="15911">
      <c r="A15911" t="str">
        <f t="shared" si="1"/>
        <v>tls#2023</v>
      </c>
      <c r="B15911" t="str">
        <f>IFERROR(__xludf.DUMMYFUNCTION("""COMPUTED_VALUE"""),"tls")</f>
        <v>tls</v>
      </c>
      <c r="C15911" t="str">
        <f>IFERROR(__xludf.DUMMYFUNCTION("""COMPUTED_VALUE"""),"Timor-Leste")</f>
        <v>Timor-Leste</v>
      </c>
      <c r="D15911">
        <f>IFERROR(__xludf.DUMMYFUNCTION("""COMPUTED_VALUE"""),2023.0)</f>
        <v>2023</v>
      </c>
      <c r="E15911">
        <f>IFERROR(__xludf.DUMMYFUNCTION("""COMPUTED_VALUE"""),1472627.0)</f>
        <v>1472627</v>
      </c>
    </row>
    <row r="15912">
      <c r="A15912" t="str">
        <f t="shared" si="1"/>
        <v>tls#2024</v>
      </c>
      <c r="B15912" t="str">
        <f>IFERROR(__xludf.DUMMYFUNCTION("""COMPUTED_VALUE"""),"tls")</f>
        <v>tls</v>
      </c>
      <c r="C15912" t="str">
        <f>IFERROR(__xludf.DUMMYFUNCTION("""COMPUTED_VALUE"""),"Timor-Leste")</f>
        <v>Timor-Leste</v>
      </c>
      <c r="D15912">
        <f>IFERROR(__xludf.DUMMYFUNCTION("""COMPUTED_VALUE"""),2024.0)</f>
        <v>2024</v>
      </c>
      <c r="E15912">
        <f>IFERROR(__xludf.DUMMYFUNCTION("""COMPUTED_VALUE"""),1504218.0)</f>
        <v>1504218</v>
      </c>
    </row>
    <row r="15913">
      <c r="A15913" t="str">
        <f t="shared" si="1"/>
        <v>tls#2025</v>
      </c>
      <c r="B15913" t="str">
        <f>IFERROR(__xludf.DUMMYFUNCTION("""COMPUTED_VALUE"""),"tls")</f>
        <v>tls</v>
      </c>
      <c r="C15913" t="str">
        <f>IFERROR(__xludf.DUMMYFUNCTION("""COMPUTED_VALUE"""),"Timor-Leste")</f>
        <v>Timor-Leste</v>
      </c>
      <c r="D15913">
        <f>IFERROR(__xludf.DUMMYFUNCTION("""COMPUTED_VALUE"""),2025.0)</f>
        <v>2025</v>
      </c>
      <c r="E15913">
        <f>IFERROR(__xludf.DUMMYFUNCTION("""COMPUTED_VALUE"""),1536341.0)</f>
        <v>1536341</v>
      </c>
    </row>
    <row r="15914">
      <c r="A15914" t="str">
        <f t="shared" si="1"/>
        <v>tls#2026</v>
      </c>
      <c r="B15914" t="str">
        <f>IFERROR(__xludf.DUMMYFUNCTION("""COMPUTED_VALUE"""),"tls")</f>
        <v>tls</v>
      </c>
      <c r="C15914" t="str">
        <f>IFERROR(__xludf.DUMMYFUNCTION("""COMPUTED_VALUE"""),"Timor-Leste")</f>
        <v>Timor-Leste</v>
      </c>
      <c r="D15914">
        <f>IFERROR(__xludf.DUMMYFUNCTION("""COMPUTED_VALUE"""),2026.0)</f>
        <v>2026</v>
      </c>
      <c r="E15914">
        <f>IFERROR(__xludf.DUMMYFUNCTION("""COMPUTED_VALUE"""),1568990.0)</f>
        <v>1568990</v>
      </c>
    </row>
    <row r="15915">
      <c r="A15915" t="str">
        <f t="shared" si="1"/>
        <v>tls#2027</v>
      </c>
      <c r="B15915" t="str">
        <f>IFERROR(__xludf.DUMMYFUNCTION("""COMPUTED_VALUE"""),"tls")</f>
        <v>tls</v>
      </c>
      <c r="C15915" t="str">
        <f>IFERROR(__xludf.DUMMYFUNCTION("""COMPUTED_VALUE"""),"Timor-Leste")</f>
        <v>Timor-Leste</v>
      </c>
      <c r="D15915">
        <f>IFERROR(__xludf.DUMMYFUNCTION("""COMPUTED_VALUE"""),2027.0)</f>
        <v>2027</v>
      </c>
      <c r="E15915">
        <f>IFERROR(__xludf.DUMMYFUNCTION("""COMPUTED_VALUE"""),1602138.0)</f>
        <v>1602138</v>
      </c>
    </row>
    <row r="15916">
      <c r="A15916" t="str">
        <f t="shared" si="1"/>
        <v>tls#2028</v>
      </c>
      <c r="B15916" t="str">
        <f>IFERROR(__xludf.DUMMYFUNCTION("""COMPUTED_VALUE"""),"tls")</f>
        <v>tls</v>
      </c>
      <c r="C15916" t="str">
        <f>IFERROR(__xludf.DUMMYFUNCTION("""COMPUTED_VALUE"""),"Timor-Leste")</f>
        <v>Timor-Leste</v>
      </c>
      <c r="D15916">
        <f>IFERROR(__xludf.DUMMYFUNCTION("""COMPUTED_VALUE"""),2028.0)</f>
        <v>2028</v>
      </c>
      <c r="E15916">
        <f>IFERROR(__xludf.DUMMYFUNCTION("""COMPUTED_VALUE"""),1635743.0)</f>
        <v>1635743</v>
      </c>
    </row>
    <row r="15917">
      <c r="A15917" t="str">
        <f t="shared" si="1"/>
        <v>tls#2029</v>
      </c>
      <c r="B15917" t="str">
        <f>IFERROR(__xludf.DUMMYFUNCTION("""COMPUTED_VALUE"""),"tls")</f>
        <v>tls</v>
      </c>
      <c r="C15917" t="str">
        <f>IFERROR(__xludf.DUMMYFUNCTION("""COMPUTED_VALUE"""),"Timor-Leste")</f>
        <v>Timor-Leste</v>
      </c>
      <c r="D15917">
        <f>IFERROR(__xludf.DUMMYFUNCTION("""COMPUTED_VALUE"""),2029.0)</f>
        <v>2029</v>
      </c>
      <c r="E15917">
        <f>IFERROR(__xludf.DUMMYFUNCTION("""COMPUTED_VALUE"""),1669749.0)</f>
        <v>1669749</v>
      </c>
    </row>
    <row r="15918">
      <c r="A15918" t="str">
        <f t="shared" si="1"/>
        <v>tls#2030</v>
      </c>
      <c r="B15918" t="str">
        <f>IFERROR(__xludf.DUMMYFUNCTION("""COMPUTED_VALUE"""),"tls")</f>
        <v>tls</v>
      </c>
      <c r="C15918" t="str">
        <f>IFERROR(__xludf.DUMMYFUNCTION("""COMPUTED_VALUE"""),"Timor-Leste")</f>
        <v>Timor-Leste</v>
      </c>
      <c r="D15918">
        <f>IFERROR(__xludf.DUMMYFUNCTION("""COMPUTED_VALUE"""),2030.0)</f>
        <v>2030</v>
      </c>
      <c r="E15918">
        <f>IFERROR(__xludf.DUMMYFUNCTION("""COMPUTED_VALUE"""),1704105.0)</f>
        <v>1704105</v>
      </c>
    </row>
    <row r="15919">
      <c r="A15919" t="str">
        <f t="shared" si="1"/>
        <v>tls#2031</v>
      </c>
      <c r="B15919" t="str">
        <f>IFERROR(__xludf.DUMMYFUNCTION("""COMPUTED_VALUE"""),"tls")</f>
        <v>tls</v>
      </c>
      <c r="C15919" t="str">
        <f>IFERROR(__xludf.DUMMYFUNCTION("""COMPUTED_VALUE"""),"Timor-Leste")</f>
        <v>Timor-Leste</v>
      </c>
      <c r="D15919">
        <f>IFERROR(__xludf.DUMMYFUNCTION("""COMPUTED_VALUE"""),2031.0)</f>
        <v>2031</v>
      </c>
      <c r="E15919">
        <f>IFERROR(__xludf.DUMMYFUNCTION("""COMPUTED_VALUE"""),1738771.0)</f>
        <v>1738771</v>
      </c>
    </row>
    <row r="15920">
      <c r="A15920" t="str">
        <f t="shared" si="1"/>
        <v>tls#2032</v>
      </c>
      <c r="B15920" t="str">
        <f>IFERROR(__xludf.DUMMYFUNCTION("""COMPUTED_VALUE"""),"tls")</f>
        <v>tls</v>
      </c>
      <c r="C15920" t="str">
        <f>IFERROR(__xludf.DUMMYFUNCTION("""COMPUTED_VALUE"""),"Timor-Leste")</f>
        <v>Timor-Leste</v>
      </c>
      <c r="D15920">
        <f>IFERROR(__xludf.DUMMYFUNCTION("""COMPUTED_VALUE"""),2032.0)</f>
        <v>2032</v>
      </c>
      <c r="E15920">
        <f>IFERROR(__xludf.DUMMYFUNCTION("""COMPUTED_VALUE"""),1773737.0)</f>
        <v>1773737</v>
      </c>
    </row>
    <row r="15921">
      <c r="A15921" t="str">
        <f t="shared" si="1"/>
        <v>tls#2033</v>
      </c>
      <c r="B15921" t="str">
        <f>IFERROR(__xludf.DUMMYFUNCTION("""COMPUTED_VALUE"""),"tls")</f>
        <v>tls</v>
      </c>
      <c r="C15921" t="str">
        <f>IFERROR(__xludf.DUMMYFUNCTION("""COMPUTED_VALUE"""),"Timor-Leste")</f>
        <v>Timor-Leste</v>
      </c>
      <c r="D15921">
        <f>IFERROR(__xludf.DUMMYFUNCTION("""COMPUTED_VALUE"""),2033.0)</f>
        <v>2033</v>
      </c>
      <c r="E15921">
        <f>IFERROR(__xludf.DUMMYFUNCTION("""COMPUTED_VALUE"""),1808945.0)</f>
        <v>1808945</v>
      </c>
    </row>
    <row r="15922">
      <c r="A15922" t="str">
        <f t="shared" si="1"/>
        <v>tls#2034</v>
      </c>
      <c r="B15922" t="str">
        <f>IFERROR(__xludf.DUMMYFUNCTION("""COMPUTED_VALUE"""),"tls")</f>
        <v>tls</v>
      </c>
      <c r="C15922" t="str">
        <f>IFERROR(__xludf.DUMMYFUNCTION("""COMPUTED_VALUE"""),"Timor-Leste")</f>
        <v>Timor-Leste</v>
      </c>
      <c r="D15922">
        <f>IFERROR(__xludf.DUMMYFUNCTION("""COMPUTED_VALUE"""),2034.0)</f>
        <v>2034</v>
      </c>
      <c r="E15922">
        <f>IFERROR(__xludf.DUMMYFUNCTION("""COMPUTED_VALUE"""),1844357.0)</f>
        <v>1844357</v>
      </c>
    </row>
    <row r="15923">
      <c r="A15923" t="str">
        <f t="shared" si="1"/>
        <v>tls#2035</v>
      </c>
      <c r="B15923" t="str">
        <f>IFERROR(__xludf.DUMMYFUNCTION("""COMPUTED_VALUE"""),"tls")</f>
        <v>tls</v>
      </c>
      <c r="C15923" t="str">
        <f>IFERROR(__xludf.DUMMYFUNCTION("""COMPUTED_VALUE"""),"Timor-Leste")</f>
        <v>Timor-Leste</v>
      </c>
      <c r="D15923">
        <f>IFERROR(__xludf.DUMMYFUNCTION("""COMPUTED_VALUE"""),2035.0)</f>
        <v>2035</v>
      </c>
      <c r="E15923">
        <f>IFERROR(__xludf.DUMMYFUNCTION("""COMPUTED_VALUE"""),1879943.0)</f>
        <v>1879943</v>
      </c>
    </row>
    <row r="15924">
      <c r="A15924" t="str">
        <f t="shared" si="1"/>
        <v>tls#2036</v>
      </c>
      <c r="B15924" t="str">
        <f>IFERROR(__xludf.DUMMYFUNCTION("""COMPUTED_VALUE"""),"tls")</f>
        <v>tls</v>
      </c>
      <c r="C15924" t="str">
        <f>IFERROR(__xludf.DUMMYFUNCTION("""COMPUTED_VALUE"""),"Timor-Leste")</f>
        <v>Timor-Leste</v>
      </c>
      <c r="D15924">
        <f>IFERROR(__xludf.DUMMYFUNCTION("""COMPUTED_VALUE"""),2036.0)</f>
        <v>2036</v>
      </c>
      <c r="E15924">
        <f>IFERROR(__xludf.DUMMYFUNCTION("""COMPUTED_VALUE"""),1915666.0)</f>
        <v>1915666</v>
      </c>
    </row>
    <row r="15925">
      <c r="A15925" t="str">
        <f t="shared" si="1"/>
        <v>tls#2037</v>
      </c>
      <c r="B15925" t="str">
        <f>IFERROR(__xludf.DUMMYFUNCTION("""COMPUTED_VALUE"""),"tls")</f>
        <v>tls</v>
      </c>
      <c r="C15925" t="str">
        <f>IFERROR(__xludf.DUMMYFUNCTION("""COMPUTED_VALUE"""),"Timor-Leste")</f>
        <v>Timor-Leste</v>
      </c>
      <c r="D15925">
        <f>IFERROR(__xludf.DUMMYFUNCTION("""COMPUTED_VALUE"""),2037.0)</f>
        <v>2037</v>
      </c>
      <c r="E15925">
        <f>IFERROR(__xludf.DUMMYFUNCTION("""COMPUTED_VALUE"""),1951503.0)</f>
        <v>1951503</v>
      </c>
    </row>
    <row r="15926">
      <c r="A15926" t="str">
        <f t="shared" si="1"/>
        <v>tls#2038</v>
      </c>
      <c r="B15926" t="str">
        <f>IFERROR(__xludf.DUMMYFUNCTION("""COMPUTED_VALUE"""),"tls")</f>
        <v>tls</v>
      </c>
      <c r="C15926" t="str">
        <f>IFERROR(__xludf.DUMMYFUNCTION("""COMPUTED_VALUE"""),"Timor-Leste")</f>
        <v>Timor-Leste</v>
      </c>
      <c r="D15926">
        <f>IFERROR(__xludf.DUMMYFUNCTION("""COMPUTED_VALUE"""),2038.0)</f>
        <v>2038</v>
      </c>
      <c r="E15926">
        <f>IFERROR(__xludf.DUMMYFUNCTION("""COMPUTED_VALUE"""),1987438.0)</f>
        <v>1987438</v>
      </c>
    </row>
    <row r="15927">
      <c r="A15927" t="str">
        <f t="shared" si="1"/>
        <v>tls#2039</v>
      </c>
      <c r="B15927" t="str">
        <f>IFERROR(__xludf.DUMMYFUNCTION("""COMPUTED_VALUE"""),"tls")</f>
        <v>tls</v>
      </c>
      <c r="C15927" t="str">
        <f>IFERROR(__xludf.DUMMYFUNCTION("""COMPUTED_VALUE"""),"Timor-Leste")</f>
        <v>Timor-Leste</v>
      </c>
      <c r="D15927">
        <f>IFERROR(__xludf.DUMMYFUNCTION("""COMPUTED_VALUE"""),2039.0)</f>
        <v>2039</v>
      </c>
      <c r="E15927">
        <f>IFERROR(__xludf.DUMMYFUNCTION("""COMPUTED_VALUE"""),2023461.0)</f>
        <v>2023461</v>
      </c>
    </row>
    <row r="15928">
      <c r="A15928" t="str">
        <f t="shared" si="1"/>
        <v>tls#2040</v>
      </c>
      <c r="B15928" t="str">
        <f>IFERROR(__xludf.DUMMYFUNCTION("""COMPUTED_VALUE"""),"tls")</f>
        <v>tls</v>
      </c>
      <c r="C15928" t="str">
        <f>IFERROR(__xludf.DUMMYFUNCTION("""COMPUTED_VALUE"""),"Timor-Leste")</f>
        <v>Timor-Leste</v>
      </c>
      <c r="D15928">
        <f>IFERROR(__xludf.DUMMYFUNCTION("""COMPUTED_VALUE"""),2040.0)</f>
        <v>2040</v>
      </c>
      <c r="E15928">
        <f>IFERROR(__xludf.DUMMYFUNCTION("""COMPUTED_VALUE"""),2059551.0)</f>
        <v>2059551</v>
      </c>
    </row>
    <row r="15929">
      <c r="A15929" t="str">
        <f t="shared" si="1"/>
        <v>tgo#1950</v>
      </c>
      <c r="B15929" t="str">
        <f>IFERROR(__xludf.DUMMYFUNCTION("""COMPUTED_VALUE"""),"tgo")</f>
        <v>tgo</v>
      </c>
      <c r="C15929" t="str">
        <f>IFERROR(__xludf.DUMMYFUNCTION("""COMPUTED_VALUE"""),"Togo")</f>
        <v>Togo</v>
      </c>
      <c r="D15929">
        <f>IFERROR(__xludf.DUMMYFUNCTION("""COMPUTED_VALUE"""),1950.0)</f>
        <v>1950</v>
      </c>
      <c r="E15929">
        <f>IFERROR(__xludf.DUMMYFUNCTION("""COMPUTED_VALUE"""),1395457.0)</f>
        <v>1395457</v>
      </c>
    </row>
    <row r="15930">
      <c r="A15930" t="str">
        <f t="shared" si="1"/>
        <v>tgo#1951</v>
      </c>
      <c r="B15930" t="str">
        <f>IFERROR(__xludf.DUMMYFUNCTION("""COMPUTED_VALUE"""),"tgo")</f>
        <v>tgo</v>
      </c>
      <c r="C15930" t="str">
        <f>IFERROR(__xludf.DUMMYFUNCTION("""COMPUTED_VALUE"""),"Togo")</f>
        <v>Togo</v>
      </c>
      <c r="D15930">
        <f>IFERROR(__xludf.DUMMYFUNCTION("""COMPUTED_VALUE"""),1951.0)</f>
        <v>1951</v>
      </c>
      <c r="E15930">
        <f>IFERROR(__xludf.DUMMYFUNCTION("""COMPUTED_VALUE"""),1425487.0)</f>
        <v>1425487</v>
      </c>
    </row>
    <row r="15931">
      <c r="A15931" t="str">
        <f t="shared" si="1"/>
        <v>tgo#1952</v>
      </c>
      <c r="B15931" t="str">
        <f>IFERROR(__xludf.DUMMYFUNCTION("""COMPUTED_VALUE"""),"tgo")</f>
        <v>tgo</v>
      </c>
      <c r="C15931" t="str">
        <f>IFERROR(__xludf.DUMMYFUNCTION("""COMPUTED_VALUE"""),"Togo")</f>
        <v>Togo</v>
      </c>
      <c r="D15931">
        <f>IFERROR(__xludf.DUMMYFUNCTION("""COMPUTED_VALUE"""),1952.0)</f>
        <v>1952</v>
      </c>
      <c r="E15931">
        <f>IFERROR(__xludf.DUMMYFUNCTION("""COMPUTED_VALUE"""),1441906.0)</f>
        <v>1441906</v>
      </c>
    </row>
    <row r="15932">
      <c r="A15932" t="str">
        <f t="shared" si="1"/>
        <v>tgo#1953</v>
      </c>
      <c r="B15932" t="str">
        <f>IFERROR(__xludf.DUMMYFUNCTION("""COMPUTED_VALUE"""),"tgo")</f>
        <v>tgo</v>
      </c>
      <c r="C15932" t="str">
        <f>IFERROR(__xludf.DUMMYFUNCTION("""COMPUTED_VALUE"""),"Togo")</f>
        <v>Togo</v>
      </c>
      <c r="D15932">
        <f>IFERROR(__xludf.DUMMYFUNCTION("""COMPUTED_VALUE"""),1953.0)</f>
        <v>1953</v>
      </c>
      <c r="E15932">
        <f>IFERROR(__xludf.DUMMYFUNCTION("""COMPUTED_VALUE"""),1452088.0)</f>
        <v>1452088</v>
      </c>
    </row>
    <row r="15933">
      <c r="A15933" t="str">
        <f t="shared" si="1"/>
        <v>tgo#1954</v>
      </c>
      <c r="B15933" t="str">
        <f>IFERROR(__xludf.DUMMYFUNCTION("""COMPUTED_VALUE"""),"tgo")</f>
        <v>tgo</v>
      </c>
      <c r="C15933" t="str">
        <f>IFERROR(__xludf.DUMMYFUNCTION("""COMPUTED_VALUE"""),"Togo")</f>
        <v>Togo</v>
      </c>
      <c r="D15933">
        <f>IFERROR(__xludf.DUMMYFUNCTION("""COMPUTED_VALUE"""),1954.0)</f>
        <v>1954</v>
      </c>
      <c r="E15933">
        <f>IFERROR(__xludf.DUMMYFUNCTION("""COMPUTED_VALUE"""),1461520.0)</f>
        <v>1461520</v>
      </c>
    </row>
    <row r="15934">
      <c r="A15934" t="str">
        <f t="shared" si="1"/>
        <v>tgo#1955</v>
      </c>
      <c r="B15934" t="str">
        <f>IFERROR(__xludf.DUMMYFUNCTION("""COMPUTED_VALUE"""),"tgo")</f>
        <v>tgo</v>
      </c>
      <c r="C15934" t="str">
        <f>IFERROR(__xludf.DUMMYFUNCTION("""COMPUTED_VALUE"""),"Togo")</f>
        <v>Togo</v>
      </c>
      <c r="D15934">
        <f>IFERROR(__xludf.DUMMYFUNCTION("""COMPUTED_VALUE"""),1955.0)</f>
        <v>1955</v>
      </c>
      <c r="E15934">
        <f>IFERROR(__xludf.DUMMYFUNCTION("""COMPUTED_VALUE"""),1473839.0)</f>
        <v>1473839</v>
      </c>
    </row>
    <row r="15935">
      <c r="A15935" t="str">
        <f t="shared" si="1"/>
        <v>tgo#1956</v>
      </c>
      <c r="B15935" t="str">
        <f>IFERROR(__xludf.DUMMYFUNCTION("""COMPUTED_VALUE"""),"tgo")</f>
        <v>tgo</v>
      </c>
      <c r="C15935" t="str">
        <f>IFERROR(__xludf.DUMMYFUNCTION("""COMPUTED_VALUE"""),"Togo")</f>
        <v>Togo</v>
      </c>
      <c r="D15935">
        <f>IFERROR(__xludf.DUMMYFUNCTION("""COMPUTED_VALUE"""),1956.0)</f>
        <v>1956</v>
      </c>
      <c r="E15935">
        <f>IFERROR(__xludf.DUMMYFUNCTION("""COMPUTED_VALUE"""),1490731.0)</f>
        <v>1490731</v>
      </c>
    </row>
    <row r="15936">
      <c r="A15936" t="str">
        <f t="shared" si="1"/>
        <v>tgo#1957</v>
      </c>
      <c r="B15936" t="str">
        <f>IFERROR(__xludf.DUMMYFUNCTION("""COMPUTED_VALUE"""),"tgo")</f>
        <v>tgo</v>
      </c>
      <c r="C15936" t="str">
        <f>IFERROR(__xludf.DUMMYFUNCTION("""COMPUTED_VALUE"""),"Togo")</f>
        <v>Togo</v>
      </c>
      <c r="D15936">
        <f>IFERROR(__xludf.DUMMYFUNCTION("""COMPUTED_VALUE"""),1957.0)</f>
        <v>1957</v>
      </c>
      <c r="E15936">
        <f>IFERROR(__xludf.DUMMYFUNCTION("""COMPUTED_VALUE"""),1512029.0)</f>
        <v>1512029</v>
      </c>
    </row>
    <row r="15937">
      <c r="A15937" t="str">
        <f t="shared" si="1"/>
        <v>tgo#1958</v>
      </c>
      <c r="B15937" t="str">
        <f>IFERROR(__xludf.DUMMYFUNCTION("""COMPUTED_VALUE"""),"tgo")</f>
        <v>tgo</v>
      </c>
      <c r="C15937" t="str">
        <f>IFERROR(__xludf.DUMMYFUNCTION("""COMPUTED_VALUE"""),"Togo")</f>
        <v>Togo</v>
      </c>
      <c r="D15937">
        <f>IFERROR(__xludf.DUMMYFUNCTION("""COMPUTED_VALUE"""),1958.0)</f>
        <v>1958</v>
      </c>
      <c r="E15937">
        <f>IFERROR(__xludf.DUMMYFUNCTION("""COMPUTED_VALUE"""),1535969.0)</f>
        <v>1535969</v>
      </c>
    </row>
    <row r="15938">
      <c r="A15938" t="str">
        <f t="shared" si="1"/>
        <v>tgo#1959</v>
      </c>
      <c r="B15938" t="str">
        <f>IFERROR(__xludf.DUMMYFUNCTION("""COMPUTED_VALUE"""),"tgo")</f>
        <v>tgo</v>
      </c>
      <c r="C15938" t="str">
        <f>IFERROR(__xludf.DUMMYFUNCTION("""COMPUTED_VALUE"""),"Togo")</f>
        <v>Togo</v>
      </c>
      <c r="D15938">
        <f>IFERROR(__xludf.DUMMYFUNCTION("""COMPUTED_VALUE"""),1959.0)</f>
        <v>1959</v>
      </c>
      <c r="E15938">
        <f>IFERROR(__xludf.DUMMYFUNCTION("""COMPUTED_VALUE"""),1559674.0)</f>
        <v>1559674</v>
      </c>
    </row>
    <row r="15939">
      <c r="A15939" t="str">
        <f t="shared" si="1"/>
        <v>tgo#1960</v>
      </c>
      <c r="B15939" t="str">
        <f>IFERROR(__xludf.DUMMYFUNCTION("""COMPUTED_VALUE"""),"tgo")</f>
        <v>tgo</v>
      </c>
      <c r="C15939" t="str">
        <f>IFERROR(__xludf.DUMMYFUNCTION("""COMPUTED_VALUE"""),"Togo")</f>
        <v>Togo</v>
      </c>
      <c r="D15939">
        <f>IFERROR(__xludf.DUMMYFUNCTION("""COMPUTED_VALUE"""),1960.0)</f>
        <v>1960</v>
      </c>
      <c r="E15939">
        <f>IFERROR(__xludf.DUMMYFUNCTION("""COMPUTED_VALUE"""),1580513.0)</f>
        <v>1580513</v>
      </c>
    </row>
    <row r="15940">
      <c r="A15940" t="str">
        <f t="shared" si="1"/>
        <v>tgo#1961</v>
      </c>
      <c r="B15940" t="str">
        <f>IFERROR(__xludf.DUMMYFUNCTION("""COMPUTED_VALUE"""),"tgo")</f>
        <v>tgo</v>
      </c>
      <c r="C15940" t="str">
        <f>IFERROR(__xludf.DUMMYFUNCTION("""COMPUTED_VALUE"""),"Togo")</f>
        <v>Togo</v>
      </c>
      <c r="D15940">
        <f>IFERROR(__xludf.DUMMYFUNCTION("""COMPUTED_VALUE"""),1961.0)</f>
        <v>1961</v>
      </c>
      <c r="E15940">
        <f>IFERROR(__xludf.DUMMYFUNCTION("""COMPUTED_VALUE"""),1597526.0)</f>
        <v>1597526</v>
      </c>
    </row>
    <row r="15941">
      <c r="A15941" t="str">
        <f t="shared" si="1"/>
        <v>tgo#1962</v>
      </c>
      <c r="B15941" t="str">
        <f>IFERROR(__xludf.DUMMYFUNCTION("""COMPUTED_VALUE"""),"tgo")</f>
        <v>tgo</v>
      </c>
      <c r="C15941" t="str">
        <f>IFERROR(__xludf.DUMMYFUNCTION("""COMPUTED_VALUE"""),"Togo")</f>
        <v>Togo</v>
      </c>
      <c r="D15941">
        <f>IFERROR(__xludf.DUMMYFUNCTION("""COMPUTED_VALUE"""),1962.0)</f>
        <v>1962</v>
      </c>
      <c r="E15941">
        <f>IFERROR(__xludf.DUMMYFUNCTION("""COMPUTED_VALUE"""),1612755.0)</f>
        <v>1612755</v>
      </c>
    </row>
    <row r="15942">
      <c r="A15942" t="str">
        <f t="shared" si="1"/>
        <v>tgo#1963</v>
      </c>
      <c r="B15942" t="str">
        <f>IFERROR(__xludf.DUMMYFUNCTION("""COMPUTED_VALUE"""),"tgo")</f>
        <v>tgo</v>
      </c>
      <c r="C15942" t="str">
        <f>IFERROR(__xludf.DUMMYFUNCTION("""COMPUTED_VALUE"""),"Togo")</f>
        <v>Togo</v>
      </c>
      <c r="D15942">
        <f>IFERROR(__xludf.DUMMYFUNCTION("""COMPUTED_VALUE"""),1963.0)</f>
        <v>1963</v>
      </c>
      <c r="E15942">
        <f>IFERROR(__xludf.DUMMYFUNCTION("""COMPUTED_VALUE"""),1631764.0)</f>
        <v>1631764</v>
      </c>
    </row>
    <row r="15943">
      <c r="A15943" t="str">
        <f t="shared" si="1"/>
        <v>tgo#1964</v>
      </c>
      <c r="B15943" t="str">
        <f>IFERROR(__xludf.DUMMYFUNCTION("""COMPUTED_VALUE"""),"tgo")</f>
        <v>tgo</v>
      </c>
      <c r="C15943" t="str">
        <f>IFERROR(__xludf.DUMMYFUNCTION("""COMPUTED_VALUE"""),"Togo")</f>
        <v>Togo</v>
      </c>
      <c r="D15943">
        <f>IFERROR(__xludf.DUMMYFUNCTION("""COMPUTED_VALUE"""),1964.0)</f>
        <v>1964</v>
      </c>
      <c r="E15943">
        <f>IFERROR(__xludf.DUMMYFUNCTION("""COMPUTED_VALUE"""),1662073.0)</f>
        <v>1662073</v>
      </c>
    </row>
    <row r="15944">
      <c r="A15944" t="str">
        <f t="shared" si="1"/>
        <v>tgo#1965</v>
      </c>
      <c r="B15944" t="str">
        <f>IFERROR(__xludf.DUMMYFUNCTION("""COMPUTED_VALUE"""),"tgo")</f>
        <v>tgo</v>
      </c>
      <c r="C15944" t="str">
        <f>IFERROR(__xludf.DUMMYFUNCTION("""COMPUTED_VALUE"""),"Togo")</f>
        <v>Togo</v>
      </c>
      <c r="D15944">
        <f>IFERROR(__xludf.DUMMYFUNCTION("""COMPUTED_VALUE"""),1965.0)</f>
        <v>1965</v>
      </c>
      <c r="E15944">
        <f>IFERROR(__xludf.DUMMYFUNCTION("""COMPUTED_VALUE"""),1708630.0)</f>
        <v>1708630</v>
      </c>
    </row>
    <row r="15945">
      <c r="A15945" t="str">
        <f t="shared" si="1"/>
        <v>tgo#1966</v>
      </c>
      <c r="B15945" t="str">
        <f>IFERROR(__xludf.DUMMYFUNCTION("""COMPUTED_VALUE"""),"tgo")</f>
        <v>tgo</v>
      </c>
      <c r="C15945" t="str">
        <f>IFERROR(__xludf.DUMMYFUNCTION("""COMPUTED_VALUE"""),"Togo")</f>
        <v>Togo</v>
      </c>
      <c r="D15945">
        <f>IFERROR(__xludf.DUMMYFUNCTION("""COMPUTED_VALUE"""),1966.0)</f>
        <v>1966</v>
      </c>
      <c r="E15945">
        <f>IFERROR(__xludf.DUMMYFUNCTION("""COMPUTED_VALUE"""),1774029.0)</f>
        <v>1774029</v>
      </c>
    </row>
    <row r="15946">
      <c r="A15946" t="str">
        <f t="shared" si="1"/>
        <v>tgo#1967</v>
      </c>
      <c r="B15946" t="str">
        <f>IFERROR(__xludf.DUMMYFUNCTION("""COMPUTED_VALUE"""),"tgo")</f>
        <v>tgo</v>
      </c>
      <c r="C15946" t="str">
        <f>IFERROR(__xludf.DUMMYFUNCTION("""COMPUTED_VALUE"""),"Togo")</f>
        <v>Togo</v>
      </c>
      <c r="D15946">
        <f>IFERROR(__xludf.DUMMYFUNCTION("""COMPUTED_VALUE"""),1967.0)</f>
        <v>1967</v>
      </c>
      <c r="E15946">
        <f>IFERROR(__xludf.DUMMYFUNCTION("""COMPUTED_VALUE"""),1855442.0)</f>
        <v>1855442</v>
      </c>
    </row>
    <row r="15947">
      <c r="A15947" t="str">
        <f t="shared" si="1"/>
        <v>tgo#1968</v>
      </c>
      <c r="B15947" t="str">
        <f>IFERROR(__xludf.DUMMYFUNCTION("""COMPUTED_VALUE"""),"tgo")</f>
        <v>tgo</v>
      </c>
      <c r="C15947" t="str">
        <f>IFERROR(__xludf.DUMMYFUNCTION("""COMPUTED_VALUE"""),"Togo")</f>
        <v>Togo</v>
      </c>
      <c r="D15947">
        <f>IFERROR(__xludf.DUMMYFUNCTION("""COMPUTED_VALUE"""),1968.0)</f>
        <v>1968</v>
      </c>
      <c r="E15947">
        <f>IFERROR(__xludf.DUMMYFUNCTION("""COMPUTED_VALUE"""),1945780.0)</f>
        <v>1945780</v>
      </c>
    </row>
    <row r="15948">
      <c r="A15948" t="str">
        <f t="shared" si="1"/>
        <v>tgo#1969</v>
      </c>
      <c r="B15948" t="str">
        <f>IFERROR(__xludf.DUMMYFUNCTION("""COMPUTED_VALUE"""),"tgo")</f>
        <v>tgo</v>
      </c>
      <c r="C15948" t="str">
        <f>IFERROR(__xludf.DUMMYFUNCTION("""COMPUTED_VALUE"""),"Togo")</f>
        <v>Togo</v>
      </c>
      <c r="D15948">
        <f>IFERROR(__xludf.DUMMYFUNCTION("""COMPUTED_VALUE"""),1969.0)</f>
        <v>1969</v>
      </c>
      <c r="E15948">
        <f>IFERROR(__xludf.DUMMYFUNCTION("""COMPUTED_VALUE"""),2034907.0)</f>
        <v>2034907</v>
      </c>
    </row>
    <row r="15949">
      <c r="A15949" t="str">
        <f t="shared" si="1"/>
        <v>tgo#1970</v>
      </c>
      <c r="B15949" t="str">
        <f>IFERROR(__xludf.DUMMYFUNCTION("""COMPUTED_VALUE"""),"tgo")</f>
        <v>tgo</v>
      </c>
      <c r="C15949" t="str">
        <f>IFERROR(__xludf.DUMMYFUNCTION("""COMPUTED_VALUE"""),"Togo")</f>
        <v>Togo</v>
      </c>
      <c r="D15949">
        <f>IFERROR(__xludf.DUMMYFUNCTION("""COMPUTED_VALUE"""),1970.0)</f>
        <v>1970</v>
      </c>
      <c r="E15949">
        <f>IFERROR(__xludf.DUMMYFUNCTION("""COMPUTED_VALUE"""),2115522.0)</f>
        <v>2115522</v>
      </c>
    </row>
    <row r="15950">
      <c r="A15950" t="str">
        <f t="shared" si="1"/>
        <v>tgo#1971</v>
      </c>
      <c r="B15950" t="str">
        <f>IFERROR(__xludf.DUMMYFUNCTION("""COMPUTED_VALUE"""),"tgo")</f>
        <v>tgo</v>
      </c>
      <c r="C15950" t="str">
        <f>IFERROR(__xludf.DUMMYFUNCTION("""COMPUTED_VALUE"""),"Togo")</f>
        <v>Togo</v>
      </c>
      <c r="D15950">
        <f>IFERROR(__xludf.DUMMYFUNCTION("""COMPUTED_VALUE"""),1971.0)</f>
        <v>1971</v>
      </c>
      <c r="E15950">
        <f>IFERROR(__xludf.DUMMYFUNCTION("""COMPUTED_VALUE"""),2185662.0)</f>
        <v>2185662</v>
      </c>
    </row>
    <row r="15951">
      <c r="A15951" t="str">
        <f t="shared" si="1"/>
        <v>tgo#1972</v>
      </c>
      <c r="B15951" t="str">
        <f>IFERROR(__xludf.DUMMYFUNCTION("""COMPUTED_VALUE"""),"tgo")</f>
        <v>tgo</v>
      </c>
      <c r="C15951" t="str">
        <f>IFERROR(__xludf.DUMMYFUNCTION("""COMPUTED_VALUE"""),"Togo")</f>
        <v>Togo</v>
      </c>
      <c r="D15951">
        <f>IFERROR(__xludf.DUMMYFUNCTION("""COMPUTED_VALUE"""),1972.0)</f>
        <v>1972</v>
      </c>
      <c r="E15951">
        <f>IFERROR(__xludf.DUMMYFUNCTION("""COMPUTED_VALUE"""),2247582.0)</f>
        <v>2247582</v>
      </c>
    </row>
    <row r="15952">
      <c r="A15952" t="str">
        <f t="shared" si="1"/>
        <v>tgo#1973</v>
      </c>
      <c r="B15952" t="str">
        <f>IFERROR(__xludf.DUMMYFUNCTION("""COMPUTED_VALUE"""),"tgo")</f>
        <v>tgo</v>
      </c>
      <c r="C15952" t="str">
        <f>IFERROR(__xludf.DUMMYFUNCTION("""COMPUTED_VALUE"""),"Togo")</f>
        <v>Togo</v>
      </c>
      <c r="D15952">
        <f>IFERROR(__xludf.DUMMYFUNCTION("""COMPUTED_VALUE"""),1973.0)</f>
        <v>1973</v>
      </c>
      <c r="E15952">
        <f>IFERROR(__xludf.DUMMYFUNCTION("""COMPUTED_VALUE"""),2303345.0)</f>
        <v>2303345</v>
      </c>
    </row>
    <row r="15953">
      <c r="A15953" t="str">
        <f t="shared" si="1"/>
        <v>tgo#1974</v>
      </c>
      <c r="B15953" t="str">
        <f>IFERROR(__xludf.DUMMYFUNCTION("""COMPUTED_VALUE"""),"tgo")</f>
        <v>tgo</v>
      </c>
      <c r="C15953" t="str">
        <f>IFERROR(__xludf.DUMMYFUNCTION("""COMPUTED_VALUE"""),"Togo")</f>
        <v>Togo</v>
      </c>
      <c r="D15953">
        <f>IFERROR(__xludf.DUMMYFUNCTION("""COMPUTED_VALUE"""),1974.0)</f>
        <v>1974</v>
      </c>
      <c r="E15953">
        <f>IFERROR(__xludf.DUMMYFUNCTION("""COMPUTED_VALUE"""),2356622.0)</f>
        <v>2356622</v>
      </c>
    </row>
    <row r="15954">
      <c r="A15954" t="str">
        <f t="shared" si="1"/>
        <v>tgo#1975</v>
      </c>
      <c r="B15954" t="str">
        <f>IFERROR(__xludf.DUMMYFUNCTION("""COMPUTED_VALUE"""),"tgo")</f>
        <v>tgo</v>
      </c>
      <c r="C15954" t="str">
        <f>IFERROR(__xludf.DUMMYFUNCTION("""COMPUTED_VALUE"""),"Togo")</f>
        <v>Togo</v>
      </c>
      <c r="D15954">
        <f>IFERROR(__xludf.DUMMYFUNCTION("""COMPUTED_VALUE"""),1975.0)</f>
        <v>1975</v>
      </c>
      <c r="E15954">
        <f>IFERROR(__xludf.DUMMYFUNCTION("""COMPUTED_VALUE"""),2410446.0)</f>
        <v>2410446</v>
      </c>
    </row>
    <row r="15955">
      <c r="A15955" t="str">
        <f t="shared" si="1"/>
        <v>tgo#1976</v>
      </c>
      <c r="B15955" t="str">
        <f>IFERROR(__xludf.DUMMYFUNCTION("""COMPUTED_VALUE"""),"tgo")</f>
        <v>tgo</v>
      </c>
      <c r="C15955" t="str">
        <f>IFERROR(__xludf.DUMMYFUNCTION("""COMPUTED_VALUE"""),"Togo")</f>
        <v>Togo</v>
      </c>
      <c r="D15955">
        <f>IFERROR(__xludf.DUMMYFUNCTION("""COMPUTED_VALUE"""),1976.0)</f>
        <v>1976</v>
      </c>
      <c r="E15955">
        <f>IFERROR(__xludf.DUMMYFUNCTION("""COMPUTED_VALUE"""),2464455.0)</f>
        <v>2464455</v>
      </c>
    </row>
    <row r="15956">
      <c r="A15956" t="str">
        <f t="shared" si="1"/>
        <v>tgo#1977</v>
      </c>
      <c r="B15956" t="str">
        <f>IFERROR(__xludf.DUMMYFUNCTION("""COMPUTED_VALUE"""),"tgo")</f>
        <v>tgo</v>
      </c>
      <c r="C15956" t="str">
        <f>IFERROR(__xludf.DUMMYFUNCTION("""COMPUTED_VALUE"""),"Togo")</f>
        <v>Togo</v>
      </c>
      <c r="D15956">
        <f>IFERROR(__xludf.DUMMYFUNCTION("""COMPUTED_VALUE"""),1977.0)</f>
        <v>1977</v>
      </c>
      <c r="E15956">
        <f>IFERROR(__xludf.DUMMYFUNCTION("""COMPUTED_VALUE"""),2518566.0)</f>
        <v>2518566</v>
      </c>
    </row>
    <row r="15957">
      <c r="A15957" t="str">
        <f t="shared" si="1"/>
        <v>tgo#1978</v>
      </c>
      <c r="B15957" t="str">
        <f>IFERROR(__xludf.DUMMYFUNCTION("""COMPUTED_VALUE"""),"tgo")</f>
        <v>tgo</v>
      </c>
      <c r="C15957" t="str">
        <f>IFERROR(__xludf.DUMMYFUNCTION("""COMPUTED_VALUE"""),"Togo")</f>
        <v>Togo</v>
      </c>
      <c r="D15957">
        <f>IFERROR(__xludf.DUMMYFUNCTION("""COMPUTED_VALUE"""),1978.0)</f>
        <v>1978</v>
      </c>
      <c r="E15957">
        <f>IFERROR(__xludf.DUMMYFUNCTION("""COMPUTED_VALUE"""),2576469.0)</f>
        <v>2576469</v>
      </c>
    </row>
    <row r="15958">
      <c r="A15958" t="str">
        <f t="shared" si="1"/>
        <v>tgo#1979</v>
      </c>
      <c r="B15958" t="str">
        <f>IFERROR(__xludf.DUMMYFUNCTION("""COMPUTED_VALUE"""),"tgo")</f>
        <v>tgo</v>
      </c>
      <c r="C15958" t="str">
        <f>IFERROR(__xludf.DUMMYFUNCTION("""COMPUTED_VALUE"""),"Togo")</f>
        <v>Togo</v>
      </c>
      <c r="D15958">
        <f>IFERROR(__xludf.DUMMYFUNCTION("""COMPUTED_VALUE"""),1979.0)</f>
        <v>1979</v>
      </c>
      <c r="E15958">
        <f>IFERROR(__xludf.DUMMYFUNCTION("""COMPUTED_VALUE"""),2642846.0)</f>
        <v>2642846</v>
      </c>
    </row>
    <row r="15959">
      <c r="A15959" t="str">
        <f t="shared" si="1"/>
        <v>tgo#1980</v>
      </c>
      <c r="B15959" t="str">
        <f>IFERROR(__xludf.DUMMYFUNCTION("""COMPUTED_VALUE"""),"tgo")</f>
        <v>tgo</v>
      </c>
      <c r="C15959" t="str">
        <f>IFERROR(__xludf.DUMMYFUNCTION("""COMPUTED_VALUE"""),"Togo")</f>
        <v>Togo</v>
      </c>
      <c r="D15959">
        <f>IFERROR(__xludf.DUMMYFUNCTION("""COMPUTED_VALUE"""),1980.0)</f>
        <v>1980</v>
      </c>
      <c r="E15959">
        <f>IFERROR(__xludf.DUMMYFUNCTION("""COMPUTED_VALUE"""),2720839.0)</f>
        <v>2720839</v>
      </c>
    </row>
    <row r="15960">
      <c r="A15960" t="str">
        <f t="shared" si="1"/>
        <v>tgo#1981</v>
      </c>
      <c r="B15960" t="str">
        <f>IFERROR(__xludf.DUMMYFUNCTION("""COMPUTED_VALUE"""),"tgo")</f>
        <v>tgo</v>
      </c>
      <c r="C15960" t="str">
        <f>IFERROR(__xludf.DUMMYFUNCTION("""COMPUTED_VALUE"""),"Togo")</f>
        <v>Togo</v>
      </c>
      <c r="D15960">
        <f>IFERROR(__xludf.DUMMYFUNCTION("""COMPUTED_VALUE"""),1981.0)</f>
        <v>1981</v>
      </c>
      <c r="E15960">
        <f>IFERROR(__xludf.DUMMYFUNCTION("""COMPUTED_VALUE"""),2812039.0)</f>
        <v>2812039</v>
      </c>
    </row>
    <row r="15961">
      <c r="A15961" t="str">
        <f t="shared" si="1"/>
        <v>tgo#1982</v>
      </c>
      <c r="B15961" t="str">
        <f>IFERROR(__xludf.DUMMYFUNCTION("""COMPUTED_VALUE"""),"tgo")</f>
        <v>tgo</v>
      </c>
      <c r="C15961" t="str">
        <f>IFERROR(__xludf.DUMMYFUNCTION("""COMPUTED_VALUE"""),"Togo")</f>
        <v>Togo</v>
      </c>
      <c r="D15961">
        <f>IFERROR(__xludf.DUMMYFUNCTION("""COMPUTED_VALUE"""),1982.0)</f>
        <v>1982</v>
      </c>
      <c r="E15961">
        <f>IFERROR(__xludf.DUMMYFUNCTION("""COMPUTED_VALUE"""),2915066.0)</f>
        <v>2915066</v>
      </c>
    </row>
    <row r="15962">
      <c r="A15962" t="str">
        <f t="shared" si="1"/>
        <v>tgo#1983</v>
      </c>
      <c r="B15962" t="str">
        <f>IFERROR(__xludf.DUMMYFUNCTION("""COMPUTED_VALUE"""),"tgo")</f>
        <v>tgo</v>
      </c>
      <c r="C15962" t="str">
        <f>IFERROR(__xludf.DUMMYFUNCTION("""COMPUTED_VALUE"""),"Togo")</f>
        <v>Togo</v>
      </c>
      <c r="D15962">
        <f>IFERROR(__xludf.DUMMYFUNCTION("""COMPUTED_VALUE"""),1983.0)</f>
        <v>1983</v>
      </c>
      <c r="E15962">
        <f>IFERROR(__xludf.DUMMYFUNCTION("""COMPUTED_VALUE"""),3026238.0)</f>
        <v>3026238</v>
      </c>
    </row>
    <row r="15963">
      <c r="A15963" t="str">
        <f t="shared" si="1"/>
        <v>tgo#1984</v>
      </c>
      <c r="B15963" t="str">
        <f>IFERROR(__xludf.DUMMYFUNCTION("""COMPUTED_VALUE"""),"tgo")</f>
        <v>tgo</v>
      </c>
      <c r="C15963" t="str">
        <f>IFERROR(__xludf.DUMMYFUNCTION("""COMPUTED_VALUE"""),"Togo")</f>
        <v>Togo</v>
      </c>
      <c r="D15963">
        <f>IFERROR(__xludf.DUMMYFUNCTION("""COMPUTED_VALUE"""),1984.0)</f>
        <v>1984</v>
      </c>
      <c r="E15963">
        <f>IFERROR(__xludf.DUMMYFUNCTION("""COMPUTED_VALUE"""),3140237.0)</f>
        <v>3140237</v>
      </c>
    </row>
    <row r="15964">
      <c r="A15964" t="str">
        <f t="shared" si="1"/>
        <v>tgo#1985</v>
      </c>
      <c r="B15964" t="str">
        <f>IFERROR(__xludf.DUMMYFUNCTION("""COMPUTED_VALUE"""),"tgo")</f>
        <v>tgo</v>
      </c>
      <c r="C15964" t="str">
        <f>IFERROR(__xludf.DUMMYFUNCTION("""COMPUTED_VALUE"""),"Togo")</f>
        <v>Togo</v>
      </c>
      <c r="D15964">
        <f>IFERROR(__xludf.DUMMYFUNCTION("""COMPUTED_VALUE"""),1985.0)</f>
        <v>1985</v>
      </c>
      <c r="E15964">
        <f>IFERROR(__xludf.DUMMYFUNCTION("""COMPUTED_VALUE"""),3252994.0)</f>
        <v>3252994</v>
      </c>
    </row>
    <row r="15965">
      <c r="A15965" t="str">
        <f t="shared" si="1"/>
        <v>tgo#1986</v>
      </c>
      <c r="B15965" t="str">
        <f>IFERROR(__xludf.DUMMYFUNCTION("""COMPUTED_VALUE"""),"tgo")</f>
        <v>tgo</v>
      </c>
      <c r="C15965" t="str">
        <f>IFERROR(__xludf.DUMMYFUNCTION("""COMPUTED_VALUE"""),"Togo")</f>
        <v>Togo</v>
      </c>
      <c r="D15965">
        <f>IFERROR(__xludf.DUMMYFUNCTION("""COMPUTED_VALUE"""),1986.0)</f>
        <v>1986</v>
      </c>
      <c r="E15965">
        <f>IFERROR(__xludf.DUMMYFUNCTION("""COMPUTED_VALUE"""),3364020.0)</f>
        <v>3364020</v>
      </c>
    </row>
    <row r="15966">
      <c r="A15966" t="str">
        <f t="shared" si="1"/>
        <v>tgo#1987</v>
      </c>
      <c r="B15966" t="str">
        <f>IFERROR(__xludf.DUMMYFUNCTION("""COMPUTED_VALUE"""),"tgo")</f>
        <v>tgo</v>
      </c>
      <c r="C15966" t="str">
        <f>IFERROR(__xludf.DUMMYFUNCTION("""COMPUTED_VALUE"""),"Togo")</f>
        <v>Togo</v>
      </c>
      <c r="D15966">
        <f>IFERROR(__xludf.DUMMYFUNCTION("""COMPUTED_VALUE"""),1987.0)</f>
        <v>1987</v>
      </c>
      <c r="E15966">
        <f>IFERROR(__xludf.DUMMYFUNCTION("""COMPUTED_VALUE"""),3474080.0)</f>
        <v>3474080</v>
      </c>
    </row>
    <row r="15967">
      <c r="A15967" t="str">
        <f t="shared" si="1"/>
        <v>tgo#1988</v>
      </c>
      <c r="B15967" t="str">
        <f>IFERROR(__xludf.DUMMYFUNCTION("""COMPUTED_VALUE"""),"tgo")</f>
        <v>tgo</v>
      </c>
      <c r="C15967" t="str">
        <f>IFERROR(__xludf.DUMMYFUNCTION("""COMPUTED_VALUE"""),"Togo")</f>
        <v>Togo</v>
      </c>
      <c r="D15967">
        <f>IFERROR(__xludf.DUMMYFUNCTION("""COMPUTED_VALUE"""),1988.0)</f>
        <v>1988</v>
      </c>
      <c r="E15967">
        <f>IFERROR(__xludf.DUMMYFUNCTION("""COMPUTED_VALUE"""),3581928.0)</f>
        <v>3581928</v>
      </c>
    </row>
    <row r="15968">
      <c r="A15968" t="str">
        <f t="shared" si="1"/>
        <v>tgo#1989</v>
      </c>
      <c r="B15968" t="str">
        <f>IFERROR(__xludf.DUMMYFUNCTION("""COMPUTED_VALUE"""),"tgo")</f>
        <v>tgo</v>
      </c>
      <c r="C15968" t="str">
        <f>IFERROR(__xludf.DUMMYFUNCTION("""COMPUTED_VALUE"""),"Togo")</f>
        <v>Togo</v>
      </c>
      <c r="D15968">
        <f>IFERROR(__xludf.DUMMYFUNCTION("""COMPUTED_VALUE"""),1989.0)</f>
        <v>1989</v>
      </c>
      <c r="E15968">
        <f>IFERROR(__xludf.DUMMYFUNCTION("""COMPUTED_VALUE"""),3686373.0)</f>
        <v>3686373</v>
      </c>
    </row>
    <row r="15969">
      <c r="A15969" t="str">
        <f t="shared" si="1"/>
        <v>tgo#1990</v>
      </c>
      <c r="B15969" t="str">
        <f>IFERROR(__xludf.DUMMYFUNCTION("""COMPUTED_VALUE"""),"tgo")</f>
        <v>tgo</v>
      </c>
      <c r="C15969" t="str">
        <f>IFERROR(__xludf.DUMMYFUNCTION("""COMPUTED_VALUE"""),"Togo")</f>
        <v>Togo</v>
      </c>
      <c r="D15969">
        <f>IFERROR(__xludf.DUMMYFUNCTION("""COMPUTED_VALUE"""),1990.0)</f>
        <v>1990</v>
      </c>
      <c r="E15969">
        <f>IFERROR(__xludf.DUMMYFUNCTION("""COMPUTED_VALUE"""),3786940.0)</f>
        <v>3786940</v>
      </c>
    </row>
    <row r="15970">
      <c r="A15970" t="str">
        <f t="shared" si="1"/>
        <v>tgo#1991</v>
      </c>
      <c r="B15970" t="str">
        <f>IFERROR(__xludf.DUMMYFUNCTION("""COMPUTED_VALUE"""),"tgo")</f>
        <v>tgo</v>
      </c>
      <c r="C15970" t="str">
        <f>IFERROR(__xludf.DUMMYFUNCTION("""COMPUTED_VALUE"""),"Togo")</f>
        <v>Togo</v>
      </c>
      <c r="D15970">
        <f>IFERROR(__xludf.DUMMYFUNCTION("""COMPUTED_VALUE"""),1991.0)</f>
        <v>1991</v>
      </c>
      <c r="E15970">
        <f>IFERROR(__xludf.DUMMYFUNCTION("""COMPUTED_VALUE"""),3882271.0)</f>
        <v>3882271</v>
      </c>
    </row>
    <row r="15971">
      <c r="A15971" t="str">
        <f t="shared" si="1"/>
        <v>tgo#1992</v>
      </c>
      <c r="B15971" t="str">
        <f>IFERROR(__xludf.DUMMYFUNCTION("""COMPUTED_VALUE"""),"tgo")</f>
        <v>tgo</v>
      </c>
      <c r="C15971" t="str">
        <f>IFERROR(__xludf.DUMMYFUNCTION("""COMPUTED_VALUE"""),"Togo")</f>
        <v>Togo</v>
      </c>
      <c r="D15971">
        <f>IFERROR(__xludf.DUMMYFUNCTION("""COMPUTED_VALUE"""),1992.0)</f>
        <v>1992</v>
      </c>
      <c r="E15971">
        <f>IFERROR(__xludf.DUMMYFUNCTION("""COMPUTED_VALUE"""),3973327.0)</f>
        <v>3973327</v>
      </c>
    </row>
    <row r="15972">
      <c r="A15972" t="str">
        <f t="shared" si="1"/>
        <v>tgo#1993</v>
      </c>
      <c r="B15972" t="str">
        <f>IFERROR(__xludf.DUMMYFUNCTION("""COMPUTED_VALUE"""),"tgo")</f>
        <v>tgo</v>
      </c>
      <c r="C15972" t="str">
        <f>IFERROR(__xludf.DUMMYFUNCTION("""COMPUTED_VALUE"""),"Togo")</f>
        <v>Togo</v>
      </c>
      <c r="D15972">
        <f>IFERROR(__xludf.DUMMYFUNCTION("""COMPUTED_VALUE"""),1993.0)</f>
        <v>1993</v>
      </c>
      <c r="E15972">
        <f>IFERROR(__xludf.DUMMYFUNCTION("""COMPUTED_VALUE"""),4064926.0)</f>
        <v>4064926</v>
      </c>
    </row>
    <row r="15973">
      <c r="A15973" t="str">
        <f t="shared" si="1"/>
        <v>tgo#1994</v>
      </c>
      <c r="B15973" t="str">
        <f>IFERROR(__xludf.DUMMYFUNCTION("""COMPUTED_VALUE"""),"tgo")</f>
        <v>tgo</v>
      </c>
      <c r="C15973" t="str">
        <f>IFERROR(__xludf.DUMMYFUNCTION("""COMPUTED_VALUE"""),"Togo")</f>
        <v>Togo</v>
      </c>
      <c r="D15973">
        <f>IFERROR(__xludf.DUMMYFUNCTION("""COMPUTED_VALUE"""),1994.0)</f>
        <v>1994</v>
      </c>
      <c r="E15973">
        <f>IFERROR(__xludf.DUMMYFUNCTION("""COMPUTED_VALUE"""),4163642.0)</f>
        <v>4163642</v>
      </c>
    </row>
    <row r="15974">
      <c r="A15974" t="str">
        <f t="shared" si="1"/>
        <v>tgo#1995</v>
      </c>
      <c r="B15974" t="str">
        <f>IFERROR(__xludf.DUMMYFUNCTION("""COMPUTED_VALUE"""),"tgo")</f>
        <v>tgo</v>
      </c>
      <c r="C15974" t="str">
        <f>IFERROR(__xludf.DUMMYFUNCTION("""COMPUTED_VALUE"""),"Togo")</f>
        <v>Togo</v>
      </c>
      <c r="D15974">
        <f>IFERROR(__xludf.DUMMYFUNCTION("""COMPUTED_VALUE"""),1995.0)</f>
        <v>1995</v>
      </c>
      <c r="E15974">
        <f>IFERROR(__xludf.DUMMYFUNCTION("""COMPUTED_VALUE"""),4274024.0)</f>
        <v>4274024</v>
      </c>
    </row>
    <row r="15975">
      <c r="A15975" t="str">
        <f t="shared" si="1"/>
        <v>tgo#1996</v>
      </c>
      <c r="B15975" t="str">
        <f>IFERROR(__xludf.DUMMYFUNCTION("""COMPUTED_VALUE"""),"tgo")</f>
        <v>tgo</v>
      </c>
      <c r="C15975" t="str">
        <f>IFERROR(__xludf.DUMMYFUNCTION("""COMPUTED_VALUE"""),"Togo")</f>
        <v>Togo</v>
      </c>
      <c r="D15975">
        <f>IFERROR(__xludf.DUMMYFUNCTION("""COMPUTED_VALUE"""),1996.0)</f>
        <v>1996</v>
      </c>
      <c r="E15975">
        <f>IFERROR(__xludf.DUMMYFUNCTION("""COMPUTED_VALUE"""),4398238.0)</f>
        <v>4398238</v>
      </c>
    </row>
    <row r="15976">
      <c r="A15976" t="str">
        <f t="shared" si="1"/>
        <v>tgo#1997</v>
      </c>
      <c r="B15976" t="str">
        <f>IFERROR(__xludf.DUMMYFUNCTION("""COMPUTED_VALUE"""),"tgo")</f>
        <v>tgo</v>
      </c>
      <c r="C15976" t="str">
        <f>IFERROR(__xludf.DUMMYFUNCTION("""COMPUTED_VALUE"""),"Togo")</f>
        <v>Togo</v>
      </c>
      <c r="D15976">
        <f>IFERROR(__xludf.DUMMYFUNCTION("""COMPUTED_VALUE"""),1997.0)</f>
        <v>1997</v>
      </c>
      <c r="E15976">
        <f>IFERROR(__xludf.DUMMYFUNCTION("""COMPUTED_VALUE"""),4534551.0)</f>
        <v>4534551</v>
      </c>
    </row>
    <row r="15977">
      <c r="A15977" t="str">
        <f t="shared" si="1"/>
        <v>tgo#1998</v>
      </c>
      <c r="B15977" t="str">
        <f>IFERROR(__xludf.DUMMYFUNCTION("""COMPUTED_VALUE"""),"tgo")</f>
        <v>tgo</v>
      </c>
      <c r="C15977" t="str">
        <f>IFERROR(__xludf.DUMMYFUNCTION("""COMPUTED_VALUE"""),"Togo")</f>
        <v>Togo</v>
      </c>
      <c r="D15977">
        <f>IFERROR(__xludf.DUMMYFUNCTION("""COMPUTED_VALUE"""),1998.0)</f>
        <v>1998</v>
      </c>
      <c r="E15977">
        <f>IFERROR(__xludf.DUMMYFUNCTION("""COMPUTED_VALUE"""),4679023.0)</f>
        <v>4679023</v>
      </c>
    </row>
    <row r="15978">
      <c r="A15978" t="str">
        <f t="shared" si="1"/>
        <v>tgo#1999</v>
      </c>
      <c r="B15978" t="str">
        <f>IFERROR(__xludf.DUMMYFUNCTION("""COMPUTED_VALUE"""),"tgo")</f>
        <v>tgo</v>
      </c>
      <c r="C15978" t="str">
        <f>IFERROR(__xludf.DUMMYFUNCTION("""COMPUTED_VALUE"""),"Togo")</f>
        <v>Togo</v>
      </c>
      <c r="D15978">
        <f>IFERROR(__xludf.DUMMYFUNCTION("""COMPUTED_VALUE"""),1999.0)</f>
        <v>1999</v>
      </c>
      <c r="E15978">
        <f>IFERROR(__xludf.DUMMYFUNCTION("""COMPUTED_VALUE"""),4825704.0)</f>
        <v>4825704</v>
      </c>
    </row>
    <row r="15979">
      <c r="A15979" t="str">
        <f t="shared" si="1"/>
        <v>tgo#2000</v>
      </c>
      <c r="B15979" t="str">
        <f>IFERROR(__xludf.DUMMYFUNCTION("""COMPUTED_VALUE"""),"tgo")</f>
        <v>tgo</v>
      </c>
      <c r="C15979" t="str">
        <f>IFERROR(__xludf.DUMMYFUNCTION("""COMPUTED_VALUE"""),"Togo")</f>
        <v>Togo</v>
      </c>
      <c r="D15979">
        <f>IFERROR(__xludf.DUMMYFUNCTION("""COMPUTED_VALUE"""),2000.0)</f>
        <v>2000</v>
      </c>
      <c r="E15979">
        <f>IFERROR(__xludf.DUMMYFUNCTION("""COMPUTED_VALUE"""),4970367.0)</f>
        <v>4970367</v>
      </c>
    </row>
    <row r="15980">
      <c r="A15980" t="str">
        <f t="shared" si="1"/>
        <v>tgo#2001</v>
      </c>
      <c r="B15980" t="str">
        <f>IFERROR(__xludf.DUMMYFUNCTION("""COMPUTED_VALUE"""),"tgo")</f>
        <v>tgo</v>
      </c>
      <c r="C15980" t="str">
        <f>IFERROR(__xludf.DUMMYFUNCTION("""COMPUTED_VALUE"""),"Togo")</f>
        <v>Togo</v>
      </c>
      <c r="D15980">
        <f>IFERROR(__xludf.DUMMYFUNCTION("""COMPUTED_VALUE"""),2001.0)</f>
        <v>2001</v>
      </c>
      <c r="E15980">
        <f>IFERROR(__xludf.DUMMYFUNCTION("""COMPUTED_VALUE"""),5111770.0)</f>
        <v>5111770</v>
      </c>
    </row>
    <row r="15981">
      <c r="A15981" t="str">
        <f t="shared" si="1"/>
        <v>tgo#2002</v>
      </c>
      <c r="B15981" t="str">
        <f>IFERROR(__xludf.DUMMYFUNCTION("""COMPUTED_VALUE"""),"tgo")</f>
        <v>tgo</v>
      </c>
      <c r="C15981" t="str">
        <f>IFERROR(__xludf.DUMMYFUNCTION("""COMPUTED_VALUE"""),"Togo")</f>
        <v>Togo</v>
      </c>
      <c r="D15981">
        <f>IFERROR(__xludf.DUMMYFUNCTION("""COMPUTED_VALUE"""),2002.0)</f>
        <v>2002</v>
      </c>
      <c r="E15981">
        <f>IFERROR(__xludf.DUMMYFUNCTION("""COMPUTED_VALUE"""),5251472.0)</f>
        <v>5251472</v>
      </c>
    </row>
    <row r="15982">
      <c r="A15982" t="str">
        <f t="shared" si="1"/>
        <v>tgo#2003</v>
      </c>
      <c r="B15982" t="str">
        <f>IFERROR(__xludf.DUMMYFUNCTION("""COMPUTED_VALUE"""),"tgo")</f>
        <v>tgo</v>
      </c>
      <c r="C15982" t="str">
        <f>IFERROR(__xludf.DUMMYFUNCTION("""COMPUTED_VALUE"""),"Togo")</f>
        <v>Togo</v>
      </c>
      <c r="D15982">
        <f>IFERROR(__xludf.DUMMYFUNCTION("""COMPUTED_VALUE"""),2003.0)</f>
        <v>2003</v>
      </c>
      <c r="E15982">
        <f>IFERROR(__xludf.DUMMYFUNCTION("""COMPUTED_VALUE"""),5391401.0)</f>
        <v>5391401</v>
      </c>
    </row>
    <row r="15983">
      <c r="A15983" t="str">
        <f t="shared" si="1"/>
        <v>tgo#2004</v>
      </c>
      <c r="B15983" t="str">
        <f>IFERROR(__xludf.DUMMYFUNCTION("""COMPUTED_VALUE"""),"tgo")</f>
        <v>tgo</v>
      </c>
      <c r="C15983" t="str">
        <f>IFERROR(__xludf.DUMMYFUNCTION("""COMPUTED_VALUE"""),"Togo")</f>
        <v>Togo</v>
      </c>
      <c r="D15983">
        <f>IFERROR(__xludf.DUMMYFUNCTION("""COMPUTED_VALUE"""),2004.0)</f>
        <v>2004</v>
      </c>
      <c r="E15983">
        <f>IFERROR(__xludf.DUMMYFUNCTION("""COMPUTED_VALUE"""),5534598.0)</f>
        <v>5534598</v>
      </c>
    </row>
    <row r="15984">
      <c r="A15984" t="str">
        <f t="shared" si="1"/>
        <v>tgo#2005</v>
      </c>
      <c r="B15984" t="str">
        <f>IFERROR(__xludf.DUMMYFUNCTION("""COMPUTED_VALUE"""),"tgo")</f>
        <v>tgo</v>
      </c>
      <c r="C15984" t="str">
        <f>IFERROR(__xludf.DUMMYFUNCTION("""COMPUTED_VALUE"""),"Togo")</f>
        <v>Togo</v>
      </c>
      <c r="D15984">
        <f>IFERROR(__xludf.DUMMYFUNCTION("""COMPUTED_VALUE"""),2005.0)</f>
        <v>2005</v>
      </c>
      <c r="E15984">
        <f>IFERROR(__xludf.DUMMYFUNCTION("""COMPUTED_VALUE"""),5683268.0)</f>
        <v>5683268</v>
      </c>
    </row>
    <row r="15985">
      <c r="A15985" t="str">
        <f t="shared" si="1"/>
        <v>tgo#2006</v>
      </c>
      <c r="B15985" t="str">
        <f>IFERROR(__xludf.DUMMYFUNCTION("""COMPUTED_VALUE"""),"tgo")</f>
        <v>tgo</v>
      </c>
      <c r="C15985" t="str">
        <f>IFERROR(__xludf.DUMMYFUNCTION("""COMPUTED_VALUE"""),"Togo")</f>
        <v>Togo</v>
      </c>
      <c r="D15985">
        <f>IFERROR(__xludf.DUMMYFUNCTION("""COMPUTED_VALUE"""),2006.0)</f>
        <v>2006</v>
      </c>
      <c r="E15985">
        <f>IFERROR(__xludf.DUMMYFUNCTION("""COMPUTED_VALUE"""),5837792.0)</f>
        <v>5837792</v>
      </c>
    </row>
    <row r="15986">
      <c r="A15986" t="str">
        <f t="shared" si="1"/>
        <v>tgo#2007</v>
      </c>
      <c r="B15986" t="str">
        <f>IFERROR(__xludf.DUMMYFUNCTION("""COMPUTED_VALUE"""),"tgo")</f>
        <v>tgo</v>
      </c>
      <c r="C15986" t="str">
        <f>IFERROR(__xludf.DUMMYFUNCTION("""COMPUTED_VALUE"""),"Togo")</f>
        <v>Togo</v>
      </c>
      <c r="D15986">
        <f>IFERROR(__xludf.DUMMYFUNCTION("""COMPUTED_VALUE"""),2007.0)</f>
        <v>2007</v>
      </c>
      <c r="E15986">
        <f>IFERROR(__xludf.DUMMYFUNCTION("""COMPUTED_VALUE"""),5997385.0)</f>
        <v>5997385</v>
      </c>
    </row>
    <row r="15987">
      <c r="A15987" t="str">
        <f t="shared" si="1"/>
        <v>tgo#2008</v>
      </c>
      <c r="B15987" t="str">
        <f>IFERROR(__xludf.DUMMYFUNCTION("""COMPUTED_VALUE"""),"tgo")</f>
        <v>tgo</v>
      </c>
      <c r="C15987" t="str">
        <f>IFERROR(__xludf.DUMMYFUNCTION("""COMPUTED_VALUE"""),"Togo")</f>
        <v>Togo</v>
      </c>
      <c r="D15987">
        <f>IFERROR(__xludf.DUMMYFUNCTION("""COMPUTED_VALUE"""),2008.0)</f>
        <v>2008</v>
      </c>
      <c r="E15987">
        <f>IFERROR(__xludf.DUMMYFUNCTION("""COMPUTED_VALUE"""),6161796.0)</f>
        <v>6161796</v>
      </c>
    </row>
    <row r="15988">
      <c r="A15988" t="str">
        <f t="shared" si="1"/>
        <v>tgo#2009</v>
      </c>
      <c r="B15988" t="str">
        <f>IFERROR(__xludf.DUMMYFUNCTION("""COMPUTED_VALUE"""),"tgo")</f>
        <v>tgo</v>
      </c>
      <c r="C15988" t="str">
        <f>IFERROR(__xludf.DUMMYFUNCTION("""COMPUTED_VALUE"""),"Togo")</f>
        <v>Togo</v>
      </c>
      <c r="D15988">
        <f>IFERROR(__xludf.DUMMYFUNCTION("""COMPUTED_VALUE"""),2009.0)</f>
        <v>2009</v>
      </c>
      <c r="E15988">
        <f>IFERROR(__xludf.DUMMYFUNCTION("""COMPUTED_VALUE"""),6330472.0)</f>
        <v>6330472</v>
      </c>
    </row>
    <row r="15989">
      <c r="A15989" t="str">
        <f t="shared" si="1"/>
        <v>tgo#2010</v>
      </c>
      <c r="B15989" t="str">
        <f>IFERROR(__xludf.DUMMYFUNCTION("""COMPUTED_VALUE"""),"tgo")</f>
        <v>tgo</v>
      </c>
      <c r="C15989" t="str">
        <f>IFERROR(__xludf.DUMMYFUNCTION("""COMPUTED_VALUE"""),"Togo")</f>
        <v>Togo</v>
      </c>
      <c r="D15989">
        <f>IFERROR(__xludf.DUMMYFUNCTION("""COMPUTED_VALUE"""),2010.0)</f>
        <v>2010</v>
      </c>
      <c r="E15989">
        <f>IFERROR(__xludf.DUMMYFUNCTION("""COMPUTED_VALUE"""),6502952.0)</f>
        <v>6502952</v>
      </c>
    </row>
    <row r="15990">
      <c r="A15990" t="str">
        <f t="shared" si="1"/>
        <v>tgo#2011</v>
      </c>
      <c r="B15990" t="str">
        <f>IFERROR(__xludf.DUMMYFUNCTION("""COMPUTED_VALUE"""),"tgo")</f>
        <v>tgo</v>
      </c>
      <c r="C15990" t="str">
        <f>IFERROR(__xludf.DUMMYFUNCTION("""COMPUTED_VALUE"""),"Togo")</f>
        <v>Togo</v>
      </c>
      <c r="D15990">
        <f>IFERROR(__xludf.DUMMYFUNCTION("""COMPUTED_VALUE"""),2011.0)</f>
        <v>2011</v>
      </c>
      <c r="E15990">
        <f>IFERROR(__xludf.DUMMYFUNCTION("""COMPUTED_VALUE"""),6679282.0)</f>
        <v>6679282</v>
      </c>
    </row>
    <row r="15991">
      <c r="A15991" t="str">
        <f t="shared" si="1"/>
        <v>tgo#2012</v>
      </c>
      <c r="B15991" t="str">
        <f>IFERROR(__xludf.DUMMYFUNCTION("""COMPUTED_VALUE"""),"tgo")</f>
        <v>tgo</v>
      </c>
      <c r="C15991" t="str">
        <f>IFERROR(__xludf.DUMMYFUNCTION("""COMPUTED_VALUE"""),"Togo")</f>
        <v>Togo</v>
      </c>
      <c r="D15991">
        <f>IFERROR(__xludf.DUMMYFUNCTION("""COMPUTED_VALUE"""),2012.0)</f>
        <v>2012</v>
      </c>
      <c r="E15991">
        <f>IFERROR(__xludf.DUMMYFUNCTION("""COMPUTED_VALUE"""),6859482.0)</f>
        <v>6859482</v>
      </c>
    </row>
    <row r="15992">
      <c r="A15992" t="str">
        <f t="shared" si="1"/>
        <v>tgo#2013</v>
      </c>
      <c r="B15992" t="str">
        <f>IFERROR(__xludf.DUMMYFUNCTION("""COMPUTED_VALUE"""),"tgo")</f>
        <v>tgo</v>
      </c>
      <c r="C15992" t="str">
        <f>IFERROR(__xludf.DUMMYFUNCTION("""COMPUTED_VALUE"""),"Togo")</f>
        <v>Togo</v>
      </c>
      <c r="D15992">
        <f>IFERROR(__xludf.DUMMYFUNCTION("""COMPUTED_VALUE"""),2013.0)</f>
        <v>2013</v>
      </c>
      <c r="E15992">
        <f>IFERROR(__xludf.DUMMYFUNCTION("""COMPUTED_VALUE"""),7042948.0)</f>
        <v>7042948</v>
      </c>
    </row>
    <row r="15993">
      <c r="A15993" t="str">
        <f t="shared" si="1"/>
        <v>tgo#2014</v>
      </c>
      <c r="B15993" t="str">
        <f>IFERROR(__xludf.DUMMYFUNCTION("""COMPUTED_VALUE"""),"tgo")</f>
        <v>tgo</v>
      </c>
      <c r="C15993" t="str">
        <f>IFERROR(__xludf.DUMMYFUNCTION("""COMPUTED_VALUE"""),"Togo")</f>
        <v>Togo</v>
      </c>
      <c r="D15993">
        <f>IFERROR(__xludf.DUMMYFUNCTION("""COMPUTED_VALUE"""),2014.0)</f>
        <v>2014</v>
      </c>
      <c r="E15993">
        <f>IFERROR(__xludf.DUMMYFUNCTION("""COMPUTED_VALUE"""),7228915.0)</f>
        <v>7228915</v>
      </c>
    </row>
    <row r="15994">
      <c r="A15994" t="str">
        <f t="shared" si="1"/>
        <v>tgo#2015</v>
      </c>
      <c r="B15994" t="str">
        <f>IFERROR(__xludf.DUMMYFUNCTION("""COMPUTED_VALUE"""),"tgo")</f>
        <v>tgo</v>
      </c>
      <c r="C15994" t="str">
        <f>IFERROR(__xludf.DUMMYFUNCTION("""COMPUTED_VALUE"""),"Togo")</f>
        <v>Togo</v>
      </c>
      <c r="D15994">
        <f>IFERROR(__xludf.DUMMYFUNCTION("""COMPUTED_VALUE"""),2015.0)</f>
        <v>2015</v>
      </c>
      <c r="E15994">
        <f>IFERROR(__xludf.DUMMYFUNCTION("""COMPUTED_VALUE"""),7416802.0)</f>
        <v>7416802</v>
      </c>
    </row>
    <row r="15995">
      <c r="A15995" t="str">
        <f t="shared" si="1"/>
        <v>tgo#2016</v>
      </c>
      <c r="B15995" t="str">
        <f>IFERROR(__xludf.DUMMYFUNCTION("""COMPUTED_VALUE"""),"tgo")</f>
        <v>tgo</v>
      </c>
      <c r="C15995" t="str">
        <f>IFERROR(__xludf.DUMMYFUNCTION("""COMPUTED_VALUE"""),"Togo")</f>
        <v>Togo</v>
      </c>
      <c r="D15995">
        <f>IFERROR(__xludf.DUMMYFUNCTION("""COMPUTED_VALUE"""),2016.0)</f>
        <v>2016</v>
      </c>
      <c r="E15995">
        <f>IFERROR(__xludf.DUMMYFUNCTION("""COMPUTED_VALUE"""),7606374.0)</f>
        <v>7606374</v>
      </c>
    </row>
    <row r="15996">
      <c r="A15996" t="str">
        <f t="shared" si="1"/>
        <v>tgo#2017</v>
      </c>
      <c r="B15996" t="str">
        <f>IFERROR(__xludf.DUMMYFUNCTION("""COMPUTED_VALUE"""),"tgo")</f>
        <v>tgo</v>
      </c>
      <c r="C15996" t="str">
        <f>IFERROR(__xludf.DUMMYFUNCTION("""COMPUTED_VALUE"""),"Togo")</f>
        <v>Togo</v>
      </c>
      <c r="D15996">
        <f>IFERROR(__xludf.DUMMYFUNCTION("""COMPUTED_VALUE"""),2017.0)</f>
        <v>2017</v>
      </c>
      <c r="E15996">
        <f>IFERROR(__xludf.DUMMYFUNCTION("""COMPUTED_VALUE"""),7797694.0)</f>
        <v>7797694</v>
      </c>
    </row>
    <row r="15997">
      <c r="A15997" t="str">
        <f t="shared" si="1"/>
        <v>tgo#2018</v>
      </c>
      <c r="B15997" t="str">
        <f>IFERROR(__xludf.DUMMYFUNCTION("""COMPUTED_VALUE"""),"tgo")</f>
        <v>tgo</v>
      </c>
      <c r="C15997" t="str">
        <f>IFERROR(__xludf.DUMMYFUNCTION("""COMPUTED_VALUE"""),"Togo")</f>
        <v>Togo</v>
      </c>
      <c r="D15997">
        <f>IFERROR(__xludf.DUMMYFUNCTION("""COMPUTED_VALUE"""),2018.0)</f>
        <v>2018</v>
      </c>
      <c r="E15997">
        <f>IFERROR(__xludf.DUMMYFUNCTION("""COMPUTED_VALUE"""),7990926.0)</f>
        <v>7990926</v>
      </c>
    </row>
    <row r="15998">
      <c r="A15998" t="str">
        <f t="shared" si="1"/>
        <v>tgo#2019</v>
      </c>
      <c r="B15998" t="str">
        <f>IFERROR(__xludf.DUMMYFUNCTION("""COMPUTED_VALUE"""),"tgo")</f>
        <v>tgo</v>
      </c>
      <c r="C15998" t="str">
        <f>IFERROR(__xludf.DUMMYFUNCTION("""COMPUTED_VALUE"""),"Togo")</f>
        <v>Togo</v>
      </c>
      <c r="D15998">
        <f>IFERROR(__xludf.DUMMYFUNCTION("""COMPUTED_VALUE"""),2019.0)</f>
        <v>2019</v>
      </c>
      <c r="E15998">
        <f>IFERROR(__xludf.DUMMYFUNCTION("""COMPUTED_VALUE"""),8186384.0)</f>
        <v>8186384</v>
      </c>
    </row>
    <row r="15999">
      <c r="A15999" t="str">
        <f t="shared" si="1"/>
        <v>tgo#2020</v>
      </c>
      <c r="B15999" t="str">
        <f>IFERROR(__xludf.DUMMYFUNCTION("""COMPUTED_VALUE"""),"tgo")</f>
        <v>tgo</v>
      </c>
      <c r="C15999" t="str">
        <f>IFERROR(__xludf.DUMMYFUNCTION("""COMPUTED_VALUE"""),"Togo")</f>
        <v>Togo</v>
      </c>
      <c r="D15999">
        <f>IFERROR(__xludf.DUMMYFUNCTION("""COMPUTED_VALUE"""),2020.0)</f>
        <v>2020</v>
      </c>
      <c r="E15999">
        <f>IFERROR(__xludf.DUMMYFUNCTION("""COMPUTED_VALUE"""),8384291.0)</f>
        <v>8384291</v>
      </c>
    </row>
    <row r="16000">
      <c r="A16000" t="str">
        <f t="shared" si="1"/>
        <v>tgo#2021</v>
      </c>
      <c r="B16000" t="str">
        <f>IFERROR(__xludf.DUMMYFUNCTION("""COMPUTED_VALUE"""),"tgo")</f>
        <v>tgo</v>
      </c>
      <c r="C16000" t="str">
        <f>IFERROR(__xludf.DUMMYFUNCTION("""COMPUTED_VALUE"""),"Togo")</f>
        <v>Togo</v>
      </c>
      <c r="D16000">
        <f>IFERROR(__xludf.DUMMYFUNCTION("""COMPUTED_VALUE"""),2021.0)</f>
        <v>2021</v>
      </c>
      <c r="E16000">
        <f>IFERROR(__xludf.DUMMYFUNCTION("""COMPUTED_VALUE"""),8584627.0)</f>
        <v>8584627</v>
      </c>
    </row>
    <row r="16001">
      <c r="A16001" t="str">
        <f t="shared" si="1"/>
        <v>tgo#2022</v>
      </c>
      <c r="B16001" t="str">
        <f>IFERROR(__xludf.DUMMYFUNCTION("""COMPUTED_VALUE"""),"tgo")</f>
        <v>tgo</v>
      </c>
      <c r="C16001" t="str">
        <f>IFERROR(__xludf.DUMMYFUNCTION("""COMPUTED_VALUE"""),"Togo")</f>
        <v>Togo</v>
      </c>
      <c r="D16001">
        <f>IFERROR(__xludf.DUMMYFUNCTION("""COMPUTED_VALUE"""),2022.0)</f>
        <v>2022</v>
      </c>
      <c r="E16001">
        <f>IFERROR(__xludf.DUMMYFUNCTION("""COMPUTED_VALUE"""),8787334.0)</f>
        <v>8787334</v>
      </c>
    </row>
    <row r="16002">
      <c r="A16002" t="str">
        <f t="shared" si="1"/>
        <v>tgo#2023</v>
      </c>
      <c r="B16002" t="str">
        <f>IFERROR(__xludf.DUMMYFUNCTION("""COMPUTED_VALUE"""),"tgo")</f>
        <v>tgo</v>
      </c>
      <c r="C16002" t="str">
        <f>IFERROR(__xludf.DUMMYFUNCTION("""COMPUTED_VALUE"""),"Togo")</f>
        <v>Togo</v>
      </c>
      <c r="D16002">
        <f>IFERROR(__xludf.DUMMYFUNCTION("""COMPUTED_VALUE"""),2023.0)</f>
        <v>2023</v>
      </c>
      <c r="E16002">
        <f>IFERROR(__xludf.DUMMYFUNCTION("""COMPUTED_VALUE"""),8992575.0)</f>
        <v>8992575</v>
      </c>
    </row>
    <row r="16003">
      <c r="A16003" t="str">
        <f t="shared" si="1"/>
        <v>tgo#2024</v>
      </c>
      <c r="B16003" t="str">
        <f>IFERROR(__xludf.DUMMYFUNCTION("""COMPUTED_VALUE"""),"tgo")</f>
        <v>tgo</v>
      </c>
      <c r="C16003" t="str">
        <f>IFERROR(__xludf.DUMMYFUNCTION("""COMPUTED_VALUE"""),"Togo")</f>
        <v>Togo</v>
      </c>
      <c r="D16003">
        <f>IFERROR(__xludf.DUMMYFUNCTION("""COMPUTED_VALUE"""),2024.0)</f>
        <v>2024</v>
      </c>
      <c r="E16003">
        <f>IFERROR(__xludf.DUMMYFUNCTION("""COMPUTED_VALUE"""),9200531.0)</f>
        <v>9200531</v>
      </c>
    </row>
    <row r="16004">
      <c r="A16004" t="str">
        <f t="shared" si="1"/>
        <v>tgo#2025</v>
      </c>
      <c r="B16004" t="str">
        <f>IFERROR(__xludf.DUMMYFUNCTION("""COMPUTED_VALUE"""),"tgo")</f>
        <v>tgo</v>
      </c>
      <c r="C16004" t="str">
        <f>IFERROR(__xludf.DUMMYFUNCTION("""COMPUTED_VALUE"""),"Togo")</f>
        <v>Togo</v>
      </c>
      <c r="D16004">
        <f>IFERROR(__xludf.DUMMYFUNCTION("""COMPUTED_VALUE"""),2025.0)</f>
        <v>2025</v>
      </c>
      <c r="E16004">
        <f>IFERROR(__xludf.DUMMYFUNCTION("""COMPUTED_VALUE"""),9411356.0)</f>
        <v>9411356</v>
      </c>
    </row>
    <row r="16005">
      <c r="A16005" t="str">
        <f t="shared" si="1"/>
        <v>tgo#2026</v>
      </c>
      <c r="B16005" t="str">
        <f>IFERROR(__xludf.DUMMYFUNCTION("""COMPUTED_VALUE"""),"tgo")</f>
        <v>tgo</v>
      </c>
      <c r="C16005" t="str">
        <f>IFERROR(__xludf.DUMMYFUNCTION("""COMPUTED_VALUE"""),"Togo")</f>
        <v>Togo</v>
      </c>
      <c r="D16005">
        <f>IFERROR(__xludf.DUMMYFUNCTION("""COMPUTED_VALUE"""),2026.0)</f>
        <v>2026</v>
      </c>
      <c r="E16005">
        <f>IFERROR(__xludf.DUMMYFUNCTION("""COMPUTED_VALUE"""),9625068.0)</f>
        <v>9625068</v>
      </c>
    </row>
    <row r="16006">
      <c r="A16006" t="str">
        <f t="shared" si="1"/>
        <v>tgo#2027</v>
      </c>
      <c r="B16006" t="str">
        <f>IFERROR(__xludf.DUMMYFUNCTION("""COMPUTED_VALUE"""),"tgo")</f>
        <v>tgo</v>
      </c>
      <c r="C16006" t="str">
        <f>IFERROR(__xludf.DUMMYFUNCTION("""COMPUTED_VALUE"""),"Togo")</f>
        <v>Togo</v>
      </c>
      <c r="D16006">
        <f>IFERROR(__xludf.DUMMYFUNCTION("""COMPUTED_VALUE"""),2027.0)</f>
        <v>2027</v>
      </c>
      <c r="E16006">
        <f>IFERROR(__xludf.DUMMYFUNCTION("""COMPUTED_VALUE"""),9841604.0)</f>
        <v>9841604</v>
      </c>
    </row>
    <row r="16007">
      <c r="A16007" t="str">
        <f t="shared" si="1"/>
        <v>tgo#2028</v>
      </c>
      <c r="B16007" t="str">
        <f>IFERROR(__xludf.DUMMYFUNCTION("""COMPUTED_VALUE"""),"tgo")</f>
        <v>tgo</v>
      </c>
      <c r="C16007" t="str">
        <f>IFERROR(__xludf.DUMMYFUNCTION("""COMPUTED_VALUE"""),"Togo")</f>
        <v>Togo</v>
      </c>
      <c r="D16007">
        <f>IFERROR(__xludf.DUMMYFUNCTION("""COMPUTED_VALUE"""),2028.0)</f>
        <v>2028</v>
      </c>
      <c r="E16007">
        <f>IFERROR(__xludf.DUMMYFUNCTION("""COMPUTED_VALUE"""),1.0060882E7)</f>
        <v>10060882</v>
      </c>
    </row>
    <row r="16008">
      <c r="A16008" t="str">
        <f t="shared" si="1"/>
        <v>tgo#2029</v>
      </c>
      <c r="B16008" t="str">
        <f>IFERROR(__xludf.DUMMYFUNCTION("""COMPUTED_VALUE"""),"tgo")</f>
        <v>tgo</v>
      </c>
      <c r="C16008" t="str">
        <f>IFERROR(__xludf.DUMMYFUNCTION("""COMPUTED_VALUE"""),"Togo")</f>
        <v>Togo</v>
      </c>
      <c r="D16008">
        <f>IFERROR(__xludf.DUMMYFUNCTION("""COMPUTED_VALUE"""),2029.0)</f>
        <v>2029</v>
      </c>
      <c r="E16008">
        <f>IFERROR(__xludf.DUMMYFUNCTION("""COMPUTED_VALUE"""),1.0282798E7)</f>
        <v>10282798</v>
      </c>
    </row>
    <row r="16009">
      <c r="A16009" t="str">
        <f t="shared" si="1"/>
        <v>tgo#2030</v>
      </c>
      <c r="B16009" t="str">
        <f>IFERROR(__xludf.DUMMYFUNCTION("""COMPUTED_VALUE"""),"tgo")</f>
        <v>tgo</v>
      </c>
      <c r="C16009" t="str">
        <f>IFERROR(__xludf.DUMMYFUNCTION("""COMPUTED_VALUE"""),"Togo")</f>
        <v>Togo</v>
      </c>
      <c r="D16009">
        <f>IFERROR(__xludf.DUMMYFUNCTION("""COMPUTED_VALUE"""),2030.0)</f>
        <v>2030</v>
      </c>
      <c r="E16009">
        <f>IFERROR(__xludf.DUMMYFUNCTION("""COMPUTED_VALUE"""),1.0507241E7)</f>
        <v>10507241</v>
      </c>
    </row>
    <row r="16010">
      <c r="A16010" t="str">
        <f t="shared" si="1"/>
        <v>tgo#2031</v>
      </c>
      <c r="B16010" t="str">
        <f>IFERROR(__xludf.DUMMYFUNCTION("""COMPUTED_VALUE"""),"tgo")</f>
        <v>tgo</v>
      </c>
      <c r="C16010" t="str">
        <f>IFERROR(__xludf.DUMMYFUNCTION("""COMPUTED_VALUE"""),"Togo")</f>
        <v>Togo</v>
      </c>
      <c r="D16010">
        <f>IFERROR(__xludf.DUMMYFUNCTION("""COMPUTED_VALUE"""),2031.0)</f>
        <v>2031</v>
      </c>
      <c r="E16010">
        <f>IFERROR(__xludf.DUMMYFUNCTION("""COMPUTED_VALUE"""),1.0734128E7)</f>
        <v>10734128</v>
      </c>
    </row>
    <row r="16011">
      <c r="A16011" t="str">
        <f t="shared" si="1"/>
        <v>tgo#2032</v>
      </c>
      <c r="B16011" t="str">
        <f>IFERROR(__xludf.DUMMYFUNCTION("""COMPUTED_VALUE"""),"tgo")</f>
        <v>tgo</v>
      </c>
      <c r="C16011" t="str">
        <f>IFERROR(__xludf.DUMMYFUNCTION("""COMPUTED_VALUE"""),"Togo")</f>
        <v>Togo</v>
      </c>
      <c r="D16011">
        <f>IFERROR(__xludf.DUMMYFUNCTION("""COMPUTED_VALUE"""),2032.0)</f>
        <v>2032</v>
      </c>
      <c r="E16011">
        <f>IFERROR(__xludf.DUMMYFUNCTION("""COMPUTED_VALUE"""),1.0963365E7)</f>
        <v>10963365</v>
      </c>
    </row>
    <row r="16012">
      <c r="A16012" t="str">
        <f t="shared" si="1"/>
        <v>tgo#2033</v>
      </c>
      <c r="B16012" t="str">
        <f>IFERROR(__xludf.DUMMYFUNCTION("""COMPUTED_VALUE"""),"tgo")</f>
        <v>tgo</v>
      </c>
      <c r="C16012" t="str">
        <f>IFERROR(__xludf.DUMMYFUNCTION("""COMPUTED_VALUE"""),"Togo")</f>
        <v>Togo</v>
      </c>
      <c r="D16012">
        <f>IFERROR(__xludf.DUMMYFUNCTION("""COMPUTED_VALUE"""),2033.0)</f>
        <v>2033</v>
      </c>
      <c r="E16012">
        <f>IFERROR(__xludf.DUMMYFUNCTION("""COMPUTED_VALUE"""),1.1194773E7)</f>
        <v>11194773</v>
      </c>
    </row>
    <row r="16013">
      <c r="A16013" t="str">
        <f t="shared" si="1"/>
        <v>tgo#2034</v>
      </c>
      <c r="B16013" t="str">
        <f>IFERROR(__xludf.DUMMYFUNCTION("""COMPUTED_VALUE"""),"tgo")</f>
        <v>tgo</v>
      </c>
      <c r="C16013" t="str">
        <f>IFERROR(__xludf.DUMMYFUNCTION("""COMPUTED_VALUE"""),"Togo")</f>
        <v>Togo</v>
      </c>
      <c r="D16013">
        <f>IFERROR(__xludf.DUMMYFUNCTION("""COMPUTED_VALUE"""),2034.0)</f>
        <v>2034</v>
      </c>
      <c r="E16013">
        <f>IFERROR(__xludf.DUMMYFUNCTION("""COMPUTED_VALUE"""),1.1428165E7)</f>
        <v>11428165</v>
      </c>
    </row>
    <row r="16014">
      <c r="A16014" t="str">
        <f t="shared" si="1"/>
        <v>tgo#2035</v>
      </c>
      <c r="B16014" t="str">
        <f>IFERROR(__xludf.DUMMYFUNCTION("""COMPUTED_VALUE"""),"tgo")</f>
        <v>tgo</v>
      </c>
      <c r="C16014" t="str">
        <f>IFERROR(__xludf.DUMMYFUNCTION("""COMPUTED_VALUE"""),"Togo")</f>
        <v>Togo</v>
      </c>
      <c r="D16014">
        <f>IFERROR(__xludf.DUMMYFUNCTION("""COMPUTED_VALUE"""),2035.0)</f>
        <v>2035</v>
      </c>
      <c r="E16014">
        <f>IFERROR(__xludf.DUMMYFUNCTION("""COMPUTED_VALUE"""),1.1663343E7)</f>
        <v>11663343</v>
      </c>
    </row>
    <row r="16015">
      <c r="A16015" t="str">
        <f t="shared" si="1"/>
        <v>tgo#2036</v>
      </c>
      <c r="B16015" t="str">
        <f>IFERROR(__xludf.DUMMYFUNCTION("""COMPUTED_VALUE"""),"tgo")</f>
        <v>tgo</v>
      </c>
      <c r="C16015" t="str">
        <f>IFERROR(__xludf.DUMMYFUNCTION("""COMPUTED_VALUE"""),"Togo")</f>
        <v>Togo</v>
      </c>
      <c r="D16015">
        <f>IFERROR(__xludf.DUMMYFUNCTION("""COMPUTED_VALUE"""),2036.0)</f>
        <v>2036</v>
      </c>
      <c r="E16015">
        <f>IFERROR(__xludf.DUMMYFUNCTION("""COMPUTED_VALUE"""),1.1900152E7)</f>
        <v>11900152</v>
      </c>
    </row>
    <row r="16016">
      <c r="A16016" t="str">
        <f t="shared" si="1"/>
        <v>tgo#2037</v>
      </c>
      <c r="B16016" t="str">
        <f>IFERROR(__xludf.DUMMYFUNCTION("""COMPUTED_VALUE"""),"tgo")</f>
        <v>tgo</v>
      </c>
      <c r="C16016" t="str">
        <f>IFERROR(__xludf.DUMMYFUNCTION("""COMPUTED_VALUE"""),"Togo")</f>
        <v>Togo</v>
      </c>
      <c r="D16016">
        <f>IFERROR(__xludf.DUMMYFUNCTION("""COMPUTED_VALUE"""),2037.0)</f>
        <v>2037</v>
      </c>
      <c r="E16016">
        <f>IFERROR(__xludf.DUMMYFUNCTION("""COMPUTED_VALUE"""),1.2138472E7)</f>
        <v>12138472</v>
      </c>
    </row>
    <row r="16017">
      <c r="A16017" t="str">
        <f t="shared" si="1"/>
        <v>tgo#2038</v>
      </c>
      <c r="B16017" t="str">
        <f>IFERROR(__xludf.DUMMYFUNCTION("""COMPUTED_VALUE"""),"tgo")</f>
        <v>tgo</v>
      </c>
      <c r="C16017" t="str">
        <f>IFERROR(__xludf.DUMMYFUNCTION("""COMPUTED_VALUE"""),"Togo")</f>
        <v>Togo</v>
      </c>
      <c r="D16017">
        <f>IFERROR(__xludf.DUMMYFUNCTION("""COMPUTED_VALUE"""),2038.0)</f>
        <v>2038</v>
      </c>
      <c r="E16017">
        <f>IFERROR(__xludf.DUMMYFUNCTION("""COMPUTED_VALUE"""),1.2378124E7)</f>
        <v>12378124</v>
      </c>
    </row>
    <row r="16018">
      <c r="A16018" t="str">
        <f t="shared" si="1"/>
        <v>tgo#2039</v>
      </c>
      <c r="B16018" t="str">
        <f>IFERROR(__xludf.DUMMYFUNCTION("""COMPUTED_VALUE"""),"tgo")</f>
        <v>tgo</v>
      </c>
      <c r="C16018" t="str">
        <f>IFERROR(__xludf.DUMMYFUNCTION("""COMPUTED_VALUE"""),"Togo")</f>
        <v>Togo</v>
      </c>
      <c r="D16018">
        <f>IFERROR(__xludf.DUMMYFUNCTION("""COMPUTED_VALUE"""),2039.0)</f>
        <v>2039</v>
      </c>
      <c r="E16018">
        <f>IFERROR(__xludf.DUMMYFUNCTION("""COMPUTED_VALUE"""),1.2618921E7)</f>
        <v>12618921</v>
      </c>
    </row>
    <row r="16019">
      <c r="A16019" t="str">
        <f t="shared" si="1"/>
        <v>tgo#2040</v>
      </c>
      <c r="B16019" t="str">
        <f>IFERROR(__xludf.DUMMYFUNCTION("""COMPUTED_VALUE"""),"tgo")</f>
        <v>tgo</v>
      </c>
      <c r="C16019" t="str">
        <f>IFERROR(__xludf.DUMMYFUNCTION("""COMPUTED_VALUE"""),"Togo")</f>
        <v>Togo</v>
      </c>
      <c r="D16019">
        <f>IFERROR(__xludf.DUMMYFUNCTION("""COMPUTED_VALUE"""),2040.0)</f>
        <v>2040</v>
      </c>
      <c r="E16019">
        <f>IFERROR(__xludf.DUMMYFUNCTION("""COMPUTED_VALUE"""),1.2860688E7)</f>
        <v>12860688</v>
      </c>
    </row>
    <row r="16020">
      <c r="A16020" t="str">
        <f t="shared" si="1"/>
        <v>ton#1950</v>
      </c>
      <c r="B16020" t="str">
        <f>IFERROR(__xludf.DUMMYFUNCTION("""COMPUTED_VALUE"""),"ton")</f>
        <v>ton</v>
      </c>
      <c r="C16020" t="str">
        <f>IFERROR(__xludf.DUMMYFUNCTION("""COMPUTED_VALUE"""),"Tonga")</f>
        <v>Tonga</v>
      </c>
      <c r="D16020">
        <f>IFERROR(__xludf.DUMMYFUNCTION("""COMPUTED_VALUE"""),1950.0)</f>
        <v>1950</v>
      </c>
      <c r="E16020">
        <f>IFERROR(__xludf.DUMMYFUNCTION("""COMPUTED_VALUE"""),47220.0)</f>
        <v>47220</v>
      </c>
    </row>
    <row r="16021">
      <c r="A16021" t="str">
        <f t="shared" si="1"/>
        <v>ton#1951</v>
      </c>
      <c r="B16021" t="str">
        <f>IFERROR(__xludf.DUMMYFUNCTION("""COMPUTED_VALUE"""),"ton")</f>
        <v>ton</v>
      </c>
      <c r="C16021" t="str">
        <f>IFERROR(__xludf.DUMMYFUNCTION("""COMPUTED_VALUE"""),"Tonga")</f>
        <v>Tonga</v>
      </c>
      <c r="D16021">
        <f>IFERROR(__xludf.DUMMYFUNCTION("""COMPUTED_VALUE"""),1951.0)</f>
        <v>1951</v>
      </c>
      <c r="E16021">
        <f>IFERROR(__xludf.DUMMYFUNCTION("""COMPUTED_VALUE"""),49315.0)</f>
        <v>49315</v>
      </c>
    </row>
    <row r="16022">
      <c r="A16022" t="str">
        <f t="shared" si="1"/>
        <v>ton#1952</v>
      </c>
      <c r="B16022" t="str">
        <f>IFERROR(__xludf.DUMMYFUNCTION("""COMPUTED_VALUE"""),"ton")</f>
        <v>ton</v>
      </c>
      <c r="C16022" t="str">
        <f>IFERROR(__xludf.DUMMYFUNCTION("""COMPUTED_VALUE"""),"Tonga")</f>
        <v>Tonga</v>
      </c>
      <c r="D16022">
        <f>IFERROR(__xludf.DUMMYFUNCTION("""COMPUTED_VALUE"""),1952.0)</f>
        <v>1952</v>
      </c>
      <c r="E16022">
        <f>IFERROR(__xludf.DUMMYFUNCTION("""COMPUTED_VALUE"""),51170.0)</f>
        <v>51170</v>
      </c>
    </row>
    <row r="16023">
      <c r="A16023" t="str">
        <f t="shared" si="1"/>
        <v>ton#1953</v>
      </c>
      <c r="B16023" t="str">
        <f>IFERROR(__xludf.DUMMYFUNCTION("""COMPUTED_VALUE"""),"ton")</f>
        <v>ton</v>
      </c>
      <c r="C16023" t="str">
        <f>IFERROR(__xludf.DUMMYFUNCTION("""COMPUTED_VALUE"""),"Tonga")</f>
        <v>Tonga</v>
      </c>
      <c r="D16023">
        <f>IFERROR(__xludf.DUMMYFUNCTION("""COMPUTED_VALUE"""),1953.0)</f>
        <v>1953</v>
      </c>
      <c r="E16023">
        <f>IFERROR(__xludf.DUMMYFUNCTION("""COMPUTED_VALUE"""),52783.0)</f>
        <v>52783</v>
      </c>
    </row>
    <row r="16024">
      <c r="A16024" t="str">
        <f t="shared" si="1"/>
        <v>ton#1954</v>
      </c>
      <c r="B16024" t="str">
        <f>IFERROR(__xludf.DUMMYFUNCTION("""COMPUTED_VALUE"""),"ton")</f>
        <v>ton</v>
      </c>
      <c r="C16024" t="str">
        <f>IFERROR(__xludf.DUMMYFUNCTION("""COMPUTED_VALUE"""),"Tonga")</f>
        <v>Tonga</v>
      </c>
      <c r="D16024">
        <f>IFERROR(__xludf.DUMMYFUNCTION("""COMPUTED_VALUE"""),1954.0)</f>
        <v>1954</v>
      </c>
      <c r="E16024">
        <f>IFERROR(__xludf.DUMMYFUNCTION("""COMPUTED_VALUE"""),54150.0)</f>
        <v>54150</v>
      </c>
    </row>
    <row r="16025">
      <c r="A16025" t="str">
        <f t="shared" si="1"/>
        <v>ton#1955</v>
      </c>
      <c r="B16025" t="str">
        <f>IFERROR(__xludf.DUMMYFUNCTION("""COMPUTED_VALUE"""),"ton")</f>
        <v>ton</v>
      </c>
      <c r="C16025" t="str">
        <f>IFERROR(__xludf.DUMMYFUNCTION("""COMPUTED_VALUE"""),"Tonga")</f>
        <v>Tonga</v>
      </c>
      <c r="D16025">
        <f>IFERROR(__xludf.DUMMYFUNCTION("""COMPUTED_VALUE"""),1955.0)</f>
        <v>1955</v>
      </c>
      <c r="E16025">
        <f>IFERROR(__xludf.DUMMYFUNCTION("""COMPUTED_VALUE"""),55323.0)</f>
        <v>55323</v>
      </c>
    </row>
    <row r="16026">
      <c r="A16026" t="str">
        <f t="shared" si="1"/>
        <v>ton#1956</v>
      </c>
      <c r="B16026" t="str">
        <f>IFERROR(__xludf.DUMMYFUNCTION("""COMPUTED_VALUE"""),"ton")</f>
        <v>ton</v>
      </c>
      <c r="C16026" t="str">
        <f>IFERROR(__xludf.DUMMYFUNCTION("""COMPUTED_VALUE"""),"Tonga")</f>
        <v>Tonga</v>
      </c>
      <c r="D16026">
        <f>IFERROR(__xludf.DUMMYFUNCTION("""COMPUTED_VALUE"""),1956.0)</f>
        <v>1956</v>
      </c>
      <c r="E16026">
        <f>IFERROR(__xludf.DUMMYFUNCTION("""COMPUTED_VALUE"""),56366.0)</f>
        <v>56366</v>
      </c>
    </row>
    <row r="16027">
      <c r="A16027" t="str">
        <f t="shared" si="1"/>
        <v>ton#1957</v>
      </c>
      <c r="B16027" t="str">
        <f>IFERROR(__xludf.DUMMYFUNCTION("""COMPUTED_VALUE"""),"ton")</f>
        <v>ton</v>
      </c>
      <c r="C16027" t="str">
        <f>IFERROR(__xludf.DUMMYFUNCTION("""COMPUTED_VALUE"""),"Tonga")</f>
        <v>Tonga</v>
      </c>
      <c r="D16027">
        <f>IFERROR(__xludf.DUMMYFUNCTION("""COMPUTED_VALUE"""),1957.0)</f>
        <v>1957</v>
      </c>
      <c r="E16027">
        <f>IFERROR(__xludf.DUMMYFUNCTION("""COMPUTED_VALUE"""),57387.0)</f>
        <v>57387</v>
      </c>
    </row>
    <row r="16028">
      <c r="A16028" t="str">
        <f t="shared" si="1"/>
        <v>ton#1958</v>
      </c>
      <c r="B16028" t="str">
        <f>IFERROR(__xludf.DUMMYFUNCTION("""COMPUTED_VALUE"""),"ton")</f>
        <v>ton</v>
      </c>
      <c r="C16028" t="str">
        <f>IFERROR(__xludf.DUMMYFUNCTION("""COMPUTED_VALUE"""),"Tonga")</f>
        <v>Tonga</v>
      </c>
      <c r="D16028">
        <f>IFERROR(__xludf.DUMMYFUNCTION("""COMPUTED_VALUE"""),1958.0)</f>
        <v>1958</v>
      </c>
      <c r="E16028">
        <f>IFERROR(__xludf.DUMMYFUNCTION("""COMPUTED_VALUE"""),58508.0)</f>
        <v>58508</v>
      </c>
    </row>
    <row r="16029">
      <c r="A16029" t="str">
        <f t="shared" si="1"/>
        <v>ton#1959</v>
      </c>
      <c r="B16029" t="str">
        <f>IFERROR(__xludf.DUMMYFUNCTION("""COMPUTED_VALUE"""),"ton")</f>
        <v>ton</v>
      </c>
      <c r="C16029" t="str">
        <f>IFERROR(__xludf.DUMMYFUNCTION("""COMPUTED_VALUE"""),"Tonga")</f>
        <v>Tonga</v>
      </c>
      <c r="D16029">
        <f>IFERROR(__xludf.DUMMYFUNCTION("""COMPUTED_VALUE"""),1959.0)</f>
        <v>1959</v>
      </c>
      <c r="E16029">
        <f>IFERROR(__xludf.DUMMYFUNCTION("""COMPUTED_VALUE"""),59873.0)</f>
        <v>59873</v>
      </c>
    </row>
    <row r="16030">
      <c r="A16030" t="str">
        <f t="shared" si="1"/>
        <v>ton#1960</v>
      </c>
      <c r="B16030" t="str">
        <f>IFERROR(__xludf.DUMMYFUNCTION("""COMPUTED_VALUE"""),"ton")</f>
        <v>ton</v>
      </c>
      <c r="C16030" t="str">
        <f>IFERROR(__xludf.DUMMYFUNCTION("""COMPUTED_VALUE"""),"Tonga")</f>
        <v>Tonga</v>
      </c>
      <c r="D16030">
        <f>IFERROR(__xludf.DUMMYFUNCTION("""COMPUTED_VALUE"""),1960.0)</f>
        <v>1960</v>
      </c>
      <c r="E16030">
        <f>IFERROR(__xludf.DUMMYFUNCTION("""COMPUTED_VALUE"""),61601.0)</f>
        <v>61601</v>
      </c>
    </row>
    <row r="16031">
      <c r="A16031" t="str">
        <f t="shared" si="1"/>
        <v>ton#1961</v>
      </c>
      <c r="B16031" t="str">
        <f>IFERROR(__xludf.DUMMYFUNCTION("""COMPUTED_VALUE"""),"ton")</f>
        <v>ton</v>
      </c>
      <c r="C16031" t="str">
        <f>IFERROR(__xludf.DUMMYFUNCTION("""COMPUTED_VALUE"""),"Tonga")</f>
        <v>Tonga</v>
      </c>
      <c r="D16031">
        <f>IFERROR(__xludf.DUMMYFUNCTION("""COMPUTED_VALUE"""),1961.0)</f>
        <v>1961</v>
      </c>
      <c r="E16031">
        <f>IFERROR(__xludf.DUMMYFUNCTION("""COMPUTED_VALUE"""),63745.0)</f>
        <v>63745</v>
      </c>
    </row>
    <row r="16032">
      <c r="A16032" t="str">
        <f t="shared" si="1"/>
        <v>ton#1962</v>
      </c>
      <c r="B16032" t="str">
        <f>IFERROR(__xludf.DUMMYFUNCTION("""COMPUTED_VALUE"""),"ton")</f>
        <v>ton</v>
      </c>
      <c r="C16032" t="str">
        <f>IFERROR(__xludf.DUMMYFUNCTION("""COMPUTED_VALUE"""),"Tonga")</f>
        <v>Tonga</v>
      </c>
      <c r="D16032">
        <f>IFERROR(__xludf.DUMMYFUNCTION("""COMPUTED_VALUE"""),1962.0)</f>
        <v>1962</v>
      </c>
      <c r="E16032">
        <f>IFERROR(__xludf.DUMMYFUNCTION("""COMPUTED_VALUE"""),66259.0)</f>
        <v>66259</v>
      </c>
    </row>
    <row r="16033">
      <c r="A16033" t="str">
        <f t="shared" si="1"/>
        <v>ton#1963</v>
      </c>
      <c r="B16033" t="str">
        <f>IFERROR(__xludf.DUMMYFUNCTION("""COMPUTED_VALUE"""),"ton")</f>
        <v>ton</v>
      </c>
      <c r="C16033" t="str">
        <f>IFERROR(__xludf.DUMMYFUNCTION("""COMPUTED_VALUE"""),"Tonga")</f>
        <v>Tonga</v>
      </c>
      <c r="D16033">
        <f>IFERROR(__xludf.DUMMYFUNCTION("""COMPUTED_VALUE"""),1963.0)</f>
        <v>1963</v>
      </c>
      <c r="E16033">
        <f>IFERROR(__xludf.DUMMYFUNCTION("""COMPUTED_VALUE"""),69005.0)</f>
        <v>69005</v>
      </c>
    </row>
    <row r="16034">
      <c r="A16034" t="str">
        <f t="shared" si="1"/>
        <v>ton#1964</v>
      </c>
      <c r="B16034" t="str">
        <f>IFERROR(__xludf.DUMMYFUNCTION("""COMPUTED_VALUE"""),"ton")</f>
        <v>ton</v>
      </c>
      <c r="C16034" t="str">
        <f>IFERROR(__xludf.DUMMYFUNCTION("""COMPUTED_VALUE"""),"Tonga")</f>
        <v>Tonga</v>
      </c>
      <c r="D16034">
        <f>IFERROR(__xludf.DUMMYFUNCTION("""COMPUTED_VALUE"""),1964.0)</f>
        <v>1964</v>
      </c>
      <c r="E16034">
        <f>IFERROR(__xludf.DUMMYFUNCTION("""COMPUTED_VALUE"""),71757.0)</f>
        <v>71757</v>
      </c>
    </row>
    <row r="16035">
      <c r="A16035" t="str">
        <f t="shared" si="1"/>
        <v>ton#1965</v>
      </c>
      <c r="B16035" t="str">
        <f>IFERROR(__xludf.DUMMYFUNCTION("""COMPUTED_VALUE"""),"ton")</f>
        <v>ton</v>
      </c>
      <c r="C16035" t="str">
        <f>IFERROR(__xludf.DUMMYFUNCTION("""COMPUTED_VALUE"""),"Tonga")</f>
        <v>Tonga</v>
      </c>
      <c r="D16035">
        <f>IFERROR(__xludf.DUMMYFUNCTION("""COMPUTED_VALUE"""),1965.0)</f>
        <v>1965</v>
      </c>
      <c r="E16035">
        <f>IFERROR(__xludf.DUMMYFUNCTION("""COMPUTED_VALUE"""),74362.0)</f>
        <v>74362</v>
      </c>
    </row>
    <row r="16036">
      <c r="A16036" t="str">
        <f t="shared" si="1"/>
        <v>ton#1966</v>
      </c>
      <c r="B16036" t="str">
        <f>IFERROR(__xludf.DUMMYFUNCTION("""COMPUTED_VALUE"""),"ton")</f>
        <v>ton</v>
      </c>
      <c r="C16036" t="str">
        <f>IFERROR(__xludf.DUMMYFUNCTION("""COMPUTED_VALUE"""),"Tonga")</f>
        <v>Tonga</v>
      </c>
      <c r="D16036">
        <f>IFERROR(__xludf.DUMMYFUNCTION("""COMPUTED_VALUE"""),1966.0)</f>
        <v>1966</v>
      </c>
      <c r="E16036">
        <f>IFERROR(__xludf.DUMMYFUNCTION("""COMPUTED_VALUE"""),76779.0)</f>
        <v>76779</v>
      </c>
    </row>
    <row r="16037">
      <c r="A16037" t="str">
        <f t="shared" si="1"/>
        <v>ton#1967</v>
      </c>
      <c r="B16037" t="str">
        <f>IFERROR(__xludf.DUMMYFUNCTION("""COMPUTED_VALUE"""),"ton")</f>
        <v>ton</v>
      </c>
      <c r="C16037" t="str">
        <f>IFERROR(__xludf.DUMMYFUNCTION("""COMPUTED_VALUE"""),"Tonga")</f>
        <v>Tonga</v>
      </c>
      <c r="D16037">
        <f>IFERROR(__xludf.DUMMYFUNCTION("""COMPUTED_VALUE"""),1967.0)</f>
        <v>1967</v>
      </c>
      <c r="E16037">
        <f>IFERROR(__xludf.DUMMYFUNCTION("""COMPUTED_VALUE"""),79052.0)</f>
        <v>79052</v>
      </c>
    </row>
    <row r="16038">
      <c r="A16038" t="str">
        <f t="shared" si="1"/>
        <v>ton#1968</v>
      </c>
      <c r="B16038" t="str">
        <f>IFERROR(__xludf.DUMMYFUNCTION("""COMPUTED_VALUE"""),"ton")</f>
        <v>ton</v>
      </c>
      <c r="C16038" t="str">
        <f>IFERROR(__xludf.DUMMYFUNCTION("""COMPUTED_VALUE"""),"Tonga")</f>
        <v>Tonga</v>
      </c>
      <c r="D16038">
        <f>IFERROR(__xludf.DUMMYFUNCTION("""COMPUTED_VALUE"""),1968.0)</f>
        <v>1968</v>
      </c>
      <c r="E16038">
        <f>IFERROR(__xludf.DUMMYFUNCTION("""COMPUTED_VALUE"""),81097.0)</f>
        <v>81097</v>
      </c>
    </row>
    <row r="16039">
      <c r="A16039" t="str">
        <f t="shared" si="1"/>
        <v>ton#1969</v>
      </c>
      <c r="B16039" t="str">
        <f>IFERROR(__xludf.DUMMYFUNCTION("""COMPUTED_VALUE"""),"ton")</f>
        <v>ton</v>
      </c>
      <c r="C16039" t="str">
        <f>IFERROR(__xludf.DUMMYFUNCTION("""COMPUTED_VALUE"""),"Tonga")</f>
        <v>Tonga</v>
      </c>
      <c r="D16039">
        <f>IFERROR(__xludf.DUMMYFUNCTION("""COMPUTED_VALUE"""),1969.0)</f>
        <v>1969</v>
      </c>
      <c r="E16039">
        <f>IFERROR(__xludf.DUMMYFUNCTION("""COMPUTED_VALUE"""),82877.0)</f>
        <v>82877</v>
      </c>
    </row>
    <row r="16040">
      <c r="A16040" t="str">
        <f t="shared" si="1"/>
        <v>ton#1970</v>
      </c>
      <c r="B16040" t="str">
        <f>IFERROR(__xludf.DUMMYFUNCTION("""COMPUTED_VALUE"""),"ton")</f>
        <v>ton</v>
      </c>
      <c r="C16040" t="str">
        <f>IFERROR(__xludf.DUMMYFUNCTION("""COMPUTED_VALUE"""),"Tonga")</f>
        <v>Tonga</v>
      </c>
      <c r="D16040">
        <f>IFERROR(__xludf.DUMMYFUNCTION("""COMPUTED_VALUE"""),1970.0)</f>
        <v>1970</v>
      </c>
      <c r="E16040">
        <f>IFERROR(__xludf.DUMMYFUNCTION("""COMPUTED_VALUE"""),84369.0)</f>
        <v>84369</v>
      </c>
    </row>
    <row r="16041">
      <c r="A16041" t="str">
        <f t="shared" si="1"/>
        <v>ton#1971</v>
      </c>
      <c r="B16041" t="str">
        <f>IFERROR(__xludf.DUMMYFUNCTION("""COMPUTED_VALUE"""),"ton")</f>
        <v>ton</v>
      </c>
      <c r="C16041" t="str">
        <f>IFERROR(__xludf.DUMMYFUNCTION("""COMPUTED_VALUE"""),"Tonga")</f>
        <v>Tonga</v>
      </c>
      <c r="D16041">
        <f>IFERROR(__xludf.DUMMYFUNCTION("""COMPUTED_VALUE"""),1971.0)</f>
        <v>1971</v>
      </c>
      <c r="E16041">
        <f>IFERROR(__xludf.DUMMYFUNCTION("""COMPUTED_VALUE"""),85518.0)</f>
        <v>85518</v>
      </c>
    </row>
    <row r="16042">
      <c r="A16042" t="str">
        <f t="shared" si="1"/>
        <v>ton#1972</v>
      </c>
      <c r="B16042" t="str">
        <f>IFERROR(__xludf.DUMMYFUNCTION("""COMPUTED_VALUE"""),"ton")</f>
        <v>ton</v>
      </c>
      <c r="C16042" t="str">
        <f>IFERROR(__xludf.DUMMYFUNCTION("""COMPUTED_VALUE"""),"Tonga")</f>
        <v>Tonga</v>
      </c>
      <c r="D16042">
        <f>IFERROR(__xludf.DUMMYFUNCTION("""COMPUTED_VALUE"""),1972.0)</f>
        <v>1972</v>
      </c>
      <c r="E16042">
        <f>IFERROR(__xludf.DUMMYFUNCTION("""COMPUTED_VALUE"""),86347.0)</f>
        <v>86347</v>
      </c>
    </row>
    <row r="16043">
      <c r="A16043" t="str">
        <f t="shared" si="1"/>
        <v>ton#1973</v>
      </c>
      <c r="B16043" t="str">
        <f>IFERROR(__xludf.DUMMYFUNCTION("""COMPUTED_VALUE"""),"ton")</f>
        <v>ton</v>
      </c>
      <c r="C16043" t="str">
        <f>IFERROR(__xludf.DUMMYFUNCTION("""COMPUTED_VALUE"""),"Tonga")</f>
        <v>Tonga</v>
      </c>
      <c r="D16043">
        <f>IFERROR(__xludf.DUMMYFUNCTION("""COMPUTED_VALUE"""),1973.0)</f>
        <v>1973</v>
      </c>
      <c r="E16043">
        <f>IFERROR(__xludf.DUMMYFUNCTION("""COMPUTED_VALUE"""),86988.0)</f>
        <v>86988</v>
      </c>
    </row>
    <row r="16044">
      <c r="A16044" t="str">
        <f t="shared" si="1"/>
        <v>ton#1974</v>
      </c>
      <c r="B16044" t="str">
        <f>IFERROR(__xludf.DUMMYFUNCTION("""COMPUTED_VALUE"""),"ton")</f>
        <v>ton</v>
      </c>
      <c r="C16044" t="str">
        <f>IFERROR(__xludf.DUMMYFUNCTION("""COMPUTED_VALUE"""),"Tonga")</f>
        <v>Tonga</v>
      </c>
      <c r="D16044">
        <f>IFERROR(__xludf.DUMMYFUNCTION("""COMPUTED_VALUE"""),1974.0)</f>
        <v>1974</v>
      </c>
      <c r="E16044">
        <f>IFERROR(__xludf.DUMMYFUNCTION("""COMPUTED_VALUE"""),87609.0)</f>
        <v>87609</v>
      </c>
    </row>
    <row r="16045">
      <c r="A16045" t="str">
        <f t="shared" si="1"/>
        <v>ton#1975</v>
      </c>
      <c r="B16045" t="str">
        <f>IFERROR(__xludf.DUMMYFUNCTION("""COMPUTED_VALUE"""),"ton")</f>
        <v>ton</v>
      </c>
      <c r="C16045" t="str">
        <f>IFERROR(__xludf.DUMMYFUNCTION("""COMPUTED_VALUE"""),"Tonga")</f>
        <v>Tonga</v>
      </c>
      <c r="D16045">
        <f>IFERROR(__xludf.DUMMYFUNCTION("""COMPUTED_VALUE"""),1975.0)</f>
        <v>1975</v>
      </c>
      <c r="E16045">
        <f>IFERROR(__xludf.DUMMYFUNCTION("""COMPUTED_VALUE"""),88348.0)</f>
        <v>88348</v>
      </c>
    </row>
    <row r="16046">
      <c r="A16046" t="str">
        <f t="shared" si="1"/>
        <v>ton#1976</v>
      </c>
      <c r="B16046" t="str">
        <f>IFERROR(__xludf.DUMMYFUNCTION("""COMPUTED_VALUE"""),"ton")</f>
        <v>ton</v>
      </c>
      <c r="C16046" t="str">
        <f>IFERROR(__xludf.DUMMYFUNCTION("""COMPUTED_VALUE"""),"Tonga")</f>
        <v>Tonga</v>
      </c>
      <c r="D16046">
        <f>IFERROR(__xludf.DUMMYFUNCTION("""COMPUTED_VALUE"""),1976.0)</f>
        <v>1976</v>
      </c>
      <c r="E16046">
        <f>IFERROR(__xludf.DUMMYFUNCTION("""COMPUTED_VALUE"""),89254.0)</f>
        <v>89254</v>
      </c>
    </row>
    <row r="16047">
      <c r="A16047" t="str">
        <f t="shared" si="1"/>
        <v>ton#1977</v>
      </c>
      <c r="B16047" t="str">
        <f>IFERROR(__xludf.DUMMYFUNCTION("""COMPUTED_VALUE"""),"ton")</f>
        <v>ton</v>
      </c>
      <c r="C16047" t="str">
        <f>IFERROR(__xludf.DUMMYFUNCTION("""COMPUTED_VALUE"""),"Tonga")</f>
        <v>Tonga</v>
      </c>
      <c r="D16047">
        <f>IFERROR(__xludf.DUMMYFUNCTION("""COMPUTED_VALUE"""),1977.0)</f>
        <v>1977</v>
      </c>
      <c r="E16047">
        <f>IFERROR(__xludf.DUMMYFUNCTION("""COMPUTED_VALUE"""),90295.0)</f>
        <v>90295</v>
      </c>
    </row>
    <row r="16048">
      <c r="A16048" t="str">
        <f t="shared" si="1"/>
        <v>ton#1978</v>
      </c>
      <c r="B16048" t="str">
        <f>IFERROR(__xludf.DUMMYFUNCTION("""COMPUTED_VALUE"""),"ton")</f>
        <v>ton</v>
      </c>
      <c r="C16048" t="str">
        <f>IFERROR(__xludf.DUMMYFUNCTION("""COMPUTED_VALUE"""),"Tonga")</f>
        <v>Tonga</v>
      </c>
      <c r="D16048">
        <f>IFERROR(__xludf.DUMMYFUNCTION("""COMPUTED_VALUE"""),1978.0)</f>
        <v>1978</v>
      </c>
      <c r="E16048">
        <f>IFERROR(__xludf.DUMMYFUNCTION("""COMPUTED_VALUE"""),91364.0)</f>
        <v>91364</v>
      </c>
    </row>
    <row r="16049">
      <c r="A16049" t="str">
        <f t="shared" si="1"/>
        <v>ton#1979</v>
      </c>
      <c r="B16049" t="str">
        <f>IFERROR(__xludf.DUMMYFUNCTION("""COMPUTED_VALUE"""),"ton")</f>
        <v>ton</v>
      </c>
      <c r="C16049" t="str">
        <f>IFERROR(__xludf.DUMMYFUNCTION("""COMPUTED_VALUE"""),"Tonga")</f>
        <v>Tonga</v>
      </c>
      <c r="D16049">
        <f>IFERROR(__xludf.DUMMYFUNCTION("""COMPUTED_VALUE"""),1979.0)</f>
        <v>1979</v>
      </c>
      <c r="E16049">
        <f>IFERROR(__xludf.DUMMYFUNCTION("""COMPUTED_VALUE"""),92300.0)</f>
        <v>92300</v>
      </c>
    </row>
    <row r="16050">
      <c r="A16050" t="str">
        <f t="shared" si="1"/>
        <v>ton#1980</v>
      </c>
      <c r="B16050" t="str">
        <f>IFERROR(__xludf.DUMMYFUNCTION("""COMPUTED_VALUE"""),"ton")</f>
        <v>ton</v>
      </c>
      <c r="C16050" t="str">
        <f>IFERROR(__xludf.DUMMYFUNCTION("""COMPUTED_VALUE"""),"Tonga")</f>
        <v>Tonga</v>
      </c>
      <c r="D16050">
        <f>IFERROR(__xludf.DUMMYFUNCTION("""COMPUTED_VALUE"""),1980.0)</f>
        <v>1980</v>
      </c>
      <c r="E16050">
        <f>IFERROR(__xludf.DUMMYFUNCTION("""COMPUTED_VALUE"""),93007.0)</f>
        <v>93007</v>
      </c>
    </row>
    <row r="16051">
      <c r="A16051" t="str">
        <f t="shared" si="1"/>
        <v>ton#1981</v>
      </c>
      <c r="B16051" t="str">
        <f>IFERROR(__xludf.DUMMYFUNCTION("""COMPUTED_VALUE"""),"ton")</f>
        <v>ton</v>
      </c>
      <c r="C16051" t="str">
        <f>IFERROR(__xludf.DUMMYFUNCTION("""COMPUTED_VALUE"""),"Tonga")</f>
        <v>Tonga</v>
      </c>
      <c r="D16051">
        <f>IFERROR(__xludf.DUMMYFUNCTION("""COMPUTED_VALUE"""),1981.0)</f>
        <v>1981</v>
      </c>
      <c r="E16051">
        <f>IFERROR(__xludf.DUMMYFUNCTION("""COMPUTED_VALUE"""),93453.0)</f>
        <v>93453</v>
      </c>
    </row>
    <row r="16052">
      <c r="A16052" t="str">
        <f t="shared" si="1"/>
        <v>ton#1982</v>
      </c>
      <c r="B16052" t="str">
        <f>IFERROR(__xludf.DUMMYFUNCTION("""COMPUTED_VALUE"""),"ton")</f>
        <v>ton</v>
      </c>
      <c r="C16052" t="str">
        <f>IFERROR(__xludf.DUMMYFUNCTION("""COMPUTED_VALUE"""),"Tonga")</f>
        <v>Tonga</v>
      </c>
      <c r="D16052">
        <f>IFERROR(__xludf.DUMMYFUNCTION("""COMPUTED_VALUE"""),1982.0)</f>
        <v>1982</v>
      </c>
      <c r="E16052">
        <f>IFERROR(__xludf.DUMMYFUNCTION("""COMPUTED_VALUE"""),93681.0)</f>
        <v>93681</v>
      </c>
    </row>
    <row r="16053">
      <c r="A16053" t="str">
        <f t="shared" si="1"/>
        <v>ton#1983</v>
      </c>
      <c r="B16053" t="str">
        <f>IFERROR(__xludf.DUMMYFUNCTION("""COMPUTED_VALUE"""),"ton")</f>
        <v>ton</v>
      </c>
      <c r="C16053" t="str">
        <f>IFERROR(__xludf.DUMMYFUNCTION("""COMPUTED_VALUE"""),"Tonga")</f>
        <v>Tonga</v>
      </c>
      <c r="D16053">
        <f>IFERROR(__xludf.DUMMYFUNCTION("""COMPUTED_VALUE"""),1983.0)</f>
        <v>1983</v>
      </c>
      <c r="E16053">
        <f>IFERROR(__xludf.DUMMYFUNCTION("""COMPUTED_VALUE"""),93774.0)</f>
        <v>93774</v>
      </c>
    </row>
    <row r="16054">
      <c r="A16054" t="str">
        <f t="shared" si="1"/>
        <v>ton#1984</v>
      </c>
      <c r="B16054" t="str">
        <f>IFERROR(__xludf.DUMMYFUNCTION("""COMPUTED_VALUE"""),"ton")</f>
        <v>ton</v>
      </c>
      <c r="C16054" t="str">
        <f>IFERROR(__xludf.DUMMYFUNCTION("""COMPUTED_VALUE"""),"Tonga")</f>
        <v>Tonga</v>
      </c>
      <c r="D16054">
        <f>IFERROR(__xludf.DUMMYFUNCTION("""COMPUTED_VALUE"""),1984.0)</f>
        <v>1984</v>
      </c>
      <c r="E16054">
        <f>IFERROR(__xludf.DUMMYFUNCTION("""COMPUTED_VALUE"""),93842.0)</f>
        <v>93842</v>
      </c>
    </row>
    <row r="16055">
      <c r="A16055" t="str">
        <f t="shared" si="1"/>
        <v>ton#1985</v>
      </c>
      <c r="B16055" t="str">
        <f>IFERROR(__xludf.DUMMYFUNCTION("""COMPUTED_VALUE"""),"ton")</f>
        <v>ton</v>
      </c>
      <c r="C16055" t="str">
        <f>IFERROR(__xludf.DUMMYFUNCTION("""COMPUTED_VALUE"""),"Tonga")</f>
        <v>Tonga</v>
      </c>
      <c r="D16055">
        <f>IFERROR(__xludf.DUMMYFUNCTION("""COMPUTED_VALUE"""),1985.0)</f>
        <v>1985</v>
      </c>
      <c r="E16055">
        <f>IFERROR(__xludf.DUMMYFUNCTION("""COMPUTED_VALUE"""),93953.0)</f>
        <v>93953</v>
      </c>
    </row>
    <row r="16056">
      <c r="A16056" t="str">
        <f t="shared" si="1"/>
        <v>ton#1986</v>
      </c>
      <c r="B16056" t="str">
        <f>IFERROR(__xludf.DUMMYFUNCTION("""COMPUTED_VALUE"""),"ton")</f>
        <v>ton</v>
      </c>
      <c r="C16056" t="str">
        <f>IFERROR(__xludf.DUMMYFUNCTION("""COMPUTED_VALUE"""),"Tonga")</f>
        <v>Tonga</v>
      </c>
      <c r="D16056">
        <f>IFERROR(__xludf.DUMMYFUNCTION("""COMPUTED_VALUE"""),1986.0)</f>
        <v>1986</v>
      </c>
      <c r="E16056">
        <f>IFERROR(__xludf.DUMMYFUNCTION("""COMPUTED_VALUE"""),94145.0)</f>
        <v>94145</v>
      </c>
    </row>
    <row r="16057">
      <c r="A16057" t="str">
        <f t="shared" si="1"/>
        <v>ton#1987</v>
      </c>
      <c r="B16057" t="str">
        <f>IFERROR(__xludf.DUMMYFUNCTION("""COMPUTED_VALUE"""),"ton")</f>
        <v>ton</v>
      </c>
      <c r="C16057" t="str">
        <f>IFERROR(__xludf.DUMMYFUNCTION("""COMPUTED_VALUE"""),"Tonga")</f>
        <v>Tonga</v>
      </c>
      <c r="D16057">
        <f>IFERROR(__xludf.DUMMYFUNCTION("""COMPUTED_VALUE"""),1987.0)</f>
        <v>1987</v>
      </c>
      <c r="E16057">
        <f>IFERROR(__xludf.DUMMYFUNCTION("""COMPUTED_VALUE"""),94384.0)</f>
        <v>94384</v>
      </c>
    </row>
    <row r="16058">
      <c r="A16058" t="str">
        <f t="shared" si="1"/>
        <v>ton#1988</v>
      </c>
      <c r="B16058" t="str">
        <f>IFERROR(__xludf.DUMMYFUNCTION("""COMPUTED_VALUE"""),"ton")</f>
        <v>ton</v>
      </c>
      <c r="C16058" t="str">
        <f>IFERROR(__xludf.DUMMYFUNCTION("""COMPUTED_VALUE"""),"Tonga")</f>
        <v>Tonga</v>
      </c>
      <c r="D16058">
        <f>IFERROR(__xludf.DUMMYFUNCTION("""COMPUTED_VALUE"""),1988.0)</f>
        <v>1988</v>
      </c>
      <c r="E16058">
        <f>IFERROR(__xludf.DUMMYFUNCTION("""COMPUTED_VALUE"""),94667.0)</f>
        <v>94667</v>
      </c>
    </row>
    <row r="16059">
      <c r="A16059" t="str">
        <f t="shared" si="1"/>
        <v>ton#1989</v>
      </c>
      <c r="B16059" t="str">
        <f>IFERROR(__xludf.DUMMYFUNCTION("""COMPUTED_VALUE"""),"ton")</f>
        <v>ton</v>
      </c>
      <c r="C16059" t="str">
        <f>IFERROR(__xludf.DUMMYFUNCTION("""COMPUTED_VALUE"""),"Tonga")</f>
        <v>Tonga</v>
      </c>
      <c r="D16059">
        <f>IFERROR(__xludf.DUMMYFUNCTION("""COMPUTED_VALUE"""),1989.0)</f>
        <v>1989</v>
      </c>
      <c r="E16059">
        <f>IFERROR(__xludf.DUMMYFUNCTION("""COMPUTED_VALUE"""),94929.0)</f>
        <v>94929</v>
      </c>
    </row>
    <row r="16060">
      <c r="A16060" t="str">
        <f t="shared" si="1"/>
        <v>ton#1990</v>
      </c>
      <c r="B16060" t="str">
        <f>IFERROR(__xludf.DUMMYFUNCTION("""COMPUTED_VALUE"""),"ton")</f>
        <v>ton</v>
      </c>
      <c r="C16060" t="str">
        <f>IFERROR(__xludf.DUMMYFUNCTION("""COMPUTED_VALUE"""),"Tonga")</f>
        <v>Tonga</v>
      </c>
      <c r="D16060">
        <f>IFERROR(__xludf.DUMMYFUNCTION("""COMPUTED_VALUE"""),1990.0)</f>
        <v>1990</v>
      </c>
      <c r="E16060">
        <f>IFERROR(__xludf.DUMMYFUNCTION("""COMPUTED_VALUE"""),95153.0)</f>
        <v>95153</v>
      </c>
    </row>
    <row r="16061">
      <c r="A16061" t="str">
        <f t="shared" si="1"/>
        <v>ton#1991</v>
      </c>
      <c r="B16061" t="str">
        <f>IFERROR(__xludf.DUMMYFUNCTION("""COMPUTED_VALUE"""),"ton")</f>
        <v>ton</v>
      </c>
      <c r="C16061" t="str">
        <f>IFERROR(__xludf.DUMMYFUNCTION("""COMPUTED_VALUE"""),"Tonga")</f>
        <v>Tonga</v>
      </c>
      <c r="D16061">
        <f>IFERROR(__xludf.DUMMYFUNCTION("""COMPUTED_VALUE"""),1991.0)</f>
        <v>1991</v>
      </c>
      <c r="E16061">
        <f>IFERROR(__xludf.DUMMYFUNCTION("""COMPUTED_VALUE"""),95333.0)</f>
        <v>95333</v>
      </c>
    </row>
    <row r="16062">
      <c r="A16062" t="str">
        <f t="shared" si="1"/>
        <v>ton#1992</v>
      </c>
      <c r="B16062" t="str">
        <f>IFERROR(__xludf.DUMMYFUNCTION("""COMPUTED_VALUE"""),"ton")</f>
        <v>ton</v>
      </c>
      <c r="C16062" t="str">
        <f>IFERROR(__xludf.DUMMYFUNCTION("""COMPUTED_VALUE"""),"Tonga")</f>
        <v>Tonga</v>
      </c>
      <c r="D16062">
        <f>IFERROR(__xludf.DUMMYFUNCTION("""COMPUTED_VALUE"""),1992.0)</f>
        <v>1992</v>
      </c>
      <c r="E16062">
        <f>IFERROR(__xludf.DUMMYFUNCTION("""COMPUTED_VALUE"""),95496.0)</f>
        <v>95496</v>
      </c>
    </row>
    <row r="16063">
      <c r="A16063" t="str">
        <f t="shared" si="1"/>
        <v>ton#1993</v>
      </c>
      <c r="B16063" t="str">
        <f>IFERROR(__xludf.DUMMYFUNCTION("""COMPUTED_VALUE"""),"ton")</f>
        <v>ton</v>
      </c>
      <c r="C16063" t="str">
        <f>IFERROR(__xludf.DUMMYFUNCTION("""COMPUTED_VALUE"""),"Tonga")</f>
        <v>Tonga</v>
      </c>
      <c r="D16063">
        <f>IFERROR(__xludf.DUMMYFUNCTION("""COMPUTED_VALUE"""),1993.0)</f>
        <v>1993</v>
      </c>
      <c r="E16063">
        <f>IFERROR(__xludf.DUMMYFUNCTION("""COMPUTED_VALUE"""),95644.0)</f>
        <v>95644</v>
      </c>
    </row>
    <row r="16064">
      <c r="A16064" t="str">
        <f t="shared" si="1"/>
        <v>ton#1994</v>
      </c>
      <c r="B16064" t="str">
        <f>IFERROR(__xludf.DUMMYFUNCTION("""COMPUTED_VALUE"""),"ton")</f>
        <v>ton</v>
      </c>
      <c r="C16064" t="str">
        <f>IFERROR(__xludf.DUMMYFUNCTION("""COMPUTED_VALUE"""),"Tonga")</f>
        <v>Tonga</v>
      </c>
      <c r="D16064">
        <f>IFERROR(__xludf.DUMMYFUNCTION("""COMPUTED_VALUE"""),1994.0)</f>
        <v>1994</v>
      </c>
      <c r="E16064">
        <f>IFERROR(__xludf.DUMMYFUNCTION("""COMPUTED_VALUE"""),95833.0)</f>
        <v>95833</v>
      </c>
    </row>
    <row r="16065">
      <c r="A16065" t="str">
        <f t="shared" si="1"/>
        <v>ton#1995</v>
      </c>
      <c r="B16065" t="str">
        <f>IFERROR(__xludf.DUMMYFUNCTION("""COMPUTED_VALUE"""),"ton")</f>
        <v>ton</v>
      </c>
      <c r="C16065" t="str">
        <f>IFERROR(__xludf.DUMMYFUNCTION("""COMPUTED_VALUE"""),"Tonga")</f>
        <v>Tonga</v>
      </c>
      <c r="D16065">
        <f>IFERROR(__xludf.DUMMYFUNCTION("""COMPUTED_VALUE"""),1995.0)</f>
        <v>1995</v>
      </c>
      <c r="E16065">
        <f>IFERROR(__xludf.DUMMYFUNCTION("""COMPUTED_VALUE"""),96076.0)</f>
        <v>96076</v>
      </c>
    </row>
    <row r="16066">
      <c r="A16066" t="str">
        <f t="shared" si="1"/>
        <v>ton#1996</v>
      </c>
      <c r="B16066" t="str">
        <f>IFERROR(__xludf.DUMMYFUNCTION("""COMPUTED_VALUE"""),"ton")</f>
        <v>ton</v>
      </c>
      <c r="C16066" t="str">
        <f>IFERROR(__xludf.DUMMYFUNCTION("""COMPUTED_VALUE"""),"Tonga")</f>
        <v>Tonga</v>
      </c>
      <c r="D16066">
        <f>IFERROR(__xludf.DUMMYFUNCTION("""COMPUTED_VALUE"""),1996.0)</f>
        <v>1996</v>
      </c>
      <c r="E16066">
        <f>IFERROR(__xludf.DUMMYFUNCTION("""COMPUTED_VALUE"""),96369.0)</f>
        <v>96369</v>
      </c>
    </row>
    <row r="16067">
      <c r="A16067" t="str">
        <f t="shared" si="1"/>
        <v>ton#1997</v>
      </c>
      <c r="B16067" t="str">
        <f>IFERROR(__xludf.DUMMYFUNCTION("""COMPUTED_VALUE"""),"ton")</f>
        <v>ton</v>
      </c>
      <c r="C16067" t="str">
        <f>IFERROR(__xludf.DUMMYFUNCTION("""COMPUTED_VALUE"""),"Tonga")</f>
        <v>Tonga</v>
      </c>
      <c r="D16067">
        <f>IFERROR(__xludf.DUMMYFUNCTION("""COMPUTED_VALUE"""),1997.0)</f>
        <v>1997</v>
      </c>
      <c r="E16067">
        <f>IFERROR(__xludf.DUMMYFUNCTION("""COMPUTED_VALUE"""),96725.0)</f>
        <v>96725</v>
      </c>
    </row>
    <row r="16068">
      <c r="A16068" t="str">
        <f t="shared" si="1"/>
        <v>ton#1998</v>
      </c>
      <c r="B16068" t="str">
        <f>IFERROR(__xludf.DUMMYFUNCTION("""COMPUTED_VALUE"""),"ton")</f>
        <v>ton</v>
      </c>
      <c r="C16068" t="str">
        <f>IFERROR(__xludf.DUMMYFUNCTION("""COMPUTED_VALUE"""),"Tonga")</f>
        <v>Tonga</v>
      </c>
      <c r="D16068">
        <f>IFERROR(__xludf.DUMMYFUNCTION("""COMPUTED_VALUE"""),1998.0)</f>
        <v>1998</v>
      </c>
      <c r="E16068">
        <f>IFERROR(__xludf.DUMMYFUNCTION("""COMPUTED_VALUE"""),97135.0)</f>
        <v>97135</v>
      </c>
    </row>
    <row r="16069">
      <c r="A16069" t="str">
        <f t="shared" si="1"/>
        <v>ton#1999</v>
      </c>
      <c r="B16069" t="str">
        <f>IFERROR(__xludf.DUMMYFUNCTION("""COMPUTED_VALUE"""),"ton")</f>
        <v>ton</v>
      </c>
      <c r="C16069" t="str">
        <f>IFERROR(__xludf.DUMMYFUNCTION("""COMPUTED_VALUE"""),"Tonga")</f>
        <v>Tonga</v>
      </c>
      <c r="D16069">
        <f>IFERROR(__xludf.DUMMYFUNCTION("""COMPUTED_VALUE"""),1999.0)</f>
        <v>1999</v>
      </c>
      <c r="E16069">
        <f>IFERROR(__xludf.DUMMYFUNCTION("""COMPUTED_VALUE"""),97591.0)</f>
        <v>97591</v>
      </c>
    </row>
    <row r="16070">
      <c r="A16070" t="str">
        <f t="shared" si="1"/>
        <v>ton#2000</v>
      </c>
      <c r="B16070" t="str">
        <f>IFERROR(__xludf.DUMMYFUNCTION("""COMPUTED_VALUE"""),"ton")</f>
        <v>ton</v>
      </c>
      <c r="C16070" t="str">
        <f>IFERROR(__xludf.DUMMYFUNCTION("""COMPUTED_VALUE"""),"Tonga")</f>
        <v>Tonga</v>
      </c>
      <c r="D16070">
        <f>IFERROR(__xludf.DUMMYFUNCTION("""COMPUTED_VALUE"""),2000.0)</f>
        <v>2000</v>
      </c>
      <c r="E16070">
        <f>IFERROR(__xludf.DUMMYFUNCTION("""COMPUTED_VALUE"""),98082.0)</f>
        <v>98082</v>
      </c>
    </row>
    <row r="16071">
      <c r="A16071" t="str">
        <f t="shared" si="1"/>
        <v>ton#2001</v>
      </c>
      <c r="B16071" t="str">
        <f>IFERROR(__xludf.DUMMYFUNCTION("""COMPUTED_VALUE"""),"ton")</f>
        <v>ton</v>
      </c>
      <c r="C16071" t="str">
        <f>IFERROR(__xludf.DUMMYFUNCTION("""COMPUTED_VALUE"""),"Tonga")</f>
        <v>Tonga</v>
      </c>
      <c r="D16071">
        <f>IFERROR(__xludf.DUMMYFUNCTION("""COMPUTED_VALUE"""),2001.0)</f>
        <v>2001</v>
      </c>
      <c r="E16071">
        <f>IFERROR(__xludf.DUMMYFUNCTION("""COMPUTED_VALUE"""),98611.0)</f>
        <v>98611</v>
      </c>
    </row>
    <row r="16072">
      <c r="A16072" t="str">
        <f t="shared" si="1"/>
        <v>ton#2002</v>
      </c>
      <c r="B16072" t="str">
        <f>IFERROR(__xludf.DUMMYFUNCTION("""COMPUTED_VALUE"""),"ton")</f>
        <v>ton</v>
      </c>
      <c r="C16072" t="str">
        <f>IFERROR(__xludf.DUMMYFUNCTION("""COMPUTED_VALUE"""),"Tonga")</f>
        <v>Tonga</v>
      </c>
      <c r="D16072">
        <f>IFERROR(__xludf.DUMMYFUNCTION("""COMPUTED_VALUE"""),2002.0)</f>
        <v>2002</v>
      </c>
      <c r="E16072">
        <f>IFERROR(__xludf.DUMMYFUNCTION("""COMPUTED_VALUE"""),99184.0)</f>
        <v>99184</v>
      </c>
    </row>
    <row r="16073">
      <c r="A16073" t="str">
        <f t="shared" si="1"/>
        <v>ton#2003</v>
      </c>
      <c r="B16073" t="str">
        <f>IFERROR(__xludf.DUMMYFUNCTION("""COMPUTED_VALUE"""),"ton")</f>
        <v>ton</v>
      </c>
      <c r="C16073" t="str">
        <f>IFERROR(__xludf.DUMMYFUNCTION("""COMPUTED_VALUE"""),"Tonga")</f>
        <v>Tonga</v>
      </c>
      <c r="D16073">
        <f>IFERROR(__xludf.DUMMYFUNCTION("""COMPUTED_VALUE"""),2003.0)</f>
        <v>2003</v>
      </c>
      <c r="E16073">
        <f>IFERROR(__xludf.DUMMYFUNCTION("""COMPUTED_VALUE"""),99789.0)</f>
        <v>99789</v>
      </c>
    </row>
    <row r="16074">
      <c r="A16074" t="str">
        <f t="shared" si="1"/>
        <v>ton#2004</v>
      </c>
      <c r="B16074" t="str">
        <f>IFERROR(__xludf.DUMMYFUNCTION("""COMPUTED_VALUE"""),"ton")</f>
        <v>ton</v>
      </c>
      <c r="C16074" t="str">
        <f>IFERROR(__xludf.DUMMYFUNCTION("""COMPUTED_VALUE"""),"Tonga")</f>
        <v>Tonga</v>
      </c>
      <c r="D16074">
        <f>IFERROR(__xludf.DUMMYFUNCTION("""COMPUTED_VALUE"""),2004.0)</f>
        <v>2004</v>
      </c>
      <c r="E16074">
        <f>IFERROR(__xludf.DUMMYFUNCTION("""COMPUTED_VALUE"""),100406.0)</f>
        <v>100406</v>
      </c>
    </row>
    <row r="16075">
      <c r="A16075" t="str">
        <f t="shared" si="1"/>
        <v>ton#2005</v>
      </c>
      <c r="B16075" t="str">
        <f>IFERROR(__xludf.DUMMYFUNCTION("""COMPUTED_VALUE"""),"ton")</f>
        <v>ton</v>
      </c>
      <c r="C16075" t="str">
        <f>IFERROR(__xludf.DUMMYFUNCTION("""COMPUTED_VALUE"""),"Tonga")</f>
        <v>Tonga</v>
      </c>
      <c r="D16075">
        <f>IFERROR(__xludf.DUMMYFUNCTION("""COMPUTED_VALUE"""),2005.0)</f>
        <v>2005</v>
      </c>
      <c r="E16075">
        <f>IFERROR(__xludf.DUMMYFUNCTION("""COMPUTED_VALUE"""),101041.0)</f>
        <v>101041</v>
      </c>
    </row>
    <row r="16076">
      <c r="A16076" t="str">
        <f t="shared" si="1"/>
        <v>ton#2006</v>
      </c>
      <c r="B16076" t="str">
        <f>IFERROR(__xludf.DUMMYFUNCTION("""COMPUTED_VALUE"""),"ton")</f>
        <v>ton</v>
      </c>
      <c r="C16076" t="str">
        <f>IFERROR(__xludf.DUMMYFUNCTION("""COMPUTED_VALUE"""),"Tonga")</f>
        <v>Tonga</v>
      </c>
      <c r="D16076">
        <f>IFERROR(__xludf.DUMMYFUNCTION("""COMPUTED_VALUE"""),2006.0)</f>
        <v>2006</v>
      </c>
      <c r="E16076">
        <f>IFERROR(__xludf.DUMMYFUNCTION("""COMPUTED_VALUE"""),101689.0)</f>
        <v>101689</v>
      </c>
    </row>
    <row r="16077">
      <c r="A16077" t="str">
        <f t="shared" si="1"/>
        <v>ton#2007</v>
      </c>
      <c r="B16077" t="str">
        <f>IFERROR(__xludf.DUMMYFUNCTION("""COMPUTED_VALUE"""),"ton")</f>
        <v>ton</v>
      </c>
      <c r="C16077" t="str">
        <f>IFERROR(__xludf.DUMMYFUNCTION("""COMPUTED_VALUE"""),"Tonga")</f>
        <v>Tonga</v>
      </c>
      <c r="D16077">
        <f>IFERROR(__xludf.DUMMYFUNCTION("""COMPUTED_VALUE"""),2007.0)</f>
        <v>2007</v>
      </c>
      <c r="E16077">
        <f>IFERROR(__xludf.DUMMYFUNCTION("""COMPUTED_VALUE"""),102357.0)</f>
        <v>102357</v>
      </c>
    </row>
    <row r="16078">
      <c r="A16078" t="str">
        <f t="shared" si="1"/>
        <v>ton#2008</v>
      </c>
      <c r="B16078" t="str">
        <f>IFERROR(__xludf.DUMMYFUNCTION("""COMPUTED_VALUE"""),"ton")</f>
        <v>ton</v>
      </c>
      <c r="C16078" t="str">
        <f>IFERROR(__xludf.DUMMYFUNCTION("""COMPUTED_VALUE"""),"Tonga")</f>
        <v>Tonga</v>
      </c>
      <c r="D16078">
        <f>IFERROR(__xludf.DUMMYFUNCTION("""COMPUTED_VALUE"""),2008.0)</f>
        <v>2008</v>
      </c>
      <c r="E16078">
        <f>IFERROR(__xludf.DUMMYFUNCTION("""COMPUTED_VALUE"""),103005.0)</f>
        <v>103005</v>
      </c>
    </row>
    <row r="16079">
      <c r="A16079" t="str">
        <f t="shared" si="1"/>
        <v>ton#2009</v>
      </c>
      <c r="B16079" t="str">
        <f>IFERROR(__xludf.DUMMYFUNCTION("""COMPUTED_VALUE"""),"ton")</f>
        <v>ton</v>
      </c>
      <c r="C16079" t="str">
        <f>IFERROR(__xludf.DUMMYFUNCTION("""COMPUTED_VALUE"""),"Tonga")</f>
        <v>Tonga</v>
      </c>
      <c r="D16079">
        <f>IFERROR(__xludf.DUMMYFUNCTION("""COMPUTED_VALUE"""),2009.0)</f>
        <v>2009</v>
      </c>
      <c r="E16079">
        <f>IFERROR(__xludf.DUMMYFUNCTION("""COMPUTED_VALUE"""),103604.0)</f>
        <v>103604</v>
      </c>
    </row>
    <row r="16080">
      <c r="A16080" t="str">
        <f t="shared" si="1"/>
        <v>ton#2010</v>
      </c>
      <c r="B16080" t="str">
        <f>IFERROR(__xludf.DUMMYFUNCTION("""COMPUTED_VALUE"""),"ton")</f>
        <v>ton</v>
      </c>
      <c r="C16080" t="str">
        <f>IFERROR(__xludf.DUMMYFUNCTION("""COMPUTED_VALUE"""),"Tonga")</f>
        <v>Tonga</v>
      </c>
      <c r="D16080">
        <f>IFERROR(__xludf.DUMMYFUNCTION("""COMPUTED_VALUE"""),2010.0)</f>
        <v>2010</v>
      </c>
      <c r="E16080">
        <f>IFERROR(__xludf.DUMMYFUNCTION("""COMPUTED_VALUE"""),104137.0)</f>
        <v>104137</v>
      </c>
    </row>
    <row r="16081">
      <c r="A16081" t="str">
        <f t="shared" si="1"/>
        <v>ton#2011</v>
      </c>
      <c r="B16081" t="str">
        <f>IFERROR(__xludf.DUMMYFUNCTION("""COMPUTED_VALUE"""),"ton")</f>
        <v>ton</v>
      </c>
      <c r="C16081" t="str">
        <f>IFERROR(__xludf.DUMMYFUNCTION("""COMPUTED_VALUE"""),"Tonga")</f>
        <v>Tonga</v>
      </c>
      <c r="D16081">
        <f>IFERROR(__xludf.DUMMYFUNCTION("""COMPUTED_VALUE"""),2011.0)</f>
        <v>2011</v>
      </c>
      <c r="E16081">
        <f>IFERROR(__xludf.DUMMYFUNCTION("""COMPUTED_VALUE"""),104577.0)</f>
        <v>104577</v>
      </c>
    </row>
    <row r="16082">
      <c r="A16082" t="str">
        <f t="shared" si="1"/>
        <v>ton#2012</v>
      </c>
      <c r="B16082" t="str">
        <f>IFERROR(__xludf.DUMMYFUNCTION("""COMPUTED_VALUE"""),"ton")</f>
        <v>ton</v>
      </c>
      <c r="C16082" t="str">
        <f>IFERROR(__xludf.DUMMYFUNCTION("""COMPUTED_VALUE"""),"Tonga")</f>
        <v>Tonga</v>
      </c>
      <c r="D16082">
        <f>IFERROR(__xludf.DUMMYFUNCTION("""COMPUTED_VALUE"""),2012.0)</f>
        <v>2012</v>
      </c>
      <c r="E16082">
        <f>IFERROR(__xludf.DUMMYFUNCTION("""COMPUTED_VALUE"""),104951.0)</f>
        <v>104951</v>
      </c>
    </row>
    <row r="16083">
      <c r="A16083" t="str">
        <f t="shared" si="1"/>
        <v>ton#2013</v>
      </c>
      <c r="B16083" t="str">
        <f>IFERROR(__xludf.DUMMYFUNCTION("""COMPUTED_VALUE"""),"ton")</f>
        <v>ton</v>
      </c>
      <c r="C16083" t="str">
        <f>IFERROR(__xludf.DUMMYFUNCTION("""COMPUTED_VALUE"""),"Tonga")</f>
        <v>Tonga</v>
      </c>
      <c r="D16083">
        <f>IFERROR(__xludf.DUMMYFUNCTION("""COMPUTED_VALUE"""),2013.0)</f>
        <v>2013</v>
      </c>
      <c r="E16083">
        <f>IFERROR(__xludf.DUMMYFUNCTION("""COMPUTED_VALUE"""),105328.0)</f>
        <v>105328</v>
      </c>
    </row>
    <row r="16084">
      <c r="A16084" t="str">
        <f t="shared" si="1"/>
        <v>ton#2014</v>
      </c>
      <c r="B16084" t="str">
        <f>IFERROR(__xludf.DUMMYFUNCTION("""COMPUTED_VALUE"""),"ton")</f>
        <v>ton</v>
      </c>
      <c r="C16084" t="str">
        <f>IFERROR(__xludf.DUMMYFUNCTION("""COMPUTED_VALUE"""),"Tonga")</f>
        <v>Tonga</v>
      </c>
      <c r="D16084">
        <f>IFERROR(__xludf.DUMMYFUNCTION("""COMPUTED_VALUE"""),2014.0)</f>
        <v>2014</v>
      </c>
      <c r="E16084">
        <f>IFERROR(__xludf.DUMMYFUNCTION("""COMPUTED_VALUE"""),105782.0)</f>
        <v>105782</v>
      </c>
    </row>
    <row r="16085">
      <c r="A16085" t="str">
        <f t="shared" si="1"/>
        <v>ton#2015</v>
      </c>
      <c r="B16085" t="str">
        <f>IFERROR(__xludf.DUMMYFUNCTION("""COMPUTED_VALUE"""),"ton")</f>
        <v>ton</v>
      </c>
      <c r="C16085" t="str">
        <f>IFERROR(__xludf.DUMMYFUNCTION("""COMPUTED_VALUE"""),"Tonga")</f>
        <v>Tonga</v>
      </c>
      <c r="D16085">
        <f>IFERROR(__xludf.DUMMYFUNCTION("""COMPUTED_VALUE"""),2015.0)</f>
        <v>2015</v>
      </c>
      <c r="E16085">
        <f>IFERROR(__xludf.DUMMYFUNCTION("""COMPUTED_VALUE"""),106364.0)</f>
        <v>106364</v>
      </c>
    </row>
    <row r="16086">
      <c r="A16086" t="str">
        <f t="shared" si="1"/>
        <v>ton#2016</v>
      </c>
      <c r="B16086" t="str">
        <f>IFERROR(__xludf.DUMMYFUNCTION("""COMPUTED_VALUE"""),"ton")</f>
        <v>ton</v>
      </c>
      <c r="C16086" t="str">
        <f>IFERROR(__xludf.DUMMYFUNCTION("""COMPUTED_VALUE"""),"Tonga")</f>
        <v>Tonga</v>
      </c>
      <c r="D16086">
        <f>IFERROR(__xludf.DUMMYFUNCTION("""COMPUTED_VALUE"""),2016.0)</f>
        <v>2016</v>
      </c>
      <c r="E16086">
        <f>IFERROR(__xludf.DUMMYFUNCTION("""COMPUTED_VALUE"""),107122.0)</f>
        <v>107122</v>
      </c>
    </row>
    <row r="16087">
      <c r="A16087" t="str">
        <f t="shared" si="1"/>
        <v>ton#2017</v>
      </c>
      <c r="B16087" t="str">
        <f>IFERROR(__xludf.DUMMYFUNCTION("""COMPUTED_VALUE"""),"ton")</f>
        <v>ton</v>
      </c>
      <c r="C16087" t="str">
        <f>IFERROR(__xludf.DUMMYFUNCTION("""COMPUTED_VALUE"""),"Tonga")</f>
        <v>Tonga</v>
      </c>
      <c r="D16087">
        <f>IFERROR(__xludf.DUMMYFUNCTION("""COMPUTED_VALUE"""),2017.0)</f>
        <v>2017</v>
      </c>
      <c r="E16087">
        <f>IFERROR(__xludf.DUMMYFUNCTION("""COMPUTED_VALUE"""),108020.0)</f>
        <v>108020</v>
      </c>
    </row>
    <row r="16088">
      <c r="A16088" t="str">
        <f t="shared" si="1"/>
        <v>ton#2018</v>
      </c>
      <c r="B16088" t="str">
        <f>IFERROR(__xludf.DUMMYFUNCTION("""COMPUTED_VALUE"""),"ton")</f>
        <v>ton</v>
      </c>
      <c r="C16088" t="str">
        <f>IFERROR(__xludf.DUMMYFUNCTION("""COMPUTED_VALUE"""),"Tonga")</f>
        <v>Tonga</v>
      </c>
      <c r="D16088">
        <f>IFERROR(__xludf.DUMMYFUNCTION("""COMPUTED_VALUE"""),2018.0)</f>
        <v>2018</v>
      </c>
      <c r="E16088">
        <f>IFERROR(__xludf.DUMMYFUNCTION("""COMPUTED_VALUE"""),109008.0)</f>
        <v>109008</v>
      </c>
    </row>
    <row r="16089">
      <c r="A16089" t="str">
        <f t="shared" si="1"/>
        <v>ton#2019</v>
      </c>
      <c r="B16089" t="str">
        <f>IFERROR(__xludf.DUMMYFUNCTION("""COMPUTED_VALUE"""),"ton")</f>
        <v>ton</v>
      </c>
      <c r="C16089" t="str">
        <f>IFERROR(__xludf.DUMMYFUNCTION("""COMPUTED_VALUE"""),"Tonga")</f>
        <v>Tonga</v>
      </c>
      <c r="D16089">
        <f>IFERROR(__xludf.DUMMYFUNCTION("""COMPUTED_VALUE"""),2019.0)</f>
        <v>2019</v>
      </c>
      <c r="E16089">
        <f>IFERROR(__xludf.DUMMYFUNCTION("""COMPUTED_VALUE"""),110041.0)</f>
        <v>110041</v>
      </c>
    </row>
    <row r="16090">
      <c r="A16090" t="str">
        <f t="shared" si="1"/>
        <v>ton#2020</v>
      </c>
      <c r="B16090" t="str">
        <f>IFERROR(__xludf.DUMMYFUNCTION("""COMPUTED_VALUE"""),"ton")</f>
        <v>ton</v>
      </c>
      <c r="C16090" t="str">
        <f>IFERROR(__xludf.DUMMYFUNCTION("""COMPUTED_VALUE"""),"Tonga")</f>
        <v>Tonga</v>
      </c>
      <c r="D16090">
        <f>IFERROR(__xludf.DUMMYFUNCTION("""COMPUTED_VALUE"""),2020.0)</f>
        <v>2020</v>
      </c>
      <c r="E16090">
        <f>IFERROR(__xludf.DUMMYFUNCTION("""COMPUTED_VALUE"""),111037.0)</f>
        <v>111037</v>
      </c>
    </row>
    <row r="16091">
      <c r="A16091" t="str">
        <f t="shared" si="1"/>
        <v>ton#2021</v>
      </c>
      <c r="B16091" t="str">
        <f>IFERROR(__xludf.DUMMYFUNCTION("""COMPUTED_VALUE"""),"ton")</f>
        <v>ton</v>
      </c>
      <c r="C16091" t="str">
        <f>IFERROR(__xludf.DUMMYFUNCTION("""COMPUTED_VALUE"""),"Tonga")</f>
        <v>Tonga</v>
      </c>
      <c r="D16091">
        <f>IFERROR(__xludf.DUMMYFUNCTION("""COMPUTED_VALUE"""),2021.0)</f>
        <v>2021</v>
      </c>
      <c r="E16091">
        <f>IFERROR(__xludf.DUMMYFUNCTION("""COMPUTED_VALUE"""),111993.0)</f>
        <v>111993</v>
      </c>
    </row>
    <row r="16092">
      <c r="A16092" t="str">
        <f t="shared" si="1"/>
        <v>ton#2022</v>
      </c>
      <c r="B16092" t="str">
        <f>IFERROR(__xludf.DUMMYFUNCTION("""COMPUTED_VALUE"""),"ton")</f>
        <v>ton</v>
      </c>
      <c r="C16092" t="str">
        <f>IFERROR(__xludf.DUMMYFUNCTION("""COMPUTED_VALUE"""),"Tonga")</f>
        <v>Tonga</v>
      </c>
      <c r="D16092">
        <f>IFERROR(__xludf.DUMMYFUNCTION("""COMPUTED_VALUE"""),2022.0)</f>
        <v>2022</v>
      </c>
      <c r="E16092">
        <f>IFERROR(__xludf.DUMMYFUNCTION("""COMPUTED_VALUE"""),112933.0)</f>
        <v>112933</v>
      </c>
    </row>
    <row r="16093">
      <c r="A16093" t="str">
        <f t="shared" si="1"/>
        <v>ton#2023</v>
      </c>
      <c r="B16093" t="str">
        <f>IFERROR(__xludf.DUMMYFUNCTION("""COMPUTED_VALUE"""),"ton")</f>
        <v>ton</v>
      </c>
      <c r="C16093" t="str">
        <f>IFERROR(__xludf.DUMMYFUNCTION("""COMPUTED_VALUE"""),"Tonga")</f>
        <v>Tonga</v>
      </c>
      <c r="D16093">
        <f>IFERROR(__xludf.DUMMYFUNCTION("""COMPUTED_VALUE"""),2023.0)</f>
        <v>2023</v>
      </c>
      <c r="E16093">
        <f>IFERROR(__xludf.DUMMYFUNCTION("""COMPUTED_VALUE"""),113867.0)</f>
        <v>113867</v>
      </c>
    </row>
    <row r="16094">
      <c r="A16094" t="str">
        <f t="shared" si="1"/>
        <v>ton#2024</v>
      </c>
      <c r="B16094" t="str">
        <f>IFERROR(__xludf.DUMMYFUNCTION("""COMPUTED_VALUE"""),"ton")</f>
        <v>ton</v>
      </c>
      <c r="C16094" t="str">
        <f>IFERROR(__xludf.DUMMYFUNCTION("""COMPUTED_VALUE"""),"Tonga")</f>
        <v>Tonga</v>
      </c>
      <c r="D16094">
        <f>IFERROR(__xludf.DUMMYFUNCTION("""COMPUTED_VALUE"""),2024.0)</f>
        <v>2024</v>
      </c>
      <c r="E16094">
        <f>IFERROR(__xludf.DUMMYFUNCTION("""COMPUTED_VALUE"""),114810.0)</f>
        <v>114810</v>
      </c>
    </row>
    <row r="16095">
      <c r="A16095" t="str">
        <f t="shared" si="1"/>
        <v>ton#2025</v>
      </c>
      <c r="B16095" t="str">
        <f>IFERROR(__xludf.DUMMYFUNCTION("""COMPUTED_VALUE"""),"ton")</f>
        <v>ton</v>
      </c>
      <c r="C16095" t="str">
        <f>IFERROR(__xludf.DUMMYFUNCTION("""COMPUTED_VALUE"""),"Tonga")</f>
        <v>Tonga</v>
      </c>
      <c r="D16095">
        <f>IFERROR(__xludf.DUMMYFUNCTION("""COMPUTED_VALUE"""),2025.0)</f>
        <v>2025</v>
      </c>
      <c r="E16095">
        <f>IFERROR(__xludf.DUMMYFUNCTION("""COMPUTED_VALUE"""),115793.0)</f>
        <v>115793</v>
      </c>
    </row>
    <row r="16096">
      <c r="A16096" t="str">
        <f t="shared" si="1"/>
        <v>ton#2026</v>
      </c>
      <c r="B16096" t="str">
        <f>IFERROR(__xludf.DUMMYFUNCTION("""COMPUTED_VALUE"""),"ton")</f>
        <v>ton</v>
      </c>
      <c r="C16096" t="str">
        <f>IFERROR(__xludf.DUMMYFUNCTION("""COMPUTED_VALUE"""),"Tonga")</f>
        <v>Tonga</v>
      </c>
      <c r="D16096">
        <f>IFERROR(__xludf.DUMMYFUNCTION("""COMPUTED_VALUE"""),2026.0)</f>
        <v>2026</v>
      </c>
      <c r="E16096">
        <f>IFERROR(__xludf.DUMMYFUNCTION("""COMPUTED_VALUE"""),116806.0)</f>
        <v>116806</v>
      </c>
    </row>
    <row r="16097">
      <c r="A16097" t="str">
        <f t="shared" si="1"/>
        <v>ton#2027</v>
      </c>
      <c r="B16097" t="str">
        <f>IFERROR(__xludf.DUMMYFUNCTION("""COMPUTED_VALUE"""),"ton")</f>
        <v>ton</v>
      </c>
      <c r="C16097" t="str">
        <f>IFERROR(__xludf.DUMMYFUNCTION("""COMPUTED_VALUE"""),"Tonga")</f>
        <v>Tonga</v>
      </c>
      <c r="D16097">
        <f>IFERROR(__xludf.DUMMYFUNCTION("""COMPUTED_VALUE"""),2027.0)</f>
        <v>2027</v>
      </c>
      <c r="E16097">
        <f>IFERROR(__xludf.DUMMYFUNCTION("""COMPUTED_VALUE"""),117838.0)</f>
        <v>117838</v>
      </c>
    </row>
    <row r="16098">
      <c r="A16098" t="str">
        <f t="shared" si="1"/>
        <v>ton#2028</v>
      </c>
      <c r="B16098" t="str">
        <f>IFERROR(__xludf.DUMMYFUNCTION("""COMPUTED_VALUE"""),"ton")</f>
        <v>ton</v>
      </c>
      <c r="C16098" t="str">
        <f>IFERROR(__xludf.DUMMYFUNCTION("""COMPUTED_VALUE"""),"Tonga")</f>
        <v>Tonga</v>
      </c>
      <c r="D16098">
        <f>IFERROR(__xludf.DUMMYFUNCTION("""COMPUTED_VALUE"""),2028.0)</f>
        <v>2028</v>
      </c>
      <c r="E16098">
        <f>IFERROR(__xludf.DUMMYFUNCTION("""COMPUTED_VALUE"""),118902.0)</f>
        <v>118902</v>
      </c>
    </row>
    <row r="16099">
      <c r="A16099" t="str">
        <f t="shared" si="1"/>
        <v>ton#2029</v>
      </c>
      <c r="B16099" t="str">
        <f>IFERROR(__xludf.DUMMYFUNCTION("""COMPUTED_VALUE"""),"ton")</f>
        <v>ton</v>
      </c>
      <c r="C16099" t="str">
        <f>IFERROR(__xludf.DUMMYFUNCTION("""COMPUTED_VALUE"""),"Tonga")</f>
        <v>Tonga</v>
      </c>
      <c r="D16099">
        <f>IFERROR(__xludf.DUMMYFUNCTION("""COMPUTED_VALUE"""),2029.0)</f>
        <v>2029</v>
      </c>
      <c r="E16099">
        <f>IFERROR(__xludf.DUMMYFUNCTION("""COMPUTED_VALUE"""),119967.0)</f>
        <v>119967</v>
      </c>
    </row>
    <row r="16100">
      <c r="A16100" t="str">
        <f t="shared" si="1"/>
        <v>ton#2030</v>
      </c>
      <c r="B16100" t="str">
        <f>IFERROR(__xludf.DUMMYFUNCTION("""COMPUTED_VALUE"""),"ton")</f>
        <v>ton</v>
      </c>
      <c r="C16100" t="str">
        <f>IFERROR(__xludf.DUMMYFUNCTION("""COMPUTED_VALUE"""),"Tonga")</f>
        <v>Tonga</v>
      </c>
      <c r="D16100">
        <f>IFERROR(__xludf.DUMMYFUNCTION("""COMPUTED_VALUE"""),2030.0)</f>
        <v>2030</v>
      </c>
      <c r="E16100">
        <f>IFERROR(__xludf.DUMMYFUNCTION("""COMPUTED_VALUE"""),121055.0)</f>
        <v>121055</v>
      </c>
    </row>
    <row r="16101">
      <c r="A16101" t="str">
        <f t="shared" si="1"/>
        <v>ton#2031</v>
      </c>
      <c r="B16101" t="str">
        <f>IFERROR(__xludf.DUMMYFUNCTION("""COMPUTED_VALUE"""),"ton")</f>
        <v>ton</v>
      </c>
      <c r="C16101" t="str">
        <f>IFERROR(__xludf.DUMMYFUNCTION("""COMPUTED_VALUE"""),"Tonga")</f>
        <v>Tonga</v>
      </c>
      <c r="D16101">
        <f>IFERROR(__xludf.DUMMYFUNCTION("""COMPUTED_VALUE"""),2031.0)</f>
        <v>2031</v>
      </c>
      <c r="E16101">
        <f>IFERROR(__xludf.DUMMYFUNCTION("""COMPUTED_VALUE"""),122155.0)</f>
        <v>122155</v>
      </c>
    </row>
    <row r="16102">
      <c r="A16102" t="str">
        <f t="shared" si="1"/>
        <v>ton#2032</v>
      </c>
      <c r="B16102" t="str">
        <f>IFERROR(__xludf.DUMMYFUNCTION("""COMPUTED_VALUE"""),"ton")</f>
        <v>ton</v>
      </c>
      <c r="C16102" t="str">
        <f>IFERROR(__xludf.DUMMYFUNCTION("""COMPUTED_VALUE"""),"Tonga")</f>
        <v>Tonga</v>
      </c>
      <c r="D16102">
        <f>IFERROR(__xludf.DUMMYFUNCTION("""COMPUTED_VALUE"""),2032.0)</f>
        <v>2032</v>
      </c>
      <c r="E16102">
        <f>IFERROR(__xludf.DUMMYFUNCTION("""COMPUTED_VALUE"""),123261.0)</f>
        <v>123261</v>
      </c>
    </row>
    <row r="16103">
      <c r="A16103" t="str">
        <f t="shared" si="1"/>
        <v>ton#2033</v>
      </c>
      <c r="B16103" t="str">
        <f>IFERROR(__xludf.DUMMYFUNCTION("""COMPUTED_VALUE"""),"ton")</f>
        <v>ton</v>
      </c>
      <c r="C16103" t="str">
        <f>IFERROR(__xludf.DUMMYFUNCTION("""COMPUTED_VALUE"""),"Tonga")</f>
        <v>Tonga</v>
      </c>
      <c r="D16103">
        <f>IFERROR(__xludf.DUMMYFUNCTION("""COMPUTED_VALUE"""),2033.0)</f>
        <v>2033</v>
      </c>
      <c r="E16103">
        <f>IFERROR(__xludf.DUMMYFUNCTION("""COMPUTED_VALUE"""),124378.0)</f>
        <v>124378</v>
      </c>
    </row>
    <row r="16104">
      <c r="A16104" t="str">
        <f t="shared" si="1"/>
        <v>ton#2034</v>
      </c>
      <c r="B16104" t="str">
        <f>IFERROR(__xludf.DUMMYFUNCTION("""COMPUTED_VALUE"""),"ton")</f>
        <v>ton</v>
      </c>
      <c r="C16104" t="str">
        <f>IFERROR(__xludf.DUMMYFUNCTION("""COMPUTED_VALUE"""),"Tonga")</f>
        <v>Tonga</v>
      </c>
      <c r="D16104">
        <f>IFERROR(__xludf.DUMMYFUNCTION("""COMPUTED_VALUE"""),2034.0)</f>
        <v>2034</v>
      </c>
      <c r="E16104">
        <f>IFERROR(__xludf.DUMMYFUNCTION("""COMPUTED_VALUE"""),125489.0)</f>
        <v>125489</v>
      </c>
    </row>
    <row r="16105">
      <c r="A16105" t="str">
        <f t="shared" si="1"/>
        <v>ton#2035</v>
      </c>
      <c r="B16105" t="str">
        <f>IFERROR(__xludf.DUMMYFUNCTION("""COMPUTED_VALUE"""),"ton")</f>
        <v>ton</v>
      </c>
      <c r="C16105" t="str">
        <f>IFERROR(__xludf.DUMMYFUNCTION("""COMPUTED_VALUE"""),"Tonga")</f>
        <v>Tonga</v>
      </c>
      <c r="D16105">
        <f>IFERROR(__xludf.DUMMYFUNCTION("""COMPUTED_VALUE"""),2035.0)</f>
        <v>2035</v>
      </c>
      <c r="E16105">
        <f>IFERROR(__xludf.DUMMYFUNCTION("""COMPUTED_VALUE"""),126596.0)</f>
        <v>126596</v>
      </c>
    </row>
    <row r="16106">
      <c r="A16106" t="str">
        <f t="shared" si="1"/>
        <v>ton#2036</v>
      </c>
      <c r="B16106" t="str">
        <f>IFERROR(__xludf.DUMMYFUNCTION("""COMPUTED_VALUE"""),"ton")</f>
        <v>ton</v>
      </c>
      <c r="C16106" t="str">
        <f>IFERROR(__xludf.DUMMYFUNCTION("""COMPUTED_VALUE"""),"Tonga")</f>
        <v>Tonga</v>
      </c>
      <c r="D16106">
        <f>IFERROR(__xludf.DUMMYFUNCTION("""COMPUTED_VALUE"""),2036.0)</f>
        <v>2036</v>
      </c>
      <c r="E16106">
        <f>IFERROR(__xludf.DUMMYFUNCTION("""COMPUTED_VALUE"""),127696.0)</f>
        <v>127696</v>
      </c>
    </row>
    <row r="16107">
      <c r="A16107" t="str">
        <f t="shared" si="1"/>
        <v>ton#2037</v>
      </c>
      <c r="B16107" t="str">
        <f>IFERROR(__xludf.DUMMYFUNCTION("""COMPUTED_VALUE"""),"ton")</f>
        <v>ton</v>
      </c>
      <c r="C16107" t="str">
        <f>IFERROR(__xludf.DUMMYFUNCTION("""COMPUTED_VALUE"""),"Tonga")</f>
        <v>Tonga</v>
      </c>
      <c r="D16107">
        <f>IFERROR(__xludf.DUMMYFUNCTION("""COMPUTED_VALUE"""),2037.0)</f>
        <v>2037</v>
      </c>
      <c r="E16107">
        <f>IFERROR(__xludf.DUMMYFUNCTION("""COMPUTED_VALUE"""),128778.0)</f>
        <v>128778</v>
      </c>
    </row>
    <row r="16108">
      <c r="A16108" t="str">
        <f t="shared" si="1"/>
        <v>ton#2038</v>
      </c>
      <c r="B16108" t="str">
        <f>IFERROR(__xludf.DUMMYFUNCTION("""COMPUTED_VALUE"""),"ton")</f>
        <v>ton</v>
      </c>
      <c r="C16108" t="str">
        <f>IFERROR(__xludf.DUMMYFUNCTION("""COMPUTED_VALUE"""),"Tonga")</f>
        <v>Tonga</v>
      </c>
      <c r="D16108">
        <f>IFERROR(__xludf.DUMMYFUNCTION("""COMPUTED_VALUE"""),2038.0)</f>
        <v>2038</v>
      </c>
      <c r="E16108">
        <f>IFERROR(__xludf.DUMMYFUNCTION("""COMPUTED_VALUE"""),129848.0)</f>
        <v>129848</v>
      </c>
    </row>
    <row r="16109">
      <c r="A16109" t="str">
        <f t="shared" si="1"/>
        <v>ton#2039</v>
      </c>
      <c r="B16109" t="str">
        <f>IFERROR(__xludf.DUMMYFUNCTION("""COMPUTED_VALUE"""),"ton")</f>
        <v>ton</v>
      </c>
      <c r="C16109" t="str">
        <f>IFERROR(__xludf.DUMMYFUNCTION("""COMPUTED_VALUE"""),"Tonga")</f>
        <v>Tonga</v>
      </c>
      <c r="D16109">
        <f>IFERROR(__xludf.DUMMYFUNCTION("""COMPUTED_VALUE"""),2039.0)</f>
        <v>2039</v>
      </c>
      <c r="E16109">
        <f>IFERROR(__xludf.DUMMYFUNCTION("""COMPUTED_VALUE"""),130889.0)</f>
        <v>130889</v>
      </c>
    </row>
    <row r="16110">
      <c r="A16110" t="str">
        <f t="shared" si="1"/>
        <v>ton#2040</v>
      </c>
      <c r="B16110" t="str">
        <f>IFERROR(__xludf.DUMMYFUNCTION("""COMPUTED_VALUE"""),"ton")</f>
        <v>ton</v>
      </c>
      <c r="C16110" t="str">
        <f>IFERROR(__xludf.DUMMYFUNCTION("""COMPUTED_VALUE"""),"Tonga")</f>
        <v>Tonga</v>
      </c>
      <c r="D16110">
        <f>IFERROR(__xludf.DUMMYFUNCTION("""COMPUTED_VALUE"""),2040.0)</f>
        <v>2040</v>
      </c>
      <c r="E16110">
        <f>IFERROR(__xludf.DUMMYFUNCTION("""COMPUTED_VALUE"""),131906.0)</f>
        <v>131906</v>
      </c>
    </row>
    <row r="16111">
      <c r="A16111" t="str">
        <f t="shared" si="1"/>
        <v>tto#1950</v>
      </c>
      <c r="B16111" t="str">
        <f>IFERROR(__xludf.DUMMYFUNCTION("""COMPUTED_VALUE"""),"tto")</f>
        <v>tto</v>
      </c>
      <c r="C16111" t="str">
        <f>IFERROR(__xludf.DUMMYFUNCTION("""COMPUTED_VALUE"""),"Trinidad and Tobago")</f>
        <v>Trinidad and Tobago</v>
      </c>
      <c r="D16111">
        <f>IFERROR(__xludf.DUMMYFUNCTION("""COMPUTED_VALUE"""),1950.0)</f>
        <v>1950</v>
      </c>
      <c r="E16111">
        <f>IFERROR(__xludf.DUMMYFUNCTION("""COMPUTED_VALUE"""),645635.0)</f>
        <v>645635</v>
      </c>
    </row>
    <row r="16112">
      <c r="A16112" t="str">
        <f t="shared" si="1"/>
        <v>tto#1951</v>
      </c>
      <c r="B16112" t="str">
        <f>IFERROR(__xludf.DUMMYFUNCTION("""COMPUTED_VALUE"""),"tto")</f>
        <v>tto</v>
      </c>
      <c r="C16112" t="str">
        <f>IFERROR(__xludf.DUMMYFUNCTION("""COMPUTED_VALUE"""),"Trinidad and Tobago")</f>
        <v>Trinidad and Tobago</v>
      </c>
      <c r="D16112">
        <f>IFERROR(__xludf.DUMMYFUNCTION("""COMPUTED_VALUE"""),1951.0)</f>
        <v>1951</v>
      </c>
      <c r="E16112">
        <f>IFERROR(__xludf.DUMMYFUNCTION("""COMPUTED_VALUE"""),658833.0)</f>
        <v>658833</v>
      </c>
    </row>
    <row r="16113">
      <c r="A16113" t="str">
        <f t="shared" si="1"/>
        <v>tto#1952</v>
      </c>
      <c r="B16113" t="str">
        <f>IFERROR(__xludf.DUMMYFUNCTION("""COMPUTED_VALUE"""),"tto")</f>
        <v>tto</v>
      </c>
      <c r="C16113" t="str">
        <f>IFERROR(__xludf.DUMMYFUNCTION("""COMPUTED_VALUE"""),"Trinidad and Tobago")</f>
        <v>Trinidad and Tobago</v>
      </c>
      <c r="D16113">
        <f>IFERROR(__xludf.DUMMYFUNCTION("""COMPUTED_VALUE"""),1952.0)</f>
        <v>1952</v>
      </c>
      <c r="E16113">
        <f>IFERROR(__xludf.DUMMYFUNCTION("""COMPUTED_VALUE"""),675741.0)</f>
        <v>675741</v>
      </c>
    </row>
    <row r="16114">
      <c r="A16114" t="str">
        <f t="shared" si="1"/>
        <v>tto#1953</v>
      </c>
      <c r="B16114" t="str">
        <f>IFERROR(__xludf.DUMMYFUNCTION("""COMPUTED_VALUE"""),"tto")</f>
        <v>tto</v>
      </c>
      <c r="C16114" t="str">
        <f>IFERROR(__xludf.DUMMYFUNCTION("""COMPUTED_VALUE"""),"Trinidad and Tobago")</f>
        <v>Trinidad and Tobago</v>
      </c>
      <c r="D16114">
        <f>IFERROR(__xludf.DUMMYFUNCTION("""COMPUTED_VALUE"""),1953.0)</f>
        <v>1953</v>
      </c>
      <c r="E16114">
        <f>IFERROR(__xludf.DUMMYFUNCTION("""COMPUTED_VALUE"""),695465.0)</f>
        <v>695465</v>
      </c>
    </row>
    <row r="16115">
      <c r="A16115" t="str">
        <f t="shared" si="1"/>
        <v>tto#1954</v>
      </c>
      <c r="B16115" t="str">
        <f>IFERROR(__xludf.DUMMYFUNCTION("""COMPUTED_VALUE"""),"tto")</f>
        <v>tto</v>
      </c>
      <c r="C16115" t="str">
        <f>IFERROR(__xludf.DUMMYFUNCTION("""COMPUTED_VALUE"""),"Trinidad and Tobago")</f>
        <v>Trinidad and Tobago</v>
      </c>
      <c r="D16115">
        <f>IFERROR(__xludf.DUMMYFUNCTION("""COMPUTED_VALUE"""),1954.0)</f>
        <v>1954</v>
      </c>
      <c r="E16115">
        <f>IFERROR(__xludf.DUMMYFUNCTION("""COMPUTED_VALUE"""),717156.0)</f>
        <v>717156</v>
      </c>
    </row>
    <row r="16116">
      <c r="A16116" t="str">
        <f t="shared" si="1"/>
        <v>tto#1955</v>
      </c>
      <c r="B16116" t="str">
        <f>IFERROR(__xludf.DUMMYFUNCTION("""COMPUTED_VALUE"""),"tto")</f>
        <v>tto</v>
      </c>
      <c r="C16116" t="str">
        <f>IFERROR(__xludf.DUMMYFUNCTION("""COMPUTED_VALUE"""),"Trinidad and Tobago")</f>
        <v>Trinidad and Tobago</v>
      </c>
      <c r="D16116">
        <f>IFERROR(__xludf.DUMMYFUNCTION("""COMPUTED_VALUE"""),1955.0)</f>
        <v>1955</v>
      </c>
      <c r="E16116">
        <f>IFERROR(__xludf.DUMMYFUNCTION("""COMPUTED_VALUE"""),740035.0)</f>
        <v>740035</v>
      </c>
    </row>
    <row r="16117">
      <c r="A16117" t="str">
        <f t="shared" si="1"/>
        <v>tto#1956</v>
      </c>
      <c r="B16117" t="str">
        <f>IFERROR(__xludf.DUMMYFUNCTION("""COMPUTED_VALUE"""),"tto")</f>
        <v>tto</v>
      </c>
      <c r="C16117" t="str">
        <f>IFERROR(__xludf.DUMMYFUNCTION("""COMPUTED_VALUE"""),"Trinidad and Tobago")</f>
        <v>Trinidad and Tobago</v>
      </c>
      <c r="D16117">
        <f>IFERROR(__xludf.DUMMYFUNCTION("""COMPUTED_VALUE"""),1956.0)</f>
        <v>1956</v>
      </c>
      <c r="E16117">
        <f>IFERROR(__xludf.DUMMYFUNCTION("""COMPUTED_VALUE"""),763354.0)</f>
        <v>763354</v>
      </c>
    </row>
    <row r="16118">
      <c r="A16118" t="str">
        <f t="shared" si="1"/>
        <v>tto#1957</v>
      </c>
      <c r="B16118" t="str">
        <f>IFERROR(__xludf.DUMMYFUNCTION("""COMPUTED_VALUE"""),"tto")</f>
        <v>tto</v>
      </c>
      <c r="C16118" t="str">
        <f>IFERROR(__xludf.DUMMYFUNCTION("""COMPUTED_VALUE"""),"Trinidad and Tobago")</f>
        <v>Trinidad and Tobago</v>
      </c>
      <c r="D16118">
        <f>IFERROR(__xludf.DUMMYFUNCTION("""COMPUTED_VALUE"""),1957.0)</f>
        <v>1957</v>
      </c>
      <c r="E16118">
        <f>IFERROR(__xludf.DUMMYFUNCTION("""COMPUTED_VALUE"""),786433.0)</f>
        <v>786433</v>
      </c>
    </row>
    <row r="16119">
      <c r="A16119" t="str">
        <f t="shared" si="1"/>
        <v>tto#1958</v>
      </c>
      <c r="B16119" t="str">
        <f>IFERROR(__xludf.DUMMYFUNCTION("""COMPUTED_VALUE"""),"tto")</f>
        <v>tto</v>
      </c>
      <c r="C16119" t="str">
        <f>IFERROR(__xludf.DUMMYFUNCTION("""COMPUTED_VALUE"""),"Trinidad and Tobago")</f>
        <v>Trinidad and Tobago</v>
      </c>
      <c r="D16119">
        <f>IFERROR(__xludf.DUMMYFUNCTION("""COMPUTED_VALUE"""),1958.0)</f>
        <v>1958</v>
      </c>
      <c r="E16119">
        <f>IFERROR(__xludf.DUMMYFUNCTION("""COMPUTED_VALUE"""),808663.0)</f>
        <v>808663</v>
      </c>
    </row>
    <row r="16120">
      <c r="A16120" t="str">
        <f t="shared" si="1"/>
        <v>tto#1959</v>
      </c>
      <c r="B16120" t="str">
        <f>IFERROR(__xludf.DUMMYFUNCTION("""COMPUTED_VALUE"""),"tto")</f>
        <v>tto</v>
      </c>
      <c r="C16120" t="str">
        <f>IFERROR(__xludf.DUMMYFUNCTION("""COMPUTED_VALUE"""),"Trinidad and Tobago")</f>
        <v>Trinidad and Tobago</v>
      </c>
      <c r="D16120">
        <f>IFERROR(__xludf.DUMMYFUNCTION("""COMPUTED_VALUE"""),1959.0)</f>
        <v>1959</v>
      </c>
      <c r="E16120">
        <f>IFERROR(__xludf.DUMMYFUNCTION("""COMPUTED_VALUE"""),829489.0)</f>
        <v>829489</v>
      </c>
    </row>
    <row r="16121">
      <c r="A16121" t="str">
        <f t="shared" si="1"/>
        <v>tto#1960</v>
      </c>
      <c r="B16121" t="str">
        <f>IFERROR(__xludf.DUMMYFUNCTION("""COMPUTED_VALUE"""),"tto")</f>
        <v>tto</v>
      </c>
      <c r="C16121" t="str">
        <f>IFERROR(__xludf.DUMMYFUNCTION("""COMPUTED_VALUE"""),"Trinidad and Tobago")</f>
        <v>Trinidad and Tobago</v>
      </c>
      <c r="D16121">
        <f>IFERROR(__xludf.DUMMYFUNCTION("""COMPUTED_VALUE"""),1960.0)</f>
        <v>1960</v>
      </c>
      <c r="E16121">
        <f>IFERROR(__xludf.DUMMYFUNCTION("""COMPUTED_VALUE"""),848479.0)</f>
        <v>848479</v>
      </c>
    </row>
    <row r="16122">
      <c r="A16122" t="str">
        <f t="shared" si="1"/>
        <v>tto#1961</v>
      </c>
      <c r="B16122" t="str">
        <f>IFERROR(__xludf.DUMMYFUNCTION("""COMPUTED_VALUE"""),"tto")</f>
        <v>tto</v>
      </c>
      <c r="C16122" t="str">
        <f>IFERROR(__xludf.DUMMYFUNCTION("""COMPUTED_VALUE"""),"Trinidad and Tobago")</f>
        <v>Trinidad and Tobago</v>
      </c>
      <c r="D16122">
        <f>IFERROR(__xludf.DUMMYFUNCTION("""COMPUTED_VALUE"""),1961.0)</f>
        <v>1961</v>
      </c>
      <c r="E16122">
        <f>IFERROR(__xludf.DUMMYFUNCTION("""COMPUTED_VALUE"""),865360.0)</f>
        <v>865360</v>
      </c>
    </row>
    <row r="16123">
      <c r="A16123" t="str">
        <f t="shared" si="1"/>
        <v>tto#1962</v>
      </c>
      <c r="B16123" t="str">
        <f>IFERROR(__xludf.DUMMYFUNCTION("""COMPUTED_VALUE"""),"tto")</f>
        <v>tto</v>
      </c>
      <c r="C16123" t="str">
        <f>IFERROR(__xludf.DUMMYFUNCTION("""COMPUTED_VALUE"""),"Trinidad and Tobago")</f>
        <v>Trinidad and Tobago</v>
      </c>
      <c r="D16123">
        <f>IFERROR(__xludf.DUMMYFUNCTION("""COMPUTED_VALUE"""),1962.0)</f>
        <v>1962</v>
      </c>
      <c r="E16123">
        <f>IFERROR(__xludf.DUMMYFUNCTION("""COMPUTED_VALUE"""),880023.0)</f>
        <v>880023</v>
      </c>
    </row>
    <row r="16124">
      <c r="A16124" t="str">
        <f t="shared" si="1"/>
        <v>tto#1963</v>
      </c>
      <c r="B16124" t="str">
        <f>IFERROR(__xludf.DUMMYFUNCTION("""COMPUTED_VALUE"""),"tto")</f>
        <v>tto</v>
      </c>
      <c r="C16124" t="str">
        <f>IFERROR(__xludf.DUMMYFUNCTION("""COMPUTED_VALUE"""),"Trinidad and Tobago")</f>
        <v>Trinidad and Tobago</v>
      </c>
      <c r="D16124">
        <f>IFERROR(__xludf.DUMMYFUNCTION("""COMPUTED_VALUE"""),1963.0)</f>
        <v>1963</v>
      </c>
      <c r="E16124">
        <f>IFERROR(__xludf.DUMMYFUNCTION("""COMPUTED_VALUE"""),892569.0)</f>
        <v>892569</v>
      </c>
    </row>
    <row r="16125">
      <c r="A16125" t="str">
        <f t="shared" si="1"/>
        <v>tto#1964</v>
      </c>
      <c r="B16125" t="str">
        <f>IFERROR(__xludf.DUMMYFUNCTION("""COMPUTED_VALUE"""),"tto")</f>
        <v>tto</v>
      </c>
      <c r="C16125" t="str">
        <f>IFERROR(__xludf.DUMMYFUNCTION("""COMPUTED_VALUE"""),"Trinidad and Tobago")</f>
        <v>Trinidad and Tobago</v>
      </c>
      <c r="D16125">
        <f>IFERROR(__xludf.DUMMYFUNCTION("""COMPUTED_VALUE"""),1964.0)</f>
        <v>1964</v>
      </c>
      <c r="E16125">
        <f>IFERROR(__xludf.DUMMYFUNCTION("""COMPUTED_VALUE"""),903275.0)</f>
        <v>903275</v>
      </c>
    </row>
    <row r="16126">
      <c r="A16126" t="str">
        <f t="shared" si="1"/>
        <v>tto#1965</v>
      </c>
      <c r="B16126" t="str">
        <f>IFERROR(__xludf.DUMMYFUNCTION("""COMPUTED_VALUE"""),"tto")</f>
        <v>tto</v>
      </c>
      <c r="C16126" t="str">
        <f>IFERROR(__xludf.DUMMYFUNCTION("""COMPUTED_VALUE"""),"Trinidad and Tobago")</f>
        <v>Trinidad and Tobago</v>
      </c>
      <c r="D16126">
        <f>IFERROR(__xludf.DUMMYFUNCTION("""COMPUTED_VALUE"""),1965.0)</f>
        <v>1965</v>
      </c>
      <c r="E16126">
        <f>IFERROR(__xludf.DUMMYFUNCTION("""COMPUTED_VALUE"""),912417.0)</f>
        <v>912417</v>
      </c>
    </row>
    <row r="16127">
      <c r="A16127" t="str">
        <f t="shared" si="1"/>
        <v>tto#1966</v>
      </c>
      <c r="B16127" t="str">
        <f>IFERROR(__xludf.DUMMYFUNCTION("""COMPUTED_VALUE"""),"tto")</f>
        <v>tto</v>
      </c>
      <c r="C16127" t="str">
        <f>IFERROR(__xludf.DUMMYFUNCTION("""COMPUTED_VALUE"""),"Trinidad and Tobago")</f>
        <v>Trinidad and Tobago</v>
      </c>
      <c r="D16127">
        <f>IFERROR(__xludf.DUMMYFUNCTION("""COMPUTED_VALUE"""),1966.0)</f>
        <v>1966</v>
      </c>
      <c r="E16127">
        <f>IFERROR(__xludf.DUMMYFUNCTION("""COMPUTED_VALUE"""),919903.0)</f>
        <v>919903</v>
      </c>
    </row>
    <row r="16128">
      <c r="A16128" t="str">
        <f t="shared" si="1"/>
        <v>tto#1967</v>
      </c>
      <c r="B16128" t="str">
        <f>IFERROR(__xludf.DUMMYFUNCTION("""COMPUTED_VALUE"""),"tto")</f>
        <v>tto</v>
      </c>
      <c r="C16128" t="str">
        <f>IFERROR(__xludf.DUMMYFUNCTION("""COMPUTED_VALUE"""),"Trinidad and Tobago")</f>
        <v>Trinidad and Tobago</v>
      </c>
      <c r="D16128">
        <f>IFERROR(__xludf.DUMMYFUNCTION("""COMPUTED_VALUE"""),1967.0)</f>
        <v>1967</v>
      </c>
      <c r="E16128">
        <f>IFERROR(__xludf.DUMMYFUNCTION("""COMPUTED_VALUE"""),925909.0)</f>
        <v>925909</v>
      </c>
    </row>
    <row r="16129">
      <c r="A16129" t="str">
        <f t="shared" si="1"/>
        <v>tto#1968</v>
      </c>
      <c r="B16129" t="str">
        <f>IFERROR(__xludf.DUMMYFUNCTION("""COMPUTED_VALUE"""),"tto")</f>
        <v>tto</v>
      </c>
      <c r="C16129" t="str">
        <f>IFERROR(__xludf.DUMMYFUNCTION("""COMPUTED_VALUE"""),"Trinidad and Tobago")</f>
        <v>Trinidad and Tobago</v>
      </c>
      <c r="D16129">
        <f>IFERROR(__xludf.DUMMYFUNCTION("""COMPUTED_VALUE"""),1968.0)</f>
        <v>1968</v>
      </c>
      <c r="E16129">
        <f>IFERROR(__xludf.DUMMYFUNCTION("""COMPUTED_VALUE"""),931468.0)</f>
        <v>931468</v>
      </c>
    </row>
    <row r="16130">
      <c r="A16130" t="str">
        <f t="shared" si="1"/>
        <v>tto#1969</v>
      </c>
      <c r="B16130" t="str">
        <f>IFERROR(__xludf.DUMMYFUNCTION("""COMPUTED_VALUE"""),"tto")</f>
        <v>tto</v>
      </c>
      <c r="C16130" t="str">
        <f>IFERROR(__xludf.DUMMYFUNCTION("""COMPUTED_VALUE"""),"Trinidad and Tobago")</f>
        <v>Trinidad and Tobago</v>
      </c>
      <c r="D16130">
        <f>IFERROR(__xludf.DUMMYFUNCTION("""COMPUTED_VALUE"""),1969.0)</f>
        <v>1969</v>
      </c>
      <c r="E16130">
        <f>IFERROR(__xludf.DUMMYFUNCTION("""COMPUTED_VALUE"""),937848.0)</f>
        <v>937848</v>
      </c>
    </row>
    <row r="16131">
      <c r="A16131" t="str">
        <f t="shared" si="1"/>
        <v>tto#1970</v>
      </c>
      <c r="B16131" t="str">
        <f>IFERROR(__xludf.DUMMYFUNCTION("""COMPUTED_VALUE"""),"tto")</f>
        <v>tto</v>
      </c>
      <c r="C16131" t="str">
        <f>IFERROR(__xludf.DUMMYFUNCTION("""COMPUTED_VALUE"""),"Trinidad and Tobago")</f>
        <v>Trinidad and Tobago</v>
      </c>
      <c r="D16131">
        <f>IFERROR(__xludf.DUMMYFUNCTION("""COMPUTED_VALUE"""),1970.0)</f>
        <v>1970</v>
      </c>
      <c r="E16131">
        <f>IFERROR(__xludf.DUMMYFUNCTION("""COMPUTED_VALUE"""),945993.0)</f>
        <v>945993</v>
      </c>
    </row>
    <row r="16132">
      <c r="A16132" t="str">
        <f t="shared" si="1"/>
        <v>tto#1971</v>
      </c>
      <c r="B16132" t="str">
        <f>IFERROR(__xludf.DUMMYFUNCTION("""COMPUTED_VALUE"""),"tto")</f>
        <v>tto</v>
      </c>
      <c r="C16132" t="str">
        <f>IFERROR(__xludf.DUMMYFUNCTION("""COMPUTED_VALUE"""),"Trinidad and Tobago")</f>
        <v>Trinidad and Tobago</v>
      </c>
      <c r="D16132">
        <f>IFERROR(__xludf.DUMMYFUNCTION("""COMPUTED_VALUE"""),1971.0)</f>
        <v>1971</v>
      </c>
      <c r="E16132">
        <f>IFERROR(__xludf.DUMMYFUNCTION("""COMPUTED_VALUE"""),956366.0)</f>
        <v>956366</v>
      </c>
    </row>
    <row r="16133">
      <c r="A16133" t="str">
        <f t="shared" si="1"/>
        <v>tto#1972</v>
      </c>
      <c r="B16133" t="str">
        <f>IFERROR(__xludf.DUMMYFUNCTION("""COMPUTED_VALUE"""),"tto")</f>
        <v>tto</v>
      </c>
      <c r="C16133" t="str">
        <f>IFERROR(__xludf.DUMMYFUNCTION("""COMPUTED_VALUE"""),"Trinidad and Tobago")</f>
        <v>Trinidad and Tobago</v>
      </c>
      <c r="D16133">
        <f>IFERROR(__xludf.DUMMYFUNCTION("""COMPUTED_VALUE"""),1972.0)</f>
        <v>1972</v>
      </c>
      <c r="E16133">
        <f>IFERROR(__xludf.DUMMYFUNCTION("""COMPUTED_VALUE"""),968741.0)</f>
        <v>968741</v>
      </c>
    </row>
    <row r="16134">
      <c r="A16134" t="str">
        <f t="shared" si="1"/>
        <v>tto#1973</v>
      </c>
      <c r="B16134" t="str">
        <f>IFERROR(__xludf.DUMMYFUNCTION("""COMPUTED_VALUE"""),"tto")</f>
        <v>tto</v>
      </c>
      <c r="C16134" t="str">
        <f>IFERROR(__xludf.DUMMYFUNCTION("""COMPUTED_VALUE"""),"Trinidad and Tobago")</f>
        <v>Trinidad and Tobago</v>
      </c>
      <c r="D16134">
        <f>IFERROR(__xludf.DUMMYFUNCTION("""COMPUTED_VALUE"""),1973.0)</f>
        <v>1973</v>
      </c>
      <c r="E16134">
        <f>IFERROR(__xludf.DUMMYFUNCTION("""COMPUTED_VALUE"""),982592.0)</f>
        <v>982592</v>
      </c>
    </row>
    <row r="16135">
      <c r="A16135" t="str">
        <f t="shared" si="1"/>
        <v>tto#1974</v>
      </c>
      <c r="B16135" t="str">
        <f>IFERROR(__xludf.DUMMYFUNCTION("""COMPUTED_VALUE"""),"tto")</f>
        <v>tto</v>
      </c>
      <c r="C16135" t="str">
        <f>IFERROR(__xludf.DUMMYFUNCTION("""COMPUTED_VALUE"""),"Trinidad and Tobago")</f>
        <v>Trinidad and Tobago</v>
      </c>
      <c r="D16135">
        <f>IFERROR(__xludf.DUMMYFUNCTION("""COMPUTED_VALUE"""),1974.0)</f>
        <v>1974</v>
      </c>
      <c r="E16135">
        <f>IFERROR(__xludf.DUMMYFUNCTION("""COMPUTED_VALUE"""),997053.0)</f>
        <v>997053</v>
      </c>
    </row>
    <row r="16136">
      <c r="A16136" t="str">
        <f t="shared" si="1"/>
        <v>tto#1975</v>
      </c>
      <c r="B16136" t="str">
        <f>IFERROR(__xludf.DUMMYFUNCTION("""COMPUTED_VALUE"""),"tto")</f>
        <v>tto</v>
      </c>
      <c r="C16136" t="str">
        <f>IFERROR(__xludf.DUMMYFUNCTION("""COMPUTED_VALUE"""),"Trinidad and Tobago")</f>
        <v>Trinidad and Tobago</v>
      </c>
      <c r="D16136">
        <f>IFERROR(__xludf.DUMMYFUNCTION("""COMPUTED_VALUE"""),1975.0)</f>
        <v>1975</v>
      </c>
      <c r="E16136">
        <f>IFERROR(__xludf.DUMMYFUNCTION("""COMPUTED_VALUE"""),1011490.0)</f>
        <v>1011490</v>
      </c>
    </row>
    <row r="16137">
      <c r="A16137" t="str">
        <f t="shared" si="1"/>
        <v>tto#1976</v>
      </c>
      <c r="B16137" t="str">
        <f>IFERROR(__xludf.DUMMYFUNCTION("""COMPUTED_VALUE"""),"tto")</f>
        <v>tto</v>
      </c>
      <c r="C16137" t="str">
        <f>IFERROR(__xludf.DUMMYFUNCTION("""COMPUTED_VALUE"""),"Trinidad and Tobago")</f>
        <v>Trinidad and Tobago</v>
      </c>
      <c r="D16137">
        <f>IFERROR(__xludf.DUMMYFUNCTION("""COMPUTED_VALUE"""),1976.0)</f>
        <v>1976</v>
      </c>
      <c r="E16137">
        <f>IFERROR(__xludf.DUMMYFUNCTION("""COMPUTED_VALUE"""),1025658.0)</f>
        <v>1025658</v>
      </c>
    </row>
    <row r="16138">
      <c r="A16138" t="str">
        <f t="shared" si="1"/>
        <v>tto#1977</v>
      </c>
      <c r="B16138" t="str">
        <f>IFERROR(__xludf.DUMMYFUNCTION("""COMPUTED_VALUE"""),"tto")</f>
        <v>tto</v>
      </c>
      <c r="C16138" t="str">
        <f>IFERROR(__xludf.DUMMYFUNCTION("""COMPUTED_VALUE"""),"Trinidad and Tobago")</f>
        <v>Trinidad and Tobago</v>
      </c>
      <c r="D16138">
        <f>IFERROR(__xludf.DUMMYFUNCTION("""COMPUTED_VALUE"""),1977.0)</f>
        <v>1977</v>
      </c>
      <c r="E16138">
        <f>IFERROR(__xludf.DUMMYFUNCTION("""COMPUTED_VALUE"""),1039761.0)</f>
        <v>1039761</v>
      </c>
    </row>
    <row r="16139">
      <c r="A16139" t="str">
        <f t="shared" si="1"/>
        <v>tto#1978</v>
      </c>
      <c r="B16139" t="str">
        <f>IFERROR(__xludf.DUMMYFUNCTION("""COMPUTED_VALUE"""),"tto")</f>
        <v>tto</v>
      </c>
      <c r="C16139" t="str">
        <f>IFERROR(__xludf.DUMMYFUNCTION("""COMPUTED_VALUE"""),"Trinidad and Tobago")</f>
        <v>Trinidad and Tobago</v>
      </c>
      <c r="D16139">
        <f>IFERROR(__xludf.DUMMYFUNCTION("""COMPUTED_VALUE"""),1978.0)</f>
        <v>1978</v>
      </c>
      <c r="E16139">
        <f>IFERROR(__xludf.DUMMYFUNCTION("""COMPUTED_VALUE"""),1054116.0)</f>
        <v>1054116</v>
      </c>
    </row>
    <row r="16140">
      <c r="A16140" t="str">
        <f t="shared" si="1"/>
        <v>tto#1979</v>
      </c>
      <c r="B16140" t="str">
        <f>IFERROR(__xludf.DUMMYFUNCTION("""COMPUTED_VALUE"""),"tto")</f>
        <v>tto</v>
      </c>
      <c r="C16140" t="str">
        <f>IFERROR(__xludf.DUMMYFUNCTION("""COMPUTED_VALUE"""),"Trinidad and Tobago")</f>
        <v>Trinidad and Tobago</v>
      </c>
      <c r="D16140">
        <f>IFERROR(__xludf.DUMMYFUNCTION("""COMPUTED_VALUE"""),1979.0)</f>
        <v>1979</v>
      </c>
      <c r="E16140">
        <f>IFERROR(__xludf.DUMMYFUNCTION("""COMPUTED_VALUE"""),1069202.0)</f>
        <v>1069202</v>
      </c>
    </row>
    <row r="16141">
      <c r="A16141" t="str">
        <f t="shared" si="1"/>
        <v>tto#1980</v>
      </c>
      <c r="B16141" t="str">
        <f>IFERROR(__xludf.DUMMYFUNCTION("""COMPUTED_VALUE"""),"tto")</f>
        <v>tto</v>
      </c>
      <c r="C16141" t="str">
        <f>IFERROR(__xludf.DUMMYFUNCTION("""COMPUTED_VALUE"""),"Trinidad and Tobago")</f>
        <v>Trinidad and Tobago</v>
      </c>
      <c r="D16141">
        <f>IFERROR(__xludf.DUMMYFUNCTION("""COMPUTED_VALUE"""),1980.0)</f>
        <v>1980</v>
      </c>
      <c r="E16141">
        <f>IFERROR(__xludf.DUMMYFUNCTION("""COMPUTED_VALUE"""),1085308.0)</f>
        <v>1085308</v>
      </c>
    </row>
    <row r="16142">
      <c r="A16142" t="str">
        <f t="shared" si="1"/>
        <v>tto#1981</v>
      </c>
      <c r="B16142" t="str">
        <f>IFERROR(__xludf.DUMMYFUNCTION("""COMPUTED_VALUE"""),"tto")</f>
        <v>tto</v>
      </c>
      <c r="C16142" t="str">
        <f>IFERROR(__xludf.DUMMYFUNCTION("""COMPUTED_VALUE"""),"Trinidad and Tobago")</f>
        <v>Trinidad and Tobago</v>
      </c>
      <c r="D16142">
        <f>IFERROR(__xludf.DUMMYFUNCTION("""COMPUTED_VALUE"""),1981.0)</f>
        <v>1981</v>
      </c>
      <c r="E16142">
        <f>IFERROR(__xludf.DUMMYFUNCTION("""COMPUTED_VALUE"""),1102556.0)</f>
        <v>1102556</v>
      </c>
    </row>
    <row r="16143">
      <c r="A16143" t="str">
        <f t="shared" si="1"/>
        <v>tto#1982</v>
      </c>
      <c r="B16143" t="str">
        <f>IFERROR(__xludf.DUMMYFUNCTION("""COMPUTED_VALUE"""),"tto")</f>
        <v>tto</v>
      </c>
      <c r="C16143" t="str">
        <f>IFERROR(__xludf.DUMMYFUNCTION("""COMPUTED_VALUE"""),"Trinidad and Tobago")</f>
        <v>Trinidad and Tobago</v>
      </c>
      <c r="D16143">
        <f>IFERROR(__xludf.DUMMYFUNCTION("""COMPUTED_VALUE"""),1982.0)</f>
        <v>1982</v>
      </c>
      <c r="E16143">
        <f>IFERROR(__xludf.DUMMYFUNCTION("""COMPUTED_VALUE"""),1120611.0)</f>
        <v>1120611</v>
      </c>
    </row>
    <row r="16144">
      <c r="A16144" t="str">
        <f t="shared" si="1"/>
        <v>tto#1983</v>
      </c>
      <c r="B16144" t="str">
        <f>IFERROR(__xludf.DUMMYFUNCTION("""COMPUTED_VALUE"""),"tto")</f>
        <v>tto</v>
      </c>
      <c r="C16144" t="str">
        <f>IFERROR(__xludf.DUMMYFUNCTION("""COMPUTED_VALUE"""),"Trinidad and Tobago")</f>
        <v>Trinidad and Tobago</v>
      </c>
      <c r="D16144">
        <f>IFERROR(__xludf.DUMMYFUNCTION("""COMPUTED_VALUE"""),1983.0)</f>
        <v>1983</v>
      </c>
      <c r="E16144">
        <f>IFERROR(__xludf.DUMMYFUNCTION("""COMPUTED_VALUE"""),1138676.0)</f>
        <v>1138676</v>
      </c>
    </row>
    <row r="16145">
      <c r="A16145" t="str">
        <f t="shared" si="1"/>
        <v>tto#1984</v>
      </c>
      <c r="B16145" t="str">
        <f>IFERROR(__xludf.DUMMYFUNCTION("""COMPUTED_VALUE"""),"tto")</f>
        <v>tto</v>
      </c>
      <c r="C16145" t="str">
        <f>IFERROR(__xludf.DUMMYFUNCTION("""COMPUTED_VALUE"""),"Trinidad and Tobago")</f>
        <v>Trinidad and Tobago</v>
      </c>
      <c r="D16145">
        <f>IFERROR(__xludf.DUMMYFUNCTION("""COMPUTED_VALUE"""),1984.0)</f>
        <v>1984</v>
      </c>
      <c r="E16145">
        <f>IFERROR(__xludf.DUMMYFUNCTION("""COMPUTED_VALUE"""),1155695.0)</f>
        <v>1155695</v>
      </c>
    </row>
    <row r="16146">
      <c r="A16146" t="str">
        <f t="shared" si="1"/>
        <v>tto#1985</v>
      </c>
      <c r="B16146" t="str">
        <f>IFERROR(__xludf.DUMMYFUNCTION("""COMPUTED_VALUE"""),"tto")</f>
        <v>tto</v>
      </c>
      <c r="C16146" t="str">
        <f>IFERROR(__xludf.DUMMYFUNCTION("""COMPUTED_VALUE"""),"Trinidad and Tobago")</f>
        <v>Trinidad and Tobago</v>
      </c>
      <c r="D16146">
        <f>IFERROR(__xludf.DUMMYFUNCTION("""COMPUTED_VALUE"""),1985.0)</f>
        <v>1985</v>
      </c>
      <c r="E16146">
        <f>IFERROR(__xludf.DUMMYFUNCTION("""COMPUTED_VALUE"""),1170928.0)</f>
        <v>1170928</v>
      </c>
    </row>
    <row r="16147">
      <c r="A16147" t="str">
        <f t="shared" si="1"/>
        <v>tto#1986</v>
      </c>
      <c r="B16147" t="str">
        <f>IFERROR(__xludf.DUMMYFUNCTION("""COMPUTED_VALUE"""),"tto")</f>
        <v>tto</v>
      </c>
      <c r="C16147" t="str">
        <f>IFERROR(__xludf.DUMMYFUNCTION("""COMPUTED_VALUE"""),"Trinidad and Tobago")</f>
        <v>Trinidad and Tobago</v>
      </c>
      <c r="D16147">
        <f>IFERROR(__xludf.DUMMYFUNCTION("""COMPUTED_VALUE"""),1986.0)</f>
        <v>1986</v>
      </c>
      <c r="E16147">
        <f>IFERROR(__xludf.DUMMYFUNCTION("""COMPUTED_VALUE"""),1184051.0)</f>
        <v>1184051</v>
      </c>
    </row>
    <row r="16148">
      <c r="A16148" t="str">
        <f t="shared" si="1"/>
        <v>tto#1987</v>
      </c>
      <c r="B16148" t="str">
        <f>IFERROR(__xludf.DUMMYFUNCTION("""COMPUTED_VALUE"""),"tto")</f>
        <v>tto</v>
      </c>
      <c r="C16148" t="str">
        <f>IFERROR(__xludf.DUMMYFUNCTION("""COMPUTED_VALUE"""),"Trinidad and Tobago")</f>
        <v>Trinidad and Tobago</v>
      </c>
      <c r="D16148">
        <f>IFERROR(__xludf.DUMMYFUNCTION("""COMPUTED_VALUE"""),1987.0)</f>
        <v>1987</v>
      </c>
      <c r="E16148">
        <f>IFERROR(__xludf.DUMMYFUNCTION("""COMPUTED_VALUE"""),1195247.0)</f>
        <v>1195247</v>
      </c>
    </row>
    <row r="16149">
      <c r="A16149" t="str">
        <f t="shared" si="1"/>
        <v>tto#1988</v>
      </c>
      <c r="B16149" t="str">
        <f>IFERROR(__xludf.DUMMYFUNCTION("""COMPUTED_VALUE"""),"tto")</f>
        <v>tto</v>
      </c>
      <c r="C16149" t="str">
        <f>IFERROR(__xludf.DUMMYFUNCTION("""COMPUTED_VALUE"""),"Trinidad and Tobago")</f>
        <v>Trinidad and Tobago</v>
      </c>
      <c r="D16149">
        <f>IFERROR(__xludf.DUMMYFUNCTION("""COMPUTED_VALUE"""),1988.0)</f>
        <v>1988</v>
      </c>
      <c r="E16149">
        <f>IFERROR(__xludf.DUMMYFUNCTION("""COMPUTED_VALUE"""),1204893.0)</f>
        <v>1204893</v>
      </c>
    </row>
    <row r="16150">
      <c r="A16150" t="str">
        <f t="shared" si="1"/>
        <v>tto#1989</v>
      </c>
      <c r="B16150" t="str">
        <f>IFERROR(__xludf.DUMMYFUNCTION("""COMPUTED_VALUE"""),"tto")</f>
        <v>tto</v>
      </c>
      <c r="C16150" t="str">
        <f>IFERROR(__xludf.DUMMYFUNCTION("""COMPUTED_VALUE"""),"Trinidad and Tobago")</f>
        <v>Trinidad and Tobago</v>
      </c>
      <c r="D16150">
        <f>IFERROR(__xludf.DUMMYFUNCTION("""COMPUTED_VALUE"""),1989.0)</f>
        <v>1989</v>
      </c>
      <c r="E16150">
        <f>IFERROR(__xludf.DUMMYFUNCTION("""COMPUTED_VALUE"""),1213624.0)</f>
        <v>1213624</v>
      </c>
    </row>
    <row r="16151">
      <c r="A16151" t="str">
        <f t="shared" si="1"/>
        <v>tto#1990</v>
      </c>
      <c r="B16151" t="str">
        <f>IFERROR(__xludf.DUMMYFUNCTION("""COMPUTED_VALUE"""),"tto")</f>
        <v>tto</v>
      </c>
      <c r="C16151" t="str">
        <f>IFERROR(__xludf.DUMMYFUNCTION("""COMPUTED_VALUE"""),"Trinidad and Tobago")</f>
        <v>Trinidad and Tobago</v>
      </c>
      <c r="D16151">
        <f>IFERROR(__xludf.DUMMYFUNCTION("""COMPUTED_VALUE"""),1990.0)</f>
        <v>1990</v>
      </c>
      <c r="E16151">
        <f>IFERROR(__xludf.DUMMYFUNCTION("""COMPUTED_VALUE"""),1221900.0)</f>
        <v>1221900</v>
      </c>
    </row>
    <row r="16152">
      <c r="A16152" t="str">
        <f t="shared" si="1"/>
        <v>tto#1991</v>
      </c>
      <c r="B16152" t="str">
        <f>IFERROR(__xludf.DUMMYFUNCTION("""COMPUTED_VALUE"""),"tto")</f>
        <v>tto</v>
      </c>
      <c r="C16152" t="str">
        <f>IFERROR(__xludf.DUMMYFUNCTION("""COMPUTED_VALUE"""),"Trinidad and Tobago")</f>
        <v>Trinidad and Tobago</v>
      </c>
      <c r="D16152">
        <f>IFERROR(__xludf.DUMMYFUNCTION("""COMPUTED_VALUE"""),1991.0)</f>
        <v>1991</v>
      </c>
      <c r="E16152">
        <f>IFERROR(__xludf.DUMMYFUNCTION("""COMPUTED_VALUE"""),1229907.0)</f>
        <v>1229907</v>
      </c>
    </row>
    <row r="16153">
      <c r="A16153" t="str">
        <f t="shared" si="1"/>
        <v>tto#1992</v>
      </c>
      <c r="B16153" t="str">
        <f>IFERROR(__xludf.DUMMYFUNCTION("""COMPUTED_VALUE"""),"tto")</f>
        <v>tto</v>
      </c>
      <c r="C16153" t="str">
        <f>IFERROR(__xludf.DUMMYFUNCTION("""COMPUTED_VALUE"""),"Trinidad and Tobago")</f>
        <v>Trinidad and Tobago</v>
      </c>
      <c r="D16153">
        <f>IFERROR(__xludf.DUMMYFUNCTION("""COMPUTED_VALUE"""),1992.0)</f>
        <v>1992</v>
      </c>
      <c r="E16153">
        <f>IFERROR(__xludf.DUMMYFUNCTION("""COMPUTED_VALUE"""),1237487.0)</f>
        <v>1237487</v>
      </c>
    </row>
    <row r="16154">
      <c r="A16154" t="str">
        <f t="shared" si="1"/>
        <v>tto#1993</v>
      </c>
      <c r="B16154" t="str">
        <f>IFERROR(__xludf.DUMMYFUNCTION("""COMPUTED_VALUE"""),"tto")</f>
        <v>tto</v>
      </c>
      <c r="C16154" t="str">
        <f>IFERROR(__xludf.DUMMYFUNCTION("""COMPUTED_VALUE"""),"Trinidad and Tobago")</f>
        <v>Trinidad and Tobago</v>
      </c>
      <c r="D16154">
        <f>IFERROR(__xludf.DUMMYFUNCTION("""COMPUTED_VALUE"""),1993.0)</f>
        <v>1993</v>
      </c>
      <c r="E16154">
        <f>IFERROR(__xludf.DUMMYFUNCTION("""COMPUTED_VALUE"""),1244407.0)</f>
        <v>1244407</v>
      </c>
    </row>
    <row r="16155">
      <c r="A16155" t="str">
        <f t="shared" si="1"/>
        <v>tto#1994</v>
      </c>
      <c r="B16155" t="str">
        <f>IFERROR(__xludf.DUMMYFUNCTION("""COMPUTED_VALUE"""),"tto")</f>
        <v>tto</v>
      </c>
      <c r="C16155" t="str">
        <f>IFERROR(__xludf.DUMMYFUNCTION("""COMPUTED_VALUE"""),"Trinidad and Tobago")</f>
        <v>Trinidad and Tobago</v>
      </c>
      <c r="D16155">
        <f>IFERROR(__xludf.DUMMYFUNCTION("""COMPUTED_VALUE"""),1994.0)</f>
        <v>1994</v>
      </c>
      <c r="E16155">
        <f>IFERROR(__xludf.DUMMYFUNCTION("""COMPUTED_VALUE"""),1250318.0)</f>
        <v>1250318</v>
      </c>
    </row>
    <row r="16156">
      <c r="A16156" t="str">
        <f t="shared" si="1"/>
        <v>tto#1995</v>
      </c>
      <c r="B16156" t="str">
        <f>IFERROR(__xludf.DUMMYFUNCTION("""COMPUTED_VALUE"""),"tto")</f>
        <v>tto</v>
      </c>
      <c r="C16156" t="str">
        <f>IFERROR(__xludf.DUMMYFUNCTION("""COMPUTED_VALUE"""),"Trinidad and Tobago")</f>
        <v>Trinidad and Tobago</v>
      </c>
      <c r="D16156">
        <f>IFERROR(__xludf.DUMMYFUNCTION("""COMPUTED_VALUE"""),1995.0)</f>
        <v>1995</v>
      </c>
      <c r="E16156">
        <f>IFERROR(__xludf.DUMMYFUNCTION("""COMPUTED_VALUE"""),1255001.0)</f>
        <v>1255001</v>
      </c>
    </row>
    <row r="16157">
      <c r="A16157" t="str">
        <f t="shared" si="1"/>
        <v>tto#1996</v>
      </c>
      <c r="B16157" t="str">
        <f>IFERROR(__xludf.DUMMYFUNCTION("""COMPUTED_VALUE"""),"tto")</f>
        <v>tto</v>
      </c>
      <c r="C16157" t="str">
        <f>IFERROR(__xludf.DUMMYFUNCTION("""COMPUTED_VALUE"""),"Trinidad and Tobago")</f>
        <v>Trinidad and Tobago</v>
      </c>
      <c r="D16157">
        <f>IFERROR(__xludf.DUMMYFUNCTION("""COMPUTED_VALUE"""),1996.0)</f>
        <v>1996</v>
      </c>
      <c r="E16157">
        <f>IFERROR(__xludf.DUMMYFUNCTION("""COMPUTED_VALUE"""),1258364.0)</f>
        <v>1258364</v>
      </c>
    </row>
    <row r="16158">
      <c r="A16158" t="str">
        <f t="shared" si="1"/>
        <v>tto#1997</v>
      </c>
      <c r="B16158" t="str">
        <f>IFERROR(__xludf.DUMMYFUNCTION("""COMPUTED_VALUE"""),"tto")</f>
        <v>tto</v>
      </c>
      <c r="C16158" t="str">
        <f>IFERROR(__xludf.DUMMYFUNCTION("""COMPUTED_VALUE"""),"Trinidad and Tobago")</f>
        <v>Trinidad and Tobago</v>
      </c>
      <c r="D16158">
        <f>IFERROR(__xludf.DUMMYFUNCTION("""COMPUTED_VALUE"""),1997.0)</f>
        <v>1997</v>
      </c>
      <c r="E16158">
        <f>IFERROR(__xludf.DUMMYFUNCTION("""COMPUTED_VALUE"""),1260678.0)</f>
        <v>1260678</v>
      </c>
    </row>
    <row r="16159">
      <c r="A16159" t="str">
        <f t="shared" si="1"/>
        <v>tto#1998</v>
      </c>
      <c r="B16159" t="str">
        <f>IFERROR(__xludf.DUMMYFUNCTION("""COMPUTED_VALUE"""),"tto")</f>
        <v>tto</v>
      </c>
      <c r="C16159" t="str">
        <f>IFERROR(__xludf.DUMMYFUNCTION("""COMPUTED_VALUE"""),"Trinidad and Tobago")</f>
        <v>Trinidad and Tobago</v>
      </c>
      <c r="D16159">
        <f>IFERROR(__xludf.DUMMYFUNCTION("""COMPUTED_VALUE"""),1998.0)</f>
        <v>1998</v>
      </c>
      <c r="E16159">
        <f>IFERROR(__xludf.DUMMYFUNCTION("""COMPUTED_VALUE"""),1262542.0)</f>
        <v>1262542</v>
      </c>
    </row>
    <row r="16160">
      <c r="A16160" t="str">
        <f t="shared" si="1"/>
        <v>tto#1999</v>
      </c>
      <c r="B16160" t="str">
        <f>IFERROR(__xludf.DUMMYFUNCTION("""COMPUTED_VALUE"""),"tto")</f>
        <v>tto</v>
      </c>
      <c r="C16160" t="str">
        <f>IFERROR(__xludf.DUMMYFUNCTION("""COMPUTED_VALUE"""),"Trinidad and Tobago")</f>
        <v>Trinidad and Tobago</v>
      </c>
      <c r="D16160">
        <f>IFERROR(__xludf.DUMMYFUNCTION("""COMPUTED_VALUE"""),1999.0)</f>
        <v>1999</v>
      </c>
      <c r="E16160">
        <f>IFERROR(__xludf.DUMMYFUNCTION("""COMPUTED_VALUE"""),1264775.0)</f>
        <v>1264775</v>
      </c>
    </row>
    <row r="16161">
      <c r="A16161" t="str">
        <f t="shared" si="1"/>
        <v>tto#2000</v>
      </c>
      <c r="B16161" t="str">
        <f>IFERROR(__xludf.DUMMYFUNCTION("""COMPUTED_VALUE"""),"tto")</f>
        <v>tto</v>
      </c>
      <c r="C16161" t="str">
        <f>IFERROR(__xludf.DUMMYFUNCTION("""COMPUTED_VALUE"""),"Trinidad and Tobago")</f>
        <v>Trinidad and Tobago</v>
      </c>
      <c r="D16161">
        <f>IFERROR(__xludf.DUMMYFUNCTION("""COMPUTED_VALUE"""),2000.0)</f>
        <v>2000</v>
      </c>
      <c r="E16161">
        <f>IFERROR(__xludf.DUMMYFUNCTION("""COMPUTED_VALUE"""),1267984.0)</f>
        <v>1267984</v>
      </c>
    </row>
    <row r="16162">
      <c r="A16162" t="str">
        <f t="shared" si="1"/>
        <v>tto#2001</v>
      </c>
      <c r="B16162" t="str">
        <f>IFERROR(__xludf.DUMMYFUNCTION("""COMPUTED_VALUE"""),"tto")</f>
        <v>tto</v>
      </c>
      <c r="C16162" t="str">
        <f>IFERROR(__xludf.DUMMYFUNCTION("""COMPUTED_VALUE"""),"Trinidad and Tobago")</f>
        <v>Trinidad and Tobago</v>
      </c>
      <c r="D16162">
        <f>IFERROR(__xludf.DUMMYFUNCTION("""COMPUTED_VALUE"""),2001.0)</f>
        <v>2001</v>
      </c>
      <c r="E16162">
        <f>IFERROR(__xludf.DUMMYFUNCTION("""COMPUTED_VALUE"""),1272380.0)</f>
        <v>1272380</v>
      </c>
    </row>
    <row r="16163">
      <c r="A16163" t="str">
        <f t="shared" si="1"/>
        <v>tto#2002</v>
      </c>
      <c r="B16163" t="str">
        <f>IFERROR(__xludf.DUMMYFUNCTION("""COMPUTED_VALUE"""),"tto")</f>
        <v>tto</v>
      </c>
      <c r="C16163" t="str">
        <f>IFERROR(__xludf.DUMMYFUNCTION("""COMPUTED_VALUE"""),"Trinidad and Tobago")</f>
        <v>Trinidad and Tobago</v>
      </c>
      <c r="D16163">
        <f>IFERROR(__xludf.DUMMYFUNCTION("""COMPUTED_VALUE"""),2002.0)</f>
        <v>2002</v>
      </c>
      <c r="E16163">
        <f>IFERROR(__xludf.DUMMYFUNCTION("""COMPUTED_VALUE"""),1277837.0)</f>
        <v>1277837</v>
      </c>
    </row>
    <row r="16164">
      <c r="A16164" t="str">
        <f t="shared" si="1"/>
        <v>tto#2003</v>
      </c>
      <c r="B16164" t="str">
        <f>IFERROR(__xludf.DUMMYFUNCTION("""COMPUTED_VALUE"""),"tto")</f>
        <v>tto</v>
      </c>
      <c r="C16164" t="str">
        <f>IFERROR(__xludf.DUMMYFUNCTION("""COMPUTED_VALUE"""),"Trinidad and Tobago")</f>
        <v>Trinidad and Tobago</v>
      </c>
      <c r="D16164">
        <f>IFERROR(__xludf.DUMMYFUNCTION("""COMPUTED_VALUE"""),2003.0)</f>
        <v>2003</v>
      </c>
      <c r="E16164">
        <f>IFERROR(__xludf.DUMMYFUNCTION("""COMPUTED_VALUE"""),1284052.0)</f>
        <v>1284052</v>
      </c>
    </row>
    <row r="16165">
      <c r="A16165" t="str">
        <f t="shared" si="1"/>
        <v>tto#2004</v>
      </c>
      <c r="B16165" t="str">
        <f>IFERROR(__xludf.DUMMYFUNCTION("""COMPUTED_VALUE"""),"tto")</f>
        <v>tto</v>
      </c>
      <c r="C16165" t="str">
        <f>IFERROR(__xludf.DUMMYFUNCTION("""COMPUTED_VALUE"""),"Trinidad and Tobago")</f>
        <v>Trinidad and Tobago</v>
      </c>
      <c r="D16165">
        <f>IFERROR(__xludf.DUMMYFUNCTION("""COMPUTED_VALUE"""),2004.0)</f>
        <v>2004</v>
      </c>
      <c r="E16165">
        <f>IFERROR(__xludf.DUMMYFUNCTION("""COMPUTED_VALUE"""),1290535.0)</f>
        <v>1290535</v>
      </c>
    </row>
    <row r="16166">
      <c r="A16166" t="str">
        <f t="shared" si="1"/>
        <v>tto#2005</v>
      </c>
      <c r="B16166" t="str">
        <f>IFERROR(__xludf.DUMMYFUNCTION("""COMPUTED_VALUE"""),"tto")</f>
        <v>tto</v>
      </c>
      <c r="C16166" t="str">
        <f>IFERROR(__xludf.DUMMYFUNCTION("""COMPUTED_VALUE"""),"Trinidad and Tobago")</f>
        <v>Trinidad and Tobago</v>
      </c>
      <c r="D16166">
        <f>IFERROR(__xludf.DUMMYFUNCTION("""COMPUTED_VALUE"""),2005.0)</f>
        <v>2005</v>
      </c>
      <c r="E16166">
        <f>IFERROR(__xludf.DUMMYFUNCTION("""COMPUTED_VALUE"""),1296934.0)</f>
        <v>1296934</v>
      </c>
    </row>
    <row r="16167">
      <c r="A16167" t="str">
        <f t="shared" si="1"/>
        <v>tto#2006</v>
      </c>
      <c r="B16167" t="str">
        <f>IFERROR(__xludf.DUMMYFUNCTION("""COMPUTED_VALUE"""),"tto")</f>
        <v>tto</v>
      </c>
      <c r="C16167" t="str">
        <f>IFERROR(__xludf.DUMMYFUNCTION("""COMPUTED_VALUE"""),"Trinidad and Tobago")</f>
        <v>Trinidad and Tobago</v>
      </c>
      <c r="D16167">
        <f>IFERROR(__xludf.DUMMYFUNCTION("""COMPUTED_VALUE"""),2006.0)</f>
        <v>2006</v>
      </c>
      <c r="E16167">
        <f>IFERROR(__xludf.DUMMYFUNCTION("""COMPUTED_VALUE"""),1303144.0)</f>
        <v>1303144</v>
      </c>
    </row>
    <row r="16168">
      <c r="A16168" t="str">
        <f t="shared" si="1"/>
        <v>tto#2007</v>
      </c>
      <c r="B16168" t="str">
        <f>IFERROR(__xludf.DUMMYFUNCTION("""COMPUTED_VALUE"""),"tto")</f>
        <v>tto</v>
      </c>
      <c r="C16168" t="str">
        <f>IFERROR(__xludf.DUMMYFUNCTION("""COMPUTED_VALUE"""),"Trinidad and Tobago")</f>
        <v>Trinidad and Tobago</v>
      </c>
      <c r="D16168">
        <f>IFERROR(__xludf.DUMMYFUNCTION("""COMPUTED_VALUE"""),2007.0)</f>
        <v>2007</v>
      </c>
      <c r="E16168">
        <f>IFERROR(__xludf.DUMMYFUNCTION("""COMPUTED_VALUE"""),1309260.0)</f>
        <v>1309260</v>
      </c>
    </row>
    <row r="16169">
      <c r="A16169" t="str">
        <f t="shared" si="1"/>
        <v>tto#2008</v>
      </c>
      <c r="B16169" t="str">
        <f>IFERROR(__xludf.DUMMYFUNCTION("""COMPUTED_VALUE"""),"tto")</f>
        <v>tto</v>
      </c>
      <c r="C16169" t="str">
        <f>IFERROR(__xludf.DUMMYFUNCTION("""COMPUTED_VALUE"""),"Trinidad and Tobago")</f>
        <v>Trinidad and Tobago</v>
      </c>
      <c r="D16169">
        <f>IFERROR(__xludf.DUMMYFUNCTION("""COMPUTED_VALUE"""),2008.0)</f>
        <v>2008</v>
      </c>
      <c r="E16169">
        <f>IFERROR(__xludf.DUMMYFUNCTION("""COMPUTED_VALUE"""),1315372.0)</f>
        <v>1315372</v>
      </c>
    </row>
    <row r="16170">
      <c r="A16170" t="str">
        <f t="shared" si="1"/>
        <v>tto#2009</v>
      </c>
      <c r="B16170" t="str">
        <f>IFERROR(__xludf.DUMMYFUNCTION("""COMPUTED_VALUE"""),"tto")</f>
        <v>tto</v>
      </c>
      <c r="C16170" t="str">
        <f>IFERROR(__xludf.DUMMYFUNCTION("""COMPUTED_VALUE"""),"Trinidad and Tobago")</f>
        <v>Trinidad and Tobago</v>
      </c>
      <c r="D16170">
        <f>IFERROR(__xludf.DUMMYFUNCTION("""COMPUTED_VALUE"""),2009.0)</f>
        <v>2009</v>
      </c>
      <c r="E16170">
        <f>IFERROR(__xludf.DUMMYFUNCTION("""COMPUTED_VALUE"""),1321618.0)</f>
        <v>1321618</v>
      </c>
    </row>
    <row r="16171">
      <c r="A16171" t="str">
        <f t="shared" si="1"/>
        <v>tto#2010</v>
      </c>
      <c r="B16171" t="str">
        <f>IFERROR(__xludf.DUMMYFUNCTION("""COMPUTED_VALUE"""),"tto")</f>
        <v>tto</v>
      </c>
      <c r="C16171" t="str">
        <f>IFERROR(__xludf.DUMMYFUNCTION("""COMPUTED_VALUE"""),"Trinidad and Tobago")</f>
        <v>Trinidad and Tobago</v>
      </c>
      <c r="D16171">
        <f>IFERROR(__xludf.DUMMYFUNCTION("""COMPUTED_VALUE"""),2010.0)</f>
        <v>2010</v>
      </c>
      <c r="E16171">
        <f>IFERROR(__xludf.DUMMYFUNCTION("""COMPUTED_VALUE"""),1328100.0)</f>
        <v>1328100</v>
      </c>
    </row>
    <row r="16172">
      <c r="A16172" t="str">
        <f t="shared" si="1"/>
        <v>tto#2011</v>
      </c>
      <c r="B16172" t="str">
        <f>IFERROR(__xludf.DUMMYFUNCTION("""COMPUTED_VALUE"""),"tto")</f>
        <v>tto</v>
      </c>
      <c r="C16172" t="str">
        <f>IFERROR(__xludf.DUMMYFUNCTION("""COMPUTED_VALUE"""),"Trinidad and Tobago")</f>
        <v>Trinidad and Tobago</v>
      </c>
      <c r="D16172">
        <f>IFERROR(__xludf.DUMMYFUNCTION("""COMPUTED_VALUE"""),2011.0)</f>
        <v>2011</v>
      </c>
      <c r="E16172">
        <f>IFERROR(__xludf.DUMMYFUNCTION("""COMPUTED_VALUE"""),1334788.0)</f>
        <v>1334788</v>
      </c>
    </row>
    <row r="16173">
      <c r="A16173" t="str">
        <f t="shared" si="1"/>
        <v>tto#2012</v>
      </c>
      <c r="B16173" t="str">
        <f>IFERROR(__xludf.DUMMYFUNCTION("""COMPUTED_VALUE"""),"tto")</f>
        <v>tto</v>
      </c>
      <c r="C16173" t="str">
        <f>IFERROR(__xludf.DUMMYFUNCTION("""COMPUTED_VALUE"""),"Trinidad and Tobago")</f>
        <v>Trinidad and Tobago</v>
      </c>
      <c r="D16173">
        <f>IFERROR(__xludf.DUMMYFUNCTION("""COMPUTED_VALUE"""),2012.0)</f>
        <v>2012</v>
      </c>
      <c r="E16173">
        <f>IFERROR(__xludf.DUMMYFUNCTION("""COMPUTED_VALUE"""),1341588.0)</f>
        <v>1341588</v>
      </c>
    </row>
    <row r="16174">
      <c r="A16174" t="str">
        <f t="shared" si="1"/>
        <v>tto#2013</v>
      </c>
      <c r="B16174" t="str">
        <f>IFERROR(__xludf.DUMMYFUNCTION("""COMPUTED_VALUE"""),"tto")</f>
        <v>tto</v>
      </c>
      <c r="C16174" t="str">
        <f>IFERROR(__xludf.DUMMYFUNCTION("""COMPUTED_VALUE"""),"Trinidad and Tobago")</f>
        <v>Trinidad and Tobago</v>
      </c>
      <c r="D16174">
        <f>IFERROR(__xludf.DUMMYFUNCTION("""COMPUTED_VALUE"""),2013.0)</f>
        <v>2013</v>
      </c>
      <c r="E16174">
        <f>IFERROR(__xludf.DUMMYFUNCTION("""COMPUTED_VALUE"""),1348248.0)</f>
        <v>1348248</v>
      </c>
    </row>
    <row r="16175">
      <c r="A16175" t="str">
        <f t="shared" si="1"/>
        <v>tto#2014</v>
      </c>
      <c r="B16175" t="str">
        <f>IFERROR(__xludf.DUMMYFUNCTION("""COMPUTED_VALUE"""),"tto")</f>
        <v>tto</v>
      </c>
      <c r="C16175" t="str">
        <f>IFERROR(__xludf.DUMMYFUNCTION("""COMPUTED_VALUE"""),"Trinidad and Tobago")</f>
        <v>Trinidad and Tobago</v>
      </c>
      <c r="D16175">
        <f>IFERROR(__xludf.DUMMYFUNCTION("""COMPUTED_VALUE"""),2014.0)</f>
        <v>2014</v>
      </c>
      <c r="E16175">
        <f>IFERROR(__xludf.DUMMYFUNCTION("""COMPUTED_VALUE"""),1354493.0)</f>
        <v>1354493</v>
      </c>
    </row>
    <row r="16176">
      <c r="A16176" t="str">
        <f t="shared" si="1"/>
        <v>tto#2015</v>
      </c>
      <c r="B16176" t="str">
        <f>IFERROR(__xludf.DUMMYFUNCTION("""COMPUTED_VALUE"""),"tto")</f>
        <v>tto</v>
      </c>
      <c r="C16176" t="str">
        <f>IFERROR(__xludf.DUMMYFUNCTION("""COMPUTED_VALUE"""),"Trinidad and Tobago")</f>
        <v>Trinidad and Tobago</v>
      </c>
      <c r="D16176">
        <f>IFERROR(__xludf.DUMMYFUNCTION("""COMPUTED_VALUE"""),2015.0)</f>
        <v>2015</v>
      </c>
      <c r="E16176">
        <f>IFERROR(__xludf.DUMMYFUNCTION("""COMPUTED_VALUE"""),1360092.0)</f>
        <v>1360092</v>
      </c>
    </row>
    <row r="16177">
      <c r="A16177" t="str">
        <f t="shared" si="1"/>
        <v>tto#2016</v>
      </c>
      <c r="B16177" t="str">
        <f>IFERROR(__xludf.DUMMYFUNCTION("""COMPUTED_VALUE"""),"tto")</f>
        <v>tto</v>
      </c>
      <c r="C16177" t="str">
        <f>IFERROR(__xludf.DUMMYFUNCTION("""COMPUTED_VALUE"""),"Trinidad and Tobago")</f>
        <v>Trinidad and Tobago</v>
      </c>
      <c r="D16177">
        <f>IFERROR(__xludf.DUMMYFUNCTION("""COMPUTED_VALUE"""),2016.0)</f>
        <v>2016</v>
      </c>
      <c r="E16177">
        <f>IFERROR(__xludf.DUMMYFUNCTION("""COMPUTED_VALUE"""),1364962.0)</f>
        <v>1364962</v>
      </c>
    </row>
    <row r="16178">
      <c r="A16178" t="str">
        <f t="shared" si="1"/>
        <v>tto#2017</v>
      </c>
      <c r="B16178" t="str">
        <f>IFERROR(__xludf.DUMMYFUNCTION("""COMPUTED_VALUE"""),"tto")</f>
        <v>tto</v>
      </c>
      <c r="C16178" t="str">
        <f>IFERROR(__xludf.DUMMYFUNCTION("""COMPUTED_VALUE"""),"Trinidad and Tobago")</f>
        <v>Trinidad and Tobago</v>
      </c>
      <c r="D16178">
        <f>IFERROR(__xludf.DUMMYFUNCTION("""COMPUTED_VALUE"""),2017.0)</f>
        <v>2017</v>
      </c>
      <c r="E16178">
        <f>IFERROR(__xludf.DUMMYFUNCTION("""COMPUTED_VALUE"""),1369125.0)</f>
        <v>1369125</v>
      </c>
    </row>
    <row r="16179">
      <c r="A16179" t="str">
        <f t="shared" si="1"/>
        <v>tto#2018</v>
      </c>
      <c r="B16179" t="str">
        <f>IFERROR(__xludf.DUMMYFUNCTION("""COMPUTED_VALUE"""),"tto")</f>
        <v>tto</v>
      </c>
      <c r="C16179" t="str">
        <f>IFERROR(__xludf.DUMMYFUNCTION("""COMPUTED_VALUE"""),"Trinidad and Tobago")</f>
        <v>Trinidad and Tobago</v>
      </c>
      <c r="D16179">
        <f>IFERROR(__xludf.DUMMYFUNCTION("""COMPUTED_VALUE"""),2018.0)</f>
        <v>2018</v>
      </c>
      <c r="E16179">
        <f>IFERROR(__xludf.DUMMYFUNCTION("""COMPUTED_VALUE"""),1372598.0)</f>
        <v>1372598</v>
      </c>
    </row>
    <row r="16180">
      <c r="A16180" t="str">
        <f t="shared" si="1"/>
        <v>tto#2019</v>
      </c>
      <c r="B16180" t="str">
        <f>IFERROR(__xludf.DUMMYFUNCTION("""COMPUTED_VALUE"""),"tto")</f>
        <v>tto</v>
      </c>
      <c r="C16180" t="str">
        <f>IFERROR(__xludf.DUMMYFUNCTION("""COMPUTED_VALUE"""),"Trinidad and Tobago")</f>
        <v>Trinidad and Tobago</v>
      </c>
      <c r="D16180">
        <f>IFERROR(__xludf.DUMMYFUNCTION("""COMPUTED_VALUE"""),2019.0)</f>
        <v>2019</v>
      </c>
      <c r="E16180">
        <f>IFERROR(__xludf.DUMMYFUNCTION("""COMPUTED_VALUE"""),1375443.0)</f>
        <v>1375443</v>
      </c>
    </row>
    <row r="16181">
      <c r="A16181" t="str">
        <f t="shared" si="1"/>
        <v>tto#2020</v>
      </c>
      <c r="B16181" t="str">
        <f>IFERROR(__xludf.DUMMYFUNCTION("""COMPUTED_VALUE"""),"tto")</f>
        <v>tto</v>
      </c>
      <c r="C16181" t="str">
        <f>IFERROR(__xludf.DUMMYFUNCTION("""COMPUTED_VALUE"""),"Trinidad and Tobago")</f>
        <v>Trinidad and Tobago</v>
      </c>
      <c r="D16181">
        <f>IFERROR(__xludf.DUMMYFUNCTION("""COMPUTED_VALUE"""),2020.0)</f>
        <v>2020</v>
      </c>
      <c r="E16181">
        <f>IFERROR(__xludf.DUMMYFUNCTION("""COMPUTED_VALUE"""),1377729.0)</f>
        <v>1377729</v>
      </c>
    </row>
    <row r="16182">
      <c r="A16182" t="str">
        <f t="shared" si="1"/>
        <v>tto#2021</v>
      </c>
      <c r="B16182" t="str">
        <f>IFERROR(__xludf.DUMMYFUNCTION("""COMPUTED_VALUE"""),"tto")</f>
        <v>tto</v>
      </c>
      <c r="C16182" t="str">
        <f>IFERROR(__xludf.DUMMYFUNCTION("""COMPUTED_VALUE"""),"Trinidad and Tobago")</f>
        <v>Trinidad and Tobago</v>
      </c>
      <c r="D16182">
        <f>IFERROR(__xludf.DUMMYFUNCTION("""COMPUTED_VALUE"""),2021.0)</f>
        <v>2021</v>
      </c>
      <c r="E16182">
        <f>IFERROR(__xludf.DUMMYFUNCTION("""COMPUTED_VALUE"""),1379418.0)</f>
        <v>1379418</v>
      </c>
    </row>
    <row r="16183">
      <c r="A16183" t="str">
        <f t="shared" si="1"/>
        <v>tto#2022</v>
      </c>
      <c r="B16183" t="str">
        <f>IFERROR(__xludf.DUMMYFUNCTION("""COMPUTED_VALUE"""),"tto")</f>
        <v>tto</v>
      </c>
      <c r="C16183" t="str">
        <f>IFERROR(__xludf.DUMMYFUNCTION("""COMPUTED_VALUE"""),"Trinidad and Tobago")</f>
        <v>Trinidad and Tobago</v>
      </c>
      <c r="D16183">
        <f>IFERROR(__xludf.DUMMYFUNCTION("""COMPUTED_VALUE"""),2022.0)</f>
        <v>2022</v>
      </c>
      <c r="E16183">
        <f>IFERROR(__xludf.DUMMYFUNCTION("""COMPUTED_VALUE"""),1380527.0)</f>
        <v>1380527</v>
      </c>
    </row>
    <row r="16184">
      <c r="A16184" t="str">
        <f t="shared" si="1"/>
        <v>tto#2023</v>
      </c>
      <c r="B16184" t="str">
        <f>IFERROR(__xludf.DUMMYFUNCTION("""COMPUTED_VALUE"""),"tto")</f>
        <v>tto</v>
      </c>
      <c r="C16184" t="str">
        <f>IFERROR(__xludf.DUMMYFUNCTION("""COMPUTED_VALUE"""),"Trinidad and Tobago")</f>
        <v>Trinidad and Tobago</v>
      </c>
      <c r="D16184">
        <f>IFERROR(__xludf.DUMMYFUNCTION("""COMPUTED_VALUE"""),2023.0)</f>
        <v>2023</v>
      </c>
      <c r="E16184">
        <f>IFERROR(__xludf.DUMMYFUNCTION("""COMPUTED_VALUE"""),1381081.0)</f>
        <v>1381081</v>
      </c>
    </row>
    <row r="16185">
      <c r="A16185" t="str">
        <f t="shared" si="1"/>
        <v>tto#2024</v>
      </c>
      <c r="B16185" t="str">
        <f>IFERROR(__xludf.DUMMYFUNCTION("""COMPUTED_VALUE"""),"tto")</f>
        <v>tto</v>
      </c>
      <c r="C16185" t="str">
        <f>IFERROR(__xludf.DUMMYFUNCTION("""COMPUTED_VALUE"""),"Trinidad and Tobago")</f>
        <v>Trinidad and Tobago</v>
      </c>
      <c r="D16185">
        <f>IFERROR(__xludf.DUMMYFUNCTION("""COMPUTED_VALUE"""),2024.0)</f>
        <v>2024</v>
      </c>
      <c r="E16185">
        <f>IFERROR(__xludf.DUMMYFUNCTION("""COMPUTED_VALUE"""),1381161.0)</f>
        <v>1381161</v>
      </c>
    </row>
    <row r="16186">
      <c r="A16186" t="str">
        <f t="shared" si="1"/>
        <v>tto#2025</v>
      </c>
      <c r="B16186" t="str">
        <f>IFERROR(__xludf.DUMMYFUNCTION("""COMPUTED_VALUE"""),"tto")</f>
        <v>tto</v>
      </c>
      <c r="C16186" t="str">
        <f>IFERROR(__xludf.DUMMYFUNCTION("""COMPUTED_VALUE"""),"Trinidad and Tobago")</f>
        <v>Trinidad and Tobago</v>
      </c>
      <c r="D16186">
        <f>IFERROR(__xludf.DUMMYFUNCTION("""COMPUTED_VALUE"""),2025.0)</f>
        <v>2025</v>
      </c>
      <c r="E16186">
        <f>IFERROR(__xludf.DUMMYFUNCTION("""COMPUTED_VALUE"""),1380806.0)</f>
        <v>1380806</v>
      </c>
    </row>
    <row r="16187">
      <c r="A16187" t="str">
        <f t="shared" si="1"/>
        <v>tto#2026</v>
      </c>
      <c r="B16187" t="str">
        <f>IFERROR(__xludf.DUMMYFUNCTION("""COMPUTED_VALUE"""),"tto")</f>
        <v>tto</v>
      </c>
      <c r="C16187" t="str">
        <f>IFERROR(__xludf.DUMMYFUNCTION("""COMPUTED_VALUE"""),"Trinidad and Tobago")</f>
        <v>Trinidad and Tobago</v>
      </c>
      <c r="D16187">
        <f>IFERROR(__xludf.DUMMYFUNCTION("""COMPUTED_VALUE"""),2026.0)</f>
        <v>2026</v>
      </c>
      <c r="E16187">
        <f>IFERROR(__xludf.DUMMYFUNCTION("""COMPUTED_VALUE"""),1380053.0)</f>
        <v>1380053</v>
      </c>
    </row>
    <row r="16188">
      <c r="A16188" t="str">
        <f t="shared" si="1"/>
        <v>tto#2027</v>
      </c>
      <c r="B16188" t="str">
        <f>IFERROR(__xludf.DUMMYFUNCTION("""COMPUTED_VALUE"""),"tto")</f>
        <v>tto</v>
      </c>
      <c r="C16188" t="str">
        <f>IFERROR(__xludf.DUMMYFUNCTION("""COMPUTED_VALUE"""),"Trinidad and Tobago")</f>
        <v>Trinidad and Tobago</v>
      </c>
      <c r="D16188">
        <f>IFERROR(__xludf.DUMMYFUNCTION("""COMPUTED_VALUE"""),2027.0)</f>
        <v>2027</v>
      </c>
      <c r="E16188">
        <f>IFERROR(__xludf.DUMMYFUNCTION("""COMPUTED_VALUE"""),1378913.0)</f>
        <v>1378913</v>
      </c>
    </row>
    <row r="16189">
      <c r="A16189" t="str">
        <f t="shared" si="1"/>
        <v>tto#2028</v>
      </c>
      <c r="B16189" t="str">
        <f>IFERROR(__xludf.DUMMYFUNCTION("""COMPUTED_VALUE"""),"tto")</f>
        <v>tto</v>
      </c>
      <c r="C16189" t="str">
        <f>IFERROR(__xludf.DUMMYFUNCTION("""COMPUTED_VALUE"""),"Trinidad and Tobago")</f>
        <v>Trinidad and Tobago</v>
      </c>
      <c r="D16189">
        <f>IFERROR(__xludf.DUMMYFUNCTION("""COMPUTED_VALUE"""),2028.0)</f>
        <v>2028</v>
      </c>
      <c r="E16189">
        <f>IFERROR(__xludf.DUMMYFUNCTION("""COMPUTED_VALUE"""),1377438.0)</f>
        <v>1377438</v>
      </c>
    </row>
    <row r="16190">
      <c r="A16190" t="str">
        <f t="shared" si="1"/>
        <v>tto#2029</v>
      </c>
      <c r="B16190" t="str">
        <f>IFERROR(__xludf.DUMMYFUNCTION("""COMPUTED_VALUE"""),"tto")</f>
        <v>tto</v>
      </c>
      <c r="C16190" t="str">
        <f>IFERROR(__xludf.DUMMYFUNCTION("""COMPUTED_VALUE"""),"Trinidad and Tobago")</f>
        <v>Trinidad and Tobago</v>
      </c>
      <c r="D16190">
        <f>IFERROR(__xludf.DUMMYFUNCTION("""COMPUTED_VALUE"""),2029.0)</f>
        <v>2029</v>
      </c>
      <c r="E16190">
        <f>IFERROR(__xludf.DUMMYFUNCTION("""COMPUTED_VALUE"""),1375667.0)</f>
        <v>1375667</v>
      </c>
    </row>
    <row r="16191">
      <c r="A16191" t="str">
        <f t="shared" si="1"/>
        <v>tto#2030</v>
      </c>
      <c r="B16191" t="str">
        <f>IFERROR(__xludf.DUMMYFUNCTION("""COMPUTED_VALUE"""),"tto")</f>
        <v>tto</v>
      </c>
      <c r="C16191" t="str">
        <f>IFERROR(__xludf.DUMMYFUNCTION("""COMPUTED_VALUE"""),"Trinidad and Tobago")</f>
        <v>Trinidad and Tobago</v>
      </c>
      <c r="D16191">
        <f>IFERROR(__xludf.DUMMYFUNCTION("""COMPUTED_VALUE"""),2030.0)</f>
        <v>2030</v>
      </c>
      <c r="E16191">
        <f>IFERROR(__xludf.DUMMYFUNCTION("""COMPUTED_VALUE"""),1373659.0)</f>
        <v>1373659</v>
      </c>
    </row>
    <row r="16192">
      <c r="A16192" t="str">
        <f t="shared" si="1"/>
        <v>tto#2031</v>
      </c>
      <c r="B16192" t="str">
        <f>IFERROR(__xludf.DUMMYFUNCTION("""COMPUTED_VALUE"""),"tto")</f>
        <v>tto</v>
      </c>
      <c r="C16192" t="str">
        <f>IFERROR(__xludf.DUMMYFUNCTION("""COMPUTED_VALUE"""),"Trinidad and Tobago")</f>
        <v>Trinidad and Tobago</v>
      </c>
      <c r="D16192">
        <f>IFERROR(__xludf.DUMMYFUNCTION("""COMPUTED_VALUE"""),2031.0)</f>
        <v>2031</v>
      </c>
      <c r="E16192">
        <f>IFERROR(__xludf.DUMMYFUNCTION("""COMPUTED_VALUE"""),1371432.0)</f>
        <v>1371432</v>
      </c>
    </row>
    <row r="16193">
      <c r="A16193" t="str">
        <f t="shared" si="1"/>
        <v>tto#2032</v>
      </c>
      <c r="B16193" t="str">
        <f>IFERROR(__xludf.DUMMYFUNCTION("""COMPUTED_VALUE"""),"tto")</f>
        <v>tto</v>
      </c>
      <c r="C16193" t="str">
        <f>IFERROR(__xludf.DUMMYFUNCTION("""COMPUTED_VALUE"""),"Trinidad and Tobago")</f>
        <v>Trinidad and Tobago</v>
      </c>
      <c r="D16193">
        <f>IFERROR(__xludf.DUMMYFUNCTION("""COMPUTED_VALUE"""),2032.0)</f>
        <v>2032</v>
      </c>
      <c r="E16193">
        <f>IFERROR(__xludf.DUMMYFUNCTION("""COMPUTED_VALUE"""),1369003.0)</f>
        <v>1369003</v>
      </c>
    </row>
    <row r="16194">
      <c r="A16194" t="str">
        <f t="shared" si="1"/>
        <v>tto#2033</v>
      </c>
      <c r="B16194" t="str">
        <f>IFERROR(__xludf.DUMMYFUNCTION("""COMPUTED_VALUE"""),"tto")</f>
        <v>tto</v>
      </c>
      <c r="C16194" t="str">
        <f>IFERROR(__xludf.DUMMYFUNCTION("""COMPUTED_VALUE"""),"Trinidad and Tobago")</f>
        <v>Trinidad and Tobago</v>
      </c>
      <c r="D16194">
        <f>IFERROR(__xludf.DUMMYFUNCTION("""COMPUTED_VALUE"""),2033.0)</f>
        <v>2033</v>
      </c>
      <c r="E16194">
        <f>IFERROR(__xludf.DUMMYFUNCTION("""COMPUTED_VALUE"""),1366384.0)</f>
        <v>1366384</v>
      </c>
    </row>
    <row r="16195">
      <c r="A16195" t="str">
        <f t="shared" si="1"/>
        <v>tto#2034</v>
      </c>
      <c r="B16195" t="str">
        <f>IFERROR(__xludf.DUMMYFUNCTION("""COMPUTED_VALUE"""),"tto")</f>
        <v>tto</v>
      </c>
      <c r="C16195" t="str">
        <f>IFERROR(__xludf.DUMMYFUNCTION("""COMPUTED_VALUE"""),"Trinidad and Tobago")</f>
        <v>Trinidad and Tobago</v>
      </c>
      <c r="D16195">
        <f>IFERROR(__xludf.DUMMYFUNCTION("""COMPUTED_VALUE"""),2034.0)</f>
        <v>2034</v>
      </c>
      <c r="E16195">
        <f>IFERROR(__xludf.DUMMYFUNCTION("""COMPUTED_VALUE"""),1363585.0)</f>
        <v>1363585</v>
      </c>
    </row>
    <row r="16196">
      <c r="A16196" t="str">
        <f t="shared" si="1"/>
        <v>tto#2035</v>
      </c>
      <c r="B16196" t="str">
        <f>IFERROR(__xludf.DUMMYFUNCTION("""COMPUTED_VALUE"""),"tto")</f>
        <v>tto</v>
      </c>
      <c r="C16196" t="str">
        <f>IFERROR(__xludf.DUMMYFUNCTION("""COMPUTED_VALUE"""),"Trinidad and Tobago")</f>
        <v>Trinidad and Tobago</v>
      </c>
      <c r="D16196">
        <f>IFERROR(__xludf.DUMMYFUNCTION("""COMPUTED_VALUE"""),2035.0)</f>
        <v>2035</v>
      </c>
      <c r="E16196">
        <f>IFERROR(__xludf.DUMMYFUNCTION("""COMPUTED_VALUE"""),1360624.0)</f>
        <v>1360624</v>
      </c>
    </row>
    <row r="16197">
      <c r="A16197" t="str">
        <f t="shared" si="1"/>
        <v>tto#2036</v>
      </c>
      <c r="B16197" t="str">
        <f>IFERROR(__xludf.DUMMYFUNCTION("""COMPUTED_VALUE"""),"tto")</f>
        <v>tto</v>
      </c>
      <c r="C16197" t="str">
        <f>IFERROR(__xludf.DUMMYFUNCTION("""COMPUTED_VALUE"""),"Trinidad and Tobago")</f>
        <v>Trinidad and Tobago</v>
      </c>
      <c r="D16197">
        <f>IFERROR(__xludf.DUMMYFUNCTION("""COMPUTED_VALUE"""),2036.0)</f>
        <v>2036</v>
      </c>
      <c r="E16197">
        <f>IFERROR(__xludf.DUMMYFUNCTION("""COMPUTED_VALUE"""),1357502.0)</f>
        <v>1357502</v>
      </c>
    </row>
    <row r="16198">
      <c r="A16198" t="str">
        <f t="shared" si="1"/>
        <v>tto#2037</v>
      </c>
      <c r="B16198" t="str">
        <f>IFERROR(__xludf.DUMMYFUNCTION("""COMPUTED_VALUE"""),"tto")</f>
        <v>tto</v>
      </c>
      <c r="C16198" t="str">
        <f>IFERROR(__xludf.DUMMYFUNCTION("""COMPUTED_VALUE"""),"Trinidad and Tobago")</f>
        <v>Trinidad and Tobago</v>
      </c>
      <c r="D16198">
        <f>IFERROR(__xludf.DUMMYFUNCTION("""COMPUTED_VALUE"""),2037.0)</f>
        <v>2037</v>
      </c>
      <c r="E16198">
        <f>IFERROR(__xludf.DUMMYFUNCTION("""COMPUTED_VALUE"""),1354234.0)</f>
        <v>1354234</v>
      </c>
    </row>
    <row r="16199">
      <c r="A16199" t="str">
        <f t="shared" si="1"/>
        <v>tto#2038</v>
      </c>
      <c r="B16199" t="str">
        <f>IFERROR(__xludf.DUMMYFUNCTION("""COMPUTED_VALUE"""),"tto")</f>
        <v>tto</v>
      </c>
      <c r="C16199" t="str">
        <f>IFERROR(__xludf.DUMMYFUNCTION("""COMPUTED_VALUE"""),"Trinidad and Tobago")</f>
        <v>Trinidad and Tobago</v>
      </c>
      <c r="D16199">
        <f>IFERROR(__xludf.DUMMYFUNCTION("""COMPUTED_VALUE"""),2038.0)</f>
        <v>2038</v>
      </c>
      <c r="E16199">
        <f>IFERROR(__xludf.DUMMYFUNCTION("""COMPUTED_VALUE"""),1350803.0)</f>
        <v>1350803</v>
      </c>
    </row>
    <row r="16200">
      <c r="A16200" t="str">
        <f t="shared" si="1"/>
        <v>tto#2039</v>
      </c>
      <c r="B16200" t="str">
        <f>IFERROR(__xludf.DUMMYFUNCTION("""COMPUTED_VALUE"""),"tto")</f>
        <v>tto</v>
      </c>
      <c r="C16200" t="str">
        <f>IFERROR(__xludf.DUMMYFUNCTION("""COMPUTED_VALUE"""),"Trinidad and Tobago")</f>
        <v>Trinidad and Tobago</v>
      </c>
      <c r="D16200">
        <f>IFERROR(__xludf.DUMMYFUNCTION("""COMPUTED_VALUE"""),2039.0)</f>
        <v>2039</v>
      </c>
      <c r="E16200">
        <f>IFERROR(__xludf.DUMMYFUNCTION("""COMPUTED_VALUE"""),1347219.0)</f>
        <v>1347219</v>
      </c>
    </row>
    <row r="16201">
      <c r="A16201" t="str">
        <f t="shared" si="1"/>
        <v>tto#2040</v>
      </c>
      <c r="B16201" t="str">
        <f>IFERROR(__xludf.DUMMYFUNCTION("""COMPUTED_VALUE"""),"tto")</f>
        <v>tto</v>
      </c>
      <c r="C16201" t="str">
        <f>IFERROR(__xludf.DUMMYFUNCTION("""COMPUTED_VALUE"""),"Trinidad and Tobago")</f>
        <v>Trinidad and Tobago</v>
      </c>
      <c r="D16201">
        <f>IFERROR(__xludf.DUMMYFUNCTION("""COMPUTED_VALUE"""),2040.0)</f>
        <v>2040</v>
      </c>
      <c r="E16201">
        <f>IFERROR(__xludf.DUMMYFUNCTION("""COMPUTED_VALUE"""),1343469.0)</f>
        <v>1343469</v>
      </c>
    </row>
    <row r="16202">
      <c r="A16202" t="str">
        <f t="shared" si="1"/>
        <v>tun#1950</v>
      </c>
      <c r="B16202" t="str">
        <f>IFERROR(__xludf.DUMMYFUNCTION("""COMPUTED_VALUE"""),"tun")</f>
        <v>tun</v>
      </c>
      <c r="C16202" t="str">
        <f>IFERROR(__xludf.DUMMYFUNCTION("""COMPUTED_VALUE"""),"Tunisia")</f>
        <v>Tunisia</v>
      </c>
      <c r="D16202">
        <f>IFERROR(__xludf.DUMMYFUNCTION("""COMPUTED_VALUE"""),1950.0)</f>
        <v>1950</v>
      </c>
      <c r="E16202">
        <f>IFERROR(__xludf.DUMMYFUNCTION("""COMPUTED_VALUE"""),3605306.0)</f>
        <v>3605306</v>
      </c>
    </row>
    <row r="16203">
      <c r="A16203" t="str">
        <f t="shared" si="1"/>
        <v>tun#1951</v>
      </c>
      <c r="B16203" t="str">
        <f>IFERROR(__xludf.DUMMYFUNCTION("""COMPUTED_VALUE"""),"tun")</f>
        <v>tun</v>
      </c>
      <c r="C16203" t="str">
        <f>IFERROR(__xludf.DUMMYFUNCTION("""COMPUTED_VALUE"""),"Tunisia")</f>
        <v>Tunisia</v>
      </c>
      <c r="D16203">
        <f>IFERROR(__xludf.DUMMYFUNCTION("""COMPUTED_VALUE"""),1951.0)</f>
        <v>1951</v>
      </c>
      <c r="E16203">
        <f>IFERROR(__xludf.DUMMYFUNCTION("""COMPUTED_VALUE"""),3696450.0)</f>
        <v>3696450</v>
      </c>
    </row>
    <row r="16204">
      <c r="A16204" t="str">
        <f t="shared" si="1"/>
        <v>tun#1952</v>
      </c>
      <c r="B16204" t="str">
        <f>IFERROR(__xludf.DUMMYFUNCTION("""COMPUTED_VALUE"""),"tun")</f>
        <v>tun</v>
      </c>
      <c r="C16204" t="str">
        <f>IFERROR(__xludf.DUMMYFUNCTION("""COMPUTED_VALUE"""),"Tunisia")</f>
        <v>Tunisia</v>
      </c>
      <c r="D16204">
        <f>IFERROR(__xludf.DUMMYFUNCTION("""COMPUTED_VALUE"""),1952.0)</f>
        <v>1952</v>
      </c>
      <c r="E16204">
        <f>IFERROR(__xludf.DUMMYFUNCTION("""COMPUTED_VALUE"""),3773355.0)</f>
        <v>3773355</v>
      </c>
    </row>
    <row r="16205">
      <c r="A16205" t="str">
        <f t="shared" si="1"/>
        <v>tun#1953</v>
      </c>
      <c r="B16205" t="str">
        <f>IFERROR(__xludf.DUMMYFUNCTION("""COMPUTED_VALUE"""),"tun")</f>
        <v>tun</v>
      </c>
      <c r="C16205" t="str">
        <f>IFERROR(__xludf.DUMMYFUNCTION("""COMPUTED_VALUE"""),"Tunisia")</f>
        <v>Tunisia</v>
      </c>
      <c r="D16205">
        <f>IFERROR(__xludf.DUMMYFUNCTION("""COMPUTED_VALUE"""),1953.0)</f>
        <v>1953</v>
      </c>
      <c r="E16205">
        <f>IFERROR(__xludf.DUMMYFUNCTION("""COMPUTED_VALUE"""),3838507.0)</f>
        <v>3838507</v>
      </c>
    </row>
    <row r="16206">
      <c r="A16206" t="str">
        <f t="shared" si="1"/>
        <v>tun#1954</v>
      </c>
      <c r="B16206" t="str">
        <f>IFERROR(__xludf.DUMMYFUNCTION("""COMPUTED_VALUE"""),"tun")</f>
        <v>tun</v>
      </c>
      <c r="C16206" t="str">
        <f>IFERROR(__xludf.DUMMYFUNCTION("""COMPUTED_VALUE"""),"Tunisia")</f>
        <v>Tunisia</v>
      </c>
      <c r="D16206">
        <f>IFERROR(__xludf.DUMMYFUNCTION("""COMPUTED_VALUE"""),1954.0)</f>
        <v>1954</v>
      </c>
      <c r="E16206">
        <f>IFERROR(__xludf.DUMMYFUNCTION("""COMPUTED_VALUE"""),3894387.0)</f>
        <v>3894387</v>
      </c>
    </row>
    <row r="16207">
      <c r="A16207" t="str">
        <f t="shared" si="1"/>
        <v>tun#1955</v>
      </c>
      <c r="B16207" t="str">
        <f>IFERROR(__xludf.DUMMYFUNCTION("""COMPUTED_VALUE"""),"tun")</f>
        <v>tun</v>
      </c>
      <c r="C16207" t="str">
        <f>IFERROR(__xludf.DUMMYFUNCTION("""COMPUTED_VALUE"""),"Tunisia")</f>
        <v>Tunisia</v>
      </c>
      <c r="D16207">
        <f>IFERROR(__xludf.DUMMYFUNCTION("""COMPUTED_VALUE"""),1955.0)</f>
        <v>1955</v>
      </c>
      <c r="E16207">
        <f>IFERROR(__xludf.DUMMYFUNCTION("""COMPUTED_VALUE"""),3943528.0)</f>
        <v>3943528</v>
      </c>
    </row>
    <row r="16208">
      <c r="A16208" t="str">
        <f t="shared" si="1"/>
        <v>tun#1956</v>
      </c>
      <c r="B16208" t="str">
        <f>IFERROR(__xludf.DUMMYFUNCTION("""COMPUTED_VALUE"""),"tun")</f>
        <v>tun</v>
      </c>
      <c r="C16208" t="str">
        <f>IFERROR(__xludf.DUMMYFUNCTION("""COMPUTED_VALUE"""),"Tunisia")</f>
        <v>Tunisia</v>
      </c>
      <c r="D16208">
        <f>IFERROR(__xludf.DUMMYFUNCTION("""COMPUTED_VALUE"""),1956.0)</f>
        <v>1956</v>
      </c>
      <c r="E16208">
        <f>IFERROR(__xludf.DUMMYFUNCTION("""COMPUTED_VALUE"""),3988478.0)</f>
        <v>3988478</v>
      </c>
    </row>
    <row r="16209">
      <c r="A16209" t="str">
        <f t="shared" si="1"/>
        <v>tun#1957</v>
      </c>
      <c r="B16209" t="str">
        <f>IFERROR(__xludf.DUMMYFUNCTION("""COMPUTED_VALUE"""),"tun")</f>
        <v>tun</v>
      </c>
      <c r="C16209" t="str">
        <f>IFERROR(__xludf.DUMMYFUNCTION("""COMPUTED_VALUE"""),"Tunisia")</f>
        <v>Tunisia</v>
      </c>
      <c r="D16209">
        <f>IFERROR(__xludf.DUMMYFUNCTION("""COMPUTED_VALUE"""),1957.0)</f>
        <v>1957</v>
      </c>
      <c r="E16209">
        <f>IFERROR(__xludf.DUMMYFUNCTION("""COMPUTED_VALUE"""),4031785.0)</f>
        <v>4031785</v>
      </c>
    </row>
    <row r="16210">
      <c r="A16210" t="str">
        <f t="shared" si="1"/>
        <v>tun#1958</v>
      </c>
      <c r="B16210" t="str">
        <f>IFERROR(__xludf.DUMMYFUNCTION("""COMPUTED_VALUE"""),"tun")</f>
        <v>tun</v>
      </c>
      <c r="C16210" t="str">
        <f>IFERROR(__xludf.DUMMYFUNCTION("""COMPUTED_VALUE"""),"Tunisia")</f>
        <v>Tunisia</v>
      </c>
      <c r="D16210">
        <f>IFERROR(__xludf.DUMMYFUNCTION("""COMPUTED_VALUE"""),1958.0)</f>
        <v>1958</v>
      </c>
      <c r="E16210">
        <f>IFERROR(__xludf.DUMMYFUNCTION("""COMPUTED_VALUE"""),4075963.0)</f>
        <v>4075963</v>
      </c>
    </row>
    <row r="16211">
      <c r="A16211" t="str">
        <f t="shared" si="1"/>
        <v>tun#1959</v>
      </c>
      <c r="B16211" t="str">
        <f>IFERROR(__xludf.DUMMYFUNCTION("""COMPUTED_VALUE"""),"tun")</f>
        <v>tun</v>
      </c>
      <c r="C16211" t="str">
        <f>IFERROR(__xludf.DUMMYFUNCTION("""COMPUTED_VALUE"""),"Tunisia")</f>
        <v>Tunisia</v>
      </c>
      <c r="D16211">
        <f>IFERROR(__xludf.DUMMYFUNCTION("""COMPUTED_VALUE"""),1959.0)</f>
        <v>1959</v>
      </c>
      <c r="E16211">
        <f>IFERROR(__xludf.DUMMYFUNCTION("""COMPUTED_VALUE"""),4123439.0)</f>
        <v>4123439</v>
      </c>
    </row>
    <row r="16212">
      <c r="A16212" t="str">
        <f t="shared" si="1"/>
        <v>tun#1960</v>
      </c>
      <c r="B16212" t="str">
        <f>IFERROR(__xludf.DUMMYFUNCTION("""COMPUTED_VALUE"""),"tun")</f>
        <v>tun</v>
      </c>
      <c r="C16212" t="str">
        <f>IFERROR(__xludf.DUMMYFUNCTION("""COMPUTED_VALUE"""),"Tunisia")</f>
        <v>Tunisia</v>
      </c>
      <c r="D16212">
        <f>IFERROR(__xludf.DUMMYFUNCTION("""COMPUTED_VALUE"""),1960.0)</f>
        <v>1960</v>
      </c>
      <c r="E16212">
        <f>IFERROR(__xludf.DUMMYFUNCTION("""COMPUTED_VALUE"""),4176266.0)</f>
        <v>4176266</v>
      </c>
    </row>
    <row r="16213">
      <c r="A16213" t="str">
        <f t="shared" si="1"/>
        <v>tun#1961</v>
      </c>
      <c r="B16213" t="str">
        <f>IFERROR(__xludf.DUMMYFUNCTION("""COMPUTED_VALUE"""),"tun")</f>
        <v>tun</v>
      </c>
      <c r="C16213" t="str">
        <f>IFERROR(__xludf.DUMMYFUNCTION("""COMPUTED_VALUE"""),"Tunisia")</f>
        <v>Tunisia</v>
      </c>
      <c r="D16213">
        <f>IFERROR(__xludf.DUMMYFUNCTION("""COMPUTED_VALUE"""),1961.0)</f>
        <v>1961</v>
      </c>
      <c r="E16213">
        <f>IFERROR(__xludf.DUMMYFUNCTION("""COMPUTED_VALUE"""),4235937.0)</f>
        <v>4235937</v>
      </c>
    </row>
    <row r="16214">
      <c r="A16214" t="str">
        <f t="shared" si="1"/>
        <v>tun#1962</v>
      </c>
      <c r="B16214" t="str">
        <f>IFERROR(__xludf.DUMMYFUNCTION("""COMPUTED_VALUE"""),"tun")</f>
        <v>tun</v>
      </c>
      <c r="C16214" t="str">
        <f>IFERROR(__xludf.DUMMYFUNCTION("""COMPUTED_VALUE"""),"Tunisia")</f>
        <v>Tunisia</v>
      </c>
      <c r="D16214">
        <f>IFERROR(__xludf.DUMMYFUNCTION("""COMPUTED_VALUE"""),1962.0)</f>
        <v>1962</v>
      </c>
      <c r="E16214">
        <f>IFERROR(__xludf.DUMMYFUNCTION("""COMPUTED_VALUE"""),4303131.0)</f>
        <v>4303131</v>
      </c>
    </row>
    <row r="16215">
      <c r="A16215" t="str">
        <f t="shared" si="1"/>
        <v>tun#1963</v>
      </c>
      <c r="B16215" t="str">
        <f>IFERROR(__xludf.DUMMYFUNCTION("""COMPUTED_VALUE"""),"tun")</f>
        <v>tun</v>
      </c>
      <c r="C16215" t="str">
        <f>IFERROR(__xludf.DUMMYFUNCTION("""COMPUTED_VALUE"""),"Tunisia")</f>
        <v>Tunisia</v>
      </c>
      <c r="D16215">
        <f>IFERROR(__xludf.DUMMYFUNCTION("""COMPUTED_VALUE"""),1963.0)</f>
        <v>1963</v>
      </c>
      <c r="E16215">
        <f>IFERROR(__xludf.DUMMYFUNCTION("""COMPUTED_VALUE"""),4377637.0)</f>
        <v>4377637</v>
      </c>
    </row>
    <row r="16216">
      <c r="A16216" t="str">
        <f t="shared" si="1"/>
        <v>tun#1964</v>
      </c>
      <c r="B16216" t="str">
        <f>IFERROR(__xludf.DUMMYFUNCTION("""COMPUTED_VALUE"""),"tun")</f>
        <v>tun</v>
      </c>
      <c r="C16216" t="str">
        <f>IFERROR(__xludf.DUMMYFUNCTION("""COMPUTED_VALUE"""),"Tunisia")</f>
        <v>Tunisia</v>
      </c>
      <c r="D16216">
        <f>IFERROR(__xludf.DUMMYFUNCTION("""COMPUTED_VALUE"""),1964.0)</f>
        <v>1964</v>
      </c>
      <c r="E16216">
        <f>IFERROR(__xludf.DUMMYFUNCTION("""COMPUTED_VALUE"""),4458611.0)</f>
        <v>4458611</v>
      </c>
    </row>
    <row r="16217">
      <c r="A16217" t="str">
        <f t="shared" si="1"/>
        <v>tun#1965</v>
      </c>
      <c r="B16217" t="str">
        <f>IFERROR(__xludf.DUMMYFUNCTION("""COMPUTED_VALUE"""),"tun")</f>
        <v>tun</v>
      </c>
      <c r="C16217" t="str">
        <f>IFERROR(__xludf.DUMMYFUNCTION("""COMPUTED_VALUE"""),"Tunisia")</f>
        <v>Tunisia</v>
      </c>
      <c r="D16217">
        <f>IFERROR(__xludf.DUMMYFUNCTION("""COMPUTED_VALUE"""),1965.0)</f>
        <v>1965</v>
      </c>
      <c r="E16217">
        <f>IFERROR(__xludf.DUMMYFUNCTION("""COMPUTED_VALUE"""),4545339.0)</f>
        <v>4545339</v>
      </c>
    </row>
    <row r="16218">
      <c r="A16218" t="str">
        <f t="shared" si="1"/>
        <v>tun#1966</v>
      </c>
      <c r="B16218" t="str">
        <f>IFERROR(__xludf.DUMMYFUNCTION("""COMPUTED_VALUE"""),"tun")</f>
        <v>tun</v>
      </c>
      <c r="C16218" t="str">
        <f>IFERROR(__xludf.DUMMYFUNCTION("""COMPUTED_VALUE"""),"Tunisia")</f>
        <v>Tunisia</v>
      </c>
      <c r="D16218">
        <f>IFERROR(__xludf.DUMMYFUNCTION("""COMPUTED_VALUE"""),1966.0)</f>
        <v>1966</v>
      </c>
      <c r="E16218">
        <f>IFERROR(__xludf.DUMMYFUNCTION("""COMPUTED_VALUE"""),4638275.0)</f>
        <v>4638275</v>
      </c>
    </row>
    <row r="16219">
      <c r="A16219" t="str">
        <f t="shared" si="1"/>
        <v>tun#1967</v>
      </c>
      <c r="B16219" t="str">
        <f>IFERROR(__xludf.DUMMYFUNCTION("""COMPUTED_VALUE"""),"tun")</f>
        <v>tun</v>
      </c>
      <c r="C16219" t="str">
        <f>IFERROR(__xludf.DUMMYFUNCTION("""COMPUTED_VALUE"""),"Tunisia")</f>
        <v>Tunisia</v>
      </c>
      <c r="D16219">
        <f>IFERROR(__xludf.DUMMYFUNCTION("""COMPUTED_VALUE"""),1967.0)</f>
        <v>1967</v>
      </c>
      <c r="E16219">
        <f>IFERROR(__xludf.DUMMYFUNCTION("""COMPUTED_VALUE"""),4737627.0)</f>
        <v>4737627</v>
      </c>
    </row>
    <row r="16220">
      <c r="A16220" t="str">
        <f t="shared" si="1"/>
        <v>tun#1968</v>
      </c>
      <c r="B16220" t="str">
        <f>IFERROR(__xludf.DUMMYFUNCTION("""COMPUTED_VALUE"""),"tun")</f>
        <v>tun</v>
      </c>
      <c r="C16220" t="str">
        <f>IFERROR(__xludf.DUMMYFUNCTION("""COMPUTED_VALUE"""),"Tunisia")</f>
        <v>Tunisia</v>
      </c>
      <c r="D16220">
        <f>IFERROR(__xludf.DUMMYFUNCTION("""COMPUTED_VALUE"""),1968.0)</f>
        <v>1968</v>
      </c>
      <c r="E16220">
        <f>IFERROR(__xludf.DUMMYFUNCTION("""COMPUTED_VALUE"""),4842167.0)</f>
        <v>4842167</v>
      </c>
    </row>
    <row r="16221">
      <c r="A16221" t="str">
        <f t="shared" si="1"/>
        <v>tun#1969</v>
      </c>
      <c r="B16221" t="str">
        <f>IFERROR(__xludf.DUMMYFUNCTION("""COMPUTED_VALUE"""),"tun")</f>
        <v>tun</v>
      </c>
      <c r="C16221" t="str">
        <f>IFERROR(__xludf.DUMMYFUNCTION("""COMPUTED_VALUE"""),"Tunisia")</f>
        <v>Tunisia</v>
      </c>
      <c r="D16221">
        <f>IFERROR(__xludf.DUMMYFUNCTION("""COMPUTED_VALUE"""),1969.0)</f>
        <v>1969</v>
      </c>
      <c r="E16221">
        <f>IFERROR(__xludf.DUMMYFUNCTION("""COMPUTED_VALUE"""),4950153.0)</f>
        <v>4950153</v>
      </c>
    </row>
    <row r="16222">
      <c r="A16222" t="str">
        <f t="shared" si="1"/>
        <v>tun#1970</v>
      </c>
      <c r="B16222" t="str">
        <f>IFERROR(__xludf.DUMMYFUNCTION("""COMPUTED_VALUE"""),"tun")</f>
        <v>tun</v>
      </c>
      <c r="C16222" t="str">
        <f>IFERROR(__xludf.DUMMYFUNCTION("""COMPUTED_VALUE"""),"Tunisia")</f>
        <v>Tunisia</v>
      </c>
      <c r="D16222">
        <f>IFERROR(__xludf.DUMMYFUNCTION("""COMPUTED_VALUE"""),1970.0)</f>
        <v>1970</v>
      </c>
      <c r="E16222">
        <f>IFERROR(__xludf.DUMMYFUNCTION("""COMPUTED_VALUE"""),5060397.0)</f>
        <v>5060397</v>
      </c>
    </row>
    <row r="16223">
      <c r="A16223" t="str">
        <f t="shared" si="1"/>
        <v>tun#1971</v>
      </c>
      <c r="B16223" t="str">
        <f>IFERROR(__xludf.DUMMYFUNCTION("""COMPUTED_VALUE"""),"tun")</f>
        <v>tun</v>
      </c>
      <c r="C16223" t="str">
        <f>IFERROR(__xludf.DUMMYFUNCTION("""COMPUTED_VALUE"""),"Tunisia")</f>
        <v>Tunisia</v>
      </c>
      <c r="D16223">
        <f>IFERROR(__xludf.DUMMYFUNCTION("""COMPUTED_VALUE"""),1971.0)</f>
        <v>1971</v>
      </c>
      <c r="E16223">
        <f>IFERROR(__xludf.DUMMYFUNCTION("""COMPUTED_VALUE"""),5172691.0)</f>
        <v>5172691</v>
      </c>
    </row>
    <row r="16224">
      <c r="A16224" t="str">
        <f t="shared" si="1"/>
        <v>tun#1972</v>
      </c>
      <c r="B16224" t="str">
        <f>IFERROR(__xludf.DUMMYFUNCTION("""COMPUTED_VALUE"""),"tun")</f>
        <v>tun</v>
      </c>
      <c r="C16224" t="str">
        <f>IFERROR(__xludf.DUMMYFUNCTION("""COMPUTED_VALUE"""),"Tunisia")</f>
        <v>Tunisia</v>
      </c>
      <c r="D16224">
        <f>IFERROR(__xludf.DUMMYFUNCTION("""COMPUTED_VALUE"""),1972.0)</f>
        <v>1972</v>
      </c>
      <c r="E16224">
        <f>IFERROR(__xludf.DUMMYFUNCTION("""COMPUTED_VALUE"""),5287543.0)</f>
        <v>5287543</v>
      </c>
    </row>
    <row r="16225">
      <c r="A16225" t="str">
        <f t="shared" si="1"/>
        <v>tun#1973</v>
      </c>
      <c r="B16225" t="str">
        <f>IFERROR(__xludf.DUMMYFUNCTION("""COMPUTED_VALUE"""),"tun")</f>
        <v>tun</v>
      </c>
      <c r="C16225" t="str">
        <f>IFERROR(__xludf.DUMMYFUNCTION("""COMPUTED_VALUE"""),"Tunisia")</f>
        <v>Tunisia</v>
      </c>
      <c r="D16225">
        <f>IFERROR(__xludf.DUMMYFUNCTION("""COMPUTED_VALUE"""),1973.0)</f>
        <v>1973</v>
      </c>
      <c r="E16225">
        <f>IFERROR(__xludf.DUMMYFUNCTION("""COMPUTED_VALUE"""),5405355.0)</f>
        <v>5405355</v>
      </c>
    </row>
    <row r="16226">
      <c r="A16226" t="str">
        <f t="shared" si="1"/>
        <v>tun#1974</v>
      </c>
      <c r="B16226" t="str">
        <f>IFERROR(__xludf.DUMMYFUNCTION("""COMPUTED_VALUE"""),"tun")</f>
        <v>tun</v>
      </c>
      <c r="C16226" t="str">
        <f>IFERROR(__xludf.DUMMYFUNCTION("""COMPUTED_VALUE"""),"Tunisia")</f>
        <v>Tunisia</v>
      </c>
      <c r="D16226">
        <f>IFERROR(__xludf.DUMMYFUNCTION("""COMPUTED_VALUE"""),1974.0)</f>
        <v>1974</v>
      </c>
      <c r="E16226">
        <f>IFERROR(__xludf.DUMMYFUNCTION("""COMPUTED_VALUE"""),5526764.0)</f>
        <v>5526764</v>
      </c>
    </row>
    <row r="16227">
      <c r="A16227" t="str">
        <f t="shared" si="1"/>
        <v>tun#1975</v>
      </c>
      <c r="B16227" t="str">
        <f>IFERROR(__xludf.DUMMYFUNCTION("""COMPUTED_VALUE"""),"tun")</f>
        <v>tun</v>
      </c>
      <c r="C16227" t="str">
        <f>IFERROR(__xludf.DUMMYFUNCTION("""COMPUTED_VALUE"""),"Tunisia")</f>
        <v>Tunisia</v>
      </c>
      <c r="D16227">
        <f>IFERROR(__xludf.DUMMYFUNCTION("""COMPUTED_VALUE"""),1975.0)</f>
        <v>1975</v>
      </c>
      <c r="E16227">
        <f>IFERROR(__xludf.DUMMYFUNCTION("""COMPUTED_VALUE"""),5652476.0)</f>
        <v>5652476</v>
      </c>
    </row>
    <row r="16228">
      <c r="A16228" t="str">
        <f t="shared" si="1"/>
        <v>tun#1976</v>
      </c>
      <c r="B16228" t="str">
        <f>IFERROR(__xludf.DUMMYFUNCTION("""COMPUTED_VALUE"""),"tun")</f>
        <v>tun</v>
      </c>
      <c r="C16228" t="str">
        <f>IFERROR(__xludf.DUMMYFUNCTION("""COMPUTED_VALUE"""),"Tunisia")</f>
        <v>Tunisia</v>
      </c>
      <c r="D16228">
        <f>IFERROR(__xludf.DUMMYFUNCTION("""COMPUTED_VALUE"""),1976.0)</f>
        <v>1976</v>
      </c>
      <c r="E16228">
        <f>IFERROR(__xludf.DUMMYFUNCTION("""COMPUTED_VALUE"""),5781796.0)</f>
        <v>5781796</v>
      </c>
    </row>
    <row r="16229">
      <c r="A16229" t="str">
        <f t="shared" si="1"/>
        <v>tun#1977</v>
      </c>
      <c r="B16229" t="str">
        <f>IFERROR(__xludf.DUMMYFUNCTION("""COMPUTED_VALUE"""),"tun")</f>
        <v>tun</v>
      </c>
      <c r="C16229" t="str">
        <f>IFERROR(__xludf.DUMMYFUNCTION("""COMPUTED_VALUE"""),"Tunisia")</f>
        <v>Tunisia</v>
      </c>
      <c r="D16229">
        <f>IFERROR(__xludf.DUMMYFUNCTION("""COMPUTED_VALUE"""),1977.0)</f>
        <v>1977</v>
      </c>
      <c r="E16229">
        <f>IFERROR(__xludf.DUMMYFUNCTION("""COMPUTED_VALUE"""),5915006.0)</f>
        <v>5915006</v>
      </c>
    </row>
    <row r="16230">
      <c r="A16230" t="str">
        <f t="shared" si="1"/>
        <v>tun#1978</v>
      </c>
      <c r="B16230" t="str">
        <f>IFERROR(__xludf.DUMMYFUNCTION("""COMPUTED_VALUE"""),"tun")</f>
        <v>tun</v>
      </c>
      <c r="C16230" t="str">
        <f>IFERROR(__xludf.DUMMYFUNCTION("""COMPUTED_VALUE"""),"Tunisia")</f>
        <v>Tunisia</v>
      </c>
      <c r="D16230">
        <f>IFERROR(__xludf.DUMMYFUNCTION("""COMPUTED_VALUE"""),1978.0)</f>
        <v>1978</v>
      </c>
      <c r="E16230">
        <f>IFERROR(__xludf.DUMMYFUNCTION("""COMPUTED_VALUE"""),6054911.0)</f>
        <v>6054911</v>
      </c>
    </row>
    <row r="16231">
      <c r="A16231" t="str">
        <f t="shared" si="1"/>
        <v>tun#1979</v>
      </c>
      <c r="B16231" t="str">
        <f>IFERROR(__xludf.DUMMYFUNCTION("""COMPUTED_VALUE"""),"tun")</f>
        <v>tun</v>
      </c>
      <c r="C16231" t="str">
        <f>IFERROR(__xludf.DUMMYFUNCTION("""COMPUTED_VALUE"""),"Tunisia")</f>
        <v>Tunisia</v>
      </c>
      <c r="D16231">
        <f>IFERROR(__xludf.DUMMYFUNCTION("""COMPUTED_VALUE"""),1979.0)</f>
        <v>1979</v>
      </c>
      <c r="E16231">
        <f>IFERROR(__xludf.DUMMYFUNCTION("""COMPUTED_VALUE"""),6205212.0)</f>
        <v>6205212</v>
      </c>
    </row>
    <row r="16232">
      <c r="A16232" t="str">
        <f t="shared" si="1"/>
        <v>tun#1980</v>
      </c>
      <c r="B16232" t="str">
        <f>IFERROR(__xludf.DUMMYFUNCTION("""COMPUTED_VALUE"""),"tun")</f>
        <v>tun</v>
      </c>
      <c r="C16232" t="str">
        <f>IFERROR(__xludf.DUMMYFUNCTION("""COMPUTED_VALUE"""),"Tunisia")</f>
        <v>Tunisia</v>
      </c>
      <c r="D16232">
        <f>IFERROR(__xludf.DUMMYFUNCTION("""COMPUTED_VALUE"""),1980.0)</f>
        <v>1980</v>
      </c>
      <c r="E16232">
        <f>IFERROR(__xludf.DUMMYFUNCTION("""COMPUTED_VALUE"""),6368167.0)</f>
        <v>6368167</v>
      </c>
    </row>
    <row r="16233">
      <c r="A16233" t="str">
        <f t="shared" si="1"/>
        <v>tun#1981</v>
      </c>
      <c r="B16233" t="str">
        <f>IFERROR(__xludf.DUMMYFUNCTION("""COMPUTED_VALUE"""),"tun")</f>
        <v>tun</v>
      </c>
      <c r="C16233" t="str">
        <f>IFERROR(__xludf.DUMMYFUNCTION("""COMPUTED_VALUE"""),"Tunisia")</f>
        <v>Tunisia</v>
      </c>
      <c r="D16233">
        <f>IFERROR(__xludf.DUMMYFUNCTION("""COMPUTED_VALUE"""),1981.0)</f>
        <v>1981</v>
      </c>
      <c r="E16233">
        <f>IFERROR(__xludf.DUMMYFUNCTION("""COMPUTED_VALUE"""),6545024.0)</f>
        <v>6545024</v>
      </c>
    </row>
    <row r="16234">
      <c r="A16234" t="str">
        <f t="shared" si="1"/>
        <v>tun#1982</v>
      </c>
      <c r="B16234" t="str">
        <f>IFERROR(__xludf.DUMMYFUNCTION("""COMPUTED_VALUE"""),"tun")</f>
        <v>tun</v>
      </c>
      <c r="C16234" t="str">
        <f>IFERROR(__xludf.DUMMYFUNCTION("""COMPUTED_VALUE"""),"Tunisia")</f>
        <v>Tunisia</v>
      </c>
      <c r="D16234">
        <f>IFERROR(__xludf.DUMMYFUNCTION("""COMPUTED_VALUE"""),1982.0)</f>
        <v>1982</v>
      </c>
      <c r="E16234">
        <f>IFERROR(__xludf.DUMMYFUNCTION("""COMPUTED_VALUE"""),6733961.0)</f>
        <v>6733961</v>
      </c>
    </row>
    <row r="16235">
      <c r="A16235" t="str">
        <f t="shared" si="1"/>
        <v>tun#1983</v>
      </c>
      <c r="B16235" t="str">
        <f>IFERROR(__xludf.DUMMYFUNCTION("""COMPUTED_VALUE"""),"tun")</f>
        <v>tun</v>
      </c>
      <c r="C16235" t="str">
        <f>IFERROR(__xludf.DUMMYFUNCTION("""COMPUTED_VALUE"""),"Tunisia")</f>
        <v>Tunisia</v>
      </c>
      <c r="D16235">
        <f>IFERROR(__xludf.DUMMYFUNCTION("""COMPUTED_VALUE"""),1983.0)</f>
        <v>1983</v>
      </c>
      <c r="E16235">
        <f>IFERROR(__xludf.DUMMYFUNCTION("""COMPUTED_VALUE"""),6930387.0)</f>
        <v>6930387</v>
      </c>
    </row>
    <row r="16236">
      <c r="A16236" t="str">
        <f t="shared" si="1"/>
        <v>tun#1984</v>
      </c>
      <c r="B16236" t="str">
        <f>IFERROR(__xludf.DUMMYFUNCTION("""COMPUTED_VALUE"""),"tun")</f>
        <v>tun</v>
      </c>
      <c r="C16236" t="str">
        <f>IFERROR(__xludf.DUMMYFUNCTION("""COMPUTED_VALUE"""),"Tunisia")</f>
        <v>Tunisia</v>
      </c>
      <c r="D16236">
        <f>IFERROR(__xludf.DUMMYFUNCTION("""COMPUTED_VALUE"""),1984.0)</f>
        <v>1984</v>
      </c>
      <c r="E16236">
        <f>IFERROR(__xludf.DUMMYFUNCTION("""COMPUTED_VALUE"""),7127941.0)</f>
        <v>7127941</v>
      </c>
    </row>
    <row r="16237">
      <c r="A16237" t="str">
        <f t="shared" si="1"/>
        <v>tun#1985</v>
      </c>
      <c r="B16237" t="str">
        <f>IFERROR(__xludf.DUMMYFUNCTION("""COMPUTED_VALUE"""),"tun")</f>
        <v>tun</v>
      </c>
      <c r="C16237" t="str">
        <f>IFERROR(__xludf.DUMMYFUNCTION("""COMPUTED_VALUE"""),"Tunisia")</f>
        <v>Tunisia</v>
      </c>
      <c r="D16237">
        <f>IFERROR(__xludf.DUMMYFUNCTION("""COMPUTED_VALUE"""),1985.0)</f>
        <v>1985</v>
      </c>
      <c r="E16237">
        <f>IFERROR(__xludf.DUMMYFUNCTION("""COMPUTED_VALUE"""),7321876.0)</f>
        <v>7321876</v>
      </c>
    </row>
    <row r="16238">
      <c r="A16238" t="str">
        <f t="shared" si="1"/>
        <v>tun#1986</v>
      </c>
      <c r="B16238" t="str">
        <f>IFERROR(__xludf.DUMMYFUNCTION("""COMPUTED_VALUE"""),"tun")</f>
        <v>tun</v>
      </c>
      <c r="C16238" t="str">
        <f>IFERROR(__xludf.DUMMYFUNCTION("""COMPUTED_VALUE"""),"Tunisia")</f>
        <v>Tunisia</v>
      </c>
      <c r="D16238">
        <f>IFERROR(__xludf.DUMMYFUNCTION("""COMPUTED_VALUE"""),1986.0)</f>
        <v>1986</v>
      </c>
      <c r="E16238">
        <f>IFERROR(__xludf.DUMMYFUNCTION("""COMPUTED_VALUE"""),7509756.0)</f>
        <v>7509756</v>
      </c>
    </row>
    <row r="16239">
      <c r="A16239" t="str">
        <f t="shared" si="1"/>
        <v>tun#1987</v>
      </c>
      <c r="B16239" t="str">
        <f>IFERROR(__xludf.DUMMYFUNCTION("""COMPUTED_VALUE"""),"tun")</f>
        <v>tun</v>
      </c>
      <c r="C16239" t="str">
        <f>IFERROR(__xludf.DUMMYFUNCTION("""COMPUTED_VALUE"""),"Tunisia")</f>
        <v>Tunisia</v>
      </c>
      <c r="D16239">
        <f>IFERROR(__xludf.DUMMYFUNCTION("""COMPUTED_VALUE"""),1987.0)</f>
        <v>1987</v>
      </c>
      <c r="E16239">
        <f>IFERROR(__xludf.DUMMYFUNCTION("""COMPUTED_VALUE"""),7692254.0)</f>
        <v>7692254</v>
      </c>
    </row>
    <row r="16240">
      <c r="A16240" t="str">
        <f t="shared" si="1"/>
        <v>tun#1988</v>
      </c>
      <c r="B16240" t="str">
        <f>IFERROR(__xludf.DUMMYFUNCTION("""COMPUTED_VALUE"""),"tun")</f>
        <v>tun</v>
      </c>
      <c r="C16240" t="str">
        <f>IFERROR(__xludf.DUMMYFUNCTION("""COMPUTED_VALUE"""),"Tunisia")</f>
        <v>Tunisia</v>
      </c>
      <c r="D16240">
        <f>IFERROR(__xludf.DUMMYFUNCTION("""COMPUTED_VALUE"""),1988.0)</f>
        <v>1988</v>
      </c>
      <c r="E16240">
        <f>IFERROR(__xludf.DUMMYFUNCTION("""COMPUTED_VALUE"""),7871459.0)</f>
        <v>7871459</v>
      </c>
    </row>
    <row r="16241">
      <c r="A16241" t="str">
        <f t="shared" si="1"/>
        <v>tun#1989</v>
      </c>
      <c r="B16241" t="str">
        <f>IFERROR(__xludf.DUMMYFUNCTION("""COMPUTED_VALUE"""),"tun")</f>
        <v>tun</v>
      </c>
      <c r="C16241" t="str">
        <f>IFERROR(__xludf.DUMMYFUNCTION("""COMPUTED_VALUE"""),"Tunisia")</f>
        <v>Tunisia</v>
      </c>
      <c r="D16241">
        <f>IFERROR(__xludf.DUMMYFUNCTION("""COMPUTED_VALUE"""),1989.0)</f>
        <v>1989</v>
      </c>
      <c r="E16241">
        <f>IFERROR(__xludf.DUMMYFUNCTION("""COMPUTED_VALUE"""),8050932.0)</f>
        <v>8050932</v>
      </c>
    </row>
    <row r="16242">
      <c r="A16242" t="str">
        <f t="shared" si="1"/>
        <v>tun#1990</v>
      </c>
      <c r="B16242" t="str">
        <f>IFERROR(__xludf.DUMMYFUNCTION("""COMPUTED_VALUE"""),"tun")</f>
        <v>tun</v>
      </c>
      <c r="C16242" t="str">
        <f>IFERROR(__xludf.DUMMYFUNCTION("""COMPUTED_VALUE"""),"Tunisia")</f>
        <v>Tunisia</v>
      </c>
      <c r="D16242">
        <f>IFERROR(__xludf.DUMMYFUNCTION("""COMPUTED_VALUE"""),1990.0)</f>
        <v>1990</v>
      </c>
      <c r="E16242">
        <f>IFERROR(__xludf.DUMMYFUNCTION("""COMPUTED_VALUE"""),8232797.0)</f>
        <v>8232797</v>
      </c>
    </row>
    <row r="16243">
      <c r="A16243" t="str">
        <f t="shared" si="1"/>
        <v>tun#1991</v>
      </c>
      <c r="B16243" t="str">
        <f>IFERROR(__xludf.DUMMYFUNCTION("""COMPUTED_VALUE"""),"tun")</f>
        <v>tun</v>
      </c>
      <c r="C16243" t="str">
        <f>IFERROR(__xludf.DUMMYFUNCTION("""COMPUTED_VALUE"""),"Tunisia")</f>
        <v>Tunisia</v>
      </c>
      <c r="D16243">
        <f>IFERROR(__xludf.DUMMYFUNCTION("""COMPUTED_VALUE"""),1991.0)</f>
        <v>1991</v>
      </c>
      <c r="E16243">
        <f>IFERROR(__xludf.DUMMYFUNCTION("""COMPUTED_VALUE"""),8417684.0)</f>
        <v>8417684</v>
      </c>
    </row>
    <row r="16244">
      <c r="A16244" t="str">
        <f t="shared" si="1"/>
        <v>tun#1992</v>
      </c>
      <c r="B16244" t="str">
        <f>IFERROR(__xludf.DUMMYFUNCTION("""COMPUTED_VALUE"""),"tun")</f>
        <v>tun</v>
      </c>
      <c r="C16244" t="str">
        <f>IFERROR(__xludf.DUMMYFUNCTION("""COMPUTED_VALUE"""),"Tunisia")</f>
        <v>Tunisia</v>
      </c>
      <c r="D16244">
        <f>IFERROR(__xludf.DUMMYFUNCTION("""COMPUTED_VALUE"""),1992.0)</f>
        <v>1992</v>
      </c>
      <c r="E16244">
        <f>IFERROR(__xludf.DUMMYFUNCTION("""COMPUTED_VALUE"""),8603225.0)</f>
        <v>8603225</v>
      </c>
    </row>
    <row r="16245">
      <c r="A16245" t="str">
        <f t="shared" si="1"/>
        <v>tun#1993</v>
      </c>
      <c r="B16245" t="str">
        <f>IFERROR(__xludf.DUMMYFUNCTION("""COMPUTED_VALUE"""),"tun")</f>
        <v>tun</v>
      </c>
      <c r="C16245" t="str">
        <f>IFERROR(__xludf.DUMMYFUNCTION("""COMPUTED_VALUE"""),"Tunisia")</f>
        <v>Tunisia</v>
      </c>
      <c r="D16245">
        <f>IFERROR(__xludf.DUMMYFUNCTION("""COMPUTED_VALUE"""),1993.0)</f>
        <v>1993</v>
      </c>
      <c r="E16245">
        <f>IFERROR(__xludf.DUMMYFUNCTION("""COMPUTED_VALUE"""),8784888.0)</f>
        <v>8784888</v>
      </c>
    </row>
    <row r="16246">
      <c r="A16246" t="str">
        <f t="shared" si="1"/>
        <v>tun#1994</v>
      </c>
      <c r="B16246" t="str">
        <f>IFERROR(__xludf.DUMMYFUNCTION("""COMPUTED_VALUE"""),"tun")</f>
        <v>tun</v>
      </c>
      <c r="C16246" t="str">
        <f>IFERROR(__xludf.DUMMYFUNCTION("""COMPUTED_VALUE"""),"Tunisia")</f>
        <v>Tunisia</v>
      </c>
      <c r="D16246">
        <f>IFERROR(__xludf.DUMMYFUNCTION("""COMPUTED_VALUE"""),1994.0)</f>
        <v>1994</v>
      </c>
      <c r="E16246">
        <f>IFERROR(__xludf.DUMMYFUNCTION("""COMPUTED_VALUE"""),8956596.0)</f>
        <v>8956596</v>
      </c>
    </row>
    <row r="16247">
      <c r="A16247" t="str">
        <f t="shared" si="1"/>
        <v>tun#1995</v>
      </c>
      <c r="B16247" t="str">
        <f>IFERROR(__xludf.DUMMYFUNCTION("""COMPUTED_VALUE"""),"tun")</f>
        <v>tun</v>
      </c>
      <c r="C16247" t="str">
        <f>IFERROR(__xludf.DUMMYFUNCTION("""COMPUTED_VALUE"""),"Tunisia")</f>
        <v>Tunisia</v>
      </c>
      <c r="D16247">
        <f>IFERROR(__xludf.DUMMYFUNCTION("""COMPUTED_VALUE"""),1995.0)</f>
        <v>1995</v>
      </c>
      <c r="E16247">
        <f>IFERROR(__xludf.DUMMYFUNCTION("""COMPUTED_VALUE"""),9113975.0)</f>
        <v>9113975</v>
      </c>
    </row>
    <row r="16248">
      <c r="A16248" t="str">
        <f t="shared" si="1"/>
        <v>tun#1996</v>
      </c>
      <c r="B16248" t="str">
        <f>IFERROR(__xludf.DUMMYFUNCTION("""COMPUTED_VALUE"""),"tun")</f>
        <v>tun</v>
      </c>
      <c r="C16248" t="str">
        <f>IFERROR(__xludf.DUMMYFUNCTION("""COMPUTED_VALUE"""),"Tunisia")</f>
        <v>Tunisia</v>
      </c>
      <c r="D16248">
        <f>IFERROR(__xludf.DUMMYFUNCTION("""COMPUTED_VALUE"""),1996.0)</f>
        <v>1996</v>
      </c>
      <c r="E16248">
        <f>IFERROR(__xludf.DUMMYFUNCTION("""COMPUTED_VALUE"""),9256037.0)</f>
        <v>9256037</v>
      </c>
    </row>
    <row r="16249">
      <c r="A16249" t="str">
        <f t="shared" si="1"/>
        <v>tun#1997</v>
      </c>
      <c r="B16249" t="str">
        <f>IFERROR(__xludf.DUMMYFUNCTION("""COMPUTED_VALUE"""),"tun")</f>
        <v>tun</v>
      </c>
      <c r="C16249" t="str">
        <f>IFERROR(__xludf.DUMMYFUNCTION("""COMPUTED_VALUE"""),"Tunisia")</f>
        <v>Tunisia</v>
      </c>
      <c r="D16249">
        <f>IFERROR(__xludf.DUMMYFUNCTION("""COMPUTED_VALUE"""),1997.0)</f>
        <v>1997</v>
      </c>
      <c r="E16249">
        <f>IFERROR(__xludf.DUMMYFUNCTION("""COMPUTED_VALUE"""),9384152.0)</f>
        <v>9384152</v>
      </c>
    </row>
    <row r="16250">
      <c r="A16250" t="str">
        <f t="shared" si="1"/>
        <v>tun#1998</v>
      </c>
      <c r="B16250" t="str">
        <f>IFERROR(__xludf.DUMMYFUNCTION("""COMPUTED_VALUE"""),"tun")</f>
        <v>tun</v>
      </c>
      <c r="C16250" t="str">
        <f>IFERROR(__xludf.DUMMYFUNCTION("""COMPUTED_VALUE"""),"Tunisia")</f>
        <v>Tunisia</v>
      </c>
      <c r="D16250">
        <f>IFERROR(__xludf.DUMMYFUNCTION("""COMPUTED_VALUE"""),1998.0)</f>
        <v>1998</v>
      </c>
      <c r="E16250">
        <f>IFERROR(__xludf.DUMMYFUNCTION("""COMPUTED_VALUE"""),9499395.0)</f>
        <v>9499395</v>
      </c>
    </row>
    <row r="16251">
      <c r="A16251" t="str">
        <f t="shared" si="1"/>
        <v>tun#1999</v>
      </c>
      <c r="B16251" t="str">
        <f>IFERROR(__xludf.DUMMYFUNCTION("""COMPUTED_VALUE"""),"tun")</f>
        <v>tun</v>
      </c>
      <c r="C16251" t="str">
        <f>IFERROR(__xludf.DUMMYFUNCTION("""COMPUTED_VALUE"""),"Tunisia")</f>
        <v>Tunisia</v>
      </c>
      <c r="D16251">
        <f>IFERROR(__xludf.DUMMYFUNCTION("""COMPUTED_VALUE"""),1999.0)</f>
        <v>1999</v>
      </c>
      <c r="E16251">
        <f>IFERROR(__xludf.DUMMYFUNCTION("""COMPUTED_VALUE"""),9603742.0)</f>
        <v>9603742</v>
      </c>
    </row>
    <row r="16252">
      <c r="A16252" t="str">
        <f t="shared" si="1"/>
        <v>tun#2000</v>
      </c>
      <c r="B16252" t="str">
        <f>IFERROR(__xludf.DUMMYFUNCTION("""COMPUTED_VALUE"""),"tun")</f>
        <v>tun</v>
      </c>
      <c r="C16252" t="str">
        <f>IFERROR(__xludf.DUMMYFUNCTION("""COMPUTED_VALUE"""),"Tunisia")</f>
        <v>Tunisia</v>
      </c>
      <c r="D16252">
        <f>IFERROR(__xludf.DUMMYFUNCTION("""COMPUTED_VALUE"""),2000.0)</f>
        <v>2000</v>
      </c>
      <c r="E16252">
        <f>IFERROR(__xludf.DUMMYFUNCTION("""COMPUTED_VALUE"""),9699197.0)</f>
        <v>9699197</v>
      </c>
    </row>
    <row r="16253">
      <c r="A16253" t="str">
        <f t="shared" si="1"/>
        <v>tun#2001</v>
      </c>
      <c r="B16253" t="str">
        <f>IFERROR(__xludf.DUMMYFUNCTION("""COMPUTED_VALUE"""),"tun")</f>
        <v>tun</v>
      </c>
      <c r="C16253" t="str">
        <f>IFERROR(__xludf.DUMMYFUNCTION("""COMPUTED_VALUE"""),"Tunisia")</f>
        <v>Tunisia</v>
      </c>
      <c r="D16253">
        <f>IFERROR(__xludf.DUMMYFUNCTION("""COMPUTED_VALUE"""),2001.0)</f>
        <v>2001</v>
      </c>
      <c r="E16253">
        <f>IFERROR(__xludf.DUMMYFUNCTION("""COMPUTED_VALUE"""),9785701.0)</f>
        <v>9785701</v>
      </c>
    </row>
    <row r="16254">
      <c r="A16254" t="str">
        <f t="shared" si="1"/>
        <v>tun#2002</v>
      </c>
      <c r="B16254" t="str">
        <f>IFERROR(__xludf.DUMMYFUNCTION("""COMPUTED_VALUE"""),"tun")</f>
        <v>tun</v>
      </c>
      <c r="C16254" t="str">
        <f>IFERROR(__xludf.DUMMYFUNCTION("""COMPUTED_VALUE"""),"Tunisia")</f>
        <v>Tunisia</v>
      </c>
      <c r="D16254">
        <f>IFERROR(__xludf.DUMMYFUNCTION("""COMPUTED_VALUE"""),2002.0)</f>
        <v>2002</v>
      </c>
      <c r="E16254">
        <f>IFERROR(__xludf.DUMMYFUNCTION("""COMPUTED_VALUE"""),9864326.0)</f>
        <v>9864326</v>
      </c>
    </row>
    <row r="16255">
      <c r="A16255" t="str">
        <f t="shared" si="1"/>
        <v>tun#2003</v>
      </c>
      <c r="B16255" t="str">
        <f>IFERROR(__xludf.DUMMYFUNCTION("""COMPUTED_VALUE"""),"tun")</f>
        <v>tun</v>
      </c>
      <c r="C16255" t="str">
        <f>IFERROR(__xludf.DUMMYFUNCTION("""COMPUTED_VALUE"""),"Tunisia")</f>
        <v>Tunisia</v>
      </c>
      <c r="D16255">
        <f>IFERROR(__xludf.DUMMYFUNCTION("""COMPUTED_VALUE"""),2003.0)</f>
        <v>2003</v>
      </c>
      <c r="E16255">
        <f>IFERROR(__xludf.DUMMYFUNCTION("""COMPUTED_VALUE"""),9939678.0)</f>
        <v>9939678</v>
      </c>
    </row>
    <row r="16256">
      <c r="A16256" t="str">
        <f t="shared" si="1"/>
        <v>tun#2004</v>
      </c>
      <c r="B16256" t="str">
        <f>IFERROR(__xludf.DUMMYFUNCTION("""COMPUTED_VALUE"""),"tun")</f>
        <v>tun</v>
      </c>
      <c r="C16256" t="str">
        <f>IFERROR(__xludf.DUMMYFUNCTION("""COMPUTED_VALUE"""),"Tunisia")</f>
        <v>Tunisia</v>
      </c>
      <c r="D16256">
        <f>IFERROR(__xludf.DUMMYFUNCTION("""COMPUTED_VALUE"""),2004.0)</f>
        <v>2004</v>
      </c>
      <c r="E16256">
        <f>IFERROR(__xludf.DUMMYFUNCTION("""COMPUTED_VALUE"""),1.0017601E7)</f>
        <v>10017601</v>
      </c>
    </row>
    <row r="16257">
      <c r="A16257" t="str">
        <f t="shared" si="1"/>
        <v>tun#2005</v>
      </c>
      <c r="B16257" t="str">
        <f>IFERROR(__xludf.DUMMYFUNCTION("""COMPUTED_VALUE"""),"tun")</f>
        <v>tun</v>
      </c>
      <c r="C16257" t="str">
        <f>IFERROR(__xludf.DUMMYFUNCTION("""COMPUTED_VALUE"""),"Tunisia")</f>
        <v>Tunisia</v>
      </c>
      <c r="D16257">
        <f>IFERROR(__xludf.DUMMYFUNCTION("""COMPUTED_VALUE"""),2005.0)</f>
        <v>2005</v>
      </c>
      <c r="E16257">
        <f>IFERROR(__xludf.DUMMYFUNCTION("""COMPUTED_VALUE"""),1.0102482E7)</f>
        <v>10102482</v>
      </c>
    </row>
    <row r="16258">
      <c r="A16258" t="str">
        <f t="shared" si="1"/>
        <v>tun#2006</v>
      </c>
      <c r="B16258" t="str">
        <f>IFERROR(__xludf.DUMMYFUNCTION("""COMPUTED_VALUE"""),"tun")</f>
        <v>tun</v>
      </c>
      <c r="C16258" t="str">
        <f>IFERROR(__xludf.DUMMYFUNCTION("""COMPUTED_VALUE"""),"Tunisia")</f>
        <v>Tunisia</v>
      </c>
      <c r="D16258">
        <f>IFERROR(__xludf.DUMMYFUNCTION("""COMPUTED_VALUE"""),2006.0)</f>
        <v>2006</v>
      </c>
      <c r="E16258">
        <f>IFERROR(__xludf.DUMMYFUNCTION("""COMPUTED_VALUE"""),1.0196136E7)</f>
        <v>10196136</v>
      </c>
    </row>
    <row r="16259">
      <c r="A16259" t="str">
        <f t="shared" si="1"/>
        <v>tun#2007</v>
      </c>
      <c r="B16259" t="str">
        <f>IFERROR(__xludf.DUMMYFUNCTION("""COMPUTED_VALUE"""),"tun")</f>
        <v>tun</v>
      </c>
      <c r="C16259" t="str">
        <f>IFERROR(__xludf.DUMMYFUNCTION("""COMPUTED_VALUE"""),"Tunisia")</f>
        <v>Tunisia</v>
      </c>
      <c r="D16259">
        <f>IFERROR(__xludf.DUMMYFUNCTION("""COMPUTED_VALUE"""),2007.0)</f>
        <v>2007</v>
      </c>
      <c r="E16259">
        <f>IFERROR(__xludf.DUMMYFUNCTION("""COMPUTED_VALUE"""),1.0298087E7)</f>
        <v>10298087</v>
      </c>
    </row>
    <row r="16260">
      <c r="A16260" t="str">
        <f t="shared" si="1"/>
        <v>tun#2008</v>
      </c>
      <c r="B16260" t="str">
        <f>IFERROR(__xludf.DUMMYFUNCTION("""COMPUTED_VALUE"""),"tun")</f>
        <v>tun</v>
      </c>
      <c r="C16260" t="str">
        <f>IFERROR(__xludf.DUMMYFUNCTION("""COMPUTED_VALUE"""),"Tunisia")</f>
        <v>Tunisia</v>
      </c>
      <c r="D16260">
        <f>IFERROR(__xludf.DUMMYFUNCTION("""COMPUTED_VALUE"""),2008.0)</f>
        <v>2008</v>
      </c>
      <c r="E16260">
        <f>IFERROR(__xludf.DUMMYFUNCTION("""COMPUTED_VALUE"""),1.0407336E7)</f>
        <v>10407336</v>
      </c>
    </row>
    <row r="16261">
      <c r="A16261" t="str">
        <f t="shared" si="1"/>
        <v>tun#2009</v>
      </c>
      <c r="B16261" t="str">
        <f>IFERROR(__xludf.DUMMYFUNCTION("""COMPUTED_VALUE"""),"tun")</f>
        <v>tun</v>
      </c>
      <c r="C16261" t="str">
        <f>IFERROR(__xludf.DUMMYFUNCTION("""COMPUTED_VALUE"""),"Tunisia")</f>
        <v>Tunisia</v>
      </c>
      <c r="D16261">
        <f>IFERROR(__xludf.DUMMYFUNCTION("""COMPUTED_VALUE"""),2009.0)</f>
        <v>2009</v>
      </c>
      <c r="E16261">
        <f>IFERROR(__xludf.DUMMYFUNCTION("""COMPUTED_VALUE"""),1.0521834E7)</f>
        <v>10521834</v>
      </c>
    </row>
    <row r="16262">
      <c r="A16262" t="str">
        <f t="shared" si="1"/>
        <v>tun#2010</v>
      </c>
      <c r="B16262" t="str">
        <f>IFERROR(__xludf.DUMMYFUNCTION("""COMPUTED_VALUE"""),"tun")</f>
        <v>tun</v>
      </c>
      <c r="C16262" t="str">
        <f>IFERROR(__xludf.DUMMYFUNCTION("""COMPUTED_VALUE"""),"Tunisia")</f>
        <v>Tunisia</v>
      </c>
      <c r="D16262">
        <f>IFERROR(__xludf.DUMMYFUNCTION("""COMPUTED_VALUE"""),2010.0)</f>
        <v>2010</v>
      </c>
      <c r="E16262">
        <f>IFERROR(__xludf.DUMMYFUNCTION("""COMPUTED_VALUE"""),1.0639931E7)</f>
        <v>10639931</v>
      </c>
    </row>
    <row r="16263">
      <c r="A16263" t="str">
        <f t="shared" si="1"/>
        <v>tun#2011</v>
      </c>
      <c r="B16263" t="str">
        <f>IFERROR(__xludf.DUMMYFUNCTION("""COMPUTED_VALUE"""),"tun")</f>
        <v>tun</v>
      </c>
      <c r="C16263" t="str">
        <f>IFERROR(__xludf.DUMMYFUNCTION("""COMPUTED_VALUE"""),"Tunisia")</f>
        <v>Tunisia</v>
      </c>
      <c r="D16263">
        <f>IFERROR(__xludf.DUMMYFUNCTION("""COMPUTED_VALUE"""),2011.0)</f>
        <v>2011</v>
      </c>
      <c r="E16263">
        <f>IFERROR(__xludf.DUMMYFUNCTION("""COMPUTED_VALUE"""),1.0761467E7)</f>
        <v>10761467</v>
      </c>
    </row>
    <row r="16264">
      <c r="A16264" t="str">
        <f t="shared" si="1"/>
        <v>tun#2012</v>
      </c>
      <c r="B16264" t="str">
        <f>IFERROR(__xludf.DUMMYFUNCTION("""COMPUTED_VALUE"""),"tun")</f>
        <v>tun</v>
      </c>
      <c r="C16264" t="str">
        <f>IFERROR(__xludf.DUMMYFUNCTION("""COMPUTED_VALUE"""),"Tunisia")</f>
        <v>Tunisia</v>
      </c>
      <c r="D16264">
        <f>IFERROR(__xludf.DUMMYFUNCTION("""COMPUTED_VALUE"""),2012.0)</f>
        <v>2012</v>
      </c>
      <c r="E16264">
        <f>IFERROR(__xludf.DUMMYFUNCTION("""COMPUTED_VALUE"""),1.0886668E7)</f>
        <v>10886668</v>
      </c>
    </row>
    <row r="16265">
      <c r="A16265" t="str">
        <f t="shared" si="1"/>
        <v>tun#2013</v>
      </c>
      <c r="B16265" t="str">
        <f>IFERROR(__xludf.DUMMYFUNCTION("""COMPUTED_VALUE"""),"tun")</f>
        <v>tun</v>
      </c>
      <c r="C16265" t="str">
        <f>IFERROR(__xludf.DUMMYFUNCTION("""COMPUTED_VALUE"""),"Tunisia")</f>
        <v>Tunisia</v>
      </c>
      <c r="D16265">
        <f>IFERROR(__xludf.DUMMYFUNCTION("""COMPUTED_VALUE"""),2013.0)</f>
        <v>2013</v>
      </c>
      <c r="E16265">
        <f>IFERROR(__xludf.DUMMYFUNCTION("""COMPUTED_VALUE"""),1.1014558E7)</f>
        <v>11014558</v>
      </c>
    </row>
    <row r="16266">
      <c r="A16266" t="str">
        <f t="shared" si="1"/>
        <v>tun#2014</v>
      </c>
      <c r="B16266" t="str">
        <f>IFERROR(__xludf.DUMMYFUNCTION("""COMPUTED_VALUE"""),"tun")</f>
        <v>tun</v>
      </c>
      <c r="C16266" t="str">
        <f>IFERROR(__xludf.DUMMYFUNCTION("""COMPUTED_VALUE"""),"Tunisia")</f>
        <v>Tunisia</v>
      </c>
      <c r="D16266">
        <f>IFERROR(__xludf.DUMMYFUNCTION("""COMPUTED_VALUE"""),2014.0)</f>
        <v>2014</v>
      </c>
      <c r="E16266">
        <f>IFERROR(__xludf.DUMMYFUNCTION("""COMPUTED_VALUE"""),1.1143908E7)</f>
        <v>11143908</v>
      </c>
    </row>
    <row r="16267">
      <c r="A16267" t="str">
        <f t="shared" si="1"/>
        <v>tun#2015</v>
      </c>
      <c r="B16267" t="str">
        <f>IFERROR(__xludf.DUMMYFUNCTION("""COMPUTED_VALUE"""),"tun")</f>
        <v>tun</v>
      </c>
      <c r="C16267" t="str">
        <f>IFERROR(__xludf.DUMMYFUNCTION("""COMPUTED_VALUE"""),"Tunisia")</f>
        <v>Tunisia</v>
      </c>
      <c r="D16267">
        <f>IFERROR(__xludf.DUMMYFUNCTION("""COMPUTED_VALUE"""),2015.0)</f>
        <v>2015</v>
      </c>
      <c r="E16267">
        <f>IFERROR(__xludf.DUMMYFUNCTION("""COMPUTED_VALUE"""),1.1273661E7)</f>
        <v>11273661</v>
      </c>
    </row>
    <row r="16268">
      <c r="A16268" t="str">
        <f t="shared" si="1"/>
        <v>tun#2016</v>
      </c>
      <c r="B16268" t="str">
        <f>IFERROR(__xludf.DUMMYFUNCTION("""COMPUTED_VALUE"""),"tun")</f>
        <v>tun</v>
      </c>
      <c r="C16268" t="str">
        <f>IFERROR(__xludf.DUMMYFUNCTION("""COMPUTED_VALUE"""),"Tunisia")</f>
        <v>Tunisia</v>
      </c>
      <c r="D16268">
        <f>IFERROR(__xludf.DUMMYFUNCTION("""COMPUTED_VALUE"""),2016.0)</f>
        <v>2016</v>
      </c>
      <c r="E16268">
        <f>IFERROR(__xludf.DUMMYFUNCTION("""COMPUTED_VALUE"""),1.1403248E7)</f>
        <v>11403248</v>
      </c>
    </row>
    <row r="16269">
      <c r="A16269" t="str">
        <f t="shared" si="1"/>
        <v>tun#2017</v>
      </c>
      <c r="B16269" t="str">
        <f>IFERROR(__xludf.DUMMYFUNCTION("""COMPUTED_VALUE"""),"tun")</f>
        <v>tun</v>
      </c>
      <c r="C16269" t="str">
        <f>IFERROR(__xludf.DUMMYFUNCTION("""COMPUTED_VALUE"""),"Tunisia")</f>
        <v>Tunisia</v>
      </c>
      <c r="D16269">
        <f>IFERROR(__xludf.DUMMYFUNCTION("""COMPUTED_VALUE"""),2017.0)</f>
        <v>2017</v>
      </c>
      <c r="E16269">
        <f>IFERROR(__xludf.DUMMYFUNCTION("""COMPUTED_VALUE"""),1.1532127E7)</f>
        <v>11532127</v>
      </c>
    </row>
    <row r="16270">
      <c r="A16270" t="str">
        <f t="shared" si="1"/>
        <v>tun#2018</v>
      </c>
      <c r="B16270" t="str">
        <f>IFERROR(__xludf.DUMMYFUNCTION("""COMPUTED_VALUE"""),"tun")</f>
        <v>tun</v>
      </c>
      <c r="C16270" t="str">
        <f>IFERROR(__xludf.DUMMYFUNCTION("""COMPUTED_VALUE"""),"Tunisia")</f>
        <v>Tunisia</v>
      </c>
      <c r="D16270">
        <f>IFERROR(__xludf.DUMMYFUNCTION("""COMPUTED_VALUE"""),2018.0)</f>
        <v>2018</v>
      </c>
      <c r="E16270">
        <f>IFERROR(__xludf.DUMMYFUNCTION("""COMPUTED_VALUE"""),1.1659174E7)</f>
        <v>11659174</v>
      </c>
    </row>
    <row r="16271">
      <c r="A16271" t="str">
        <f t="shared" si="1"/>
        <v>tun#2019</v>
      </c>
      <c r="B16271" t="str">
        <f>IFERROR(__xludf.DUMMYFUNCTION("""COMPUTED_VALUE"""),"tun")</f>
        <v>tun</v>
      </c>
      <c r="C16271" t="str">
        <f>IFERROR(__xludf.DUMMYFUNCTION("""COMPUTED_VALUE"""),"Tunisia")</f>
        <v>Tunisia</v>
      </c>
      <c r="D16271">
        <f>IFERROR(__xludf.DUMMYFUNCTION("""COMPUTED_VALUE"""),2019.0)</f>
        <v>2019</v>
      </c>
      <c r="E16271">
        <f>IFERROR(__xludf.DUMMYFUNCTION("""COMPUTED_VALUE"""),1.1783168E7)</f>
        <v>11783168</v>
      </c>
    </row>
    <row r="16272">
      <c r="A16272" t="str">
        <f t="shared" si="1"/>
        <v>tun#2020</v>
      </c>
      <c r="B16272" t="str">
        <f>IFERROR(__xludf.DUMMYFUNCTION("""COMPUTED_VALUE"""),"tun")</f>
        <v>tun</v>
      </c>
      <c r="C16272" t="str">
        <f>IFERROR(__xludf.DUMMYFUNCTION("""COMPUTED_VALUE"""),"Tunisia")</f>
        <v>Tunisia</v>
      </c>
      <c r="D16272">
        <f>IFERROR(__xludf.DUMMYFUNCTION("""COMPUTED_VALUE"""),2020.0)</f>
        <v>2020</v>
      </c>
      <c r="E16272">
        <f>IFERROR(__xludf.DUMMYFUNCTION("""COMPUTED_VALUE"""),1.1903136E7)</f>
        <v>11903136</v>
      </c>
    </row>
    <row r="16273">
      <c r="A16273" t="str">
        <f t="shared" si="1"/>
        <v>tun#2021</v>
      </c>
      <c r="B16273" t="str">
        <f>IFERROR(__xludf.DUMMYFUNCTION("""COMPUTED_VALUE"""),"tun")</f>
        <v>tun</v>
      </c>
      <c r="C16273" t="str">
        <f>IFERROR(__xludf.DUMMYFUNCTION("""COMPUTED_VALUE"""),"Tunisia")</f>
        <v>Tunisia</v>
      </c>
      <c r="D16273">
        <f>IFERROR(__xludf.DUMMYFUNCTION("""COMPUTED_VALUE"""),2021.0)</f>
        <v>2021</v>
      </c>
      <c r="E16273">
        <f>IFERROR(__xludf.DUMMYFUNCTION("""COMPUTED_VALUE"""),1.2018514E7)</f>
        <v>12018514</v>
      </c>
    </row>
    <row r="16274">
      <c r="A16274" t="str">
        <f t="shared" si="1"/>
        <v>tun#2022</v>
      </c>
      <c r="B16274" t="str">
        <f>IFERROR(__xludf.DUMMYFUNCTION("""COMPUTED_VALUE"""),"tun")</f>
        <v>tun</v>
      </c>
      <c r="C16274" t="str">
        <f>IFERROR(__xludf.DUMMYFUNCTION("""COMPUTED_VALUE"""),"Tunisia")</f>
        <v>Tunisia</v>
      </c>
      <c r="D16274">
        <f>IFERROR(__xludf.DUMMYFUNCTION("""COMPUTED_VALUE"""),2022.0)</f>
        <v>2022</v>
      </c>
      <c r="E16274">
        <f>IFERROR(__xludf.DUMMYFUNCTION("""COMPUTED_VALUE"""),1.2129081E7)</f>
        <v>12129081</v>
      </c>
    </row>
    <row r="16275">
      <c r="A16275" t="str">
        <f t="shared" si="1"/>
        <v>tun#2023</v>
      </c>
      <c r="B16275" t="str">
        <f>IFERROR(__xludf.DUMMYFUNCTION("""COMPUTED_VALUE"""),"tun")</f>
        <v>tun</v>
      </c>
      <c r="C16275" t="str">
        <f>IFERROR(__xludf.DUMMYFUNCTION("""COMPUTED_VALUE"""),"Tunisia")</f>
        <v>Tunisia</v>
      </c>
      <c r="D16275">
        <f>IFERROR(__xludf.DUMMYFUNCTION("""COMPUTED_VALUE"""),2023.0)</f>
        <v>2023</v>
      </c>
      <c r="E16275">
        <f>IFERROR(__xludf.DUMMYFUNCTION("""COMPUTED_VALUE"""),1.2234744E7)</f>
        <v>12234744</v>
      </c>
    </row>
    <row r="16276">
      <c r="A16276" t="str">
        <f t="shared" si="1"/>
        <v>tun#2024</v>
      </c>
      <c r="B16276" t="str">
        <f>IFERROR(__xludf.DUMMYFUNCTION("""COMPUTED_VALUE"""),"tun")</f>
        <v>tun</v>
      </c>
      <c r="C16276" t="str">
        <f>IFERROR(__xludf.DUMMYFUNCTION("""COMPUTED_VALUE"""),"Tunisia")</f>
        <v>Tunisia</v>
      </c>
      <c r="D16276">
        <f>IFERROR(__xludf.DUMMYFUNCTION("""COMPUTED_VALUE"""),2024.0)</f>
        <v>2024</v>
      </c>
      <c r="E16276">
        <f>IFERROR(__xludf.DUMMYFUNCTION("""COMPUTED_VALUE"""),1.2335544E7)</f>
        <v>12335544</v>
      </c>
    </row>
    <row r="16277">
      <c r="A16277" t="str">
        <f t="shared" si="1"/>
        <v>tun#2025</v>
      </c>
      <c r="B16277" t="str">
        <f>IFERROR(__xludf.DUMMYFUNCTION("""COMPUTED_VALUE"""),"tun")</f>
        <v>tun</v>
      </c>
      <c r="C16277" t="str">
        <f>IFERROR(__xludf.DUMMYFUNCTION("""COMPUTED_VALUE"""),"Tunisia")</f>
        <v>Tunisia</v>
      </c>
      <c r="D16277">
        <f>IFERROR(__xludf.DUMMYFUNCTION("""COMPUTED_VALUE"""),2025.0)</f>
        <v>2025</v>
      </c>
      <c r="E16277">
        <f>IFERROR(__xludf.DUMMYFUNCTION("""COMPUTED_VALUE"""),1.2431567E7)</f>
        <v>12431567</v>
      </c>
    </row>
    <row r="16278">
      <c r="A16278" t="str">
        <f t="shared" si="1"/>
        <v>tun#2026</v>
      </c>
      <c r="B16278" t="str">
        <f>IFERROR(__xludf.DUMMYFUNCTION("""COMPUTED_VALUE"""),"tun")</f>
        <v>tun</v>
      </c>
      <c r="C16278" t="str">
        <f>IFERROR(__xludf.DUMMYFUNCTION("""COMPUTED_VALUE"""),"Tunisia")</f>
        <v>Tunisia</v>
      </c>
      <c r="D16278">
        <f>IFERROR(__xludf.DUMMYFUNCTION("""COMPUTED_VALUE"""),2026.0)</f>
        <v>2026</v>
      </c>
      <c r="E16278">
        <f>IFERROR(__xludf.DUMMYFUNCTION("""COMPUTED_VALUE"""),1.2522733E7)</f>
        <v>12522733</v>
      </c>
    </row>
    <row r="16279">
      <c r="A16279" t="str">
        <f t="shared" si="1"/>
        <v>tun#2027</v>
      </c>
      <c r="B16279" t="str">
        <f>IFERROR(__xludf.DUMMYFUNCTION("""COMPUTED_VALUE"""),"tun")</f>
        <v>tun</v>
      </c>
      <c r="C16279" t="str">
        <f>IFERROR(__xludf.DUMMYFUNCTION("""COMPUTED_VALUE"""),"Tunisia")</f>
        <v>Tunisia</v>
      </c>
      <c r="D16279">
        <f>IFERROR(__xludf.DUMMYFUNCTION("""COMPUTED_VALUE"""),2027.0)</f>
        <v>2027</v>
      </c>
      <c r="E16279">
        <f>IFERROR(__xludf.DUMMYFUNCTION("""COMPUTED_VALUE"""),1.2609003E7)</f>
        <v>12609003</v>
      </c>
    </row>
    <row r="16280">
      <c r="A16280" t="str">
        <f t="shared" si="1"/>
        <v>tun#2028</v>
      </c>
      <c r="B16280" t="str">
        <f>IFERROR(__xludf.DUMMYFUNCTION("""COMPUTED_VALUE"""),"tun")</f>
        <v>tun</v>
      </c>
      <c r="C16280" t="str">
        <f>IFERROR(__xludf.DUMMYFUNCTION("""COMPUTED_VALUE"""),"Tunisia")</f>
        <v>Tunisia</v>
      </c>
      <c r="D16280">
        <f>IFERROR(__xludf.DUMMYFUNCTION("""COMPUTED_VALUE"""),2028.0)</f>
        <v>2028</v>
      </c>
      <c r="E16280">
        <f>IFERROR(__xludf.DUMMYFUNCTION("""COMPUTED_VALUE"""),1.2690652E7)</f>
        <v>12690652</v>
      </c>
    </row>
    <row r="16281">
      <c r="A16281" t="str">
        <f t="shared" si="1"/>
        <v>tun#2029</v>
      </c>
      <c r="B16281" t="str">
        <f>IFERROR(__xludf.DUMMYFUNCTION("""COMPUTED_VALUE"""),"tun")</f>
        <v>tun</v>
      </c>
      <c r="C16281" t="str">
        <f>IFERROR(__xludf.DUMMYFUNCTION("""COMPUTED_VALUE"""),"Tunisia")</f>
        <v>Tunisia</v>
      </c>
      <c r="D16281">
        <f>IFERROR(__xludf.DUMMYFUNCTION("""COMPUTED_VALUE"""),2029.0)</f>
        <v>2029</v>
      </c>
      <c r="E16281">
        <f>IFERROR(__xludf.DUMMYFUNCTION("""COMPUTED_VALUE"""),1.276807E7)</f>
        <v>12768070</v>
      </c>
    </row>
    <row r="16282">
      <c r="A16282" t="str">
        <f t="shared" si="1"/>
        <v>tun#2030</v>
      </c>
      <c r="B16282" t="str">
        <f>IFERROR(__xludf.DUMMYFUNCTION("""COMPUTED_VALUE"""),"tun")</f>
        <v>tun</v>
      </c>
      <c r="C16282" t="str">
        <f>IFERROR(__xludf.DUMMYFUNCTION("""COMPUTED_VALUE"""),"Tunisia")</f>
        <v>Tunisia</v>
      </c>
      <c r="D16282">
        <f>IFERROR(__xludf.DUMMYFUNCTION("""COMPUTED_VALUE"""),2030.0)</f>
        <v>2030</v>
      </c>
      <c r="E16282">
        <f>IFERROR(__xludf.DUMMYFUNCTION("""COMPUTED_VALUE"""),1.2841615E7)</f>
        <v>12841615</v>
      </c>
    </row>
    <row r="16283">
      <c r="A16283" t="str">
        <f t="shared" si="1"/>
        <v>tun#2031</v>
      </c>
      <c r="B16283" t="str">
        <f>IFERROR(__xludf.DUMMYFUNCTION("""COMPUTED_VALUE"""),"tun")</f>
        <v>tun</v>
      </c>
      <c r="C16283" t="str">
        <f>IFERROR(__xludf.DUMMYFUNCTION("""COMPUTED_VALUE"""),"Tunisia")</f>
        <v>Tunisia</v>
      </c>
      <c r="D16283">
        <f>IFERROR(__xludf.DUMMYFUNCTION("""COMPUTED_VALUE"""),2031.0)</f>
        <v>2031</v>
      </c>
      <c r="E16283">
        <f>IFERROR(__xludf.DUMMYFUNCTION("""COMPUTED_VALUE"""),1.2911452E7)</f>
        <v>12911452</v>
      </c>
    </row>
    <row r="16284">
      <c r="A16284" t="str">
        <f t="shared" si="1"/>
        <v>tun#2032</v>
      </c>
      <c r="B16284" t="str">
        <f>IFERROR(__xludf.DUMMYFUNCTION("""COMPUTED_VALUE"""),"tun")</f>
        <v>tun</v>
      </c>
      <c r="C16284" t="str">
        <f>IFERROR(__xludf.DUMMYFUNCTION("""COMPUTED_VALUE"""),"Tunisia")</f>
        <v>Tunisia</v>
      </c>
      <c r="D16284">
        <f>IFERROR(__xludf.DUMMYFUNCTION("""COMPUTED_VALUE"""),2032.0)</f>
        <v>2032</v>
      </c>
      <c r="E16284">
        <f>IFERROR(__xludf.DUMMYFUNCTION("""COMPUTED_VALUE"""),1.2977761E7)</f>
        <v>12977761</v>
      </c>
    </row>
    <row r="16285">
      <c r="A16285" t="str">
        <f t="shared" si="1"/>
        <v>tun#2033</v>
      </c>
      <c r="B16285" t="str">
        <f>IFERROR(__xludf.DUMMYFUNCTION("""COMPUTED_VALUE"""),"tun")</f>
        <v>tun</v>
      </c>
      <c r="C16285" t="str">
        <f>IFERROR(__xludf.DUMMYFUNCTION("""COMPUTED_VALUE"""),"Tunisia")</f>
        <v>Tunisia</v>
      </c>
      <c r="D16285">
        <f>IFERROR(__xludf.DUMMYFUNCTION("""COMPUTED_VALUE"""),2033.0)</f>
        <v>2033</v>
      </c>
      <c r="E16285">
        <f>IFERROR(__xludf.DUMMYFUNCTION("""COMPUTED_VALUE"""),1.3041066E7)</f>
        <v>13041066</v>
      </c>
    </row>
    <row r="16286">
      <c r="A16286" t="str">
        <f t="shared" si="1"/>
        <v>tun#2034</v>
      </c>
      <c r="B16286" t="str">
        <f>IFERROR(__xludf.DUMMYFUNCTION("""COMPUTED_VALUE"""),"tun")</f>
        <v>tun</v>
      </c>
      <c r="C16286" t="str">
        <f>IFERROR(__xludf.DUMMYFUNCTION("""COMPUTED_VALUE"""),"Tunisia")</f>
        <v>Tunisia</v>
      </c>
      <c r="D16286">
        <f>IFERROR(__xludf.DUMMYFUNCTION("""COMPUTED_VALUE"""),2034.0)</f>
        <v>2034</v>
      </c>
      <c r="E16286">
        <f>IFERROR(__xludf.DUMMYFUNCTION("""COMPUTED_VALUE"""),1.3101996E7)</f>
        <v>13101996</v>
      </c>
    </row>
    <row r="16287">
      <c r="A16287" t="str">
        <f t="shared" si="1"/>
        <v>tun#2035</v>
      </c>
      <c r="B16287" t="str">
        <f>IFERROR(__xludf.DUMMYFUNCTION("""COMPUTED_VALUE"""),"tun")</f>
        <v>tun</v>
      </c>
      <c r="C16287" t="str">
        <f>IFERROR(__xludf.DUMMYFUNCTION("""COMPUTED_VALUE"""),"Tunisia")</f>
        <v>Tunisia</v>
      </c>
      <c r="D16287">
        <f>IFERROR(__xludf.DUMMYFUNCTION("""COMPUTED_VALUE"""),2035.0)</f>
        <v>2035</v>
      </c>
      <c r="E16287">
        <f>IFERROR(__xludf.DUMMYFUNCTION("""COMPUTED_VALUE"""),1.3161033E7)</f>
        <v>13161033</v>
      </c>
    </row>
    <row r="16288">
      <c r="A16288" t="str">
        <f t="shared" si="1"/>
        <v>tun#2036</v>
      </c>
      <c r="B16288" t="str">
        <f>IFERROR(__xludf.DUMMYFUNCTION("""COMPUTED_VALUE"""),"tun")</f>
        <v>tun</v>
      </c>
      <c r="C16288" t="str">
        <f>IFERROR(__xludf.DUMMYFUNCTION("""COMPUTED_VALUE"""),"Tunisia")</f>
        <v>Tunisia</v>
      </c>
      <c r="D16288">
        <f>IFERROR(__xludf.DUMMYFUNCTION("""COMPUTED_VALUE"""),2036.0)</f>
        <v>2036</v>
      </c>
      <c r="E16288">
        <f>IFERROR(__xludf.DUMMYFUNCTION("""COMPUTED_VALUE"""),1.3218388E7)</f>
        <v>13218388</v>
      </c>
    </row>
    <row r="16289">
      <c r="A16289" t="str">
        <f t="shared" si="1"/>
        <v>tun#2037</v>
      </c>
      <c r="B16289" t="str">
        <f>IFERROR(__xludf.DUMMYFUNCTION("""COMPUTED_VALUE"""),"tun")</f>
        <v>tun</v>
      </c>
      <c r="C16289" t="str">
        <f>IFERROR(__xludf.DUMMYFUNCTION("""COMPUTED_VALUE"""),"Tunisia")</f>
        <v>Tunisia</v>
      </c>
      <c r="D16289">
        <f>IFERROR(__xludf.DUMMYFUNCTION("""COMPUTED_VALUE"""),2037.0)</f>
        <v>2037</v>
      </c>
      <c r="E16289">
        <f>IFERROR(__xludf.DUMMYFUNCTION("""COMPUTED_VALUE"""),1.3274214E7)</f>
        <v>13274214</v>
      </c>
    </row>
    <row r="16290">
      <c r="A16290" t="str">
        <f t="shared" si="1"/>
        <v>tun#2038</v>
      </c>
      <c r="B16290" t="str">
        <f>IFERROR(__xludf.DUMMYFUNCTION("""COMPUTED_VALUE"""),"tun")</f>
        <v>tun</v>
      </c>
      <c r="C16290" t="str">
        <f>IFERROR(__xludf.DUMMYFUNCTION("""COMPUTED_VALUE"""),"Tunisia")</f>
        <v>Tunisia</v>
      </c>
      <c r="D16290">
        <f>IFERROR(__xludf.DUMMYFUNCTION("""COMPUTED_VALUE"""),2038.0)</f>
        <v>2038</v>
      </c>
      <c r="E16290">
        <f>IFERROR(__xludf.DUMMYFUNCTION("""COMPUTED_VALUE"""),1.3328717E7)</f>
        <v>13328717</v>
      </c>
    </row>
    <row r="16291">
      <c r="A16291" t="str">
        <f t="shared" si="1"/>
        <v>tun#2039</v>
      </c>
      <c r="B16291" t="str">
        <f>IFERROR(__xludf.DUMMYFUNCTION("""COMPUTED_VALUE"""),"tun")</f>
        <v>tun</v>
      </c>
      <c r="C16291" t="str">
        <f>IFERROR(__xludf.DUMMYFUNCTION("""COMPUTED_VALUE"""),"Tunisia")</f>
        <v>Tunisia</v>
      </c>
      <c r="D16291">
        <f>IFERROR(__xludf.DUMMYFUNCTION("""COMPUTED_VALUE"""),2039.0)</f>
        <v>2039</v>
      </c>
      <c r="E16291">
        <f>IFERROR(__xludf.DUMMYFUNCTION("""COMPUTED_VALUE"""),1.3382109E7)</f>
        <v>13382109</v>
      </c>
    </row>
    <row r="16292">
      <c r="A16292" t="str">
        <f t="shared" si="1"/>
        <v>tun#2040</v>
      </c>
      <c r="B16292" t="str">
        <f>IFERROR(__xludf.DUMMYFUNCTION("""COMPUTED_VALUE"""),"tun")</f>
        <v>tun</v>
      </c>
      <c r="C16292" t="str">
        <f>IFERROR(__xludf.DUMMYFUNCTION("""COMPUTED_VALUE"""),"Tunisia")</f>
        <v>Tunisia</v>
      </c>
      <c r="D16292">
        <f>IFERROR(__xludf.DUMMYFUNCTION("""COMPUTED_VALUE"""),2040.0)</f>
        <v>2040</v>
      </c>
      <c r="E16292">
        <f>IFERROR(__xludf.DUMMYFUNCTION("""COMPUTED_VALUE"""),1.3434541E7)</f>
        <v>13434541</v>
      </c>
    </row>
    <row r="16293">
      <c r="A16293" t="str">
        <f t="shared" si="1"/>
        <v>tur#1950</v>
      </c>
      <c r="B16293" t="str">
        <f>IFERROR(__xludf.DUMMYFUNCTION("""COMPUTED_VALUE"""),"tur")</f>
        <v>tur</v>
      </c>
      <c r="C16293" t="str">
        <f>IFERROR(__xludf.DUMMYFUNCTION("""COMPUTED_VALUE"""),"Turkey")</f>
        <v>Turkey</v>
      </c>
      <c r="D16293">
        <f>IFERROR(__xludf.DUMMYFUNCTION("""COMPUTED_VALUE"""),1950.0)</f>
        <v>1950</v>
      </c>
      <c r="E16293">
        <f>IFERROR(__xludf.DUMMYFUNCTION("""COMPUTED_VALUE"""),2.1408401E7)</f>
        <v>21408401</v>
      </c>
    </row>
    <row r="16294">
      <c r="A16294" t="str">
        <f t="shared" si="1"/>
        <v>tur#1951</v>
      </c>
      <c r="B16294" t="str">
        <f>IFERROR(__xludf.DUMMYFUNCTION("""COMPUTED_VALUE"""),"tur")</f>
        <v>tur</v>
      </c>
      <c r="C16294" t="str">
        <f>IFERROR(__xludf.DUMMYFUNCTION("""COMPUTED_VALUE"""),"Turkey")</f>
        <v>Turkey</v>
      </c>
      <c r="D16294">
        <f>IFERROR(__xludf.DUMMYFUNCTION("""COMPUTED_VALUE"""),1951.0)</f>
        <v>1951</v>
      </c>
      <c r="E16294">
        <f>IFERROR(__xludf.DUMMYFUNCTION("""COMPUTED_VALUE"""),2.1951206E7)</f>
        <v>21951206</v>
      </c>
    </row>
    <row r="16295">
      <c r="A16295" t="str">
        <f t="shared" si="1"/>
        <v>tur#1952</v>
      </c>
      <c r="B16295" t="str">
        <f>IFERROR(__xludf.DUMMYFUNCTION("""COMPUTED_VALUE"""),"tur")</f>
        <v>tur</v>
      </c>
      <c r="C16295" t="str">
        <f>IFERROR(__xludf.DUMMYFUNCTION("""COMPUTED_VALUE"""),"Turkey")</f>
        <v>Turkey</v>
      </c>
      <c r="D16295">
        <f>IFERROR(__xludf.DUMMYFUNCTION("""COMPUTED_VALUE"""),1952.0)</f>
        <v>1952</v>
      </c>
      <c r="E16295">
        <f>IFERROR(__xludf.DUMMYFUNCTION("""COMPUTED_VALUE"""),2.2508947E7)</f>
        <v>22508947</v>
      </c>
    </row>
    <row r="16296">
      <c r="A16296" t="str">
        <f t="shared" si="1"/>
        <v>tur#1953</v>
      </c>
      <c r="B16296" t="str">
        <f>IFERROR(__xludf.DUMMYFUNCTION("""COMPUTED_VALUE"""),"tur")</f>
        <v>tur</v>
      </c>
      <c r="C16296" t="str">
        <f>IFERROR(__xludf.DUMMYFUNCTION("""COMPUTED_VALUE"""),"Turkey")</f>
        <v>Turkey</v>
      </c>
      <c r="D16296">
        <f>IFERROR(__xludf.DUMMYFUNCTION("""COMPUTED_VALUE"""),1953.0)</f>
        <v>1953</v>
      </c>
      <c r="E16296">
        <f>IFERROR(__xludf.DUMMYFUNCTION("""COMPUTED_VALUE"""),2.3081575E7)</f>
        <v>23081575</v>
      </c>
    </row>
    <row r="16297">
      <c r="A16297" t="str">
        <f t="shared" si="1"/>
        <v>tur#1954</v>
      </c>
      <c r="B16297" t="str">
        <f>IFERROR(__xludf.DUMMYFUNCTION("""COMPUTED_VALUE"""),"tur")</f>
        <v>tur</v>
      </c>
      <c r="C16297" t="str">
        <f>IFERROR(__xludf.DUMMYFUNCTION("""COMPUTED_VALUE"""),"Turkey")</f>
        <v>Turkey</v>
      </c>
      <c r="D16297">
        <f>IFERROR(__xludf.DUMMYFUNCTION("""COMPUTED_VALUE"""),1954.0)</f>
        <v>1954</v>
      </c>
      <c r="E16297">
        <f>IFERROR(__xludf.DUMMYFUNCTION("""COMPUTED_VALUE"""),2.3668906E7)</f>
        <v>23668906</v>
      </c>
    </row>
    <row r="16298">
      <c r="A16298" t="str">
        <f t="shared" si="1"/>
        <v>tur#1955</v>
      </c>
      <c r="B16298" t="str">
        <f>IFERROR(__xludf.DUMMYFUNCTION("""COMPUTED_VALUE"""),"tur")</f>
        <v>tur</v>
      </c>
      <c r="C16298" t="str">
        <f>IFERROR(__xludf.DUMMYFUNCTION("""COMPUTED_VALUE"""),"Turkey")</f>
        <v>Turkey</v>
      </c>
      <c r="D16298">
        <f>IFERROR(__xludf.DUMMYFUNCTION("""COMPUTED_VALUE"""),1955.0)</f>
        <v>1955</v>
      </c>
      <c r="E16298">
        <f>IFERROR(__xludf.DUMMYFUNCTION("""COMPUTED_VALUE"""),2.4270585E7)</f>
        <v>24270585</v>
      </c>
    </row>
    <row r="16299">
      <c r="A16299" t="str">
        <f t="shared" si="1"/>
        <v>tur#1956</v>
      </c>
      <c r="B16299" t="str">
        <f>IFERROR(__xludf.DUMMYFUNCTION("""COMPUTED_VALUE"""),"tur")</f>
        <v>tur</v>
      </c>
      <c r="C16299" t="str">
        <f>IFERROR(__xludf.DUMMYFUNCTION("""COMPUTED_VALUE"""),"Turkey")</f>
        <v>Turkey</v>
      </c>
      <c r="D16299">
        <f>IFERROR(__xludf.DUMMYFUNCTION("""COMPUTED_VALUE"""),1956.0)</f>
        <v>1956</v>
      </c>
      <c r="E16299">
        <f>IFERROR(__xludf.DUMMYFUNCTION("""COMPUTED_VALUE"""),2.4886111E7)</f>
        <v>24886111</v>
      </c>
    </row>
    <row r="16300">
      <c r="A16300" t="str">
        <f t="shared" si="1"/>
        <v>tur#1957</v>
      </c>
      <c r="B16300" t="str">
        <f>IFERROR(__xludf.DUMMYFUNCTION("""COMPUTED_VALUE"""),"tur")</f>
        <v>tur</v>
      </c>
      <c r="C16300" t="str">
        <f>IFERROR(__xludf.DUMMYFUNCTION("""COMPUTED_VALUE"""),"Turkey")</f>
        <v>Turkey</v>
      </c>
      <c r="D16300">
        <f>IFERROR(__xludf.DUMMYFUNCTION("""COMPUTED_VALUE"""),1957.0)</f>
        <v>1957</v>
      </c>
      <c r="E16300">
        <f>IFERROR(__xludf.DUMMYFUNCTION("""COMPUTED_VALUE"""),2.551481E7)</f>
        <v>25514810</v>
      </c>
    </row>
    <row r="16301">
      <c r="A16301" t="str">
        <f t="shared" si="1"/>
        <v>tur#1958</v>
      </c>
      <c r="B16301" t="str">
        <f>IFERROR(__xludf.DUMMYFUNCTION("""COMPUTED_VALUE"""),"tur")</f>
        <v>tur</v>
      </c>
      <c r="C16301" t="str">
        <f>IFERROR(__xludf.DUMMYFUNCTION("""COMPUTED_VALUE"""),"Turkey")</f>
        <v>Turkey</v>
      </c>
      <c r="D16301">
        <f>IFERROR(__xludf.DUMMYFUNCTION("""COMPUTED_VALUE"""),1958.0)</f>
        <v>1958</v>
      </c>
      <c r="E16301">
        <f>IFERROR(__xludf.DUMMYFUNCTION("""COMPUTED_VALUE"""),2.6155911E7)</f>
        <v>26155911</v>
      </c>
    </row>
    <row r="16302">
      <c r="A16302" t="str">
        <f t="shared" si="1"/>
        <v>tur#1959</v>
      </c>
      <c r="B16302" t="str">
        <f>IFERROR(__xludf.DUMMYFUNCTION("""COMPUTED_VALUE"""),"tur")</f>
        <v>tur</v>
      </c>
      <c r="C16302" t="str">
        <f>IFERROR(__xludf.DUMMYFUNCTION("""COMPUTED_VALUE"""),"Turkey")</f>
        <v>Turkey</v>
      </c>
      <c r="D16302">
        <f>IFERROR(__xludf.DUMMYFUNCTION("""COMPUTED_VALUE"""),1959.0)</f>
        <v>1959</v>
      </c>
      <c r="E16302">
        <f>IFERROR(__xludf.DUMMYFUNCTION("""COMPUTED_VALUE"""),2.6808621E7)</f>
        <v>26808621</v>
      </c>
    </row>
    <row r="16303">
      <c r="A16303" t="str">
        <f t="shared" si="1"/>
        <v>tur#1960</v>
      </c>
      <c r="B16303" t="str">
        <f>IFERROR(__xludf.DUMMYFUNCTION("""COMPUTED_VALUE"""),"tur")</f>
        <v>tur</v>
      </c>
      <c r="C16303" t="str">
        <f>IFERROR(__xludf.DUMMYFUNCTION("""COMPUTED_VALUE"""),"Turkey")</f>
        <v>Turkey</v>
      </c>
      <c r="D16303">
        <f>IFERROR(__xludf.DUMMYFUNCTION("""COMPUTED_VALUE"""),1960.0)</f>
        <v>1960</v>
      </c>
      <c r="E16303">
        <f>IFERROR(__xludf.DUMMYFUNCTION("""COMPUTED_VALUE"""),2.7472331E7)</f>
        <v>27472331</v>
      </c>
    </row>
    <row r="16304">
      <c r="A16304" t="str">
        <f t="shared" si="1"/>
        <v>tur#1961</v>
      </c>
      <c r="B16304" t="str">
        <f>IFERROR(__xludf.DUMMYFUNCTION("""COMPUTED_VALUE"""),"tur")</f>
        <v>tur</v>
      </c>
      <c r="C16304" t="str">
        <f>IFERROR(__xludf.DUMMYFUNCTION("""COMPUTED_VALUE"""),"Turkey")</f>
        <v>Turkey</v>
      </c>
      <c r="D16304">
        <f>IFERROR(__xludf.DUMMYFUNCTION("""COMPUTED_VALUE"""),1961.0)</f>
        <v>1961</v>
      </c>
      <c r="E16304">
        <f>IFERROR(__xludf.DUMMYFUNCTION("""COMPUTED_VALUE"""),2.8146893E7)</f>
        <v>28146893</v>
      </c>
    </row>
    <row r="16305">
      <c r="A16305" t="str">
        <f t="shared" si="1"/>
        <v>tur#1962</v>
      </c>
      <c r="B16305" t="str">
        <f>IFERROR(__xludf.DUMMYFUNCTION("""COMPUTED_VALUE"""),"tur")</f>
        <v>tur</v>
      </c>
      <c r="C16305" t="str">
        <f>IFERROR(__xludf.DUMMYFUNCTION("""COMPUTED_VALUE"""),"Turkey")</f>
        <v>Turkey</v>
      </c>
      <c r="D16305">
        <f>IFERROR(__xludf.DUMMYFUNCTION("""COMPUTED_VALUE"""),1962.0)</f>
        <v>1962</v>
      </c>
      <c r="E16305">
        <f>IFERROR(__xludf.DUMMYFUNCTION("""COMPUTED_VALUE"""),2.8832805E7)</f>
        <v>28832805</v>
      </c>
    </row>
    <row r="16306">
      <c r="A16306" t="str">
        <f t="shared" si="1"/>
        <v>tur#1963</v>
      </c>
      <c r="B16306" t="str">
        <f>IFERROR(__xludf.DUMMYFUNCTION("""COMPUTED_VALUE"""),"tur")</f>
        <v>tur</v>
      </c>
      <c r="C16306" t="str">
        <f>IFERROR(__xludf.DUMMYFUNCTION("""COMPUTED_VALUE"""),"Turkey")</f>
        <v>Turkey</v>
      </c>
      <c r="D16306">
        <f>IFERROR(__xludf.DUMMYFUNCTION("""COMPUTED_VALUE"""),1963.0)</f>
        <v>1963</v>
      </c>
      <c r="E16306">
        <f>IFERROR(__xludf.DUMMYFUNCTION("""COMPUTED_VALUE"""),2.9531342E7)</f>
        <v>29531342</v>
      </c>
    </row>
    <row r="16307">
      <c r="A16307" t="str">
        <f t="shared" si="1"/>
        <v>tur#1964</v>
      </c>
      <c r="B16307" t="str">
        <f>IFERROR(__xludf.DUMMYFUNCTION("""COMPUTED_VALUE"""),"tur")</f>
        <v>tur</v>
      </c>
      <c r="C16307" t="str">
        <f>IFERROR(__xludf.DUMMYFUNCTION("""COMPUTED_VALUE"""),"Turkey")</f>
        <v>Turkey</v>
      </c>
      <c r="D16307">
        <f>IFERROR(__xludf.DUMMYFUNCTION("""COMPUTED_VALUE"""),1964.0)</f>
        <v>1964</v>
      </c>
      <c r="E16307">
        <f>IFERROR(__xludf.DUMMYFUNCTION("""COMPUTED_VALUE"""),3.0244232E7)</f>
        <v>30244232</v>
      </c>
    </row>
    <row r="16308">
      <c r="A16308" t="str">
        <f t="shared" si="1"/>
        <v>tur#1965</v>
      </c>
      <c r="B16308" t="str">
        <f>IFERROR(__xludf.DUMMYFUNCTION("""COMPUTED_VALUE"""),"tur")</f>
        <v>tur</v>
      </c>
      <c r="C16308" t="str">
        <f>IFERROR(__xludf.DUMMYFUNCTION("""COMPUTED_VALUE"""),"Turkey")</f>
        <v>Turkey</v>
      </c>
      <c r="D16308">
        <f>IFERROR(__xludf.DUMMYFUNCTION("""COMPUTED_VALUE"""),1965.0)</f>
        <v>1965</v>
      </c>
      <c r="E16308">
        <f>IFERROR(__xludf.DUMMYFUNCTION("""COMPUTED_VALUE"""),3.0972965E7)</f>
        <v>30972965</v>
      </c>
    </row>
    <row r="16309">
      <c r="A16309" t="str">
        <f t="shared" si="1"/>
        <v>tur#1966</v>
      </c>
      <c r="B16309" t="str">
        <f>IFERROR(__xludf.DUMMYFUNCTION("""COMPUTED_VALUE"""),"tur")</f>
        <v>tur</v>
      </c>
      <c r="C16309" t="str">
        <f>IFERROR(__xludf.DUMMYFUNCTION("""COMPUTED_VALUE"""),"Turkey")</f>
        <v>Turkey</v>
      </c>
      <c r="D16309">
        <f>IFERROR(__xludf.DUMMYFUNCTION("""COMPUTED_VALUE"""),1966.0)</f>
        <v>1966</v>
      </c>
      <c r="E16309">
        <f>IFERROR(__xludf.DUMMYFUNCTION("""COMPUTED_VALUE"""),3.1717477E7)</f>
        <v>31717477</v>
      </c>
    </row>
    <row r="16310">
      <c r="A16310" t="str">
        <f t="shared" si="1"/>
        <v>tur#1967</v>
      </c>
      <c r="B16310" t="str">
        <f>IFERROR(__xludf.DUMMYFUNCTION("""COMPUTED_VALUE"""),"tur")</f>
        <v>tur</v>
      </c>
      <c r="C16310" t="str">
        <f>IFERROR(__xludf.DUMMYFUNCTION("""COMPUTED_VALUE"""),"Turkey")</f>
        <v>Turkey</v>
      </c>
      <c r="D16310">
        <f>IFERROR(__xludf.DUMMYFUNCTION("""COMPUTED_VALUE"""),1967.0)</f>
        <v>1967</v>
      </c>
      <c r="E16310">
        <f>IFERROR(__xludf.DUMMYFUNCTION("""COMPUTED_VALUE"""),3.2477961E7)</f>
        <v>32477961</v>
      </c>
    </row>
    <row r="16311">
      <c r="A16311" t="str">
        <f t="shared" si="1"/>
        <v>tur#1968</v>
      </c>
      <c r="B16311" t="str">
        <f>IFERROR(__xludf.DUMMYFUNCTION("""COMPUTED_VALUE"""),"tur")</f>
        <v>tur</v>
      </c>
      <c r="C16311" t="str">
        <f>IFERROR(__xludf.DUMMYFUNCTION("""COMPUTED_VALUE"""),"Turkey")</f>
        <v>Turkey</v>
      </c>
      <c r="D16311">
        <f>IFERROR(__xludf.DUMMYFUNCTION("""COMPUTED_VALUE"""),1968.0)</f>
        <v>1968</v>
      </c>
      <c r="E16311">
        <f>IFERROR(__xludf.DUMMYFUNCTION("""COMPUTED_VALUE"""),3.3256432E7)</f>
        <v>33256432</v>
      </c>
    </row>
    <row r="16312">
      <c r="A16312" t="str">
        <f t="shared" si="1"/>
        <v>tur#1969</v>
      </c>
      <c r="B16312" t="str">
        <f>IFERROR(__xludf.DUMMYFUNCTION("""COMPUTED_VALUE"""),"tur")</f>
        <v>tur</v>
      </c>
      <c r="C16312" t="str">
        <f>IFERROR(__xludf.DUMMYFUNCTION("""COMPUTED_VALUE"""),"Turkey")</f>
        <v>Turkey</v>
      </c>
      <c r="D16312">
        <f>IFERROR(__xludf.DUMMYFUNCTION("""COMPUTED_VALUE"""),1969.0)</f>
        <v>1969</v>
      </c>
      <c r="E16312">
        <f>IFERROR(__xludf.DUMMYFUNCTION("""COMPUTED_VALUE"""),3.4055361E7)</f>
        <v>34055361</v>
      </c>
    </row>
    <row r="16313">
      <c r="A16313" t="str">
        <f t="shared" si="1"/>
        <v>tur#1970</v>
      </c>
      <c r="B16313" t="str">
        <f>IFERROR(__xludf.DUMMYFUNCTION("""COMPUTED_VALUE"""),"tur")</f>
        <v>tur</v>
      </c>
      <c r="C16313" t="str">
        <f>IFERROR(__xludf.DUMMYFUNCTION("""COMPUTED_VALUE"""),"Turkey")</f>
        <v>Turkey</v>
      </c>
      <c r="D16313">
        <f>IFERROR(__xludf.DUMMYFUNCTION("""COMPUTED_VALUE"""),1970.0)</f>
        <v>1970</v>
      </c>
      <c r="E16313">
        <f>IFERROR(__xludf.DUMMYFUNCTION("""COMPUTED_VALUE"""),3.4876267E7)</f>
        <v>34876267</v>
      </c>
    </row>
    <row r="16314">
      <c r="A16314" t="str">
        <f t="shared" si="1"/>
        <v>tur#1971</v>
      </c>
      <c r="B16314" t="str">
        <f>IFERROR(__xludf.DUMMYFUNCTION("""COMPUTED_VALUE"""),"tur")</f>
        <v>tur</v>
      </c>
      <c r="C16314" t="str">
        <f>IFERROR(__xludf.DUMMYFUNCTION("""COMPUTED_VALUE"""),"Turkey")</f>
        <v>Turkey</v>
      </c>
      <c r="D16314">
        <f>IFERROR(__xludf.DUMMYFUNCTION("""COMPUTED_VALUE"""),1971.0)</f>
        <v>1971</v>
      </c>
      <c r="E16314">
        <f>IFERROR(__xludf.DUMMYFUNCTION("""COMPUTED_VALUE"""),3.5720568E7)</f>
        <v>35720568</v>
      </c>
    </row>
    <row r="16315">
      <c r="A16315" t="str">
        <f t="shared" si="1"/>
        <v>tur#1972</v>
      </c>
      <c r="B16315" t="str">
        <f>IFERROR(__xludf.DUMMYFUNCTION("""COMPUTED_VALUE"""),"tur")</f>
        <v>tur</v>
      </c>
      <c r="C16315" t="str">
        <f>IFERROR(__xludf.DUMMYFUNCTION("""COMPUTED_VALUE"""),"Turkey")</f>
        <v>Turkey</v>
      </c>
      <c r="D16315">
        <f>IFERROR(__xludf.DUMMYFUNCTION("""COMPUTED_VALUE"""),1972.0)</f>
        <v>1972</v>
      </c>
      <c r="E16315">
        <f>IFERROR(__xludf.DUMMYFUNCTION("""COMPUTED_VALUE"""),3.6587225E7)</f>
        <v>36587225</v>
      </c>
    </row>
    <row r="16316">
      <c r="A16316" t="str">
        <f t="shared" si="1"/>
        <v>tur#1973</v>
      </c>
      <c r="B16316" t="str">
        <f>IFERROR(__xludf.DUMMYFUNCTION("""COMPUTED_VALUE"""),"tur")</f>
        <v>tur</v>
      </c>
      <c r="C16316" t="str">
        <f>IFERROR(__xludf.DUMMYFUNCTION("""COMPUTED_VALUE"""),"Turkey")</f>
        <v>Turkey</v>
      </c>
      <c r="D16316">
        <f>IFERROR(__xludf.DUMMYFUNCTION("""COMPUTED_VALUE"""),1973.0)</f>
        <v>1973</v>
      </c>
      <c r="E16316">
        <f>IFERROR(__xludf.DUMMYFUNCTION("""COMPUTED_VALUE"""),3.7472298E7)</f>
        <v>37472298</v>
      </c>
    </row>
    <row r="16317">
      <c r="A16317" t="str">
        <f t="shared" si="1"/>
        <v>tur#1974</v>
      </c>
      <c r="B16317" t="str">
        <f>IFERROR(__xludf.DUMMYFUNCTION("""COMPUTED_VALUE"""),"tur")</f>
        <v>tur</v>
      </c>
      <c r="C16317" t="str">
        <f>IFERROR(__xludf.DUMMYFUNCTION("""COMPUTED_VALUE"""),"Turkey")</f>
        <v>Turkey</v>
      </c>
      <c r="D16317">
        <f>IFERROR(__xludf.DUMMYFUNCTION("""COMPUTED_VALUE"""),1974.0)</f>
        <v>1974</v>
      </c>
      <c r="E16317">
        <f>IFERROR(__xludf.DUMMYFUNCTION("""COMPUTED_VALUE"""),3.8370241E7)</f>
        <v>38370241</v>
      </c>
    </row>
    <row r="16318">
      <c r="A16318" t="str">
        <f t="shared" si="1"/>
        <v>tur#1975</v>
      </c>
      <c r="B16318" t="str">
        <f>IFERROR(__xludf.DUMMYFUNCTION("""COMPUTED_VALUE"""),"tur")</f>
        <v>tur</v>
      </c>
      <c r="C16318" t="str">
        <f>IFERROR(__xludf.DUMMYFUNCTION("""COMPUTED_VALUE"""),"Turkey")</f>
        <v>Turkey</v>
      </c>
      <c r="D16318">
        <f>IFERROR(__xludf.DUMMYFUNCTION("""COMPUTED_VALUE"""),1975.0)</f>
        <v>1975</v>
      </c>
      <c r="E16318">
        <f>IFERROR(__xludf.DUMMYFUNCTION("""COMPUTED_VALUE"""),3.9277211E7)</f>
        <v>39277211</v>
      </c>
    </row>
    <row r="16319">
      <c r="A16319" t="str">
        <f t="shared" si="1"/>
        <v>tur#1976</v>
      </c>
      <c r="B16319" t="str">
        <f>IFERROR(__xludf.DUMMYFUNCTION("""COMPUTED_VALUE"""),"tur")</f>
        <v>tur</v>
      </c>
      <c r="C16319" t="str">
        <f>IFERROR(__xludf.DUMMYFUNCTION("""COMPUTED_VALUE"""),"Turkey")</f>
        <v>Turkey</v>
      </c>
      <c r="D16319">
        <f>IFERROR(__xludf.DUMMYFUNCTION("""COMPUTED_VALUE"""),1976.0)</f>
        <v>1976</v>
      </c>
      <c r="E16319">
        <f>IFERROR(__xludf.DUMMYFUNCTION("""COMPUTED_VALUE"""),4.0189511E7)</f>
        <v>40189511</v>
      </c>
    </row>
    <row r="16320">
      <c r="A16320" t="str">
        <f t="shared" si="1"/>
        <v>tur#1977</v>
      </c>
      <c r="B16320" t="str">
        <f>IFERROR(__xludf.DUMMYFUNCTION("""COMPUTED_VALUE"""),"tur")</f>
        <v>tur</v>
      </c>
      <c r="C16320" t="str">
        <f>IFERROR(__xludf.DUMMYFUNCTION("""COMPUTED_VALUE"""),"Turkey")</f>
        <v>Turkey</v>
      </c>
      <c r="D16320">
        <f>IFERROR(__xludf.DUMMYFUNCTION("""COMPUTED_VALUE"""),1977.0)</f>
        <v>1977</v>
      </c>
      <c r="E16320">
        <f>IFERROR(__xludf.DUMMYFUNCTION("""COMPUTED_VALUE"""),4.1108248E7)</f>
        <v>41108248</v>
      </c>
    </row>
    <row r="16321">
      <c r="A16321" t="str">
        <f t="shared" si="1"/>
        <v>tur#1978</v>
      </c>
      <c r="B16321" t="str">
        <f>IFERROR(__xludf.DUMMYFUNCTION("""COMPUTED_VALUE"""),"tur")</f>
        <v>tur</v>
      </c>
      <c r="C16321" t="str">
        <f>IFERROR(__xludf.DUMMYFUNCTION("""COMPUTED_VALUE"""),"Turkey")</f>
        <v>Turkey</v>
      </c>
      <c r="D16321">
        <f>IFERROR(__xludf.DUMMYFUNCTION("""COMPUTED_VALUE"""),1978.0)</f>
        <v>1978</v>
      </c>
      <c r="E16321">
        <f>IFERROR(__xludf.DUMMYFUNCTION("""COMPUTED_VALUE"""),4.2039935E7)</f>
        <v>42039935</v>
      </c>
    </row>
    <row r="16322">
      <c r="A16322" t="str">
        <f t="shared" si="1"/>
        <v>tur#1979</v>
      </c>
      <c r="B16322" t="str">
        <f>IFERROR(__xludf.DUMMYFUNCTION("""COMPUTED_VALUE"""),"tur")</f>
        <v>tur</v>
      </c>
      <c r="C16322" t="str">
        <f>IFERROR(__xludf.DUMMYFUNCTION("""COMPUTED_VALUE"""),"Turkey")</f>
        <v>Turkey</v>
      </c>
      <c r="D16322">
        <f>IFERROR(__xludf.DUMMYFUNCTION("""COMPUTED_VALUE"""),1979.0)</f>
        <v>1979</v>
      </c>
      <c r="E16322">
        <f>IFERROR(__xludf.DUMMYFUNCTION("""COMPUTED_VALUE"""),4.2993991E7)</f>
        <v>42993991</v>
      </c>
    </row>
    <row r="16323">
      <c r="A16323" t="str">
        <f t="shared" si="1"/>
        <v>tur#1980</v>
      </c>
      <c r="B16323" t="str">
        <f>IFERROR(__xludf.DUMMYFUNCTION("""COMPUTED_VALUE"""),"tur")</f>
        <v>tur</v>
      </c>
      <c r="C16323" t="str">
        <f>IFERROR(__xludf.DUMMYFUNCTION("""COMPUTED_VALUE"""),"Turkey")</f>
        <v>Turkey</v>
      </c>
      <c r="D16323">
        <f>IFERROR(__xludf.DUMMYFUNCTION("""COMPUTED_VALUE"""),1980.0)</f>
        <v>1980</v>
      </c>
      <c r="E16323">
        <f>IFERROR(__xludf.DUMMYFUNCTION("""COMPUTED_VALUE"""),4.3975921E7)</f>
        <v>43975921</v>
      </c>
    </row>
    <row r="16324">
      <c r="A16324" t="str">
        <f t="shared" si="1"/>
        <v>tur#1981</v>
      </c>
      <c r="B16324" t="str">
        <f>IFERROR(__xludf.DUMMYFUNCTION("""COMPUTED_VALUE"""),"tur")</f>
        <v>tur</v>
      </c>
      <c r="C16324" t="str">
        <f>IFERROR(__xludf.DUMMYFUNCTION("""COMPUTED_VALUE"""),"Turkey")</f>
        <v>Turkey</v>
      </c>
      <c r="D16324">
        <f>IFERROR(__xludf.DUMMYFUNCTION("""COMPUTED_VALUE"""),1981.0)</f>
        <v>1981</v>
      </c>
      <c r="E16324">
        <f>IFERROR(__xludf.DUMMYFUNCTION("""COMPUTED_VALUE"""),4.4988356E7)</f>
        <v>44988356</v>
      </c>
    </row>
    <row r="16325">
      <c r="A16325" t="str">
        <f t="shared" si="1"/>
        <v>tur#1982</v>
      </c>
      <c r="B16325" t="str">
        <f>IFERROR(__xludf.DUMMYFUNCTION("""COMPUTED_VALUE"""),"tur")</f>
        <v>tur</v>
      </c>
      <c r="C16325" t="str">
        <f>IFERROR(__xludf.DUMMYFUNCTION("""COMPUTED_VALUE"""),"Turkey")</f>
        <v>Turkey</v>
      </c>
      <c r="D16325">
        <f>IFERROR(__xludf.DUMMYFUNCTION("""COMPUTED_VALUE"""),1982.0)</f>
        <v>1982</v>
      </c>
      <c r="E16325">
        <f>IFERROR(__xludf.DUMMYFUNCTION("""COMPUTED_VALUE"""),4.6025357E7)</f>
        <v>46025357</v>
      </c>
    </row>
    <row r="16326">
      <c r="A16326" t="str">
        <f t="shared" si="1"/>
        <v>tur#1983</v>
      </c>
      <c r="B16326" t="str">
        <f>IFERROR(__xludf.DUMMYFUNCTION("""COMPUTED_VALUE"""),"tur")</f>
        <v>tur</v>
      </c>
      <c r="C16326" t="str">
        <f>IFERROR(__xludf.DUMMYFUNCTION("""COMPUTED_VALUE"""),"Turkey")</f>
        <v>Turkey</v>
      </c>
      <c r="D16326">
        <f>IFERROR(__xludf.DUMMYFUNCTION("""COMPUTED_VALUE"""),1983.0)</f>
        <v>1983</v>
      </c>
      <c r="E16326">
        <f>IFERROR(__xludf.DUMMYFUNCTION("""COMPUTED_VALUE"""),4.7073422E7)</f>
        <v>47073422</v>
      </c>
    </row>
    <row r="16327">
      <c r="A16327" t="str">
        <f t="shared" si="1"/>
        <v>tur#1984</v>
      </c>
      <c r="B16327" t="str">
        <f>IFERROR(__xludf.DUMMYFUNCTION("""COMPUTED_VALUE"""),"tur")</f>
        <v>tur</v>
      </c>
      <c r="C16327" t="str">
        <f>IFERROR(__xludf.DUMMYFUNCTION("""COMPUTED_VALUE"""),"Turkey")</f>
        <v>Turkey</v>
      </c>
      <c r="D16327">
        <f>IFERROR(__xludf.DUMMYFUNCTION("""COMPUTED_VALUE"""),1984.0)</f>
        <v>1984</v>
      </c>
      <c r="E16327">
        <f>IFERROR(__xludf.DUMMYFUNCTION("""COMPUTED_VALUE"""),4.8114105E7)</f>
        <v>48114105</v>
      </c>
    </row>
    <row r="16328">
      <c r="A16328" t="str">
        <f t="shared" si="1"/>
        <v>tur#1985</v>
      </c>
      <c r="B16328" t="str">
        <f>IFERROR(__xludf.DUMMYFUNCTION("""COMPUTED_VALUE"""),"tur")</f>
        <v>tur</v>
      </c>
      <c r="C16328" t="str">
        <f>IFERROR(__xludf.DUMMYFUNCTION("""COMPUTED_VALUE"""),"Turkey")</f>
        <v>Turkey</v>
      </c>
      <c r="D16328">
        <f>IFERROR(__xludf.DUMMYFUNCTION("""COMPUTED_VALUE"""),1985.0)</f>
        <v>1985</v>
      </c>
      <c r="E16328">
        <f>IFERROR(__xludf.DUMMYFUNCTION("""COMPUTED_VALUE"""),4.9133883E7)</f>
        <v>49133883</v>
      </c>
    </row>
    <row r="16329">
      <c r="A16329" t="str">
        <f t="shared" si="1"/>
        <v>tur#1986</v>
      </c>
      <c r="B16329" t="str">
        <f>IFERROR(__xludf.DUMMYFUNCTION("""COMPUTED_VALUE"""),"tur")</f>
        <v>tur</v>
      </c>
      <c r="C16329" t="str">
        <f>IFERROR(__xludf.DUMMYFUNCTION("""COMPUTED_VALUE"""),"Turkey")</f>
        <v>Turkey</v>
      </c>
      <c r="D16329">
        <f>IFERROR(__xludf.DUMMYFUNCTION("""COMPUTED_VALUE"""),1986.0)</f>
        <v>1986</v>
      </c>
      <c r="E16329">
        <f>IFERROR(__xludf.DUMMYFUNCTION("""COMPUTED_VALUE"""),5.0128489E7)</f>
        <v>50128489</v>
      </c>
    </row>
    <row r="16330">
      <c r="A16330" t="str">
        <f t="shared" si="1"/>
        <v>tur#1987</v>
      </c>
      <c r="B16330" t="str">
        <f>IFERROR(__xludf.DUMMYFUNCTION("""COMPUTED_VALUE"""),"tur")</f>
        <v>tur</v>
      </c>
      <c r="C16330" t="str">
        <f>IFERROR(__xludf.DUMMYFUNCTION("""COMPUTED_VALUE"""),"Turkey")</f>
        <v>Turkey</v>
      </c>
      <c r="D16330">
        <f>IFERROR(__xludf.DUMMYFUNCTION("""COMPUTED_VALUE"""),1987.0)</f>
        <v>1987</v>
      </c>
      <c r="E16330">
        <f>IFERROR(__xludf.DUMMYFUNCTION("""COMPUTED_VALUE"""),5.1100878E7)</f>
        <v>51100878</v>
      </c>
    </row>
    <row r="16331">
      <c r="A16331" t="str">
        <f t="shared" si="1"/>
        <v>tur#1988</v>
      </c>
      <c r="B16331" t="str">
        <f>IFERROR(__xludf.DUMMYFUNCTION("""COMPUTED_VALUE"""),"tur")</f>
        <v>tur</v>
      </c>
      <c r="C16331" t="str">
        <f>IFERROR(__xludf.DUMMYFUNCTION("""COMPUTED_VALUE"""),"Turkey")</f>
        <v>Turkey</v>
      </c>
      <c r="D16331">
        <f>IFERROR(__xludf.DUMMYFUNCTION("""COMPUTED_VALUE"""),1988.0)</f>
        <v>1988</v>
      </c>
      <c r="E16331">
        <f>IFERROR(__xludf.DUMMYFUNCTION("""COMPUTED_VALUE"""),5.2053704E7)</f>
        <v>52053704</v>
      </c>
    </row>
    <row r="16332">
      <c r="A16332" t="str">
        <f t="shared" si="1"/>
        <v>tur#1989</v>
      </c>
      <c r="B16332" t="str">
        <f>IFERROR(__xludf.DUMMYFUNCTION("""COMPUTED_VALUE"""),"tur")</f>
        <v>tur</v>
      </c>
      <c r="C16332" t="str">
        <f>IFERROR(__xludf.DUMMYFUNCTION("""COMPUTED_VALUE"""),"Turkey")</f>
        <v>Turkey</v>
      </c>
      <c r="D16332">
        <f>IFERROR(__xludf.DUMMYFUNCTION("""COMPUTED_VALUE"""),1989.0)</f>
        <v>1989</v>
      </c>
      <c r="E16332">
        <f>IFERROR(__xludf.DUMMYFUNCTION("""COMPUTED_VALUE"""),5.2992429E7)</f>
        <v>52992429</v>
      </c>
    </row>
    <row r="16333">
      <c r="A16333" t="str">
        <f t="shared" si="1"/>
        <v>tur#1990</v>
      </c>
      <c r="B16333" t="str">
        <f>IFERROR(__xludf.DUMMYFUNCTION("""COMPUTED_VALUE"""),"tur")</f>
        <v>tur</v>
      </c>
      <c r="C16333" t="str">
        <f>IFERROR(__xludf.DUMMYFUNCTION("""COMPUTED_VALUE"""),"Turkey")</f>
        <v>Turkey</v>
      </c>
      <c r="D16333">
        <f>IFERROR(__xludf.DUMMYFUNCTION("""COMPUTED_VALUE"""),1990.0)</f>
        <v>1990</v>
      </c>
      <c r="E16333">
        <f>IFERROR(__xludf.DUMMYFUNCTION("""COMPUTED_VALUE"""),5.3921699E7)</f>
        <v>53921699</v>
      </c>
    </row>
    <row r="16334">
      <c r="A16334" t="str">
        <f t="shared" si="1"/>
        <v>tur#1991</v>
      </c>
      <c r="B16334" t="str">
        <f>IFERROR(__xludf.DUMMYFUNCTION("""COMPUTED_VALUE"""),"tur")</f>
        <v>tur</v>
      </c>
      <c r="C16334" t="str">
        <f>IFERROR(__xludf.DUMMYFUNCTION("""COMPUTED_VALUE"""),"Turkey")</f>
        <v>Turkey</v>
      </c>
      <c r="D16334">
        <f>IFERROR(__xludf.DUMMYFUNCTION("""COMPUTED_VALUE"""),1991.0)</f>
        <v>1991</v>
      </c>
      <c r="E16334">
        <f>IFERROR(__xludf.DUMMYFUNCTION("""COMPUTED_VALUE"""),5.4840531E7)</f>
        <v>54840531</v>
      </c>
    </row>
    <row r="16335">
      <c r="A16335" t="str">
        <f t="shared" si="1"/>
        <v>tur#1992</v>
      </c>
      <c r="B16335" t="str">
        <f>IFERROR(__xludf.DUMMYFUNCTION("""COMPUTED_VALUE"""),"tur")</f>
        <v>tur</v>
      </c>
      <c r="C16335" t="str">
        <f>IFERROR(__xludf.DUMMYFUNCTION("""COMPUTED_VALUE"""),"Turkey")</f>
        <v>Turkey</v>
      </c>
      <c r="D16335">
        <f>IFERROR(__xludf.DUMMYFUNCTION("""COMPUTED_VALUE"""),1992.0)</f>
        <v>1992</v>
      </c>
      <c r="E16335">
        <f>IFERROR(__xludf.DUMMYFUNCTION("""COMPUTED_VALUE"""),5.5748875E7)</f>
        <v>55748875</v>
      </c>
    </row>
    <row r="16336">
      <c r="A16336" t="str">
        <f t="shared" si="1"/>
        <v>tur#1993</v>
      </c>
      <c r="B16336" t="str">
        <f>IFERROR(__xludf.DUMMYFUNCTION("""COMPUTED_VALUE"""),"tur")</f>
        <v>tur</v>
      </c>
      <c r="C16336" t="str">
        <f>IFERROR(__xludf.DUMMYFUNCTION("""COMPUTED_VALUE"""),"Turkey")</f>
        <v>Turkey</v>
      </c>
      <c r="D16336">
        <f>IFERROR(__xludf.DUMMYFUNCTION("""COMPUTED_VALUE"""),1993.0)</f>
        <v>1993</v>
      </c>
      <c r="E16336">
        <f>IFERROR(__xludf.DUMMYFUNCTION("""COMPUTED_VALUE"""),5.6653729E7)</f>
        <v>56653729</v>
      </c>
    </row>
    <row r="16337">
      <c r="A16337" t="str">
        <f t="shared" si="1"/>
        <v>tur#1994</v>
      </c>
      <c r="B16337" t="str">
        <f>IFERROR(__xludf.DUMMYFUNCTION("""COMPUTED_VALUE"""),"tur")</f>
        <v>tur</v>
      </c>
      <c r="C16337" t="str">
        <f>IFERROR(__xludf.DUMMYFUNCTION("""COMPUTED_VALUE"""),"Turkey")</f>
        <v>Turkey</v>
      </c>
      <c r="D16337">
        <f>IFERROR(__xludf.DUMMYFUNCTION("""COMPUTED_VALUE"""),1994.0)</f>
        <v>1994</v>
      </c>
      <c r="E16337">
        <f>IFERROR(__xludf.DUMMYFUNCTION("""COMPUTED_VALUE"""),5.7564132E7)</f>
        <v>57564132</v>
      </c>
    </row>
    <row r="16338">
      <c r="A16338" t="str">
        <f t="shared" si="1"/>
        <v>tur#1995</v>
      </c>
      <c r="B16338" t="str">
        <f>IFERROR(__xludf.DUMMYFUNCTION("""COMPUTED_VALUE"""),"tur")</f>
        <v>tur</v>
      </c>
      <c r="C16338" t="str">
        <f>IFERROR(__xludf.DUMMYFUNCTION("""COMPUTED_VALUE"""),"Turkey")</f>
        <v>Turkey</v>
      </c>
      <c r="D16338">
        <f>IFERROR(__xludf.DUMMYFUNCTION("""COMPUTED_VALUE"""),1995.0)</f>
        <v>1995</v>
      </c>
      <c r="E16338">
        <f>IFERROR(__xludf.DUMMYFUNCTION("""COMPUTED_VALUE"""),5.8486381E7)</f>
        <v>58486381</v>
      </c>
    </row>
    <row r="16339">
      <c r="A16339" t="str">
        <f t="shared" si="1"/>
        <v>tur#1996</v>
      </c>
      <c r="B16339" t="str">
        <f>IFERROR(__xludf.DUMMYFUNCTION("""COMPUTED_VALUE"""),"tur")</f>
        <v>tur</v>
      </c>
      <c r="C16339" t="str">
        <f>IFERROR(__xludf.DUMMYFUNCTION("""COMPUTED_VALUE"""),"Turkey")</f>
        <v>Turkey</v>
      </c>
      <c r="D16339">
        <f>IFERROR(__xludf.DUMMYFUNCTION("""COMPUTED_VALUE"""),1996.0)</f>
        <v>1996</v>
      </c>
      <c r="E16339">
        <f>IFERROR(__xludf.DUMMYFUNCTION("""COMPUTED_VALUE"""),5.9423208E7)</f>
        <v>59423208</v>
      </c>
    </row>
    <row r="16340">
      <c r="A16340" t="str">
        <f t="shared" si="1"/>
        <v>tur#1997</v>
      </c>
      <c r="B16340" t="str">
        <f>IFERROR(__xludf.DUMMYFUNCTION("""COMPUTED_VALUE"""),"tur")</f>
        <v>tur</v>
      </c>
      <c r="C16340" t="str">
        <f>IFERROR(__xludf.DUMMYFUNCTION("""COMPUTED_VALUE"""),"Turkey")</f>
        <v>Turkey</v>
      </c>
      <c r="D16340">
        <f>IFERROR(__xludf.DUMMYFUNCTION("""COMPUTED_VALUE"""),1997.0)</f>
        <v>1997</v>
      </c>
      <c r="E16340">
        <f>IFERROR(__xludf.DUMMYFUNCTION("""COMPUTED_VALUE"""),6.0372499E7)</f>
        <v>60372499</v>
      </c>
    </row>
    <row r="16341">
      <c r="A16341" t="str">
        <f t="shared" si="1"/>
        <v>tur#1998</v>
      </c>
      <c r="B16341" t="str">
        <f>IFERROR(__xludf.DUMMYFUNCTION("""COMPUTED_VALUE"""),"tur")</f>
        <v>tur</v>
      </c>
      <c r="C16341" t="str">
        <f>IFERROR(__xludf.DUMMYFUNCTION("""COMPUTED_VALUE"""),"Turkey")</f>
        <v>Turkey</v>
      </c>
      <c r="D16341">
        <f>IFERROR(__xludf.DUMMYFUNCTION("""COMPUTED_VALUE"""),1998.0)</f>
        <v>1998</v>
      </c>
      <c r="E16341">
        <f>IFERROR(__xludf.DUMMYFUNCTION("""COMPUTED_VALUE"""),6.132959E7)</f>
        <v>61329590</v>
      </c>
    </row>
    <row r="16342">
      <c r="A16342" t="str">
        <f t="shared" si="1"/>
        <v>tur#1999</v>
      </c>
      <c r="B16342" t="str">
        <f>IFERROR(__xludf.DUMMYFUNCTION("""COMPUTED_VALUE"""),"tur")</f>
        <v>tur</v>
      </c>
      <c r="C16342" t="str">
        <f>IFERROR(__xludf.DUMMYFUNCTION("""COMPUTED_VALUE"""),"Turkey")</f>
        <v>Turkey</v>
      </c>
      <c r="D16342">
        <f>IFERROR(__xludf.DUMMYFUNCTION("""COMPUTED_VALUE"""),1999.0)</f>
        <v>1999</v>
      </c>
      <c r="E16342">
        <f>IFERROR(__xludf.DUMMYFUNCTION("""COMPUTED_VALUE"""),6.2287326E7)</f>
        <v>62287326</v>
      </c>
    </row>
    <row r="16343">
      <c r="A16343" t="str">
        <f t="shared" si="1"/>
        <v>tur#2000</v>
      </c>
      <c r="B16343" t="str">
        <f>IFERROR(__xludf.DUMMYFUNCTION("""COMPUTED_VALUE"""),"tur")</f>
        <v>tur</v>
      </c>
      <c r="C16343" t="str">
        <f>IFERROR(__xludf.DUMMYFUNCTION("""COMPUTED_VALUE"""),"Turkey")</f>
        <v>Turkey</v>
      </c>
      <c r="D16343">
        <f>IFERROR(__xludf.DUMMYFUNCTION("""COMPUTED_VALUE"""),2000.0)</f>
        <v>2000</v>
      </c>
      <c r="E16343">
        <f>IFERROR(__xludf.DUMMYFUNCTION("""COMPUTED_VALUE"""),6.3240121E7)</f>
        <v>63240121</v>
      </c>
    </row>
    <row r="16344">
      <c r="A16344" t="str">
        <f t="shared" si="1"/>
        <v>tur#2001</v>
      </c>
      <c r="B16344" t="str">
        <f>IFERROR(__xludf.DUMMYFUNCTION("""COMPUTED_VALUE"""),"tur")</f>
        <v>tur</v>
      </c>
      <c r="C16344" t="str">
        <f>IFERROR(__xludf.DUMMYFUNCTION("""COMPUTED_VALUE"""),"Turkey")</f>
        <v>Turkey</v>
      </c>
      <c r="D16344">
        <f>IFERROR(__xludf.DUMMYFUNCTION("""COMPUTED_VALUE"""),2001.0)</f>
        <v>2001</v>
      </c>
      <c r="E16344">
        <f>IFERROR(__xludf.DUMMYFUNCTION("""COMPUTED_VALUE"""),6.4191474E7)</f>
        <v>64191474</v>
      </c>
    </row>
    <row r="16345">
      <c r="A16345" t="str">
        <f t="shared" si="1"/>
        <v>tur#2002</v>
      </c>
      <c r="B16345" t="str">
        <f>IFERROR(__xludf.DUMMYFUNCTION("""COMPUTED_VALUE"""),"tur")</f>
        <v>tur</v>
      </c>
      <c r="C16345" t="str">
        <f>IFERROR(__xludf.DUMMYFUNCTION("""COMPUTED_VALUE"""),"Turkey")</f>
        <v>Turkey</v>
      </c>
      <c r="D16345">
        <f>IFERROR(__xludf.DUMMYFUNCTION("""COMPUTED_VALUE"""),2002.0)</f>
        <v>2002</v>
      </c>
      <c r="E16345">
        <f>IFERROR(__xludf.DUMMYFUNCTION("""COMPUTED_VALUE"""),6.5143054E7)</f>
        <v>65143054</v>
      </c>
    </row>
    <row r="16346">
      <c r="A16346" t="str">
        <f t="shared" si="1"/>
        <v>tur#2003</v>
      </c>
      <c r="B16346" t="str">
        <f>IFERROR(__xludf.DUMMYFUNCTION("""COMPUTED_VALUE"""),"tur")</f>
        <v>tur</v>
      </c>
      <c r="C16346" t="str">
        <f>IFERROR(__xludf.DUMMYFUNCTION("""COMPUTED_VALUE"""),"Turkey")</f>
        <v>Turkey</v>
      </c>
      <c r="D16346">
        <f>IFERROR(__xludf.DUMMYFUNCTION("""COMPUTED_VALUE"""),2003.0)</f>
        <v>2003</v>
      </c>
      <c r="E16346">
        <f>IFERROR(__xludf.DUMMYFUNCTION("""COMPUTED_VALUE"""),6.6085803E7)</f>
        <v>66085803</v>
      </c>
    </row>
    <row r="16347">
      <c r="A16347" t="str">
        <f t="shared" si="1"/>
        <v>tur#2004</v>
      </c>
      <c r="B16347" t="str">
        <f>IFERROR(__xludf.DUMMYFUNCTION("""COMPUTED_VALUE"""),"tur")</f>
        <v>tur</v>
      </c>
      <c r="C16347" t="str">
        <f>IFERROR(__xludf.DUMMYFUNCTION("""COMPUTED_VALUE"""),"Turkey")</f>
        <v>Turkey</v>
      </c>
      <c r="D16347">
        <f>IFERROR(__xludf.DUMMYFUNCTION("""COMPUTED_VALUE"""),2004.0)</f>
        <v>2004</v>
      </c>
      <c r="E16347">
        <f>IFERROR(__xludf.DUMMYFUNCTION("""COMPUTED_VALUE"""),6.7007855E7)</f>
        <v>67007855</v>
      </c>
    </row>
    <row r="16348">
      <c r="A16348" t="str">
        <f t="shared" si="1"/>
        <v>tur#2005</v>
      </c>
      <c r="B16348" t="str">
        <f>IFERROR(__xludf.DUMMYFUNCTION("""COMPUTED_VALUE"""),"tur")</f>
        <v>tur</v>
      </c>
      <c r="C16348" t="str">
        <f>IFERROR(__xludf.DUMMYFUNCTION("""COMPUTED_VALUE"""),"Turkey")</f>
        <v>Turkey</v>
      </c>
      <c r="D16348">
        <f>IFERROR(__xludf.DUMMYFUNCTION("""COMPUTED_VALUE"""),2005.0)</f>
        <v>2005</v>
      </c>
      <c r="E16348">
        <f>IFERROR(__xludf.DUMMYFUNCTION("""COMPUTED_VALUE"""),6.7903406E7)</f>
        <v>67903406</v>
      </c>
    </row>
    <row r="16349">
      <c r="A16349" t="str">
        <f t="shared" si="1"/>
        <v>tur#2006</v>
      </c>
      <c r="B16349" t="str">
        <f>IFERROR(__xludf.DUMMYFUNCTION("""COMPUTED_VALUE"""),"tur")</f>
        <v>tur</v>
      </c>
      <c r="C16349" t="str">
        <f>IFERROR(__xludf.DUMMYFUNCTION("""COMPUTED_VALUE"""),"Turkey")</f>
        <v>Turkey</v>
      </c>
      <c r="D16349">
        <f>IFERROR(__xludf.DUMMYFUNCTION("""COMPUTED_VALUE"""),2006.0)</f>
        <v>2006</v>
      </c>
      <c r="E16349">
        <f>IFERROR(__xludf.DUMMYFUNCTION("""COMPUTED_VALUE"""),6.8763405E7)</f>
        <v>68763405</v>
      </c>
    </row>
    <row r="16350">
      <c r="A16350" t="str">
        <f t="shared" si="1"/>
        <v>tur#2007</v>
      </c>
      <c r="B16350" t="str">
        <f>IFERROR(__xludf.DUMMYFUNCTION("""COMPUTED_VALUE"""),"tur")</f>
        <v>tur</v>
      </c>
      <c r="C16350" t="str">
        <f>IFERROR(__xludf.DUMMYFUNCTION("""COMPUTED_VALUE"""),"Turkey")</f>
        <v>Turkey</v>
      </c>
      <c r="D16350">
        <f>IFERROR(__xludf.DUMMYFUNCTION("""COMPUTED_VALUE"""),2007.0)</f>
        <v>2007</v>
      </c>
      <c r="E16350">
        <f>IFERROR(__xludf.DUMMYFUNCTION("""COMPUTED_VALUE"""),6.9597281E7)</f>
        <v>69597281</v>
      </c>
    </row>
    <row r="16351">
      <c r="A16351" t="str">
        <f t="shared" si="1"/>
        <v>tur#2008</v>
      </c>
      <c r="B16351" t="str">
        <f>IFERROR(__xludf.DUMMYFUNCTION("""COMPUTED_VALUE"""),"tur")</f>
        <v>tur</v>
      </c>
      <c r="C16351" t="str">
        <f>IFERROR(__xludf.DUMMYFUNCTION("""COMPUTED_VALUE"""),"Turkey")</f>
        <v>Turkey</v>
      </c>
      <c r="D16351">
        <f>IFERROR(__xludf.DUMMYFUNCTION("""COMPUTED_VALUE"""),2008.0)</f>
        <v>2008</v>
      </c>
      <c r="E16351">
        <f>IFERROR(__xludf.DUMMYFUNCTION("""COMPUTED_VALUE"""),7.0440032E7)</f>
        <v>70440032</v>
      </c>
    </row>
    <row r="16352">
      <c r="A16352" t="str">
        <f t="shared" si="1"/>
        <v>tur#2009</v>
      </c>
      <c r="B16352" t="str">
        <f>IFERROR(__xludf.DUMMYFUNCTION("""COMPUTED_VALUE"""),"tur")</f>
        <v>tur</v>
      </c>
      <c r="C16352" t="str">
        <f>IFERROR(__xludf.DUMMYFUNCTION("""COMPUTED_VALUE"""),"Turkey")</f>
        <v>Turkey</v>
      </c>
      <c r="D16352">
        <f>IFERROR(__xludf.DUMMYFUNCTION("""COMPUTED_VALUE"""),2009.0)</f>
        <v>2009</v>
      </c>
      <c r="E16352">
        <f>IFERROR(__xludf.DUMMYFUNCTION("""COMPUTED_VALUE"""),7.1339185E7)</f>
        <v>71339185</v>
      </c>
    </row>
    <row r="16353">
      <c r="A16353" t="str">
        <f t="shared" si="1"/>
        <v>tur#2010</v>
      </c>
      <c r="B16353" t="str">
        <f>IFERROR(__xludf.DUMMYFUNCTION("""COMPUTED_VALUE"""),"tur")</f>
        <v>tur</v>
      </c>
      <c r="C16353" t="str">
        <f>IFERROR(__xludf.DUMMYFUNCTION("""COMPUTED_VALUE"""),"Turkey")</f>
        <v>Turkey</v>
      </c>
      <c r="D16353">
        <f>IFERROR(__xludf.DUMMYFUNCTION("""COMPUTED_VALUE"""),2010.0)</f>
        <v>2010</v>
      </c>
      <c r="E16353">
        <f>IFERROR(__xludf.DUMMYFUNCTION("""COMPUTED_VALUE"""),7.2326914E7)</f>
        <v>72326914</v>
      </c>
    </row>
    <row r="16354">
      <c r="A16354" t="str">
        <f t="shared" si="1"/>
        <v>tur#2011</v>
      </c>
      <c r="B16354" t="str">
        <f>IFERROR(__xludf.DUMMYFUNCTION("""COMPUTED_VALUE"""),"tur")</f>
        <v>tur</v>
      </c>
      <c r="C16354" t="str">
        <f>IFERROR(__xludf.DUMMYFUNCTION("""COMPUTED_VALUE"""),"Turkey")</f>
        <v>Turkey</v>
      </c>
      <c r="D16354">
        <f>IFERROR(__xludf.DUMMYFUNCTION("""COMPUTED_VALUE"""),2011.0)</f>
        <v>2011</v>
      </c>
      <c r="E16354">
        <f>IFERROR(__xludf.DUMMYFUNCTION("""COMPUTED_VALUE"""),7.3409455E7)</f>
        <v>73409455</v>
      </c>
    </row>
    <row r="16355">
      <c r="A16355" t="str">
        <f t="shared" si="1"/>
        <v>tur#2012</v>
      </c>
      <c r="B16355" t="str">
        <f>IFERROR(__xludf.DUMMYFUNCTION("""COMPUTED_VALUE"""),"tur")</f>
        <v>tur</v>
      </c>
      <c r="C16355" t="str">
        <f>IFERROR(__xludf.DUMMYFUNCTION("""COMPUTED_VALUE"""),"Turkey")</f>
        <v>Turkey</v>
      </c>
      <c r="D16355">
        <f>IFERROR(__xludf.DUMMYFUNCTION("""COMPUTED_VALUE"""),2012.0)</f>
        <v>2012</v>
      </c>
      <c r="E16355">
        <f>IFERROR(__xludf.DUMMYFUNCTION("""COMPUTED_VALUE"""),7.4569867E7)</f>
        <v>74569867</v>
      </c>
    </row>
    <row r="16356">
      <c r="A16356" t="str">
        <f t="shared" si="1"/>
        <v>tur#2013</v>
      </c>
      <c r="B16356" t="str">
        <f>IFERROR(__xludf.DUMMYFUNCTION("""COMPUTED_VALUE"""),"tur")</f>
        <v>tur</v>
      </c>
      <c r="C16356" t="str">
        <f>IFERROR(__xludf.DUMMYFUNCTION("""COMPUTED_VALUE"""),"Turkey")</f>
        <v>Turkey</v>
      </c>
      <c r="D16356">
        <f>IFERROR(__xludf.DUMMYFUNCTION("""COMPUTED_VALUE"""),2013.0)</f>
        <v>2013</v>
      </c>
      <c r="E16356">
        <f>IFERROR(__xludf.DUMMYFUNCTION("""COMPUTED_VALUE"""),7.5787333E7)</f>
        <v>75787333</v>
      </c>
    </row>
    <row r="16357">
      <c r="A16357" t="str">
        <f t="shared" si="1"/>
        <v>tur#2014</v>
      </c>
      <c r="B16357" t="str">
        <f>IFERROR(__xludf.DUMMYFUNCTION("""COMPUTED_VALUE"""),"tur")</f>
        <v>tur</v>
      </c>
      <c r="C16357" t="str">
        <f>IFERROR(__xludf.DUMMYFUNCTION("""COMPUTED_VALUE"""),"Turkey")</f>
        <v>Turkey</v>
      </c>
      <c r="D16357">
        <f>IFERROR(__xludf.DUMMYFUNCTION("""COMPUTED_VALUE"""),2014.0)</f>
        <v>2014</v>
      </c>
      <c r="E16357">
        <f>IFERROR(__xludf.DUMMYFUNCTION("""COMPUTED_VALUE"""),7.7030628E7)</f>
        <v>77030628</v>
      </c>
    </row>
    <row r="16358">
      <c r="A16358" t="str">
        <f t="shared" si="1"/>
        <v>tur#2015</v>
      </c>
      <c r="B16358" t="str">
        <f>IFERROR(__xludf.DUMMYFUNCTION("""COMPUTED_VALUE"""),"tur")</f>
        <v>tur</v>
      </c>
      <c r="C16358" t="str">
        <f>IFERROR(__xludf.DUMMYFUNCTION("""COMPUTED_VALUE"""),"Turkey")</f>
        <v>Turkey</v>
      </c>
      <c r="D16358">
        <f>IFERROR(__xludf.DUMMYFUNCTION("""COMPUTED_VALUE"""),2015.0)</f>
        <v>2015</v>
      </c>
      <c r="E16358">
        <f>IFERROR(__xludf.DUMMYFUNCTION("""COMPUTED_VALUE"""),7.8271472E7)</f>
        <v>78271472</v>
      </c>
    </row>
    <row r="16359">
      <c r="A16359" t="str">
        <f t="shared" si="1"/>
        <v>tur#2016</v>
      </c>
      <c r="B16359" t="str">
        <f>IFERROR(__xludf.DUMMYFUNCTION("""COMPUTED_VALUE"""),"tur")</f>
        <v>tur</v>
      </c>
      <c r="C16359" t="str">
        <f>IFERROR(__xludf.DUMMYFUNCTION("""COMPUTED_VALUE"""),"Turkey")</f>
        <v>Turkey</v>
      </c>
      <c r="D16359">
        <f>IFERROR(__xludf.DUMMYFUNCTION("""COMPUTED_VALUE"""),2016.0)</f>
        <v>2016</v>
      </c>
      <c r="E16359">
        <f>IFERROR(__xludf.DUMMYFUNCTION("""COMPUTED_VALUE"""),7.9512426E7)</f>
        <v>79512426</v>
      </c>
    </row>
    <row r="16360">
      <c r="A16360" t="str">
        <f t="shared" si="1"/>
        <v>tur#2017</v>
      </c>
      <c r="B16360" t="str">
        <f>IFERROR(__xludf.DUMMYFUNCTION("""COMPUTED_VALUE"""),"tur")</f>
        <v>tur</v>
      </c>
      <c r="C16360" t="str">
        <f>IFERROR(__xludf.DUMMYFUNCTION("""COMPUTED_VALUE"""),"Turkey")</f>
        <v>Turkey</v>
      </c>
      <c r="D16360">
        <f>IFERROR(__xludf.DUMMYFUNCTION("""COMPUTED_VALUE"""),2017.0)</f>
        <v>2017</v>
      </c>
      <c r="E16360">
        <f>IFERROR(__xludf.DUMMYFUNCTION("""COMPUTED_VALUE"""),8.074502E7)</f>
        <v>80745020</v>
      </c>
    </row>
    <row r="16361">
      <c r="A16361" t="str">
        <f t="shared" si="1"/>
        <v>tur#2018</v>
      </c>
      <c r="B16361" t="str">
        <f>IFERROR(__xludf.DUMMYFUNCTION("""COMPUTED_VALUE"""),"tur")</f>
        <v>tur</v>
      </c>
      <c r="C16361" t="str">
        <f>IFERROR(__xludf.DUMMYFUNCTION("""COMPUTED_VALUE"""),"Turkey")</f>
        <v>Turkey</v>
      </c>
      <c r="D16361">
        <f>IFERROR(__xludf.DUMMYFUNCTION("""COMPUTED_VALUE"""),2018.0)</f>
        <v>2018</v>
      </c>
      <c r="E16361">
        <f>IFERROR(__xludf.DUMMYFUNCTION("""COMPUTED_VALUE"""),8.1916871E7)</f>
        <v>81916871</v>
      </c>
    </row>
    <row r="16362">
      <c r="A16362" t="str">
        <f t="shared" si="1"/>
        <v>tur#2019</v>
      </c>
      <c r="B16362" t="str">
        <f>IFERROR(__xludf.DUMMYFUNCTION("""COMPUTED_VALUE"""),"tur")</f>
        <v>tur</v>
      </c>
      <c r="C16362" t="str">
        <f>IFERROR(__xludf.DUMMYFUNCTION("""COMPUTED_VALUE"""),"Turkey")</f>
        <v>Turkey</v>
      </c>
      <c r="D16362">
        <f>IFERROR(__xludf.DUMMYFUNCTION("""COMPUTED_VALUE"""),2019.0)</f>
        <v>2019</v>
      </c>
      <c r="E16362">
        <f>IFERROR(__xludf.DUMMYFUNCTION("""COMPUTED_VALUE"""),8.2961805E7)</f>
        <v>82961805</v>
      </c>
    </row>
    <row r="16363">
      <c r="A16363" t="str">
        <f t="shared" si="1"/>
        <v>tur#2020</v>
      </c>
      <c r="B16363" t="str">
        <f>IFERROR(__xludf.DUMMYFUNCTION("""COMPUTED_VALUE"""),"tur")</f>
        <v>tur</v>
      </c>
      <c r="C16363" t="str">
        <f>IFERROR(__xludf.DUMMYFUNCTION("""COMPUTED_VALUE"""),"Turkey")</f>
        <v>Turkey</v>
      </c>
      <c r="D16363">
        <f>IFERROR(__xludf.DUMMYFUNCTION("""COMPUTED_VALUE"""),2020.0)</f>
        <v>2020</v>
      </c>
      <c r="E16363">
        <f>IFERROR(__xludf.DUMMYFUNCTION("""COMPUTED_VALUE"""),8.383575E7)</f>
        <v>83835750</v>
      </c>
    </row>
    <row r="16364">
      <c r="A16364" t="str">
        <f t="shared" si="1"/>
        <v>tur#2021</v>
      </c>
      <c r="B16364" t="str">
        <f>IFERROR(__xludf.DUMMYFUNCTION("""COMPUTED_VALUE"""),"tur")</f>
        <v>tur</v>
      </c>
      <c r="C16364" t="str">
        <f>IFERROR(__xludf.DUMMYFUNCTION("""COMPUTED_VALUE"""),"Turkey")</f>
        <v>Turkey</v>
      </c>
      <c r="D16364">
        <f>IFERROR(__xludf.DUMMYFUNCTION("""COMPUTED_VALUE"""),2021.0)</f>
        <v>2021</v>
      </c>
      <c r="E16364">
        <f>IFERROR(__xludf.DUMMYFUNCTION("""COMPUTED_VALUE"""),8.4514623E7)</f>
        <v>84514623</v>
      </c>
    </row>
    <row r="16365">
      <c r="A16365" t="str">
        <f t="shared" si="1"/>
        <v>tur#2022</v>
      </c>
      <c r="B16365" t="str">
        <f>IFERROR(__xludf.DUMMYFUNCTION("""COMPUTED_VALUE"""),"tur")</f>
        <v>tur</v>
      </c>
      <c r="C16365" t="str">
        <f>IFERROR(__xludf.DUMMYFUNCTION("""COMPUTED_VALUE"""),"Turkey")</f>
        <v>Turkey</v>
      </c>
      <c r="D16365">
        <f>IFERROR(__xludf.DUMMYFUNCTION("""COMPUTED_VALUE"""),2022.0)</f>
        <v>2022</v>
      </c>
      <c r="E16365">
        <f>IFERROR(__xludf.DUMMYFUNCTION("""COMPUTED_VALUE"""),8.5018678E7)</f>
        <v>85018678</v>
      </c>
    </row>
    <row r="16366">
      <c r="A16366" t="str">
        <f t="shared" si="1"/>
        <v>tur#2023</v>
      </c>
      <c r="B16366" t="str">
        <f>IFERROR(__xludf.DUMMYFUNCTION("""COMPUTED_VALUE"""),"tur")</f>
        <v>tur</v>
      </c>
      <c r="C16366" t="str">
        <f>IFERROR(__xludf.DUMMYFUNCTION("""COMPUTED_VALUE"""),"Turkey")</f>
        <v>Turkey</v>
      </c>
      <c r="D16366">
        <f>IFERROR(__xludf.DUMMYFUNCTION("""COMPUTED_VALUE"""),2023.0)</f>
        <v>2023</v>
      </c>
      <c r="E16366">
        <f>IFERROR(__xludf.DUMMYFUNCTION("""COMPUTED_VALUE"""),8.540404E7)</f>
        <v>85404040</v>
      </c>
    </row>
    <row r="16367">
      <c r="A16367" t="str">
        <f t="shared" si="1"/>
        <v>tur#2024</v>
      </c>
      <c r="B16367" t="str">
        <f>IFERROR(__xludf.DUMMYFUNCTION("""COMPUTED_VALUE"""),"tur")</f>
        <v>tur</v>
      </c>
      <c r="C16367" t="str">
        <f>IFERROR(__xludf.DUMMYFUNCTION("""COMPUTED_VALUE"""),"Turkey")</f>
        <v>Turkey</v>
      </c>
      <c r="D16367">
        <f>IFERROR(__xludf.DUMMYFUNCTION("""COMPUTED_VALUE"""),2024.0)</f>
        <v>2024</v>
      </c>
      <c r="E16367">
        <f>IFERROR(__xludf.DUMMYFUNCTION("""COMPUTED_VALUE"""),8.5752414E7)</f>
        <v>85752414</v>
      </c>
    </row>
    <row r="16368">
      <c r="A16368" t="str">
        <f t="shared" si="1"/>
        <v>tur#2025</v>
      </c>
      <c r="B16368" t="str">
        <f>IFERROR(__xludf.DUMMYFUNCTION("""COMPUTED_VALUE"""),"tur")</f>
        <v>tur</v>
      </c>
      <c r="C16368" t="str">
        <f>IFERROR(__xludf.DUMMYFUNCTION("""COMPUTED_VALUE"""),"Turkey")</f>
        <v>Turkey</v>
      </c>
      <c r="D16368">
        <f>IFERROR(__xludf.DUMMYFUNCTION("""COMPUTED_VALUE"""),2025.0)</f>
        <v>2025</v>
      </c>
      <c r="E16368">
        <f>IFERROR(__xludf.DUMMYFUNCTION("""COMPUTED_VALUE"""),8.6124851E7)</f>
        <v>86124851</v>
      </c>
    </row>
    <row r="16369">
      <c r="A16369" t="str">
        <f t="shared" si="1"/>
        <v>tur#2026</v>
      </c>
      <c r="B16369" t="str">
        <f>IFERROR(__xludf.DUMMYFUNCTION("""COMPUTED_VALUE"""),"tur")</f>
        <v>tur</v>
      </c>
      <c r="C16369" t="str">
        <f>IFERROR(__xludf.DUMMYFUNCTION("""COMPUTED_VALUE"""),"Turkey")</f>
        <v>Turkey</v>
      </c>
      <c r="D16369">
        <f>IFERROR(__xludf.DUMMYFUNCTION("""COMPUTED_VALUE"""),2026.0)</f>
        <v>2026</v>
      </c>
      <c r="E16369">
        <f>IFERROR(__xludf.DUMMYFUNCTION("""COMPUTED_VALUE"""),8.6538218E7)</f>
        <v>86538218</v>
      </c>
    </row>
    <row r="16370">
      <c r="A16370" t="str">
        <f t="shared" si="1"/>
        <v>tur#2027</v>
      </c>
      <c r="B16370" t="str">
        <f>IFERROR(__xludf.DUMMYFUNCTION("""COMPUTED_VALUE"""),"tur")</f>
        <v>tur</v>
      </c>
      <c r="C16370" t="str">
        <f>IFERROR(__xludf.DUMMYFUNCTION("""COMPUTED_VALUE"""),"Turkey")</f>
        <v>Turkey</v>
      </c>
      <c r="D16370">
        <f>IFERROR(__xludf.DUMMYFUNCTION("""COMPUTED_VALUE"""),2027.0)</f>
        <v>2027</v>
      </c>
      <c r="E16370">
        <f>IFERROR(__xludf.DUMMYFUNCTION("""COMPUTED_VALUE"""),8.6980348E7)</f>
        <v>86980348</v>
      </c>
    </row>
    <row r="16371">
      <c r="A16371" t="str">
        <f t="shared" si="1"/>
        <v>tur#2028</v>
      </c>
      <c r="B16371" t="str">
        <f>IFERROR(__xludf.DUMMYFUNCTION("""COMPUTED_VALUE"""),"tur")</f>
        <v>tur</v>
      </c>
      <c r="C16371" t="str">
        <f>IFERROR(__xludf.DUMMYFUNCTION("""COMPUTED_VALUE"""),"Turkey")</f>
        <v>Turkey</v>
      </c>
      <c r="D16371">
        <f>IFERROR(__xludf.DUMMYFUNCTION("""COMPUTED_VALUE"""),2028.0)</f>
        <v>2028</v>
      </c>
      <c r="E16371">
        <f>IFERROR(__xludf.DUMMYFUNCTION("""COMPUTED_VALUE"""),8.7448212E7)</f>
        <v>87448212</v>
      </c>
    </row>
    <row r="16372">
      <c r="A16372" t="str">
        <f t="shared" si="1"/>
        <v>tur#2029</v>
      </c>
      <c r="B16372" t="str">
        <f>IFERROR(__xludf.DUMMYFUNCTION("""COMPUTED_VALUE"""),"tur")</f>
        <v>tur</v>
      </c>
      <c r="C16372" t="str">
        <f>IFERROR(__xludf.DUMMYFUNCTION("""COMPUTED_VALUE"""),"Turkey")</f>
        <v>Turkey</v>
      </c>
      <c r="D16372">
        <f>IFERROR(__xludf.DUMMYFUNCTION("""COMPUTED_VALUE"""),2029.0)</f>
        <v>2029</v>
      </c>
      <c r="E16372">
        <f>IFERROR(__xludf.DUMMYFUNCTION("""COMPUTED_VALUE"""),8.793007E7)</f>
        <v>87930070</v>
      </c>
    </row>
    <row r="16373">
      <c r="A16373" t="str">
        <f t="shared" si="1"/>
        <v>tur#2030</v>
      </c>
      <c r="B16373" t="str">
        <f>IFERROR(__xludf.DUMMYFUNCTION("""COMPUTED_VALUE"""),"tur")</f>
        <v>tur</v>
      </c>
      <c r="C16373" t="str">
        <f>IFERROR(__xludf.DUMMYFUNCTION("""COMPUTED_VALUE"""),"Turkey")</f>
        <v>Turkey</v>
      </c>
      <c r="D16373">
        <f>IFERROR(__xludf.DUMMYFUNCTION("""COMPUTED_VALUE"""),2030.0)</f>
        <v>2030</v>
      </c>
      <c r="E16373">
        <f>IFERROR(__xludf.DUMMYFUNCTION("""COMPUTED_VALUE"""),8.8416609E7)</f>
        <v>88416609</v>
      </c>
    </row>
    <row r="16374">
      <c r="A16374" t="str">
        <f t="shared" si="1"/>
        <v>tur#2031</v>
      </c>
      <c r="B16374" t="str">
        <f>IFERROR(__xludf.DUMMYFUNCTION("""COMPUTED_VALUE"""),"tur")</f>
        <v>tur</v>
      </c>
      <c r="C16374" t="str">
        <f>IFERROR(__xludf.DUMMYFUNCTION("""COMPUTED_VALUE"""),"Turkey")</f>
        <v>Turkey</v>
      </c>
      <c r="D16374">
        <f>IFERROR(__xludf.DUMMYFUNCTION("""COMPUTED_VALUE"""),2031.0)</f>
        <v>2031</v>
      </c>
      <c r="E16374">
        <f>IFERROR(__xludf.DUMMYFUNCTION("""COMPUTED_VALUE"""),8.8911982E7)</f>
        <v>88911982</v>
      </c>
    </row>
    <row r="16375">
      <c r="A16375" t="str">
        <f t="shared" si="1"/>
        <v>tur#2032</v>
      </c>
      <c r="B16375" t="str">
        <f>IFERROR(__xludf.DUMMYFUNCTION("""COMPUTED_VALUE"""),"tur")</f>
        <v>tur</v>
      </c>
      <c r="C16375" t="str">
        <f>IFERROR(__xludf.DUMMYFUNCTION("""COMPUTED_VALUE"""),"Turkey")</f>
        <v>Turkey</v>
      </c>
      <c r="D16375">
        <f>IFERROR(__xludf.DUMMYFUNCTION("""COMPUTED_VALUE"""),2032.0)</f>
        <v>2032</v>
      </c>
      <c r="E16375">
        <f>IFERROR(__xludf.DUMMYFUNCTION("""COMPUTED_VALUE"""),8.9420636E7)</f>
        <v>89420636</v>
      </c>
    </row>
    <row r="16376">
      <c r="A16376" t="str">
        <f t="shared" si="1"/>
        <v>tur#2033</v>
      </c>
      <c r="B16376" t="str">
        <f>IFERROR(__xludf.DUMMYFUNCTION("""COMPUTED_VALUE"""),"tur")</f>
        <v>tur</v>
      </c>
      <c r="C16376" t="str">
        <f>IFERROR(__xludf.DUMMYFUNCTION("""COMPUTED_VALUE"""),"Turkey")</f>
        <v>Turkey</v>
      </c>
      <c r="D16376">
        <f>IFERROR(__xludf.DUMMYFUNCTION("""COMPUTED_VALUE"""),2033.0)</f>
        <v>2033</v>
      </c>
      <c r="E16376">
        <f>IFERROR(__xludf.DUMMYFUNCTION("""COMPUTED_VALUE"""),8.9932642E7)</f>
        <v>89932642</v>
      </c>
    </row>
    <row r="16377">
      <c r="A16377" t="str">
        <f t="shared" si="1"/>
        <v>tur#2034</v>
      </c>
      <c r="B16377" t="str">
        <f>IFERROR(__xludf.DUMMYFUNCTION("""COMPUTED_VALUE"""),"tur")</f>
        <v>tur</v>
      </c>
      <c r="C16377" t="str">
        <f>IFERROR(__xludf.DUMMYFUNCTION("""COMPUTED_VALUE"""),"Turkey")</f>
        <v>Turkey</v>
      </c>
      <c r="D16377">
        <f>IFERROR(__xludf.DUMMYFUNCTION("""COMPUTED_VALUE"""),2034.0)</f>
        <v>2034</v>
      </c>
      <c r="E16377">
        <f>IFERROR(__xludf.DUMMYFUNCTION("""COMPUTED_VALUE"""),9.0434305E7)</f>
        <v>90434305</v>
      </c>
    </row>
    <row r="16378">
      <c r="A16378" t="str">
        <f t="shared" si="1"/>
        <v>tur#2035</v>
      </c>
      <c r="B16378" t="str">
        <f>IFERROR(__xludf.DUMMYFUNCTION("""COMPUTED_VALUE"""),"tur")</f>
        <v>tur</v>
      </c>
      <c r="C16378" t="str">
        <f>IFERROR(__xludf.DUMMYFUNCTION("""COMPUTED_VALUE"""),"Turkey")</f>
        <v>Turkey</v>
      </c>
      <c r="D16378">
        <f>IFERROR(__xludf.DUMMYFUNCTION("""COMPUTED_VALUE"""),2035.0)</f>
        <v>2035</v>
      </c>
      <c r="E16378">
        <f>IFERROR(__xludf.DUMMYFUNCTION("""COMPUTED_VALUE"""),9.0915264E7)</f>
        <v>90915264</v>
      </c>
    </row>
    <row r="16379">
      <c r="A16379" t="str">
        <f t="shared" si="1"/>
        <v>tur#2036</v>
      </c>
      <c r="B16379" t="str">
        <f>IFERROR(__xludf.DUMMYFUNCTION("""COMPUTED_VALUE"""),"tur")</f>
        <v>tur</v>
      </c>
      <c r="C16379" t="str">
        <f>IFERROR(__xludf.DUMMYFUNCTION("""COMPUTED_VALUE"""),"Turkey")</f>
        <v>Turkey</v>
      </c>
      <c r="D16379">
        <f>IFERROR(__xludf.DUMMYFUNCTION("""COMPUTED_VALUE"""),2036.0)</f>
        <v>2036</v>
      </c>
      <c r="E16379">
        <f>IFERROR(__xludf.DUMMYFUNCTION("""COMPUTED_VALUE"""),9.137162E7)</f>
        <v>91371620</v>
      </c>
    </row>
    <row r="16380">
      <c r="A16380" t="str">
        <f t="shared" si="1"/>
        <v>tur#2037</v>
      </c>
      <c r="B16380" t="str">
        <f>IFERROR(__xludf.DUMMYFUNCTION("""COMPUTED_VALUE"""),"tur")</f>
        <v>tur</v>
      </c>
      <c r="C16380" t="str">
        <f>IFERROR(__xludf.DUMMYFUNCTION("""COMPUTED_VALUE"""),"Turkey")</f>
        <v>Turkey</v>
      </c>
      <c r="D16380">
        <f>IFERROR(__xludf.DUMMYFUNCTION("""COMPUTED_VALUE"""),2037.0)</f>
        <v>2037</v>
      </c>
      <c r="E16380">
        <f>IFERROR(__xludf.DUMMYFUNCTION("""COMPUTED_VALUE"""),9.180461E7)</f>
        <v>91804610</v>
      </c>
    </row>
    <row r="16381">
      <c r="A16381" t="str">
        <f t="shared" si="1"/>
        <v>tur#2038</v>
      </c>
      <c r="B16381" t="str">
        <f>IFERROR(__xludf.DUMMYFUNCTION("""COMPUTED_VALUE"""),"tur")</f>
        <v>tur</v>
      </c>
      <c r="C16381" t="str">
        <f>IFERROR(__xludf.DUMMYFUNCTION("""COMPUTED_VALUE"""),"Turkey")</f>
        <v>Turkey</v>
      </c>
      <c r="D16381">
        <f>IFERROR(__xludf.DUMMYFUNCTION("""COMPUTED_VALUE"""),2038.0)</f>
        <v>2038</v>
      </c>
      <c r="E16381">
        <f>IFERROR(__xludf.DUMMYFUNCTION("""COMPUTED_VALUE"""),9.2215299E7)</f>
        <v>92215299</v>
      </c>
    </row>
    <row r="16382">
      <c r="A16382" t="str">
        <f t="shared" si="1"/>
        <v>tur#2039</v>
      </c>
      <c r="B16382" t="str">
        <f>IFERROR(__xludf.DUMMYFUNCTION("""COMPUTED_VALUE"""),"tur")</f>
        <v>tur</v>
      </c>
      <c r="C16382" t="str">
        <f>IFERROR(__xludf.DUMMYFUNCTION("""COMPUTED_VALUE"""),"Turkey")</f>
        <v>Turkey</v>
      </c>
      <c r="D16382">
        <f>IFERROR(__xludf.DUMMYFUNCTION("""COMPUTED_VALUE"""),2039.0)</f>
        <v>2039</v>
      </c>
      <c r="E16382">
        <f>IFERROR(__xludf.DUMMYFUNCTION("""COMPUTED_VALUE"""),9.2606684E7)</f>
        <v>92606684</v>
      </c>
    </row>
    <row r="16383">
      <c r="A16383" t="str">
        <f t="shared" si="1"/>
        <v>tur#2040</v>
      </c>
      <c r="B16383" t="str">
        <f>IFERROR(__xludf.DUMMYFUNCTION("""COMPUTED_VALUE"""),"tur")</f>
        <v>tur</v>
      </c>
      <c r="C16383" t="str">
        <f>IFERROR(__xludf.DUMMYFUNCTION("""COMPUTED_VALUE"""),"Turkey")</f>
        <v>Turkey</v>
      </c>
      <c r="D16383">
        <f>IFERROR(__xludf.DUMMYFUNCTION("""COMPUTED_VALUE"""),2040.0)</f>
        <v>2040</v>
      </c>
      <c r="E16383">
        <f>IFERROR(__xludf.DUMMYFUNCTION("""COMPUTED_VALUE"""),9.2980818E7)</f>
        <v>92980818</v>
      </c>
    </row>
    <row r="16384">
      <c r="A16384" t="str">
        <f t="shared" si="1"/>
        <v>tkm#1950</v>
      </c>
      <c r="B16384" t="str">
        <f>IFERROR(__xludf.DUMMYFUNCTION("""COMPUTED_VALUE"""),"tkm")</f>
        <v>tkm</v>
      </c>
      <c r="C16384" t="str">
        <f>IFERROR(__xludf.DUMMYFUNCTION("""COMPUTED_VALUE"""),"Turkmenistan")</f>
        <v>Turkmenistan</v>
      </c>
      <c r="D16384">
        <f>IFERROR(__xludf.DUMMYFUNCTION("""COMPUTED_VALUE"""),1950.0)</f>
        <v>1950</v>
      </c>
      <c r="E16384">
        <f>IFERROR(__xludf.DUMMYFUNCTION("""COMPUTED_VALUE"""),1210994.0)</f>
        <v>1210994</v>
      </c>
    </row>
    <row r="16385">
      <c r="A16385" t="str">
        <f t="shared" si="1"/>
        <v>tkm#1951</v>
      </c>
      <c r="B16385" t="str">
        <f>IFERROR(__xludf.DUMMYFUNCTION("""COMPUTED_VALUE"""),"tkm")</f>
        <v>tkm</v>
      </c>
      <c r="C16385" t="str">
        <f>IFERROR(__xludf.DUMMYFUNCTION("""COMPUTED_VALUE"""),"Turkmenistan")</f>
        <v>Turkmenistan</v>
      </c>
      <c r="D16385">
        <f>IFERROR(__xludf.DUMMYFUNCTION("""COMPUTED_VALUE"""),1951.0)</f>
        <v>1951</v>
      </c>
      <c r="E16385">
        <f>IFERROR(__xludf.DUMMYFUNCTION("""COMPUTED_VALUE"""),1231829.0)</f>
        <v>1231829</v>
      </c>
    </row>
    <row r="16386">
      <c r="A16386" t="str">
        <f t="shared" si="1"/>
        <v>tkm#1952</v>
      </c>
      <c r="B16386" t="str">
        <f>IFERROR(__xludf.DUMMYFUNCTION("""COMPUTED_VALUE"""),"tkm")</f>
        <v>tkm</v>
      </c>
      <c r="C16386" t="str">
        <f>IFERROR(__xludf.DUMMYFUNCTION("""COMPUTED_VALUE"""),"Turkmenistan")</f>
        <v>Turkmenistan</v>
      </c>
      <c r="D16386">
        <f>IFERROR(__xludf.DUMMYFUNCTION("""COMPUTED_VALUE"""),1952.0)</f>
        <v>1952</v>
      </c>
      <c r="E16386">
        <f>IFERROR(__xludf.DUMMYFUNCTION("""COMPUTED_VALUE"""),1258388.0)</f>
        <v>1258388</v>
      </c>
    </row>
    <row r="16387">
      <c r="A16387" t="str">
        <f t="shared" si="1"/>
        <v>tkm#1953</v>
      </c>
      <c r="B16387" t="str">
        <f>IFERROR(__xludf.DUMMYFUNCTION("""COMPUTED_VALUE"""),"tkm")</f>
        <v>tkm</v>
      </c>
      <c r="C16387" t="str">
        <f>IFERROR(__xludf.DUMMYFUNCTION("""COMPUTED_VALUE"""),"Turkmenistan")</f>
        <v>Turkmenistan</v>
      </c>
      <c r="D16387">
        <f>IFERROR(__xludf.DUMMYFUNCTION("""COMPUTED_VALUE"""),1953.0)</f>
        <v>1953</v>
      </c>
      <c r="E16387">
        <f>IFERROR(__xludf.DUMMYFUNCTION("""COMPUTED_VALUE"""),1289826.0)</f>
        <v>1289826</v>
      </c>
    </row>
    <row r="16388">
      <c r="A16388" t="str">
        <f t="shared" si="1"/>
        <v>tkm#1954</v>
      </c>
      <c r="B16388" t="str">
        <f>IFERROR(__xludf.DUMMYFUNCTION("""COMPUTED_VALUE"""),"tkm")</f>
        <v>tkm</v>
      </c>
      <c r="C16388" t="str">
        <f>IFERROR(__xludf.DUMMYFUNCTION("""COMPUTED_VALUE"""),"Turkmenistan")</f>
        <v>Turkmenistan</v>
      </c>
      <c r="D16388">
        <f>IFERROR(__xludf.DUMMYFUNCTION("""COMPUTED_VALUE"""),1954.0)</f>
        <v>1954</v>
      </c>
      <c r="E16388">
        <f>IFERROR(__xludf.DUMMYFUNCTION("""COMPUTED_VALUE"""),1325434.0)</f>
        <v>1325434</v>
      </c>
    </row>
    <row r="16389">
      <c r="A16389" t="str">
        <f t="shared" si="1"/>
        <v>tkm#1955</v>
      </c>
      <c r="B16389" t="str">
        <f>IFERROR(__xludf.DUMMYFUNCTION("""COMPUTED_VALUE"""),"tkm")</f>
        <v>tkm</v>
      </c>
      <c r="C16389" t="str">
        <f>IFERROR(__xludf.DUMMYFUNCTION("""COMPUTED_VALUE"""),"Turkmenistan")</f>
        <v>Turkmenistan</v>
      </c>
      <c r="D16389">
        <f>IFERROR(__xludf.DUMMYFUNCTION("""COMPUTED_VALUE"""),1955.0)</f>
        <v>1955</v>
      </c>
      <c r="E16389">
        <f>IFERROR(__xludf.DUMMYFUNCTION("""COMPUTED_VALUE"""),1364634.0)</f>
        <v>1364634</v>
      </c>
    </row>
    <row r="16390">
      <c r="A16390" t="str">
        <f t="shared" si="1"/>
        <v>tkm#1956</v>
      </c>
      <c r="B16390" t="str">
        <f>IFERROR(__xludf.DUMMYFUNCTION("""COMPUTED_VALUE"""),"tkm")</f>
        <v>tkm</v>
      </c>
      <c r="C16390" t="str">
        <f>IFERROR(__xludf.DUMMYFUNCTION("""COMPUTED_VALUE"""),"Turkmenistan")</f>
        <v>Turkmenistan</v>
      </c>
      <c r="D16390">
        <f>IFERROR(__xludf.DUMMYFUNCTION("""COMPUTED_VALUE"""),1956.0)</f>
        <v>1956</v>
      </c>
      <c r="E16390">
        <f>IFERROR(__xludf.DUMMYFUNCTION("""COMPUTED_VALUE"""),1406981.0)</f>
        <v>1406981</v>
      </c>
    </row>
    <row r="16391">
      <c r="A16391" t="str">
        <f t="shared" si="1"/>
        <v>tkm#1957</v>
      </c>
      <c r="B16391" t="str">
        <f>IFERROR(__xludf.DUMMYFUNCTION("""COMPUTED_VALUE"""),"tkm")</f>
        <v>tkm</v>
      </c>
      <c r="C16391" t="str">
        <f>IFERROR(__xludf.DUMMYFUNCTION("""COMPUTED_VALUE"""),"Turkmenistan")</f>
        <v>Turkmenistan</v>
      </c>
      <c r="D16391">
        <f>IFERROR(__xludf.DUMMYFUNCTION("""COMPUTED_VALUE"""),1957.0)</f>
        <v>1957</v>
      </c>
      <c r="E16391">
        <f>IFERROR(__xludf.DUMMYFUNCTION("""COMPUTED_VALUE"""),1452173.0)</f>
        <v>1452173</v>
      </c>
    </row>
    <row r="16392">
      <c r="A16392" t="str">
        <f t="shared" si="1"/>
        <v>tkm#1958</v>
      </c>
      <c r="B16392" t="str">
        <f>IFERROR(__xludf.DUMMYFUNCTION("""COMPUTED_VALUE"""),"tkm")</f>
        <v>tkm</v>
      </c>
      <c r="C16392" t="str">
        <f>IFERROR(__xludf.DUMMYFUNCTION("""COMPUTED_VALUE"""),"Turkmenistan")</f>
        <v>Turkmenistan</v>
      </c>
      <c r="D16392">
        <f>IFERROR(__xludf.DUMMYFUNCTION("""COMPUTED_VALUE"""),1958.0)</f>
        <v>1958</v>
      </c>
      <c r="E16392">
        <f>IFERROR(__xludf.DUMMYFUNCTION("""COMPUTED_VALUE"""),1500017.0)</f>
        <v>1500017</v>
      </c>
    </row>
    <row r="16393">
      <c r="A16393" t="str">
        <f t="shared" si="1"/>
        <v>tkm#1959</v>
      </c>
      <c r="B16393" t="str">
        <f>IFERROR(__xludf.DUMMYFUNCTION("""COMPUTED_VALUE"""),"tkm")</f>
        <v>tkm</v>
      </c>
      <c r="C16393" t="str">
        <f>IFERROR(__xludf.DUMMYFUNCTION("""COMPUTED_VALUE"""),"Turkmenistan")</f>
        <v>Turkmenistan</v>
      </c>
      <c r="D16393">
        <f>IFERROR(__xludf.DUMMYFUNCTION("""COMPUTED_VALUE"""),1959.0)</f>
        <v>1959</v>
      </c>
      <c r="E16393">
        <f>IFERROR(__xludf.DUMMYFUNCTION("""COMPUTED_VALUE"""),1550411.0)</f>
        <v>1550411</v>
      </c>
    </row>
    <row r="16394">
      <c r="A16394" t="str">
        <f t="shared" si="1"/>
        <v>tkm#1960</v>
      </c>
      <c r="B16394" t="str">
        <f>IFERROR(__xludf.DUMMYFUNCTION("""COMPUTED_VALUE"""),"tkm")</f>
        <v>tkm</v>
      </c>
      <c r="C16394" t="str">
        <f>IFERROR(__xludf.DUMMYFUNCTION("""COMPUTED_VALUE"""),"Turkmenistan")</f>
        <v>Turkmenistan</v>
      </c>
      <c r="D16394">
        <f>IFERROR(__xludf.DUMMYFUNCTION("""COMPUTED_VALUE"""),1960.0)</f>
        <v>1960</v>
      </c>
      <c r="E16394">
        <f>IFERROR(__xludf.DUMMYFUNCTION("""COMPUTED_VALUE"""),1603258.0)</f>
        <v>1603258</v>
      </c>
    </row>
    <row r="16395">
      <c r="A16395" t="str">
        <f t="shared" si="1"/>
        <v>tkm#1961</v>
      </c>
      <c r="B16395" t="str">
        <f>IFERROR(__xludf.DUMMYFUNCTION("""COMPUTED_VALUE"""),"tkm")</f>
        <v>tkm</v>
      </c>
      <c r="C16395" t="str">
        <f>IFERROR(__xludf.DUMMYFUNCTION("""COMPUTED_VALUE"""),"Turkmenistan")</f>
        <v>Turkmenistan</v>
      </c>
      <c r="D16395">
        <f>IFERROR(__xludf.DUMMYFUNCTION("""COMPUTED_VALUE"""),1961.0)</f>
        <v>1961</v>
      </c>
      <c r="E16395">
        <f>IFERROR(__xludf.DUMMYFUNCTION("""COMPUTED_VALUE"""),1658362.0)</f>
        <v>1658362</v>
      </c>
    </row>
    <row r="16396">
      <c r="A16396" t="str">
        <f t="shared" si="1"/>
        <v>tkm#1962</v>
      </c>
      <c r="B16396" t="str">
        <f>IFERROR(__xludf.DUMMYFUNCTION("""COMPUTED_VALUE"""),"tkm")</f>
        <v>tkm</v>
      </c>
      <c r="C16396" t="str">
        <f>IFERROR(__xludf.DUMMYFUNCTION("""COMPUTED_VALUE"""),"Turkmenistan")</f>
        <v>Turkmenistan</v>
      </c>
      <c r="D16396">
        <f>IFERROR(__xludf.DUMMYFUNCTION("""COMPUTED_VALUE"""),1962.0)</f>
        <v>1962</v>
      </c>
      <c r="E16396">
        <f>IFERROR(__xludf.DUMMYFUNCTION("""COMPUTED_VALUE"""),1715408.0)</f>
        <v>1715408</v>
      </c>
    </row>
    <row r="16397">
      <c r="A16397" t="str">
        <f t="shared" si="1"/>
        <v>tkm#1963</v>
      </c>
      <c r="B16397" t="str">
        <f>IFERROR(__xludf.DUMMYFUNCTION("""COMPUTED_VALUE"""),"tkm")</f>
        <v>tkm</v>
      </c>
      <c r="C16397" t="str">
        <f>IFERROR(__xludf.DUMMYFUNCTION("""COMPUTED_VALUE"""),"Turkmenistan")</f>
        <v>Turkmenistan</v>
      </c>
      <c r="D16397">
        <f>IFERROR(__xludf.DUMMYFUNCTION("""COMPUTED_VALUE"""),1963.0)</f>
        <v>1963</v>
      </c>
      <c r="E16397">
        <f>IFERROR(__xludf.DUMMYFUNCTION("""COMPUTED_VALUE"""),1773853.0)</f>
        <v>1773853</v>
      </c>
    </row>
    <row r="16398">
      <c r="A16398" t="str">
        <f t="shared" si="1"/>
        <v>tkm#1964</v>
      </c>
      <c r="B16398" t="str">
        <f>IFERROR(__xludf.DUMMYFUNCTION("""COMPUTED_VALUE"""),"tkm")</f>
        <v>tkm</v>
      </c>
      <c r="C16398" t="str">
        <f>IFERROR(__xludf.DUMMYFUNCTION("""COMPUTED_VALUE"""),"Turkmenistan")</f>
        <v>Turkmenistan</v>
      </c>
      <c r="D16398">
        <f>IFERROR(__xludf.DUMMYFUNCTION("""COMPUTED_VALUE"""),1964.0)</f>
        <v>1964</v>
      </c>
      <c r="E16398">
        <f>IFERROR(__xludf.DUMMYFUNCTION("""COMPUTED_VALUE"""),1833063.0)</f>
        <v>1833063</v>
      </c>
    </row>
    <row r="16399">
      <c r="A16399" t="str">
        <f t="shared" si="1"/>
        <v>tkm#1965</v>
      </c>
      <c r="B16399" t="str">
        <f>IFERROR(__xludf.DUMMYFUNCTION("""COMPUTED_VALUE"""),"tkm")</f>
        <v>tkm</v>
      </c>
      <c r="C16399" t="str">
        <f>IFERROR(__xludf.DUMMYFUNCTION("""COMPUTED_VALUE"""),"Turkmenistan")</f>
        <v>Turkmenistan</v>
      </c>
      <c r="D16399">
        <f>IFERROR(__xludf.DUMMYFUNCTION("""COMPUTED_VALUE"""),1965.0)</f>
        <v>1965</v>
      </c>
      <c r="E16399">
        <f>IFERROR(__xludf.DUMMYFUNCTION("""COMPUTED_VALUE"""),1892599.0)</f>
        <v>1892599</v>
      </c>
    </row>
    <row r="16400">
      <c r="A16400" t="str">
        <f t="shared" si="1"/>
        <v>tkm#1966</v>
      </c>
      <c r="B16400" t="str">
        <f>IFERROR(__xludf.DUMMYFUNCTION("""COMPUTED_VALUE"""),"tkm")</f>
        <v>tkm</v>
      </c>
      <c r="C16400" t="str">
        <f>IFERROR(__xludf.DUMMYFUNCTION("""COMPUTED_VALUE"""),"Turkmenistan")</f>
        <v>Turkmenistan</v>
      </c>
      <c r="D16400">
        <f>IFERROR(__xludf.DUMMYFUNCTION("""COMPUTED_VALUE"""),1966.0)</f>
        <v>1966</v>
      </c>
      <c r="E16400">
        <f>IFERROR(__xludf.DUMMYFUNCTION("""COMPUTED_VALUE"""),1952141.0)</f>
        <v>1952141</v>
      </c>
    </row>
    <row r="16401">
      <c r="A16401" t="str">
        <f t="shared" si="1"/>
        <v>tkm#1967</v>
      </c>
      <c r="B16401" t="str">
        <f>IFERROR(__xludf.DUMMYFUNCTION("""COMPUTED_VALUE"""),"tkm")</f>
        <v>tkm</v>
      </c>
      <c r="C16401" t="str">
        <f>IFERROR(__xludf.DUMMYFUNCTION("""COMPUTED_VALUE"""),"Turkmenistan")</f>
        <v>Turkmenistan</v>
      </c>
      <c r="D16401">
        <f>IFERROR(__xludf.DUMMYFUNCTION("""COMPUTED_VALUE"""),1967.0)</f>
        <v>1967</v>
      </c>
      <c r="E16401">
        <f>IFERROR(__xludf.DUMMYFUNCTION("""COMPUTED_VALUE"""),2011763.0)</f>
        <v>2011763</v>
      </c>
    </row>
    <row r="16402">
      <c r="A16402" t="str">
        <f t="shared" si="1"/>
        <v>tkm#1968</v>
      </c>
      <c r="B16402" t="str">
        <f>IFERROR(__xludf.DUMMYFUNCTION("""COMPUTED_VALUE"""),"tkm")</f>
        <v>tkm</v>
      </c>
      <c r="C16402" t="str">
        <f>IFERROR(__xludf.DUMMYFUNCTION("""COMPUTED_VALUE"""),"Turkmenistan")</f>
        <v>Turkmenistan</v>
      </c>
      <c r="D16402">
        <f>IFERROR(__xludf.DUMMYFUNCTION("""COMPUTED_VALUE"""),1968.0)</f>
        <v>1968</v>
      </c>
      <c r="E16402">
        <f>IFERROR(__xludf.DUMMYFUNCTION("""COMPUTED_VALUE"""),2071789.0)</f>
        <v>2071789</v>
      </c>
    </row>
    <row r="16403">
      <c r="A16403" t="str">
        <f t="shared" si="1"/>
        <v>tkm#1969</v>
      </c>
      <c r="B16403" t="str">
        <f>IFERROR(__xludf.DUMMYFUNCTION("""COMPUTED_VALUE"""),"tkm")</f>
        <v>tkm</v>
      </c>
      <c r="C16403" t="str">
        <f>IFERROR(__xludf.DUMMYFUNCTION("""COMPUTED_VALUE"""),"Turkmenistan")</f>
        <v>Turkmenistan</v>
      </c>
      <c r="D16403">
        <f>IFERROR(__xludf.DUMMYFUNCTION("""COMPUTED_VALUE"""),1969.0)</f>
        <v>1969</v>
      </c>
      <c r="E16403">
        <f>IFERROR(__xludf.DUMMYFUNCTION("""COMPUTED_VALUE"""),2132799.0)</f>
        <v>2132799</v>
      </c>
    </row>
    <row r="16404">
      <c r="A16404" t="str">
        <f t="shared" si="1"/>
        <v>tkm#1970</v>
      </c>
      <c r="B16404" t="str">
        <f>IFERROR(__xludf.DUMMYFUNCTION("""COMPUTED_VALUE"""),"tkm")</f>
        <v>tkm</v>
      </c>
      <c r="C16404" t="str">
        <f>IFERROR(__xludf.DUMMYFUNCTION("""COMPUTED_VALUE"""),"Turkmenistan")</f>
        <v>Turkmenistan</v>
      </c>
      <c r="D16404">
        <f>IFERROR(__xludf.DUMMYFUNCTION("""COMPUTED_VALUE"""),1970.0)</f>
        <v>1970</v>
      </c>
      <c r="E16404">
        <f>IFERROR(__xludf.DUMMYFUNCTION("""COMPUTED_VALUE"""),2195173.0)</f>
        <v>2195173</v>
      </c>
    </row>
    <row r="16405">
      <c r="A16405" t="str">
        <f t="shared" si="1"/>
        <v>tkm#1971</v>
      </c>
      <c r="B16405" t="str">
        <f>IFERROR(__xludf.DUMMYFUNCTION("""COMPUTED_VALUE"""),"tkm")</f>
        <v>tkm</v>
      </c>
      <c r="C16405" t="str">
        <f>IFERROR(__xludf.DUMMYFUNCTION("""COMPUTED_VALUE"""),"Turkmenistan")</f>
        <v>Turkmenistan</v>
      </c>
      <c r="D16405">
        <f>IFERROR(__xludf.DUMMYFUNCTION("""COMPUTED_VALUE"""),1971.0)</f>
        <v>1971</v>
      </c>
      <c r="E16405">
        <f>IFERROR(__xludf.DUMMYFUNCTION("""COMPUTED_VALUE"""),2258964.0)</f>
        <v>2258964</v>
      </c>
    </row>
    <row r="16406">
      <c r="A16406" t="str">
        <f t="shared" si="1"/>
        <v>tkm#1972</v>
      </c>
      <c r="B16406" t="str">
        <f>IFERROR(__xludf.DUMMYFUNCTION("""COMPUTED_VALUE"""),"tkm")</f>
        <v>tkm</v>
      </c>
      <c r="C16406" t="str">
        <f>IFERROR(__xludf.DUMMYFUNCTION("""COMPUTED_VALUE"""),"Turkmenistan")</f>
        <v>Turkmenistan</v>
      </c>
      <c r="D16406">
        <f>IFERROR(__xludf.DUMMYFUNCTION("""COMPUTED_VALUE"""),1972.0)</f>
        <v>1972</v>
      </c>
      <c r="E16406">
        <f>IFERROR(__xludf.DUMMYFUNCTION("""COMPUTED_VALUE"""),2324013.0)</f>
        <v>2324013</v>
      </c>
    </row>
    <row r="16407">
      <c r="A16407" t="str">
        <f t="shared" si="1"/>
        <v>tkm#1973</v>
      </c>
      <c r="B16407" t="str">
        <f>IFERROR(__xludf.DUMMYFUNCTION("""COMPUTED_VALUE"""),"tkm")</f>
        <v>tkm</v>
      </c>
      <c r="C16407" t="str">
        <f>IFERROR(__xludf.DUMMYFUNCTION("""COMPUTED_VALUE"""),"Turkmenistan")</f>
        <v>Turkmenistan</v>
      </c>
      <c r="D16407">
        <f>IFERROR(__xludf.DUMMYFUNCTION("""COMPUTED_VALUE"""),1973.0)</f>
        <v>1973</v>
      </c>
      <c r="E16407">
        <f>IFERROR(__xludf.DUMMYFUNCTION("""COMPUTED_VALUE"""),2390213.0)</f>
        <v>2390213</v>
      </c>
    </row>
    <row r="16408">
      <c r="A16408" t="str">
        <f t="shared" si="1"/>
        <v>tkm#1974</v>
      </c>
      <c r="B16408" t="str">
        <f>IFERROR(__xludf.DUMMYFUNCTION("""COMPUTED_VALUE"""),"tkm")</f>
        <v>tkm</v>
      </c>
      <c r="C16408" t="str">
        <f>IFERROR(__xludf.DUMMYFUNCTION("""COMPUTED_VALUE"""),"Turkmenistan")</f>
        <v>Turkmenistan</v>
      </c>
      <c r="D16408">
        <f>IFERROR(__xludf.DUMMYFUNCTION("""COMPUTED_VALUE"""),1974.0)</f>
        <v>1974</v>
      </c>
      <c r="E16408">
        <f>IFERROR(__xludf.DUMMYFUNCTION("""COMPUTED_VALUE"""),2457382.0)</f>
        <v>2457382</v>
      </c>
    </row>
    <row r="16409">
      <c r="A16409" t="str">
        <f t="shared" si="1"/>
        <v>tkm#1975</v>
      </c>
      <c r="B16409" t="str">
        <f>IFERROR(__xludf.DUMMYFUNCTION("""COMPUTED_VALUE"""),"tkm")</f>
        <v>tkm</v>
      </c>
      <c r="C16409" t="str">
        <f>IFERROR(__xludf.DUMMYFUNCTION("""COMPUTED_VALUE"""),"Turkmenistan")</f>
        <v>Turkmenistan</v>
      </c>
      <c r="D16409">
        <f>IFERROR(__xludf.DUMMYFUNCTION("""COMPUTED_VALUE"""),1975.0)</f>
        <v>1975</v>
      </c>
      <c r="E16409">
        <f>IFERROR(__xludf.DUMMYFUNCTION("""COMPUTED_VALUE"""),2525361.0)</f>
        <v>2525361</v>
      </c>
    </row>
    <row r="16410">
      <c r="A16410" t="str">
        <f t="shared" si="1"/>
        <v>tkm#1976</v>
      </c>
      <c r="B16410" t="str">
        <f>IFERROR(__xludf.DUMMYFUNCTION("""COMPUTED_VALUE"""),"tkm")</f>
        <v>tkm</v>
      </c>
      <c r="C16410" t="str">
        <f>IFERROR(__xludf.DUMMYFUNCTION("""COMPUTED_VALUE"""),"Turkmenistan")</f>
        <v>Turkmenistan</v>
      </c>
      <c r="D16410">
        <f>IFERROR(__xludf.DUMMYFUNCTION("""COMPUTED_VALUE"""),1976.0)</f>
        <v>1976</v>
      </c>
      <c r="E16410">
        <f>IFERROR(__xludf.DUMMYFUNCTION("""COMPUTED_VALUE"""),2594311.0)</f>
        <v>2594311</v>
      </c>
    </row>
    <row r="16411">
      <c r="A16411" t="str">
        <f t="shared" si="1"/>
        <v>tkm#1977</v>
      </c>
      <c r="B16411" t="str">
        <f>IFERROR(__xludf.DUMMYFUNCTION("""COMPUTED_VALUE"""),"tkm")</f>
        <v>tkm</v>
      </c>
      <c r="C16411" t="str">
        <f>IFERROR(__xludf.DUMMYFUNCTION("""COMPUTED_VALUE"""),"Turkmenistan")</f>
        <v>Turkmenistan</v>
      </c>
      <c r="D16411">
        <f>IFERROR(__xludf.DUMMYFUNCTION("""COMPUTED_VALUE"""),1977.0)</f>
        <v>1977</v>
      </c>
      <c r="E16411">
        <f>IFERROR(__xludf.DUMMYFUNCTION("""COMPUTED_VALUE"""),2664257.0)</f>
        <v>2664257</v>
      </c>
    </row>
    <row r="16412">
      <c r="A16412" t="str">
        <f t="shared" si="1"/>
        <v>tkm#1978</v>
      </c>
      <c r="B16412" t="str">
        <f>IFERROR(__xludf.DUMMYFUNCTION("""COMPUTED_VALUE"""),"tkm")</f>
        <v>tkm</v>
      </c>
      <c r="C16412" t="str">
        <f>IFERROR(__xludf.DUMMYFUNCTION("""COMPUTED_VALUE"""),"Turkmenistan")</f>
        <v>Turkmenistan</v>
      </c>
      <c r="D16412">
        <f>IFERROR(__xludf.DUMMYFUNCTION("""COMPUTED_VALUE"""),1978.0)</f>
        <v>1978</v>
      </c>
      <c r="E16412">
        <f>IFERROR(__xludf.DUMMYFUNCTION("""COMPUTED_VALUE"""),2734896.0)</f>
        <v>2734896</v>
      </c>
    </row>
    <row r="16413">
      <c r="A16413" t="str">
        <f t="shared" si="1"/>
        <v>tkm#1979</v>
      </c>
      <c r="B16413" t="str">
        <f>IFERROR(__xludf.DUMMYFUNCTION("""COMPUTED_VALUE"""),"tkm")</f>
        <v>tkm</v>
      </c>
      <c r="C16413" t="str">
        <f>IFERROR(__xludf.DUMMYFUNCTION("""COMPUTED_VALUE"""),"Turkmenistan")</f>
        <v>Turkmenistan</v>
      </c>
      <c r="D16413">
        <f>IFERROR(__xludf.DUMMYFUNCTION("""COMPUTED_VALUE"""),1979.0)</f>
        <v>1979</v>
      </c>
      <c r="E16413">
        <f>IFERROR(__xludf.DUMMYFUNCTION("""COMPUTED_VALUE"""),2805818.0)</f>
        <v>2805818</v>
      </c>
    </row>
    <row r="16414">
      <c r="A16414" t="str">
        <f t="shared" si="1"/>
        <v>tkm#1980</v>
      </c>
      <c r="B16414" t="str">
        <f>IFERROR(__xludf.DUMMYFUNCTION("""COMPUTED_VALUE"""),"tkm")</f>
        <v>tkm</v>
      </c>
      <c r="C16414" t="str">
        <f>IFERROR(__xludf.DUMMYFUNCTION("""COMPUTED_VALUE"""),"Turkmenistan")</f>
        <v>Turkmenistan</v>
      </c>
      <c r="D16414">
        <f>IFERROR(__xludf.DUMMYFUNCTION("""COMPUTED_VALUE"""),1980.0)</f>
        <v>1980</v>
      </c>
      <c r="E16414">
        <f>IFERROR(__xludf.DUMMYFUNCTION("""COMPUTED_VALUE"""),2876808.0)</f>
        <v>2876808</v>
      </c>
    </row>
    <row r="16415">
      <c r="A16415" t="str">
        <f t="shared" si="1"/>
        <v>tkm#1981</v>
      </c>
      <c r="B16415" t="str">
        <f>IFERROR(__xludf.DUMMYFUNCTION("""COMPUTED_VALUE"""),"tkm")</f>
        <v>tkm</v>
      </c>
      <c r="C16415" t="str">
        <f>IFERROR(__xludf.DUMMYFUNCTION("""COMPUTED_VALUE"""),"Turkmenistan")</f>
        <v>Turkmenistan</v>
      </c>
      <c r="D16415">
        <f>IFERROR(__xludf.DUMMYFUNCTION("""COMPUTED_VALUE"""),1981.0)</f>
        <v>1981</v>
      </c>
      <c r="E16415">
        <f>IFERROR(__xludf.DUMMYFUNCTION("""COMPUTED_VALUE"""),2947779.0)</f>
        <v>2947779</v>
      </c>
    </row>
    <row r="16416">
      <c r="A16416" t="str">
        <f t="shared" si="1"/>
        <v>tkm#1982</v>
      </c>
      <c r="B16416" t="str">
        <f>IFERROR(__xludf.DUMMYFUNCTION("""COMPUTED_VALUE"""),"tkm")</f>
        <v>tkm</v>
      </c>
      <c r="C16416" t="str">
        <f>IFERROR(__xludf.DUMMYFUNCTION("""COMPUTED_VALUE"""),"Turkmenistan")</f>
        <v>Turkmenistan</v>
      </c>
      <c r="D16416">
        <f>IFERROR(__xludf.DUMMYFUNCTION("""COMPUTED_VALUE"""),1982.0)</f>
        <v>1982</v>
      </c>
      <c r="E16416">
        <f>IFERROR(__xludf.DUMMYFUNCTION("""COMPUTED_VALUE"""),3019066.0)</f>
        <v>3019066</v>
      </c>
    </row>
    <row r="16417">
      <c r="A16417" t="str">
        <f t="shared" si="1"/>
        <v>tkm#1983</v>
      </c>
      <c r="B16417" t="str">
        <f>IFERROR(__xludf.DUMMYFUNCTION("""COMPUTED_VALUE"""),"tkm")</f>
        <v>tkm</v>
      </c>
      <c r="C16417" t="str">
        <f>IFERROR(__xludf.DUMMYFUNCTION("""COMPUTED_VALUE"""),"Turkmenistan")</f>
        <v>Turkmenistan</v>
      </c>
      <c r="D16417">
        <f>IFERROR(__xludf.DUMMYFUNCTION("""COMPUTED_VALUE"""),1983.0)</f>
        <v>1983</v>
      </c>
      <c r="E16417">
        <f>IFERROR(__xludf.DUMMYFUNCTION("""COMPUTED_VALUE"""),3091511.0)</f>
        <v>3091511</v>
      </c>
    </row>
    <row r="16418">
      <c r="A16418" t="str">
        <f t="shared" si="1"/>
        <v>tkm#1984</v>
      </c>
      <c r="B16418" t="str">
        <f>IFERROR(__xludf.DUMMYFUNCTION("""COMPUTED_VALUE"""),"tkm")</f>
        <v>tkm</v>
      </c>
      <c r="C16418" t="str">
        <f>IFERROR(__xludf.DUMMYFUNCTION("""COMPUTED_VALUE"""),"Turkmenistan")</f>
        <v>Turkmenistan</v>
      </c>
      <c r="D16418">
        <f>IFERROR(__xludf.DUMMYFUNCTION("""COMPUTED_VALUE"""),1984.0)</f>
        <v>1984</v>
      </c>
      <c r="E16418">
        <f>IFERROR(__xludf.DUMMYFUNCTION("""COMPUTED_VALUE"""),3166221.0)</f>
        <v>3166221</v>
      </c>
    </row>
    <row r="16419">
      <c r="A16419" t="str">
        <f t="shared" si="1"/>
        <v>tkm#1985</v>
      </c>
      <c r="B16419" t="str">
        <f>IFERROR(__xludf.DUMMYFUNCTION("""COMPUTED_VALUE"""),"tkm")</f>
        <v>tkm</v>
      </c>
      <c r="C16419" t="str">
        <f>IFERROR(__xludf.DUMMYFUNCTION("""COMPUTED_VALUE"""),"Turkmenistan")</f>
        <v>Turkmenistan</v>
      </c>
      <c r="D16419">
        <f>IFERROR(__xludf.DUMMYFUNCTION("""COMPUTED_VALUE"""),1985.0)</f>
        <v>1985</v>
      </c>
      <c r="E16419">
        <f>IFERROR(__xludf.DUMMYFUNCTION("""COMPUTED_VALUE"""),3244018.0)</f>
        <v>3244018</v>
      </c>
    </row>
    <row r="16420">
      <c r="A16420" t="str">
        <f t="shared" si="1"/>
        <v>tkm#1986</v>
      </c>
      <c r="B16420" t="str">
        <f>IFERROR(__xludf.DUMMYFUNCTION("""COMPUTED_VALUE"""),"tkm")</f>
        <v>tkm</v>
      </c>
      <c r="C16420" t="str">
        <f>IFERROR(__xludf.DUMMYFUNCTION("""COMPUTED_VALUE"""),"Turkmenistan")</f>
        <v>Turkmenistan</v>
      </c>
      <c r="D16420">
        <f>IFERROR(__xludf.DUMMYFUNCTION("""COMPUTED_VALUE"""),1986.0)</f>
        <v>1986</v>
      </c>
      <c r="E16420">
        <f>IFERROR(__xludf.DUMMYFUNCTION("""COMPUTED_VALUE"""),3324456.0)</f>
        <v>3324456</v>
      </c>
    </row>
    <row r="16421">
      <c r="A16421" t="str">
        <f t="shared" si="1"/>
        <v>tkm#1987</v>
      </c>
      <c r="B16421" t="str">
        <f>IFERROR(__xludf.DUMMYFUNCTION("""COMPUTED_VALUE"""),"tkm")</f>
        <v>tkm</v>
      </c>
      <c r="C16421" t="str">
        <f>IFERROR(__xludf.DUMMYFUNCTION("""COMPUTED_VALUE"""),"Turkmenistan")</f>
        <v>Turkmenistan</v>
      </c>
      <c r="D16421">
        <f>IFERROR(__xludf.DUMMYFUNCTION("""COMPUTED_VALUE"""),1987.0)</f>
        <v>1987</v>
      </c>
      <c r="E16421">
        <f>IFERROR(__xludf.DUMMYFUNCTION("""COMPUTED_VALUE"""),3407319.0)</f>
        <v>3407319</v>
      </c>
    </row>
    <row r="16422">
      <c r="A16422" t="str">
        <f t="shared" si="1"/>
        <v>tkm#1988</v>
      </c>
      <c r="B16422" t="str">
        <f>IFERROR(__xludf.DUMMYFUNCTION("""COMPUTED_VALUE"""),"tkm")</f>
        <v>tkm</v>
      </c>
      <c r="C16422" t="str">
        <f>IFERROR(__xludf.DUMMYFUNCTION("""COMPUTED_VALUE"""),"Turkmenistan")</f>
        <v>Turkmenistan</v>
      </c>
      <c r="D16422">
        <f>IFERROR(__xludf.DUMMYFUNCTION("""COMPUTED_VALUE"""),1988.0)</f>
        <v>1988</v>
      </c>
      <c r="E16422">
        <f>IFERROR(__xludf.DUMMYFUNCTION("""COMPUTED_VALUE"""),3493894.0)</f>
        <v>3493894</v>
      </c>
    </row>
    <row r="16423">
      <c r="A16423" t="str">
        <f t="shared" si="1"/>
        <v>tkm#1989</v>
      </c>
      <c r="B16423" t="str">
        <f>IFERROR(__xludf.DUMMYFUNCTION("""COMPUTED_VALUE"""),"tkm")</f>
        <v>tkm</v>
      </c>
      <c r="C16423" t="str">
        <f>IFERROR(__xludf.DUMMYFUNCTION("""COMPUTED_VALUE"""),"Turkmenistan")</f>
        <v>Turkmenistan</v>
      </c>
      <c r="D16423">
        <f>IFERROR(__xludf.DUMMYFUNCTION("""COMPUTED_VALUE"""),1989.0)</f>
        <v>1989</v>
      </c>
      <c r="E16423">
        <f>IFERROR(__xludf.DUMMYFUNCTION("""COMPUTED_VALUE"""),3585867.0)</f>
        <v>3585867</v>
      </c>
    </row>
    <row r="16424">
      <c r="A16424" t="str">
        <f t="shared" si="1"/>
        <v>tkm#1990</v>
      </c>
      <c r="B16424" t="str">
        <f>IFERROR(__xludf.DUMMYFUNCTION("""COMPUTED_VALUE"""),"tkm")</f>
        <v>tkm</v>
      </c>
      <c r="C16424" t="str">
        <f>IFERROR(__xludf.DUMMYFUNCTION("""COMPUTED_VALUE"""),"Turkmenistan")</f>
        <v>Turkmenistan</v>
      </c>
      <c r="D16424">
        <f>IFERROR(__xludf.DUMMYFUNCTION("""COMPUTED_VALUE"""),1990.0)</f>
        <v>1990</v>
      </c>
      <c r="E16424">
        <f>IFERROR(__xludf.DUMMYFUNCTION("""COMPUTED_VALUE"""),3683966.0)</f>
        <v>3683966</v>
      </c>
    </row>
    <row r="16425">
      <c r="A16425" t="str">
        <f t="shared" si="1"/>
        <v>tkm#1991</v>
      </c>
      <c r="B16425" t="str">
        <f>IFERROR(__xludf.DUMMYFUNCTION("""COMPUTED_VALUE"""),"tkm")</f>
        <v>tkm</v>
      </c>
      <c r="C16425" t="str">
        <f>IFERROR(__xludf.DUMMYFUNCTION("""COMPUTED_VALUE"""),"Turkmenistan")</f>
        <v>Turkmenistan</v>
      </c>
      <c r="D16425">
        <f>IFERROR(__xludf.DUMMYFUNCTION("""COMPUTED_VALUE"""),1991.0)</f>
        <v>1991</v>
      </c>
      <c r="E16425">
        <f>IFERROR(__xludf.DUMMYFUNCTION("""COMPUTED_VALUE"""),3789185.0)</f>
        <v>3789185</v>
      </c>
    </row>
    <row r="16426">
      <c r="A16426" t="str">
        <f t="shared" si="1"/>
        <v>tkm#1992</v>
      </c>
      <c r="B16426" t="str">
        <f>IFERROR(__xludf.DUMMYFUNCTION("""COMPUTED_VALUE"""),"tkm")</f>
        <v>tkm</v>
      </c>
      <c r="C16426" t="str">
        <f>IFERROR(__xludf.DUMMYFUNCTION("""COMPUTED_VALUE"""),"Turkmenistan")</f>
        <v>Turkmenistan</v>
      </c>
      <c r="D16426">
        <f>IFERROR(__xludf.DUMMYFUNCTION("""COMPUTED_VALUE"""),1992.0)</f>
        <v>1992</v>
      </c>
      <c r="E16426">
        <f>IFERROR(__xludf.DUMMYFUNCTION("""COMPUTED_VALUE"""),3899843.0)</f>
        <v>3899843</v>
      </c>
    </row>
    <row r="16427">
      <c r="A16427" t="str">
        <f t="shared" si="1"/>
        <v>tkm#1993</v>
      </c>
      <c r="B16427" t="str">
        <f>IFERROR(__xludf.DUMMYFUNCTION("""COMPUTED_VALUE"""),"tkm")</f>
        <v>tkm</v>
      </c>
      <c r="C16427" t="str">
        <f>IFERROR(__xludf.DUMMYFUNCTION("""COMPUTED_VALUE"""),"Turkmenistan")</f>
        <v>Turkmenistan</v>
      </c>
      <c r="D16427">
        <f>IFERROR(__xludf.DUMMYFUNCTION("""COMPUTED_VALUE"""),1993.0)</f>
        <v>1993</v>
      </c>
      <c r="E16427">
        <f>IFERROR(__xludf.DUMMYFUNCTION("""COMPUTED_VALUE"""),4010789.0)</f>
        <v>4010789</v>
      </c>
    </row>
    <row r="16428">
      <c r="A16428" t="str">
        <f t="shared" si="1"/>
        <v>tkm#1994</v>
      </c>
      <c r="B16428" t="str">
        <f>IFERROR(__xludf.DUMMYFUNCTION("""COMPUTED_VALUE"""),"tkm")</f>
        <v>tkm</v>
      </c>
      <c r="C16428" t="str">
        <f>IFERROR(__xludf.DUMMYFUNCTION("""COMPUTED_VALUE"""),"Turkmenistan")</f>
        <v>Turkmenistan</v>
      </c>
      <c r="D16428">
        <f>IFERROR(__xludf.DUMMYFUNCTION("""COMPUTED_VALUE"""),1994.0)</f>
        <v>1994</v>
      </c>
      <c r="E16428">
        <f>IFERROR(__xludf.DUMMYFUNCTION("""COMPUTED_VALUE"""),4115099.0)</f>
        <v>4115099</v>
      </c>
    </row>
    <row r="16429">
      <c r="A16429" t="str">
        <f t="shared" si="1"/>
        <v>tkm#1995</v>
      </c>
      <c r="B16429" t="str">
        <f>IFERROR(__xludf.DUMMYFUNCTION("""COMPUTED_VALUE"""),"tkm")</f>
        <v>tkm</v>
      </c>
      <c r="C16429" t="str">
        <f>IFERROR(__xludf.DUMMYFUNCTION("""COMPUTED_VALUE"""),"Turkmenistan")</f>
        <v>Turkmenistan</v>
      </c>
      <c r="D16429">
        <f>IFERROR(__xludf.DUMMYFUNCTION("""COMPUTED_VALUE"""),1995.0)</f>
        <v>1995</v>
      </c>
      <c r="E16429">
        <f>IFERROR(__xludf.DUMMYFUNCTION("""COMPUTED_VALUE"""),4207840.0)</f>
        <v>4207840</v>
      </c>
    </row>
    <row r="16430">
      <c r="A16430" t="str">
        <f t="shared" si="1"/>
        <v>tkm#1996</v>
      </c>
      <c r="B16430" t="str">
        <f>IFERROR(__xludf.DUMMYFUNCTION("""COMPUTED_VALUE"""),"tkm")</f>
        <v>tkm</v>
      </c>
      <c r="C16430" t="str">
        <f>IFERROR(__xludf.DUMMYFUNCTION("""COMPUTED_VALUE"""),"Turkmenistan")</f>
        <v>Turkmenistan</v>
      </c>
      <c r="D16430">
        <f>IFERROR(__xludf.DUMMYFUNCTION("""COMPUTED_VALUE"""),1996.0)</f>
        <v>1996</v>
      </c>
      <c r="E16430">
        <f>IFERROR(__xludf.DUMMYFUNCTION("""COMPUTED_VALUE"""),4287344.0)</f>
        <v>4287344</v>
      </c>
    </row>
    <row r="16431">
      <c r="A16431" t="str">
        <f t="shared" si="1"/>
        <v>tkm#1997</v>
      </c>
      <c r="B16431" t="str">
        <f>IFERROR(__xludf.DUMMYFUNCTION("""COMPUTED_VALUE"""),"tkm")</f>
        <v>tkm</v>
      </c>
      <c r="C16431" t="str">
        <f>IFERROR(__xludf.DUMMYFUNCTION("""COMPUTED_VALUE"""),"Turkmenistan")</f>
        <v>Turkmenistan</v>
      </c>
      <c r="D16431">
        <f>IFERROR(__xludf.DUMMYFUNCTION("""COMPUTED_VALUE"""),1997.0)</f>
        <v>1997</v>
      </c>
      <c r="E16431">
        <f>IFERROR(__xludf.DUMMYFUNCTION("""COMPUTED_VALUE"""),4355114.0)</f>
        <v>4355114</v>
      </c>
    </row>
    <row r="16432">
      <c r="A16432" t="str">
        <f t="shared" si="1"/>
        <v>tkm#1998</v>
      </c>
      <c r="B16432" t="str">
        <f>IFERROR(__xludf.DUMMYFUNCTION("""COMPUTED_VALUE"""),"tkm")</f>
        <v>tkm</v>
      </c>
      <c r="C16432" t="str">
        <f>IFERROR(__xludf.DUMMYFUNCTION("""COMPUTED_VALUE"""),"Turkmenistan")</f>
        <v>Turkmenistan</v>
      </c>
      <c r="D16432">
        <f>IFERROR(__xludf.DUMMYFUNCTION("""COMPUTED_VALUE"""),1998.0)</f>
        <v>1998</v>
      </c>
      <c r="E16432">
        <f>IFERROR(__xludf.DUMMYFUNCTION("""COMPUTED_VALUE"""),4413477.0)</f>
        <v>4413477</v>
      </c>
    </row>
    <row r="16433">
      <c r="A16433" t="str">
        <f t="shared" si="1"/>
        <v>tkm#1999</v>
      </c>
      <c r="B16433" t="str">
        <f>IFERROR(__xludf.DUMMYFUNCTION("""COMPUTED_VALUE"""),"tkm")</f>
        <v>tkm</v>
      </c>
      <c r="C16433" t="str">
        <f>IFERROR(__xludf.DUMMYFUNCTION("""COMPUTED_VALUE"""),"Turkmenistan")</f>
        <v>Turkmenistan</v>
      </c>
      <c r="D16433">
        <f>IFERROR(__xludf.DUMMYFUNCTION("""COMPUTED_VALUE"""),1999.0)</f>
        <v>1999</v>
      </c>
      <c r="E16433">
        <f>IFERROR(__xludf.DUMMYFUNCTION("""COMPUTED_VALUE"""),4466132.0)</f>
        <v>4466132</v>
      </c>
    </row>
    <row r="16434">
      <c r="A16434" t="str">
        <f t="shared" si="1"/>
        <v>tkm#2000</v>
      </c>
      <c r="B16434" t="str">
        <f>IFERROR(__xludf.DUMMYFUNCTION("""COMPUTED_VALUE"""),"tkm")</f>
        <v>tkm</v>
      </c>
      <c r="C16434" t="str">
        <f>IFERROR(__xludf.DUMMYFUNCTION("""COMPUTED_VALUE"""),"Turkmenistan")</f>
        <v>Turkmenistan</v>
      </c>
      <c r="D16434">
        <f>IFERROR(__xludf.DUMMYFUNCTION("""COMPUTED_VALUE"""),2000.0)</f>
        <v>2000</v>
      </c>
      <c r="E16434">
        <f>IFERROR(__xludf.DUMMYFUNCTION("""COMPUTED_VALUE"""),4516131.0)</f>
        <v>4516131</v>
      </c>
    </row>
    <row r="16435">
      <c r="A16435" t="str">
        <f t="shared" si="1"/>
        <v>tkm#2001</v>
      </c>
      <c r="B16435" t="str">
        <f>IFERROR(__xludf.DUMMYFUNCTION("""COMPUTED_VALUE"""),"tkm")</f>
        <v>tkm</v>
      </c>
      <c r="C16435" t="str">
        <f>IFERROR(__xludf.DUMMYFUNCTION("""COMPUTED_VALUE"""),"Turkmenistan")</f>
        <v>Turkmenistan</v>
      </c>
      <c r="D16435">
        <f>IFERROR(__xludf.DUMMYFUNCTION("""COMPUTED_VALUE"""),2001.0)</f>
        <v>2001</v>
      </c>
      <c r="E16435">
        <f>IFERROR(__xludf.DUMMYFUNCTION("""COMPUTED_VALUE"""),4564080.0)</f>
        <v>4564080</v>
      </c>
    </row>
    <row r="16436">
      <c r="A16436" t="str">
        <f t="shared" si="1"/>
        <v>tkm#2002</v>
      </c>
      <c r="B16436" t="str">
        <f>IFERROR(__xludf.DUMMYFUNCTION("""COMPUTED_VALUE"""),"tkm")</f>
        <v>tkm</v>
      </c>
      <c r="C16436" t="str">
        <f>IFERROR(__xludf.DUMMYFUNCTION("""COMPUTED_VALUE"""),"Turkmenistan")</f>
        <v>Turkmenistan</v>
      </c>
      <c r="D16436">
        <f>IFERROR(__xludf.DUMMYFUNCTION("""COMPUTED_VALUE"""),2002.0)</f>
        <v>2002</v>
      </c>
      <c r="E16436">
        <f>IFERROR(__xludf.DUMMYFUNCTION("""COMPUTED_VALUE"""),4610002.0)</f>
        <v>4610002</v>
      </c>
    </row>
    <row r="16437">
      <c r="A16437" t="str">
        <f t="shared" si="1"/>
        <v>tkm#2003</v>
      </c>
      <c r="B16437" t="str">
        <f>IFERROR(__xludf.DUMMYFUNCTION("""COMPUTED_VALUE"""),"tkm")</f>
        <v>tkm</v>
      </c>
      <c r="C16437" t="str">
        <f>IFERROR(__xludf.DUMMYFUNCTION("""COMPUTED_VALUE"""),"Turkmenistan")</f>
        <v>Turkmenistan</v>
      </c>
      <c r="D16437">
        <f>IFERROR(__xludf.DUMMYFUNCTION("""COMPUTED_VALUE"""),2003.0)</f>
        <v>2003</v>
      </c>
      <c r="E16437">
        <f>IFERROR(__xludf.DUMMYFUNCTION("""COMPUTED_VALUE"""),4655741.0)</f>
        <v>4655741</v>
      </c>
    </row>
    <row r="16438">
      <c r="A16438" t="str">
        <f t="shared" si="1"/>
        <v>tkm#2004</v>
      </c>
      <c r="B16438" t="str">
        <f>IFERROR(__xludf.DUMMYFUNCTION("""COMPUTED_VALUE"""),"tkm")</f>
        <v>tkm</v>
      </c>
      <c r="C16438" t="str">
        <f>IFERROR(__xludf.DUMMYFUNCTION("""COMPUTED_VALUE"""),"Turkmenistan")</f>
        <v>Turkmenistan</v>
      </c>
      <c r="D16438">
        <f>IFERROR(__xludf.DUMMYFUNCTION("""COMPUTED_VALUE"""),2004.0)</f>
        <v>2004</v>
      </c>
      <c r="E16438">
        <f>IFERROR(__xludf.DUMMYFUNCTION("""COMPUTED_VALUE"""),4703398.0)</f>
        <v>4703398</v>
      </c>
    </row>
    <row r="16439">
      <c r="A16439" t="str">
        <f t="shared" si="1"/>
        <v>tkm#2005</v>
      </c>
      <c r="B16439" t="str">
        <f>IFERROR(__xludf.DUMMYFUNCTION("""COMPUTED_VALUE"""),"tkm")</f>
        <v>tkm</v>
      </c>
      <c r="C16439" t="str">
        <f>IFERROR(__xludf.DUMMYFUNCTION("""COMPUTED_VALUE"""),"Turkmenistan")</f>
        <v>Turkmenistan</v>
      </c>
      <c r="D16439">
        <f>IFERROR(__xludf.DUMMYFUNCTION("""COMPUTED_VALUE"""),2005.0)</f>
        <v>2005</v>
      </c>
      <c r="E16439">
        <f>IFERROR(__xludf.DUMMYFUNCTION("""COMPUTED_VALUE"""),4754641.0)</f>
        <v>4754641</v>
      </c>
    </row>
    <row r="16440">
      <c r="A16440" t="str">
        <f t="shared" si="1"/>
        <v>tkm#2006</v>
      </c>
      <c r="B16440" t="str">
        <f>IFERROR(__xludf.DUMMYFUNCTION("""COMPUTED_VALUE"""),"tkm")</f>
        <v>tkm</v>
      </c>
      <c r="C16440" t="str">
        <f>IFERROR(__xludf.DUMMYFUNCTION("""COMPUTED_VALUE"""),"Turkmenistan")</f>
        <v>Turkmenistan</v>
      </c>
      <c r="D16440">
        <f>IFERROR(__xludf.DUMMYFUNCTION("""COMPUTED_VALUE"""),2006.0)</f>
        <v>2006</v>
      </c>
      <c r="E16440">
        <f>IFERROR(__xludf.DUMMYFUNCTION("""COMPUTED_VALUE"""),4810105.0)</f>
        <v>4810105</v>
      </c>
    </row>
    <row r="16441">
      <c r="A16441" t="str">
        <f t="shared" si="1"/>
        <v>tkm#2007</v>
      </c>
      <c r="B16441" t="str">
        <f>IFERROR(__xludf.DUMMYFUNCTION("""COMPUTED_VALUE"""),"tkm")</f>
        <v>tkm</v>
      </c>
      <c r="C16441" t="str">
        <f>IFERROR(__xludf.DUMMYFUNCTION("""COMPUTED_VALUE"""),"Turkmenistan")</f>
        <v>Turkmenistan</v>
      </c>
      <c r="D16441">
        <f>IFERROR(__xludf.DUMMYFUNCTION("""COMPUTED_VALUE"""),2007.0)</f>
        <v>2007</v>
      </c>
      <c r="E16441">
        <f>IFERROR(__xludf.DUMMYFUNCTION("""COMPUTED_VALUE"""),4870137.0)</f>
        <v>4870137</v>
      </c>
    </row>
    <row r="16442">
      <c r="A16442" t="str">
        <f t="shared" si="1"/>
        <v>tkm#2008</v>
      </c>
      <c r="B16442" t="str">
        <f>IFERROR(__xludf.DUMMYFUNCTION("""COMPUTED_VALUE"""),"tkm")</f>
        <v>tkm</v>
      </c>
      <c r="C16442" t="str">
        <f>IFERROR(__xludf.DUMMYFUNCTION("""COMPUTED_VALUE"""),"Turkmenistan")</f>
        <v>Turkmenistan</v>
      </c>
      <c r="D16442">
        <f>IFERROR(__xludf.DUMMYFUNCTION("""COMPUTED_VALUE"""),2008.0)</f>
        <v>2008</v>
      </c>
      <c r="E16442">
        <f>IFERROR(__xludf.DUMMYFUNCTION("""COMPUTED_VALUE"""),4935762.0)</f>
        <v>4935762</v>
      </c>
    </row>
    <row r="16443">
      <c r="A16443" t="str">
        <f t="shared" si="1"/>
        <v>tkm#2009</v>
      </c>
      <c r="B16443" t="str">
        <f>IFERROR(__xludf.DUMMYFUNCTION("""COMPUTED_VALUE"""),"tkm")</f>
        <v>tkm</v>
      </c>
      <c r="C16443" t="str">
        <f>IFERROR(__xludf.DUMMYFUNCTION("""COMPUTED_VALUE"""),"Turkmenistan")</f>
        <v>Turkmenistan</v>
      </c>
      <c r="D16443">
        <f>IFERROR(__xludf.DUMMYFUNCTION("""COMPUTED_VALUE"""),2009.0)</f>
        <v>2009</v>
      </c>
      <c r="E16443">
        <f>IFERROR(__xludf.DUMMYFUNCTION("""COMPUTED_VALUE"""),5007950.0)</f>
        <v>5007950</v>
      </c>
    </row>
    <row r="16444">
      <c r="A16444" t="str">
        <f t="shared" si="1"/>
        <v>tkm#2010</v>
      </c>
      <c r="B16444" t="str">
        <f>IFERROR(__xludf.DUMMYFUNCTION("""COMPUTED_VALUE"""),"tkm")</f>
        <v>tkm</v>
      </c>
      <c r="C16444" t="str">
        <f>IFERROR(__xludf.DUMMYFUNCTION("""COMPUTED_VALUE"""),"Turkmenistan")</f>
        <v>Turkmenistan</v>
      </c>
      <c r="D16444">
        <f>IFERROR(__xludf.DUMMYFUNCTION("""COMPUTED_VALUE"""),2010.0)</f>
        <v>2010</v>
      </c>
      <c r="E16444">
        <f>IFERROR(__xludf.DUMMYFUNCTION("""COMPUTED_VALUE"""),5087210.0)</f>
        <v>5087210</v>
      </c>
    </row>
    <row r="16445">
      <c r="A16445" t="str">
        <f t="shared" si="1"/>
        <v>tkm#2011</v>
      </c>
      <c r="B16445" t="str">
        <f>IFERROR(__xludf.DUMMYFUNCTION("""COMPUTED_VALUE"""),"tkm")</f>
        <v>tkm</v>
      </c>
      <c r="C16445" t="str">
        <f>IFERROR(__xludf.DUMMYFUNCTION("""COMPUTED_VALUE"""),"Turkmenistan")</f>
        <v>Turkmenistan</v>
      </c>
      <c r="D16445">
        <f>IFERROR(__xludf.DUMMYFUNCTION("""COMPUTED_VALUE"""),2011.0)</f>
        <v>2011</v>
      </c>
      <c r="E16445">
        <f>IFERROR(__xludf.DUMMYFUNCTION("""COMPUTED_VALUE"""),5174061.0)</f>
        <v>5174061</v>
      </c>
    </row>
    <row r="16446">
      <c r="A16446" t="str">
        <f t="shared" si="1"/>
        <v>tkm#2012</v>
      </c>
      <c r="B16446" t="str">
        <f>IFERROR(__xludf.DUMMYFUNCTION("""COMPUTED_VALUE"""),"tkm")</f>
        <v>tkm</v>
      </c>
      <c r="C16446" t="str">
        <f>IFERROR(__xludf.DUMMYFUNCTION("""COMPUTED_VALUE"""),"Turkmenistan")</f>
        <v>Turkmenistan</v>
      </c>
      <c r="D16446">
        <f>IFERROR(__xludf.DUMMYFUNCTION("""COMPUTED_VALUE"""),2012.0)</f>
        <v>2012</v>
      </c>
      <c r="E16446">
        <f>IFERROR(__xludf.DUMMYFUNCTION("""COMPUTED_VALUE"""),5267839.0)</f>
        <v>5267839</v>
      </c>
    </row>
    <row r="16447">
      <c r="A16447" t="str">
        <f t="shared" si="1"/>
        <v>tkm#2013</v>
      </c>
      <c r="B16447" t="str">
        <f>IFERROR(__xludf.DUMMYFUNCTION("""COMPUTED_VALUE"""),"tkm")</f>
        <v>tkm</v>
      </c>
      <c r="C16447" t="str">
        <f>IFERROR(__xludf.DUMMYFUNCTION("""COMPUTED_VALUE"""),"Turkmenistan")</f>
        <v>Turkmenistan</v>
      </c>
      <c r="D16447">
        <f>IFERROR(__xludf.DUMMYFUNCTION("""COMPUTED_VALUE"""),2013.0)</f>
        <v>2013</v>
      </c>
      <c r="E16447">
        <f>IFERROR(__xludf.DUMMYFUNCTION("""COMPUTED_VALUE"""),5366277.0)</f>
        <v>5366277</v>
      </c>
    </row>
    <row r="16448">
      <c r="A16448" t="str">
        <f t="shared" si="1"/>
        <v>tkm#2014</v>
      </c>
      <c r="B16448" t="str">
        <f>IFERROR(__xludf.DUMMYFUNCTION("""COMPUTED_VALUE"""),"tkm")</f>
        <v>tkm</v>
      </c>
      <c r="C16448" t="str">
        <f>IFERROR(__xludf.DUMMYFUNCTION("""COMPUTED_VALUE"""),"Turkmenistan")</f>
        <v>Turkmenistan</v>
      </c>
      <c r="D16448">
        <f>IFERROR(__xludf.DUMMYFUNCTION("""COMPUTED_VALUE"""),2014.0)</f>
        <v>2014</v>
      </c>
      <c r="E16448">
        <f>IFERROR(__xludf.DUMMYFUNCTION("""COMPUTED_VALUE"""),5466241.0)</f>
        <v>5466241</v>
      </c>
    </row>
    <row r="16449">
      <c r="A16449" t="str">
        <f t="shared" si="1"/>
        <v>tkm#2015</v>
      </c>
      <c r="B16449" t="str">
        <f>IFERROR(__xludf.DUMMYFUNCTION("""COMPUTED_VALUE"""),"tkm")</f>
        <v>tkm</v>
      </c>
      <c r="C16449" t="str">
        <f>IFERROR(__xludf.DUMMYFUNCTION("""COMPUTED_VALUE"""),"Turkmenistan")</f>
        <v>Turkmenistan</v>
      </c>
      <c r="D16449">
        <f>IFERROR(__xludf.DUMMYFUNCTION("""COMPUTED_VALUE"""),2015.0)</f>
        <v>2015</v>
      </c>
      <c r="E16449">
        <f>IFERROR(__xludf.DUMMYFUNCTION("""COMPUTED_VALUE"""),5565284.0)</f>
        <v>5565284</v>
      </c>
    </row>
    <row r="16450">
      <c r="A16450" t="str">
        <f t="shared" si="1"/>
        <v>tkm#2016</v>
      </c>
      <c r="B16450" t="str">
        <f>IFERROR(__xludf.DUMMYFUNCTION("""COMPUTED_VALUE"""),"tkm")</f>
        <v>tkm</v>
      </c>
      <c r="C16450" t="str">
        <f>IFERROR(__xludf.DUMMYFUNCTION("""COMPUTED_VALUE"""),"Turkmenistan")</f>
        <v>Turkmenistan</v>
      </c>
      <c r="D16450">
        <f>IFERROR(__xludf.DUMMYFUNCTION("""COMPUTED_VALUE"""),2016.0)</f>
        <v>2016</v>
      </c>
      <c r="E16450">
        <f>IFERROR(__xludf.DUMMYFUNCTION("""COMPUTED_VALUE"""),5662544.0)</f>
        <v>5662544</v>
      </c>
    </row>
    <row r="16451">
      <c r="A16451" t="str">
        <f t="shared" si="1"/>
        <v>tkm#2017</v>
      </c>
      <c r="B16451" t="str">
        <f>IFERROR(__xludf.DUMMYFUNCTION("""COMPUTED_VALUE"""),"tkm")</f>
        <v>tkm</v>
      </c>
      <c r="C16451" t="str">
        <f>IFERROR(__xludf.DUMMYFUNCTION("""COMPUTED_VALUE"""),"Turkmenistan")</f>
        <v>Turkmenistan</v>
      </c>
      <c r="D16451">
        <f>IFERROR(__xludf.DUMMYFUNCTION("""COMPUTED_VALUE"""),2017.0)</f>
        <v>2017</v>
      </c>
      <c r="E16451">
        <f>IFERROR(__xludf.DUMMYFUNCTION("""COMPUTED_VALUE"""),5758075.0)</f>
        <v>5758075</v>
      </c>
    </row>
    <row r="16452">
      <c r="A16452" t="str">
        <f t="shared" si="1"/>
        <v>tkm#2018</v>
      </c>
      <c r="B16452" t="str">
        <f>IFERROR(__xludf.DUMMYFUNCTION("""COMPUTED_VALUE"""),"tkm")</f>
        <v>tkm</v>
      </c>
      <c r="C16452" t="str">
        <f>IFERROR(__xludf.DUMMYFUNCTION("""COMPUTED_VALUE"""),"Turkmenistan")</f>
        <v>Turkmenistan</v>
      </c>
      <c r="D16452">
        <f>IFERROR(__xludf.DUMMYFUNCTION("""COMPUTED_VALUE"""),2018.0)</f>
        <v>2018</v>
      </c>
      <c r="E16452">
        <f>IFERROR(__xludf.DUMMYFUNCTION("""COMPUTED_VALUE"""),5851466.0)</f>
        <v>5851466</v>
      </c>
    </row>
    <row r="16453">
      <c r="A16453" t="str">
        <f t="shared" si="1"/>
        <v>tkm#2019</v>
      </c>
      <c r="B16453" t="str">
        <f>IFERROR(__xludf.DUMMYFUNCTION("""COMPUTED_VALUE"""),"tkm")</f>
        <v>tkm</v>
      </c>
      <c r="C16453" t="str">
        <f>IFERROR(__xludf.DUMMYFUNCTION("""COMPUTED_VALUE"""),"Turkmenistan")</f>
        <v>Turkmenistan</v>
      </c>
      <c r="D16453">
        <f>IFERROR(__xludf.DUMMYFUNCTION("""COMPUTED_VALUE"""),2019.0)</f>
        <v>2019</v>
      </c>
      <c r="E16453">
        <f>IFERROR(__xludf.DUMMYFUNCTION("""COMPUTED_VALUE"""),5942561.0)</f>
        <v>5942561</v>
      </c>
    </row>
    <row r="16454">
      <c r="A16454" t="str">
        <f t="shared" si="1"/>
        <v>tkm#2020</v>
      </c>
      <c r="B16454" t="str">
        <f>IFERROR(__xludf.DUMMYFUNCTION("""COMPUTED_VALUE"""),"tkm")</f>
        <v>tkm</v>
      </c>
      <c r="C16454" t="str">
        <f>IFERROR(__xludf.DUMMYFUNCTION("""COMPUTED_VALUE"""),"Turkmenistan")</f>
        <v>Turkmenistan</v>
      </c>
      <c r="D16454">
        <f>IFERROR(__xludf.DUMMYFUNCTION("""COMPUTED_VALUE"""),2020.0)</f>
        <v>2020</v>
      </c>
      <c r="E16454">
        <f>IFERROR(__xludf.DUMMYFUNCTION("""COMPUTED_VALUE"""),6031195.0)</f>
        <v>6031195</v>
      </c>
    </row>
    <row r="16455">
      <c r="A16455" t="str">
        <f t="shared" si="1"/>
        <v>tkm#2021</v>
      </c>
      <c r="B16455" t="str">
        <f>IFERROR(__xludf.DUMMYFUNCTION("""COMPUTED_VALUE"""),"tkm")</f>
        <v>tkm</v>
      </c>
      <c r="C16455" t="str">
        <f>IFERROR(__xludf.DUMMYFUNCTION("""COMPUTED_VALUE"""),"Turkmenistan")</f>
        <v>Turkmenistan</v>
      </c>
      <c r="D16455">
        <f>IFERROR(__xludf.DUMMYFUNCTION("""COMPUTED_VALUE"""),2021.0)</f>
        <v>2021</v>
      </c>
      <c r="E16455">
        <f>IFERROR(__xludf.DUMMYFUNCTION("""COMPUTED_VALUE"""),6117011.0)</f>
        <v>6117011</v>
      </c>
    </row>
    <row r="16456">
      <c r="A16456" t="str">
        <f t="shared" si="1"/>
        <v>tkm#2022</v>
      </c>
      <c r="B16456" t="str">
        <f>IFERROR(__xludf.DUMMYFUNCTION("""COMPUTED_VALUE"""),"tkm")</f>
        <v>tkm</v>
      </c>
      <c r="C16456" t="str">
        <f>IFERROR(__xludf.DUMMYFUNCTION("""COMPUTED_VALUE"""),"Turkmenistan")</f>
        <v>Turkmenistan</v>
      </c>
      <c r="D16456">
        <f>IFERROR(__xludf.DUMMYFUNCTION("""COMPUTED_VALUE"""),2022.0)</f>
        <v>2022</v>
      </c>
      <c r="E16456">
        <f>IFERROR(__xludf.DUMMYFUNCTION("""COMPUTED_VALUE"""),6199732.0)</f>
        <v>6199732</v>
      </c>
    </row>
    <row r="16457">
      <c r="A16457" t="str">
        <f t="shared" si="1"/>
        <v>tkm#2023</v>
      </c>
      <c r="B16457" t="str">
        <f>IFERROR(__xludf.DUMMYFUNCTION("""COMPUTED_VALUE"""),"tkm")</f>
        <v>tkm</v>
      </c>
      <c r="C16457" t="str">
        <f>IFERROR(__xludf.DUMMYFUNCTION("""COMPUTED_VALUE"""),"Turkmenistan")</f>
        <v>Turkmenistan</v>
      </c>
      <c r="D16457">
        <f>IFERROR(__xludf.DUMMYFUNCTION("""COMPUTED_VALUE"""),2023.0)</f>
        <v>2023</v>
      </c>
      <c r="E16457">
        <f>IFERROR(__xludf.DUMMYFUNCTION("""COMPUTED_VALUE"""),6279415.0)</f>
        <v>6279415</v>
      </c>
    </row>
    <row r="16458">
      <c r="A16458" t="str">
        <f t="shared" si="1"/>
        <v>tkm#2024</v>
      </c>
      <c r="B16458" t="str">
        <f>IFERROR(__xludf.DUMMYFUNCTION("""COMPUTED_VALUE"""),"tkm")</f>
        <v>tkm</v>
      </c>
      <c r="C16458" t="str">
        <f>IFERROR(__xludf.DUMMYFUNCTION("""COMPUTED_VALUE"""),"Turkmenistan")</f>
        <v>Turkmenistan</v>
      </c>
      <c r="D16458">
        <f>IFERROR(__xludf.DUMMYFUNCTION("""COMPUTED_VALUE"""),2024.0)</f>
        <v>2024</v>
      </c>
      <c r="E16458">
        <f>IFERROR(__xludf.DUMMYFUNCTION("""COMPUTED_VALUE"""),6356285.0)</f>
        <v>6356285</v>
      </c>
    </row>
    <row r="16459">
      <c r="A16459" t="str">
        <f t="shared" si="1"/>
        <v>tkm#2025</v>
      </c>
      <c r="B16459" t="str">
        <f>IFERROR(__xludf.DUMMYFUNCTION("""COMPUTED_VALUE"""),"tkm")</f>
        <v>tkm</v>
      </c>
      <c r="C16459" t="str">
        <f>IFERROR(__xludf.DUMMYFUNCTION("""COMPUTED_VALUE"""),"Turkmenistan")</f>
        <v>Turkmenistan</v>
      </c>
      <c r="D16459">
        <f>IFERROR(__xludf.DUMMYFUNCTION("""COMPUTED_VALUE"""),2025.0)</f>
        <v>2025</v>
      </c>
      <c r="E16459">
        <f>IFERROR(__xludf.DUMMYFUNCTION("""COMPUTED_VALUE"""),6430544.0)</f>
        <v>6430544</v>
      </c>
    </row>
    <row r="16460">
      <c r="A16460" t="str">
        <f t="shared" si="1"/>
        <v>tkm#2026</v>
      </c>
      <c r="B16460" t="str">
        <f>IFERROR(__xludf.DUMMYFUNCTION("""COMPUTED_VALUE"""),"tkm")</f>
        <v>tkm</v>
      </c>
      <c r="C16460" t="str">
        <f>IFERROR(__xludf.DUMMYFUNCTION("""COMPUTED_VALUE"""),"Turkmenistan")</f>
        <v>Turkmenistan</v>
      </c>
      <c r="D16460">
        <f>IFERROR(__xludf.DUMMYFUNCTION("""COMPUTED_VALUE"""),2026.0)</f>
        <v>2026</v>
      </c>
      <c r="E16460">
        <f>IFERROR(__xludf.DUMMYFUNCTION("""COMPUTED_VALUE"""),6502197.0)</f>
        <v>6502197</v>
      </c>
    </row>
    <row r="16461">
      <c r="A16461" t="str">
        <f t="shared" si="1"/>
        <v>tkm#2027</v>
      </c>
      <c r="B16461" t="str">
        <f>IFERROR(__xludf.DUMMYFUNCTION("""COMPUTED_VALUE"""),"tkm")</f>
        <v>tkm</v>
      </c>
      <c r="C16461" t="str">
        <f>IFERROR(__xludf.DUMMYFUNCTION("""COMPUTED_VALUE"""),"Turkmenistan")</f>
        <v>Turkmenistan</v>
      </c>
      <c r="D16461">
        <f>IFERROR(__xludf.DUMMYFUNCTION("""COMPUTED_VALUE"""),2027.0)</f>
        <v>2027</v>
      </c>
      <c r="E16461">
        <f>IFERROR(__xludf.DUMMYFUNCTION("""COMPUTED_VALUE"""),6571312.0)</f>
        <v>6571312</v>
      </c>
    </row>
    <row r="16462">
      <c r="A16462" t="str">
        <f t="shared" si="1"/>
        <v>tkm#2028</v>
      </c>
      <c r="B16462" t="str">
        <f>IFERROR(__xludf.DUMMYFUNCTION("""COMPUTED_VALUE"""),"tkm")</f>
        <v>tkm</v>
      </c>
      <c r="C16462" t="str">
        <f>IFERROR(__xludf.DUMMYFUNCTION("""COMPUTED_VALUE"""),"Turkmenistan")</f>
        <v>Turkmenistan</v>
      </c>
      <c r="D16462">
        <f>IFERROR(__xludf.DUMMYFUNCTION("""COMPUTED_VALUE"""),2028.0)</f>
        <v>2028</v>
      </c>
      <c r="E16462">
        <f>IFERROR(__xludf.DUMMYFUNCTION("""COMPUTED_VALUE"""),6638250.0)</f>
        <v>6638250</v>
      </c>
    </row>
    <row r="16463">
      <c r="A16463" t="str">
        <f t="shared" si="1"/>
        <v>tkm#2029</v>
      </c>
      <c r="B16463" t="str">
        <f>IFERROR(__xludf.DUMMYFUNCTION("""COMPUTED_VALUE"""),"tkm")</f>
        <v>tkm</v>
      </c>
      <c r="C16463" t="str">
        <f>IFERROR(__xludf.DUMMYFUNCTION("""COMPUTED_VALUE"""),"Turkmenistan")</f>
        <v>Turkmenistan</v>
      </c>
      <c r="D16463">
        <f>IFERROR(__xludf.DUMMYFUNCTION("""COMPUTED_VALUE"""),2029.0)</f>
        <v>2029</v>
      </c>
      <c r="E16463">
        <f>IFERROR(__xludf.DUMMYFUNCTION("""COMPUTED_VALUE"""),6703489.0)</f>
        <v>6703489</v>
      </c>
    </row>
    <row r="16464">
      <c r="A16464" t="str">
        <f t="shared" si="1"/>
        <v>tkm#2030</v>
      </c>
      <c r="B16464" t="str">
        <f>IFERROR(__xludf.DUMMYFUNCTION("""COMPUTED_VALUE"""),"tkm")</f>
        <v>tkm</v>
      </c>
      <c r="C16464" t="str">
        <f>IFERROR(__xludf.DUMMYFUNCTION("""COMPUTED_VALUE"""),"Turkmenistan")</f>
        <v>Turkmenistan</v>
      </c>
      <c r="D16464">
        <f>IFERROR(__xludf.DUMMYFUNCTION("""COMPUTED_VALUE"""),2030.0)</f>
        <v>2030</v>
      </c>
      <c r="E16464">
        <f>IFERROR(__xludf.DUMMYFUNCTION("""COMPUTED_VALUE"""),6767418.0)</f>
        <v>6767418</v>
      </c>
    </row>
    <row r="16465">
      <c r="A16465" t="str">
        <f t="shared" si="1"/>
        <v>tkm#2031</v>
      </c>
      <c r="B16465" t="str">
        <f>IFERROR(__xludf.DUMMYFUNCTION("""COMPUTED_VALUE"""),"tkm")</f>
        <v>tkm</v>
      </c>
      <c r="C16465" t="str">
        <f>IFERROR(__xludf.DUMMYFUNCTION("""COMPUTED_VALUE"""),"Turkmenistan")</f>
        <v>Turkmenistan</v>
      </c>
      <c r="D16465">
        <f>IFERROR(__xludf.DUMMYFUNCTION("""COMPUTED_VALUE"""),2031.0)</f>
        <v>2031</v>
      </c>
      <c r="E16465">
        <f>IFERROR(__xludf.DUMMYFUNCTION("""COMPUTED_VALUE"""),6830185.0)</f>
        <v>6830185</v>
      </c>
    </row>
    <row r="16466">
      <c r="A16466" t="str">
        <f t="shared" si="1"/>
        <v>tkm#2032</v>
      </c>
      <c r="B16466" t="str">
        <f>IFERROR(__xludf.DUMMYFUNCTION("""COMPUTED_VALUE"""),"tkm")</f>
        <v>tkm</v>
      </c>
      <c r="C16466" t="str">
        <f>IFERROR(__xludf.DUMMYFUNCTION("""COMPUTED_VALUE"""),"Turkmenistan")</f>
        <v>Turkmenistan</v>
      </c>
      <c r="D16466">
        <f>IFERROR(__xludf.DUMMYFUNCTION("""COMPUTED_VALUE"""),2032.0)</f>
        <v>2032</v>
      </c>
      <c r="E16466">
        <f>IFERROR(__xludf.DUMMYFUNCTION("""COMPUTED_VALUE"""),6891890.0)</f>
        <v>6891890</v>
      </c>
    </row>
    <row r="16467">
      <c r="A16467" t="str">
        <f t="shared" si="1"/>
        <v>tkm#2033</v>
      </c>
      <c r="B16467" t="str">
        <f>IFERROR(__xludf.DUMMYFUNCTION("""COMPUTED_VALUE"""),"tkm")</f>
        <v>tkm</v>
      </c>
      <c r="C16467" t="str">
        <f>IFERROR(__xludf.DUMMYFUNCTION("""COMPUTED_VALUE"""),"Turkmenistan")</f>
        <v>Turkmenistan</v>
      </c>
      <c r="D16467">
        <f>IFERROR(__xludf.DUMMYFUNCTION("""COMPUTED_VALUE"""),2033.0)</f>
        <v>2033</v>
      </c>
      <c r="E16467">
        <f>IFERROR(__xludf.DUMMYFUNCTION("""COMPUTED_VALUE"""),6952813.0)</f>
        <v>6952813</v>
      </c>
    </row>
    <row r="16468">
      <c r="A16468" t="str">
        <f t="shared" si="1"/>
        <v>tkm#2034</v>
      </c>
      <c r="B16468" t="str">
        <f>IFERROR(__xludf.DUMMYFUNCTION("""COMPUTED_VALUE"""),"tkm")</f>
        <v>tkm</v>
      </c>
      <c r="C16468" t="str">
        <f>IFERROR(__xludf.DUMMYFUNCTION("""COMPUTED_VALUE"""),"Turkmenistan")</f>
        <v>Turkmenistan</v>
      </c>
      <c r="D16468">
        <f>IFERROR(__xludf.DUMMYFUNCTION("""COMPUTED_VALUE"""),2034.0)</f>
        <v>2034</v>
      </c>
      <c r="E16468">
        <f>IFERROR(__xludf.DUMMYFUNCTION("""COMPUTED_VALUE"""),7013275.0)</f>
        <v>7013275</v>
      </c>
    </row>
    <row r="16469">
      <c r="A16469" t="str">
        <f t="shared" si="1"/>
        <v>tkm#2035</v>
      </c>
      <c r="B16469" t="str">
        <f>IFERROR(__xludf.DUMMYFUNCTION("""COMPUTED_VALUE"""),"tkm")</f>
        <v>tkm</v>
      </c>
      <c r="C16469" t="str">
        <f>IFERROR(__xludf.DUMMYFUNCTION("""COMPUTED_VALUE"""),"Turkmenistan")</f>
        <v>Turkmenistan</v>
      </c>
      <c r="D16469">
        <f>IFERROR(__xludf.DUMMYFUNCTION("""COMPUTED_VALUE"""),2035.0)</f>
        <v>2035</v>
      </c>
      <c r="E16469">
        <f>IFERROR(__xludf.DUMMYFUNCTION("""COMPUTED_VALUE"""),7073504.0)</f>
        <v>7073504</v>
      </c>
    </row>
    <row r="16470">
      <c r="A16470" t="str">
        <f t="shared" si="1"/>
        <v>tkm#2036</v>
      </c>
      <c r="B16470" t="str">
        <f>IFERROR(__xludf.DUMMYFUNCTION("""COMPUTED_VALUE"""),"tkm")</f>
        <v>tkm</v>
      </c>
      <c r="C16470" t="str">
        <f>IFERROR(__xludf.DUMMYFUNCTION("""COMPUTED_VALUE"""),"Turkmenistan")</f>
        <v>Turkmenistan</v>
      </c>
      <c r="D16470">
        <f>IFERROR(__xludf.DUMMYFUNCTION("""COMPUTED_VALUE"""),2036.0)</f>
        <v>2036</v>
      </c>
      <c r="E16470">
        <f>IFERROR(__xludf.DUMMYFUNCTION("""COMPUTED_VALUE"""),7133597.0)</f>
        <v>7133597</v>
      </c>
    </row>
    <row r="16471">
      <c r="A16471" t="str">
        <f t="shared" si="1"/>
        <v>tkm#2037</v>
      </c>
      <c r="B16471" t="str">
        <f>IFERROR(__xludf.DUMMYFUNCTION("""COMPUTED_VALUE"""),"tkm")</f>
        <v>tkm</v>
      </c>
      <c r="C16471" t="str">
        <f>IFERROR(__xludf.DUMMYFUNCTION("""COMPUTED_VALUE"""),"Turkmenistan")</f>
        <v>Turkmenistan</v>
      </c>
      <c r="D16471">
        <f>IFERROR(__xludf.DUMMYFUNCTION("""COMPUTED_VALUE"""),2037.0)</f>
        <v>2037</v>
      </c>
      <c r="E16471">
        <f>IFERROR(__xludf.DUMMYFUNCTION("""COMPUTED_VALUE"""),7193548.0)</f>
        <v>7193548</v>
      </c>
    </row>
    <row r="16472">
      <c r="A16472" t="str">
        <f t="shared" si="1"/>
        <v>tkm#2038</v>
      </c>
      <c r="B16472" t="str">
        <f>IFERROR(__xludf.DUMMYFUNCTION("""COMPUTED_VALUE"""),"tkm")</f>
        <v>tkm</v>
      </c>
      <c r="C16472" t="str">
        <f>IFERROR(__xludf.DUMMYFUNCTION("""COMPUTED_VALUE"""),"Turkmenistan")</f>
        <v>Turkmenistan</v>
      </c>
      <c r="D16472">
        <f>IFERROR(__xludf.DUMMYFUNCTION("""COMPUTED_VALUE"""),2038.0)</f>
        <v>2038</v>
      </c>
      <c r="E16472">
        <f>IFERROR(__xludf.DUMMYFUNCTION("""COMPUTED_VALUE"""),7253242.0)</f>
        <v>7253242</v>
      </c>
    </row>
    <row r="16473">
      <c r="A16473" t="str">
        <f t="shared" si="1"/>
        <v>tkm#2039</v>
      </c>
      <c r="B16473" t="str">
        <f>IFERROR(__xludf.DUMMYFUNCTION("""COMPUTED_VALUE"""),"tkm")</f>
        <v>tkm</v>
      </c>
      <c r="C16473" t="str">
        <f>IFERROR(__xludf.DUMMYFUNCTION("""COMPUTED_VALUE"""),"Turkmenistan")</f>
        <v>Turkmenistan</v>
      </c>
      <c r="D16473">
        <f>IFERROR(__xludf.DUMMYFUNCTION("""COMPUTED_VALUE"""),2039.0)</f>
        <v>2039</v>
      </c>
      <c r="E16473">
        <f>IFERROR(__xludf.DUMMYFUNCTION("""COMPUTED_VALUE"""),7312505.0)</f>
        <v>7312505</v>
      </c>
    </row>
    <row r="16474">
      <c r="A16474" t="str">
        <f t="shared" si="1"/>
        <v>tkm#2040</v>
      </c>
      <c r="B16474" t="str">
        <f>IFERROR(__xludf.DUMMYFUNCTION("""COMPUTED_VALUE"""),"tkm")</f>
        <v>tkm</v>
      </c>
      <c r="C16474" t="str">
        <f>IFERROR(__xludf.DUMMYFUNCTION("""COMPUTED_VALUE"""),"Turkmenistan")</f>
        <v>Turkmenistan</v>
      </c>
      <c r="D16474">
        <f>IFERROR(__xludf.DUMMYFUNCTION("""COMPUTED_VALUE"""),2040.0)</f>
        <v>2040</v>
      </c>
      <c r="E16474">
        <f>IFERROR(__xludf.DUMMYFUNCTION("""COMPUTED_VALUE"""),7371176.0)</f>
        <v>7371176</v>
      </c>
    </row>
    <row r="16475">
      <c r="A16475" t="str">
        <f t="shared" si="1"/>
        <v>tuv#1950</v>
      </c>
      <c r="B16475" t="str">
        <f>IFERROR(__xludf.DUMMYFUNCTION("""COMPUTED_VALUE"""),"tuv")</f>
        <v>tuv</v>
      </c>
      <c r="C16475" t="str">
        <f>IFERROR(__xludf.DUMMYFUNCTION("""COMPUTED_VALUE"""),"Tuvalu")</f>
        <v>Tuvalu</v>
      </c>
      <c r="D16475">
        <f>IFERROR(__xludf.DUMMYFUNCTION("""COMPUTED_VALUE"""),1950.0)</f>
        <v>1950</v>
      </c>
      <c r="E16475">
        <f>IFERROR(__xludf.DUMMYFUNCTION("""COMPUTED_VALUE"""),5166.0)</f>
        <v>5166</v>
      </c>
    </row>
    <row r="16476">
      <c r="A16476" t="str">
        <f t="shared" si="1"/>
        <v>tuv#1951</v>
      </c>
      <c r="B16476" t="str">
        <f>IFERROR(__xludf.DUMMYFUNCTION("""COMPUTED_VALUE"""),"tuv")</f>
        <v>tuv</v>
      </c>
      <c r="C16476" t="str">
        <f>IFERROR(__xludf.DUMMYFUNCTION("""COMPUTED_VALUE"""),"Tuvalu")</f>
        <v>Tuvalu</v>
      </c>
      <c r="D16476">
        <f>IFERROR(__xludf.DUMMYFUNCTION("""COMPUTED_VALUE"""),1951.0)</f>
        <v>1951</v>
      </c>
      <c r="E16476">
        <f>IFERROR(__xludf.DUMMYFUNCTION("""COMPUTED_VALUE"""),5220.0)</f>
        <v>5220</v>
      </c>
    </row>
    <row r="16477">
      <c r="A16477" t="str">
        <f t="shared" si="1"/>
        <v>tuv#1952</v>
      </c>
      <c r="B16477" t="str">
        <f>IFERROR(__xludf.DUMMYFUNCTION("""COMPUTED_VALUE"""),"tuv")</f>
        <v>tuv</v>
      </c>
      <c r="C16477" t="str">
        <f>IFERROR(__xludf.DUMMYFUNCTION("""COMPUTED_VALUE"""),"Tuvalu")</f>
        <v>Tuvalu</v>
      </c>
      <c r="D16477">
        <f>IFERROR(__xludf.DUMMYFUNCTION("""COMPUTED_VALUE"""),1952.0)</f>
        <v>1952</v>
      </c>
      <c r="E16477">
        <f>IFERROR(__xludf.DUMMYFUNCTION("""COMPUTED_VALUE"""),5293.0)</f>
        <v>5293</v>
      </c>
    </row>
    <row r="16478">
      <c r="A16478" t="str">
        <f t="shared" si="1"/>
        <v>tuv#1953</v>
      </c>
      <c r="B16478" t="str">
        <f>IFERROR(__xludf.DUMMYFUNCTION("""COMPUTED_VALUE"""),"tuv")</f>
        <v>tuv</v>
      </c>
      <c r="C16478" t="str">
        <f>IFERROR(__xludf.DUMMYFUNCTION("""COMPUTED_VALUE"""),"Tuvalu")</f>
        <v>Tuvalu</v>
      </c>
      <c r="D16478">
        <f>IFERROR(__xludf.DUMMYFUNCTION("""COMPUTED_VALUE"""),1953.0)</f>
        <v>1953</v>
      </c>
      <c r="E16478">
        <f>IFERROR(__xludf.DUMMYFUNCTION("""COMPUTED_VALUE"""),5371.0)</f>
        <v>5371</v>
      </c>
    </row>
    <row r="16479">
      <c r="A16479" t="str">
        <f t="shared" si="1"/>
        <v>tuv#1954</v>
      </c>
      <c r="B16479" t="str">
        <f>IFERROR(__xludf.DUMMYFUNCTION("""COMPUTED_VALUE"""),"tuv")</f>
        <v>tuv</v>
      </c>
      <c r="C16479" t="str">
        <f>IFERROR(__xludf.DUMMYFUNCTION("""COMPUTED_VALUE"""),"Tuvalu")</f>
        <v>Tuvalu</v>
      </c>
      <c r="D16479">
        <f>IFERROR(__xludf.DUMMYFUNCTION("""COMPUTED_VALUE"""),1954.0)</f>
        <v>1954</v>
      </c>
      <c r="E16479">
        <f>IFERROR(__xludf.DUMMYFUNCTION("""COMPUTED_VALUE"""),5473.0)</f>
        <v>5473</v>
      </c>
    </row>
    <row r="16480">
      <c r="A16480" t="str">
        <f t="shared" si="1"/>
        <v>tuv#1955</v>
      </c>
      <c r="B16480" t="str">
        <f>IFERROR(__xludf.DUMMYFUNCTION("""COMPUTED_VALUE"""),"tuv")</f>
        <v>tuv</v>
      </c>
      <c r="C16480" t="str">
        <f>IFERROR(__xludf.DUMMYFUNCTION("""COMPUTED_VALUE"""),"Tuvalu")</f>
        <v>Tuvalu</v>
      </c>
      <c r="D16480">
        <f>IFERROR(__xludf.DUMMYFUNCTION("""COMPUTED_VALUE"""),1955.0)</f>
        <v>1955</v>
      </c>
      <c r="E16480">
        <f>IFERROR(__xludf.DUMMYFUNCTION("""COMPUTED_VALUE"""),5569.0)</f>
        <v>5569</v>
      </c>
    </row>
    <row r="16481">
      <c r="A16481" t="str">
        <f t="shared" si="1"/>
        <v>tuv#1956</v>
      </c>
      <c r="B16481" t="str">
        <f>IFERROR(__xludf.DUMMYFUNCTION("""COMPUTED_VALUE"""),"tuv")</f>
        <v>tuv</v>
      </c>
      <c r="C16481" t="str">
        <f>IFERROR(__xludf.DUMMYFUNCTION("""COMPUTED_VALUE"""),"Tuvalu")</f>
        <v>Tuvalu</v>
      </c>
      <c r="D16481">
        <f>IFERROR(__xludf.DUMMYFUNCTION("""COMPUTED_VALUE"""),1956.0)</f>
        <v>1956</v>
      </c>
      <c r="E16481">
        <f>IFERROR(__xludf.DUMMYFUNCTION("""COMPUTED_VALUE"""),5658.0)</f>
        <v>5658</v>
      </c>
    </row>
    <row r="16482">
      <c r="A16482" t="str">
        <f t="shared" si="1"/>
        <v>tuv#1957</v>
      </c>
      <c r="B16482" t="str">
        <f>IFERROR(__xludf.DUMMYFUNCTION("""COMPUTED_VALUE"""),"tuv")</f>
        <v>tuv</v>
      </c>
      <c r="C16482" t="str">
        <f>IFERROR(__xludf.DUMMYFUNCTION("""COMPUTED_VALUE"""),"Tuvalu")</f>
        <v>Tuvalu</v>
      </c>
      <c r="D16482">
        <f>IFERROR(__xludf.DUMMYFUNCTION("""COMPUTED_VALUE"""),1957.0)</f>
        <v>1957</v>
      </c>
      <c r="E16482">
        <f>IFERROR(__xludf.DUMMYFUNCTION("""COMPUTED_VALUE"""),5760.0)</f>
        <v>5760</v>
      </c>
    </row>
    <row r="16483">
      <c r="A16483" t="str">
        <f t="shared" si="1"/>
        <v>tuv#1958</v>
      </c>
      <c r="B16483" t="str">
        <f>IFERROR(__xludf.DUMMYFUNCTION("""COMPUTED_VALUE"""),"tuv")</f>
        <v>tuv</v>
      </c>
      <c r="C16483" t="str">
        <f>IFERROR(__xludf.DUMMYFUNCTION("""COMPUTED_VALUE"""),"Tuvalu")</f>
        <v>Tuvalu</v>
      </c>
      <c r="D16483">
        <f>IFERROR(__xludf.DUMMYFUNCTION("""COMPUTED_VALUE"""),1958.0)</f>
        <v>1958</v>
      </c>
      <c r="E16483">
        <f>IFERROR(__xludf.DUMMYFUNCTION("""COMPUTED_VALUE"""),5864.0)</f>
        <v>5864</v>
      </c>
    </row>
    <row r="16484">
      <c r="A16484" t="str">
        <f t="shared" si="1"/>
        <v>tuv#1959</v>
      </c>
      <c r="B16484" t="str">
        <f>IFERROR(__xludf.DUMMYFUNCTION("""COMPUTED_VALUE"""),"tuv")</f>
        <v>tuv</v>
      </c>
      <c r="C16484" t="str">
        <f>IFERROR(__xludf.DUMMYFUNCTION("""COMPUTED_VALUE"""),"Tuvalu")</f>
        <v>Tuvalu</v>
      </c>
      <c r="D16484">
        <f>IFERROR(__xludf.DUMMYFUNCTION("""COMPUTED_VALUE"""),1959.0)</f>
        <v>1959</v>
      </c>
      <c r="E16484">
        <f>IFERROR(__xludf.DUMMYFUNCTION("""COMPUTED_VALUE"""),5982.0)</f>
        <v>5982</v>
      </c>
    </row>
    <row r="16485">
      <c r="A16485" t="str">
        <f t="shared" si="1"/>
        <v>tuv#1960</v>
      </c>
      <c r="B16485" t="str">
        <f>IFERROR(__xludf.DUMMYFUNCTION("""COMPUTED_VALUE"""),"tuv")</f>
        <v>tuv</v>
      </c>
      <c r="C16485" t="str">
        <f>IFERROR(__xludf.DUMMYFUNCTION("""COMPUTED_VALUE"""),"Tuvalu")</f>
        <v>Tuvalu</v>
      </c>
      <c r="D16485">
        <f>IFERROR(__xludf.DUMMYFUNCTION("""COMPUTED_VALUE"""),1960.0)</f>
        <v>1960</v>
      </c>
      <c r="E16485">
        <f>IFERROR(__xludf.DUMMYFUNCTION("""COMPUTED_VALUE"""),6104.0)</f>
        <v>6104</v>
      </c>
    </row>
    <row r="16486">
      <c r="A16486" t="str">
        <f t="shared" si="1"/>
        <v>tuv#1961</v>
      </c>
      <c r="B16486" t="str">
        <f>IFERROR(__xludf.DUMMYFUNCTION("""COMPUTED_VALUE"""),"tuv")</f>
        <v>tuv</v>
      </c>
      <c r="C16486" t="str">
        <f>IFERROR(__xludf.DUMMYFUNCTION("""COMPUTED_VALUE"""),"Tuvalu")</f>
        <v>Tuvalu</v>
      </c>
      <c r="D16486">
        <f>IFERROR(__xludf.DUMMYFUNCTION("""COMPUTED_VALUE"""),1961.0)</f>
        <v>1961</v>
      </c>
      <c r="E16486">
        <f>IFERROR(__xludf.DUMMYFUNCTION("""COMPUTED_VALUE"""),6246.0)</f>
        <v>6246</v>
      </c>
    </row>
    <row r="16487">
      <c r="A16487" t="str">
        <f t="shared" si="1"/>
        <v>tuv#1962</v>
      </c>
      <c r="B16487" t="str">
        <f>IFERROR(__xludf.DUMMYFUNCTION("""COMPUTED_VALUE"""),"tuv")</f>
        <v>tuv</v>
      </c>
      <c r="C16487" t="str">
        <f>IFERROR(__xludf.DUMMYFUNCTION("""COMPUTED_VALUE"""),"Tuvalu")</f>
        <v>Tuvalu</v>
      </c>
      <c r="D16487">
        <f>IFERROR(__xludf.DUMMYFUNCTION("""COMPUTED_VALUE"""),1962.0)</f>
        <v>1962</v>
      </c>
      <c r="E16487">
        <f>IFERROR(__xludf.DUMMYFUNCTION("""COMPUTED_VALUE"""),6389.0)</f>
        <v>6389</v>
      </c>
    </row>
    <row r="16488">
      <c r="A16488" t="str">
        <f t="shared" si="1"/>
        <v>tuv#1963</v>
      </c>
      <c r="B16488" t="str">
        <f>IFERROR(__xludf.DUMMYFUNCTION("""COMPUTED_VALUE"""),"tuv")</f>
        <v>tuv</v>
      </c>
      <c r="C16488" t="str">
        <f>IFERROR(__xludf.DUMMYFUNCTION("""COMPUTED_VALUE"""),"Tuvalu")</f>
        <v>Tuvalu</v>
      </c>
      <c r="D16488">
        <f>IFERROR(__xludf.DUMMYFUNCTION("""COMPUTED_VALUE"""),1963.0)</f>
        <v>1963</v>
      </c>
      <c r="E16488">
        <f>IFERROR(__xludf.DUMMYFUNCTION("""COMPUTED_VALUE"""),6538.0)</f>
        <v>6538</v>
      </c>
    </row>
    <row r="16489">
      <c r="A16489" t="str">
        <f t="shared" si="1"/>
        <v>tuv#1964</v>
      </c>
      <c r="B16489" t="str">
        <f>IFERROR(__xludf.DUMMYFUNCTION("""COMPUTED_VALUE"""),"tuv")</f>
        <v>tuv</v>
      </c>
      <c r="C16489" t="str">
        <f>IFERROR(__xludf.DUMMYFUNCTION("""COMPUTED_VALUE"""),"Tuvalu")</f>
        <v>Tuvalu</v>
      </c>
      <c r="D16489">
        <f>IFERROR(__xludf.DUMMYFUNCTION("""COMPUTED_VALUE"""),1964.0)</f>
        <v>1964</v>
      </c>
      <c r="E16489">
        <f>IFERROR(__xludf.DUMMYFUNCTION("""COMPUTED_VALUE"""),6684.0)</f>
        <v>6684</v>
      </c>
    </row>
    <row r="16490">
      <c r="A16490" t="str">
        <f t="shared" si="1"/>
        <v>tuv#1965</v>
      </c>
      <c r="B16490" t="str">
        <f>IFERROR(__xludf.DUMMYFUNCTION("""COMPUTED_VALUE"""),"tuv")</f>
        <v>tuv</v>
      </c>
      <c r="C16490" t="str">
        <f>IFERROR(__xludf.DUMMYFUNCTION("""COMPUTED_VALUE"""),"Tuvalu")</f>
        <v>Tuvalu</v>
      </c>
      <c r="D16490">
        <f>IFERROR(__xludf.DUMMYFUNCTION("""COMPUTED_VALUE"""),1965.0)</f>
        <v>1965</v>
      </c>
      <c r="E16490">
        <f>IFERROR(__xludf.DUMMYFUNCTION("""COMPUTED_VALUE"""),6815.0)</f>
        <v>6815</v>
      </c>
    </row>
    <row r="16491">
      <c r="A16491" t="str">
        <f t="shared" si="1"/>
        <v>tuv#1966</v>
      </c>
      <c r="B16491" t="str">
        <f>IFERROR(__xludf.DUMMYFUNCTION("""COMPUTED_VALUE"""),"tuv")</f>
        <v>tuv</v>
      </c>
      <c r="C16491" t="str">
        <f>IFERROR(__xludf.DUMMYFUNCTION("""COMPUTED_VALUE"""),"Tuvalu")</f>
        <v>Tuvalu</v>
      </c>
      <c r="D16491">
        <f>IFERROR(__xludf.DUMMYFUNCTION("""COMPUTED_VALUE"""),1966.0)</f>
        <v>1966</v>
      </c>
      <c r="E16491">
        <f>IFERROR(__xludf.DUMMYFUNCTION("""COMPUTED_VALUE"""),6938.0)</f>
        <v>6938</v>
      </c>
    </row>
    <row r="16492">
      <c r="A16492" t="str">
        <f t="shared" si="1"/>
        <v>tuv#1967</v>
      </c>
      <c r="B16492" t="str">
        <f>IFERROR(__xludf.DUMMYFUNCTION("""COMPUTED_VALUE"""),"tuv")</f>
        <v>tuv</v>
      </c>
      <c r="C16492" t="str">
        <f>IFERROR(__xludf.DUMMYFUNCTION("""COMPUTED_VALUE"""),"Tuvalu")</f>
        <v>Tuvalu</v>
      </c>
      <c r="D16492">
        <f>IFERROR(__xludf.DUMMYFUNCTION("""COMPUTED_VALUE"""),1967.0)</f>
        <v>1967</v>
      </c>
      <c r="E16492">
        <f>IFERROR(__xludf.DUMMYFUNCTION("""COMPUTED_VALUE"""),7040.0)</f>
        <v>7040</v>
      </c>
    </row>
    <row r="16493">
      <c r="A16493" t="str">
        <f t="shared" si="1"/>
        <v>tuv#1968</v>
      </c>
      <c r="B16493" t="str">
        <f>IFERROR(__xludf.DUMMYFUNCTION("""COMPUTED_VALUE"""),"tuv")</f>
        <v>tuv</v>
      </c>
      <c r="C16493" t="str">
        <f>IFERROR(__xludf.DUMMYFUNCTION("""COMPUTED_VALUE"""),"Tuvalu")</f>
        <v>Tuvalu</v>
      </c>
      <c r="D16493">
        <f>IFERROR(__xludf.DUMMYFUNCTION("""COMPUTED_VALUE"""),1968.0)</f>
        <v>1968</v>
      </c>
      <c r="E16493">
        <f>IFERROR(__xludf.DUMMYFUNCTION("""COMPUTED_VALUE"""),7133.0)</f>
        <v>7133</v>
      </c>
    </row>
    <row r="16494">
      <c r="A16494" t="str">
        <f t="shared" si="1"/>
        <v>tuv#1969</v>
      </c>
      <c r="B16494" t="str">
        <f>IFERROR(__xludf.DUMMYFUNCTION("""COMPUTED_VALUE"""),"tuv")</f>
        <v>tuv</v>
      </c>
      <c r="C16494" t="str">
        <f>IFERROR(__xludf.DUMMYFUNCTION("""COMPUTED_VALUE"""),"Tuvalu")</f>
        <v>Tuvalu</v>
      </c>
      <c r="D16494">
        <f>IFERROR(__xludf.DUMMYFUNCTION("""COMPUTED_VALUE"""),1969.0)</f>
        <v>1969</v>
      </c>
      <c r="E16494">
        <f>IFERROR(__xludf.DUMMYFUNCTION("""COMPUTED_VALUE"""),7214.0)</f>
        <v>7214</v>
      </c>
    </row>
    <row r="16495">
      <c r="A16495" t="str">
        <f t="shared" si="1"/>
        <v>tuv#1970</v>
      </c>
      <c r="B16495" t="str">
        <f>IFERROR(__xludf.DUMMYFUNCTION("""COMPUTED_VALUE"""),"tuv")</f>
        <v>tuv</v>
      </c>
      <c r="C16495" t="str">
        <f>IFERROR(__xludf.DUMMYFUNCTION("""COMPUTED_VALUE"""),"Tuvalu")</f>
        <v>Tuvalu</v>
      </c>
      <c r="D16495">
        <f>IFERROR(__xludf.DUMMYFUNCTION("""COMPUTED_VALUE"""),1970.0)</f>
        <v>1970</v>
      </c>
      <c r="E16495">
        <f>IFERROR(__xludf.DUMMYFUNCTION("""COMPUTED_VALUE"""),7303.0)</f>
        <v>7303</v>
      </c>
    </row>
    <row r="16496">
      <c r="A16496" t="str">
        <f t="shared" si="1"/>
        <v>tuv#1971</v>
      </c>
      <c r="B16496" t="str">
        <f>IFERROR(__xludf.DUMMYFUNCTION("""COMPUTED_VALUE"""),"tuv")</f>
        <v>tuv</v>
      </c>
      <c r="C16496" t="str">
        <f>IFERROR(__xludf.DUMMYFUNCTION("""COMPUTED_VALUE"""),"Tuvalu")</f>
        <v>Tuvalu</v>
      </c>
      <c r="D16496">
        <f>IFERROR(__xludf.DUMMYFUNCTION("""COMPUTED_VALUE"""),1971.0)</f>
        <v>1971</v>
      </c>
      <c r="E16496">
        <f>IFERROR(__xludf.DUMMYFUNCTION("""COMPUTED_VALUE"""),7381.0)</f>
        <v>7381</v>
      </c>
    </row>
    <row r="16497">
      <c r="A16497" t="str">
        <f t="shared" si="1"/>
        <v>tuv#1972</v>
      </c>
      <c r="B16497" t="str">
        <f>IFERROR(__xludf.DUMMYFUNCTION("""COMPUTED_VALUE"""),"tuv")</f>
        <v>tuv</v>
      </c>
      <c r="C16497" t="str">
        <f>IFERROR(__xludf.DUMMYFUNCTION("""COMPUTED_VALUE"""),"Tuvalu")</f>
        <v>Tuvalu</v>
      </c>
      <c r="D16497">
        <f>IFERROR(__xludf.DUMMYFUNCTION("""COMPUTED_VALUE"""),1972.0)</f>
        <v>1972</v>
      </c>
      <c r="E16497">
        <f>IFERROR(__xludf.DUMMYFUNCTION("""COMPUTED_VALUE"""),7458.0)</f>
        <v>7458</v>
      </c>
    </row>
    <row r="16498">
      <c r="A16498" t="str">
        <f t="shared" si="1"/>
        <v>tuv#1973</v>
      </c>
      <c r="B16498" t="str">
        <f>IFERROR(__xludf.DUMMYFUNCTION("""COMPUTED_VALUE"""),"tuv")</f>
        <v>tuv</v>
      </c>
      <c r="C16498" t="str">
        <f>IFERROR(__xludf.DUMMYFUNCTION("""COMPUTED_VALUE"""),"Tuvalu")</f>
        <v>Tuvalu</v>
      </c>
      <c r="D16498">
        <f>IFERROR(__xludf.DUMMYFUNCTION("""COMPUTED_VALUE"""),1973.0)</f>
        <v>1973</v>
      </c>
      <c r="E16498">
        <f>IFERROR(__xludf.DUMMYFUNCTION("""COMPUTED_VALUE"""),7537.0)</f>
        <v>7537</v>
      </c>
    </row>
    <row r="16499">
      <c r="A16499" t="str">
        <f t="shared" si="1"/>
        <v>tuv#1974</v>
      </c>
      <c r="B16499" t="str">
        <f>IFERROR(__xludf.DUMMYFUNCTION("""COMPUTED_VALUE"""),"tuv")</f>
        <v>tuv</v>
      </c>
      <c r="C16499" t="str">
        <f>IFERROR(__xludf.DUMMYFUNCTION("""COMPUTED_VALUE"""),"Tuvalu")</f>
        <v>Tuvalu</v>
      </c>
      <c r="D16499">
        <f>IFERROR(__xludf.DUMMYFUNCTION("""COMPUTED_VALUE"""),1974.0)</f>
        <v>1974</v>
      </c>
      <c r="E16499">
        <f>IFERROR(__xludf.DUMMYFUNCTION("""COMPUTED_VALUE"""),7616.0)</f>
        <v>7616</v>
      </c>
    </row>
    <row r="16500">
      <c r="A16500" t="str">
        <f t="shared" si="1"/>
        <v>tuv#1975</v>
      </c>
      <c r="B16500" t="str">
        <f>IFERROR(__xludf.DUMMYFUNCTION("""COMPUTED_VALUE"""),"tuv")</f>
        <v>tuv</v>
      </c>
      <c r="C16500" t="str">
        <f>IFERROR(__xludf.DUMMYFUNCTION("""COMPUTED_VALUE"""),"Tuvalu")</f>
        <v>Tuvalu</v>
      </c>
      <c r="D16500">
        <f>IFERROR(__xludf.DUMMYFUNCTION("""COMPUTED_VALUE"""),1975.0)</f>
        <v>1975</v>
      </c>
      <c r="E16500">
        <f>IFERROR(__xludf.DUMMYFUNCTION("""COMPUTED_VALUE"""),7677.0)</f>
        <v>7677</v>
      </c>
    </row>
    <row r="16501">
      <c r="A16501" t="str">
        <f t="shared" si="1"/>
        <v>tuv#1976</v>
      </c>
      <c r="B16501" t="str">
        <f>IFERROR(__xludf.DUMMYFUNCTION("""COMPUTED_VALUE"""),"tuv")</f>
        <v>tuv</v>
      </c>
      <c r="C16501" t="str">
        <f>IFERROR(__xludf.DUMMYFUNCTION("""COMPUTED_VALUE"""),"Tuvalu")</f>
        <v>Tuvalu</v>
      </c>
      <c r="D16501">
        <f>IFERROR(__xludf.DUMMYFUNCTION("""COMPUTED_VALUE"""),1976.0)</f>
        <v>1976</v>
      </c>
      <c r="E16501">
        <f>IFERROR(__xludf.DUMMYFUNCTION("""COMPUTED_VALUE"""),7749.0)</f>
        <v>7749</v>
      </c>
    </row>
    <row r="16502">
      <c r="A16502" t="str">
        <f t="shared" si="1"/>
        <v>tuv#1977</v>
      </c>
      <c r="B16502" t="str">
        <f>IFERROR(__xludf.DUMMYFUNCTION("""COMPUTED_VALUE"""),"tuv")</f>
        <v>tuv</v>
      </c>
      <c r="C16502" t="str">
        <f>IFERROR(__xludf.DUMMYFUNCTION("""COMPUTED_VALUE"""),"Tuvalu")</f>
        <v>Tuvalu</v>
      </c>
      <c r="D16502">
        <f>IFERROR(__xludf.DUMMYFUNCTION("""COMPUTED_VALUE"""),1977.0)</f>
        <v>1977</v>
      </c>
      <c r="E16502">
        <f>IFERROR(__xludf.DUMMYFUNCTION("""COMPUTED_VALUE"""),7816.0)</f>
        <v>7816</v>
      </c>
    </row>
    <row r="16503">
      <c r="A16503" t="str">
        <f t="shared" si="1"/>
        <v>tuv#1978</v>
      </c>
      <c r="B16503" t="str">
        <f>IFERROR(__xludf.DUMMYFUNCTION("""COMPUTED_VALUE"""),"tuv")</f>
        <v>tuv</v>
      </c>
      <c r="C16503" t="str">
        <f>IFERROR(__xludf.DUMMYFUNCTION("""COMPUTED_VALUE"""),"Tuvalu")</f>
        <v>Tuvalu</v>
      </c>
      <c r="D16503">
        <f>IFERROR(__xludf.DUMMYFUNCTION("""COMPUTED_VALUE"""),1978.0)</f>
        <v>1978</v>
      </c>
      <c r="E16503">
        <f>IFERROR(__xludf.DUMMYFUNCTION("""COMPUTED_VALUE"""),7888.0)</f>
        <v>7888</v>
      </c>
    </row>
    <row r="16504">
      <c r="A16504" t="str">
        <f t="shared" si="1"/>
        <v>tuv#1979</v>
      </c>
      <c r="B16504" t="str">
        <f>IFERROR(__xludf.DUMMYFUNCTION("""COMPUTED_VALUE"""),"tuv")</f>
        <v>tuv</v>
      </c>
      <c r="C16504" t="str">
        <f>IFERROR(__xludf.DUMMYFUNCTION("""COMPUTED_VALUE"""),"Tuvalu")</f>
        <v>Tuvalu</v>
      </c>
      <c r="D16504">
        <f>IFERROR(__xludf.DUMMYFUNCTION("""COMPUTED_VALUE"""),1979.0)</f>
        <v>1979</v>
      </c>
      <c r="E16504">
        <f>IFERROR(__xludf.DUMMYFUNCTION("""COMPUTED_VALUE"""),7962.0)</f>
        <v>7962</v>
      </c>
    </row>
    <row r="16505">
      <c r="A16505" t="str">
        <f t="shared" si="1"/>
        <v>tuv#1980</v>
      </c>
      <c r="B16505" t="str">
        <f>IFERROR(__xludf.DUMMYFUNCTION("""COMPUTED_VALUE"""),"tuv")</f>
        <v>tuv</v>
      </c>
      <c r="C16505" t="str">
        <f>IFERROR(__xludf.DUMMYFUNCTION("""COMPUTED_VALUE"""),"Tuvalu")</f>
        <v>Tuvalu</v>
      </c>
      <c r="D16505">
        <f>IFERROR(__xludf.DUMMYFUNCTION("""COMPUTED_VALUE"""),1980.0)</f>
        <v>1980</v>
      </c>
      <c r="E16505">
        <f>IFERROR(__xludf.DUMMYFUNCTION("""COMPUTED_VALUE"""),8052.0)</f>
        <v>8052</v>
      </c>
    </row>
    <row r="16506">
      <c r="A16506" t="str">
        <f t="shared" si="1"/>
        <v>tuv#1981</v>
      </c>
      <c r="B16506" t="str">
        <f>IFERROR(__xludf.DUMMYFUNCTION("""COMPUTED_VALUE"""),"tuv")</f>
        <v>tuv</v>
      </c>
      <c r="C16506" t="str">
        <f>IFERROR(__xludf.DUMMYFUNCTION("""COMPUTED_VALUE"""),"Tuvalu")</f>
        <v>Tuvalu</v>
      </c>
      <c r="D16506">
        <f>IFERROR(__xludf.DUMMYFUNCTION("""COMPUTED_VALUE"""),1981.0)</f>
        <v>1981</v>
      </c>
      <c r="E16506">
        <f>IFERROR(__xludf.DUMMYFUNCTION("""COMPUTED_VALUE"""),8154.0)</f>
        <v>8154</v>
      </c>
    </row>
    <row r="16507">
      <c r="A16507" t="str">
        <f t="shared" si="1"/>
        <v>tuv#1982</v>
      </c>
      <c r="B16507" t="str">
        <f>IFERROR(__xludf.DUMMYFUNCTION("""COMPUTED_VALUE"""),"tuv")</f>
        <v>tuv</v>
      </c>
      <c r="C16507" t="str">
        <f>IFERROR(__xludf.DUMMYFUNCTION("""COMPUTED_VALUE"""),"Tuvalu")</f>
        <v>Tuvalu</v>
      </c>
      <c r="D16507">
        <f>IFERROR(__xludf.DUMMYFUNCTION("""COMPUTED_VALUE"""),1982.0)</f>
        <v>1982</v>
      </c>
      <c r="E16507">
        <f>IFERROR(__xludf.DUMMYFUNCTION("""COMPUTED_VALUE"""),8284.0)</f>
        <v>8284</v>
      </c>
    </row>
    <row r="16508">
      <c r="A16508" t="str">
        <f t="shared" si="1"/>
        <v>tuv#1983</v>
      </c>
      <c r="B16508" t="str">
        <f>IFERROR(__xludf.DUMMYFUNCTION("""COMPUTED_VALUE"""),"tuv")</f>
        <v>tuv</v>
      </c>
      <c r="C16508" t="str">
        <f>IFERROR(__xludf.DUMMYFUNCTION("""COMPUTED_VALUE"""),"Tuvalu")</f>
        <v>Tuvalu</v>
      </c>
      <c r="D16508">
        <f>IFERROR(__xludf.DUMMYFUNCTION("""COMPUTED_VALUE"""),1983.0)</f>
        <v>1983</v>
      </c>
      <c r="E16508">
        <f>IFERROR(__xludf.DUMMYFUNCTION("""COMPUTED_VALUE"""),8413.0)</f>
        <v>8413</v>
      </c>
    </row>
    <row r="16509">
      <c r="A16509" t="str">
        <f t="shared" si="1"/>
        <v>tuv#1984</v>
      </c>
      <c r="B16509" t="str">
        <f>IFERROR(__xludf.DUMMYFUNCTION("""COMPUTED_VALUE"""),"tuv")</f>
        <v>tuv</v>
      </c>
      <c r="C16509" t="str">
        <f>IFERROR(__xludf.DUMMYFUNCTION("""COMPUTED_VALUE"""),"Tuvalu")</f>
        <v>Tuvalu</v>
      </c>
      <c r="D16509">
        <f>IFERROR(__xludf.DUMMYFUNCTION("""COMPUTED_VALUE"""),1984.0)</f>
        <v>1984</v>
      </c>
      <c r="E16509">
        <f>IFERROR(__xludf.DUMMYFUNCTION("""COMPUTED_VALUE"""),8530.0)</f>
        <v>8530</v>
      </c>
    </row>
    <row r="16510">
      <c r="A16510" t="str">
        <f t="shared" si="1"/>
        <v>tuv#1985</v>
      </c>
      <c r="B16510" t="str">
        <f>IFERROR(__xludf.DUMMYFUNCTION("""COMPUTED_VALUE"""),"tuv")</f>
        <v>tuv</v>
      </c>
      <c r="C16510" t="str">
        <f>IFERROR(__xludf.DUMMYFUNCTION("""COMPUTED_VALUE"""),"Tuvalu")</f>
        <v>Tuvalu</v>
      </c>
      <c r="D16510">
        <f>IFERROR(__xludf.DUMMYFUNCTION("""COMPUTED_VALUE"""),1985.0)</f>
        <v>1985</v>
      </c>
      <c r="E16510">
        <f>IFERROR(__xludf.DUMMYFUNCTION("""COMPUTED_VALUE"""),8650.0)</f>
        <v>8650</v>
      </c>
    </row>
    <row r="16511">
      <c r="A16511" t="str">
        <f t="shared" si="1"/>
        <v>tuv#1986</v>
      </c>
      <c r="B16511" t="str">
        <f>IFERROR(__xludf.DUMMYFUNCTION("""COMPUTED_VALUE"""),"tuv")</f>
        <v>tuv</v>
      </c>
      <c r="C16511" t="str">
        <f>IFERROR(__xludf.DUMMYFUNCTION("""COMPUTED_VALUE"""),"Tuvalu")</f>
        <v>Tuvalu</v>
      </c>
      <c r="D16511">
        <f>IFERROR(__xludf.DUMMYFUNCTION("""COMPUTED_VALUE"""),1986.0)</f>
        <v>1986</v>
      </c>
      <c r="E16511">
        <f>IFERROR(__xludf.DUMMYFUNCTION("""COMPUTED_VALUE"""),8747.0)</f>
        <v>8747</v>
      </c>
    </row>
    <row r="16512">
      <c r="A16512" t="str">
        <f t="shared" si="1"/>
        <v>tuv#1987</v>
      </c>
      <c r="B16512" t="str">
        <f>IFERROR(__xludf.DUMMYFUNCTION("""COMPUTED_VALUE"""),"tuv")</f>
        <v>tuv</v>
      </c>
      <c r="C16512" t="str">
        <f>IFERROR(__xludf.DUMMYFUNCTION("""COMPUTED_VALUE"""),"Tuvalu")</f>
        <v>Tuvalu</v>
      </c>
      <c r="D16512">
        <f>IFERROR(__xludf.DUMMYFUNCTION("""COMPUTED_VALUE"""),1987.0)</f>
        <v>1987</v>
      </c>
      <c r="E16512">
        <f>IFERROR(__xludf.DUMMYFUNCTION("""COMPUTED_VALUE"""),8820.0)</f>
        <v>8820</v>
      </c>
    </row>
    <row r="16513">
      <c r="A16513" t="str">
        <f t="shared" si="1"/>
        <v>tuv#1988</v>
      </c>
      <c r="B16513" t="str">
        <f>IFERROR(__xludf.DUMMYFUNCTION("""COMPUTED_VALUE"""),"tuv")</f>
        <v>tuv</v>
      </c>
      <c r="C16513" t="str">
        <f>IFERROR(__xludf.DUMMYFUNCTION("""COMPUTED_VALUE"""),"Tuvalu")</f>
        <v>Tuvalu</v>
      </c>
      <c r="D16513">
        <f>IFERROR(__xludf.DUMMYFUNCTION("""COMPUTED_VALUE"""),1988.0)</f>
        <v>1988</v>
      </c>
      <c r="E16513">
        <f>IFERROR(__xludf.DUMMYFUNCTION("""COMPUTED_VALUE"""),8883.0)</f>
        <v>8883</v>
      </c>
    </row>
    <row r="16514">
      <c r="A16514" t="str">
        <f t="shared" si="1"/>
        <v>tuv#1989</v>
      </c>
      <c r="B16514" t="str">
        <f>IFERROR(__xludf.DUMMYFUNCTION("""COMPUTED_VALUE"""),"tuv")</f>
        <v>tuv</v>
      </c>
      <c r="C16514" t="str">
        <f>IFERROR(__xludf.DUMMYFUNCTION("""COMPUTED_VALUE"""),"Tuvalu")</f>
        <v>Tuvalu</v>
      </c>
      <c r="D16514">
        <f>IFERROR(__xludf.DUMMYFUNCTION("""COMPUTED_VALUE"""),1989.0)</f>
        <v>1989</v>
      </c>
      <c r="E16514">
        <f>IFERROR(__xludf.DUMMYFUNCTION("""COMPUTED_VALUE"""),8947.0)</f>
        <v>8947</v>
      </c>
    </row>
    <row r="16515">
      <c r="A16515" t="str">
        <f t="shared" si="1"/>
        <v>tuv#1990</v>
      </c>
      <c r="B16515" t="str">
        <f>IFERROR(__xludf.DUMMYFUNCTION("""COMPUTED_VALUE"""),"tuv")</f>
        <v>tuv</v>
      </c>
      <c r="C16515" t="str">
        <f>IFERROR(__xludf.DUMMYFUNCTION("""COMPUTED_VALUE"""),"Tuvalu")</f>
        <v>Tuvalu</v>
      </c>
      <c r="D16515">
        <f>IFERROR(__xludf.DUMMYFUNCTION("""COMPUTED_VALUE"""),1990.0)</f>
        <v>1990</v>
      </c>
      <c r="E16515">
        <f>IFERROR(__xludf.DUMMYFUNCTION("""COMPUTED_VALUE"""),9003.0)</f>
        <v>9003</v>
      </c>
    </row>
    <row r="16516">
      <c r="A16516" t="str">
        <f t="shared" si="1"/>
        <v>tuv#1991</v>
      </c>
      <c r="B16516" t="str">
        <f>IFERROR(__xludf.DUMMYFUNCTION("""COMPUTED_VALUE"""),"tuv")</f>
        <v>tuv</v>
      </c>
      <c r="C16516" t="str">
        <f>IFERROR(__xludf.DUMMYFUNCTION("""COMPUTED_VALUE"""),"Tuvalu")</f>
        <v>Tuvalu</v>
      </c>
      <c r="D16516">
        <f>IFERROR(__xludf.DUMMYFUNCTION("""COMPUTED_VALUE"""),1991.0)</f>
        <v>1991</v>
      </c>
      <c r="E16516">
        <f>IFERROR(__xludf.DUMMYFUNCTION("""COMPUTED_VALUE"""),9053.0)</f>
        <v>9053</v>
      </c>
    </row>
    <row r="16517">
      <c r="A16517" t="str">
        <f t="shared" si="1"/>
        <v>tuv#1992</v>
      </c>
      <c r="B16517" t="str">
        <f>IFERROR(__xludf.DUMMYFUNCTION("""COMPUTED_VALUE"""),"tuv")</f>
        <v>tuv</v>
      </c>
      <c r="C16517" t="str">
        <f>IFERROR(__xludf.DUMMYFUNCTION("""COMPUTED_VALUE"""),"Tuvalu")</f>
        <v>Tuvalu</v>
      </c>
      <c r="D16517">
        <f>IFERROR(__xludf.DUMMYFUNCTION("""COMPUTED_VALUE"""),1992.0)</f>
        <v>1992</v>
      </c>
      <c r="E16517">
        <f>IFERROR(__xludf.DUMMYFUNCTION("""COMPUTED_VALUE"""),9109.0)</f>
        <v>9109</v>
      </c>
    </row>
    <row r="16518">
      <c r="A16518" t="str">
        <f t="shared" si="1"/>
        <v>tuv#1993</v>
      </c>
      <c r="B16518" t="str">
        <f>IFERROR(__xludf.DUMMYFUNCTION("""COMPUTED_VALUE"""),"tuv")</f>
        <v>tuv</v>
      </c>
      <c r="C16518" t="str">
        <f>IFERROR(__xludf.DUMMYFUNCTION("""COMPUTED_VALUE"""),"Tuvalu")</f>
        <v>Tuvalu</v>
      </c>
      <c r="D16518">
        <f>IFERROR(__xludf.DUMMYFUNCTION("""COMPUTED_VALUE"""),1993.0)</f>
        <v>1993</v>
      </c>
      <c r="E16518">
        <f>IFERROR(__xludf.DUMMYFUNCTION("""COMPUTED_VALUE"""),9156.0)</f>
        <v>9156</v>
      </c>
    </row>
    <row r="16519">
      <c r="A16519" t="str">
        <f t="shared" si="1"/>
        <v>tuv#1994</v>
      </c>
      <c r="B16519" t="str">
        <f>IFERROR(__xludf.DUMMYFUNCTION("""COMPUTED_VALUE"""),"tuv")</f>
        <v>tuv</v>
      </c>
      <c r="C16519" t="str">
        <f>IFERROR(__xludf.DUMMYFUNCTION("""COMPUTED_VALUE"""),"Tuvalu")</f>
        <v>Tuvalu</v>
      </c>
      <c r="D16519">
        <f>IFERROR(__xludf.DUMMYFUNCTION("""COMPUTED_VALUE"""),1994.0)</f>
        <v>1994</v>
      </c>
      <c r="E16519">
        <f>IFERROR(__xludf.DUMMYFUNCTION("""COMPUTED_VALUE"""),9190.0)</f>
        <v>9190</v>
      </c>
    </row>
    <row r="16520">
      <c r="A16520" t="str">
        <f t="shared" si="1"/>
        <v>tuv#1995</v>
      </c>
      <c r="B16520" t="str">
        <f>IFERROR(__xludf.DUMMYFUNCTION("""COMPUTED_VALUE"""),"tuv")</f>
        <v>tuv</v>
      </c>
      <c r="C16520" t="str">
        <f>IFERROR(__xludf.DUMMYFUNCTION("""COMPUTED_VALUE"""),"Tuvalu")</f>
        <v>Tuvalu</v>
      </c>
      <c r="D16520">
        <f>IFERROR(__xludf.DUMMYFUNCTION("""COMPUTED_VALUE"""),1995.0)</f>
        <v>1995</v>
      </c>
      <c r="E16520">
        <f>IFERROR(__xludf.DUMMYFUNCTION("""COMPUTED_VALUE"""),9230.0)</f>
        <v>9230</v>
      </c>
    </row>
    <row r="16521">
      <c r="A16521" t="str">
        <f t="shared" si="1"/>
        <v>tuv#1996</v>
      </c>
      <c r="B16521" t="str">
        <f>IFERROR(__xludf.DUMMYFUNCTION("""COMPUTED_VALUE"""),"tuv")</f>
        <v>tuv</v>
      </c>
      <c r="C16521" t="str">
        <f>IFERROR(__xludf.DUMMYFUNCTION("""COMPUTED_VALUE"""),"Tuvalu")</f>
        <v>Tuvalu</v>
      </c>
      <c r="D16521">
        <f>IFERROR(__xludf.DUMMYFUNCTION("""COMPUTED_VALUE"""),1996.0)</f>
        <v>1996</v>
      </c>
      <c r="E16521">
        <f>IFERROR(__xludf.DUMMYFUNCTION("""COMPUTED_VALUE"""),9256.0)</f>
        <v>9256</v>
      </c>
    </row>
    <row r="16522">
      <c r="A16522" t="str">
        <f t="shared" si="1"/>
        <v>tuv#1997</v>
      </c>
      <c r="B16522" t="str">
        <f>IFERROR(__xludf.DUMMYFUNCTION("""COMPUTED_VALUE"""),"tuv")</f>
        <v>tuv</v>
      </c>
      <c r="C16522" t="str">
        <f>IFERROR(__xludf.DUMMYFUNCTION("""COMPUTED_VALUE"""),"Tuvalu")</f>
        <v>Tuvalu</v>
      </c>
      <c r="D16522">
        <f>IFERROR(__xludf.DUMMYFUNCTION("""COMPUTED_VALUE"""),1997.0)</f>
        <v>1997</v>
      </c>
      <c r="E16522">
        <f>IFERROR(__xludf.DUMMYFUNCTION("""COMPUTED_VALUE"""),9277.0)</f>
        <v>9277</v>
      </c>
    </row>
    <row r="16523">
      <c r="A16523" t="str">
        <f t="shared" si="1"/>
        <v>tuv#1998</v>
      </c>
      <c r="B16523" t="str">
        <f>IFERROR(__xludf.DUMMYFUNCTION("""COMPUTED_VALUE"""),"tuv")</f>
        <v>tuv</v>
      </c>
      <c r="C16523" t="str">
        <f>IFERROR(__xludf.DUMMYFUNCTION("""COMPUTED_VALUE"""),"Tuvalu")</f>
        <v>Tuvalu</v>
      </c>
      <c r="D16523">
        <f>IFERROR(__xludf.DUMMYFUNCTION("""COMPUTED_VALUE"""),1998.0)</f>
        <v>1998</v>
      </c>
      <c r="E16523">
        <f>IFERROR(__xludf.DUMMYFUNCTION("""COMPUTED_VALUE"""),9306.0)</f>
        <v>9306</v>
      </c>
    </row>
    <row r="16524">
      <c r="A16524" t="str">
        <f t="shared" si="1"/>
        <v>tuv#1999</v>
      </c>
      <c r="B16524" t="str">
        <f>IFERROR(__xludf.DUMMYFUNCTION("""COMPUTED_VALUE"""),"tuv")</f>
        <v>tuv</v>
      </c>
      <c r="C16524" t="str">
        <f>IFERROR(__xludf.DUMMYFUNCTION("""COMPUTED_VALUE"""),"Tuvalu")</f>
        <v>Tuvalu</v>
      </c>
      <c r="D16524">
        <f>IFERROR(__xludf.DUMMYFUNCTION("""COMPUTED_VALUE"""),1999.0)</f>
        <v>1999</v>
      </c>
      <c r="E16524">
        <f>IFERROR(__xludf.DUMMYFUNCTION("""COMPUTED_VALUE"""),9345.0)</f>
        <v>9345</v>
      </c>
    </row>
    <row r="16525">
      <c r="A16525" t="str">
        <f t="shared" si="1"/>
        <v>tuv#2000</v>
      </c>
      <c r="B16525" t="str">
        <f>IFERROR(__xludf.DUMMYFUNCTION("""COMPUTED_VALUE"""),"tuv")</f>
        <v>tuv</v>
      </c>
      <c r="C16525" t="str">
        <f>IFERROR(__xludf.DUMMYFUNCTION("""COMPUTED_VALUE"""),"Tuvalu")</f>
        <v>Tuvalu</v>
      </c>
      <c r="D16525">
        <f>IFERROR(__xludf.DUMMYFUNCTION("""COMPUTED_VALUE"""),2000.0)</f>
        <v>2000</v>
      </c>
      <c r="E16525">
        <f>IFERROR(__xludf.DUMMYFUNCTION("""COMPUTED_VALUE"""),9420.0)</f>
        <v>9420</v>
      </c>
    </row>
    <row r="16526">
      <c r="A16526" t="str">
        <f t="shared" si="1"/>
        <v>tuv#2001</v>
      </c>
      <c r="B16526" t="str">
        <f>IFERROR(__xludf.DUMMYFUNCTION("""COMPUTED_VALUE"""),"tuv")</f>
        <v>tuv</v>
      </c>
      <c r="C16526" t="str">
        <f>IFERROR(__xludf.DUMMYFUNCTION("""COMPUTED_VALUE"""),"Tuvalu")</f>
        <v>Tuvalu</v>
      </c>
      <c r="D16526">
        <f>IFERROR(__xludf.DUMMYFUNCTION("""COMPUTED_VALUE"""),2001.0)</f>
        <v>2001</v>
      </c>
      <c r="E16526">
        <f>IFERROR(__xludf.DUMMYFUNCTION("""COMPUTED_VALUE"""),9512.0)</f>
        <v>9512</v>
      </c>
    </row>
    <row r="16527">
      <c r="A16527" t="str">
        <f t="shared" si="1"/>
        <v>tuv#2002</v>
      </c>
      <c r="B16527" t="str">
        <f>IFERROR(__xludf.DUMMYFUNCTION("""COMPUTED_VALUE"""),"tuv")</f>
        <v>tuv</v>
      </c>
      <c r="C16527" t="str">
        <f>IFERROR(__xludf.DUMMYFUNCTION("""COMPUTED_VALUE"""),"Tuvalu")</f>
        <v>Tuvalu</v>
      </c>
      <c r="D16527">
        <f>IFERROR(__xludf.DUMMYFUNCTION("""COMPUTED_VALUE"""),2002.0)</f>
        <v>2002</v>
      </c>
      <c r="E16527">
        <f>IFERROR(__xludf.DUMMYFUNCTION("""COMPUTED_VALUE"""),9635.0)</f>
        <v>9635</v>
      </c>
    </row>
    <row r="16528">
      <c r="A16528" t="str">
        <f t="shared" si="1"/>
        <v>tuv#2003</v>
      </c>
      <c r="B16528" t="str">
        <f>IFERROR(__xludf.DUMMYFUNCTION("""COMPUTED_VALUE"""),"tuv")</f>
        <v>tuv</v>
      </c>
      <c r="C16528" t="str">
        <f>IFERROR(__xludf.DUMMYFUNCTION("""COMPUTED_VALUE"""),"Tuvalu")</f>
        <v>Tuvalu</v>
      </c>
      <c r="D16528">
        <f>IFERROR(__xludf.DUMMYFUNCTION("""COMPUTED_VALUE"""),2003.0)</f>
        <v>2003</v>
      </c>
      <c r="E16528">
        <f>IFERROR(__xludf.DUMMYFUNCTION("""COMPUTED_VALUE"""),9767.0)</f>
        <v>9767</v>
      </c>
    </row>
    <row r="16529">
      <c r="A16529" t="str">
        <f t="shared" si="1"/>
        <v>tuv#2004</v>
      </c>
      <c r="B16529" t="str">
        <f>IFERROR(__xludf.DUMMYFUNCTION("""COMPUTED_VALUE"""),"tuv")</f>
        <v>tuv</v>
      </c>
      <c r="C16529" t="str">
        <f>IFERROR(__xludf.DUMMYFUNCTION("""COMPUTED_VALUE"""),"Tuvalu")</f>
        <v>Tuvalu</v>
      </c>
      <c r="D16529">
        <f>IFERROR(__xludf.DUMMYFUNCTION("""COMPUTED_VALUE"""),2004.0)</f>
        <v>2004</v>
      </c>
      <c r="E16529">
        <f>IFERROR(__xludf.DUMMYFUNCTION("""COMPUTED_VALUE"""),9894.0)</f>
        <v>9894</v>
      </c>
    </row>
    <row r="16530">
      <c r="A16530" t="str">
        <f t="shared" si="1"/>
        <v>tuv#2005</v>
      </c>
      <c r="B16530" t="str">
        <f>IFERROR(__xludf.DUMMYFUNCTION("""COMPUTED_VALUE"""),"tuv")</f>
        <v>tuv</v>
      </c>
      <c r="C16530" t="str">
        <f>IFERROR(__xludf.DUMMYFUNCTION("""COMPUTED_VALUE"""),"Tuvalu")</f>
        <v>Tuvalu</v>
      </c>
      <c r="D16530">
        <f>IFERROR(__xludf.DUMMYFUNCTION("""COMPUTED_VALUE"""),2005.0)</f>
        <v>2005</v>
      </c>
      <c r="E16530">
        <f>IFERROR(__xludf.DUMMYFUNCTION("""COMPUTED_VALUE"""),10027.0)</f>
        <v>10027</v>
      </c>
    </row>
    <row r="16531">
      <c r="A16531" t="str">
        <f t="shared" si="1"/>
        <v>tuv#2006</v>
      </c>
      <c r="B16531" t="str">
        <f>IFERROR(__xludf.DUMMYFUNCTION("""COMPUTED_VALUE"""),"tuv")</f>
        <v>tuv</v>
      </c>
      <c r="C16531" t="str">
        <f>IFERROR(__xludf.DUMMYFUNCTION("""COMPUTED_VALUE"""),"Tuvalu")</f>
        <v>Tuvalu</v>
      </c>
      <c r="D16531">
        <f>IFERROR(__xludf.DUMMYFUNCTION("""COMPUTED_VALUE"""),2006.0)</f>
        <v>2006</v>
      </c>
      <c r="E16531">
        <f>IFERROR(__xludf.DUMMYFUNCTION("""COMPUTED_VALUE"""),10137.0)</f>
        <v>10137</v>
      </c>
    </row>
    <row r="16532">
      <c r="A16532" t="str">
        <f t="shared" si="1"/>
        <v>tuv#2007</v>
      </c>
      <c r="B16532" t="str">
        <f>IFERROR(__xludf.DUMMYFUNCTION("""COMPUTED_VALUE"""),"tuv")</f>
        <v>tuv</v>
      </c>
      <c r="C16532" t="str">
        <f>IFERROR(__xludf.DUMMYFUNCTION("""COMPUTED_VALUE"""),"Tuvalu")</f>
        <v>Tuvalu</v>
      </c>
      <c r="D16532">
        <f>IFERROR(__xludf.DUMMYFUNCTION("""COMPUTED_VALUE"""),2007.0)</f>
        <v>2007</v>
      </c>
      <c r="E16532">
        <f>IFERROR(__xludf.DUMMYFUNCTION("""COMPUTED_VALUE"""),10243.0)</f>
        <v>10243</v>
      </c>
    </row>
    <row r="16533">
      <c r="A16533" t="str">
        <f t="shared" si="1"/>
        <v>tuv#2008</v>
      </c>
      <c r="B16533" t="str">
        <f>IFERROR(__xludf.DUMMYFUNCTION("""COMPUTED_VALUE"""),"tuv")</f>
        <v>tuv</v>
      </c>
      <c r="C16533" t="str">
        <f>IFERROR(__xludf.DUMMYFUNCTION("""COMPUTED_VALUE"""),"Tuvalu")</f>
        <v>Tuvalu</v>
      </c>
      <c r="D16533">
        <f>IFERROR(__xludf.DUMMYFUNCTION("""COMPUTED_VALUE"""),2008.0)</f>
        <v>2008</v>
      </c>
      <c r="E16533">
        <f>IFERROR(__xludf.DUMMYFUNCTION("""COMPUTED_VALUE"""),10340.0)</f>
        <v>10340</v>
      </c>
    </row>
    <row r="16534">
      <c r="A16534" t="str">
        <f t="shared" si="1"/>
        <v>tuv#2009</v>
      </c>
      <c r="B16534" t="str">
        <f>IFERROR(__xludf.DUMMYFUNCTION("""COMPUTED_VALUE"""),"tuv")</f>
        <v>tuv</v>
      </c>
      <c r="C16534" t="str">
        <f>IFERROR(__xludf.DUMMYFUNCTION("""COMPUTED_VALUE"""),"Tuvalu")</f>
        <v>Tuvalu</v>
      </c>
      <c r="D16534">
        <f>IFERROR(__xludf.DUMMYFUNCTION("""COMPUTED_VALUE"""),2009.0)</f>
        <v>2009</v>
      </c>
      <c r="E16534">
        <f>IFERROR(__xludf.DUMMYFUNCTION("""COMPUTED_VALUE"""),10441.0)</f>
        <v>10441</v>
      </c>
    </row>
    <row r="16535">
      <c r="A16535" t="str">
        <f t="shared" si="1"/>
        <v>tuv#2010</v>
      </c>
      <c r="B16535" t="str">
        <f>IFERROR(__xludf.DUMMYFUNCTION("""COMPUTED_VALUE"""),"tuv")</f>
        <v>tuv</v>
      </c>
      <c r="C16535" t="str">
        <f>IFERROR(__xludf.DUMMYFUNCTION("""COMPUTED_VALUE"""),"Tuvalu")</f>
        <v>Tuvalu</v>
      </c>
      <c r="D16535">
        <f>IFERROR(__xludf.DUMMYFUNCTION("""COMPUTED_VALUE"""),2010.0)</f>
        <v>2010</v>
      </c>
      <c r="E16535">
        <f>IFERROR(__xludf.DUMMYFUNCTION("""COMPUTED_VALUE"""),10531.0)</f>
        <v>10531</v>
      </c>
    </row>
    <row r="16536">
      <c r="A16536" t="str">
        <f t="shared" si="1"/>
        <v>tuv#2011</v>
      </c>
      <c r="B16536" t="str">
        <f>IFERROR(__xludf.DUMMYFUNCTION("""COMPUTED_VALUE"""),"tuv")</f>
        <v>tuv</v>
      </c>
      <c r="C16536" t="str">
        <f>IFERROR(__xludf.DUMMYFUNCTION("""COMPUTED_VALUE"""),"Tuvalu")</f>
        <v>Tuvalu</v>
      </c>
      <c r="D16536">
        <f>IFERROR(__xludf.DUMMYFUNCTION("""COMPUTED_VALUE"""),2011.0)</f>
        <v>2011</v>
      </c>
      <c r="E16536">
        <f>IFERROR(__xludf.DUMMYFUNCTION("""COMPUTED_VALUE"""),10628.0)</f>
        <v>10628</v>
      </c>
    </row>
    <row r="16537">
      <c r="A16537" t="str">
        <f t="shared" si="1"/>
        <v>tuv#2012</v>
      </c>
      <c r="B16537" t="str">
        <f>IFERROR(__xludf.DUMMYFUNCTION("""COMPUTED_VALUE"""),"tuv")</f>
        <v>tuv</v>
      </c>
      <c r="C16537" t="str">
        <f>IFERROR(__xludf.DUMMYFUNCTION("""COMPUTED_VALUE"""),"Tuvalu")</f>
        <v>Tuvalu</v>
      </c>
      <c r="D16537">
        <f>IFERROR(__xludf.DUMMYFUNCTION("""COMPUTED_VALUE"""),2012.0)</f>
        <v>2012</v>
      </c>
      <c r="E16537">
        <f>IFERROR(__xludf.DUMMYFUNCTION("""COMPUTED_VALUE"""),10725.0)</f>
        <v>10725</v>
      </c>
    </row>
    <row r="16538">
      <c r="A16538" t="str">
        <f t="shared" si="1"/>
        <v>tuv#2013</v>
      </c>
      <c r="B16538" t="str">
        <f>IFERROR(__xludf.DUMMYFUNCTION("""COMPUTED_VALUE"""),"tuv")</f>
        <v>tuv</v>
      </c>
      <c r="C16538" t="str">
        <f>IFERROR(__xludf.DUMMYFUNCTION("""COMPUTED_VALUE"""),"Tuvalu")</f>
        <v>Tuvalu</v>
      </c>
      <c r="D16538">
        <f>IFERROR(__xludf.DUMMYFUNCTION("""COMPUTED_VALUE"""),2013.0)</f>
        <v>2013</v>
      </c>
      <c r="E16538">
        <f>IFERROR(__xludf.DUMMYFUNCTION("""COMPUTED_VALUE"""),10819.0)</f>
        <v>10819</v>
      </c>
    </row>
    <row r="16539">
      <c r="A16539" t="str">
        <f t="shared" si="1"/>
        <v>tuv#2014</v>
      </c>
      <c r="B16539" t="str">
        <f>IFERROR(__xludf.DUMMYFUNCTION("""COMPUTED_VALUE"""),"tuv")</f>
        <v>tuv</v>
      </c>
      <c r="C16539" t="str">
        <f>IFERROR(__xludf.DUMMYFUNCTION("""COMPUTED_VALUE"""),"Tuvalu")</f>
        <v>Tuvalu</v>
      </c>
      <c r="D16539">
        <f>IFERROR(__xludf.DUMMYFUNCTION("""COMPUTED_VALUE"""),2014.0)</f>
        <v>2014</v>
      </c>
      <c r="E16539">
        <f>IFERROR(__xludf.DUMMYFUNCTION("""COMPUTED_VALUE"""),10908.0)</f>
        <v>10908</v>
      </c>
    </row>
    <row r="16540">
      <c r="A16540" t="str">
        <f t="shared" si="1"/>
        <v>tuv#2015</v>
      </c>
      <c r="B16540" t="str">
        <f>IFERROR(__xludf.DUMMYFUNCTION("""COMPUTED_VALUE"""),"tuv")</f>
        <v>tuv</v>
      </c>
      <c r="C16540" t="str">
        <f>IFERROR(__xludf.DUMMYFUNCTION("""COMPUTED_VALUE"""),"Tuvalu")</f>
        <v>Tuvalu</v>
      </c>
      <c r="D16540">
        <f>IFERROR(__xludf.DUMMYFUNCTION("""COMPUTED_VALUE"""),2015.0)</f>
        <v>2015</v>
      </c>
      <c r="E16540">
        <f>IFERROR(__xludf.DUMMYFUNCTION("""COMPUTED_VALUE"""),11001.0)</f>
        <v>11001</v>
      </c>
    </row>
    <row r="16541">
      <c r="A16541" t="str">
        <f t="shared" si="1"/>
        <v>tuv#2016</v>
      </c>
      <c r="B16541" t="str">
        <f>IFERROR(__xludf.DUMMYFUNCTION("""COMPUTED_VALUE"""),"tuv")</f>
        <v>tuv</v>
      </c>
      <c r="C16541" t="str">
        <f>IFERROR(__xludf.DUMMYFUNCTION("""COMPUTED_VALUE"""),"Tuvalu")</f>
        <v>Tuvalu</v>
      </c>
      <c r="D16541">
        <f>IFERROR(__xludf.DUMMYFUNCTION("""COMPUTED_VALUE"""),2016.0)</f>
        <v>2016</v>
      </c>
      <c r="E16541">
        <f>IFERROR(__xludf.DUMMYFUNCTION("""COMPUTED_VALUE"""),11097.0)</f>
        <v>11097</v>
      </c>
    </row>
    <row r="16542">
      <c r="A16542" t="str">
        <f t="shared" si="1"/>
        <v>tuv#2017</v>
      </c>
      <c r="B16542" t="str">
        <f>IFERROR(__xludf.DUMMYFUNCTION("""COMPUTED_VALUE"""),"tuv")</f>
        <v>tuv</v>
      </c>
      <c r="C16542" t="str">
        <f>IFERROR(__xludf.DUMMYFUNCTION("""COMPUTED_VALUE"""),"Tuvalu")</f>
        <v>Tuvalu</v>
      </c>
      <c r="D16542">
        <f>IFERROR(__xludf.DUMMYFUNCTION("""COMPUTED_VALUE"""),2017.0)</f>
        <v>2017</v>
      </c>
      <c r="E16542">
        <f>IFERROR(__xludf.DUMMYFUNCTION("""COMPUTED_VALUE"""),11192.0)</f>
        <v>11192</v>
      </c>
    </row>
    <row r="16543">
      <c r="A16543" t="str">
        <f t="shared" si="1"/>
        <v>tuv#2018</v>
      </c>
      <c r="B16543" t="str">
        <f>IFERROR(__xludf.DUMMYFUNCTION("""COMPUTED_VALUE"""),"tuv")</f>
        <v>tuv</v>
      </c>
      <c r="C16543" t="str">
        <f>IFERROR(__xludf.DUMMYFUNCTION("""COMPUTED_VALUE"""),"Tuvalu")</f>
        <v>Tuvalu</v>
      </c>
      <c r="D16543">
        <f>IFERROR(__xludf.DUMMYFUNCTION("""COMPUTED_VALUE"""),2018.0)</f>
        <v>2018</v>
      </c>
      <c r="E16543">
        <f>IFERROR(__xludf.DUMMYFUNCTION("""COMPUTED_VALUE"""),11287.0)</f>
        <v>11287</v>
      </c>
    </row>
    <row r="16544">
      <c r="A16544" t="str">
        <f t="shared" si="1"/>
        <v>tuv#2019</v>
      </c>
      <c r="B16544" t="str">
        <f>IFERROR(__xludf.DUMMYFUNCTION("""COMPUTED_VALUE"""),"tuv")</f>
        <v>tuv</v>
      </c>
      <c r="C16544" t="str">
        <f>IFERROR(__xludf.DUMMYFUNCTION("""COMPUTED_VALUE"""),"Tuvalu")</f>
        <v>Tuvalu</v>
      </c>
      <c r="D16544">
        <f>IFERROR(__xludf.DUMMYFUNCTION("""COMPUTED_VALUE"""),2019.0)</f>
        <v>2019</v>
      </c>
      <c r="E16544">
        <f>IFERROR(__xludf.DUMMYFUNCTION("""COMPUTED_VALUE"""),11393.0)</f>
        <v>11393</v>
      </c>
    </row>
    <row r="16545">
      <c r="A16545" t="str">
        <f t="shared" si="1"/>
        <v>tuv#2020</v>
      </c>
      <c r="B16545" t="str">
        <f>IFERROR(__xludf.DUMMYFUNCTION("""COMPUTED_VALUE"""),"tuv")</f>
        <v>tuv</v>
      </c>
      <c r="C16545" t="str">
        <f>IFERROR(__xludf.DUMMYFUNCTION("""COMPUTED_VALUE"""),"Tuvalu")</f>
        <v>Tuvalu</v>
      </c>
      <c r="D16545">
        <f>IFERROR(__xludf.DUMMYFUNCTION("""COMPUTED_VALUE"""),2020.0)</f>
        <v>2020</v>
      </c>
      <c r="E16545">
        <f>IFERROR(__xludf.DUMMYFUNCTION("""COMPUTED_VALUE"""),11499.0)</f>
        <v>11499</v>
      </c>
    </row>
    <row r="16546">
      <c r="A16546" t="str">
        <f t="shared" si="1"/>
        <v>tuv#2021</v>
      </c>
      <c r="B16546" t="str">
        <f>IFERROR(__xludf.DUMMYFUNCTION("""COMPUTED_VALUE"""),"tuv")</f>
        <v>tuv</v>
      </c>
      <c r="C16546" t="str">
        <f>IFERROR(__xludf.DUMMYFUNCTION("""COMPUTED_VALUE"""),"Tuvalu")</f>
        <v>Tuvalu</v>
      </c>
      <c r="D16546">
        <f>IFERROR(__xludf.DUMMYFUNCTION("""COMPUTED_VALUE"""),2021.0)</f>
        <v>2021</v>
      </c>
      <c r="E16546">
        <f>IFERROR(__xludf.DUMMYFUNCTION("""COMPUTED_VALUE"""),11609.0)</f>
        <v>11609</v>
      </c>
    </row>
    <row r="16547">
      <c r="A16547" t="str">
        <f t="shared" si="1"/>
        <v>tuv#2022</v>
      </c>
      <c r="B16547" t="str">
        <f>IFERROR(__xludf.DUMMYFUNCTION("""COMPUTED_VALUE"""),"tuv")</f>
        <v>tuv</v>
      </c>
      <c r="C16547" t="str">
        <f>IFERROR(__xludf.DUMMYFUNCTION("""COMPUTED_VALUE"""),"Tuvalu")</f>
        <v>Tuvalu</v>
      </c>
      <c r="D16547">
        <f>IFERROR(__xludf.DUMMYFUNCTION("""COMPUTED_VALUE"""),2022.0)</f>
        <v>2022</v>
      </c>
      <c r="E16547">
        <f>IFERROR(__xludf.DUMMYFUNCTION("""COMPUTED_VALUE"""),11722.0)</f>
        <v>11722</v>
      </c>
    </row>
    <row r="16548">
      <c r="A16548" t="str">
        <f t="shared" si="1"/>
        <v>tuv#2023</v>
      </c>
      <c r="B16548" t="str">
        <f>IFERROR(__xludf.DUMMYFUNCTION("""COMPUTED_VALUE"""),"tuv")</f>
        <v>tuv</v>
      </c>
      <c r="C16548" t="str">
        <f>IFERROR(__xludf.DUMMYFUNCTION("""COMPUTED_VALUE"""),"Tuvalu")</f>
        <v>Tuvalu</v>
      </c>
      <c r="D16548">
        <f>IFERROR(__xludf.DUMMYFUNCTION("""COMPUTED_VALUE"""),2023.0)</f>
        <v>2023</v>
      </c>
      <c r="E16548">
        <f>IFERROR(__xludf.DUMMYFUNCTION("""COMPUTED_VALUE"""),11842.0)</f>
        <v>11842</v>
      </c>
    </row>
    <row r="16549">
      <c r="A16549" t="str">
        <f t="shared" si="1"/>
        <v>tuv#2024</v>
      </c>
      <c r="B16549" t="str">
        <f>IFERROR(__xludf.DUMMYFUNCTION("""COMPUTED_VALUE"""),"tuv")</f>
        <v>tuv</v>
      </c>
      <c r="C16549" t="str">
        <f>IFERROR(__xludf.DUMMYFUNCTION("""COMPUTED_VALUE"""),"Tuvalu")</f>
        <v>Tuvalu</v>
      </c>
      <c r="D16549">
        <f>IFERROR(__xludf.DUMMYFUNCTION("""COMPUTED_VALUE"""),2024.0)</f>
        <v>2024</v>
      </c>
      <c r="E16549">
        <f>IFERROR(__xludf.DUMMYFUNCTION("""COMPUTED_VALUE"""),11962.0)</f>
        <v>11962</v>
      </c>
    </row>
    <row r="16550">
      <c r="A16550" t="str">
        <f t="shared" si="1"/>
        <v>tuv#2025</v>
      </c>
      <c r="B16550" t="str">
        <f>IFERROR(__xludf.DUMMYFUNCTION("""COMPUTED_VALUE"""),"tuv")</f>
        <v>tuv</v>
      </c>
      <c r="C16550" t="str">
        <f>IFERROR(__xludf.DUMMYFUNCTION("""COMPUTED_VALUE"""),"Tuvalu")</f>
        <v>Tuvalu</v>
      </c>
      <c r="D16550">
        <f>IFERROR(__xludf.DUMMYFUNCTION("""COMPUTED_VALUE"""),2025.0)</f>
        <v>2025</v>
      </c>
      <c r="E16550">
        <f>IFERROR(__xludf.DUMMYFUNCTION("""COMPUTED_VALUE"""),12084.0)</f>
        <v>12084</v>
      </c>
    </row>
    <row r="16551">
      <c r="A16551" t="str">
        <f t="shared" si="1"/>
        <v>tuv#2026</v>
      </c>
      <c r="B16551" t="str">
        <f>IFERROR(__xludf.DUMMYFUNCTION("""COMPUTED_VALUE"""),"tuv")</f>
        <v>tuv</v>
      </c>
      <c r="C16551" t="str">
        <f>IFERROR(__xludf.DUMMYFUNCTION("""COMPUTED_VALUE"""),"Tuvalu")</f>
        <v>Tuvalu</v>
      </c>
      <c r="D16551">
        <f>IFERROR(__xludf.DUMMYFUNCTION("""COMPUTED_VALUE"""),2026.0)</f>
        <v>2026</v>
      </c>
      <c r="E16551">
        <f>IFERROR(__xludf.DUMMYFUNCTION("""COMPUTED_VALUE"""),12207.0)</f>
        <v>12207</v>
      </c>
    </row>
    <row r="16552">
      <c r="A16552" t="str">
        <f t="shared" si="1"/>
        <v>tuv#2027</v>
      </c>
      <c r="B16552" t="str">
        <f>IFERROR(__xludf.DUMMYFUNCTION("""COMPUTED_VALUE"""),"tuv")</f>
        <v>tuv</v>
      </c>
      <c r="C16552" t="str">
        <f>IFERROR(__xludf.DUMMYFUNCTION("""COMPUTED_VALUE"""),"Tuvalu")</f>
        <v>Tuvalu</v>
      </c>
      <c r="D16552">
        <f>IFERROR(__xludf.DUMMYFUNCTION("""COMPUTED_VALUE"""),2027.0)</f>
        <v>2027</v>
      </c>
      <c r="E16552">
        <f>IFERROR(__xludf.DUMMYFUNCTION("""COMPUTED_VALUE"""),12334.0)</f>
        <v>12334</v>
      </c>
    </row>
    <row r="16553">
      <c r="A16553" t="str">
        <f t="shared" si="1"/>
        <v>tuv#2028</v>
      </c>
      <c r="B16553" t="str">
        <f>IFERROR(__xludf.DUMMYFUNCTION("""COMPUTED_VALUE"""),"tuv")</f>
        <v>tuv</v>
      </c>
      <c r="C16553" t="str">
        <f>IFERROR(__xludf.DUMMYFUNCTION("""COMPUTED_VALUE"""),"Tuvalu")</f>
        <v>Tuvalu</v>
      </c>
      <c r="D16553">
        <f>IFERROR(__xludf.DUMMYFUNCTION("""COMPUTED_VALUE"""),2028.0)</f>
        <v>2028</v>
      </c>
      <c r="E16553">
        <f>IFERROR(__xludf.DUMMYFUNCTION("""COMPUTED_VALUE"""),12448.0)</f>
        <v>12448</v>
      </c>
    </row>
    <row r="16554">
      <c r="A16554" t="str">
        <f t="shared" si="1"/>
        <v>tuv#2029</v>
      </c>
      <c r="B16554" t="str">
        <f>IFERROR(__xludf.DUMMYFUNCTION("""COMPUTED_VALUE"""),"tuv")</f>
        <v>tuv</v>
      </c>
      <c r="C16554" t="str">
        <f>IFERROR(__xludf.DUMMYFUNCTION("""COMPUTED_VALUE"""),"Tuvalu")</f>
        <v>Tuvalu</v>
      </c>
      <c r="D16554">
        <f>IFERROR(__xludf.DUMMYFUNCTION("""COMPUTED_VALUE"""),2029.0)</f>
        <v>2029</v>
      </c>
      <c r="E16554">
        <f>IFERROR(__xludf.DUMMYFUNCTION("""COMPUTED_VALUE"""),12576.0)</f>
        <v>12576</v>
      </c>
    </row>
    <row r="16555">
      <c r="A16555" t="str">
        <f t="shared" si="1"/>
        <v>tuv#2030</v>
      </c>
      <c r="B16555" t="str">
        <f>IFERROR(__xludf.DUMMYFUNCTION("""COMPUTED_VALUE"""),"tuv")</f>
        <v>tuv</v>
      </c>
      <c r="C16555" t="str">
        <f>IFERROR(__xludf.DUMMYFUNCTION("""COMPUTED_VALUE"""),"Tuvalu")</f>
        <v>Tuvalu</v>
      </c>
      <c r="D16555">
        <f>IFERROR(__xludf.DUMMYFUNCTION("""COMPUTED_VALUE"""),2030.0)</f>
        <v>2030</v>
      </c>
      <c r="E16555">
        <f>IFERROR(__xludf.DUMMYFUNCTION("""COMPUTED_VALUE"""),12699.0)</f>
        <v>12699</v>
      </c>
    </row>
    <row r="16556">
      <c r="A16556" t="str">
        <f t="shared" si="1"/>
        <v>tuv#2031</v>
      </c>
      <c r="B16556" t="str">
        <f>IFERROR(__xludf.DUMMYFUNCTION("""COMPUTED_VALUE"""),"tuv")</f>
        <v>tuv</v>
      </c>
      <c r="C16556" t="str">
        <f>IFERROR(__xludf.DUMMYFUNCTION("""COMPUTED_VALUE"""),"Tuvalu")</f>
        <v>Tuvalu</v>
      </c>
      <c r="D16556">
        <f>IFERROR(__xludf.DUMMYFUNCTION("""COMPUTED_VALUE"""),2031.0)</f>
        <v>2031</v>
      </c>
      <c r="E16556">
        <f>IFERROR(__xludf.DUMMYFUNCTION("""COMPUTED_VALUE"""),12820.0)</f>
        <v>12820</v>
      </c>
    </row>
    <row r="16557">
      <c r="A16557" t="str">
        <f t="shared" si="1"/>
        <v>tuv#2032</v>
      </c>
      <c r="B16557" t="str">
        <f>IFERROR(__xludf.DUMMYFUNCTION("""COMPUTED_VALUE"""),"tuv")</f>
        <v>tuv</v>
      </c>
      <c r="C16557" t="str">
        <f>IFERROR(__xludf.DUMMYFUNCTION("""COMPUTED_VALUE"""),"Tuvalu")</f>
        <v>Tuvalu</v>
      </c>
      <c r="D16557">
        <f>IFERROR(__xludf.DUMMYFUNCTION("""COMPUTED_VALUE"""),2032.0)</f>
        <v>2032</v>
      </c>
      <c r="E16557">
        <f>IFERROR(__xludf.DUMMYFUNCTION("""COMPUTED_VALUE"""),12937.0)</f>
        <v>12937</v>
      </c>
    </row>
    <row r="16558">
      <c r="A16558" t="str">
        <f t="shared" si="1"/>
        <v>tuv#2033</v>
      </c>
      <c r="B16558" t="str">
        <f>IFERROR(__xludf.DUMMYFUNCTION("""COMPUTED_VALUE"""),"tuv")</f>
        <v>tuv</v>
      </c>
      <c r="C16558" t="str">
        <f>IFERROR(__xludf.DUMMYFUNCTION("""COMPUTED_VALUE"""),"Tuvalu")</f>
        <v>Tuvalu</v>
      </c>
      <c r="D16558">
        <f>IFERROR(__xludf.DUMMYFUNCTION("""COMPUTED_VALUE"""),2033.0)</f>
        <v>2033</v>
      </c>
      <c r="E16558">
        <f>IFERROR(__xludf.DUMMYFUNCTION("""COMPUTED_VALUE"""),13053.0)</f>
        <v>13053</v>
      </c>
    </row>
    <row r="16559">
      <c r="A16559" t="str">
        <f t="shared" si="1"/>
        <v>tuv#2034</v>
      </c>
      <c r="B16559" t="str">
        <f>IFERROR(__xludf.DUMMYFUNCTION("""COMPUTED_VALUE"""),"tuv")</f>
        <v>tuv</v>
      </c>
      <c r="C16559" t="str">
        <f>IFERROR(__xludf.DUMMYFUNCTION("""COMPUTED_VALUE"""),"Tuvalu")</f>
        <v>Tuvalu</v>
      </c>
      <c r="D16559">
        <f>IFERROR(__xludf.DUMMYFUNCTION("""COMPUTED_VALUE"""),2034.0)</f>
        <v>2034</v>
      </c>
      <c r="E16559">
        <f>IFERROR(__xludf.DUMMYFUNCTION("""COMPUTED_VALUE"""),13159.0)</f>
        <v>13159</v>
      </c>
    </row>
    <row r="16560">
      <c r="A16560" t="str">
        <f t="shared" si="1"/>
        <v>tuv#2035</v>
      </c>
      <c r="B16560" t="str">
        <f>IFERROR(__xludf.DUMMYFUNCTION("""COMPUTED_VALUE"""),"tuv")</f>
        <v>tuv</v>
      </c>
      <c r="C16560" t="str">
        <f>IFERROR(__xludf.DUMMYFUNCTION("""COMPUTED_VALUE"""),"Tuvalu")</f>
        <v>Tuvalu</v>
      </c>
      <c r="D16560">
        <f>IFERROR(__xludf.DUMMYFUNCTION("""COMPUTED_VALUE"""),2035.0)</f>
        <v>2035</v>
      </c>
      <c r="E16560">
        <f>IFERROR(__xludf.DUMMYFUNCTION("""COMPUTED_VALUE"""),13264.0)</f>
        <v>13264</v>
      </c>
    </row>
    <row r="16561">
      <c r="A16561" t="str">
        <f t="shared" si="1"/>
        <v>tuv#2036</v>
      </c>
      <c r="B16561" t="str">
        <f>IFERROR(__xludf.DUMMYFUNCTION("""COMPUTED_VALUE"""),"tuv")</f>
        <v>tuv</v>
      </c>
      <c r="C16561" t="str">
        <f>IFERROR(__xludf.DUMMYFUNCTION("""COMPUTED_VALUE"""),"Tuvalu")</f>
        <v>Tuvalu</v>
      </c>
      <c r="D16561">
        <f>IFERROR(__xludf.DUMMYFUNCTION("""COMPUTED_VALUE"""),2036.0)</f>
        <v>2036</v>
      </c>
      <c r="E16561">
        <f>IFERROR(__xludf.DUMMYFUNCTION("""COMPUTED_VALUE"""),13371.0)</f>
        <v>13371</v>
      </c>
    </row>
    <row r="16562">
      <c r="A16562" t="str">
        <f t="shared" si="1"/>
        <v>tuv#2037</v>
      </c>
      <c r="B16562" t="str">
        <f>IFERROR(__xludf.DUMMYFUNCTION("""COMPUTED_VALUE"""),"tuv")</f>
        <v>tuv</v>
      </c>
      <c r="C16562" t="str">
        <f>IFERROR(__xludf.DUMMYFUNCTION("""COMPUTED_VALUE"""),"Tuvalu")</f>
        <v>Tuvalu</v>
      </c>
      <c r="D16562">
        <f>IFERROR(__xludf.DUMMYFUNCTION("""COMPUTED_VALUE"""),2037.0)</f>
        <v>2037</v>
      </c>
      <c r="E16562">
        <f>IFERROR(__xludf.DUMMYFUNCTION("""COMPUTED_VALUE"""),13466.0)</f>
        <v>13466</v>
      </c>
    </row>
    <row r="16563">
      <c r="A16563" t="str">
        <f t="shared" si="1"/>
        <v>tuv#2038</v>
      </c>
      <c r="B16563" t="str">
        <f>IFERROR(__xludf.DUMMYFUNCTION("""COMPUTED_VALUE"""),"tuv")</f>
        <v>tuv</v>
      </c>
      <c r="C16563" t="str">
        <f>IFERROR(__xludf.DUMMYFUNCTION("""COMPUTED_VALUE"""),"Tuvalu")</f>
        <v>Tuvalu</v>
      </c>
      <c r="D16563">
        <f>IFERROR(__xludf.DUMMYFUNCTION("""COMPUTED_VALUE"""),2038.0)</f>
        <v>2038</v>
      </c>
      <c r="E16563">
        <f>IFERROR(__xludf.DUMMYFUNCTION("""COMPUTED_VALUE"""),13563.0)</f>
        <v>13563</v>
      </c>
    </row>
    <row r="16564">
      <c r="A16564" t="str">
        <f t="shared" si="1"/>
        <v>tuv#2039</v>
      </c>
      <c r="B16564" t="str">
        <f>IFERROR(__xludf.DUMMYFUNCTION("""COMPUTED_VALUE"""),"tuv")</f>
        <v>tuv</v>
      </c>
      <c r="C16564" t="str">
        <f>IFERROR(__xludf.DUMMYFUNCTION("""COMPUTED_VALUE"""),"Tuvalu")</f>
        <v>Tuvalu</v>
      </c>
      <c r="D16564">
        <f>IFERROR(__xludf.DUMMYFUNCTION("""COMPUTED_VALUE"""),2039.0)</f>
        <v>2039</v>
      </c>
      <c r="E16564">
        <f>IFERROR(__xludf.DUMMYFUNCTION("""COMPUTED_VALUE"""),13652.0)</f>
        <v>13652</v>
      </c>
    </row>
    <row r="16565">
      <c r="A16565" t="str">
        <f t="shared" si="1"/>
        <v>tuv#2040</v>
      </c>
      <c r="B16565" t="str">
        <f>IFERROR(__xludf.DUMMYFUNCTION("""COMPUTED_VALUE"""),"tuv")</f>
        <v>tuv</v>
      </c>
      <c r="C16565" t="str">
        <f>IFERROR(__xludf.DUMMYFUNCTION("""COMPUTED_VALUE"""),"Tuvalu")</f>
        <v>Tuvalu</v>
      </c>
      <c r="D16565">
        <f>IFERROR(__xludf.DUMMYFUNCTION("""COMPUTED_VALUE"""),2040.0)</f>
        <v>2040</v>
      </c>
      <c r="E16565">
        <f>IFERROR(__xludf.DUMMYFUNCTION("""COMPUTED_VALUE"""),13742.0)</f>
        <v>13742</v>
      </c>
    </row>
    <row r="16566">
      <c r="A16566" t="str">
        <f t="shared" si="1"/>
        <v>uga#1950</v>
      </c>
      <c r="B16566" t="str">
        <f>IFERROR(__xludf.DUMMYFUNCTION("""COMPUTED_VALUE"""),"uga")</f>
        <v>uga</v>
      </c>
      <c r="C16566" t="str">
        <f>IFERROR(__xludf.DUMMYFUNCTION("""COMPUTED_VALUE"""),"Uganda")</f>
        <v>Uganda</v>
      </c>
      <c r="D16566">
        <f>IFERROR(__xludf.DUMMYFUNCTION("""COMPUTED_VALUE"""),1950.0)</f>
        <v>1950</v>
      </c>
      <c r="E16566">
        <f>IFERROR(__xludf.DUMMYFUNCTION("""COMPUTED_VALUE"""),5158190.0)</f>
        <v>5158190</v>
      </c>
    </row>
    <row r="16567">
      <c r="A16567" t="str">
        <f t="shared" si="1"/>
        <v>uga#1951</v>
      </c>
      <c r="B16567" t="str">
        <f>IFERROR(__xludf.DUMMYFUNCTION("""COMPUTED_VALUE"""),"uga")</f>
        <v>uga</v>
      </c>
      <c r="C16567" t="str">
        <f>IFERROR(__xludf.DUMMYFUNCTION("""COMPUTED_VALUE"""),"Uganda")</f>
        <v>Uganda</v>
      </c>
      <c r="D16567">
        <f>IFERROR(__xludf.DUMMYFUNCTION("""COMPUTED_VALUE"""),1951.0)</f>
        <v>1951</v>
      </c>
      <c r="E16567">
        <f>IFERROR(__xludf.DUMMYFUNCTION("""COMPUTED_VALUE"""),5308668.0)</f>
        <v>5308668</v>
      </c>
    </row>
    <row r="16568">
      <c r="A16568" t="str">
        <f t="shared" si="1"/>
        <v>uga#1952</v>
      </c>
      <c r="B16568" t="str">
        <f>IFERROR(__xludf.DUMMYFUNCTION("""COMPUTED_VALUE"""),"uga")</f>
        <v>uga</v>
      </c>
      <c r="C16568" t="str">
        <f>IFERROR(__xludf.DUMMYFUNCTION("""COMPUTED_VALUE"""),"Uganda")</f>
        <v>Uganda</v>
      </c>
      <c r="D16568">
        <f>IFERROR(__xludf.DUMMYFUNCTION("""COMPUTED_VALUE"""),1952.0)</f>
        <v>1952</v>
      </c>
      <c r="E16568">
        <f>IFERROR(__xludf.DUMMYFUNCTION("""COMPUTED_VALUE"""),5455540.0)</f>
        <v>5455540</v>
      </c>
    </row>
    <row r="16569">
      <c r="A16569" t="str">
        <f t="shared" si="1"/>
        <v>uga#1953</v>
      </c>
      <c r="B16569" t="str">
        <f>IFERROR(__xludf.DUMMYFUNCTION("""COMPUTED_VALUE"""),"uga")</f>
        <v>uga</v>
      </c>
      <c r="C16569" t="str">
        <f>IFERROR(__xludf.DUMMYFUNCTION("""COMPUTED_VALUE"""),"Uganda")</f>
        <v>Uganda</v>
      </c>
      <c r="D16569">
        <f>IFERROR(__xludf.DUMMYFUNCTION("""COMPUTED_VALUE"""),1953.0)</f>
        <v>1953</v>
      </c>
      <c r="E16569">
        <f>IFERROR(__xludf.DUMMYFUNCTION("""COMPUTED_VALUE"""),5601239.0)</f>
        <v>5601239</v>
      </c>
    </row>
    <row r="16570">
      <c r="A16570" t="str">
        <f t="shared" si="1"/>
        <v>uga#1954</v>
      </c>
      <c r="B16570" t="str">
        <f>IFERROR(__xludf.DUMMYFUNCTION("""COMPUTED_VALUE"""),"uga")</f>
        <v>uga</v>
      </c>
      <c r="C16570" t="str">
        <f>IFERROR(__xludf.DUMMYFUNCTION("""COMPUTED_VALUE"""),"Uganda")</f>
        <v>Uganda</v>
      </c>
      <c r="D16570">
        <f>IFERROR(__xludf.DUMMYFUNCTION("""COMPUTED_VALUE"""),1954.0)</f>
        <v>1954</v>
      </c>
      <c r="E16570">
        <f>IFERROR(__xludf.DUMMYFUNCTION("""COMPUTED_VALUE"""),5748208.0)</f>
        <v>5748208</v>
      </c>
    </row>
    <row r="16571">
      <c r="A16571" t="str">
        <f t="shared" si="1"/>
        <v>uga#1955</v>
      </c>
      <c r="B16571" t="str">
        <f>IFERROR(__xludf.DUMMYFUNCTION("""COMPUTED_VALUE"""),"uga")</f>
        <v>uga</v>
      </c>
      <c r="C16571" t="str">
        <f>IFERROR(__xludf.DUMMYFUNCTION("""COMPUTED_VALUE"""),"Uganda")</f>
        <v>Uganda</v>
      </c>
      <c r="D16571">
        <f>IFERROR(__xludf.DUMMYFUNCTION("""COMPUTED_VALUE"""),1955.0)</f>
        <v>1955</v>
      </c>
      <c r="E16571">
        <f>IFERROR(__xludf.DUMMYFUNCTION("""COMPUTED_VALUE"""),5898835.0)</f>
        <v>5898835</v>
      </c>
    </row>
    <row r="16572">
      <c r="A16572" t="str">
        <f t="shared" si="1"/>
        <v>uga#1956</v>
      </c>
      <c r="B16572" t="str">
        <f>IFERROR(__xludf.DUMMYFUNCTION("""COMPUTED_VALUE"""),"uga")</f>
        <v>uga</v>
      </c>
      <c r="C16572" t="str">
        <f>IFERROR(__xludf.DUMMYFUNCTION("""COMPUTED_VALUE"""),"Uganda")</f>
        <v>Uganda</v>
      </c>
      <c r="D16572">
        <f>IFERROR(__xludf.DUMMYFUNCTION("""COMPUTED_VALUE"""),1956.0)</f>
        <v>1956</v>
      </c>
      <c r="E16572">
        <f>IFERROR(__xludf.DUMMYFUNCTION("""COMPUTED_VALUE"""),6055517.0)</f>
        <v>6055517</v>
      </c>
    </row>
    <row r="16573">
      <c r="A16573" t="str">
        <f t="shared" si="1"/>
        <v>uga#1957</v>
      </c>
      <c r="B16573" t="str">
        <f>IFERROR(__xludf.DUMMYFUNCTION("""COMPUTED_VALUE"""),"uga")</f>
        <v>uga</v>
      </c>
      <c r="C16573" t="str">
        <f>IFERROR(__xludf.DUMMYFUNCTION("""COMPUTED_VALUE"""),"Uganda")</f>
        <v>Uganda</v>
      </c>
      <c r="D16573">
        <f>IFERROR(__xludf.DUMMYFUNCTION("""COMPUTED_VALUE"""),1957.0)</f>
        <v>1957</v>
      </c>
      <c r="E16573">
        <f>IFERROR(__xludf.DUMMYFUNCTION("""COMPUTED_VALUE"""),6220629.0)</f>
        <v>6220629</v>
      </c>
    </row>
    <row r="16574">
      <c r="A16574" t="str">
        <f t="shared" si="1"/>
        <v>uga#1958</v>
      </c>
      <c r="B16574" t="str">
        <f>IFERROR(__xludf.DUMMYFUNCTION("""COMPUTED_VALUE"""),"uga")</f>
        <v>uga</v>
      </c>
      <c r="C16574" t="str">
        <f>IFERROR(__xludf.DUMMYFUNCTION("""COMPUTED_VALUE"""),"Uganda")</f>
        <v>Uganda</v>
      </c>
      <c r="D16574">
        <f>IFERROR(__xludf.DUMMYFUNCTION("""COMPUTED_VALUE"""),1958.0)</f>
        <v>1958</v>
      </c>
      <c r="E16574">
        <f>IFERROR(__xludf.DUMMYFUNCTION("""COMPUTED_VALUE"""),6396463.0)</f>
        <v>6396463</v>
      </c>
    </row>
    <row r="16575">
      <c r="A16575" t="str">
        <f t="shared" si="1"/>
        <v>uga#1959</v>
      </c>
      <c r="B16575" t="str">
        <f>IFERROR(__xludf.DUMMYFUNCTION("""COMPUTED_VALUE"""),"uga")</f>
        <v>uga</v>
      </c>
      <c r="C16575" t="str">
        <f>IFERROR(__xludf.DUMMYFUNCTION("""COMPUTED_VALUE"""),"Uganda")</f>
        <v>Uganda</v>
      </c>
      <c r="D16575">
        <f>IFERROR(__xludf.DUMMYFUNCTION("""COMPUTED_VALUE"""),1959.0)</f>
        <v>1959</v>
      </c>
      <c r="E16575">
        <f>IFERROR(__xludf.DUMMYFUNCTION("""COMPUTED_VALUE"""),6585105.0)</f>
        <v>6585105</v>
      </c>
    </row>
    <row r="16576">
      <c r="A16576" t="str">
        <f t="shared" si="1"/>
        <v>uga#1960</v>
      </c>
      <c r="B16576" t="str">
        <f>IFERROR(__xludf.DUMMYFUNCTION("""COMPUTED_VALUE"""),"uga")</f>
        <v>uga</v>
      </c>
      <c r="C16576" t="str">
        <f>IFERROR(__xludf.DUMMYFUNCTION("""COMPUTED_VALUE"""),"Uganda")</f>
        <v>Uganda</v>
      </c>
      <c r="D16576">
        <f>IFERROR(__xludf.DUMMYFUNCTION("""COMPUTED_VALUE"""),1960.0)</f>
        <v>1960</v>
      </c>
      <c r="E16576">
        <f>IFERROR(__xludf.DUMMYFUNCTION("""COMPUTED_VALUE"""),6788214.0)</f>
        <v>6788214</v>
      </c>
    </row>
    <row r="16577">
      <c r="A16577" t="str">
        <f t="shared" si="1"/>
        <v>uga#1961</v>
      </c>
      <c r="B16577" t="str">
        <f>IFERROR(__xludf.DUMMYFUNCTION("""COMPUTED_VALUE"""),"uga")</f>
        <v>uga</v>
      </c>
      <c r="C16577" t="str">
        <f>IFERROR(__xludf.DUMMYFUNCTION("""COMPUTED_VALUE"""),"Uganda")</f>
        <v>Uganda</v>
      </c>
      <c r="D16577">
        <f>IFERROR(__xludf.DUMMYFUNCTION("""COMPUTED_VALUE"""),1961.0)</f>
        <v>1961</v>
      </c>
      <c r="E16577">
        <f>IFERROR(__xludf.DUMMYFUNCTION("""COMPUTED_VALUE"""),7006633.0)</f>
        <v>7006633</v>
      </c>
    </row>
    <row r="16578">
      <c r="A16578" t="str">
        <f t="shared" si="1"/>
        <v>uga#1962</v>
      </c>
      <c r="B16578" t="str">
        <f>IFERROR(__xludf.DUMMYFUNCTION("""COMPUTED_VALUE"""),"uga")</f>
        <v>uga</v>
      </c>
      <c r="C16578" t="str">
        <f>IFERROR(__xludf.DUMMYFUNCTION("""COMPUTED_VALUE"""),"Uganda")</f>
        <v>Uganda</v>
      </c>
      <c r="D16578">
        <f>IFERROR(__xludf.DUMMYFUNCTION("""COMPUTED_VALUE"""),1962.0)</f>
        <v>1962</v>
      </c>
      <c r="E16578">
        <f>IFERROR(__xludf.DUMMYFUNCTION("""COMPUTED_VALUE"""),7240174.0)</f>
        <v>7240174</v>
      </c>
    </row>
    <row r="16579">
      <c r="A16579" t="str">
        <f t="shared" si="1"/>
        <v>uga#1963</v>
      </c>
      <c r="B16579" t="str">
        <f>IFERROR(__xludf.DUMMYFUNCTION("""COMPUTED_VALUE"""),"uga")</f>
        <v>uga</v>
      </c>
      <c r="C16579" t="str">
        <f>IFERROR(__xludf.DUMMYFUNCTION("""COMPUTED_VALUE"""),"Uganda")</f>
        <v>Uganda</v>
      </c>
      <c r="D16579">
        <f>IFERROR(__xludf.DUMMYFUNCTION("""COMPUTED_VALUE"""),1963.0)</f>
        <v>1963</v>
      </c>
      <c r="E16579">
        <f>IFERROR(__xludf.DUMMYFUNCTION("""COMPUTED_VALUE"""),7487429.0)</f>
        <v>7487429</v>
      </c>
    </row>
    <row r="16580">
      <c r="A16580" t="str">
        <f t="shared" si="1"/>
        <v>uga#1964</v>
      </c>
      <c r="B16580" t="str">
        <f>IFERROR(__xludf.DUMMYFUNCTION("""COMPUTED_VALUE"""),"uga")</f>
        <v>uga</v>
      </c>
      <c r="C16580" t="str">
        <f>IFERROR(__xludf.DUMMYFUNCTION("""COMPUTED_VALUE"""),"Uganda")</f>
        <v>Uganda</v>
      </c>
      <c r="D16580">
        <f>IFERROR(__xludf.DUMMYFUNCTION("""COMPUTED_VALUE"""),1964.0)</f>
        <v>1964</v>
      </c>
      <c r="E16580">
        <f>IFERROR(__xludf.DUMMYFUNCTION("""COMPUTED_VALUE"""),7746198.0)</f>
        <v>7746198</v>
      </c>
    </row>
    <row r="16581">
      <c r="A16581" t="str">
        <f t="shared" si="1"/>
        <v>uga#1965</v>
      </c>
      <c r="B16581" t="str">
        <f>IFERROR(__xludf.DUMMYFUNCTION("""COMPUTED_VALUE"""),"uga")</f>
        <v>uga</v>
      </c>
      <c r="C16581" t="str">
        <f>IFERROR(__xludf.DUMMYFUNCTION("""COMPUTED_VALUE"""),"Uganda")</f>
        <v>Uganda</v>
      </c>
      <c r="D16581">
        <f>IFERROR(__xludf.DUMMYFUNCTION("""COMPUTED_VALUE"""),1965.0)</f>
        <v>1965</v>
      </c>
      <c r="E16581">
        <f>IFERROR(__xludf.DUMMYFUNCTION("""COMPUTED_VALUE"""),8014401.0)</f>
        <v>8014401</v>
      </c>
    </row>
    <row r="16582">
      <c r="A16582" t="str">
        <f t="shared" si="1"/>
        <v>uga#1966</v>
      </c>
      <c r="B16582" t="str">
        <f>IFERROR(__xludf.DUMMYFUNCTION("""COMPUTED_VALUE"""),"uga")</f>
        <v>uga</v>
      </c>
      <c r="C16582" t="str">
        <f>IFERROR(__xludf.DUMMYFUNCTION("""COMPUTED_VALUE"""),"Uganda")</f>
        <v>Uganda</v>
      </c>
      <c r="D16582">
        <f>IFERROR(__xludf.DUMMYFUNCTION("""COMPUTED_VALUE"""),1966.0)</f>
        <v>1966</v>
      </c>
      <c r="E16582">
        <f>IFERROR(__xludf.DUMMYFUNCTION("""COMPUTED_VALUE"""),8292776.0)</f>
        <v>8292776</v>
      </c>
    </row>
    <row r="16583">
      <c r="A16583" t="str">
        <f t="shared" si="1"/>
        <v>uga#1967</v>
      </c>
      <c r="B16583" t="str">
        <f>IFERROR(__xludf.DUMMYFUNCTION("""COMPUTED_VALUE"""),"uga")</f>
        <v>uga</v>
      </c>
      <c r="C16583" t="str">
        <f>IFERROR(__xludf.DUMMYFUNCTION("""COMPUTED_VALUE"""),"Uganda")</f>
        <v>Uganda</v>
      </c>
      <c r="D16583">
        <f>IFERROR(__xludf.DUMMYFUNCTION("""COMPUTED_VALUE"""),1967.0)</f>
        <v>1967</v>
      </c>
      <c r="E16583">
        <f>IFERROR(__xludf.DUMMYFUNCTION("""COMPUTED_VALUE"""),8580676.0)</f>
        <v>8580676</v>
      </c>
    </row>
    <row r="16584">
      <c r="A16584" t="str">
        <f t="shared" si="1"/>
        <v>uga#1968</v>
      </c>
      <c r="B16584" t="str">
        <f>IFERROR(__xludf.DUMMYFUNCTION("""COMPUTED_VALUE"""),"uga")</f>
        <v>uga</v>
      </c>
      <c r="C16584" t="str">
        <f>IFERROR(__xludf.DUMMYFUNCTION("""COMPUTED_VALUE"""),"Uganda")</f>
        <v>Uganda</v>
      </c>
      <c r="D16584">
        <f>IFERROR(__xludf.DUMMYFUNCTION("""COMPUTED_VALUE"""),1968.0)</f>
        <v>1968</v>
      </c>
      <c r="E16584">
        <f>IFERROR(__xludf.DUMMYFUNCTION("""COMPUTED_VALUE"""),8872920.0)</f>
        <v>8872920</v>
      </c>
    </row>
    <row r="16585">
      <c r="A16585" t="str">
        <f t="shared" si="1"/>
        <v>uga#1969</v>
      </c>
      <c r="B16585" t="str">
        <f>IFERROR(__xludf.DUMMYFUNCTION("""COMPUTED_VALUE"""),"uga")</f>
        <v>uga</v>
      </c>
      <c r="C16585" t="str">
        <f>IFERROR(__xludf.DUMMYFUNCTION("""COMPUTED_VALUE"""),"Uganda")</f>
        <v>Uganda</v>
      </c>
      <c r="D16585">
        <f>IFERROR(__xludf.DUMMYFUNCTION("""COMPUTED_VALUE"""),1969.0)</f>
        <v>1969</v>
      </c>
      <c r="E16585">
        <f>IFERROR(__xludf.DUMMYFUNCTION("""COMPUTED_VALUE"""),9162833.0)</f>
        <v>9162833</v>
      </c>
    </row>
    <row r="16586">
      <c r="A16586" t="str">
        <f t="shared" si="1"/>
        <v>uga#1970</v>
      </c>
      <c r="B16586" t="str">
        <f>IFERROR(__xludf.DUMMYFUNCTION("""COMPUTED_VALUE"""),"uga")</f>
        <v>uga</v>
      </c>
      <c r="C16586" t="str">
        <f>IFERROR(__xludf.DUMMYFUNCTION("""COMPUTED_VALUE"""),"Uganda")</f>
        <v>Uganda</v>
      </c>
      <c r="D16586">
        <f>IFERROR(__xludf.DUMMYFUNCTION("""COMPUTED_VALUE"""),1970.0)</f>
        <v>1970</v>
      </c>
      <c r="E16586">
        <f>IFERROR(__xludf.DUMMYFUNCTION("""COMPUTED_VALUE"""),9446064.0)</f>
        <v>9446064</v>
      </c>
    </row>
    <row r="16587">
      <c r="A16587" t="str">
        <f t="shared" si="1"/>
        <v>uga#1971</v>
      </c>
      <c r="B16587" t="str">
        <f>IFERROR(__xludf.DUMMYFUNCTION("""COMPUTED_VALUE"""),"uga")</f>
        <v>uga</v>
      </c>
      <c r="C16587" t="str">
        <f>IFERROR(__xludf.DUMMYFUNCTION("""COMPUTED_VALUE"""),"Uganda")</f>
        <v>Uganda</v>
      </c>
      <c r="D16587">
        <f>IFERROR(__xludf.DUMMYFUNCTION("""COMPUTED_VALUE"""),1971.0)</f>
        <v>1971</v>
      </c>
      <c r="E16587">
        <f>IFERROR(__xludf.DUMMYFUNCTION("""COMPUTED_VALUE"""),9720399.0)</f>
        <v>9720399</v>
      </c>
    </row>
    <row r="16588">
      <c r="A16588" t="str">
        <f t="shared" si="1"/>
        <v>uga#1972</v>
      </c>
      <c r="B16588" t="str">
        <f>IFERROR(__xludf.DUMMYFUNCTION("""COMPUTED_VALUE"""),"uga")</f>
        <v>uga</v>
      </c>
      <c r="C16588" t="str">
        <f>IFERROR(__xludf.DUMMYFUNCTION("""COMPUTED_VALUE"""),"Uganda")</f>
        <v>Uganda</v>
      </c>
      <c r="D16588">
        <f>IFERROR(__xludf.DUMMYFUNCTION("""COMPUTED_VALUE"""),1972.0)</f>
        <v>1972</v>
      </c>
      <c r="E16588">
        <f>IFERROR(__xludf.DUMMYFUNCTION("""COMPUTED_VALUE"""),9988380.0)</f>
        <v>9988380</v>
      </c>
    </row>
    <row r="16589">
      <c r="A16589" t="str">
        <f t="shared" si="1"/>
        <v>uga#1973</v>
      </c>
      <c r="B16589" t="str">
        <f>IFERROR(__xludf.DUMMYFUNCTION("""COMPUTED_VALUE"""),"uga")</f>
        <v>uga</v>
      </c>
      <c r="C16589" t="str">
        <f>IFERROR(__xludf.DUMMYFUNCTION("""COMPUTED_VALUE"""),"Uganda")</f>
        <v>Uganda</v>
      </c>
      <c r="D16589">
        <f>IFERROR(__xludf.DUMMYFUNCTION("""COMPUTED_VALUE"""),1973.0)</f>
        <v>1973</v>
      </c>
      <c r="E16589">
        <f>IFERROR(__xludf.DUMMYFUNCTION("""COMPUTED_VALUE"""),1.0256429E7)</f>
        <v>10256429</v>
      </c>
    </row>
    <row r="16590">
      <c r="A16590" t="str">
        <f t="shared" si="1"/>
        <v>uga#1974</v>
      </c>
      <c r="B16590" t="str">
        <f>IFERROR(__xludf.DUMMYFUNCTION("""COMPUTED_VALUE"""),"uga")</f>
        <v>uga</v>
      </c>
      <c r="C16590" t="str">
        <f>IFERROR(__xludf.DUMMYFUNCTION("""COMPUTED_VALUE"""),"Uganda")</f>
        <v>Uganda</v>
      </c>
      <c r="D16590">
        <f>IFERROR(__xludf.DUMMYFUNCTION("""COMPUTED_VALUE"""),1974.0)</f>
        <v>1974</v>
      </c>
      <c r="E16590">
        <f>IFERROR(__xludf.DUMMYFUNCTION("""COMPUTED_VALUE"""),1.0533716E7)</f>
        <v>10533716</v>
      </c>
    </row>
    <row r="16591">
      <c r="A16591" t="str">
        <f t="shared" si="1"/>
        <v>uga#1975</v>
      </c>
      <c r="B16591" t="str">
        <f>IFERROR(__xludf.DUMMYFUNCTION("""COMPUTED_VALUE"""),"uga")</f>
        <v>uga</v>
      </c>
      <c r="C16591" t="str">
        <f>IFERROR(__xludf.DUMMYFUNCTION("""COMPUTED_VALUE"""),"Uganda")</f>
        <v>Uganda</v>
      </c>
      <c r="D16591">
        <f>IFERROR(__xludf.DUMMYFUNCTION("""COMPUTED_VALUE"""),1975.0)</f>
        <v>1975</v>
      </c>
      <c r="E16591">
        <f>IFERROR(__xludf.DUMMYFUNCTION("""COMPUTED_VALUE"""),1.0827147E7)</f>
        <v>10827147</v>
      </c>
    </row>
    <row r="16592">
      <c r="A16592" t="str">
        <f t="shared" si="1"/>
        <v>uga#1976</v>
      </c>
      <c r="B16592" t="str">
        <f>IFERROR(__xludf.DUMMYFUNCTION("""COMPUTED_VALUE"""),"uga")</f>
        <v>uga</v>
      </c>
      <c r="C16592" t="str">
        <f>IFERROR(__xludf.DUMMYFUNCTION("""COMPUTED_VALUE"""),"Uganda")</f>
        <v>Uganda</v>
      </c>
      <c r="D16592">
        <f>IFERROR(__xludf.DUMMYFUNCTION("""COMPUTED_VALUE"""),1976.0)</f>
        <v>1976</v>
      </c>
      <c r="E16592">
        <f>IFERROR(__xludf.DUMMYFUNCTION("""COMPUTED_VALUE"""),1.1139833E7)</f>
        <v>11139833</v>
      </c>
    </row>
    <row r="16593">
      <c r="A16593" t="str">
        <f t="shared" si="1"/>
        <v>uga#1977</v>
      </c>
      <c r="B16593" t="str">
        <f>IFERROR(__xludf.DUMMYFUNCTION("""COMPUTED_VALUE"""),"uga")</f>
        <v>uga</v>
      </c>
      <c r="C16593" t="str">
        <f>IFERROR(__xludf.DUMMYFUNCTION("""COMPUTED_VALUE"""),"Uganda")</f>
        <v>Uganda</v>
      </c>
      <c r="D16593">
        <f>IFERROR(__xludf.DUMMYFUNCTION("""COMPUTED_VALUE"""),1977.0)</f>
        <v>1977</v>
      </c>
      <c r="E16593">
        <f>IFERROR(__xludf.DUMMYFUNCTION("""COMPUTED_VALUE"""),1.1470867E7)</f>
        <v>11470867</v>
      </c>
    </row>
    <row r="16594">
      <c r="A16594" t="str">
        <f t="shared" si="1"/>
        <v>uga#1978</v>
      </c>
      <c r="B16594" t="str">
        <f>IFERROR(__xludf.DUMMYFUNCTION("""COMPUTED_VALUE"""),"uga")</f>
        <v>uga</v>
      </c>
      <c r="C16594" t="str">
        <f>IFERROR(__xludf.DUMMYFUNCTION("""COMPUTED_VALUE"""),"Uganda")</f>
        <v>Uganda</v>
      </c>
      <c r="D16594">
        <f>IFERROR(__xludf.DUMMYFUNCTION("""COMPUTED_VALUE"""),1978.0)</f>
        <v>1978</v>
      </c>
      <c r="E16594">
        <f>IFERROR(__xludf.DUMMYFUNCTION("""COMPUTED_VALUE"""),1.1818307E7)</f>
        <v>11818307</v>
      </c>
    </row>
    <row r="16595">
      <c r="A16595" t="str">
        <f t="shared" si="1"/>
        <v>uga#1979</v>
      </c>
      <c r="B16595" t="str">
        <f>IFERROR(__xludf.DUMMYFUNCTION("""COMPUTED_VALUE"""),"uga")</f>
        <v>uga</v>
      </c>
      <c r="C16595" t="str">
        <f>IFERROR(__xludf.DUMMYFUNCTION("""COMPUTED_VALUE"""),"Uganda")</f>
        <v>Uganda</v>
      </c>
      <c r="D16595">
        <f>IFERROR(__xludf.DUMMYFUNCTION("""COMPUTED_VALUE"""),1979.0)</f>
        <v>1979</v>
      </c>
      <c r="E16595">
        <f>IFERROR(__xludf.DUMMYFUNCTION("""COMPUTED_VALUE"""),1.2178544E7)</f>
        <v>12178544</v>
      </c>
    </row>
    <row r="16596">
      <c r="A16596" t="str">
        <f t="shared" si="1"/>
        <v>uga#1980</v>
      </c>
      <c r="B16596" t="str">
        <f>IFERROR(__xludf.DUMMYFUNCTION("""COMPUTED_VALUE"""),"uga")</f>
        <v>uga</v>
      </c>
      <c r="C16596" t="str">
        <f>IFERROR(__xludf.DUMMYFUNCTION("""COMPUTED_VALUE"""),"Uganda")</f>
        <v>Uganda</v>
      </c>
      <c r="D16596">
        <f>IFERROR(__xludf.DUMMYFUNCTION("""COMPUTED_VALUE"""),1980.0)</f>
        <v>1980</v>
      </c>
      <c r="E16596">
        <f>IFERROR(__xludf.DUMMYFUNCTION("""COMPUTED_VALUE"""),1.254954E7)</f>
        <v>12549540</v>
      </c>
    </row>
    <row r="16597">
      <c r="A16597" t="str">
        <f t="shared" si="1"/>
        <v>uga#1981</v>
      </c>
      <c r="B16597" t="str">
        <f>IFERROR(__xludf.DUMMYFUNCTION("""COMPUTED_VALUE"""),"uga")</f>
        <v>uga</v>
      </c>
      <c r="C16597" t="str">
        <f>IFERROR(__xludf.DUMMYFUNCTION("""COMPUTED_VALUE"""),"Uganda")</f>
        <v>Uganda</v>
      </c>
      <c r="D16597">
        <f>IFERROR(__xludf.DUMMYFUNCTION("""COMPUTED_VALUE"""),1981.0)</f>
        <v>1981</v>
      </c>
      <c r="E16597">
        <f>IFERROR(__xludf.DUMMYFUNCTION("""COMPUTED_VALUE"""),1.2930209E7)</f>
        <v>12930209</v>
      </c>
    </row>
    <row r="16598">
      <c r="A16598" t="str">
        <f t="shared" si="1"/>
        <v>uga#1982</v>
      </c>
      <c r="B16598" t="str">
        <f>IFERROR(__xludf.DUMMYFUNCTION("""COMPUTED_VALUE"""),"uga")</f>
        <v>uga</v>
      </c>
      <c r="C16598" t="str">
        <f>IFERROR(__xludf.DUMMYFUNCTION("""COMPUTED_VALUE"""),"Uganda")</f>
        <v>Uganda</v>
      </c>
      <c r="D16598">
        <f>IFERROR(__xludf.DUMMYFUNCTION("""COMPUTED_VALUE"""),1982.0)</f>
        <v>1982</v>
      </c>
      <c r="E16598">
        <f>IFERROR(__xludf.DUMMYFUNCTION("""COMPUTED_VALUE"""),1.3323332E7)</f>
        <v>13323332</v>
      </c>
    </row>
    <row r="16599">
      <c r="A16599" t="str">
        <f t="shared" si="1"/>
        <v>uga#1983</v>
      </c>
      <c r="B16599" t="str">
        <f>IFERROR(__xludf.DUMMYFUNCTION("""COMPUTED_VALUE"""),"uga")</f>
        <v>uga</v>
      </c>
      <c r="C16599" t="str">
        <f>IFERROR(__xludf.DUMMYFUNCTION("""COMPUTED_VALUE"""),"Uganda")</f>
        <v>Uganda</v>
      </c>
      <c r="D16599">
        <f>IFERROR(__xludf.DUMMYFUNCTION("""COMPUTED_VALUE"""),1983.0)</f>
        <v>1983</v>
      </c>
      <c r="E16599">
        <f>IFERROR(__xludf.DUMMYFUNCTION("""COMPUTED_VALUE"""),1.3735271E7)</f>
        <v>13735271</v>
      </c>
    </row>
    <row r="16600">
      <c r="A16600" t="str">
        <f t="shared" si="1"/>
        <v>uga#1984</v>
      </c>
      <c r="B16600" t="str">
        <f>IFERROR(__xludf.DUMMYFUNCTION("""COMPUTED_VALUE"""),"uga")</f>
        <v>uga</v>
      </c>
      <c r="C16600" t="str">
        <f>IFERROR(__xludf.DUMMYFUNCTION("""COMPUTED_VALUE"""),"Uganda")</f>
        <v>Uganda</v>
      </c>
      <c r="D16600">
        <f>IFERROR(__xludf.DUMMYFUNCTION("""COMPUTED_VALUE"""),1984.0)</f>
        <v>1984</v>
      </c>
      <c r="E16600">
        <f>IFERROR(__xludf.DUMMYFUNCTION("""COMPUTED_VALUE"""),1.417447E7)</f>
        <v>14174470</v>
      </c>
    </row>
    <row r="16601">
      <c r="A16601" t="str">
        <f t="shared" si="1"/>
        <v>uga#1985</v>
      </c>
      <c r="B16601" t="str">
        <f>IFERROR(__xludf.DUMMYFUNCTION("""COMPUTED_VALUE"""),"uga")</f>
        <v>uga</v>
      </c>
      <c r="C16601" t="str">
        <f>IFERROR(__xludf.DUMMYFUNCTION("""COMPUTED_VALUE"""),"Uganda")</f>
        <v>Uganda</v>
      </c>
      <c r="D16601">
        <f>IFERROR(__xludf.DUMMYFUNCTION("""COMPUTED_VALUE"""),1985.0)</f>
        <v>1985</v>
      </c>
      <c r="E16601">
        <f>IFERROR(__xludf.DUMMYFUNCTION("""COMPUTED_VALUE"""),1.4646624E7)</f>
        <v>14646624</v>
      </c>
    </row>
    <row r="16602">
      <c r="A16602" t="str">
        <f t="shared" si="1"/>
        <v>uga#1986</v>
      </c>
      <c r="B16602" t="str">
        <f>IFERROR(__xludf.DUMMYFUNCTION("""COMPUTED_VALUE"""),"uga")</f>
        <v>uga</v>
      </c>
      <c r="C16602" t="str">
        <f>IFERROR(__xludf.DUMMYFUNCTION("""COMPUTED_VALUE"""),"Uganda")</f>
        <v>Uganda</v>
      </c>
      <c r="D16602">
        <f>IFERROR(__xludf.DUMMYFUNCTION("""COMPUTED_VALUE"""),1986.0)</f>
        <v>1986</v>
      </c>
      <c r="E16602">
        <f>IFERROR(__xludf.DUMMYFUNCTION("""COMPUTED_VALUE"""),1.5154521E7)</f>
        <v>15154521</v>
      </c>
    </row>
    <row r="16603">
      <c r="A16603" t="str">
        <f t="shared" si="1"/>
        <v>uga#1987</v>
      </c>
      <c r="B16603" t="str">
        <f>IFERROR(__xludf.DUMMYFUNCTION("""COMPUTED_VALUE"""),"uga")</f>
        <v>uga</v>
      </c>
      <c r="C16603" t="str">
        <f>IFERROR(__xludf.DUMMYFUNCTION("""COMPUTED_VALUE"""),"Uganda")</f>
        <v>Uganda</v>
      </c>
      <c r="D16603">
        <f>IFERROR(__xludf.DUMMYFUNCTION("""COMPUTED_VALUE"""),1987.0)</f>
        <v>1987</v>
      </c>
      <c r="E16603">
        <f>IFERROR(__xludf.DUMMYFUNCTION("""COMPUTED_VALUE"""),1.5695411E7)</f>
        <v>15695411</v>
      </c>
    </row>
    <row r="16604">
      <c r="A16604" t="str">
        <f t="shared" si="1"/>
        <v>uga#1988</v>
      </c>
      <c r="B16604" t="str">
        <f>IFERROR(__xludf.DUMMYFUNCTION("""COMPUTED_VALUE"""),"uga")</f>
        <v>uga</v>
      </c>
      <c r="C16604" t="str">
        <f>IFERROR(__xludf.DUMMYFUNCTION("""COMPUTED_VALUE"""),"Uganda")</f>
        <v>Uganda</v>
      </c>
      <c r="D16604">
        <f>IFERROR(__xludf.DUMMYFUNCTION("""COMPUTED_VALUE"""),1988.0)</f>
        <v>1988</v>
      </c>
      <c r="E16604">
        <f>IFERROR(__xludf.DUMMYFUNCTION("""COMPUTED_VALUE"""),1.6262533E7)</f>
        <v>16262533</v>
      </c>
    </row>
    <row r="16605">
      <c r="A16605" t="str">
        <f t="shared" si="1"/>
        <v>uga#1989</v>
      </c>
      <c r="B16605" t="str">
        <f>IFERROR(__xludf.DUMMYFUNCTION("""COMPUTED_VALUE"""),"uga")</f>
        <v>uga</v>
      </c>
      <c r="C16605" t="str">
        <f>IFERROR(__xludf.DUMMYFUNCTION("""COMPUTED_VALUE"""),"Uganda")</f>
        <v>Uganda</v>
      </c>
      <c r="D16605">
        <f>IFERROR(__xludf.DUMMYFUNCTION("""COMPUTED_VALUE"""),1989.0)</f>
        <v>1989</v>
      </c>
      <c r="E16605">
        <f>IFERROR(__xludf.DUMMYFUNCTION("""COMPUTED_VALUE"""),1.684609E7)</f>
        <v>16846090</v>
      </c>
    </row>
    <row r="16606">
      <c r="A16606" t="str">
        <f t="shared" si="1"/>
        <v>uga#1990</v>
      </c>
      <c r="B16606" t="str">
        <f>IFERROR(__xludf.DUMMYFUNCTION("""COMPUTED_VALUE"""),"uga")</f>
        <v>uga</v>
      </c>
      <c r="C16606" t="str">
        <f>IFERROR(__xludf.DUMMYFUNCTION("""COMPUTED_VALUE"""),"Uganda")</f>
        <v>Uganda</v>
      </c>
      <c r="D16606">
        <f>IFERROR(__xludf.DUMMYFUNCTION("""COMPUTED_VALUE"""),1990.0)</f>
        <v>1990</v>
      </c>
      <c r="E16606">
        <f>IFERROR(__xludf.DUMMYFUNCTION("""COMPUTED_VALUE"""),1.7438907E7)</f>
        <v>17438907</v>
      </c>
    </row>
    <row r="16607">
      <c r="A16607" t="str">
        <f t="shared" si="1"/>
        <v>uga#1991</v>
      </c>
      <c r="B16607" t="str">
        <f>IFERROR(__xludf.DUMMYFUNCTION("""COMPUTED_VALUE"""),"uga")</f>
        <v>uga</v>
      </c>
      <c r="C16607" t="str">
        <f>IFERROR(__xludf.DUMMYFUNCTION("""COMPUTED_VALUE"""),"Uganda")</f>
        <v>Uganda</v>
      </c>
      <c r="D16607">
        <f>IFERROR(__xludf.DUMMYFUNCTION("""COMPUTED_VALUE"""),1991.0)</f>
        <v>1991</v>
      </c>
      <c r="E16607">
        <f>IFERROR(__xludf.DUMMYFUNCTION("""COMPUTED_VALUE"""),1.8040438E7)</f>
        <v>18040438</v>
      </c>
    </row>
    <row r="16608">
      <c r="A16608" t="str">
        <f t="shared" si="1"/>
        <v>uga#1992</v>
      </c>
      <c r="B16608" t="str">
        <f>IFERROR(__xludf.DUMMYFUNCTION("""COMPUTED_VALUE"""),"uga")</f>
        <v>uga</v>
      </c>
      <c r="C16608" t="str">
        <f>IFERROR(__xludf.DUMMYFUNCTION("""COMPUTED_VALUE"""),"Uganda")</f>
        <v>Uganda</v>
      </c>
      <c r="D16608">
        <f>IFERROR(__xludf.DUMMYFUNCTION("""COMPUTED_VALUE"""),1992.0)</f>
        <v>1992</v>
      </c>
      <c r="E16608">
        <f>IFERROR(__xludf.DUMMYFUNCTION("""COMPUTED_VALUE"""),1.8652889E7)</f>
        <v>18652889</v>
      </c>
    </row>
    <row r="16609">
      <c r="A16609" t="str">
        <f t="shared" si="1"/>
        <v>uga#1993</v>
      </c>
      <c r="B16609" t="str">
        <f>IFERROR(__xludf.DUMMYFUNCTION("""COMPUTED_VALUE"""),"uga")</f>
        <v>uga</v>
      </c>
      <c r="C16609" t="str">
        <f>IFERROR(__xludf.DUMMYFUNCTION("""COMPUTED_VALUE"""),"Uganda")</f>
        <v>Uganda</v>
      </c>
      <c r="D16609">
        <f>IFERROR(__xludf.DUMMYFUNCTION("""COMPUTED_VALUE"""),1993.0)</f>
        <v>1993</v>
      </c>
      <c r="E16609">
        <f>IFERROR(__xludf.DUMMYFUNCTION("""COMPUTED_VALUE"""),1.9275422E7)</f>
        <v>19275422</v>
      </c>
    </row>
    <row r="16610">
      <c r="A16610" t="str">
        <f t="shared" si="1"/>
        <v>uga#1994</v>
      </c>
      <c r="B16610" t="str">
        <f>IFERROR(__xludf.DUMMYFUNCTION("""COMPUTED_VALUE"""),"uga")</f>
        <v>uga</v>
      </c>
      <c r="C16610" t="str">
        <f>IFERROR(__xludf.DUMMYFUNCTION("""COMPUTED_VALUE"""),"Uganda")</f>
        <v>Uganda</v>
      </c>
      <c r="D16610">
        <f>IFERROR(__xludf.DUMMYFUNCTION("""COMPUTED_VALUE"""),1994.0)</f>
        <v>1994</v>
      </c>
      <c r="E16610">
        <f>IFERROR(__xludf.DUMMYFUNCTION("""COMPUTED_VALUE"""),1.9907634E7)</f>
        <v>19907634</v>
      </c>
    </row>
    <row r="16611">
      <c r="A16611" t="str">
        <f t="shared" si="1"/>
        <v>uga#1995</v>
      </c>
      <c r="B16611" t="str">
        <f>IFERROR(__xludf.DUMMYFUNCTION("""COMPUTED_VALUE"""),"uga")</f>
        <v>uga</v>
      </c>
      <c r="C16611" t="str">
        <f>IFERROR(__xludf.DUMMYFUNCTION("""COMPUTED_VALUE"""),"Uganda")</f>
        <v>Uganda</v>
      </c>
      <c r="D16611">
        <f>IFERROR(__xludf.DUMMYFUNCTION("""COMPUTED_VALUE"""),1995.0)</f>
        <v>1995</v>
      </c>
      <c r="E16611">
        <f>IFERROR(__xludf.DUMMYFUNCTION("""COMPUTED_VALUE"""),2.0550291E7)</f>
        <v>20550291</v>
      </c>
    </row>
    <row r="16612">
      <c r="A16612" t="str">
        <f t="shared" si="1"/>
        <v>uga#1996</v>
      </c>
      <c r="B16612" t="str">
        <f>IFERROR(__xludf.DUMMYFUNCTION("""COMPUTED_VALUE"""),"uga")</f>
        <v>uga</v>
      </c>
      <c r="C16612" t="str">
        <f>IFERROR(__xludf.DUMMYFUNCTION("""COMPUTED_VALUE"""),"Uganda")</f>
        <v>Uganda</v>
      </c>
      <c r="D16612">
        <f>IFERROR(__xludf.DUMMYFUNCTION("""COMPUTED_VALUE"""),1996.0)</f>
        <v>1996</v>
      </c>
      <c r="E16612">
        <f>IFERROR(__xludf.DUMMYFUNCTION("""COMPUTED_VALUE"""),2.1202118E7)</f>
        <v>21202118</v>
      </c>
    </row>
    <row r="16613">
      <c r="A16613" t="str">
        <f t="shared" si="1"/>
        <v>uga#1997</v>
      </c>
      <c r="B16613" t="str">
        <f>IFERROR(__xludf.DUMMYFUNCTION("""COMPUTED_VALUE"""),"uga")</f>
        <v>uga</v>
      </c>
      <c r="C16613" t="str">
        <f>IFERROR(__xludf.DUMMYFUNCTION("""COMPUTED_VALUE"""),"Uganda")</f>
        <v>Uganda</v>
      </c>
      <c r="D16613">
        <f>IFERROR(__xludf.DUMMYFUNCTION("""COMPUTED_VALUE"""),1997.0)</f>
        <v>1997</v>
      </c>
      <c r="E16613">
        <f>IFERROR(__xludf.DUMMYFUNCTION("""COMPUTED_VALUE"""),2.1865931E7)</f>
        <v>21865931</v>
      </c>
    </row>
    <row r="16614">
      <c r="A16614" t="str">
        <f t="shared" si="1"/>
        <v>uga#1998</v>
      </c>
      <c r="B16614" t="str">
        <f>IFERROR(__xludf.DUMMYFUNCTION("""COMPUTED_VALUE"""),"uga")</f>
        <v>uga</v>
      </c>
      <c r="C16614" t="str">
        <f>IFERROR(__xludf.DUMMYFUNCTION("""COMPUTED_VALUE"""),"Uganda")</f>
        <v>Uganda</v>
      </c>
      <c r="D16614">
        <f>IFERROR(__xludf.DUMMYFUNCTION("""COMPUTED_VALUE"""),1998.0)</f>
        <v>1998</v>
      </c>
      <c r="E16614">
        <f>IFERROR(__xludf.DUMMYFUNCTION("""COMPUTED_VALUE"""),2.2551789E7)</f>
        <v>22551789</v>
      </c>
    </row>
    <row r="16615">
      <c r="A16615" t="str">
        <f t="shared" si="1"/>
        <v>uga#1999</v>
      </c>
      <c r="B16615" t="str">
        <f>IFERROR(__xludf.DUMMYFUNCTION("""COMPUTED_VALUE"""),"uga")</f>
        <v>uga</v>
      </c>
      <c r="C16615" t="str">
        <f>IFERROR(__xludf.DUMMYFUNCTION("""COMPUTED_VALUE"""),"Uganda")</f>
        <v>Uganda</v>
      </c>
      <c r="D16615">
        <f>IFERROR(__xludf.DUMMYFUNCTION("""COMPUTED_VALUE"""),1999.0)</f>
        <v>1999</v>
      </c>
      <c r="E16615">
        <f>IFERROR(__xludf.DUMMYFUNCTION("""COMPUTED_VALUE"""),2.3272995E7)</f>
        <v>23272995</v>
      </c>
    </row>
    <row r="16616">
      <c r="A16616" t="str">
        <f t="shared" si="1"/>
        <v>uga#2000</v>
      </c>
      <c r="B16616" t="str">
        <f>IFERROR(__xludf.DUMMYFUNCTION("""COMPUTED_VALUE"""),"uga")</f>
        <v>uga</v>
      </c>
      <c r="C16616" t="str">
        <f>IFERROR(__xludf.DUMMYFUNCTION("""COMPUTED_VALUE"""),"Uganda")</f>
        <v>Uganda</v>
      </c>
      <c r="D16616">
        <f>IFERROR(__xludf.DUMMYFUNCTION("""COMPUTED_VALUE"""),2000.0)</f>
        <v>2000</v>
      </c>
      <c r="E16616">
        <f>IFERROR(__xludf.DUMMYFUNCTION("""COMPUTED_VALUE"""),2.4039274E7)</f>
        <v>24039274</v>
      </c>
    </row>
    <row r="16617">
      <c r="A16617" t="str">
        <f t="shared" si="1"/>
        <v>uga#2001</v>
      </c>
      <c r="B16617" t="str">
        <f>IFERROR(__xludf.DUMMYFUNCTION("""COMPUTED_VALUE"""),"uga")</f>
        <v>uga</v>
      </c>
      <c r="C16617" t="str">
        <f>IFERROR(__xludf.DUMMYFUNCTION("""COMPUTED_VALUE"""),"Uganda")</f>
        <v>Uganda</v>
      </c>
      <c r="D16617">
        <f>IFERROR(__xludf.DUMMYFUNCTION("""COMPUTED_VALUE"""),2001.0)</f>
        <v>2001</v>
      </c>
      <c r="E16617">
        <f>IFERROR(__xludf.DUMMYFUNCTION("""COMPUTED_VALUE"""),2.4854892E7)</f>
        <v>24854892</v>
      </c>
    </row>
    <row r="16618">
      <c r="A16618" t="str">
        <f t="shared" si="1"/>
        <v>uga#2002</v>
      </c>
      <c r="B16618" t="str">
        <f>IFERROR(__xludf.DUMMYFUNCTION("""COMPUTED_VALUE"""),"uga")</f>
        <v>uga</v>
      </c>
      <c r="C16618" t="str">
        <f>IFERROR(__xludf.DUMMYFUNCTION("""COMPUTED_VALUE"""),"Uganda")</f>
        <v>Uganda</v>
      </c>
      <c r="D16618">
        <f>IFERROR(__xludf.DUMMYFUNCTION("""COMPUTED_VALUE"""),2002.0)</f>
        <v>2002</v>
      </c>
      <c r="E16618">
        <f>IFERROR(__xludf.DUMMYFUNCTION("""COMPUTED_VALUE"""),2.5718048E7)</f>
        <v>25718048</v>
      </c>
    </row>
    <row r="16619">
      <c r="A16619" t="str">
        <f t="shared" si="1"/>
        <v>uga#2003</v>
      </c>
      <c r="B16619" t="str">
        <f>IFERROR(__xludf.DUMMYFUNCTION("""COMPUTED_VALUE"""),"uga")</f>
        <v>uga</v>
      </c>
      <c r="C16619" t="str">
        <f>IFERROR(__xludf.DUMMYFUNCTION("""COMPUTED_VALUE"""),"Uganda")</f>
        <v>Uganda</v>
      </c>
      <c r="D16619">
        <f>IFERROR(__xludf.DUMMYFUNCTION("""COMPUTED_VALUE"""),2003.0)</f>
        <v>2003</v>
      </c>
      <c r="E16619">
        <f>IFERROR(__xludf.DUMMYFUNCTION("""COMPUTED_VALUE"""),2.662482E7)</f>
        <v>26624820</v>
      </c>
    </row>
    <row r="16620">
      <c r="A16620" t="str">
        <f t="shared" si="1"/>
        <v>uga#2004</v>
      </c>
      <c r="B16620" t="str">
        <f>IFERROR(__xludf.DUMMYFUNCTION("""COMPUTED_VALUE"""),"uga")</f>
        <v>uga</v>
      </c>
      <c r="C16620" t="str">
        <f>IFERROR(__xludf.DUMMYFUNCTION("""COMPUTED_VALUE"""),"Uganda")</f>
        <v>Uganda</v>
      </c>
      <c r="D16620">
        <f>IFERROR(__xludf.DUMMYFUNCTION("""COMPUTED_VALUE"""),2004.0)</f>
        <v>2004</v>
      </c>
      <c r="E16620">
        <f>IFERROR(__xludf.DUMMYFUNCTION("""COMPUTED_VALUE"""),2.7568436E7)</f>
        <v>27568436</v>
      </c>
    </row>
    <row r="16621">
      <c r="A16621" t="str">
        <f t="shared" si="1"/>
        <v>uga#2005</v>
      </c>
      <c r="B16621" t="str">
        <f>IFERROR(__xludf.DUMMYFUNCTION("""COMPUTED_VALUE"""),"uga")</f>
        <v>uga</v>
      </c>
      <c r="C16621" t="str">
        <f>IFERROR(__xludf.DUMMYFUNCTION("""COMPUTED_VALUE"""),"Uganda")</f>
        <v>Uganda</v>
      </c>
      <c r="D16621">
        <f>IFERROR(__xludf.DUMMYFUNCTION("""COMPUTED_VALUE"""),2005.0)</f>
        <v>2005</v>
      </c>
      <c r="E16621">
        <f>IFERROR(__xludf.DUMMYFUNCTION("""COMPUTED_VALUE"""),2.854394E7)</f>
        <v>28543940</v>
      </c>
    </row>
    <row r="16622">
      <c r="A16622" t="str">
        <f t="shared" si="1"/>
        <v>uga#2006</v>
      </c>
      <c r="B16622" t="str">
        <f>IFERROR(__xludf.DUMMYFUNCTION("""COMPUTED_VALUE"""),"uga")</f>
        <v>uga</v>
      </c>
      <c r="C16622" t="str">
        <f>IFERROR(__xludf.DUMMYFUNCTION("""COMPUTED_VALUE"""),"Uganda")</f>
        <v>Uganda</v>
      </c>
      <c r="D16622">
        <f>IFERROR(__xludf.DUMMYFUNCTION("""COMPUTED_VALUE"""),2006.0)</f>
        <v>2006</v>
      </c>
      <c r="E16622">
        <f>IFERROR(__xludf.DUMMYFUNCTION("""COMPUTED_VALUE"""),2.9550662E7)</f>
        <v>29550662</v>
      </c>
    </row>
    <row r="16623">
      <c r="A16623" t="str">
        <f t="shared" si="1"/>
        <v>uga#2007</v>
      </c>
      <c r="B16623" t="str">
        <f>IFERROR(__xludf.DUMMYFUNCTION("""COMPUTED_VALUE"""),"uga")</f>
        <v>uga</v>
      </c>
      <c r="C16623" t="str">
        <f>IFERROR(__xludf.DUMMYFUNCTION("""COMPUTED_VALUE"""),"Uganda")</f>
        <v>Uganda</v>
      </c>
      <c r="D16623">
        <f>IFERROR(__xludf.DUMMYFUNCTION("""COMPUTED_VALUE"""),2007.0)</f>
        <v>2007</v>
      </c>
      <c r="E16623">
        <f>IFERROR(__xludf.DUMMYFUNCTION("""COMPUTED_VALUE"""),3.0590487E7)</f>
        <v>30590487</v>
      </c>
    </row>
    <row r="16624">
      <c r="A16624" t="str">
        <f t="shared" si="1"/>
        <v>uga#2008</v>
      </c>
      <c r="B16624" t="str">
        <f>IFERROR(__xludf.DUMMYFUNCTION("""COMPUTED_VALUE"""),"uga")</f>
        <v>uga</v>
      </c>
      <c r="C16624" t="str">
        <f>IFERROR(__xludf.DUMMYFUNCTION("""COMPUTED_VALUE"""),"Uganda")</f>
        <v>Uganda</v>
      </c>
      <c r="D16624">
        <f>IFERROR(__xludf.DUMMYFUNCTION("""COMPUTED_VALUE"""),2008.0)</f>
        <v>2008</v>
      </c>
      <c r="E16624">
        <f>IFERROR(__xludf.DUMMYFUNCTION("""COMPUTED_VALUE"""),3.1663896E7)</f>
        <v>31663896</v>
      </c>
    </row>
    <row r="16625">
      <c r="A16625" t="str">
        <f t="shared" si="1"/>
        <v>uga#2009</v>
      </c>
      <c r="B16625" t="str">
        <f>IFERROR(__xludf.DUMMYFUNCTION("""COMPUTED_VALUE"""),"uga")</f>
        <v>uga</v>
      </c>
      <c r="C16625" t="str">
        <f>IFERROR(__xludf.DUMMYFUNCTION("""COMPUTED_VALUE"""),"Uganda")</f>
        <v>Uganda</v>
      </c>
      <c r="D16625">
        <f>IFERROR(__xludf.DUMMYFUNCTION("""COMPUTED_VALUE"""),2009.0)</f>
        <v>2009</v>
      </c>
      <c r="E16625">
        <f>IFERROR(__xludf.DUMMYFUNCTION("""COMPUTED_VALUE"""),3.2771895E7)</f>
        <v>32771895</v>
      </c>
    </row>
    <row r="16626">
      <c r="A16626" t="str">
        <f t="shared" si="1"/>
        <v>uga#2010</v>
      </c>
      <c r="B16626" t="str">
        <f>IFERROR(__xludf.DUMMYFUNCTION("""COMPUTED_VALUE"""),"uga")</f>
        <v>uga</v>
      </c>
      <c r="C16626" t="str">
        <f>IFERROR(__xludf.DUMMYFUNCTION("""COMPUTED_VALUE"""),"Uganda")</f>
        <v>Uganda</v>
      </c>
      <c r="D16626">
        <f>IFERROR(__xludf.DUMMYFUNCTION("""COMPUTED_VALUE"""),2010.0)</f>
        <v>2010</v>
      </c>
      <c r="E16626">
        <f>IFERROR(__xludf.DUMMYFUNCTION("""COMPUTED_VALUE"""),3.3915133E7)</f>
        <v>33915133</v>
      </c>
    </row>
    <row r="16627">
      <c r="A16627" t="str">
        <f t="shared" si="1"/>
        <v>uga#2011</v>
      </c>
      <c r="B16627" t="str">
        <f>IFERROR(__xludf.DUMMYFUNCTION("""COMPUTED_VALUE"""),"uga")</f>
        <v>uga</v>
      </c>
      <c r="C16627" t="str">
        <f>IFERROR(__xludf.DUMMYFUNCTION("""COMPUTED_VALUE"""),"Uganda")</f>
        <v>Uganda</v>
      </c>
      <c r="D16627">
        <f>IFERROR(__xludf.DUMMYFUNCTION("""COMPUTED_VALUE"""),2011.0)</f>
        <v>2011</v>
      </c>
      <c r="E16627">
        <f>IFERROR(__xludf.DUMMYFUNCTION("""COMPUTED_VALUE"""),3.5093648E7)</f>
        <v>35093648</v>
      </c>
    </row>
    <row r="16628">
      <c r="A16628" t="str">
        <f t="shared" si="1"/>
        <v>uga#2012</v>
      </c>
      <c r="B16628" t="str">
        <f>IFERROR(__xludf.DUMMYFUNCTION("""COMPUTED_VALUE"""),"uga")</f>
        <v>uga</v>
      </c>
      <c r="C16628" t="str">
        <f>IFERROR(__xludf.DUMMYFUNCTION("""COMPUTED_VALUE"""),"Uganda")</f>
        <v>Uganda</v>
      </c>
      <c r="D16628">
        <f>IFERROR(__xludf.DUMMYFUNCTION("""COMPUTED_VALUE"""),2012.0)</f>
        <v>2012</v>
      </c>
      <c r="E16628">
        <f>IFERROR(__xludf.DUMMYFUNCTION("""COMPUTED_VALUE"""),3.6306796E7)</f>
        <v>36306796</v>
      </c>
    </row>
    <row r="16629">
      <c r="A16629" t="str">
        <f t="shared" si="1"/>
        <v>uga#2013</v>
      </c>
      <c r="B16629" t="str">
        <f>IFERROR(__xludf.DUMMYFUNCTION("""COMPUTED_VALUE"""),"uga")</f>
        <v>uga</v>
      </c>
      <c r="C16629" t="str">
        <f>IFERROR(__xludf.DUMMYFUNCTION("""COMPUTED_VALUE"""),"Uganda")</f>
        <v>Uganda</v>
      </c>
      <c r="D16629">
        <f>IFERROR(__xludf.DUMMYFUNCTION("""COMPUTED_VALUE"""),2013.0)</f>
        <v>2013</v>
      </c>
      <c r="E16629">
        <f>IFERROR(__xludf.DUMMYFUNCTION("""COMPUTED_VALUE"""),3.7553726E7)</f>
        <v>37553726</v>
      </c>
    </row>
    <row r="16630">
      <c r="A16630" t="str">
        <f t="shared" si="1"/>
        <v>uga#2014</v>
      </c>
      <c r="B16630" t="str">
        <f>IFERROR(__xludf.DUMMYFUNCTION("""COMPUTED_VALUE"""),"uga")</f>
        <v>uga</v>
      </c>
      <c r="C16630" t="str">
        <f>IFERROR(__xludf.DUMMYFUNCTION("""COMPUTED_VALUE"""),"Uganda")</f>
        <v>Uganda</v>
      </c>
      <c r="D16630">
        <f>IFERROR(__xludf.DUMMYFUNCTION("""COMPUTED_VALUE"""),2014.0)</f>
        <v>2014</v>
      </c>
      <c r="E16630">
        <f>IFERROR(__xludf.DUMMYFUNCTION("""COMPUTED_VALUE"""),3.8833338E7)</f>
        <v>38833338</v>
      </c>
    </row>
    <row r="16631">
      <c r="A16631" t="str">
        <f t="shared" si="1"/>
        <v>uga#2015</v>
      </c>
      <c r="B16631" t="str">
        <f>IFERROR(__xludf.DUMMYFUNCTION("""COMPUTED_VALUE"""),"uga")</f>
        <v>uga</v>
      </c>
      <c r="C16631" t="str">
        <f>IFERROR(__xludf.DUMMYFUNCTION("""COMPUTED_VALUE"""),"Uganda")</f>
        <v>Uganda</v>
      </c>
      <c r="D16631">
        <f>IFERROR(__xludf.DUMMYFUNCTION("""COMPUTED_VALUE"""),2015.0)</f>
        <v>2015</v>
      </c>
      <c r="E16631">
        <f>IFERROR(__xludf.DUMMYFUNCTION("""COMPUTED_VALUE"""),4.014487E7)</f>
        <v>40144870</v>
      </c>
    </row>
    <row r="16632">
      <c r="A16632" t="str">
        <f t="shared" si="1"/>
        <v>uga#2016</v>
      </c>
      <c r="B16632" t="str">
        <f>IFERROR(__xludf.DUMMYFUNCTION("""COMPUTED_VALUE"""),"uga")</f>
        <v>uga</v>
      </c>
      <c r="C16632" t="str">
        <f>IFERROR(__xludf.DUMMYFUNCTION("""COMPUTED_VALUE"""),"Uganda")</f>
        <v>Uganda</v>
      </c>
      <c r="D16632">
        <f>IFERROR(__xludf.DUMMYFUNCTION("""COMPUTED_VALUE"""),2016.0)</f>
        <v>2016</v>
      </c>
      <c r="E16632">
        <f>IFERROR(__xludf.DUMMYFUNCTION("""COMPUTED_VALUE"""),4.1487965E7)</f>
        <v>41487965</v>
      </c>
    </row>
    <row r="16633">
      <c r="A16633" t="str">
        <f t="shared" si="1"/>
        <v>uga#2017</v>
      </c>
      <c r="B16633" t="str">
        <f>IFERROR(__xludf.DUMMYFUNCTION("""COMPUTED_VALUE"""),"uga")</f>
        <v>uga</v>
      </c>
      <c r="C16633" t="str">
        <f>IFERROR(__xludf.DUMMYFUNCTION("""COMPUTED_VALUE"""),"Uganda")</f>
        <v>Uganda</v>
      </c>
      <c r="D16633">
        <f>IFERROR(__xludf.DUMMYFUNCTION("""COMPUTED_VALUE"""),2017.0)</f>
        <v>2017</v>
      </c>
      <c r="E16633">
        <f>IFERROR(__xludf.DUMMYFUNCTION("""COMPUTED_VALUE"""),4.2862958E7)</f>
        <v>42862958</v>
      </c>
    </row>
    <row r="16634">
      <c r="A16634" t="str">
        <f t="shared" si="1"/>
        <v>uga#2018</v>
      </c>
      <c r="B16634" t="str">
        <f>IFERROR(__xludf.DUMMYFUNCTION("""COMPUTED_VALUE"""),"uga")</f>
        <v>uga</v>
      </c>
      <c r="C16634" t="str">
        <f>IFERROR(__xludf.DUMMYFUNCTION("""COMPUTED_VALUE"""),"Uganda")</f>
        <v>Uganda</v>
      </c>
      <c r="D16634">
        <f>IFERROR(__xludf.DUMMYFUNCTION("""COMPUTED_VALUE"""),2018.0)</f>
        <v>2018</v>
      </c>
      <c r="E16634">
        <f>IFERROR(__xludf.DUMMYFUNCTION("""COMPUTED_VALUE"""),4.4270563E7)</f>
        <v>44270563</v>
      </c>
    </row>
    <row r="16635">
      <c r="A16635" t="str">
        <f t="shared" si="1"/>
        <v>uga#2019</v>
      </c>
      <c r="B16635" t="str">
        <f>IFERROR(__xludf.DUMMYFUNCTION("""COMPUTED_VALUE"""),"uga")</f>
        <v>uga</v>
      </c>
      <c r="C16635" t="str">
        <f>IFERROR(__xludf.DUMMYFUNCTION("""COMPUTED_VALUE"""),"Uganda")</f>
        <v>Uganda</v>
      </c>
      <c r="D16635">
        <f>IFERROR(__xludf.DUMMYFUNCTION("""COMPUTED_VALUE"""),2019.0)</f>
        <v>2019</v>
      </c>
      <c r="E16635">
        <f>IFERROR(__xludf.DUMMYFUNCTION("""COMPUTED_VALUE"""),4.5711874E7)</f>
        <v>45711874</v>
      </c>
    </row>
    <row r="16636">
      <c r="A16636" t="str">
        <f t="shared" si="1"/>
        <v>uga#2020</v>
      </c>
      <c r="B16636" t="str">
        <f>IFERROR(__xludf.DUMMYFUNCTION("""COMPUTED_VALUE"""),"uga")</f>
        <v>uga</v>
      </c>
      <c r="C16636" t="str">
        <f>IFERROR(__xludf.DUMMYFUNCTION("""COMPUTED_VALUE"""),"Uganda")</f>
        <v>Uganda</v>
      </c>
      <c r="D16636">
        <f>IFERROR(__xludf.DUMMYFUNCTION("""COMPUTED_VALUE"""),2020.0)</f>
        <v>2020</v>
      </c>
      <c r="E16636">
        <f>IFERROR(__xludf.DUMMYFUNCTION("""COMPUTED_VALUE"""),4.7187703E7)</f>
        <v>47187703</v>
      </c>
    </row>
    <row r="16637">
      <c r="A16637" t="str">
        <f t="shared" si="1"/>
        <v>uga#2021</v>
      </c>
      <c r="B16637" t="str">
        <f>IFERROR(__xludf.DUMMYFUNCTION("""COMPUTED_VALUE"""),"uga")</f>
        <v>uga</v>
      </c>
      <c r="C16637" t="str">
        <f>IFERROR(__xludf.DUMMYFUNCTION("""COMPUTED_VALUE"""),"Uganda")</f>
        <v>Uganda</v>
      </c>
      <c r="D16637">
        <f>IFERROR(__xludf.DUMMYFUNCTION("""COMPUTED_VALUE"""),2021.0)</f>
        <v>2021</v>
      </c>
      <c r="E16637">
        <f>IFERROR(__xludf.DUMMYFUNCTION("""COMPUTED_VALUE"""),4.8698086E7)</f>
        <v>48698086</v>
      </c>
    </row>
    <row r="16638">
      <c r="A16638" t="str">
        <f t="shared" si="1"/>
        <v>uga#2022</v>
      </c>
      <c r="B16638" t="str">
        <f>IFERROR(__xludf.DUMMYFUNCTION("""COMPUTED_VALUE"""),"uga")</f>
        <v>uga</v>
      </c>
      <c r="C16638" t="str">
        <f>IFERROR(__xludf.DUMMYFUNCTION("""COMPUTED_VALUE"""),"Uganda")</f>
        <v>Uganda</v>
      </c>
      <c r="D16638">
        <f>IFERROR(__xludf.DUMMYFUNCTION("""COMPUTED_VALUE"""),2022.0)</f>
        <v>2022</v>
      </c>
      <c r="E16638">
        <f>IFERROR(__xludf.DUMMYFUNCTION("""COMPUTED_VALUE"""),5.0242802E7)</f>
        <v>50242802</v>
      </c>
    </row>
    <row r="16639">
      <c r="A16639" t="str">
        <f t="shared" si="1"/>
        <v>uga#2023</v>
      </c>
      <c r="B16639" t="str">
        <f>IFERROR(__xludf.DUMMYFUNCTION("""COMPUTED_VALUE"""),"uga")</f>
        <v>uga</v>
      </c>
      <c r="C16639" t="str">
        <f>IFERROR(__xludf.DUMMYFUNCTION("""COMPUTED_VALUE"""),"Uganda")</f>
        <v>Uganda</v>
      </c>
      <c r="D16639">
        <f>IFERROR(__xludf.DUMMYFUNCTION("""COMPUTED_VALUE"""),2023.0)</f>
        <v>2023</v>
      </c>
      <c r="E16639">
        <f>IFERROR(__xludf.DUMMYFUNCTION("""COMPUTED_VALUE"""),5.1822128E7)</f>
        <v>51822128</v>
      </c>
    </row>
    <row r="16640">
      <c r="A16640" t="str">
        <f t="shared" si="1"/>
        <v>uga#2024</v>
      </c>
      <c r="B16640" t="str">
        <f>IFERROR(__xludf.DUMMYFUNCTION("""COMPUTED_VALUE"""),"uga")</f>
        <v>uga</v>
      </c>
      <c r="C16640" t="str">
        <f>IFERROR(__xludf.DUMMYFUNCTION("""COMPUTED_VALUE"""),"Uganda")</f>
        <v>Uganda</v>
      </c>
      <c r="D16640">
        <f>IFERROR(__xludf.DUMMYFUNCTION("""COMPUTED_VALUE"""),2024.0)</f>
        <v>2024</v>
      </c>
      <c r="E16640">
        <f>IFERROR(__xludf.DUMMYFUNCTION("""COMPUTED_VALUE"""),5.3436321E7)</f>
        <v>53436321</v>
      </c>
    </row>
    <row r="16641">
      <c r="A16641" t="str">
        <f t="shared" si="1"/>
        <v>uga#2025</v>
      </c>
      <c r="B16641" t="str">
        <f>IFERROR(__xludf.DUMMYFUNCTION("""COMPUTED_VALUE"""),"uga")</f>
        <v>uga</v>
      </c>
      <c r="C16641" t="str">
        <f>IFERROR(__xludf.DUMMYFUNCTION("""COMPUTED_VALUE"""),"Uganda")</f>
        <v>Uganda</v>
      </c>
      <c r="D16641">
        <f>IFERROR(__xludf.DUMMYFUNCTION("""COMPUTED_VALUE"""),2025.0)</f>
        <v>2025</v>
      </c>
      <c r="E16641">
        <f>IFERROR(__xludf.DUMMYFUNCTION("""COMPUTED_VALUE"""),5.508546E7)</f>
        <v>55085460</v>
      </c>
    </row>
    <row r="16642">
      <c r="A16642" t="str">
        <f t="shared" si="1"/>
        <v>uga#2026</v>
      </c>
      <c r="B16642" t="str">
        <f>IFERROR(__xludf.DUMMYFUNCTION("""COMPUTED_VALUE"""),"uga")</f>
        <v>uga</v>
      </c>
      <c r="C16642" t="str">
        <f>IFERROR(__xludf.DUMMYFUNCTION("""COMPUTED_VALUE"""),"Uganda")</f>
        <v>Uganda</v>
      </c>
      <c r="D16642">
        <f>IFERROR(__xludf.DUMMYFUNCTION("""COMPUTED_VALUE"""),2026.0)</f>
        <v>2026</v>
      </c>
      <c r="E16642">
        <f>IFERROR(__xludf.DUMMYFUNCTION("""COMPUTED_VALUE"""),5.6769412E7)</f>
        <v>56769412</v>
      </c>
    </row>
    <row r="16643">
      <c r="A16643" t="str">
        <f t="shared" si="1"/>
        <v>uga#2027</v>
      </c>
      <c r="B16643" t="str">
        <f>IFERROR(__xludf.DUMMYFUNCTION("""COMPUTED_VALUE"""),"uga")</f>
        <v>uga</v>
      </c>
      <c r="C16643" t="str">
        <f>IFERROR(__xludf.DUMMYFUNCTION("""COMPUTED_VALUE"""),"Uganda")</f>
        <v>Uganda</v>
      </c>
      <c r="D16643">
        <f>IFERROR(__xludf.DUMMYFUNCTION("""COMPUTED_VALUE"""),2027.0)</f>
        <v>2027</v>
      </c>
      <c r="E16643">
        <f>IFERROR(__xludf.DUMMYFUNCTION("""COMPUTED_VALUE"""),5.8487747E7)</f>
        <v>58487747</v>
      </c>
    </row>
    <row r="16644">
      <c r="A16644" t="str">
        <f t="shared" si="1"/>
        <v>uga#2028</v>
      </c>
      <c r="B16644" t="str">
        <f>IFERROR(__xludf.DUMMYFUNCTION("""COMPUTED_VALUE"""),"uga")</f>
        <v>uga</v>
      </c>
      <c r="C16644" t="str">
        <f>IFERROR(__xludf.DUMMYFUNCTION("""COMPUTED_VALUE"""),"Uganda")</f>
        <v>Uganda</v>
      </c>
      <c r="D16644">
        <f>IFERROR(__xludf.DUMMYFUNCTION("""COMPUTED_VALUE"""),2028.0)</f>
        <v>2028</v>
      </c>
      <c r="E16644">
        <f>IFERROR(__xludf.DUMMYFUNCTION("""COMPUTED_VALUE"""),6.0239885E7)</f>
        <v>60239885</v>
      </c>
    </row>
    <row r="16645">
      <c r="A16645" t="str">
        <f t="shared" si="1"/>
        <v>uga#2029</v>
      </c>
      <c r="B16645" t="str">
        <f>IFERROR(__xludf.DUMMYFUNCTION("""COMPUTED_VALUE"""),"uga")</f>
        <v>uga</v>
      </c>
      <c r="C16645" t="str">
        <f>IFERROR(__xludf.DUMMYFUNCTION("""COMPUTED_VALUE"""),"Uganda")</f>
        <v>Uganda</v>
      </c>
      <c r="D16645">
        <f>IFERROR(__xludf.DUMMYFUNCTION("""COMPUTED_VALUE"""),2029.0)</f>
        <v>2029</v>
      </c>
      <c r="E16645">
        <f>IFERROR(__xludf.DUMMYFUNCTION("""COMPUTED_VALUE"""),6.2025011E7)</f>
        <v>62025011</v>
      </c>
    </row>
    <row r="16646">
      <c r="A16646" t="str">
        <f t="shared" si="1"/>
        <v>uga#2030</v>
      </c>
      <c r="B16646" t="str">
        <f>IFERROR(__xludf.DUMMYFUNCTION("""COMPUTED_VALUE"""),"uga")</f>
        <v>uga</v>
      </c>
      <c r="C16646" t="str">
        <f>IFERROR(__xludf.DUMMYFUNCTION("""COMPUTED_VALUE"""),"Uganda")</f>
        <v>Uganda</v>
      </c>
      <c r="D16646">
        <f>IFERROR(__xludf.DUMMYFUNCTION("""COMPUTED_VALUE"""),2030.0)</f>
        <v>2030</v>
      </c>
      <c r="E16646">
        <f>IFERROR(__xludf.DUMMYFUNCTION("""COMPUTED_VALUE"""),6.384236E7)</f>
        <v>63842360</v>
      </c>
    </row>
    <row r="16647">
      <c r="A16647" t="str">
        <f t="shared" si="1"/>
        <v>uga#2031</v>
      </c>
      <c r="B16647" t="str">
        <f>IFERROR(__xludf.DUMMYFUNCTION("""COMPUTED_VALUE"""),"uga")</f>
        <v>uga</v>
      </c>
      <c r="C16647" t="str">
        <f>IFERROR(__xludf.DUMMYFUNCTION("""COMPUTED_VALUE"""),"Uganda")</f>
        <v>Uganda</v>
      </c>
      <c r="D16647">
        <f>IFERROR(__xludf.DUMMYFUNCTION("""COMPUTED_VALUE"""),2031.0)</f>
        <v>2031</v>
      </c>
      <c r="E16647">
        <f>IFERROR(__xludf.DUMMYFUNCTION("""COMPUTED_VALUE"""),6.56914E7)</f>
        <v>65691400</v>
      </c>
    </row>
    <row r="16648">
      <c r="A16648" t="str">
        <f t="shared" si="1"/>
        <v>uga#2032</v>
      </c>
      <c r="B16648" t="str">
        <f>IFERROR(__xludf.DUMMYFUNCTION("""COMPUTED_VALUE"""),"uga")</f>
        <v>uga</v>
      </c>
      <c r="C16648" t="str">
        <f>IFERROR(__xludf.DUMMYFUNCTION("""COMPUTED_VALUE"""),"Uganda")</f>
        <v>Uganda</v>
      </c>
      <c r="D16648">
        <f>IFERROR(__xludf.DUMMYFUNCTION("""COMPUTED_VALUE"""),2032.0)</f>
        <v>2032</v>
      </c>
      <c r="E16648">
        <f>IFERROR(__xludf.DUMMYFUNCTION("""COMPUTED_VALUE"""),6.7571502E7)</f>
        <v>67571502</v>
      </c>
    </row>
    <row r="16649">
      <c r="A16649" t="str">
        <f t="shared" si="1"/>
        <v>uga#2033</v>
      </c>
      <c r="B16649" t="str">
        <f>IFERROR(__xludf.DUMMYFUNCTION("""COMPUTED_VALUE"""),"uga")</f>
        <v>uga</v>
      </c>
      <c r="C16649" t="str">
        <f>IFERROR(__xludf.DUMMYFUNCTION("""COMPUTED_VALUE"""),"Uganda")</f>
        <v>Uganda</v>
      </c>
      <c r="D16649">
        <f>IFERROR(__xludf.DUMMYFUNCTION("""COMPUTED_VALUE"""),2033.0)</f>
        <v>2033</v>
      </c>
      <c r="E16649">
        <f>IFERROR(__xludf.DUMMYFUNCTION("""COMPUTED_VALUE"""),6.9481538E7)</f>
        <v>69481538</v>
      </c>
    </row>
    <row r="16650">
      <c r="A16650" t="str">
        <f t="shared" si="1"/>
        <v>uga#2034</v>
      </c>
      <c r="B16650" t="str">
        <f>IFERROR(__xludf.DUMMYFUNCTION("""COMPUTED_VALUE"""),"uga")</f>
        <v>uga</v>
      </c>
      <c r="C16650" t="str">
        <f>IFERROR(__xludf.DUMMYFUNCTION("""COMPUTED_VALUE"""),"Uganda")</f>
        <v>Uganda</v>
      </c>
      <c r="D16650">
        <f>IFERROR(__xludf.DUMMYFUNCTION("""COMPUTED_VALUE"""),2034.0)</f>
        <v>2034</v>
      </c>
      <c r="E16650">
        <f>IFERROR(__xludf.DUMMYFUNCTION("""COMPUTED_VALUE"""),7.1420257E7)</f>
        <v>71420257</v>
      </c>
    </row>
    <row r="16651">
      <c r="A16651" t="str">
        <f t="shared" si="1"/>
        <v>uga#2035</v>
      </c>
      <c r="B16651" t="str">
        <f>IFERROR(__xludf.DUMMYFUNCTION("""COMPUTED_VALUE"""),"uga")</f>
        <v>uga</v>
      </c>
      <c r="C16651" t="str">
        <f>IFERROR(__xludf.DUMMYFUNCTION("""COMPUTED_VALUE"""),"Uganda")</f>
        <v>Uganda</v>
      </c>
      <c r="D16651">
        <f>IFERROR(__xludf.DUMMYFUNCTION("""COMPUTED_VALUE"""),2035.0)</f>
        <v>2035</v>
      </c>
      <c r="E16651">
        <f>IFERROR(__xludf.DUMMYFUNCTION("""COMPUTED_VALUE"""),7.33865E7)</f>
        <v>73386500</v>
      </c>
    </row>
    <row r="16652">
      <c r="A16652" t="str">
        <f t="shared" si="1"/>
        <v>uga#2036</v>
      </c>
      <c r="B16652" t="str">
        <f>IFERROR(__xludf.DUMMYFUNCTION("""COMPUTED_VALUE"""),"uga")</f>
        <v>uga</v>
      </c>
      <c r="C16652" t="str">
        <f>IFERROR(__xludf.DUMMYFUNCTION("""COMPUTED_VALUE"""),"Uganda")</f>
        <v>Uganda</v>
      </c>
      <c r="D16652">
        <f>IFERROR(__xludf.DUMMYFUNCTION("""COMPUTED_VALUE"""),2036.0)</f>
        <v>2036</v>
      </c>
      <c r="E16652">
        <f>IFERROR(__xludf.DUMMYFUNCTION("""COMPUTED_VALUE"""),7.5379412E7)</f>
        <v>75379412</v>
      </c>
    </row>
    <row r="16653">
      <c r="A16653" t="str">
        <f t="shared" si="1"/>
        <v>uga#2037</v>
      </c>
      <c r="B16653" t="str">
        <f>IFERROR(__xludf.DUMMYFUNCTION("""COMPUTED_VALUE"""),"uga")</f>
        <v>uga</v>
      </c>
      <c r="C16653" t="str">
        <f>IFERROR(__xludf.DUMMYFUNCTION("""COMPUTED_VALUE"""),"Uganda")</f>
        <v>Uganda</v>
      </c>
      <c r="D16653">
        <f>IFERROR(__xludf.DUMMYFUNCTION("""COMPUTED_VALUE"""),2037.0)</f>
        <v>2037</v>
      </c>
      <c r="E16653">
        <f>IFERROR(__xludf.DUMMYFUNCTION("""COMPUTED_VALUE"""),7.7398346E7)</f>
        <v>77398346</v>
      </c>
    </row>
    <row r="16654">
      <c r="A16654" t="str">
        <f t="shared" si="1"/>
        <v>uga#2038</v>
      </c>
      <c r="B16654" t="str">
        <f>IFERROR(__xludf.DUMMYFUNCTION("""COMPUTED_VALUE"""),"uga")</f>
        <v>uga</v>
      </c>
      <c r="C16654" t="str">
        <f>IFERROR(__xludf.DUMMYFUNCTION("""COMPUTED_VALUE"""),"Uganda")</f>
        <v>Uganda</v>
      </c>
      <c r="D16654">
        <f>IFERROR(__xludf.DUMMYFUNCTION("""COMPUTED_VALUE"""),2038.0)</f>
        <v>2038</v>
      </c>
      <c r="E16654">
        <f>IFERROR(__xludf.DUMMYFUNCTION("""COMPUTED_VALUE"""),7.9442649E7)</f>
        <v>79442649</v>
      </c>
    </row>
    <row r="16655">
      <c r="A16655" t="str">
        <f t="shared" si="1"/>
        <v>uga#2039</v>
      </c>
      <c r="B16655" t="str">
        <f>IFERROR(__xludf.DUMMYFUNCTION("""COMPUTED_VALUE"""),"uga")</f>
        <v>uga</v>
      </c>
      <c r="C16655" t="str">
        <f>IFERROR(__xludf.DUMMYFUNCTION("""COMPUTED_VALUE"""),"Uganda")</f>
        <v>Uganda</v>
      </c>
      <c r="D16655">
        <f>IFERROR(__xludf.DUMMYFUNCTION("""COMPUTED_VALUE"""),2039.0)</f>
        <v>2039</v>
      </c>
      <c r="E16655">
        <f>IFERROR(__xludf.DUMMYFUNCTION("""COMPUTED_VALUE"""),8.1511732E7)</f>
        <v>81511732</v>
      </c>
    </row>
    <row r="16656">
      <c r="A16656" t="str">
        <f t="shared" si="1"/>
        <v>uga#2040</v>
      </c>
      <c r="B16656" t="str">
        <f>IFERROR(__xludf.DUMMYFUNCTION("""COMPUTED_VALUE"""),"uga")</f>
        <v>uga</v>
      </c>
      <c r="C16656" t="str">
        <f>IFERROR(__xludf.DUMMYFUNCTION("""COMPUTED_VALUE"""),"Uganda")</f>
        <v>Uganda</v>
      </c>
      <c r="D16656">
        <f>IFERROR(__xludf.DUMMYFUNCTION("""COMPUTED_VALUE"""),2040.0)</f>
        <v>2040</v>
      </c>
      <c r="E16656">
        <f>IFERROR(__xludf.DUMMYFUNCTION("""COMPUTED_VALUE"""),8.3604961E7)</f>
        <v>83604961</v>
      </c>
    </row>
    <row r="16657">
      <c r="A16657" t="str">
        <f t="shared" si="1"/>
        <v>ukr#1950</v>
      </c>
      <c r="B16657" t="str">
        <f>IFERROR(__xludf.DUMMYFUNCTION("""COMPUTED_VALUE"""),"ukr")</f>
        <v>ukr</v>
      </c>
      <c r="C16657" t="str">
        <f>IFERROR(__xludf.DUMMYFUNCTION("""COMPUTED_VALUE"""),"Ukraine")</f>
        <v>Ukraine</v>
      </c>
      <c r="D16657">
        <f>IFERROR(__xludf.DUMMYFUNCTION("""COMPUTED_VALUE"""),1950.0)</f>
        <v>1950</v>
      </c>
      <c r="E16657">
        <f>IFERROR(__xludf.DUMMYFUNCTION("""COMPUTED_VALUE"""),3.7297648E7)</f>
        <v>37297648</v>
      </c>
    </row>
    <row r="16658">
      <c r="A16658" t="str">
        <f t="shared" si="1"/>
        <v>ukr#1951</v>
      </c>
      <c r="B16658" t="str">
        <f>IFERROR(__xludf.DUMMYFUNCTION("""COMPUTED_VALUE"""),"ukr")</f>
        <v>ukr</v>
      </c>
      <c r="C16658" t="str">
        <f>IFERROR(__xludf.DUMMYFUNCTION("""COMPUTED_VALUE"""),"Ukraine")</f>
        <v>Ukraine</v>
      </c>
      <c r="D16658">
        <f>IFERROR(__xludf.DUMMYFUNCTION("""COMPUTED_VALUE"""),1951.0)</f>
        <v>1951</v>
      </c>
      <c r="E16658">
        <f>IFERROR(__xludf.DUMMYFUNCTION("""COMPUTED_VALUE"""),3.7815815E7)</f>
        <v>37815815</v>
      </c>
    </row>
    <row r="16659">
      <c r="A16659" t="str">
        <f t="shared" si="1"/>
        <v>ukr#1952</v>
      </c>
      <c r="B16659" t="str">
        <f>IFERROR(__xludf.DUMMYFUNCTION("""COMPUTED_VALUE"""),"ukr")</f>
        <v>ukr</v>
      </c>
      <c r="C16659" t="str">
        <f>IFERROR(__xludf.DUMMYFUNCTION("""COMPUTED_VALUE"""),"Ukraine")</f>
        <v>Ukraine</v>
      </c>
      <c r="D16659">
        <f>IFERROR(__xludf.DUMMYFUNCTION("""COMPUTED_VALUE"""),1952.0)</f>
        <v>1952</v>
      </c>
      <c r="E16659">
        <f>IFERROR(__xludf.DUMMYFUNCTION("""COMPUTED_VALUE"""),3.8360509E7)</f>
        <v>38360509</v>
      </c>
    </row>
    <row r="16660">
      <c r="A16660" t="str">
        <f t="shared" si="1"/>
        <v>ukr#1953</v>
      </c>
      <c r="B16660" t="str">
        <f>IFERROR(__xludf.DUMMYFUNCTION("""COMPUTED_VALUE"""),"ukr")</f>
        <v>ukr</v>
      </c>
      <c r="C16660" t="str">
        <f>IFERROR(__xludf.DUMMYFUNCTION("""COMPUTED_VALUE"""),"Ukraine")</f>
        <v>Ukraine</v>
      </c>
      <c r="D16660">
        <f>IFERROR(__xludf.DUMMYFUNCTION("""COMPUTED_VALUE"""),1953.0)</f>
        <v>1953</v>
      </c>
      <c r="E16660">
        <f>IFERROR(__xludf.DUMMYFUNCTION("""COMPUTED_VALUE"""),3.8916264E7)</f>
        <v>38916264</v>
      </c>
    </row>
    <row r="16661">
      <c r="A16661" t="str">
        <f t="shared" si="1"/>
        <v>ukr#1954</v>
      </c>
      <c r="B16661" t="str">
        <f>IFERROR(__xludf.DUMMYFUNCTION("""COMPUTED_VALUE"""),"ukr")</f>
        <v>ukr</v>
      </c>
      <c r="C16661" t="str">
        <f>IFERROR(__xludf.DUMMYFUNCTION("""COMPUTED_VALUE"""),"Ukraine")</f>
        <v>Ukraine</v>
      </c>
      <c r="D16661">
        <f>IFERROR(__xludf.DUMMYFUNCTION("""COMPUTED_VALUE"""),1954.0)</f>
        <v>1954</v>
      </c>
      <c r="E16661">
        <f>IFERROR(__xludf.DUMMYFUNCTION("""COMPUTED_VALUE"""),3.9471674E7)</f>
        <v>39471674</v>
      </c>
    </row>
    <row r="16662">
      <c r="A16662" t="str">
        <f t="shared" si="1"/>
        <v>ukr#1955</v>
      </c>
      <c r="B16662" t="str">
        <f>IFERROR(__xludf.DUMMYFUNCTION("""COMPUTED_VALUE"""),"ukr")</f>
        <v>ukr</v>
      </c>
      <c r="C16662" t="str">
        <f>IFERROR(__xludf.DUMMYFUNCTION("""COMPUTED_VALUE"""),"Ukraine")</f>
        <v>Ukraine</v>
      </c>
      <c r="D16662">
        <f>IFERROR(__xludf.DUMMYFUNCTION("""COMPUTED_VALUE"""),1955.0)</f>
        <v>1955</v>
      </c>
      <c r="E16662">
        <f>IFERROR(__xludf.DUMMYFUNCTION("""COMPUTED_VALUE"""),4.0019449E7)</f>
        <v>40019449</v>
      </c>
    </row>
    <row r="16663">
      <c r="A16663" t="str">
        <f t="shared" si="1"/>
        <v>ukr#1956</v>
      </c>
      <c r="B16663" t="str">
        <f>IFERROR(__xludf.DUMMYFUNCTION("""COMPUTED_VALUE"""),"ukr")</f>
        <v>ukr</v>
      </c>
      <c r="C16663" t="str">
        <f>IFERROR(__xludf.DUMMYFUNCTION("""COMPUTED_VALUE"""),"Ukraine")</f>
        <v>Ukraine</v>
      </c>
      <c r="D16663">
        <f>IFERROR(__xludf.DUMMYFUNCTION("""COMPUTED_VALUE"""),1956.0)</f>
        <v>1956</v>
      </c>
      <c r="E16663">
        <f>IFERROR(__xludf.DUMMYFUNCTION("""COMPUTED_VALUE"""),4.0556527E7)</f>
        <v>40556527</v>
      </c>
    </row>
    <row r="16664">
      <c r="A16664" t="str">
        <f t="shared" si="1"/>
        <v>ukr#1957</v>
      </c>
      <c r="B16664" t="str">
        <f>IFERROR(__xludf.DUMMYFUNCTION("""COMPUTED_VALUE"""),"ukr")</f>
        <v>ukr</v>
      </c>
      <c r="C16664" t="str">
        <f>IFERROR(__xludf.DUMMYFUNCTION("""COMPUTED_VALUE"""),"Ukraine")</f>
        <v>Ukraine</v>
      </c>
      <c r="D16664">
        <f>IFERROR(__xludf.DUMMYFUNCTION("""COMPUTED_VALUE"""),1957.0)</f>
        <v>1957</v>
      </c>
      <c r="E16664">
        <f>IFERROR(__xludf.DUMMYFUNCTION("""COMPUTED_VALUE"""),4.1083976E7)</f>
        <v>41083976</v>
      </c>
    </row>
    <row r="16665">
      <c r="A16665" t="str">
        <f t="shared" si="1"/>
        <v>ukr#1958</v>
      </c>
      <c r="B16665" t="str">
        <f>IFERROR(__xludf.DUMMYFUNCTION("""COMPUTED_VALUE"""),"ukr")</f>
        <v>ukr</v>
      </c>
      <c r="C16665" t="str">
        <f>IFERROR(__xludf.DUMMYFUNCTION("""COMPUTED_VALUE"""),"Ukraine")</f>
        <v>Ukraine</v>
      </c>
      <c r="D16665">
        <f>IFERROR(__xludf.DUMMYFUNCTION("""COMPUTED_VALUE"""),1958.0)</f>
        <v>1958</v>
      </c>
      <c r="E16665">
        <f>IFERROR(__xludf.DUMMYFUNCTION("""COMPUTED_VALUE"""),4.1606288E7)</f>
        <v>41606288</v>
      </c>
    </row>
    <row r="16666">
      <c r="A16666" t="str">
        <f t="shared" si="1"/>
        <v>ukr#1959</v>
      </c>
      <c r="B16666" t="str">
        <f>IFERROR(__xludf.DUMMYFUNCTION("""COMPUTED_VALUE"""),"ukr")</f>
        <v>ukr</v>
      </c>
      <c r="C16666" t="str">
        <f>IFERROR(__xludf.DUMMYFUNCTION("""COMPUTED_VALUE"""),"Ukraine")</f>
        <v>Ukraine</v>
      </c>
      <c r="D16666">
        <f>IFERROR(__xludf.DUMMYFUNCTION("""COMPUTED_VALUE"""),1959.0)</f>
        <v>1959</v>
      </c>
      <c r="E16666">
        <f>IFERROR(__xludf.DUMMYFUNCTION("""COMPUTED_VALUE"""),4.2130316E7)</f>
        <v>42130316</v>
      </c>
    </row>
    <row r="16667">
      <c r="A16667" t="str">
        <f t="shared" si="1"/>
        <v>ukr#1960</v>
      </c>
      <c r="B16667" t="str">
        <f>IFERROR(__xludf.DUMMYFUNCTION("""COMPUTED_VALUE"""),"ukr")</f>
        <v>ukr</v>
      </c>
      <c r="C16667" t="str">
        <f>IFERROR(__xludf.DUMMYFUNCTION("""COMPUTED_VALUE"""),"Ukraine")</f>
        <v>Ukraine</v>
      </c>
      <c r="D16667">
        <f>IFERROR(__xludf.DUMMYFUNCTION("""COMPUTED_VALUE"""),1960.0)</f>
        <v>1960</v>
      </c>
      <c r="E16667">
        <f>IFERROR(__xludf.DUMMYFUNCTION("""COMPUTED_VALUE"""),4.2662149E7)</f>
        <v>42662149</v>
      </c>
    </row>
    <row r="16668">
      <c r="A16668" t="str">
        <f t="shared" si="1"/>
        <v>ukr#1961</v>
      </c>
      <c r="B16668" t="str">
        <f>IFERROR(__xludf.DUMMYFUNCTION("""COMPUTED_VALUE"""),"ukr")</f>
        <v>ukr</v>
      </c>
      <c r="C16668" t="str">
        <f>IFERROR(__xludf.DUMMYFUNCTION("""COMPUTED_VALUE"""),"Ukraine")</f>
        <v>Ukraine</v>
      </c>
      <c r="D16668">
        <f>IFERROR(__xludf.DUMMYFUNCTION("""COMPUTED_VALUE"""),1961.0)</f>
        <v>1961</v>
      </c>
      <c r="E16668">
        <f>IFERROR(__xludf.DUMMYFUNCTION("""COMPUTED_VALUE"""),4.3203635E7)</f>
        <v>43203635</v>
      </c>
    </row>
    <row r="16669">
      <c r="A16669" t="str">
        <f t="shared" si="1"/>
        <v>ukr#1962</v>
      </c>
      <c r="B16669" t="str">
        <f>IFERROR(__xludf.DUMMYFUNCTION("""COMPUTED_VALUE"""),"ukr")</f>
        <v>ukr</v>
      </c>
      <c r="C16669" t="str">
        <f>IFERROR(__xludf.DUMMYFUNCTION("""COMPUTED_VALUE"""),"Ukraine")</f>
        <v>Ukraine</v>
      </c>
      <c r="D16669">
        <f>IFERROR(__xludf.DUMMYFUNCTION("""COMPUTED_VALUE"""),1962.0)</f>
        <v>1962</v>
      </c>
      <c r="E16669">
        <f>IFERROR(__xludf.DUMMYFUNCTION("""COMPUTED_VALUE"""),4.374947E7)</f>
        <v>43749470</v>
      </c>
    </row>
    <row r="16670">
      <c r="A16670" t="str">
        <f t="shared" si="1"/>
        <v>ukr#1963</v>
      </c>
      <c r="B16670" t="str">
        <f>IFERROR(__xludf.DUMMYFUNCTION("""COMPUTED_VALUE"""),"ukr")</f>
        <v>ukr</v>
      </c>
      <c r="C16670" t="str">
        <f>IFERROR(__xludf.DUMMYFUNCTION("""COMPUTED_VALUE"""),"Ukraine")</f>
        <v>Ukraine</v>
      </c>
      <c r="D16670">
        <f>IFERROR(__xludf.DUMMYFUNCTION("""COMPUTED_VALUE"""),1963.0)</f>
        <v>1963</v>
      </c>
      <c r="E16670">
        <f>IFERROR(__xludf.DUMMYFUNCTION("""COMPUTED_VALUE"""),4.4285899E7)</f>
        <v>44285899</v>
      </c>
    </row>
    <row r="16671">
      <c r="A16671" t="str">
        <f t="shared" si="1"/>
        <v>ukr#1964</v>
      </c>
      <c r="B16671" t="str">
        <f>IFERROR(__xludf.DUMMYFUNCTION("""COMPUTED_VALUE"""),"ukr")</f>
        <v>ukr</v>
      </c>
      <c r="C16671" t="str">
        <f>IFERROR(__xludf.DUMMYFUNCTION("""COMPUTED_VALUE"""),"Ukraine")</f>
        <v>Ukraine</v>
      </c>
      <c r="D16671">
        <f>IFERROR(__xludf.DUMMYFUNCTION("""COMPUTED_VALUE"""),1964.0)</f>
        <v>1964</v>
      </c>
      <c r="E16671">
        <f>IFERROR(__xludf.DUMMYFUNCTION("""COMPUTED_VALUE"""),4.4794327E7)</f>
        <v>44794327</v>
      </c>
    </row>
    <row r="16672">
      <c r="A16672" t="str">
        <f t="shared" si="1"/>
        <v>ukr#1965</v>
      </c>
      <c r="B16672" t="str">
        <f>IFERROR(__xludf.DUMMYFUNCTION("""COMPUTED_VALUE"""),"ukr")</f>
        <v>ukr</v>
      </c>
      <c r="C16672" t="str">
        <f>IFERROR(__xludf.DUMMYFUNCTION("""COMPUTED_VALUE"""),"Ukraine")</f>
        <v>Ukraine</v>
      </c>
      <c r="D16672">
        <f>IFERROR(__xludf.DUMMYFUNCTION("""COMPUTED_VALUE"""),1965.0)</f>
        <v>1965</v>
      </c>
      <c r="E16672">
        <f>IFERROR(__xludf.DUMMYFUNCTION("""COMPUTED_VALUE"""),4.5261935E7)</f>
        <v>45261935</v>
      </c>
    </row>
    <row r="16673">
      <c r="A16673" t="str">
        <f t="shared" si="1"/>
        <v>ukr#1966</v>
      </c>
      <c r="B16673" t="str">
        <f>IFERROR(__xludf.DUMMYFUNCTION("""COMPUTED_VALUE"""),"ukr")</f>
        <v>ukr</v>
      </c>
      <c r="C16673" t="str">
        <f>IFERROR(__xludf.DUMMYFUNCTION("""COMPUTED_VALUE"""),"Ukraine")</f>
        <v>Ukraine</v>
      </c>
      <c r="D16673">
        <f>IFERROR(__xludf.DUMMYFUNCTION("""COMPUTED_VALUE"""),1966.0)</f>
        <v>1966</v>
      </c>
      <c r="E16673">
        <f>IFERROR(__xludf.DUMMYFUNCTION("""COMPUTED_VALUE"""),4.5682308E7)</f>
        <v>45682308</v>
      </c>
    </row>
    <row r="16674">
      <c r="A16674" t="str">
        <f t="shared" si="1"/>
        <v>ukr#1967</v>
      </c>
      <c r="B16674" t="str">
        <f>IFERROR(__xludf.DUMMYFUNCTION("""COMPUTED_VALUE"""),"ukr")</f>
        <v>ukr</v>
      </c>
      <c r="C16674" t="str">
        <f>IFERROR(__xludf.DUMMYFUNCTION("""COMPUTED_VALUE"""),"Ukraine")</f>
        <v>Ukraine</v>
      </c>
      <c r="D16674">
        <f>IFERROR(__xludf.DUMMYFUNCTION("""COMPUTED_VALUE"""),1967.0)</f>
        <v>1967</v>
      </c>
      <c r="E16674">
        <f>IFERROR(__xludf.DUMMYFUNCTION("""COMPUTED_VALUE"""),4.6060452E7)</f>
        <v>46060452</v>
      </c>
    </row>
    <row r="16675">
      <c r="A16675" t="str">
        <f t="shared" si="1"/>
        <v>ukr#1968</v>
      </c>
      <c r="B16675" t="str">
        <f>IFERROR(__xludf.DUMMYFUNCTION("""COMPUTED_VALUE"""),"ukr")</f>
        <v>ukr</v>
      </c>
      <c r="C16675" t="str">
        <f>IFERROR(__xludf.DUMMYFUNCTION("""COMPUTED_VALUE"""),"Ukraine")</f>
        <v>Ukraine</v>
      </c>
      <c r="D16675">
        <f>IFERROR(__xludf.DUMMYFUNCTION("""COMPUTED_VALUE"""),1968.0)</f>
        <v>1968</v>
      </c>
      <c r="E16675">
        <f>IFERROR(__xludf.DUMMYFUNCTION("""COMPUTED_VALUE"""),4.6409002E7)</f>
        <v>46409002</v>
      </c>
    </row>
    <row r="16676">
      <c r="A16676" t="str">
        <f t="shared" si="1"/>
        <v>ukr#1969</v>
      </c>
      <c r="B16676" t="str">
        <f>IFERROR(__xludf.DUMMYFUNCTION("""COMPUTED_VALUE"""),"ukr")</f>
        <v>ukr</v>
      </c>
      <c r="C16676" t="str">
        <f>IFERROR(__xludf.DUMMYFUNCTION("""COMPUTED_VALUE"""),"Ukraine")</f>
        <v>Ukraine</v>
      </c>
      <c r="D16676">
        <f>IFERROR(__xludf.DUMMYFUNCTION("""COMPUTED_VALUE"""),1969.0)</f>
        <v>1969</v>
      </c>
      <c r="E16676">
        <f>IFERROR(__xludf.DUMMYFUNCTION("""COMPUTED_VALUE"""),4.6746669E7)</f>
        <v>46746669</v>
      </c>
    </row>
    <row r="16677">
      <c r="A16677" t="str">
        <f t="shared" si="1"/>
        <v>ukr#1970</v>
      </c>
      <c r="B16677" t="str">
        <f>IFERROR(__xludf.DUMMYFUNCTION("""COMPUTED_VALUE"""),"ukr")</f>
        <v>ukr</v>
      </c>
      <c r="C16677" t="str">
        <f>IFERROR(__xludf.DUMMYFUNCTION("""COMPUTED_VALUE"""),"Ukraine")</f>
        <v>Ukraine</v>
      </c>
      <c r="D16677">
        <f>IFERROR(__xludf.DUMMYFUNCTION("""COMPUTED_VALUE"""),1970.0)</f>
        <v>1970</v>
      </c>
      <c r="E16677">
        <f>IFERROR(__xludf.DUMMYFUNCTION("""COMPUTED_VALUE"""),4.7086761E7)</f>
        <v>47086761</v>
      </c>
    </row>
    <row r="16678">
      <c r="A16678" t="str">
        <f t="shared" si="1"/>
        <v>ukr#1971</v>
      </c>
      <c r="B16678" t="str">
        <f>IFERROR(__xludf.DUMMYFUNCTION("""COMPUTED_VALUE"""),"ukr")</f>
        <v>ukr</v>
      </c>
      <c r="C16678" t="str">
        <f>IFERROR(__xludf.DUMMYFUNCTION("""COMPUTED_VALUE"""),"Ukraine")</f>
        <v>Ukraine</v>
      </c>
      <c r="D16678">
        <f>IFERROR(__xludf.DUMMYFUNCTION("""COMPUTED_VALUE"""),1971.0)</f>
        <v>1971</v>
      </c>
      <c r="E16678">
        <f>IFERROR(__xludf.DUMMYFUNCTION("""COMPUTED_VALUE"""),4.7433805E7)</f>
        <v>47433805</v>
      </c>
    </row>
    <row r="16679">
      <c r="A16679" t="str">
        <f t="shared" si="1"/>
        <v>ukr#1972</v>
      </c>
      <c r="B16679" t="str">
        <f>IFERROR(__xludf.DUMMYFUNCTION("""COMPUTED_VALUE"""),"ukr")</f>
        <v>ukr</v>
      </c>
      <c r="C16679" t="str">
        <f>IFERROR(__xludf.DUMMYFUNCTION("""COMPUTED_VALUE"""),"Ukraine")</f>
        <v>Ukraine</v>
      </c>
      <c r="D16679">
        <f>IFERROR(__xludf.DUMMYFUNCTION("""COMPUTED_VALUE"""),1972.0)</f>
        <v>1972</v>
      </c>
      <c r="E16679">
        <f>IFERROR(__xludf.DUMMYFUNCTION("""COMPUTED_VALUE"""),4.7783011E7)</f>
        <v>47783011</v>
      </c>
    </row>
    <row r="16680">
      <c r="A16680" t="str">
        <f t="shared" si="1"/>
        <v>ukr#1973</v>
      </c>
      <c r="B16680" t="str">
        <f>IFERROR(__xludf.DUMMYFUNCTION("""COMPUTED_VALUE"""),"ukr")</f>
        <v>ukr</v>
      </c>
      <c r="C16680" t="str">
        <f>IFERROR(__xludf.DUMMYFUNCTION("""COMPUTED_VALUE"""),"Ukraine")</f>
        <v>Ukraine</v>
      </c>
      <c r="D16680">
        <f>IFERROR(__xludf.DUMMYFUNCTION("""COMPUTED_VALUE"""),1973.0)</f>
        <v>1973</v>
      </c>
      <c r="E16680">
        <f>IFERROR(__xludf.DUMMYFUNCTION("""COMPUTED_VALUE"""),4.8127172E7)</f>
        <v>48127172</v>
      </c>
    </row>
    <row r="16681">
      <c r="A16681" t="str">
        <f t="shared" si="1"/>
        <v>ukr#1974</v>
      </c>
      <c r="B16681" t="str">
        <f>IFERROR(__xludf.DUMMYFUNCTION("""COMPUTED_VALUE"""),"ukr")</f>
        <v>ukr</v>
      </c>
      <c r="C16681" t="str">
        <f>IFERROR(__xludf.DUMMYFUNCTION("""COMPUTED_VALUE"""),"Ukraine")</f>
        <v>Ukraine</v>
      </c>
      <c r="D16681">
        <f>IFERROR(__xludf.DUMMYFUNCTION("""COMPUTED_VALUE"""),1974.0)</f>
        <v>1974</v>
      </c>
      <c r="E16681">
        <f>IFERROR(__xludf.DUMMYFUNCTION("""COMPUTED_VALUE"""),4.8455122E7)</f>
        <v>48455122</v>
      </c>
    </row>
    <row r="16682">
      <c r="A16682" t="str">
        <f t="shared" si="1"/>
        <v>ukr#1975</v>
      </c>
      <c r="B16682" t="str">
        <f>IFERROR(__xludf.DUMMYFUNCTION("""COMPUTED_VALUE"""),"ukr")</f>
        <v>ukr</v>
      </c>
      <c r="C16682" t="str">
        <f>IFERROR(__xludf.DUMMYFUNCTION("""COMPUTED_VALUE"""),"Ukraine")</f>
        <v>Ukraine</v>
      </c>
      <c r="D16682">
        <f>IFERROR(__xludf.DUMMYFUNCTION("""COMPUTED_VALUE"""),1975.0)</f>
        <v>1975</v>
      </c>
      <c r="E16682">
        <f>IFERROR(__xludf.DUMMYFUNCTION("""COMPUTED_VALUE"""),4.8758987E7)</f>
        <v>48758987</v>
      </c>
    </row>
    <row r="16683">
      <c r="A16683" t="str">
        <f t="shared" si="1"/>
        <v>ukr#1976</v>
      </c>
      <c r="B16683" t="str">
        <f>IFERROR(__xludf.DUMMYFUNCTION("""COMPUTED_VALUE"""),"ukr")</f>
        <v>ukr</v>
      </c>
      <c r="C16683" t="str">
        <f>IFERROR(__xludf.DUMMYFUNCTION("""COMPUTED_VALUE"""),"Ukraine")</f>
        <v>Ukraine</v>
      </c>
      <c r="D16683">
        <f>IFERROR(__xludf.DUMMYFUNCTION("""COMPUTED_VALUE"""),1976.0)</f>
        <v>1976</v>
      </c>
      <c r="E16683">
        <f>IFERROR(__xludf.DUMMYFUNCTION("""COMPUTED_VALUE"""),4.9036456E7)</f>
        <v>49036456</v>
      </c>
    </row>
    <row r="16684">
      <c r="A16684" t="str">
        <f t="shared" si="1"/>
        <v>ukr#1977</v>
      </c>
      <c r="B16684" t="str">
        <f>IFERROR(__xludf.DUMMYFUNCTION("""COMPUTED_VALUE"""),"ukr")</f>
        <v>ukr</v>
      </c>
      <c r="C16684" t="str">
        <f>IFERROR(__xludf.DUMMYFUNCTION("""COMPUTED_VALUE"""),"Ukraine")</f>
        <v>Ukraine</v>
      </c>
      <c r="D16684">
        <f>IFERROR(__xludf.DUMMYFUNCTION("""COMPUTED_VALUE"""),1977.0)</f>
        <v>1977</v>
      </c>
      <c r="E16684">
        <f>IFERROR(__xludf.DUMMYFUNCTION("""COMPUTED_VALUE"""),4.9290905E7)</f>
        <v>49290905</v>
      </c>
    </row>
    <row r="16685">
      <c r="A16685" t="str">
        <f t="shared" si="1"/>
        <v>ukr#1978</v>
      </c>
      <c r="B16685" t="str">
        <f>IFERROR(__xludf.DUMMYFUNCTION("""COMPUTED_VALUE"""),"ukr")</f>
        <v>ukr</v>
      </c>
      <c r="C16685" t="str">
        <f>IFERROR(__xludf.DUMMYFUNCTION("""COMPUTED_VALUE"""),"Ukraine")</f>
        <v>Ukraine</v>
      </c>
      <c r="D16685">
        <f>IFERROR(__xludf.DUMMYFUNCTION("""COMPUTED_VALUE"""),1978.0)</f>
        <v>1978</v>
      </c>
      <c r="E16685">
        <f>IFERROR(__xludf.DUMMYFUNCTION("""COMPUTED_VALUE"""),4.9526883E7)</f>
        <v>49526883</v>
      </c>
    </row>
    <row r="16686">
      <c r="A16686" t="str">
        <f t="shared" si="1"/>
        <v>ukr#1979</v>
      </c>
      <c r="B16686" t="str">
        <f>IFERROR(__xludf.DUMMYFUNCTION("""COMPUTED_VALUE"""),"ukr")</f>
        <v>ukr</v>
      </c>
      <c r="C16686" t="str">
        <f>IFERROR(__xludf.DUMMYFUNCTION("""COMPUTED_VALUE"""),"Ukraine")</f>
        <v>Ukraine</v>
      </c>
      <c r="D16686">
        <f>IFERROR(__xludf.DUMMYFUNCTION("""COMPUTED_VALUE"""),1979.0)</f>
        <v>1979</v>
      </c>
      <c r="E16686">
        <f>IFERROR(__xludf.DUMMYFUNCTION("""COMPUTED_VALUE"""),4.9751257E7)</f>
        <v>49751257</v>
      </c>
    </row>
    <row r="16687">
      <c r="A16687" t="str">
        <f t="shared" si="1"/>
        <v>ukr#1980</v>
      </c>
      <c r="B16687" t="str">
        <f>IFERROR(__xludf.DUMMYFUNCTION("""COMPUTED_VALUE"""),"ukr")</f>
        <v>ukr</v>
      </c>
      <c r="C16687" t="str">
        <f>IFERROR(__xludf.DUMMYFUNCTION("""COMPUTED_VALUE"""),"Ukraine")</f>
        <v>Ukraine</v>
      </c>
      <c r="D16687">
        <f>IFERROR(__xludf.DUMMYFUNCTION("""COMPUTED_VALUE"""),1980.0)</f>
        <v>1980</v>
      </c>
      <c r="E16687">
        <f>IFERROR(__xludf.DUMMYFUNCTION("""COMPUTED_VALUE"""),4.9968812E7)</f>
        <v>49968812</v>
      </c>
    </row>
    <row r="16688">
      <c r="A16688" t="str">
        <f t="shared" si="1"/>
        <v>ukr#1981</v>
      </c>
      <c r="B16688" t="str">
        <f>IFERROR(__xludf.DUMMYFUNCTION("""COMPUTED_VALUE"""),"ukr")</f>
        <v>ukr</v>
      </c>
      <c r="C16688" t="str">
        <f>IFERROR(__xludf.DUMMYFUNCTION("""COMPUTED_VALUE"""),"Ukraine")</f>
        <v>Ukraine</v>
      </c>
      <c r="D16688">
        <f>IFERROR(__xludf.DUMMYFUNCTION("""COMPUTED_VALUE"""),1981.0)</f>
        <v>1981</v>
      </c>
      <c r="E16688">
        <f>IFERROR(__xludf.DUMMYFUNCTION("""COMPUTED_VALUE"""),5.017903E7)</f>
        <v>50179030</v>
      </c>
    </row>
    <row r="16689">
      <c r="A16689" t="str">
        <f t="shared" si="1"/>
        <v>ukr#1982</v>
      </c>
      <c r="B16689" t="str">
        <f>IFERROR(__xludf.DUMMYFUNCTION("""COMPUTED_VALUE"""),"ukr")</f>
        <v>ukr</v>
      </c>
      <c r="C16689" t="str">
        <f>IFERROR(__xludf.DUMMYFUNCTION("""COMPUTED_VALUE"""),"Ukraine")</f>
        <v>Ukraine</v>
      </c>
      <c r="D16689">
        <f>IFERROR(__xludf.DUMMYFUNCTION("""COMPUTED_VALUE"""),1982.0)</f>
        <v>1982</v>
      </c>
      <c r="E16689">
        <f>IFERROR(__xludf.DUMMYFUNCTION("""COMPUTED_VALUE"""),5.0379379E7)</f>
        <v>50379379</v>
      </c>
    </row>
    <row r="16690">
      <c r="A16690" t="str">
        <f t="shared" si="1"/>
        <v>ukr#1983</v>
      </c>
      <c r="B16690" t="str">
        <f>IFERROR(__xludf.DUMMYFUNCTION("""COMPUTED_VALUE"""),"ukr")</f>
        <v>ukr</v>
      </c>
      <c r="C16690" t="str">
        <f>IFERROR(__xludf.DUMMYFUNCTION("""COMPUTED_VALUE"""),"Ukraine")</f>
        <v>Ukraine</v>
      </c>
      <c r="D16690">
        <f>IFERROR(__xludf.DUMMYFUNCTION("""COMPUTED_VALUE"""),1983.0)</f>
        <v>1983</v>
      </c>
      <c r="E16690">
        <f>IFERROR(__xludf.DUMMYFUNCTION("""COMPUTED_VALUE"""),5.0570032E7)</f>
        <v>50570032</v>
      </c>
    </row>
    <row r="16691">
      <c r="A16691" t="str">
        <f t="shared" si="1"/>
        <v>ukr#1984</v>
      </c>
      <c r="B16691" t="str">
        <f>IFERROR(__xludf.DUMMYFUNCTION("""COMPUTED_VALUE"""),"ukr")</f>
        <v>ukr</v>
      </c>
      <c r="C16691" t="str">
        <f>IFERROR(__xludf.DUMMYFUNCTION("""COMPUTED_VALUE"""),"Ukraine")</f>
        <v>Ukraine</v>
      </c>
      <c r="D16691">
        <f>IFERROR(__xludf.DUMMYFUNCTION("""COMPUTED_VALUE"""),1984.0)</f>
        <v>1984</v>
      </c>
      <c r="E16691">
        <f>IFERROR(__xludf.DUMMYFUNCTION("""COMPUTED_VALUE"""),5.0750925E7)</f>
        <v>50750925</v>
      </c>
    </row>
    <row r="16692">
      <c r="A16692" t="str">
        <f t="shared" si="1"/>
        <v>ukr#1985</v>
      </c>
      <c r="B16692" t="str">
        <f>IFERROR(__xludf.DUMMYFUNCTION("""COMPUTED_VALUE"""),"ukr")</f>
        <v>ukr</v>
      </c>
      <c r="C16692" t="str">
        <f>IFERROR(__xludf.DUMMYFUNCTION("""COMPUTED_VALUE"""),"Ukraine")</f>
        <v>Ukraine</v>
      </c>
      <c r="D16692">
        <f>IFERROR(__xludf.DUMMYFUNCTION("""COMPUTED_VALUE"""),1985.0)</f>
        <v>1985</v>
      </c>
      <c r="E16692">
        <f>IFERROR(__xludf.DUMMYFUNCTION("""COMPUTED_VALUE"""),5.0920778E7)</f>
        <v>50920778</v>
      </c>
    </row>
    <row r="16693">
      <c r="A16693" t="str">
        <f t="shared" si="1"/>
        <v>ukr#1986</v>
      </c>
      <c r="B16693" t="str">
        <f>IFERROR(__xludf.DUMMYFUNCTION("""COMPUTED_VALUE"""),"ukr")</f>
        <v>ukr</v>
      </c>
      <c r="C16693" t="str">
        <f>IFERROR(__xludf.DUMMYFUNCTION("""COMPUTED_VALUE"""),"Ukraine")</f>
        <v>Ukraine</v>
      </c>
      <c r="D16693">
        <f>IFERROR(__xludf.DUMMYFUNCTION("""COMPUTED_VALUE"""),1986.0)</f>
        <v>1986</v>
      </c>
      <c r="E16693">
        <f>IFERROR(__xludf.DUMMYFUNCTION("""COMPUTED_VALUE"""),5.107879E7)</f>
        <v>51078790</v>
      </c>
    </row>
    <row r="16694">
      <c r="A16694" t="str">
        <f t="shared" si="1"/>
        <v>ukr#1987</v>
      </c>
      <c r="B16694" t="str">
        <f>IFERROR(__xludf.DUMMYFUNCTION("""COMPUTED_VALUE"""),"ukr")</f>
        <v>ukr</v>
      </c>
      <c r="C16694" t="str">
        <f>IFERROR(__xludf.DUMMYFUNCTION("""COMPUTED_VALUE"""),"Ukraine")</f>
        <v>Ukraine</v>
      </c>
      <c r="D16694">
        <f>IFERROR(__xludf.DUMMYFUNCTION("""COMPUTED_VALUE"""),1987.0)</f>
        <v>1987</v>
      </c>
      <c r="E16694">
        <f>IFERROR(__xludf.DUMMYFUNCTION("""COMPUTED_VALUE"""),5.1221145E7)</f>
        <v>51221145</v>
      </c>
    </row>
    <row r="16695">
      <c r="A16695" t="str">
        <f t="shared" si="1"/>
        <v>ukr#1988</v>
      </c>
      <c r="B16695" t="str">
        <f>IFERROR(__xludf.DUMMYFUNCTION("""COMPUTED_VALUE"""),"ukr")</f>
        <v>ukr</v>
      </c>
      <c r="C16695" t="str">
        <f>IFERROR(__xludf.DUMMYFUNCTION("""COMPUTED_VALUE"""),"Ukraine")</f>
        <v>Ukraine</v>
      </c>
      <c r="D16695">
        <f>IFERROR(__xludf.DUMMYFUNCTION("""COMPUTED_VALUE"""),1988.0)</f>
        <v>1988</v>
      </c>
      <c r="E16695">
        <f>IFERROR(__xludf.DUMMYFUNCTION("""COMPUTED_VALUE"""),5.1339575E7)</f>
        <v>51339575</v>
      </c>
    </row>
    <row r="16696">
      <c r="A16696" t="str">
        <f t="shared" si="1"/>
        <v>ukr#1989</v>
      </c>
      <c r="B16696" t="str">
        <f>IFERROR(__xludf.DUMMYFUNCTION("""COMPUTED_VALUE"""),"ukr")</f>
        <v>ukr</v>
      </c>
      <c r="C16696" t="str">
        <f>IFERROR(__xludf.DUMMYFUNCTION("""COMPUTED_VALUE"""),"Ukraine")</f>
        <v>Ukraine</v>
      </c>
      <c r="D16696">
        <f>IFERROR(__xludf.DUMMYFUNCTION("""COMPUTED_VALUE"""),1989.0)</f>
        <v>1989</v>
      </c>
      <c r="E16696">
        <f>IFERROR(__xludf.DUMMYFUNCTION("""COMPUTED_VALUE"""),5.1423532E7)</f>
        <v>51423532</v>
      </c>
    </row>
    <row r="16697">
      <c r="A16697" t="str">
        <f t="shared" si="1"/>
        <v>ukr#1990</v>
      </c>
      <c r="B16697" t="str">
        <f>IFERROR(__xludf.DUMMYFUNCTION("""COMPUTED_VALUE"""),"ukr")</f>
        <v>ukr</v>
      </c>
      <c r="C16697" t="str">
        <f>IFERROR(__xludf.DUMMYFUNCTION("""COMPUTED_VALUE"""),"Ukraine")</f>
        <v>Ukraine</v>
      </c>
      <c r="D16697">
        <f>IFERROR(__xludf.DUMMYFUNCTION("""COMPUTED_VALUE"""),1990.0)</f>
        <v>1990</v>
      </c>
      <c r="E16697">
        <f>IFERROR(__xludf.DUMMYFUNCTION("""COMPUTED_VALUE"""),5.1464348E7)</f>
        <v>51464348</v>
      </c>
    </row>
    <row r="16698">
      <c r="A16698" t="str">
        <f t="shared" si="1"/>
        <v>ukr#1991</v>
      </c>
      <c r="B16698" t="str">
        <f>IFERROR(__xludf.DUMMYFUNCTION("""COMPUTED_VALUE"""),"ukr")</f>
        <v>ukr</v>
      </c>
      <c r="C16698" t="str">
        <f>IFERROR(__xludf.DUMMYFUNCTION("""COMPUTED_VALUE"""),"Ukraine")</f>
        <v>Ukraine</v>
      </c>
      <c r="D16698">
        <f>IFERROR(__xludf.DUMMYFUNCTION("""COMPUTED_VALUE"""),1991.0)</f>
        <v>1991</v>
      </c>
      <c r="E16698">
        <f>IFERROR(__xludf.DUMMYFUNCTION("""COMPUTED_VALUE"""),5.146261E7)</f>
        <v>51462610</v>
      </c>
    </row>
    <row r="16699">
      <c r="A16699" t="str">
        <f t="shared" si="1"/>
        <v>ukr#1992</v>
      </c>
      <c r="B16699" t="str">
        <f>IFERROR(__xludf.DUMMYFUNCTION("""COMPUTED_VALUE"""),"ukr")</f>
        <v>ukr</v>
      </c>
      <c r="C16699" t="str">
        <f>IFERROR(__xludf.DUMMYFUNCTION("""COMPUTED_VALUE"""),"Ukraine")</f>
        <v>Ukraine</v>
      </c>
      <c r="D16699">
        <f>IFERROR(__xludf.DUMMYFUNCTION("""COMPUTED_VALUE"""),1992.0)</f>
        <v>1992</v>
      </c>
      <c r="E16699">
        <f>IFERROR(__xludf.DUMMYFUNCTION("""COMPUTED_VALUE"""),5.1417432E7)</f>
        <v>51417432</v>
      </c>
    </row>
    <row r="16700">
      <c r="A16700" t="str">
        <f t="shared" si="1"/>
        <v>ukr#1993</v>
      </c>
      <c r="B16700" t="str">
        <f>IFERROR(__xludf.DUMMYFUNCTION("""COMPUTED_VALUE"""),"ukr")</f>
        <v>ukr</v>
      </c>
      <c r="C16700" t="str">
        <f>IFERROR(__xludf.DUMMYFUNCTION("""COMPUTED_VALUE"""),"Ukraine")</f>
        <v>Ukraine</v>
      </c>
      <c r="D16700">
        <f>IFERROR(__xludf.DUMMYFUNCTION("""COMPUTED_VALUE"""),1993.0)</f>
        <v>1993</v>
      </c>
      <c r="E16700">
        <f>IFERROR(__xludf.DUMMYFUNCTION("""COMPUTED_VALUE"""),5.1317636E7)</f>
        <v>51317636</v>
      </c>
    </row>
    <row r="16701">
      <c r="A16701" t="str">
        <f t="shared" si="1"/>
        <v>ukr#1994</v>
      </c>
      <c r="B16701" t="str">
        <f>IFERROR(__xludf.DUMMYFUNCTION("""COMPUTED_VALUE"""),"ukr")</f>
        <v>ukr</v>
      </c>
      <c r="C16701" t="str">
        <f>IFERROR(__xludf.DUMMYFUNCTION("""COMPUTED_VALUE"""),"Ukraine")</f>
        <v>Ukraine</v>
      </c>
      <c r="D16701">
        <f>IFERROR(__xludf.DUMMYFUNCTION("""COMPUTED_VALUE"""),1994.0)</f>
        <v>1994</v>
      </c>
      <c r="E16701">
        <f>IFERROR(__xludf.DUMMYFUNCTION("""COMPUTED_VALUE"""),5.1149537E7)</f>
        <v>51149537</v>
      </c>
    </row>
    <row r="16702">
      <c r="A16702" t="str">
        <f t="shared" si="1"/>
        <v>ukr#1995</v>
      </c>
      <c r="B16702" t="str">
        <f>IFERROR(__xludf.DUMMYFUNCTION("""COMPUTED_VALUE"""),"ukr")</f>
        <v>ukr</v>
      </c>
      <c r="C16702" t="str">
        <f>IFERROR(__xludf.DUMMYFUNCTION("""COMPUTED_VALUE"""),"Ukraine")</f>
        <v>Ukraine</v>
      </c>
      <c r="D16702">
        <f>IFERROR(__xludf.DUMMYFUNCTION("""COMPUTED_VALUE"""),1995.0)</f>
        <v>1995</v>
      </c>
      <c r="E16702">
        <f>IFERROR(__xludf.DUMMYFUNCTION("""COMPUTED_VALUE"""),5.0905677E7)</f>
        <v>50905677</v>
      </c>
    </row>
    <row r="16703">
      <c r="A16703" t="str">
        <f t="shared" si="1"/>
        <v>ukr#1996</v>
      </c>
      <c r="B16703" t="str">
        <f>IFERROR(__xludf.DUMMYFUNCTION("""COMPUTED_VALUE"""),"ukr")</f>
        <v>ukr</v>
      </c>
      <c r="C16703" t="str">
        <f>IFERROR(__xludf.DUMMYFUNCTION("""COMPUTED_VALUE"""),"Ukraine")</f>
        <v>Ukraine</v>
      </c>
      <c r="D16703">
        <f>IFERROR(__xludf.DUMMYFUNCTION("""COMPUTED_VALUE"""),1996.0)</f>
        <v>1996</v>
      </c>
      <c r="E16703">
        <f>IFERROR(__xludf.DUMMYFUNCTION("""COMPUTED_VALUE"""),5.0582456E7)</f>
        <v>50582456</v>
      </c>
    </row>
    <row r="16704">
      <c r="A16704" t="str">
        <f t="shared" si="1"/>
        <v>ukr#1997</v>
      </c>
      <c r="B16704" t="str">
        <f>IFERROR(__xludf.DUMMYFUNCTION("""COMPUTED_VALUE"""),"ukr")</f>
        <v>ukr</v>
      </c>
      <c r="C16704" t="str">
        <f>IFERROR(__xludf.DUMMYFUNCTION("""COMPUTED_VALUE"""),"Ukraine")</f>
        <v>Ukraine</v>
      </c>
      <c r="D16704">
        <f>IFERROR(__xludf.DUMMYFUNCTION("""COMPUTED_VALUE"""),1997.0)</f>
        <v>1997</v>
      </c>
      <c r="E16704">
        <f>IFERROR(__xludf.DUMMYFUNCTION("""COMPUTED_VALUE"""),5.0189314E7)</f>
        <v>50189314</v>
      </c>
    </row>
    <row r="16705">
      <c r="A16705" t="str">
        <f t="shared" si="1"/>
        <v>ukr#1998</v>
      </c>
      <c r="B16705" t="str">
        <f>IFERROR(__xludf.DUMMYFUNCTION("""COMPUTED_VALUE"""),"ukr")</f>
        <v>ukr</v>
      </c>
      <c r="C16705" t="str">
        <f>IFERROR(__xludf.DUMMYFUNCTION("""COMPUTED_VALUE"""),"Ukraine")</f>
        <v>Ukraine</v>
      </c>
      <c r="D16705">
        <f>IFERROR(__xludf.DUMMYFUNCTION("""COMPUTED_VALUE"""),1998.0)</f>
        <v>1998</v>
      </c>
      <c r="E16705">
        <f>IFERROR(__xludf.DUMMYFUNCTION("""COMPUTED_VALUE"""),4.9748581E7)</f>
        <v>49748581</v>
      </c>
    </row>
    <row r="16706">
      <c r="A16706" t="str">
        <f t="shared" si="1"/>
        <v>ukr#1999</v>
      </c>
      <c r="B16706" t="str">
        <f>IFERROR(__xludf.DUMMYFUNCTION("""COMPUTED_VALUE"""),"ukr")</f>
        <v>ukr</v>
      </c>
      <c r="C16706" t="str">
        <f>IFERROR(__xludf.DUMMYFUNCTION("""COMPUTED_VALUE"""),"Ukraine")</f>
        <v>Ukraine</v>
      </c>
      <c r="D16706">
        <f>IFERROR(__xludf.DUMMYFUNCTION("""COMPUTED_VALUE"""),1999.0)</f>
        <v>1999</v>
      </c>
      <c r="E16706">
        <f>IFERROR(__xludf.DUMMYFUNCTION("""COMPUTED_VALUE"""),4.9290792E7)</f>
        <v>49290792</v>
      </c>
    </row>
    <row r="16707">
      <c r="A16707" t="str">
        <f t="shared" si="1"/>
        <v>ukr#2000</v>
      </c>
      <c r="B16707" t="str">
        <f>IFERROR(__xludf.DUMMYFUNCTION("""COMPUTED_VALUE"""),"ukr")</f>
        <v>ukr</v>
      </c>
      <c r="C16707" t="str">
        <f>IFERROR(__xludf.DUMMYFUNCTION("""COMPUTED_VALUE"""),"Ukraine")</f>
        <v>Ukraine</v>
      </c>
      <c r="D16707">
        <f>IFERROR(__xludf.DUMMYFUNCTION("""COMPUTED_VALUE"""),2000.0)</f>
        <v>2000</v>
      </c>
      <c r="E16707">
        <f>IFERROR(__xludf.DUMMYFUNCTION("""COMPUTED_VALUE"""),4.8840074E7)</f>
        <v>48840074</v>
      </c>
    </row>
    <row r="16708">
      <c r="A16708" t="str">
        <f t="shared" si="1"/>
        <v>ukr#2001</v>
      </c>
      <c r="B16708" t="str">
        <f>IFERROR(__xludf.DUMMYFUNCTION("""COMPUTED_VALUE"""),"ukr")</f>
        <v>ukr</v>
      </c>
      <c r="C16708" t="str">
        <f>IFERROR(__xludf.DUMMYFUNCTION("""COMPUTED_VALUE"""),"Ukraine")</f>
        <v>Ukraine</v>
      </c>
      <c r="D16708">
        <f>IFERROR(__xludf.DUMMYFUNCTION("""COMPUTED_VALUE"""),2001.0)</f>
        <v>2001</v>
      </c>
      <c r="E16708">
        <f>IFERROR(__xludf.DUMMYFUNCTION("""COMPUTED_VALUE"""),4.8402885E7)</f>
        <v>48402885</v>
      </c>
    </row>
    <row r="16709">
      <c r="A16709" t="str">
        <f t="shared" si="1"/>
        <v>ukr#2002</v>
      </c>
      <c r="B16709" t="str">
        <f>IFERROR(__xludf.DUMMYFUNCTION("""COMPUTED_VALUE"""),"ukr")</f>
        <v>ukr</v>
      </c>
      <c r="C16709" t="str">
        <f>IFERROR(__xludf.DUMMYFUNCTION("""COMPUTED_VALUE"""),"Ukraine")</f>
        <v>Ukraine</v>
      </c>
      <c r="D16709">
        <f>IFERROR(__xludf.DUMMYFUNCTION("""COMPUTED_VALUE"""),2002.0)</f>
        <v>2002</v>
      </c>
      <c r="E16709">
        <f>IFERROR(__xludf.DUMMYFUNCTION("""COMPUTED_VALUE"""),4.7979592E7)</f>
        <v>47979592</v>
      </c>
    </row>
    <row r="16710">
      <c r="A16710" t="str">
        <f t="shared" si="1"/>
        <v>ukr#2003</v>
      </c>
      <c r="B16710" t="str">
        <f>IFERROR(__xludf.DUMMYFUNCTION("""COMPUTED_VALUE"""),"ukr")</f>
        <v>ukr</v>
      </c>
      <c r="C16710" t="str">
        <f>IFERROR(__xludf.DUMMYFUNCTION("""COMPUTED_VALUE"""),"Ukraine")</f>
        <v>Ukraine</v>
      </c>
      <c r="D16710">
        <f>IFERROR(__xludf.DUMMYFUNCTION("""COMPUTED_VALUE"""),2003.0)</f>
        <v>2003</v>
      </c>
      <c r="E16710">
        <f>IFERROR(__xludf.DUMMYFUNCTION("""COMPUTED_VALUE"""),4.7580559E7)</f>
        <v>47580559</v>
      </c>
    </row>
    <row r="16711">
      <c r="A16711" t="str">
        <f t="shared" si="1"/>
        <v>ukr#2004</v>
      </c>
      <c r="B16711" t="str">
        <f>IFERROR(__xludf.DUMMYFUNCTION("""COMPUTED_VALUE"""),"ukr")</f>
        <v>ukr</v>
      </c>
      <c r="C16711" t="str">
        <f>IFERROR(__xludf.DUMMYFUNCTION("""COMPUTED_VALUE"""),"Ukraine")</f>
        <v>Ukraine</v>
      </c>
      <c r="D16711">
        <f>IFERROR(__xludf.DUMMYFUNCTION("""COMPUTED_VALUE"""),2004.0)</f>
        <v>2004</v>
      </c>
      <c r="E16711">
        <f>IFERROR(__xludf.DUMMYFUNCTION("""COMPUTED_VALUE"""),4.7215966E7)</f>
        <v>47215966</v>
      </c>
    </row>
    <row r="16712">
      <c r="A16712" t="str">
        <f t="shared" si="1"/>
        <v>ukr#2005</v>
      </c>
      <c r="B16712" t="str">
        <f>IFERROR(__xludf.DUMMYFUNCTION("""COMPUTED_VALUE"""),"ukr")</f>
        <v>ukr</v>
      </c>
      <c r="C16712" t="str">
        <f>IFERROR(__xludf.DUMMYFUNCTION("""COMPUTED_VALUE"""),"Ukraine")</f>
        <v>Ukraine</v>
      </c>
      <c r="D16712">
        <f>IFERROR(__xludf.DUMMYFUNCTION("""COMPUTED_VALUE"""),2005.0)</f>
        <v>2005</v>
      </c>
      <c r="E16712">
        <f>IFERROR(__xludf.DUMMYFUNCTION("""COMPUTED_VALUE"""),4.6892163E7)</f>
        <v>46892163</v>
      </c>
    </row>
    <row r="16713">
      <c r="A16713" t="str">
        <f t="shared" si="1"/>
        <v>ukr#2006</v>
      </c>
      <c r="B16713" t="str">
        <f>IFERROR(__xludf.DUMMYFUNCTION("""COMPUTED_VALUE"""),"ukr")</f>
        <v>ukr</v>
      </c>
      <c r="C16713" t="str">
        <f>IFERROR(__xludf.DUMMYFUNCTION("""COMPUTED_VALUE"""),"Ukraine")</f>
        <v>Ukraine</v>
      </c>
      <c r="D16713">
        <f>IFERROR(__xludf.DUMMYFUNCTION("""COMPUTED_VALUE"""),2006.0)</f>
        <v>2006</v>
      </c>
      <c r="E16713">
        <f>IFERROR(__xludf.DUMMYFUNCTION("""COMPUTED_VALUE"""),4.6616389E7)</f>
        <v>46616389</v>
      </c>
    </row>
    <row r="16714">
      <c r="A16714" t="str">
        <f t="shared" si="1"/>
        <v>ukr#2007</v>
      </c>
      <c r="B16714" t="str">
        <f>IFERROR(__xludf.DUMMYFUNCTION("""COMPUTED_VALUE"""),"ukr")</f>
        <v>ukr</v>
      </c>
      <c r="C16714" t="str">
        <f>IFERROR(__xludf.DUMMYFUNCTION("""COMPUTED_VALUE"""),"Ukraine")</f>
        <v>Ukraine</v>
      </c>
      <c r="D16714">
        <f>IFERROR(__xludf.DUMMYFUNCTION("""COMPUTED_VALUE"""),2007.0)</f>
        <v>2007</v>
      </c>
      <c r="E16714">
        <f>IFERROR(__xludf.DUMMYFUNCTION("""COMPUTED_VALUE"""),4.6386355E7)</f>
        <v>46386355</v>
      </c>
    </row>
    <row r="16715">
      <c r="A16715" t="str">
        <f t="shared" si="1"/>
        <v>ukr#2008</v>
      </c>
      <c r="B16715" t="str">
        <f>IFERROR(__xludf.DUMMYFUNCTION("""COMPUTED_VALUE"""),"ukr")</f>
        <v>ukr</v>
      </c>
      <c r="C16715" t="str">
        <f>IFERROR(__xludf.DUMMYFUNCTION("""COMPUTED_VALUE"""),"Ukraine")</f>
        <v>Ukraine</v>
      </c>
      <c r="D16715">
        <f>IFERROR(__xludf.DUMMYFUNCTION("""COMPUTED_VALUE"""),2008.0)</f>
        <v>2008</v>
      </c>
      <c r="E16715">
        <f>IFERROR(__xludf.DUMMYFUNCTION("""COMPUTED_VALUE"""),4.618643E7)</f>
        <v>46186430</v>
      </c>
    </row>
    <row r="16716">
      <c r="A16716" t="str">
        <f t="shared" si="1"/>
        <v>ukr#2009</v>
      </c>
      <c r="B16716" t="str">
        <f>IFERROR(__xludf.DUMMYFUNCTION("""COMPUTED_VALUE"""),"ukr")</f>
        <v>ukr</v>
      </c>
      <c r="C16716" t="str">
        <f>IFERROR(__xludf.DUMMYFUNCTION("""COMPUTED_VALUE"""),"Ukraine")</f>
        <v>Ukraine</v>
      </c>
      <c r="D16716">
        <f>IFERROR(__xludf.DUMMYFUNCTION("""COMPUTED_VALUE"""),2009.0)</f>
        <v>2009</v>
      </c>
      <c r="E16716">
        <f>IFERROR(__xludf.DUMMYFUNCTION("""COMPUTED_VALUE"""),4.5994024E7)</f>
        <v>45994024</v>
      </c>
    </row>
    <row r="16717">
      <c r="A16717" t="str">
        <f t="shared" si="1"/>
        <v>ukr#2010</v>
      </c>
      <c r="B16717" t="str">
        <f>IFERROR(__xludf.DUMMYFUNCTION("""COMPUTED_VALUE"""),"ukr")</f>
        <v>ukr</v>
      </c>
      <c r="C16717" t="str">
        <f>IFERROR(__xludf.DUMMYFUNCTION("""COMPUTED_VALUE"""),"Ukraine")</f>
        <v>Ukraine</v>
      </c>
      <c r="D16717">
        <f>IFERROR(__xludf.DUMMYFUNCTION("""COMPUTED_VALUE"""),2010.0)</f>
        <v>2010</v>
      </c>
      <c r="E16717">
        <f>IFERROR(__xludf.DUMMYFUNCTION("""COMPUTED_VALUE"""),4.5792501E7)</f>
        <v>45792501</v>
      </c>
    </row>
    <row r="16718">
      <c r="A16718" t="str">
        <f t="shared" si="1"/>
        <v>ukr#2011</v>
      </c>
      <c r="B16718" t="str">
        <f>IFERROR(__xludf.DUMMYFUNCTION("""COMPUTED_VALUE"""),"ukr")</f>
        <v>ukr</v>
      </c>
      <c r="C16718" t="str">
        <f>IFERROR(__xludf.DUMMYFUNCTION("""COMPUTED_VALUE"""),"Ukraine")</f>
        <v>Ukraine</v>
      </c>
      <c r="D16718">
        <f>IFERROR(__xludf.DUMMYFUNCTION("""COMPUTED_VALUE"""),2011.0)</f>
        <v>2011</v>
      </c>
      <c r="E16718">
        <f>IFERROR(__xludf.DUMMYFUNCTION("""COMPUTED_VALUE"""),4.5576307E7)</f>
        <v>45576307</v>
      </c>
    </row>
    <row r="16719">
      <c r="A16719" t="str">
        <f t="shared" si="1"/>
        <v>ukr#2012</v>
      </c>
      <c r="B16719" t="str">
        <f>IFERROR(__xludf.DUMMYFUNCTION("""COMPUTED_VALUE"""),"ukr")</f>
        <v>ukr</v>
      </c>
      <c r="C16719" t="str">
        <f>IFERROR(__xludf.DUMMYFUNCTION("""COMPUTED_VALUE"""),"Ukraine")</f>
        <v>Ukraine</v>
      </c>
      <c r="D16719">
        <f>IFERROR(__xludf.DUMMYFUNCTION("""COMPUTED_VALUE"""),2012.0)</f>
        <v>2012</v>
      </c>
      <c r="E16719">
        <f>IFERROR(__xludf.DUMMYFUNCTION("""COMPUTED_VALUE"""),4.5349333E7)</f>
        <v>45349333</v>
      </c>
    </row>
    <row r="16720">
      <c r="A16720" t="str">
        <f t="shared" si="1"/>
        <v>ukr#2013</v>
      </c>
      <c r="B16720" t="str">
        <f>IFERROR(__xludf.DUMMYFUNCTION("""COMPUTED_VALUE"""),"ukr")</f>
        <v>ukr</v>
      </c>
      <c r="C16720" t="str">
        <f>IFERROR(__xludf.DUMMYFUNCTION("""COMPUTED_VALUE"""),"Ukraine")</f>
        <v>Ukraine</v>
      </c>
      <c r="D16720">
        <f>IFERROR(__xludf.DUMMYFUNCTION("""COMPUTED_VALUE"""),2013.0)</f>
        <v>2013</v>
      </c>
      <c r="E16720">
        <f>IFERROR(__xludf.DUMMYFUNCTION("""COMPUTED_VALUE"""),4.5115785E7)</f>
        <v>45115785</v>
      </c>
    </row>
    <row r="16721">
      <c r="A16721" t="str">
        <f t="shared" si="1"/>
        <v>ukr#2014</v>
      </c>
      <c r="B16721" t="str">
        <f>IFERROR(__xludf.DUMMYFUNCTION("""COMPUTED_VALUE"""),"ukr")</f>
        <v>ukr</v>
      </c>
      <c r="C16721" t="str">
        <f>IFERROR(__xludf.DUMMYFUNCTION("""COMPUTED_VALUE"""),"Ukraine")</f>
        <v>Ukraine</v>
      </c>
      <c r="D16721">
        <f>IFERROR(__xludf.DUMMYFUNCTION("""COMPUTED_VALUE"""),2014.0)</f>
        <v>2014</v>
      </c>
      <c r="E16721">
        <f>IFERROR(__xludf.DUMMYFUNCTION("""COMPUTED_VALUE"""),4.4883426E7)</f>
        <v>44883426</v>
      </c>
    </row>
    <row r="16722">
      <c r="A16722" t="str">
        <f t="shared" si="1"/>
        <v>ukr#2015</v>
      </c>
      <c r="B16722" t="str">
        <f>IFERROR(__xludf.DUMMYFUNCTION("""COMPUTED_VALUE"""),"ukr")</f>
        <v>ukr</v>
      </c>
      <c r="C16722" t="str">
        <f>IFERROR(__xludf.DUMMYFUNCTION("""COMPUTED_VALUE"""),"Ukraine")</f>
        <v>Ukraine</v>
      </c>
      <c r="D16722">
        <f>IFERROR(__xludf.DUMMYFUNCTION("""COMPUTED_VALUE"""),2015.0)</f>
        <v>2015</v>
      </c>
      <c r="E16722">
        <f>IFERROR(__xludf.DUMMYFUNCTION("""COMPUTED_VALUE"""),4.4657704E7)</f>
        <v>44657704</v>
      </c>
    </row>
    <row r="16723">
      <c r="A16723" t="str">
        <f t="shared" si="1"/>
        <v>ukr#2016</v>
      </c>
      <c r="B16723" t="str">
        <f>IFERROR(__xludf.DUMMYFUNCTION("""COMPUTED_VALUE"""),"ukr")</f>
        <v>ukr</v>
      </c>
      <c r="C16723" t="str">
        <f>IFERROR(__xludf.DUMMYFUNCTION("""COMPUTED_VALUE"""),"Ukraine")</f>
        <v>Ukraine</v>
      </c>
      <c r="D16723">
        <f>IFERROR(__xludf.DUMMYFUNCTION("""COMPUTED_VALUE"""),2016.0)</f>
        <v>2016</v>
      </c>
      <c r="E16723">
        <f>IFERROR(__xludf.DUMMYFUNCTION("""COMPUTED_VALUE"""),4.4438625E7)</f>
        <v>44438625</v>
      </c>
    </row>
    <row r="16724">
      <c r="A16724" t="str">
        <f t="shared" si="1"/>
        <v>ukr#2017</v>
      </c>
      <c r="B16724" t="str">
        <f>IFERROR(__xludf.DUMMYFUNCTION("""COMPUTED_VALUE"""),"ukr")</f>
        <v>ukr</v>
      </c>
      <c r="C16724" t="str">
        <f>IFERROR(__xludf.DUMMYFUNCTION("""COMPUTED_VALUE"""),"Ukraine")</f>
        <v>Ukraine</v>
      </c>
      <c r="D16724">
        <f>IFERROR(__xludf.DUMMYFUNCTION("""COMPUTED_VALUE"""),2017.0)</f>
        <v>2017</v>
      </c>
      <c r="E16724">
        <f>IFERROR(__xludf.DUMMYFUNCTION("""COMPUTED_VALUE"""),4.4222947E7)</f>
        <v>44222947</v>
      </c>
    </row>
    <row r="16725">
      <c r="A16725" t="str">
        <f t="shared" si="1"/>
        <v>ukr#2018</v>
      </c>
      <c r="B16725" t="str">
        <f>IFERROR(__xludf.DUMMYFUNCTION("""COMPUTED_VALUE"""),"ukr")</f>
        <v>ukr</v>
      </c>
      <c r="C16725" t="str">
        <f>IFERROR(__xludf.DUMMYFUNCTION("""COMPUTED_VALUE"""),"Ukraine")</f>
        <v>Ukraine</v>
      </c>
      <c r="D16725">
        <f>IFERROR(__xludf.DUMMYFUNCTION("""COMPUTED_VALUE"""),2018.0)</f>
        <v>2018</v>
      </c>
      <c r="E16725">
        <f>IFERROR(__xludf.DUMMYFUNCTION("""COMPUTED_VALUE"""),4.4009214E7)</f>
        <v>44009214</v>
      </c>
    </row>
    <row r="16726">
      <c r="A16726" t="str">
        <f t="shared" si="1"/>
        <v>ukr#2019</v>
      </c>
      <c r="B16726" t="str">
        <f>IFERROR(__xludf.DUMMYFUNCTION("""COMPUTED_VALUE"""),"ukr")</f>
        <v>ukr</v>
      </c>
      <c r="C16726" t="str">
        <f>IFERROR(__xludf.DUMMYFUNCTION("""COMPUTED_VALUE"""),"Ukraine")</f>
        <v>Ukraine</v>
      </c>
      <c r="D16726">
        <f>IFERROR(__xludf.DUMMYFUNCTION("""COMPUTED_VALUE"""),2019.0)</f>
        <v>2019</v>
      </c>
      <c r="E16726">
        <f>IFERROR(__xludf.DUMMYFUNCTION("""COMPUTED_VALUE"""),4.379522E7)</f>
        <v>43795220</v>
      </c>
    </row>
    <row r="16727">
      <c r="A16727" t="str">
        <f t="shared" si="1"/>
        <v>ukr#2020</v>
      </c>
      <c r="B16727" t="str">
        <f>IFERROR(__xludf.DUMMYFUNCTION("""COMPUTED_VALUE"""),"ukr")</f>
        <v>ukr</v>
      </c>
      <c r="C16727" t="str">
        <f>IFERROR(__xludf.DUMMYFUNCTION("""COMPUTED_VALUE"""),"Ukraine")</f>
        <v>Ukraine</v>
      </c>
      <c r="D16727">
        <f>IFERROR(__xludf.DUMMYFUNCTION("""COMPUTED_VALUE"""),2020.0)</f>
        <v>2020</v>
      </c>
      <c r="E16727">
        <f>IFERROR(__xludf.DUMMYFUNCTION("""COMPUTED_VALUE"""),4.3579234E7)</f>
        <v>43579234</v>
      </c>
    </row>
    <row r="16728">
      <c r="A16728" t="str">
        <f t="shared" si="1"/>
        <v>ukr#2021</v>
      </c>
      <c r="B16728" t="str">
        <f>IFERROR(__xludf.DUMMYFUNCTION("""COMPUTED_VALUE"""),"ukr")</f>
        <v>ukr</v>
      </c>
      <c r="C16728" t="str">
        <f>IFERROR(__xludf.DUMMYFUNCTION("""COMPUTED_VALUE"""),"Ukraine")</f>
        <v>Ukraine</v>
      </c>
      <c r="D16728">
        <f>IFERROR(__xludf.DUMMYFUNCTION("""COMPUTED_VALUE"""),2021.0)</f>
        <v>2021</v>
      </c>
      <c r="E16728">
        <f>IFERROR(__xludf.DUMMYFUNCTION("""COMPUTED_VALUE"""),4.336097E7)</f>
        <v>43360970</v>
      </c>
    </row>
    <row r="16729">
      <c r="A16729" t="str">
        <f t="shared" si="1"/>
        <v>ukr#2022</v>
      </c>
      <c r="B16729" t="str">
        <f>IFERROR(__xludf.DUMMYFUNCTION("""COMPUTED_VALUE"""),"ukr")</f>
        <v>ukr</v>
      </c>
      <c r="C16729" t="str">
        <f>IFERROR(__xludf.DUMMYFUNCTION("""COMPUTED_VALUE"""),"Ukraine")</f>
        <v>Ukraine</v>
      </c>
      <c r="D16729">
        <f>IFERROR(__xludf.DUMMYFUNCTION("""COMPUTED_VALUE"""),2022.0)</f>
        <v>2022</v>
      </c>
      <c r="E16729">
        <f>IFERROR(__xludf.DUMMYFUNCTION("""COMPUTED_VALUE"""),4.3140411E7)</f>
        <v>43140411</v>
      </c>
    </row>
    <row r="16730">
      <c r="A16730" t="str">
        <f t="shared" si="1"/>
        <v>ukr#2023</v>
      </c>
      <c r="B16730" t="str">
        <f>IFERROR(__xludf.DUMMYFUNCTION("""COMPUTED_VALUE"""),"ukr")</f>
        <v>ukr</v>
      </c>
      <c r="C16730" t="str">
        <f>IFERROR(__xludf.DUMMYFUNCTION("""COMPUTED_VALUE"""),"Ukraine")</f>
        <v>Ukraine</v>
      </c>
      <c r="D16730">
        <f>IFERROR(__xludf.DUMMYFUNCTION("""COMPUTED_VALUE"""),2023.0)</f>
        <v>2023</v>
      </c>
      <c r="E16730">
        <f>IFERROR(__xludf.DUMMYFUNCTION("""COMPUTED_VALUE"""),4.2916331E7)</f>
        <v>42916331</v>
      </c>
    </row>
    <row r="16731">
      <c r="A16731" t="str">
        <f t="shared" si="1"/>
        <v>ukr#2024</v>
      </c>
      <c r="B16731" t="str">
        <f>IFERROR(__xludf.DUMMYFUNCTION("""COMPUTED_VALUE"""),"ukr")</f>
        <v>ukr</v>
      </c>
      <c r="C16731" t="str">
        <f>IFERROR(__xludf.DUMMYFUNCTION("""COMPUTED_VALUE"""),"Ukraine")</f>
        <v>Ukraine</v>
      </c>
      <c r="D16731">
        <f>IFERROR(__xludf.DUMMYFUNCTION("""COMPUTED_VALUE"""),2024.0)</f>
        <v>2024</v>
      </c>
      <c r="E16731">
        <f>IFERROR(__xludf.DUMMYFUNCTION("""COMPUTED_VALUE"""),4.2687381E7)</f>
        <v>42687381</v>
      </c>
    </row>
    <row r="16732">
      <c r="A16732" t="str">
        <f t="shared" si="1"/>
        <v>ukr#2025</v>
      </c>
      <c r="B16732" t="str">
        <f>IFERROR(__xludf.DUMMYFUNCTION("""COMPUTED_VALUE"""),"ukr")</f>
        <v>ukr</v>
      </c>
      <c r="C16732" t="str">
        <f>IFERROR(__xludf.DUMMYFUNCTION("""COMPUTED_VALUE"""),"Ukraine")</f>
        <v>Ukraine</v>
      </c>
      <c r="D16732">
        <f>IFERROR(__xludf.DUMMYFUNCTION("""COMPUTED_VALUE"""),2025.0)</f>
        <v>2025</v>
      </c>
      <c r="E16732">
        <f>IFERROR(__xludf.DUMMYFUNCTION("""COMPUTED_VALUE"""),4.2452647E7)</f>
        <v>42452647</v>
      </c>
    </row>
    <row r="16733">
      <c r="A16733" t="str">
        <f t="shared" si="1"/>
        <v>ukr#2026</v>
      </c>
      <c r="B16733" t="str">
        <f>IFERROR(__xludf.DUMMYFUNCTION("""COMPUTED_VALUE"""),"ukr")</f>
        <v>ukr</v>
      </c>
      <c r="C16733" t="str">
        <f>IFERROR(__xludf.DUMMYFUNCTION("""COMPUTED_VALUE"""),"Ukraine")</f>
        <v>Ukraine</v>
      </c>
      <c r="D16733">
        <f>IFERROR(__xludf.DUMMYFUNCTION("""COMPUTED_VALUE"""),2026.0)</f>
        <v>2026</v>
      </c>
      <c r="E16733">
        <f>IFERROR(__xludf.DUMMYFUNCTION("""COMPUTED_VALUE"""),4.2211775E7)</f>
        <v>42211775</v>
      </c>
    </row>
    <row r="16734">
      <c r="A16734" t="str">
        <f t="shared" si="1"/>
        <v>ukr#2027</v>
      </c>
      <c r="B16734" t="str">
        <f>IFERROR(__xludf.DUMMYFUNCTION("""COMPUTED_VALUE"""),"ukr")</f>
        <v>ukr</v>
      </c>
      <c r="C16734" t="str">
        <f>IFERROR(__xludf.DUMMYFUNCTION("""COMPUTED_VALUE"""),"Ukraine")</f>
        <v>Ukraine</v>
      </c>
      <c r="D16734">
        <f>IFERROR(__xludf.DUMMYFUNCTION("""COMPUTED_VALUE"""),2027.0)</f>
        <v>2027</v>
      </c>
      <c r="E16734">
        <f>IFERROR(__xludf.DUMMYFUNCTION("""COMPUTED_VALUE"""),4.1965143E7)</f>
        <v>41965143</v>
      </c>
    </row>
    <row r="16735">
      <c r="A16735" t="str">
        <f t="shared" si="1"/>
        <v>ukr#2028</v>
      </c>
      <c r="B16735" t="str">
        <f>IFERROR(__xludf.DUMMYFUNCTION("""COMPUTED_VALUE"""),"ukr")</f>
        <v>ukr</v>
      </c>
      <c r="C16735" t="str">
        <f>IFERROR(__xludf.DUMMYFUNCTION("""COMPUTED_VALUE"""),"Ukraine")</f>
        <v>Ukraine</v>
      </c>
      <c r="D16735">
        <f>IFERROR(__xludf.DUMMYFUNCTION("""COMPUTED_VALUE"""),2028.0)</f>
        <v>2028</v>
      </c>
      <c r="E16735">
        <f>IFERROR(__xludf.DUMMYFUNCTION("""COMPUTED_VALUE"""),4.1713547E7)</f>
        <v>41713547</v>
      </c>
    </row>
    <row r="16736">
      <c r="A16736" t="str">
        <f t="shared" si="1"/>
        <v>ukr#2029</v>
      </c>
      <c r="B16736" t="str">
        <f>IFERROR(__xludf.DUMMYFUNCTION("""COMPUTED_VALUE"""),"ukr")</f>
        <v>ukr</v>
      </c>
      <c r="C16736" t="str">
        <f>IFERROR(__xludf.DUMMYFUNCTION("""COMPUTED_VALUE"""),"Ukraine")</f>
        <v>Ukraine</v>
      </c>
      <c r="D16736">
        <f>IFERROR(__xludf.DUMMYFUNCTION("""COMPUTED_VALUE"""),2029.0)</f>
        <v>2029</v>
      </c>
      <c r="E16736">
        <f>IFERROR(__xludf.DUMMYFUNCTION("""COMPUTED_VALUE"""),4.145825E7)</f>
        <v>41458250</v>
      </c>
    </row>
    <row r="16737">
      <c r="A16737" t="str">
        <f t="shared" si="1"/>
        <v>ukr#2030</v>
      </c>
      <c r="B16737" t="str">
        <f>IFERROR(__xludf.DUMMYFUNCTION("""COMPUTED_VALUE"""),"ukr")</f>
        <v>ukr</v>
      </c>
      <c r="C16737" t="str">
        <f>IFERROR(__xludf.DUMMYFUNCTION("""COMPUTED_VALUE"""),"Ukraine")</f>
        <v>Ukraine</v>
      </c>
      <c r="D16737">
        <f>IFERROR(__xludf.DUMMYFUNCTION("""COMPUTED_VALUE"""),2030.0)</f>
        <v>2030</v>
      </c>
      <c r="E16737">
        <f>IFERROR(__xludf.DUMMYFUNCTION("""COMPUTED_VALUE"""),4.1200374E7)</f>
        <v>41200374</v>
      </c>
    </row>
    <row r="16738">
      <c r="A16738" t="str">
        <f t="shared" si="1"/>
        <v>ukr#2031</v>
      </c>
      <c r="B16738" t="str">
        <f>IFERROR(__xludf.DUMMYFUNCTION("""COMPUTED_VALUE"""),"ukr")</f>
        <v>ukr</v>
      </c>
      <c r="C16738" t="str">
        <f>IFERROR(__xludf.DUMMYFUNCTION("""COMPUTED_VALUE"""),"Ukraine")</f>
        <v>Ukraine</v>
      </c>
      <c r="D16738">
        <f>IFERROR(__xludf.DUMMYFUNCTION("""COMPUTED_VALUE"""),2031.0)</f>
        <v>2031</v>
      </c>
      <c r="E16738">
        <f>IFERROR(__xludf.DUMMYFUNCTION("""COMPUTED_VALUE"""),4.0940211E7)</f>
        <v>40940211</v>
      </c>
    </row>
    <row r="16739">
      <c r="A16739" t="str">
        <f t="shared" si="1"/>
        <v>ukr#2032</v>
      </c>
      <c r="B16739" t="str">
        <f>IFERROR(__xludf.DUMMYFUNCTION("""COMPUTED_VALUE"""),"ukr")</f>
        <v>ukr</v>
      </c>
      <c r="C16739" t="str">
        <f>IFERROR(__xludf.DUMMYFUNCTION("""COMPUTED_VALUE"""),"Ukraine")</f>
        <v>Ukraine</v>
      </c>
      <c r="D16739">
        <f>IFERROR(__xludf.DUMMYFUNCTION("""COMPUTED_VALUE"""),2032.0)</f>
        <v>2032</v>
      </c>
      <c r="E16739">
        <f>IFERROR(__xludf.DUMMYFUNCTION("""COMPUTED_VALUE"""),4.0678209E7)</f>
        <v>40678209</v>
      </c>
    </row>
    <row r="16740">
      <c r="A16740" t="str">
        <f t="shared" si="1"/>
        <v>ukr#2033</v>
      </c>
      <c r="B16740" t="str">
        <f>IFERROR(__xludf.DUMMYFUNCTION("""COMPUTED_VALUE"""),"ukr")</f>
        <v>ukr</v>
      </c>
      <c r="C16740" t="str">
        <f>IFERROR(__xludf.DUMMYFUNCTION("""COMPUTED_VALUE"""),"Ukraine")</f>
        <v>Ukraine</v>
      </c>
      <c r="D16740">
        <f>IFERROR(__xludf.DUMMYFUNCTION("""COMPUTED_VALUE"""),2033.0)</f>
        <v>2033</v>
      </c>
      <c r="E16740">
        <f>IFERROR(__xludf.DUMMYFUNCTION("""COMPUTED_VALUE"""),4.0415799E7)</f>
        <v>40415799</v>
      </c>
    </row>
    <row r="16741">
      <c r="A16741" t="str">
        <f t="shared" si="1"/>
        <v>ukr#2034</v>
      </c>
      <c r="B16741" t="str">
        <f>IFERROR(__xludf.DUMMYFUNCTION("""COMPUTED_VALUE"""),"ukr")</f>
        <v>ukr</v>
      </c>
      <c r="C16741" t="str">
        <f>IFERROR(__xludf.DUMMYFUNCTION("""COMPUTED_VALUE"""),"Ukraine")</f>
        <v>Ukraine</v>
      </c>
      <c r="D16741">
        <f>IFERROR(__xludf.DUMMYFUNCTION("""COMPUTED_VALUE"""),2034.0)</f>
        <v>2034</v>
      </c>
      <c r="E16741">
        <f>IFERROR(__xludf.DUMMYFUNCTION("""COMPUTED_VALUE"""),4.0154711E7)</f>
        <v>40154711</v>
      </c>
    </row>
    <row r="16742">
      <c r="A16742" t="str">
        <f t="shared" si="1"/>
        <v>ukr#2035</v>
      </c>
      <c r="B16742" t="str">
        <f>IFERROR(__xludf.DUMMYFUNCTION("""COMPUTED_VALUE"""),"ukr")</f>
        <v>ukr</v>
      </c>
      <c r="C16742" t="str">
        <f>IFERROR(__xludf.DUMMYFUNCTION("""COMPUTED_VALUE"""),"Ukraine")</f>
        <v>Ukraine</v>
      </c>
      <c r="D16742">
        <f>IFERROR(__xludf.DUMMYFUNCTION("""COMPUTED_VALUE"""),2035.0)</f>
        <v>2035</v>
      </c>
      <c r="E16742">
        <f>IFERROR(__xludf.DUMMYFUNCTION("""COMPUTED_VALUE"""),3.989634E7)</f>
        <v>39896340</v>
      </c>
    </row>
    <row r="16743">
      <c r="A16743" t="str">
        <f t="shared" si="1"/>
        <v>ukr#2036</v>
      </c>
      <c r="B16743" t="str">
        <f>IFERROR(__xludf.DUMMYFUNCTION("""COMPUTED_VALUE"""),"ukr")</f>
        <v>ukr</v>
      </c>
      <c r="C16743" t="str">
        <f>IFERROR(__xludf.DUMMYFUNCTION("""COMPUTED_VALUE"""),"Ukraine")</f>
        <v>Ukraine</v>
      </c>
      <c r="D16743">
        <f>IFERROR(__xludf.DUMMYFUNCTION("""COMPUTED_VALUE"""),2036.0)</f>
        <v>2036</v>
      </c>
      <c r="E16743">
        <f>IFERROR(__xludf.DUMMYFUNCTION("""COMPUTED_VALUE"""),3.9641292E7)</f>
        <v>39641292</v>
      </c>
    </row>
    <row r="16744">
      <c r="A16744" t="str">
        <f t="shared" si="1"/>
        <v>ukr#2037</v>
      </c>
      <c r="B16744" t="str">
        <f>IFERROR(__xludf.DUMMYFUNCTION("""COMPUTED_VALUE"""),"ukr")</f>
        <v>ukr</v>
      </c>
      <c r="C16744" t="str">
        <f>IFERROR(__xludf.DUMMYFUNCTION("""COMPUTED_VALUE"""),"Ukraine")</f>
        <v>Ukraine</v>
      </c>
      <c r="D16744">
        <f>IFERROR(__xludf.DUMMYFUNCTION("""COMPUTED_VALUE"""),2037.0)</f>
        <v>2037</v>
      </c>
      <c r="E16744">
        <f>IFERROR(__xludf.DUMMYFUNCTION("""COMPUTED_VALUE"""),3.9389725E7)</f>
        <v>39389725</v>
      </c>
    </row>
    <row r="16745">
      <c r="A16745" t="str">
        <f t="shared" si="1"/>
        <v>ukr#2038</v>
      </c>
      <c r="B16745" t="str">
        <f>IFERROR(__xludf.DUMMYFUNCTION("""COMPUTED_VALUE"""),"ukr")</f>
        <v>ukr</v>
      </c>
      <c r="C16745" t="str">
        <f>IFERROR(__xludf.DUMMYFUNCTION("""COMPUTED_VALUE"""),"Ukraine")</f>
        <v>Ukraine</v>
      </c>
      <c r="D16745">
        <f>IFERROR(__xludf.DUMMYFUNCTION("""COMPUTED_VALUE"""),2038.0)</f>
        <v>2038</v>
      </c>
      <c r="E16745">
        <f>IFERROR(__xludf.DUMMYFUNCTION("""COMPUTED_VALUE"""),3.9141923E7)</f>
        <v>39141923</v>
      </c>
    </row>
    <row r="16746">
      <c r="A16746" t="str">
        <f t="shared" si="1"/>
        <v>ukr#2039</v>
      </c>
      <c r="B16746" t="str">
        <f>IFERROR(__xludf.DUMMYFUNCTION("""COMPUTED_VALUE"""),"ukr")</f>
        <v>ukr</v>
      </c>
      <c r="C16746" t="str">
        <f>IFERROR(__xludf.DUMMYFUNCTION("""COMPUTED_VALUE"""),"Ukraine")</f>
        <v>Ukraine</v>
      </c>
      <c r="D16746">
        <f>IFERROR(__xludf.DUMMYFUNCTION("""COMPUTED_VALUE"""),2039.0)</f>
        <v>2039</v>
      </c>
      <c r="E16746">
        <f>IFERROR(__xludf.DUMMYFUNCTION("""COMPUTED_VALUE"""),3.8898011E7)</f>
        <v>38898011</v>
      </c>
    </row>
    <row r="16747">
      <c r="A16747" t="str">
        <f t="shared" si="1"/>
        <v>ukr#2040</v>
      </c>
      <c r="B16747" t="str">
        <f>IFERROR(__xludf.DUMMYFUNCTION("""COMPUTED_VALUE"""),"ukr")</f>
        <v>ukr</v>
      </c>
      <c r="C16747" t="str">
        <f>IFERROR(__xludf.DUMMYFUNCTION("""COMPUTED_VALUE"""),"Ukraine")</f>
        <v>Ukraine</v>
      </c>
      <c r="D16747">
        <f>IFERROR(__xludf.DUMMYFUNCTION("""COMPUTED_VALUE"""),2040.0)</f>
        <v>2040</v>
      </c>
      <c r="E16747">
        <f>IFERROR(__xludf.DUMMYFUNCTION("""COMPUTED_VALUE"""),3.8658013E7)</f>
        <v>38658013</v>
      </c>
    </row>
    <row r="16748">
      <c r="A16748" t="str">
        <f t="shared" si="1"/>
        <v>are#1950</v>
      </c>
      <c r="B16748" t="str">
        <f>IFERROR(__xludf.DUMMYFUNCTION("""COMPUTED_VALUE"""),"are")</f>
        <v>are</v>
      </c>
      <c r="C16748" t="str">
        <f>IFERROR(__xludf.DUMMYFUNCTION("""COMPUTED_VALUE"""),"United Arab Emirates")</f>
        <v>United Arab Emirates</v>
      </c>
      <c r="D16748">
        <f>IFERROR(__xludf.DUMMYFUNCTION("""COMPUTED_VALUE"""),1950.0)</f>
        <v>1950</v>
      </c>
      <c r="E16748">
        <f>IFERROR(__xludf.DUMMYFUNCTION("""COMPUTED_VALUE"""),69588.0)</f>
        <v>69588</v>
      </c>
    </row>
    <row r="16749">
      <c r="A16749" t="str">
        <f t="shared" si="1"/>
        <v>are#1951</v>
      </c>
      <c r="B16749" t="str">
        <f>IFERROR(__xludf.DUMMYFUNCTION("""COMPUTED_VALUE"""),"are")</f>
        <v>are</v>
      </c>
      <c r="C16749" t="str">
        <f>IFERROR(__xludf.DUMMYFUNCTION("""COMPUTED_VALUE"""),"United Arab Emirates")</f>
        <v>United Arab Emirates</v>
      </c>
      <c r="D16749">
        <f>IFERROR(__xludf.DUMMYFUNCTION("""COMPUTED_VALUE"""),1951.0)</f>
        <v>1951</v>
      </c>
      <c r="E16749">
        <f>IFERROR(__xludf.DUMMYFUNCTION("""COMPUTED_VALUE"""),67320.0)</f>
        <v>67320</v>
      </c>
    </row>
    <row r="16750">
      <c r="A16750" t="str">
        <f t="shared" si="1"/>
        <v>are#1952</v>
      </c>
      <c r="B16750" t="str">
        <f>IFERROR(__xludf.DUMMYFUNCTION("""COMPUTED_VALUE"""),"are")</f>
        <v>are</v>
      </c>
      <c r="C16750" t="str">
        <f>IFERROR(__xludf.DUMMYFUNCTION("""COMPUTED_VALUE"""),"United Arab Emirates")</f>
        <v>United Arab Emirates</v>
      </c>
      <c r="D16750">
        <f>IFERROR(__xludf.DUMMYFUNCTION("""COMPUTED_VALUE"""),1952.0)</f>
        <v>1952</v>
      </c>
      <c r="E16750">
        <f>IFERROR(__xludf.DUMMYFUNCTION("""COMPUTED_VALUE"""),69063.0)</f>
        <v>69063</v>
      </c>
    </row>
    <row r="16751">
      <c r="A16751" t="str">
        <f t="shared" si="1"/>
        <v>are#1953</v>
      </c>
      <c r="B16751" t="str">
        <f>IFERROR(__xludf.DUMMYFUNCTION("""COMPUTED_VALUE"""),"are")</f>
        <v>are</v>
      </c>
      <c r="C16751" t="str">
        <f>IFERROR(__xludf.DUMMYFUNCTION("""COMPUTED_VALUE"""),"United Arab Emirates")</f>
        <v>United Arab Emirates</v>
      </c>
      <c r="D16751">
        <f>IFERROR(__xludf.DUMMYFUNCTION("""COMPUTED_VALUE"""),1953.0)</f>
        <v>1953</v>
      </c>
      <c r="E16751">
        <f>IFERROR(__xludf.DUMMYFUNCTION("""COMPUTED_VALUE"""),72630.0)</f>
        <v>72630</v>
      </c>
    </row>
    <row r="16752">
      <c r="A16752" t="str">
        <f t="shared" si="1"/>
        <v>are#1954</v>
      </c>
      <c r="B16752" t="str">
        <f>IFERROR(__xludf.DUMMYFUNCTION("""COMPUTED_VALUE"""),"are")</f>
        <v>are</v>
      </c>
      <c r="C16752" t="str">
        <f>IFERROR(__xludf.DUMMYFUNCTION("""COMPUTED_VALUE"""),"United Arab Emirates")</f>
        <v>United Arab Emirates</v>
      </c>
      <c r="D16752">
        <f>IFERROR(__xludf.DUMMYFUNCTION("""COMPUTED_VALUE"""),1954.0)</f>
        <v>1954</v>
      </c>
      <c r="E16752">
        <f>IFERROR(__xludf.DUMMYFUNCTION("""COMPUTED_VALUE"""),76460.0)</f>
        <v>76460</v>
      </c>
    </row>
    <row r="16753">
      <c r="A16753" t="str">
        <f t="shared" si="1"/>
        <v>are#1955</v>
      </c>
      <c r="B16753" t="str">
        <f>IFERROR(__xludf.DUMMYFUNCTION("""COMPUTED_VALUE"""),"are")</f>
        <v>are</v>
      </c>
      <c r="C16753" t="str">
        <f>IFERROR(__xludf.DUMMYFUNCTION("""COMPUTED_VALUE"""),"United Arab Emirates")</f>
        <v>United Arab Emirates</v>
      </c>
      <c r="D16753">
        <f>IFERROR(__xludf.DUMMYFUNCTION("""COMPUTED_VALUE"""),1955.0)</f>
        <v>1955</v>
      </c>
      <c r="E16753">
        <f>IFERROR(__xludf.DUMMYFUNCTION("""COMPUTED_VALUE"""),79578.0)</f>
        <v>79578</v>
      </c>
    </row>
    <row r="16754">
      <c r="A16754" t="str">
        <f t="shared" si="1"/>
        <v>are#1956</v>
      </c>
      <c r="B16754" t="str">
        <f>IFERROR(__xludf.DUMMYFUNCTION("""COMPUTED_VALUE"""),"are")</f>
        <v>are</v>
      </c>
      <c r="C16754" t="str">
        <f>IFERROR(__xludf.DUMMYFUNCTION("""COMPUTED_VALUE"""),"United Arab Emirates")</f>
        <v>United Arab Emirates</v>
      </c>
      <c r="D16754">
        <f>IFERROR(__xludf.DUMMYFUNCTION("""COMPUTED_VALUE"""),1956.0)</f>
        <v>1956</v>
      </c>
      <c r="E16754">
        <f>IFERROR(__xludf.DUMMYFUNCTION("""COMPUTED_VALUE"""),81682.0)</f>
        <v>81682</v>
      </c>
    </row>
    <row r="16755">
      <c r="A16755" t="str">
        <f t="shared" si="1"/>
        <v>are#1957</v>
      </c>
      <c r="B16755" t="str">
        <f>IFERROR(__xludf.DUMMYFUNCTION("""COMPUTED_VALUE"""),"are")</f>
        <v>are</v>
      </c>
      <c r="C16755" t="str">
        <f>IFERROR(__xludf.DUMMYFUNCTION("""COMPUTED_VALUE"""),"United Arab Emirates")</f>
        <v>United Arab Emirates</v>
      </c>
      <c r="D16755">
        <f>IFERROR(__xludf.DUMMYFUNCTION("""COMPUTED_VALUE"""),1957.0)</f>
        <v>1957</v>
      </c>
      <c r="E16755">
        <f>IFERROR(__xludf.DUMMYFUNCTION("""COMPUTED_VALUE"""),83068.0)</f>
        <v>83068</v>
      </c>
    </row>
    <row r="16756">
      <c r="A16756" t="str">
        <f t="shared" si="1"/>
        <v>are#1958</v>
      </c>
      <c r="B16756" t="str">
        <f>IFERROR(__xludf.DUMMYFUNCTION("""COMPUTED_VALUE"""),"are")</f>
        <v>are</v>
      </c>
      <c r="C16756" t="str">
        <f>IFERROR(__xludf.DUMMYFUNCTION("""COMPUTED_VALUE"""),"United Arab Emirates")</f>
        <v>United Arab Emirates</v>
      </c>
      <c r="D16756">
        <f>IFERROR(__xludf.DUMMYFUNCTION("""COMPUTED_VALUE"""),1958.0)</f>
        <v>1958</v>
      </c>
      <c r="E16756">
        <f>IFERROR(__xludf.DUMMYFUNCTION("""COMPUTED_VALUE"""),84559.0)</f>
        <v>84559</v>
      </c>
    </row>
    <row r="16757">
      <c r="A16757" t="str">
        <f t="shared" si="1"/>
        <v>are#1959</v>
      </c>
      <c r="B16757" t="str">
        <f>IFERROR(__xludf.DUMMYFUNCTION("""COMPUTED_VALUE"""),"are")</f>
        <v>are</v>
      </c>
      <c r="C16757" t="str">
        <f>IFERROR(__xludf.DUMMYFUNCTION("""COMPUTED_VALUE"""),"United Arab Emirates")</f>
        <v>United Arab Emirates</v>
      </c>
      <c r="D16757">
        <f>IFERROR(__xludf.DUMMYFUNCTION("""COMPUTED_VALUE"""),1959.0)</f>
        <v>1959</v>
      </c>
      <c r="E16757">
        <f>IFERROR(__xludf.DUMMYFUNCTION("""COMPUTED_VALUE"""),87362.0)</f>
        <v>87362</v>
      </c>
    </row>
    <row r="16758">
      <c r="A16758" t="str">
        <f t="shared" si="1"/>
        <v>are#1960</v>
      </c>
      <c r="B16758" t="str">
        <f>IFERROR(__xludf.DUMMYFUNCTION("""COMPUTED_VALUE"""),"are")</f>
        <v>are</v>
      </c>
      <c r="C16758" t="str">
        <f>IFERROR(__xludf.DUMMYFUNCTION("""COMPUTED_VALUE"""),"United Arab Emirates")</f>
        <v>United Arab Emirates</v>
      </c>
      <c r="D16758">
        <f>IFERROR(__xludf.DUMMYFUNCTION("""COMPUTED_VALUE"""),1960.0)</f>
        <v>1960</v>
      </c>
      <c r="E16758">
        <f>IFERROR(__xludf.DUMMYFUNCTION("""COMPUTED_VALUE"""),92634.0)</f>
        <v>92634</v>
      </c>
    </row>
    <row r="16759">
      <c r="A16759" t="str">
        <f t="shared" si="1"/>
        <v>are#1961</v>
      </c>
      <c r="B16759" t="str">
        <f>IFERROR(__xludf.DUMMYFUNCTION("""COMPUTED_VALUE"""),"are")</f>
        <v>are</v>
      </c>
      <c r="C16759" t="str">
        <f>IFERROR(__xludf.DUMMYFUNCTION("""COMPUTED_VALUE"""),"United Arab Emirates")</f>
        <v>United Arab Emirates</v>
      </c>
      <c r="D16759">
        <f>IFERROR(__xludf.DUMMYFUNCTION("""COMPUTED_VALUE"""),1961.0)</f>
        <v>1961</v>
      </c>
      <c r="E16759">
        <f>IFERROR(__xludf.DUMMYFUNCTION("""COMPUTED_VALUE"""),101078.0)</f>
        <v>101078</v>
      </c>
    </row>
    <row r="16760">
      <c r="A16760" t="str">
        <f t="shared" si="1"/>
        <v>are#1962</v>
      </c>
      <c r="B16760" t="str">
        <f>IFERROR(__xludf.DUMMYFUNCTION("""COMPUTED_VALUE"""),"are")</f>
        <v>are</v>
      </c>
      <c r="C16760" t="str">
        <f>IFERROR(__xludf.DUMMYFUNCTION("""COMPUTED_VALUE"""),"United Arab Emirates")</f>
        <v>United Arab Emirates</v>
      </c>
      <c r="D16760">
        <f>IFERROR(__xludf.DUMMYFUNCTION("""COMPUTED_VALUE"""),1962.0)</f>
        <v>1962</v>
      </c>
      <c r="E16760">
        <f>IFERROR(__xludf.DUMMYFUNCTION("""COMPUTED_VALUE"""),112472.0)</f>
        <v>112472</v>
      </c>
    </row>
    <row r="16761">
      <c r="A16761" t="str">
        <f t="shared" si="1"/>
        <v>are#1963</v>
      </c>
      <c r="B16761" t="str">
        <f>IFERROR(__xludf.DUMMYFUNCTION("""COMPUTED_VALUE"""),"are")</f>
        <v>are</v>
      </c>
      <c r="C16761" t="str">
        <f>IFERROR(__xludf.DUMMYFUNCTION("""COMPUTED_VALUE"""),"United Arab Emirates")</f>
        <v>United Arab Emirates</v>
      </c>
      <c r="D16761">
        <f>IFERROR(__xludf.DUMMYFUNCTION("""COMPUTED_VALUE"""),1963.0)</f>
        <v>1963</v>
      </c>
      <c r="E16761">
        <f>IFERROR(__xludf.DUMMYFUNCTION("""COMPUTED_VALUE"""),125566.0)</f>
        <v>125566</v>
      </c>
    </row>
    <row r="16762">
      <c r="A16762" t="str">
        <f t="shared" si="1"/>
        <v>are#1964</v>
      </c>
      <c r="B16762" t="str">
        <f>IFERROR(__xludf.DUMMYFUNCTION("""COMPUTED_VALUE"""),"are")</f>
        <v>are</v>
      </c>
      <c r="C16762" t="str">
        <f>IFERROR(__xludf.DUMMYFUNCTION("""COMPUTED_VALUE"""),"United Arab Emirates")</f>
        <v>United Arab Emirates</v>
      </c>
      <c r="D16762">
        <f>IFERROR(__xludf.DUMMYFUNCTION("""COMPUTED_VALUE"""),1964.0)</f>
        <v>1964</v>
      </c>
      <c r="E16762">
        <f>IFERROR(__xludf.DUMMYFUNCTION("""COMPUTED_VALUE"""),138529.0)</f>
        <v>138529</v>
      </c>
    </row>
    <row r="16763">
      <c r="A16763" t="str">
        <f t="shared" si="1"/>
        <v>are#1965</v>
      </c>
      <c r="B16763" t="str">
        <f>IFERROR(__xludf.DUMMYFUNCTION("""COMPUTED_VALUE"""),"are")</f>
        <v>are</v>
      </c>
      <c r="C16763" t="str">
        <f>IFERROR(__xludf.DUMMYFUNCTION("""COMPUTED_VALUE"""),"United Arab Emirates")</f>
        <v>United Arab Emirates</v>
      </c>
      <c r="D16763">
        <f>IFERROR(__xludf.DUMMYFUNCTION("""COMPUTED_VALUE"""),1965.0)</f>
        <v>1965</v>
      </c>
      <c r="E16763">
        <f>IFERROR(__xludf.DUMMYFUNCTION("""COMPUTED_VALUE"""),150362.0)</f>
        <v>150362</v>
      </c>
    </row>
    <row r="16764">
      <c r="A16764" t="str">
        <f t="shared" si="1"/>
        <v>are#1966</v>
      </c>
      <c r="B16764" t="str">
        <f>IFERROR(__xludf.DUMMYFUNCTION("""COMPUTED_VALUE"""),"are")</f>
        <v>are</v>
      </c>
      <c r="C16764" t="str">
        <f>IFERROR(__xludf.DUMMYFUNCTION("""COMPUTED_VALUE"""),"United Arab Emirates")</f>
        <v>United Arab Emirates</v>
      </c>
      <c r="D16764">
        <f>IFERROR(__xludf.DUMMYFUNCTION("""COMPUTED_VALUE"""),1966.0)</f>
        <v>1966</v>
      </c>
      <c r="E16764">
        <f>IFERROR(__xludf.DUMMYFUNCTION("""COMPUTED_VALUE"""),160481.0)</f>
        <v>160481</v>
      </c>
    </row>
    <row r="16765">
      <c r="A16765" t="str">
        <f t="shared" si="1"/>
        <v>are#1967</v>
      </c>
      <c r="B16765" t="str">
        <f>IFERROR(__xludf.DUMMYFUNCTION("""COMPUTED_VALUE"""),"are")</f>
        <v>are</v>
      </c>
      <c r="C16765" t="str">
        <f>IFERROR(__xludf.DUMMYFUNCTION("""COMPUTED_VALUE"""),"United Arab Emirates")</f>
        <v>United Arab Emirates</v>
      </c>
      <c r="D16765">
        <f>IFERROR(__xludf.DUMMYFUNCTION("""COMPUTED_VALUE"""),1967.0)</f>
        <v>1967</v>
      </c>
      <c r="E16765">
        <f>IFERROR(__xludf.DUMMYFUNCTION("""COMPUTED_VALUE"""),170283.0)</f>
        <v>170283</v>
      </c>
    </row>
    <row r="16766">
      <c r="A16766" t="str">
        <f t="shared" si="1"/>
        <v>are#1968</v>
      </c>
      <c r="B16766" t="str">
        <f>IFERROR(__xludf.DUMMYFUNCTION("""COMPUTED_VALUE"""),"are")</f>
        <v>are</v>
      </c>
      <c r="C16766" t="str">
        <f>IFERROR(__xludf.DUMMYFUNCTION("""COMPUTED_VALUE"""),"United Arab Emirates")</f>
        <v>United Arab Emirates</v>
      </c>
      <c r="D16766">
        <f>IFERROR(__xludf.DUMMYFUNCTION("""COMPUTED_VALUE"""),1968.0)</f>
        <v>1968</v>
      </c>
      <c r="E16766">
        <f>IFERROR(__xludf.DUMMYFUNCTION("""COMPUTED_VALUE"""),183194.0)</f>
        <v>183194</v>
      </c>
    </row>
    <row r="16767">
      <c r="A16767" t="str">
        <f t="shared" si="1"/>
        <v>are#1969</v>
      </c>
      <c r="B16767" t="str">
        <f>IFERROR(__xludf.DUMMYFUNCTION("""COMPUTED_VALUE"""),"are")</f>
        <v>are</v>
      </c>
      <c r="C16767" t="str">
        <f>IFERROR(__xludf.DUMMYFUNCTION("""COMPUTED_VALUE"""),"United Arab Emirates")</f>
        <v>United Arab Emirates</v>
      </c>
      <c r="D16767">
        <f>IFERROR(__xludf.DUMMYFUNCTION("""COMPUTED_VALUE"""),1969.0)</f>
        <v>1969</v>
      </c>
      <c r="E16767">
        <f>IFERROR(__xludf.DUMMYFUNCTION("""COMPUTED_VALUE"""),203820.0)</f>
        <v>203820</v>
      </c>
    </row>
    <row r="16768">
      <c r="A16768" t="str">
        <f t="shared" si="1"/>
        <v>are#1970</v>
      </c>
      <c r="B16768" t="str">
        <f>IFERROR(__xludf.DUMMYFUNCTION("""COMPUTED_VALUE"""),"are")</f>
        <v>are</v>
      </c>
      <c r="C16768" t="str">
        <f>IFERROR(__xludf.DUMMYFUNCTION("""COMPUTED_VALUE"""),"United Arab Emirates")</f>
        <v>United Arab Emirates</v>
      </c>
      <c r="D16768">
        <f>IFERROR(__xludf.DUMMYFUNCTION("""COMPUTED_VALUE"""),1970.0)</f>
        <v>1970</v>
      </c>
      <c r="E16768">
        <f>IFERROR(__xludf.DUMMYFUNCTION("""COMPUTED_VALUE"""),235499.0)</f>
        <v>235499</v>
      </c>
    </row>
    <row r="16769">
      <c r="A16769" t="str">
        <f t="shared" si="1"/>
        <v>are#1971</v>
      </c>
      <c r="B16769" t="str">
        <f>IFERROR(__xludf.DUMMYFUNCTION("""COMPUTED_VALUE"""),"are")</f>
        <v>are</v>
      </c>
      <c r="C16769" t="str">
        <f>IFERROR(__xludf.DUMMYFUNCTION("""COMPUTED_VALUE"""),"United Arab Emirates")</f>
        <v>United Arab Emirates</v>
      </c>
      <c r="D16769">
        <f>IFERROR(__xludf.DUMMYFUNCTION("""COMPUTED_VALUE"""),1971.0)</f>
        <v>1971</v>
      </c>
      <c r="E16769">
        <f>IFERROR(__xludf.DUMMYFUNCTION("""COMPUTED_VALUE"""),278808.0)</f>
        <v>278808</v>
      </c>
    </row>
    <row r="16770">
      <c r="A16770" t="str">
        <f t="shared" si="1"/>
        <v>are#1972</v>
      </c>
      <c r="B16770" t="str">
        <f>IFERROR(__xludf.DUMMYFUNCTION("""COMPUTED_VALUE"""),"are")</f>
        <v>are</v>
      </c>
      <c r="C16770" t="str">
        <f>IFERROR(__xludf.DUMMYFUNCTION("""COMPUTED_VALUE"""),"United Arab Emirates")</f>
        <v>United Arab Emirates</v>
      </c>
      <c r="D16770">
        <f>IFERROR(__xludf.DUMMYFUNCTION("""COMPUTED_VALUE"""),1972.0)</f>
        <v>1972</v>
      </c>
      <c r="E16770">
        <f>IFERROR(__xludf.DUMMYFUNCTION("""COMPUTED_VALUE"""),332760.0)</f>
        <v>332760</v>
      </c>
    </row>
    <row r="16771">
      <c r="A16771" t="str">
        <f t="shared" si="1"/>
        <v>are#1973</v>
      </c>
      <c r="B16771" t="str">
        <f>IFERROR(__xludf.DUMMYFUNCTION("""COMPUTED_VALUE"""),"are")</f>
        <v>are</v>
      </c>
      <c r="C16771" t="str">
        <f>IFERROR(__xludf.DUMMYFUNCTION("""COMPUTED_VALUE"""),"United Arab Emirates")</f>
        <v>United Arab Emirates</v>
      </c>
      <c r="D16771">
        <f>IFERROR(__xludf.DUMMYFUNCTION("""COMPUTED_VALUE"""),1973.0)</f>
        <v>1973</v>
      </c>
      <c r="E16771">
        <f>IFERROR(__xludf.DUMMYFUNCTION("""COMPUTED_VALUE"""),397174.0)</f>
        <v>397174</v>
      </c>
    </row>
    <row r="16772">
      <c r="A16772" t="str">
        <f t="shared" si="1"/>
        <v>are#1974</v>
      </c>
      <c r="B16772" t="str">
        <f>IFERROR(__xludf.DUMMYFUNCTION("""COMPUTED_VALUE"""),"are")</f>
        <v>are</v>
      </c>
      <c r="C16772" t="str">
        <f>IFERROR(__xludf.DUMMYFUNCTION("""COMPUTED_VALUE"""),"United Arab Emirates")</f>
        <v>United Arab Emirates</v>
      </c>
      <c r="D16772">
        <f>IFERROR(__xludf.DUMMYFUNCTION("""COMPUTED_VALUE"""),1974.0)</f>
        <v>1974</v>
      </c>
      <c r="E16772">
        <f>IFERROR(__xludf.DUMMYFUNCTION("""COMPUTED_VALUE"""),471364.0)</f>
        <v>471364</v>
      </c>
    </row>
    <row r="16773">
      <c r="A16773" t="str">
        <f t="shared" si="1"/>
        <v>are#1975</v>
      </c>
      <c r="B16773" t="str">
        <f>IFERROR(__xludf.DUMMYFUNCTION("""COMPUTED_VALUE"""),"are")</f>
        <v>are</v>
      </c>
      <c r="C16773" t="str">
        <f>IFERROR(__xludf.DUMMYFUNCTION("""COMPUTED_VALUE"""),"United Arab Emirates")</f>
        <v>United Arab Emirates</v>
      </c>
      <c r="D16773">
        <f>IFERROR(__xludf.DUMMYFUNCTION("""COMPUTED_VALUE"""),1975.0)</f>
        <v>1975</v>
      </c>
      <c r="E16773">
        <f>IFERROR(__xludf.DUMMYFUNCTION("""COMPUTED_VALUE"""),554324.0)</f>
        <v>554324</v>
      </c>
    </row>
    <row r="16774">
      <c r="A16774" t="str">
        <f t="shared" si="1"/>
        <v>are#1976</v>
      </c>
      <c r="B16774" t="str">
        <f>IFERROR(__xludf.DUMMYFUNCTION("""COMPUTED_VALUE"""),"are")</f>
        <v>are</v>
      </c>
      <c r="C16774" t="str">
        <f>IFERROR(__xludf.DUMMYFUNCTION("""COMPUTED_VALUE"""),"United Arab Emirates")</f>
        <v>United Arab Emirates</v>
      </c>
      <c r="D16774">
        <f>IFERROR(__xludf.DUMMYFUNCTION("""COMPUTED_VALUE"""),1976.0)</f>
        <v>1976</v>
      </c>
      <c r="E16774">
        <f>IFERROR(__xludf.DUMMYFUNCTION("""COMPUTED_VALUE"""),646943.0)</f>
        <v>646943</v>
      </c>
    </row>
    <row r="16775">
      <c r="A16775" t="str">
        <f t="shared" si="1"/>
        <v>are#1977</v>
      </c>
      <c r="B16775" t="str">
        <f>IFERROR(__xludf.DUMMYFUNCTION("""COMPUTED_VALUE"""),"are")</f>
        <v>are</v>
      </c>
      <c r="C16775" t="str">
        <f>IFERROR(__xludf.DUMMYFUNCTION("""COMPUTED_VALUE"""),"United Arab Emirates")</f>
        <v>United Arab Emirates</v>
      </c>
      <c r="D16775">
        <f>IFERROR(__xludf.DUMMYFUNCTION("""COMPUTED_VALUE"""),1977.0)</f>
        <v>1977</v>
      </c>
      <c r="E16775">
        <f>IFERROR(__xludf.DUMMYFUNCTION("""COMPUTED_VALUE"""),748117.0)</f>
        <v>748117</v>
      </c>
    </row>
    <row r="16776">
      <c r="A16776" t="str">
        <f t="shared" si="1"/>
        <v>are#1978</v>
      </c>
      <c r="B16776" t="str">
        <f>IFERROR(__xludf.DUMMYFUNCTION("""COMPUTED_VALUE"""),"are")</f>
        <v>are</v>
      </c>
      <c r="C16776" t="str">
        <f>IFERROR(__xludf.DUMMYFUNCTION("""COMPUTED_VALUE"""),"United Arab Emirates")</f>
        <v>United Arab Emirates</v>
      </c>
      <c r="D16776">
        <f>IFERROR(__xludf.DUMMYFUNCTION("""COMPUTED_VALUE"""),1978.0)</f>
        <v>1978</v>
      </c>
      <c r="E16776">
        <f>IFERROR(__xludf.DUMMYFUNCTION("""COMPUTED_VALUE"""),852262.0)</f>
        <v>852262</v>
      </c>
    </row>
    <row r="16777">
      <c r="A16777" t="str">
        <f t="shared" si="1"/>
        <v>are#1979</v>
      </c>
      <c r="B16777" t="str">
        <f>IFERROR(__xludf.DUMMYFUNCTION("""COMPUTED_VALUE"""),"are")</f>
        <v>are</v>
      </c>
      <c r="C16777" t="str">
        <f>IFERROR(__xludf.DUMMYFUNCTION("""COMPUTED_VALUE"""),"United Arab Emirates")</f>
        <v>United Arab Emirates</v>
      </c>
      <c r="D16777">
        <f>IFERROR(__xludf.DUMMYFUNCTION("""COMPUTED_VALUE"""),1979.0)</f>
        <v>1979</v>
      </c>
      <c r="E16777">
        <f>IFERROR(__xludf.DUMMYFUNCTION("""COMPUTED_VALUE"""),952040.0)</f>
        <v>952040</v>
      </c>
    </row>
    <row r="16778">
      <c r="A16778" t="str">
        <f t="shared" si="1"/>
        <v>are#1980</v>
      </c>
      <c r="B16778" t="str">
        <f>IFERROR(__xludf.DUMMYFUNCTION("""COMPUTED_VALUE"""),"are")</f>
        <v>are</v>
      </c>
      <c r="C16778" t="str">
        <f>IFERROR(__xludf.DUMMYFUNCTION("""COMPUTED_VALUE"""),"United Arab Emirates")</f>
        <v>United Arab Emirates</v>
      </c>
      <c r="D16778">
        <f>IFERROR(__xludf.DUMMYFUNCTION("""COMPUTED_VALUE"""),1980.0)</f>
        <v>1980</v>
      </c>
      <c r="E16778">
        <f>IFERROR(__xludf.DUMMYFUNCTION("""COMPUTED_VALUE"""),1042384.0)</f>
        <v>1042384</v>
      </c>
    </row>
    <row r="16779">
      <c r="A16779" t="str">
        <f t="shared" si="1"/>
        <v>are#1981</v>
      </c>
      <c r="B16779" t="str">
        <f>IFERROR(__xludf.DUMMYFUNCTION("""COMPUTED_VALUE"""),"are")</f>
        <v>are</v>
      </c>
      <c r="C16779" t="str">
        <f>IFERROR(__xludf.DUMMYFUNCTION("""COMPUTED_VALUE"""),"United Arab Emirates")</f>
        <v>United Arab Emirates</v>
      </c>
      <c r="D16779">
        <f>IFERROR(__xludf.DUMMYFUNCTION("""COMPUTED_VALUE"""),1981.0)</f>
        <v>1981</v>
      </c>
      <c r="E16779">
        <f>IFERROR(__xludf.DUMMYFUNCTION("""COMPUTED_VALUE"""),1120900.0)</f>
        <v>1120900</v>
      </c>
    </row>
    <row r="16780">
      <c r="A16780" t="str">
        <f t="shared" si="1"/>
        <v>are#1982</v>
      </c>
      <c r="B16780" t="str">
        <f>IFERROR(__xludf.DUMMYFUNCTION("""COMPUTED_VALUE"""),"are")</f>
        <v>are</v>
      </c>
      <c r="C16780" t="str">
        <f>IFERROR(__xludf.DUMMYFUNCTION("""COMPUTED_VALUE"""),"United Arab Emirates")</f>
        <v>United Arab Emirates</v>
      </c>
      <c r="D16780">
        <f>IFERROR(__xludf.DUMMYFUNCTION("""COMPUTED_VALUE"""),1982.0)</f>
        <v>1982</v>
      </c>
      <c r="E16780">
        <f>IFERROR(__xludf.DUMMYFUNCTION("""COMPUTED_VALUE"""),1189545.0)</f>
        <v>1189545</v>
      </c>
    </row>
    <row r="16781">
      <c r="A16781" t="str">
        <f t="shared" si="1"/>
        <v>are#1983</v>
      </c>
      <c r="B16781" t="str">
        <f>IFERROR(__xludf.DUMMYFUNCTION("""COMPUTED_VALUE"""),"are")</f>
        <v>are</v>
      </c>
      <c r="C16781" t="str">
        <f>IFERROR(__xludf.DUMMYFUNCTION("""COMPUTED_VALUE"""),"United Arab Emirates")</f>
        <v>United Arab Emirates</v>
      </c>
      <c r="D16781">
        <f>IFERROR(__xludf.DUMMYFUNCTION("""COMPUTED_VALUE"""),1983.0)</f>
        <v>1983</v>
      </c>
      <c r="E16781">
        <f>IFERROR(__xludf.DUMMYFUNCTION("""COMPUTED_VALUE"""),1253060.0)</f>
        <v>1253060</v>
      </c>
    </row>
    <row r="16782">
      <c r="A16782" t="str">
        <f t="shared" si="1"/>
        <v>are#1984</v>
      </c>
      <c r="B16782" t="str">
        <f>IFERROR(__xludf.DUMMYFUNCTION("""COMPUTED_VALUE"""),"are")</f>
        <v>are</v>
      </c>
      <c r="C16782" t="str">
        <f>IFERROR(__xludf.DUMMYFUNCTION("""COMPUTED_VALUE"""),"United Arab Emirates")</f>
        <v>United Arab Emirates</v>
      </c>
      <c r="D16782">
        <f>IFERROR(__xludf.DUMMYFUNCTION("""COMPUTED_VALUE"""),1984.0)</f>
        <v>1984</v>
      </c>
      <c r="E16782">
        <f>IFERROR(__xludf.DUMMYFUNCTION("""COMPUTED_VALUE"""),1318478.0)</f>
        <v>1318478</v>
      </c>
    </row>
    <row r="16783">
      <c r="A16783" t="str">
        <f t="shared" si="1"/>
        <v>are#1985</v>
      </c>
      <c r="B16783" t="str">
        <f>IFERROR(__xludf.DUMMYFUNCTION("""COMPUTED_VALUE"""),"are")</f>
        <v>are</v>
      </c>
      <c r="C16783" t="str">
        <f>IFERROR(__xludf.DUMMYFUNCTION("""COMPUTED_VALUE"""),"United Arab Emirates")</f>
        <v>United Arab Emirates</v>
      </c>
      <c r="D16783">
        <f>IFERROR(__xludf.DUMMYFUNCTION("""COMPUTED_VALUE"""),1985.0)</f>
        <v>1985</v>
      </c>
      <c r="E16783">
        <f>IFERROR(__xludf.DUMMYFUNCTION("""COMPUTED_VALUE"""),1391052.0)</f>
        <v>1391052</v>
      </c>
    </row>
    <row r="16784">
      <c r="A16784" t="str">
        <f t="shared" si="1"/>
        <v>are#1986</v>
      </c>
      <c r="B16784" t="str">
        <f>IFERROR(__xludf.DUMMYFUNCTION("""COMPUTED_VALUE"""),"are")</f>
        <v>are</v>
      </c>
      <c r="C16784" t="str">
        <f>IFERROR(__xludf.DUMMYFUNCTION("""COMPUTED_VALUE"""),"United Arab Emirates")</f>
        <v>United Arab Emirates</v>
      </c>
      <c r="D16784">
        <f>IFERROR(__xludf.DUMMYFUNCTION("""COMPUTED_VALUE"""),1986.0)</f>
        <v>1986</v>
      </c>
      <c r="E16784">
        <f>IFERROR(__xludf.DUMMYFUNCTION("""COMPUTED_VALUE"""),1472218.0)</f>
        <v>1472218</v>
      </c>
    </row>
    <row r="16785">
      <c r="A16785" t="str">
        <f t="shared" si="1"/>
        <v>are#1987</v>
      </c>
      <c r="B16785" t="str">
        <f>IFERROR(__xludf.DUMMYFUNCTION("""COMPUTED_VALUE"""),"are")</f>
        <v>are</v>
      </c>
      <c r="C16785" t="str">
        <f>IFERROR(__xludf.DUMMYFUNCTION("""COMPUTED_VALUE"""),"United Arab Emirates")</f>
        <v>United Arab Emirates</v>
      </c>
      <c r="D16785">
        <f>IFERROR(__xludf.DUMMYFUNCTION("""COMPUTED_VALUE"""),1987.0)</f>
        <v>1987</v>
      </c>
      <c r="E16785">
        <f>IFERROR(__xludf.DUMMYFUNCTION("""COMPUTED_VALUE"""),1560718.0)</f>
        <v>1560718</v>
      </c>
    </row>
    <row r="16786">
      <c r="A16786" t="str">
        <f t="shared" si="1"/>
        <v>are#1988</v>
      </c>
      <c r="B16786" t="str">
        <f>IFERROR(__xludf.DUMMYFUNCTION("""COMPUTED_VALUE"""),"are")</f>
        <v>are</v>
      </c>
      <c r="C16786" t="str">
        <f>IFERROR(__xludf.DUMMYFUNCTION("""COMPUTED_VALUE"""),"United Arab Emirates")</f>
        <v>United Arab Emirates</v>
      </c>
      <c r="D16786">
        <f>IFERROR(__xludf.DUMMYFUNCTION("""COMPUTED_VALUE"""),1988.0)</f>
        <v>1988</v>
      </c>
      <c r="E16786">
        <f>IFERROR(__xludf.DUMMYFUNCTION("""COMPUTED_VALUE"""),1655849.0)</f>
        <v>1655849</v>
      </c>
    </row>
    <row r="16787">
      <c r="A16787" t="str">
        <f t="shared" si="1"/>
        <v>are#1989</v>
      </c>
      <c r="B16787" t="str">
        <f>IFERROR(__xludf.DUMMYFUNCTION("""COMPUTED_VALUE"""),"are")</f>
        <v>are</v>
      </c>
      <c r="C16787" t="str">
        <f>IFERROR(__xludf.DUMMYFUNCTION("""COMPUTED_VALUE"""),"United Arab Emirates")</f>
        <v>United Arab Emirates</v>
      </c>
      <c r="D16787">
        <f>IFERROR(__xludf.DUMMYFUNCTION("""COMPUTED_VALUE"""),1989.0)</f>
        <v>1989</v>
      </c>
      <c r="E16787">
        <f>IFERROR(__xludf.DUMMYFUNCTION("""COMPUTED_VALUE"""),1756043.0)</f>
        <v>1756043</v>
      </c>
    </row>
    <row r="16788">
      <c r="A16788" t="str">
        <f t="shared" si="1"/>
        <v>are#1990</v>
      </c>
      <c r="B16788" t="str">
        <f>IFERROR(__xludf.DUMMYFUNCTION("""COMPUTED_VALUE"""),"are")</f>
        <v>are</v>
      </c>
      <c r="C16788" t="str">
        <f>IFERROR(__xludf.DUMMYFUNCTION("""COMPUTED_VALUE"""),"United Arab Emirates")</f>
        <v>United Arab Emirates</v>
      </c>
      <c r="D16788">
        <f>IFERROR(__xludf.DUMMYFUNCTION("""COMPUTED_VALUE"""),1990.0)</f>
        <v>1990</v>
      </c>
      <c r="E16788">
        <f>IFERROR(__xludf.DUMMYFUNCTION("""COMPUTED_VALUE"""),1860174.0)</f>
        <v>1860174</v>
      </c>
    </row>
    <row r="16789">
      <c r="A16789" t="str">
        <f t="shared" si="1"/>
        <v>are#1991</v>
      </c>
      <c r="B16789" t="str">
        <f>IFERROR(__xludf.DUMMYFUNCTION("""COMPUTED_VALUE"""),"are")</f>
        <v>are</v>
      </c>
      <c r="C16789" t="str">
        <f>IFERROR(__xludf.DUMMYFUNCTION("""COMPUTED_VALUE"""),"United Arab Emirates")</f>
        <v>United Arab Emirates</v>
      </c>
      <c r="D16789">
        <f>IFERROR(__xludf.DUMMYFUNCTION("""COMPUTED_VALUE"""),1991.0)</f>
        <v>1991</v>
      </c>
      <c r="E16789">
        <f>IFERROR(__xludf.DUMMYFUNCTION("""COMPUTED_VALUE"""),1970026.0)</f>
        <v>1970026</v>
      </c>
    </row>
    <row r="16790">
      <c r="A16790" t="str">
        <f t="shared" si="1"/>
        <v>are#1992</v>
      </c>
      <c r="B16790" t="str">
        <f>IFERROR(__xludf.DUMMYFUNCTION("""COMPUTED_VALUE"""),"are")</f>
        <v>are</v>
      </c>
      <c r="C16790" t="str">
        <f>IFERROR(__xludf.DUMMYFUNCTION("""COMPUTED_VALUE"""),"United Arab Emirates")</f>
        <v>United Arab Emirates</v>
      </c>
      <c r="D16790">
        <f>IFERROR(__xludf.DUMMYFUNCTION("""COMPUTED_VALUE"""),1992.0)</f>
        <v>1992</v>
      </c>
      <c r="E16790">
        <f>IFERROR(__xludf.DUMMYFUNCTION("""COMPUTED_VALUE"""),2086639.0)</f>
        <v>2086639</v>
      </c>
    </row>
    <row r="16791">
      <c r="A16791" t="str">
        <f t="shared" si="1"/>
        <v>are#1993</v>
      </c>
      <c r="B16791" t="str">
        <f>IFERROR(__xludf.DUMMYFUNCTION("""COMPUTED_VALUE"""),"are")</f>
        <v>are</v>
      </c>
      <c r="C16791" t="str">
        <f>IFERROR(__xludf.DUMMYFUNCTION("""COMPUTED_VALUE"""),"United Arab Emirates")</f>
        <v>United Arab Emirates</v>
      </c>
      <c r="D16791">
        <f>IFERROR(__xludf.DUMMYFUNCTION("""COMPUTED_VALUE"""),1993.0)</f>
        <v>1993</v>
      </c>
      <c r="E16791">
        <f>IFERROR(__xludf.DUMMYFUNCTION("""COMPUTED_VALUE"""),2207405.0)</f>
        <v>2207405</v>
      </c>
    </row>
    <row r="16792">
      <c r="A16792" t="str">
        <f t="shared" si="1"/>
        <v>are#1994</v>
      </c>
      <c r="B16792" t="str">
        <f>IFERROR(__xludf.DUMMYFUNCTION("""COMPUTED_VALUE"""),"are")</f>
        <v>are</v>
      </c>
      <c r="C16792" t="str">
        <f>IFERROR(__xludf.DUMMYFUNCTION("""COMPUTED_VALUE"""),"United Arab Emirates")</f>
        <v>United Arab Emirates</v>
      </c>
      <c r="D16792">
        <f>IFERROR(__xludf.DUMMYFUNCTION("""COMPUTED_VALUE"""),1994.0)</f>
        <v>1994</v>
      </c>
      <c r="E16792">
        <f>IFERROR(__xludf.DUMMYFUNCTION("""COMPUTED_VALUE"""),2328686.0)</f>
        <v>2328686</v>
      </c>
    </row>
    <row r="16793">
      <c r="A16793" t="str">
        <f t="shared" si="1"/>
        <v>are#1995</v>
      </c>
      <c r="B16793" t="str">
        <f>IFERROR(__xludf.DUMMYFUNCTION("""COMPUTED_VALUE"""),"are")</f>
        <v>are</v>
      </c>
      <c r="C16793" t="str">
        <f>IFERROR(__xludf.DUMMYFUNCTION("""COMPUTED_VALUE"""),"United Arab Emirates")</f>
        <v>United Arab Emirates</v>
      </c>
      <c r="D16793">
        <f>IFERROR(__xludf.DUMMYFUNCTION("""COMPUTED_VALUE"""),1995.0)</f>
        <v>1995</v>
      </c>
      <c r="E16793">
        <f>IFERROR(__xludf.DUMMYFUNCTION("""COMPUTED_VALUE"""),2448820.0)</f>
        <v>2448820</v>
      </c>
    </row>
    <row r="16794">
      <c r="A16794" t="str">
        <f t="shared" si="1"/>
        <v>are#1996</v>
      </c>
      <c r="B16794" t="str">
        <f>IFERROR(__xludf.DUMMYFUNCTION("""COMPUTED_VALUE"""),"are")</f>
        <v>are</v>
      </c>
      <c r="C16794" t="str">
        <f>IFERROR(__xludf.DUMMYFUNCTION("""COMPUTED_VALUE"""),"United Arab Emirates")</f>
        <v>United Arab Emirates</v>
      </c>
      <c r="D16794">
        <f>IFERROR(__xludf.DUMMYFUNCTION("""COMPUTED_VALUE"""),1996.0)</f>
        <v>1996</v>
      </c>
      <c r="E16794">
        <f>IFERROR(__xludf.DUMMYFUNCTION("""COMPUTED_VALUE"""),2571020.0)</f>
        <v>2571020</v>
      </c>
    </row>
    <row r="16795">
      <c r="A16795" t="str">
        <f t="shared" si="1"/>
        <v>are#1997</v>
      </c>
      <c r="B16795" t="str">
        <f>IFERROR(__xludf.DUMMYFUNCTION("""COMPUTED_VALUE"""),"are")</f>
        <v>are</v>
      </c>
      <c r="C16795" t="str">
        <f>IFERROR(__xludf.DUMMYFUNCTION("""COMPUTED_VALUE"""),"United Arab Emirates")</f>
        <v>United Arab Emirates</v>
      </c>
      <c r="D16795">
        <f>IFERROR(__xludf.DUMMYFUNCTION("""COMPUTED_VALUE"""),1997.0)</f>
        <v>1997</v>
      </c>
      <c r="E16795">
        <f>IFERROR(__xludf.DUMMYFUNCTION("""COMPUTED_VALUE"""),2700010.0)</f>
        <v>2700010</v>
      </c>
    </row>
    <row r="16796">
      <c r="A16796" t="str">
        <f t="shared" si="1"/>
        <v>are#1998</v>
      </c>
      <c r="B16796" t="str">
        <f>IFERROR(__xludf.DUMMYFUNCTION("""COMPUTED_VALUE"""),"are")</f>
        <v>are</v>
      </c>
      <c r="C16796" t="str">
        <f>IFERROR(__xludf.DUMMYFUNCTION("""COMPUTED_VALUE"""),"United Arab Emirates")</f>
        <v>United Arab Emirates</v>
      </c>
      <c r="D16796">
        <f>IFERROR(__xludf.DUMMYFUNCTION("""COMPUTED_VALUE"""),1998.0)</f>
        <v>1998</v>
      </c>
      <c r="E16796">
        <f>IFERROR(__xludf.DUMMYFUNCTION("""COMPUTED_VALUE"""),2838145.0)</f>
        <v>2838145</v>
      </c>
    </row>
    <row r="16797">
      <c r="A16797" t="str">
        <f t="shared" si="1"/>
        <v>are#1999</v>
      </c>
      <c r="B16797" t="str">
        <f>IFERROR(__xludf.DUMMYFUNCTION("""COMPUTED_VALUE"""),"are")</f>
        <v>are</v>
      </c>
      <c r="C16797" t="str">
        <f>IFERROR(__xludf.DUMMYFUNCTION("""COMPUTED_VALUE"""),"United Arab Emirates")</f>
        <v>United Arab Emirates</v>
      </c>
      <c r="D16797">
        <f>IFERROR(__xludf.DUMMYFUNCTION("""COMPUTED_VALUE"""),1999.0)</f>
        <v>1999</v>
      </c>
      <c r="E16797">
        <f>IFERROR(__xludf.DUMMYFUNCTION("""COMPUTED_VALUE"""),2988162.0)</f>
        <v>2988162</v>
      </c>
    </row>
    <row r="16798">
      <c r="A16798" t="str">
        <f t="shared" si="1"/>
        <v>are#2000</v>
      </c>
      <c r="B16798" t="str">
        <f>IFERROR(__xludf.DUMMYFUNCTION("""COMPUTED_VALUE"""),"are")</f>
        <v>are</v>
      </c>
      <c r="C16798" t="str">
        <f>IFERROR(__xludf.DUMMYFUNCTION("""COMPUTED_VALUE"""),"United Arab Emirates")</f>
        <v>United Arab Emirates</v>
      </c>
      <c r="D16798">
        <f>IFERROR(__xludf.DUMMYFUNCTION("""COMPUTED_VALUE"""),2000.0)</f>
        <v>2000</v>
      </c>
      <c r="E16798">
        <f>IFERROR(__xludf.DUMMYFUNCTION("""COMPUTED_VALUE"""),3154925.0)</f>
        <v>3154925</v>
      </c>
    </row>
    <row r="16799">
      <c r="A16799" t="str">
        <f t="shared" si="1"/>
        <v>are#2001</v>
      </c>
      <c r="B16799" t="str">
        <f>IFERROR(__xludf.DUMMYFUNCTION("""COMPUTED_VALUE"""),"are")</f>
        <v>are</v>
      </c>
      <c r="C16799" t="str">
        <f>IFERROR(__xludf.DUMMYFUNCTION("""COMPUTED_VALUE"""),"United Arab Emirates")</f>
        <v>United Arab Emirates</v>
      </c>
      <c r="D16799">
        <f>IFERROR(__xludf.DUMMYFUNCTION("""COMPUTED_VALUE"""),2001.0)</f>
        <v>2001</v>
      </c>
      <c r="E16799">
        <f>IFERROR(__xludf.DUMMYFUNCTION("""COMPUTED_VALUE"""),3326032.0)</f>
        <v>3326032</v>
      </c>
    </row>
    <row r="16800">
      <c r="A16800" t="str">
        <f t="shared" si="1"/>
        <v>are#2002</v>
      </c>
      <c r="B16800" t="str">
        <f>IFERROR(__xludf.DUMMYFUNCTION("""COMPUTED_VALUE"""),"are")</f>
        <v>are</v>
      </c>
      <c r="C16800" t="str">
        <f>IFERROR(__xludf.DUMMYFUNCTION("""COMPUTED_VALUE"""),"United Arab Emirates")</f>
        <v>United Arab Emirates</v>
      </c>
      <c r="D16800">
        <f>IFERROR(__xludf.DUMMYFUNCTION("""COMPUTED_VALUE"""),2002.0)</f>
        <v>2002</v>
      </c>
      <c r="E16800">
        <f>IFERROR(__xludf.DUMMYFUNCTION("""COMPUTED_VALUE"""),3507232.0)</f>
        <v>3507232</v>
      </c>
    </row>
    <row r="16801">
      <c r="A16801" t="str">
        <f t="shared" si="1"/>
        <v>are#2003</v>
      </c>
      <c r="B16801" t="str">
        <f>IFERROR(__xludf.DUMMYFUNCTION("""COMPUTED_VALUE"""),"are")</f>
        <v>are</v>
      </c>
      <c r="C16801" t="str">
        <f>IFERROR(__xludf.DUMMYFUNCTION("""COMPUTED_VALUE"""),"United Arab Emirates")</f>
        <v>United Arab Emirates</v>
      </c>
      <c r="D16801">
        <f>IFERROR(__xludf.DUMMYFUNCTION("""COMPUTED_VALUE"""),2003.0)</f>
        <v>2003</v>
      </c>
      <c r="E16801">
        <f>IFERROR(__xludf.DUMMYFUNCTION("""COMPUTED_VALUE"""),3741932.0)</f>
        <v>3741932</v>
      </c>
    </row>
    <row r="16802">
      <c r="A16802" t="str">
        <f t="shared" si="1"/>
        <v>are#2004</v>
      </c>
      <c r="B16802" t="str">
        <f>IFERROR(__xludf.DUMMYFUNCTION("""COMPUTED_VALUE"""),"are")</f>
        <v>are</v>
      </c>
      <c r="C16802" t="str">
        <f>IFERROR(__xludf.DUMMYFUNCTION("""COMPUTED_VALUE"""),"United Arab Emirates")</f>
        <v>United Arab Emirates</v>
      </c>
      <c r="D16802">
        <f>IFERROR(__xludf.DUMMYFUNCTION("""COMPUTED_VALUE"""),2004.0)</f>
        <v>2004</v>
      </c>
      <c r="E16802">
        <f>IFERROR(__xludf.DUMMYFUNCTION("""COMPUTED_VALUE"""),4087931.0)</f>
        <v>4087931</v>
      </c>
    </row>
    <row r="16803">
      <c r="A16803" t="str">
        <f t="shared" si="1"/>
        <v>are#2005</v>
      </c>
      <c r="B16803" t="str">
        <f>IFERROR(__xludf.DUMMYFUNCTION("""COMPUTED_VALUE"""),"are")</f>
        <v>are</v>
      </c>
      <c r="C16803" t="str">
        <f>IFERROR(__xludf.DUMMYFUNCTION("""COMPUTED_VALUE"""),"United Arab Emirates")</f>
        <v>United Arab Emirates</v>
      </c>
      <c r="D16803">
        <f>IFERROR(__xludf.DUMMYFUNCTION("""COMPUTED_VALUE"""),2005.0)</f>
        <v>2005</v>
      </c>
      <c r="E16803">
        <f>IFERROR(__xludf.DUMMYFUNCTION("""COMPUTED_VALUE"""),4579562.0)</f>
        <v>4579562</v>
      </c>
    </row>
    <row r="16804">
      <c r="A16804" t="str">
        <f t="shared" si="1"/>
        <v>are#2006</v>
      </c>
      <c r="B16804" t="str">
        <f>IFERROR(__xludf.DUMMYFUNCTION("""COMPUTED_VALUE"""),"are")</f>
        <v>are</v>
      </c>
      <c r="C16804" t="str">
        <f>IFERROR(__xludf.DUMMYFUNCTION("""COMPUTED_VALUE"""),"United Arab Emirates")</f>
        <v>United Arab Emirates</v>
      </c>
      <c r="D16804">
        <f>IFERROR(__xludf.DUMMYFUNCTION("""COMPUTED_VALUE"""),2006.0)</f>
        <v>2006</v>
      </c>
      <c r="E16804">
        <f>IFERROR(__xludf.DUMMYFUNCTION("""COMPUTED_VALUE"""),5242032.0)</f>
        <v>5242032</v>
      </c>
    </row>
    <row r="16805">
      <c r="A16805" t="str">
        <f t="shared" si="1"/>
        <v>are#2007</v>
      </c>
      <c r="B16805" t="str">
        <f>IFERROR(__xludf.DUMMYFUNCTION("""COMPUTED_VALUE"""),"are")</f>
        <v>are</v>
      </c>
      <c r="C16805" t="str">
        <f>IFERROR(__xludf.DUMMYFUNCTION("""COMPUTED_VALUE"""),"United Arab Emirates")</f>
        <v>United Arab Emirates</v>
      </c>
      <c r="D16805">
        <f>IFERROR(__xludf.DUMMYFUNCTION("""COMPUTED_VALUE"""),2007.0)</f>
        <v>2007</v>
      </c>
      <c r="E16805">
        <f>IFERROR(__xludf.DUMMYFUNCTION("""COMPUTED_VALUE"""),6044067.0)</f>
        <v>6044067</v>
      </c>
    </row>
    <row r="16806">
      <c r="A16806" t="str">
        <f t="shared" si="1"/>
        <v>are#2008</v>
      </c>
      <c r="B16806" t="str">
        <f>IFERROR(__xludf.DUMMYFUNCTION("""COMPUTED_VALUE"""),"are")</f>
        <v>are</v>
      </c>
      <c r="C16806" t="str">
        <f>IFERROR(__xludf.DUMMYFUNCTION("""COMPUTED_VALUE"""),"United Arab Emirates")</f>
        <v>United Arab Emirates</v>
      </c>
      <c r="D16806">
        <f>IFERROR(__xludf.DUMMYFUNCTION("""COMPUTED_VALUE"""),2008.0)</f>
        <v>2008</v>
      </c>
      <c r="E16806">
        <f>IFERROR(__xludf.DUMMYFUNCTION("""COMPUTED_VALUE"""),6894278.0)</f>
        <v>6894278</v>
      </c>
    </row>
    <row r="16807">
      <c r="A16807" t="str">
        <f t="shared" si="1"/>
        <v>are#2009</v>
      </c>
      <c r="B16807" t="str">
        <f>IFERROR(__xludf.DUMMYFUNCTION("""COMPUTED_VALUE"""),"are")</f>
        <v>are</v>
      </c>
      <c r="C16807" t="str">
        <f>IFERROR(__xludf.DUMMYFUNCTION("""COMPUTED_VALUE"""),"United Arab Emirates")</f>
        <v>United Arab Emirates</v>
      </c>
      <c r="D16807">
        <f>IFERROR(__xludf.DUMMYFUNCTION("""COMPUTED_VALUE"""),2009.0)</f>
        <v>2009</v>
      </c>
      <c r="E16807">
        <f>IFERROR(__xludf.DUMMYFUNCTION("""COMPUTED_VALUE"""),7666393.0)</f>
        <v>7666393</v>
      </c>
    </row>
    <row r="16808">
      <c r="A16808" t="str">
        <f t="shared" si="1"/>
        <v>are#2010</v>
      </c>
      <c r="B16808" t="str">
        <f>IFERROR(__xludf.DUMMYFUNCTION("""COMPUTED_VALUE"""),"are")</f>
        <v>are</v>
      </c>
      <c r="C16808" t="str">
        <f>IFERROR(__xludf.DUMMYFUNCTION("""COMPUTED_VALUE"""),"United Arab Emirates")</f>
        <v>United Arab Emirates</v>
      </c>
      <c r="D16808">
        <f>IFERROR(__xludf.DUMMYFUNCTION("""COMPUTED_VALUE"""),2010.0)</f>
        <v>2010</v>
      </c>
      <c r="E16808">
        <f>IFERROR(__xludf.DUMMYFUNCTION("""COMPUTED_VALUE"""),8270684.0)</f>
        <v>8270684</v>
      </c>
    </row>
    <row r="16809">
      <c r="A16809" t="str">
        <f t="shared" si="1"/>
        <v>are#2011</v>
      </c>
      <c r="B16809" t="str">
        <f>IFERROR(__xludf.DUMMYFUNCTION("""COMPUTED_VALUE"""),"are")</f>
        <v>are</v>
      </c>
      <c r="C16809" t="str">
        <f>IFERROR(__xludf.DUMMYFUNCTION("""COMPUTED_VALUE"""),"United Arab Emirates")</f>
        <v>United Arab Emirates</v>
      </c>
      <c r="D16809">
        <f>IFERROR(__xludf.DUMMYFUNCTION("""COMPUTED_VALUE"""),2011.0)</f>
        <v>2011</v>
      </c>
      <c r="E16809">
        <f>IFERROR(__xludf.DUMMYFUNCTION("""COMPUTED_VALUE"""),8672475.0)</f>
        <v>8672475</v>
      </c>
    </row>
    <row r="16810">
      <c r="A16810" t="str">
        <f t="shared" si="1"/>
        <v>are#2012</v>
      </c>
      <c r="B16810" t="str">
        <f>IFERROR(__xludf.DUMMYFUNCTION("""COMPUTED_VALUE"""),"are")</f>
        <v>are</v>
      </c>
      <c r="C16810" t="str">
        <f>IFERROR(__xludf.DUMMYFUNCTION("""COMPUTED_VALUE"""),"United Arab Emirates")</f>
        <v>United Arab Emirates</v>
      </c>
      <c r="D16810">
        <f>IFERROR(__xludf.DUMMYFUNCTION("""COMPUTED_VALUE"""),2012.0)</f>
        <v>2012</v>
      </c>
      <c r="E16810">
        <f>IFERROR(__xludf.DUMMYFUNCTION("""COMPUTED_VALUE"""),8900453.0)</f>
        <v>8900453</v>
      </c>
    </row>
    <row r="16811">
      <c r="A16811" t="str">
        <f t="shared" si="1"/>
        <v>are#2013</v>
      </c>
      <c r="B16811" t="str">
        <f>IFERROR(__xludf.DUMMYFUNCTION("""COMPUTED_VALUE"""),"are")</f>
        <v>are</v>
      </c>
      <c r="C16811" t="str">
        <f>IFERROR(__xludf.DUMMYFUNCTION("""COMPUTED_VALUE"""),"United Arab Emirates")</f>
        <v>United Arab Emirates</v>
      </c>
      <c r="D16811">
        <f>IFERROR(__xludf.DUMMYFUNCTION("""COMPUTED_VALUE"""),2013.0)</f>
        <v>2013</v>
      </c>
      <c r="E16811">
        <f>IFERROR(__xludf.DUMMYFUNCTION("""COMPUTED_VALUE"""),9006263.0)</f>
        <v>9006263</v>
      </c>
    </row>
    <row r="16812">
      <c r="A16812" t="str">
        <f t="shared" si="1"/>
        <v>are#2014</v>
      </c>
      <c r="B16812" t="str">
        <f>IFERROR(__xludf.DUMMYFUNCTION("""COMPUTED_VALUE"""),"are")</f>
        <v>are</v>
      </c>
      <c r="C16812" t="str">
        <f>IFERROR(__xludf.DUMMYFUNCTION("""COMPUTED_VALUE"""),"United Arab Emirates")</f>
        <v>United Arab Emirates</v>
      </c>
      <c r="D16812">
        <f>IFERROR(__xludf.DUMMYFUNCTION("""COMPUTED_VALUE"""),2014.0)</f>
        <v>2014</v>
      </c>
      <c r="E16812">
        <f>IFERROR(__xludf.DUMMYFUNCTION("""COMPUTED_VALUE"""),9070867.0)</f>
        <v>9070867</v>
      </c>
    </row>
    <row r="16813">
      <c r="A16813" t="str">
        <f t="shared" si="1"/>
        <v>are#2015</v>
      </c>
      <c r="B16813" t="str">
        <f>IFERROR(__xludf.DUMMYFUNCTION("""COMPUTED_VALUE"""),"are")</f>
        <v>are</v>
      </c>
      <c r="C16813" t="str">
        <f>IFERROR(__xludf.DUMMYFUNCTION("""COMPUTED_VALUE"""),"United Arab Emirates")</f>
        <v>United Arab Emirates</v>
      </c>
      <c r="D16813">
        <f>IFERROR(__xludf.DUMMYFUNCTION("""COMPUTED_VALUE"""),2015.0)</f>
        <v>2015</v>
      </c>
      <c r="E16813">
        <f>IFERROR(__xludf.DUMMYFUNCTION("""COMPUTED_VALUE"""),9154302.0)</f>
        <v>9154302</v>
      </c>
    </row>
    <row r="16814">
      <c r="A16814" t="str">
        <f t="shared" si="1"/>
        <v>are#2016</v>
      </c>
      <c r="B16814" t="str">
        <f>IFERROR(__xludf.DUMMYFUNCTION("""COMPUTED_VALUE"""),"are")</f>
        <v>are</v>
      </c>
      <c r="C16814" t="str">
        <f>IFERROR(__xludf.DUMMYFUNCTION("""COMPUTED_VALUE"""),"United Arab Emirates")</f>
        <v>United Arab Emirates</v>
      </c>
      <c r="D16814">
        <f>IFERROR(__xludf.DUMMYFUNCTION("""COMPUTED_VALUE"""),2016.0)</f>
        <v>2016</v>
      </c>
      <c r="E16814">
        <f>IFERROR(__xludf.DUMMYFUNCTION("""COMPUTED_VALUE"""),9269612.0)</f>
        <v>9269612</v>
      </c>
    </row>
    <row r="16815">
      <c r="A16815" t="str">
        <f t="shared" si="1"/>
        <v>are#2017</v>
      </c>
      <c r="B16815" t="str">
        <f>IFERROR(__xludf.DUMMYFUNCTION("""COMPUTED_VALUE"""),"are")</f>
        <v>are</v>
      </c>
      <c r="C16815" t="str">
        <f>IFERROR(__xludf.DUMMYFUNCTION("""COMPUTED_VALUE"""),"United Arab Emirates")</f>
        <v>United Arab Emirates</v>
      </c>
      <c r="D16815">
        <f>IFERROR(__xludf.DUMMYFUNCTION("""COMPUTED_VALUE"""),2017.0)</f>
        <v>2017</v>
      </c>
      <c r="E16815">
        <f>IFERROR(__xludf.DUMMYFUNCTION("""COMPUTED_VALUE"""),9400145.0)</f>
        <v>9400145</v>
      </c>
    </row>
    <row r="16816">
      <c r="A16816" t="str">
        <f t="shared" si="1"/>
        <v>are#2018</v>
      </c>
      <c r="B16816" t="str">
        <f>IFERROR(__xludf.DUMMYFUNCTION("""COMPUTED_VALUE"""),"are")</f>
        <v>are</v>
      </c>
      <c r="C16816" t="str">
        <f>IFERROR(__xludf.DUMMYFUNCTION("""COMPUTED_VALUE"""),"United Arab Emirates")</f>
        <v>United Arab Emirates</v>
      </c>
      <c r="D16816">
        <f>IFERROR(__xludf.DUMMYFUNCTION("""COMPUTED_VALUE"""),2018.0)</f>
        <v>2018</v>
      </c>
      <c r="E16816">
        <f>IFERROR(__xludf.DUMMYFUNCTION("""COMPUTED_VALUE"""),9541615.0)</f>
        <v>9541615</v>
      </c>
    </row>
    <row r="16817">
      <c r="A16817" t="str">
        <f t="shared" si="1"/>
        <v>are#2019</v>
      </c>
      <c r="B16817" t="str">
        <f>IFERROR(__xludf.DUMMYFUNCTION("""COMPUTED_VALUE"""),"are")</f>
        <v>are</v>
      </c>
      <c r="C16817" t="str">
        <f>IFERROR(__xludf.DUMMYFUNCTION("""COMPUTED_VALUE"""),"United Arab Emirates")</f>
        <v>United Arab Emirates</v>
      </c>
      <c r="D16817">
        <f>IFERROR(__xludf.DUMMYFUNCTION("""COMPUTED_VALUE"""),2019.0)</f>
        <v>2019</v>
      </c>
      <c r="E16817">
        <f>IFERROR(__xludf.DUMMYFUNCTION("""COMPUTED_VALUE"""),9682088.0)</f>
        <v>9682088</v>
      </c>
    </row>
    <row r="16818">
      <c r="A16818" t="str">
        <f t="shared" si="1"/>
        <v>are#2020</v>
      </c>
      <c r="B16818" t="str">
        <f>IFERROR(__xludf.DUMMYFUNCTION("""COMPUTED_VALUE"""),"are")</f>
        <v>are</v>
      </c>
      <c r="C16818" t="str">
        <f>IFERROR(__xludf.DUMMYFUNCTION("""COMPUTED_VALUE"""),"United Arab Emirates")</f>
        <v>United Arab Emirates</v>
      </c>
      <c r="D16818">
        <f>IFERROR(__xludf.DUMMYFUNCTION("""COMPUTED_VALUE"""),2020.0)</f>
        <v>2020</v>
      </c>
      <c r="E16818">
        <f>IFERROR(__xludf.DUMMYFUNCTION("""COMPUTED_VALUE"""),9813170.0)</f>
        <v>9813170</v>
      </c>
    </row>
    <row r="16819">
      <c r="A16819" t="str">
        <f t="shared" si="1"/>
        <v>are#2021</v>
      </c>
      <c r="B16819" t="str">
        <f>IFERROR(__xludf.DUMMYFUNCTION("""COMPUTED_VALUE"""),"are")</f>
        <v>are</v>
      </c>
      <c r="C16819" t="str">
        <f>IFERROR(__xludf.DUMMYFUNCTION("""COMPUTED_VALUE"""),"United Arab Emirates")</f>
        <v>United Arab Emirates</v>
      </c>
      <c r="D16819">
        <f>IFERROR(__xludf.DUMMYFUNCTION("""COMPUTED_VALUE"""),2021.0)</f>
        <v>2021</v>
      </c>
      <c r="E16819">
        <f>IFERROR(__xludf.DUMMYFUNCTION("""COMPUTED_VALUE"""),9937479.0)</f>
        <v>9937479</v>
      </c>
    </row>
    <row r="16820">
      <c r="A16820" t="str">
        <f t="shared" si="1"/>
        <v>are#2022</v>
      </c>
      <c r="B16820" t="str">
        <f>IFERROR(__xludf.DUMMYFUNCTION("""COMPUTED_VALUE"""),"are")</f>
        <v>are</v>
      </c>
      <c r="C16820" t="str">
        <f>IFERROR(__xludf.DUMMYFUNCTION("""COMPUTED_VALUE"""),"United Arab Emirates")</f>
        <v>United Arab Emirates</v>
      </c>
      <c r="D16820">
        <f>IFERROR(__xludf.DUMMYFUNCTION("""COMPUTED_VALUE"""),2022.0)</f>
        <v>2022</v>
      </c>
      <c r="E16820">
        <f>IFERROR(__xludf.DUMMYFUNCTION("""COMPUTED_VALUE"""),1.0061874E7)</f>
        <v>10061874</v>
      </c>
    </row>
    <row r="16821">
      <c r="A16821" t="str">
        <f t="shared" si="1"/>
        <v>are#2023</v>
      </c>
      <c r="B16821" t="str">
        <f>IFERROR(__xludf.DUMMYFUNCTION("""COMPUTED_VALUE"""),"are")</f>
        <v>are</v>
      </c>
      <c r="C16821" t="str">
        <f>IFERROR(__xludf.DUMMYFUNCTION("""COMPUTED_VALUE"""),"United Arab Emirates")</f>
        <v>United Arab Emirates</v>
      </c>
      <c r="D16821">
        <f>IFERROR(__xludf.DUMMYFUNCTION("""COMPUTED_VALUE"""),2023.0)</f>
        <v>2023</v>
      </c>
      <c r="E16821">
        <f>IFERROR(__xludf.DUMMYFUNCTION("""COMPUTED_VALUE"""),1.0186481E7)</f>
        <v>10186481</v>
      </c>
    </row>
    <row r="16822">
      <c r="A16822" t="str">
        <f t="shared" si="1"/>
        <v>are#2024</v>
      </c>
      <c r="B16822" t="str">
        <f>IFERROR(__xludf.DUMMYFUNCTION("""COMPUTED_VALUE"""),"are")</f>
        <v>are</v>
      </c>
      <c r="C16822" t="str">
        <f>IFERROR(__xludf.DUMMYFUNCTION("""COMPUTED_VALUE"""),"United Arab Emirates")</f>
        <v>United Arab Emirates</v>
      </c>
      <c r="D16822">
        <f>IFERROR(__xludf.DUMMYFUNCTION("""COMPUTED_VALUE"""),2024.0)</f>
        <v>2024</v>
      </c>
      <c r="E16822">
        <f>IFERROR(__xludf.DUMMYFUNCTION("""COMPUTED_VALUE"""),1.0311025E7)</f>
        <v>10311025</v>
      </c>
    </row>
    <row r="16823">
      <c r="A16823" t="str">
        <f t="shared" si="1"/>
        <v>are#2025</v>
      </c>
      <c r="B16823" t="str">
        <f>IFERROR(__xludf.DUMMYFUNCTION("""COMPUTED_VALUE"""),"are")</f>
        <v>are</v>
      </c>
      <c r="C16823" t="str">
        <f>IFERROR(__xludf.DUMMYFUNCTION("""COMPUTED_VALUE"""),"United Arab Emirates")</f>
        <v>United Arab Emirates</v>
      </c>
      <c r="D16823">
        <f>IFERROR(__xludf.DUMMYFUNCTION("""COMPUTED_VALUE"""),2025.0)</f>
        <v>2025</v>
      </c>
      <c r="E16823">
        <f>IFERROR(__xludf.DUMMYFUNCTION("""COMPUTED_VALUE"""),1.0435287E7)</f>
        <v>10435287</v>
      </c>
    </row>
    <row r="16824">
      <c r="A16824" t="str">
        <f t="shared" si="1"/>
        <v>are#2026</v>
      </c>
      <c r="B16824" t="str">
        <f>IFERROR(__xludf.DUMMYFUNCTION("""COMPUTED_VALUE"""),"are")</f>
        <v>are</v>
      </c>
      <c r="C16824" t="str">
        <f>IFERROR(__xludf.DUMMYFUNCTION("""COMPUTED_VALUE"""),"United Arab Emirates")</f>
        <v>United Arab Emirates</v>
      </c>
      <c r="D16824">
        <f>IFERROR(__xludf.DUMMYFUNCTION("""COMPUTED_VALUE"""),2026.0)</f>
        <v>2026</v>
      </c>
      <c r="E16824">
        <f>IFERROR(__xludf.DUMMYFUNCTION("""COMPUTED_VALUE"""),1.0559658E7)</f>
        <v>10559658</v>
      </c>
    </row>
    <row r="16825">
      <c r="A16825" t="str">
        <f t="shared" si="1"/>
        <v>are#2027</v>
      </c>
      <c r="B16825" t="str">
        <f>IFERROR(__xludf.DUMMYFUNCTION("""COMPUTED_VALUE"""),"are")</f>
        <v>are</v>
      </c>
      <c r="C16825" t="str">
        <f>IFERROR(__xludf.DUMMYFUNCTION("""COMPUTED_VALUE"""),"United Arab Emirates")</f>
        <v>United Arab Emirates</v>
      </c>
      <c r="D16825">
        <f>IFERROR(__xludf.DUMMYFUNCTION("""COMPUTED_VALUE"""),2027.0)</f>
        <v>2027</v>
      </c>
      <c r="E16825">
        <f>IFERROR(__xludf.DUMMYFUNCTION("""COMPUTED_VALUE"""),1.0684417E7)</f>
        <v>10684417</v>
      </c>
    </row>
    <row r="16826">
      <c r="A16826" t="str">
        <f t="shared" si="1"/>
        <v>are#2028</v>
      </c>
      <c r="B16826" t="str">
        <f>IFERROR(__xludf.DUMMYFUNCTION("""COMPUTED_VALUE"""),"are")</f>
        <v>are</v>
      </c>
      <c r="C16826" t="str">
        <f>IFERROR(__xludf.DUMMYFUNCTION("""COMPUTED_VALUE"""),"United Arab Emirates")</f>
        <v>United Arab Emirates</v>
      </c>
      <c r="D16826">
        <f>IFERROR(__xludf.DUMMYFUNCTION("""COMPUTED_VALUE"""),2028.0)</f>
        <v>2028</v>
      </c>
      <c r="E16826">
        <f>IFERROR(__xludf.DUMMYFUNCTION("""COMPUTED_VALUE"""),1.0809007E7)</f>
        <v>10809007</v>
      </c>
    </row>
    <row r="16827">
      <c r="A16827" t="str">
        <f t="shared" si="1"/>
        <v>are#2029</v>
      </c>
      <c r="B16827" t="str">
        <f>IFERROR(__xludf.DUMMYFUNCTION("""COMPUTED_VALUE"""),"are")</f>
        <v>are</v>
      </c>
      <c r="C16827" t="str">
        <f>IFERROR(__xludf.DUMMYFUNCTION("""COMPUTED_VALUE"""),"United Arab Emirates")</f>
        <v>United Arab Emirates</v>
      </c>
      <c r="D16827">
        <f>IFERROR(__xludf.DUMMYFUNCTION("""COMPUTED_VALUE"""),2029.0)</f>
        <v>2029</v>
      </c>
      <c r="E16827">
        <f>IFERROR(__xludf.DUMMYFUNCTION("""COMPUTED_VALUE"""),1.0932595E7)</f>
        <v>10932595</v>
      </c>
    </row>
    <row r="16828">
      <c r="A16828" t="str">
        <f t="shared" si="1"/>
        <v>are#2030</v>
      </c>
      <c r="B16828" t="str">
        <f>IFERROR(__xludf.DUMMYFUNCTION("""COMPUTED_VALUE"""),"are")</f>
        <v>are</v>
      </c>
      <c r="C16828" t="str">
        <f>IFERROR(__xludf.DUMMYFUNCTION("""COMPUTED_VALUE"""),"United Arab Emirates")</f>
        <v>United Arab Emirates</v>
      </c>
      <c r="D16828">
        <f>IFERROR(__xludf.DUMMYFUNCTION("""COMPUTED_VALUE"""),2030.0)</f>
        <v>2030</v>
      </c>
      <c r="E16828">
        <f>IFERROR(__xludf.DUMMYFUNCTION("""COMPUTED_VALUE"""),1.1054579E7)</f>
        <v>11054579</v>
      </c>
    </row>
    <row r="16829">
      <c r="A16829" t="str">
        <f t="shared" si="1"/>
        <v>are#2031</v>
      </c>
      <c r="B16829" t="str">
        <f>IFERROR(__xludf.DUMMYFUNCTION("""COMPUTED_VALUE"""),"are")</f>
        <v>are</v>
      </c>
      <c r="C16829" t="str">
        <f>IFERROR(__xludf.DUMMYFUNCTION("""COMPUTED_VALUE"""),"United Arab Emirates")</f>
        <v>United Arab Emirates</v>
      </c>
      <c r="D16829">
        <f>IFERROR(__xludf.DUMMYFUNCTION("""COMPUTED_VALUE"""),2031.0)</f>
        <v>2031</v>
      </c>
      <c r="E16829">
        <f>IFERROR(__xludf.DUMMYFUNCTION("""COMPUTED_VALUE"""),1.1174712E7)</f>
        <v>11174712</v>
      </c>
    </row>
    <row r="16830">
      <c r="A16830" t="str">
        <f t="shared" si="1"/>
        <v>are#2032</v>
      </c>
      <c r="B16830" t="str">
        <f>IFERROR(__xludf.DUMMYFUNCTION("""COMPUTED_VALUE"""),"are")</f>
        <v>are</v>
      </c>
      <c r="C16830" t="str">
        <f>IFERROR(__xludf.DUMMYFUNCTION("""COMPUTED_VALUE"""),"United Arab Emirates")</f>
        <v>United Arab Emirates</v>
      </c>
      <c r="D16830">
        <f>IFERROR(__xludf.DUMMYFUNCTION("""COMPUTED_VALUE"""),2032.0)</f>
        <v>2032</v>
      </c>
      <c r="E16830">
        <f>IFERROR(__xludf.DUMMYFUNCTION("""COMPUTED_VALUE"""),1.1293171E7)</f>
        <v>11293171</v>
      </c>
    </row>
    <row r="16831">
      <c r="A16831" t="str">
        <f t="shared" si="1"/>
        <v>are#2033</v>
      </c>
      <c r="B16831" t="str">
        <f>IFERROR(__xludf.DUMMYFUNCTION("""COMPUTED_VALUE"""),"are")</f>
        <v>are</v>
      </c>
      <c r="C16831" t="str">
        <f>IFERROR(__xludf.DUMMYFUNCTION("""COMPUTED_VALUE"""),"United Arab Emirates")</f>
        <v>United Arab Emirates</v>
      </c>
      <c r="D16831">
        <f>IFERROR(__xludf.DUMMYFUNCTION("""COMPUTED_VALUE"""),2033.0)</f>
        <v>2033</v>
      </c>
      <c r="E16831">
        <f>IFERROR(__xludf.DUMMYFUNCTION("""COMPUTED_VALUE"""),1.1410288E7)</f>
        <v>11410288</v>
      </c>
    </row>
    <row r="16832">
      <c r="A16832" t="str">
        <f t="shared" si="1"/>
        <v>are#2034</v>
      </c>
      <c r="B16832" t="str">
        <f>IFERROR(__xludf.DUMMYFUNCTION("""COMPUTED_VALUE"""),"are")</f>
        <v>are</v>
      </c>
      <c r="C16832" t="str">
        <f>IFERROR(__xludf.DUMMYFUNCTION("""COMPUTED_VALUE"""),"United Arab Emirates")</f>
        <v>United Arab Emirates</v>
      </c>
      <c r="D16832">
        <f>IFERROR(__xludf.DUMMYFUNCTION("""COMPUTED_VALUE"""),2034.0)</f>
        <v>2034</v>
      </c>
      <c r="E16832">
        <f>IFERROR(__xludf.DUMMYFUNCTION("""COMPUTED_VALUE"""),1.1526564E7)</f>
        <v>11526564</v>
      </c>
    </row>
    <row r="16833">
      <c r="A16833" t="str">
        <f t="shared" si="1"/>
        <v>are#2035</v>
      </c>
      <c r="B16833" t="str">
        <f>IFERROR(__xludf.DUMMYFUNCTION("""COMPUTED_VALUE"""),"are")</f>
        <v>are</v>
      </c>
      <c r="C16833" t="str">
        <f>IFERROR(__xludf.DUMMYFUNCTION("""COMPUTED_VALUE"""),"United Arab Emirates")</f>
        <v>United Arab Emirates</v>
      </c>
      <c r="D16833">
        <f>IFERROR(__xludf.DUMMYFUNCTION("""COMPUTED_VALUE"""),2035.0)</f>
        <v>2035</v>
      </c>
      <c r="E16833">
        <f>IFERROR(__xludf.DUMMYFUNCTION("""COMPUTED_VALUE"""),1.1642335E7)</f>
        <v>11642335</v>
      </c>
    </row>
    <row r="16834">
      <c r="A16834" t="str">
        <f t="shared" si="1"/>
        <v>are#2036</v>
      </c>
      <c r="B16834" t="str">
        <f>IFERROR(__xludf.DUMMYFUNCTION("""COMPUTED_VALUE"""),"are")</f>
        <v>are</v>
      </c>
      <c r="C16834" t="str">
        <f>IFERROR(__xludf.DUMMYFUNCTION("""COMPUTED_VALUE"""),"United Arab Emirates")</f>
        <v>United Arab Emirates</v>
      </c>
      <c r="D16834">
        <f>IFERROR(__xludf.DUMMYFUNCTION("""COMPUTED_VALUE"""),2036.0)</f>
        <v>2036</v>
      </c>
      <c r="E16834">
        <f>IFERROR(__xludf.DUMMYFUNCTION("""COMPUTED_VALUE"""),1.1757634E7)</f>
        <v>11757634</v>
      </c>
    </row>
    <row r="16835">
      <c r="A16835" t="str">
        <f t="shared" si="1"/>
        <v>are#2037</v>
      </c>
      <c r="B16835" t="str">
        <f>IFERROR(__xludf.DUMMYFUNCTION("""COMPUTED_VALUE"""),"are")</f>
        <v>are</v>
      </c>
      <c r="C16835" t="str">
        <f>IFERROR(__xludf.DUMMYFUNCTION("""COMPUTED_VALUE"""),"United Arab Emirates")</f>
        <v>United Arab Emirates</v>
      </c>
      <c r="D16835">
        <f>IFERROR(__xludf.DUMMYFUNCTION("""COMPUTED_VALUE"""),2037.0)</f>
        <v>2037</v>
      </c>
      <c r="E16835">
        <f>IFERROR(__xludf.DUMMYFUNCTION("""COMPUTED_VALUE"""),1.1872175E7)</f>
        <v>11872175</v>
      </c>
    </row>
    <row r="16836">
      <c r="A16836" t="str">
        <f t="shared" si="1"/>
        <v>are#2038</v>
      </c>
      <c r="B16836" t="str">
        <f>IFERROR(__xludf.DUMMYFUNCTION("""COMPUTED_VALUE"""),"are")</f>
        <v>are</v>
      </c>
      <c r="C16836" t="str">
        <f>IFERROR(__xludf.DUMMYFUNCTION("""COMPUTED_VALUE"""),"United Arab Emirates")</f>
        <v>United Arab Emirates</v>
      </c>
      <c r="D16836">
        <f>IFERROR(__xludf.DUMMYFUNCTION("""COMPUTED_VALUE"""),2038.0)</f>
        <v>2038</v>
      </c>
      <c r="E16836">
        <f>IFERROR(__xludf.DUMMYFUNCTION("""COMPUTED_VALUE"""),1.1985602E7)</f>
        <v>11985602</v>
      </c>
    </row>
    <row r="16837">
      <c r="A16837" t="str">
        <f t="shared" si="1"/>
        <v>are#2039</v>
      </c>
      <c r="B16837" t="str">
        <f>IFERROR(__xludf.DUMMYFUNCTION("""COMPUTED_VALUE"""),"are")</f>
        <v>are</v>
      </c>
      <c r="C16837" t="str">
        <f>IFERROR(__xludf.DUMMYFUNCTION("""COMPUTED_VALUE"""),"United Arab Emirates")</f>
        <v>United Arab Emirates</v>
      </c>
      <c r="D16837">
        <f>IFERROR(__xludf.DUMMYFUNCTION("""COMPUTED_VALUE"""),2039.0)</f>
        <v>2039</v>
      </c>
      <c r="E16837">
        <f>IFERROR(__xludf.DUMMYFUNCTION("""COMPUTED_VALUE"""),1.2097447E7)</f>
        <v>12097447</v>
      </c>
    </row>
    <row r="16838">
      <c r="A16838" t="str">
        <f t="shared" si="1"/>
        <v>are#2040</v>
      </c>
      <c r="B16838" t="str">
        <f>IFERROR(__xludf.DUMMYFUNCTION("""COMPUTED_VALUE"""),"are")</f>
        <v>are</v>
      </c>
      <c r="C16838" t="str">
        <f>IFERROR(__xludf.DUMMYFUNCTION("""COMPUTED_VALUE"""),"United Arab Emirates")</f>
        <v>United Arab Emirates</v>
      </c>
      <c r="D16838">
        <f>IFERROR(__xludf.DUMMYFUNCTION("""COMPUTED_VALUE"""),2040.0)</f>
        <v>2040</v>
      </c>
      <c r="E16838">
        <f>IFERROR(__xludf.DUMMYFUNCTION("""COMPUTED_VALUE"""),1.2207333E7)</f>
        <v>12207333</v>
      </c>
    </row>
    <row r="16839">
      <c r="A16839" t="str">
        <f t="shared" si="1"/>
        <v>gbr#1950</v>
      </c>
      <c r="B16839" t="str">
        <f>IFERROR(__xludf.DUMMYFUNCTION("""COMPUTED_VALUE"""),"gbr")</f>
        <v>gbr</v>
      </c>
      <c r="C16839" t="str">
        <f>IFERROR(__xludf.DUMMYFUNCTION("""COMPUTED_VALUE"""),"United Kingdom")</f>
        <v>United Kingdom</v>
      </c>
      <c r="D16839">
        <f>IFERROR(__xludf.DUMMYFUNCTION("""COMPUTED_VALUE"""),1950.0)</f>
        <v>1950</v>
      </c>
      <c r="E16839">
        <f>IFERROR(__xludf.DUMMYFUNCTION("""COMPUTED_VALUE"""),5.0616014E7)</f>
        <v>50616014</v>
      </c>
    </row>
    <row r="16840">
      <c r="A16840" t="str">
        <f t="shared" si="1"/>
        <v>gbr#1951</v>
      </c>
      <c r="B16840" t="str">
        <f>IFERROR(__xludf.DUMMYFUNCTION("""COMPUTED_VALUE"""),"gbr")</f>
        <v>gbr</v>
      </c>
      <c r="C16840" t="str">
        <f>IFERROR(__xludf.DUMMYFUNCTION("""COMPUTED_VALUE"""),"United Kingdom")</f>
        <v>United Kingdom</v>
      </c>
      <c r="D16840">
        <f>IFERROR(__xludf.DUMMYFUNCTION("""COMPUTED_VALUE"""),1951.0)</f>
        <v>1951</v>
      </c>
      <c r="E16840">
        <f>IFERROR(__xludf.DUMMYFUNCTION("""COMPUTED_VALUE"""),5.0621416E7)</f>
        <v>50621416</v>
      </c>
    </row>
    <row r="16841">
      <c r="A16841" t="str">
        <f t="shared" si="1"/>
        <v>gbr#1952</v>
      </c>
      <c r="B16841" t="str">
        <f>IFERROR(__xludf.DUMMYFUNCTION("""COMPUTED_VALUE"""),"gbr")</f>
        <v>gbr</v>
      </c>
      <c r="C16841" t="str">
        <f>IFERROR(__xludf.DUMMYFUNCTION("""COMPUTED_VALUE"""),"United Kingdom")</f>
        <v>United Kingdom</v>
      </c>
      <c r="D16841">
        <f>IFERROR(__xludf.DUMMYFUNCTION("""COMPUTED_VALUE"""),1952.0)</f>
        <v>1952</v>
      </c>
      <c r="E16841">
        <f>IFERROR(__xludf.DUMMYFUNCTION("""COMPUTED_VALUE"""),5.0686055E7)</f>
        <v>50686055</v>
      </c>
    </row>
    <row r="16842">
      <c r="A16842" t="str">
        <f t="shared" si="1"/>
        <v>gbr#1953</v>
      </c>
      <c r="B16842" t="str">
        <f>IFERROR(__xludf.DUMMYFUNCTION("""COMPUTED_VALUE"""),"gbr")</f>
        <v>gbr</v>
      </c>
      <c r="C16842" t="str">
        <f>IFERROR(__xludf.DUMMYFUNCTION("""COMPUTED_VALUE"""),"United Kingdom")</f>
        <v>United Kingdom</v>
      </c>
      <c r="D16842">
        <f>IFERROR(__xludf.DUMMYFUNCTION("""COMPUTED_VALUE"""),1953.0)</f>
        <v>1953</v>
      </c>
      <c r="E16842">
        <f>IFERROR(__xludf.DUMMYFUNCTION("""COMPUTED_VALUE"""),5.0797274E7)</f>
        <v>50797274</v>
      </c>
    </row>
    <row r="16843">
      <c r="A16843" t="str">
        <f t="shared" si="1"/>
        <v>gbr#1954</v>
      </c>
      <c r="B16843" t="str">
        <f>IFERROR(__xludf.DUMMYFUNCTION("""COMPUTED_VALUE"""),"gbr")</f>
        <v>gbr</v>
      </c>
      <c r="C16843" t="str">
        <f>IFERROR(__xludf.DUMMYFUNCTION("""COMPUTED_VALUE"""),"United Kingdom")</f>
        <v>United Kingdom</v>
      </c>
      <c r="D16843">
        <f>IFERROR(__xludf.DUMMYFUNCTION("""COMPUTED_VALUE"""),1954.0)</f>
        <v>1954</v>
      </c>
      <c r="E16843">
        <f>IFERROR(__xludf.DUMMYFUNCTION("""COMPUTED_VALUE"""),5.0945397E7)</f>
        <v>50945397</v>
      </c>
    </row>
    <row r="16844">
      <c r="A16844" t="str">
        <f t="shared" si="1"/>
        <v>gbr#1955</v>
      </c>
      <c r="B16844" t="str">
        <f>IFERROR(__xludf.DUMMYFUNCTION("""COMPUTED_VALUE"""),"gbr")</f>
        <v>gbr</v>
      </c>
      <c r="C16844" t="str">
        <f>IFERROR(__xludf.DUMMYFUNCTION("""COMPUTED_VALUE"""),"United Kingdom")</f>
        <v>United Kingdom</v>
      </c>
      <c r="D16844">
        <f>IFERROR(__xludf.DUMMYFUNCTION("""COMPUTED_VALUE"""),1955.0)</f>
        <v>1955</v>
      </c>
      <c r="E16844">
        <f>IFERROR(__xludf.DUMMYFUNCTION("""COMPUTED_VALUE"""),5.1123707E7)</f>
        <v>51123707</v>
      </c>
    </row>
    <row r="16845">
      <c r="A16845" t="str">
        <f t="shared" si="1"/>
        <v>gbr#1956</v>
      </c>
      <c r="B16845" t="str">
        <f>IFERROR(__xludf.DUMMYFUNCTION("""COMPUTED_VALUE"""),"gbr")</f>
        <v>gbr</v>
      </c>
      <c r="C16845" t="str">
        <f>IFERROR(__xludf.DUMMYFUNCTION("""COMPUTED_VALUE"""),"United Kingdom")</f>
        <v>United Kingdom</v>
      </c>
      <c r="D16845">
        <f>IFERROR(__xludf.DUMMYFUNCTION("""COMPUTED_VALUE"""),1956.0)</f>
        <v>1956</v>
      </c>
      <c r="E16845">
        <f>IFERROR(__xludf.DUMMYFUNCTION("""COMPUTED_VALUE"""),5.1328662E7)</f>
        <v>51328662</v>
      </c>
    </row>
    <row r="16846">
      <c r="A16846" t="str">
        <f t="shared" si="1"/>
        <v>gbr#1957</v>
      </c>
      <c r="B16846" t="str">
        <f>IFERROR(__xludf.DUMMYFUNCTION("""COMPUTED_VALUE"""),"gbr")</f>
        <v>gbr</v>
      </c>
      <c r="C16846" t="str">
        <f>IFERROR(__xludf.DUMMYFUNCTION("""COMPUTED_VALUE"""),"United Kingdom")</f>
        <v>United Kingdom</v>
      </c>
      <c r="D16846">
        <f>IFERROR(__xludf.DUMMYFUNCTION("""COMPUTED_VALUE"""),1957.0)</f>
        <v>1957</v>
      </c>
      <c r="E16846">
        <f>IFERROR(__xludf.DUMMYFUNCTION("""COMPUTED_VALUE"""),5.155967E7)</f>
        <v>51559670</v>
      </c>
    </row>
    <row r="16847">
      <c r="A16847" t="str">
        <f t="shared" si="1"/>
        <v>gbr#1958</v>
      </c>
      <c r="B16847" t="str">
        <f>IFERROR(__xludf.DUMMYFUNCTION("""COMPUTED_VALUE"""),"gbr")</f>
        <v>gbr</v>
      </c>
      <c r="C16847" t="str">
        <f>IFERROR(__xludf.DUMMYFUNCTION("""COMPUTED_VALUE"""),"United Kingdom")</f>
        <v>United Kingdom</v>
      </c>
      <c r="D16847">
        <f>IFERROR(__xludf.DUMMYFUNCTION("""COMPUTED_VALUE"""),1958.0)</f>
        <v>1958</v>
      </c>
      <c r="E16847">
        <f>IFERROR(__xludf.DUMMYFUNCTION("""COMPUTED_VALUE"""),5.1818623E7)</f>
        <v>51818623</v>
      </c>
    </row>
    <row r="16848">
      <c r="A16848" t="str">
        <f t="shared" si="1"/>
        <v>gbr#1959</v>
      </c>
      <c r="B16848" t="str">
        <f>IFERROR(__xludf.DUMMYFUNCTION("""COMPUTED_VALUE"""),"gbr")</f>
        <v>gbr</v>
      </c>
      <c r="C16848" t="str">
        <f>IFERROR(__xludf.DUMMYFUNCTION("""COMPUTED_VALUE"""),"United Kingdom")</f>
        <v>United Kingdom</v>
      </c>
      <c r="D16848">
        <f>IFERROR(__xludf.DUMMYFUNCTION("""COMPUTED_VALUE"""),1959.0)</f>
        <v>1959</v>
      </c>
      <c r="E16848">
        <f>IFERROR(__xludf.DUMMYFUNCTION("""COMPUTED_VALUE"""),5.2108972E7)</f>
        <v>52108972</v>
      </c>
    </row>
    <row r="16849">
      <c r="A16849" t="str">
        <f t="shared" si="1"/>
        <v>gbr#1960</v>
      </c>
      <c r="B16849" t="str">
        <f>IFERROR(__xludf.DUMMYFUNCTION("""COMPUTED_VALUE"""),"gbr")</f>
        <v>gbr</v>
      </c>
      <c r="C16849" t="str">
        <f>IFERROR(__xludf.DUMMYFUNCTION("""COMPUTED_VALUE"""),"United Kingdom")</f>
        <v>United Kingdom</v>
      </c>
      <c r="D16849">
        <f>IFERROR(__xludf.DUMMYFUNCTION("""COMPUTED_VALUE"""),1960.0)</f>
        <v>1960</v>
      </c>
      <c r="E16849">
        <f>IFERROR(__xludf.DUMMYFUNCTION("""COMPUTED_VALUE"""),5.2433157E7)</f>
        <v>52433157</v>
      </c>
    </row>
    <row r="16850">
      <c r="A16850" t="str">
        <f t="shared" si="1"/>
        <v>gbr#1961</v>
      </c>
      <c r="B16850" t="str">
        <f>IFERROR(__xludf.DUMMYFUNCTION("""COMPUTED_VALUE"""),"gbr")</f>
        <v>gbr</v>
      </c>
      <c r="C16850" t="str">
        <f>IFERROR(__xludf.DUMMYFUNCTION("""COMPUTED_VALUE"""),"United Kingdom")</f>
        <v>United Kingdom</v>
      </c>
      <c r="D16850">
        <f>IFERROR(__xludf.DUMMYFUNCTION("""COMPUTED_VALUE"""),1961.0)</f>
        <v>1961</v>
      </c>
      <c r="E16850">
        <f>IFERROR(__xludf.DUMMYFUNCTION("""COMPUTED_VALUE"""),5.2789816E7)</f>
        <v>52789816</v>
      </c>
    </row>
    <row r="16851">
      <c r="A16851" t="str">
        <f t="shared" si="1"/>
        <v>gbr#1962</v>
      </c>
      <c r="B16851" t="str">
        <f>IFERROR(__xludf.DUMMYFUNCTION("""COMPUTED_VALUE"""),"gbr")</f>
        <v>gbr</v>
      </c>
      <c r="C16851" t="str">
        <f>IFERROR(__xludf.DUMMYFUNCTION("""COMPUTED_VALUE"""),"United Kingdom")</f>
        <v>United Kingdom</v>
      </c>
      <c r="D16851">
        <f>IFERROR(__xludf.DUMMYFUNCTION("""COMPUTED_VALUE"""),1962.0)</f>
        <v>1962</v>
      </c>
      <c r="E16851">
        <f>IFERROR(__xludf.DUMMYFUNCTION("""COMPUTED_VALUE"""),5.3171326E7)</f>
        <v>53171326</v>
      </c>
    </row>
    <row r="16852">
      <c r="A16852" t="str">
        <f t="shared" si="1"/>
        <v>gbr#1963</v>
      </c>
      <c r="B16852" t="str">
        <f>IFERROR(__xludf.DUMMYFUNCTION("""COMPUTED_VALUE"""),"gbr")</f>
        <v>gbr</v>
      </c>
      <c r="C16852" t="str">
        <f>IFERROR(__xludf.DUMMYFUNCTION("""COMPUTED_VALUE"""),"United Kingdom")</f>
        <v>United Kingdom</v>
      </c>
      <c r="D16852">
        <f>IFERROR(__xludf.DUMMYFUNCTION("""COMPUTED_VALUE"""),1963.0)</f>
        <v>1963</v>
      </c>
      <c r="E16852">
        <f>IFERROR(__xludf.DUMMYFUNCTION("""COMPUTED_VALUE"""),5.3562805E7)</f>
        <v>53562805</v>
      </c>
    </row>
    <row r="16853">
      <c r="A16853" t="str">
        <f t="shared" si="1"/>
        <v>gbr#1964</v>
      </c>
      <c r="B16853" t="str">
        <f>IFERROR(__xludf.DUMMYFUNCTION("""COMPUTED_VALUE"""),"gbr")</f>
        <v>gbr</v>
      </c>
      <c r="C16853" t="str">
        <f>IFERROR(__xludf.DUMMYFUNCTION("""COMPUTED_VALUE"""),"United Kingdom")</f>
        <v>United Kingdom</v>
      </c>
      <c r="D16853">
        <f>IFERROR(__xludf.DUMMYFUNCTION("""COMPUTED_VALUE"""),1964.0)</f>
        <v>1964</v>
      </c>
      <c r="E16853">
        <f>IFERROR(__xludf.DUMMYFUNCTION("""COMPUTED_VALUE"""),5.3945019E7)</f>
        <v>53945019</v>
      </c>
    </row>
    <row r="16854">
      <c r="A16854" t="str">
        <f t="shared" si="1"/>
        <v>gbr#1965</v>
      </c>
      <c r="B16854" t="str">
        <f>IFERROR(__xludf.DUMMYFUNCTION("""COMPUTED_VALUE"""),"gbr")</f>
        <v>gbr</v>
      </c>
      <c r="C16854" t="str">
        <f>IFERROR(__xludf.DUMMYFUNCTION("""COMPUTED_VALUE"""),"United Kingdom")</f>
        <v>United Kingdom</v>
      </c>
      <c r="D16854">
        <f>IFERROR(__xludf.DUMMYFUNCTION("""COMPUTED_VALUE"""),1965.0)</f>
        <v>1965</v>
      </c>
      <c r="E16854">
        <f>IFERROR(__xludf.DUMMYFUNCTION("""COMPUTED_VALUE"""),5.4303107E7)</f>
        <v>54303107</v>
      </c>
    </row>
    <row r="16855">
      <c r="A16855" t="str">
        <f t="shared" si="1"/>
        <v>gbr#1966</v>
      </c>
      <c r="B16855" t="str">
        <f>IFERROR(__xludf.DUMMYFUNCTION("""COMPUTED_VALUE"""),"gbr")</f>
        <v>gbr</v>
      </c>
      <c r="C16855" t="str">
        <f>IFERROR(__xludf.DUMMYFUNCTION("""COMPUTED_VALUE"""),"United Kingdom")</f>
        <v>United Kingdom</v>
      </c>
      <c r="D16855">
        <f>IFERROR(__xludf.DUMMYFUNCTION("""COMPUTED_VALUE"""),1966.0)</f>
        <v>1966</v>
      </c>
      <c r="E16855">
        <f>IFERROR(__xludf.DUMMYFUNCTION("""COMPUTED_VALUE"""),5.4630989E7)</f>
        <v>54630989</v>
      </c>
    </row>
    <row r="16856">
      <c r="A16856" t="str">
        <f t="shared" si="1"/>
        <v>gbr#1967</v>
      </c>
      <c r="B16856" t="str">
        <f>IFERROR(__xludf.DUMMYFUNCTION("""COMPUTED_VALUE"""),"gbr")</f>
        <v>gbr</v>
      </c>
      <c r="C16856" t="str">
        <f>IFERROR(__xludf.DUMMYFUNCTION("""COMPUTED_VALUE"""),"United Kingdom")</f>
        <v>United Kingdom</v>
      </c>
      <c r="D16856">
        <f>IFERROR(__xludf.DUMMYFUNCTION("""COMPUTED_VALUE"""),1967.0)</f>
        <v>1967</v>
      </c>
      <c r="E16856">
        <f>IFERROR(__xludf.DUMMYFUNCTION("""COMPUTED_VALUE"""),5.4928528E7)</f>
        <v>54928528</v>
      </c>
    </row>
    <row r="16857">
      <c r="A16857" t="str">
        <f t="shared" si="1"/>
        <v>gbr#1968</v>
      </c>
      <c r="B16857" t="str">
        <f>IFERROR(__xludf.DUMMYFUNCTION("""COMPUTED_VALUE"""),"gbr")</f>
        <v>gbr</v>
      </c>
      <c r="C16857" t="str">
        <f>IFERROR(__xludf.DUMMYFUNCTION("""COMPUTED_VALUE"""),"United Kingdom")</f>
        <v>United Kingdom</v>
      </c>
      <c r="D16857">
        <f>IFERROR(__xludf.DUMMYFUNCTION("""COMPUTED_VALUE"""),1968.0)</f>
        <v>1968</v>
      </c>
      <c r="E16857">
        <f>IFERROR(__xludf.DUMMYFUNCTION("""COMPUTED_VALUE"""),5.5194456E7)</f>
        <v>55194456</v>
      </c>
    </row>
    <row r="16858">
      <c r="A16858" t="str">
        <f t="shared" si="1"/>
        <v>gbr#1969</v>
      </c>
      <c r="B16858" t="str">
        <f>IFERROR(__xludf.DUMMYFUNCTION("""COMPUTED_VALUE"""),"gbr")</f>
        <v>gbr</v>
      </c>
      <c r="C16858" t="str">
        <f>IFERROR(__xludf.DUMMYFUNCTION("""COMPUTED_VALUE"""),"United Kingdom")</f>
        <v>United Kingdom</v>
      </c>
      <c r="D16858">
        <f>IFERROR(__xludf.DUMMYFUNCTION("""COMPUTED_VALUE"""),1969.0)</f>
        <v>1969</v>
      </c>
      <c r="E16858">
        <f>IFERROR(__xludf.DUMMYFUNCTION("""COMPUTED_VALUE"""),5.5429643E7)</f>
        <v>55429643</v>
      </c>
    </row>
    <row r="16859">
      <c r="A16859" t="str">
        <f t="shared" si="1"/>
        <v>gbr#1970</v>
      </c>
      <c r="B16859" t="str">
        <f>IFERROR(__xludf.DUMMYFUNCTION("""COMPUTED_VALUE"""),"gbr")</f>
        <v>gbr</v>
      </c>
      <c r="C16859" t="str">
        <f>IFERROR(__xludf.DUMMYFUNCTION("""COMPUTED_VALUE"""),"United Kingdom")</f>
        <v>United Kingdom</v>
      </c>
      <c r="D16859">
        <f>IFERROR(__xludf.DUMMYFUNCTION("""COMPUTED_VALUE"""),1970.0)</f>
        <v>1970</v>
      </c>
      <c r="E16859">
        <f>IFERROR(__xludf.DUMMYFUNCTION("""COMPUTED_VALUE"""),5.5634935E7)</f>
        <v>55634935</v>
      </c>
    </row>
    <row r="16860">
      <c r="A16860" t="str">
        <f t="shared" si="1"/>
        <v>gbr#1971</v>
      </c>
      <c r="B16860" t="str">
        <f>IFERROR(__xludf.DUMMYFUNCTION("""COMPUTED_VALUE"""),"gbr")</f>
        <v>gbr</v>
      </c>
      <c r="C16860" t="str">
        <f>IFERROR(__xludf.DUMMYFUNCTION("""COMPUTED_VALUE"""),"United Kingdom")</f>
        <v>United Kingdom</v>
      </c>
      <c r="D16860">
        <f>IFERROR(__xludf.DUMMYFUNCTION("""COMPUTED_VALUE"""),1971.0)</f>
        <v>1971</v>
      </c>
      <c r="E16860">
        <f>IFERROR(__xludf.DUMMYFUNCTION("""COMPUTED_VALUE"""),5.580975E7)</f>
        <v>55809750</v>
      </c>
    </row>
    <row r="16861">
      <c r="A16861" t="str">
        <f t="shared" si="1"/>
        <v>gbr#1972</v>
      </c>
      <c r="B16861" t="str">
        <f>IFERROR(__xludf.DUMMYFUNCTION("""COMPUTED_VALUE"""),"gbr")</f>
        <v>gbr</v>
      </c>
      <c r="C16861" t="str">
        <f>IFERROR(__xludf.DUMMYFUNCTION("""COMPUTED_VALUE"""),"United Kingdom")</f>
        <v>United Kingdom</v>
      </c>
      <c r="D16861">
        <f>IFERROR(__xludf.DUMMYFUNCTION("""COMPUTED_VALUE"""),1972.0)</f>
        <v>1972</v>
      </c>
      <c r="E16861">
        <f>IFERROR(__xludf.DUMMYFUNCTION("""COMPUTED_VALUE"""),5.5953322E7)</f>
        <v>55953322</v>
      </c>
    </row>
    <row r="16862">
      <c r="A16862" t="str">
        <f t="shared" si="1"/>
        <v>gbr#1973</v>
      </c>
      <c r="B16862" t="str">
        <f>IFERROR(__xludf.DUMMYFUNCTION("""COMPUTED_VALUE"""),"gbr")</f>
        <v>gbr</v>
      </c>
      <c r="C16862" t="str">
        <f>IFERROR(__xludf.DUMMYFUNCTION("""COMPUTED_VALUE"""),"United Kingdom")</f>
        <v>United Kingdom</v>
      </c>
      <c r="D16862">
        <f>IFERROR(__xludf.DUMMYFUNCTION("""COMPUTED_VALUE"""),1973.0)</f>
        <v>1973</v>
      </c>
      <c r="E16862">
        <f>IFERROR(__xludf.DUMMYFUNCTION("""COMPUTED_VALUE"""),5.606683E7)</f>
        <v>56066830</v>
      </c>
    </row>
    <row r="16863">
      <c r="A16863" t="str">
        <f t="shared" si="1"/>
        <v>gbr#1974</v>
      </c>
      <c r="B16863" t="str">
        <f>IFERROR(__xludf.DUMMYFUNCTION("""COMPUTED_VALUE"""),"gbr")</f>
        <v>gbr</v>
      </c>
      <c r="C16863" t="str">
        <f>IFERROR(__xludf.DUMMYFUNCTION("""COMPUTED_VALUE"""),"United Kingdom")</f>
        <v>United Kingdom</v>
      </c>
      <c r="D16863">
        <f>IFERROR(__xludf.DUMMYFUNCTION("""COMPUTED_VALUE"""),1974.0)</f>
        <v>1974</v>
      </c>
      <c r="E16863">
        <f>IFERROR(__xludf.DUMMYFUNCTION("""COMPUTED_VALUE"""),5.6152179E7)</f>
        <v>56152179</v>
      </c>
    </row>
    <row r="16864">
      <c r="A16864" t="str">
        <f t="shared" si="1"/>
        <v>gbr#1975</v>
      </c>
      <c r="B16864" t="str">
        <f>IFERROR(__xludf.DUMMYFUNCTION("""COMPUTED_VALUE"""),"gbr")</f>
        <v>gbr</v>
      </c>
      <c r="C16864" t="str">
        <f>IFERROR(__xludf.DUMMYFUNCTION("""COMPUTED_VALUE"""),"United Kingdom")</f>
        <v>United Kingdom</v>
      </c>
      <c r="D16864">
        <f>IFERROR(__xludf.DUMMYFUNCTION("""COMPUTED_VALUE"""),1975.0)</f>
        <v>1975</v>
      </c>
      <c r="E16864">
        <f>IFERROR(__xludf.DUMMYFUNCTION("""COMPUTED_VALUE"""),5.6211947E7)</f>
        <v>56211947</v>
      </c>
    </row>
    <row r="16865">
      <c r="A16865" t="str">
        <f t="shared" si="1"/>
        <v>gbr#1976</v>
      </c>
      <c r="B16865" t="str">
        <f>IFERROR(__xludf.DUMMYFUNCTION("""COMPUTED_VALUE"""),"gbr")</f>
        <v>gbr</v>
      </c>
      <c r="C16865" t="str">
        <f>IFERROR(__xludf.DUMMYFUNCTION("""COMPUTED_VALUE"""),"United Kingdom")</f>
        <v>United Kingdom</v>
      </c>
      <c r="D16865">
        <f>IFERROR(__xludf.DUMMYFUNCTION("""COMPUTED_VALUE"""),1976.0)</f>
        <v>1976</v>
      </c>
      <c r="E16865">
        <f>IFERROR(__xludf.DUMMYFUNCTION("""COMPUTED_VALUE"""),5.6247405E7)</f>
        <v>56247405</v>
      </c>
    </row>
    <row r="16866">
      <c r="A16866" t="str">
        <f t="shared" si="1"/>
        <v>gbr#1977</v>
      </c>
      <c r="B16866" t="str">
        <f>IFERROR(__xludf.DUMMYFUNCTION("""COMPUTED_VALUE"""),"gbr")</f>
        <v>gbr</v>
      </c>
      <c r="C16866" t="str">
        <f>IFERROR(__xludf.DUMMYFUNCTION("""COMPUTED_VALUE"""),"United Kingdom")</f>
        <v>United Kingdom</v>
      </c>
      <c r="D16866">
        <f>IFERROR(__xludf.DUMMYFUNCTION("""COMPUTED_VALUE"""),1977.0)</f>
        <v>1977</v>
      </c>
      <c r="E16866">
        <f>IFERROR(__xludf.DUMMYFUNCTION("""COMPUTED_VALUE"""),5.626202E7)</f>
        <v>56262020</v>
      </c>
    </row>
    <row r="16867">
      <c r="A16867" t="str">
        <f t="shared" si="1"/>
        <v>gbr#1978</v>
      </c>
      <c r="B16867" t="str">
        <f>IFERROR(__xludf.DUMMYFUNCTION("""COMPUTED_VALUE"""),"gbr")</f>
        <v>gbr</v>
      </c>
      <c r="C16867" t="str">
        <f>IFERROR(__xludf.DUMMYFUNCTION("""COMPUTED_VALUE"""),"United Kingdom")</f>
        <v>United Kingdom</v>
      </c>
      <c r="D16867">
        <f>IFERROR(__xludf.DUMMYFUNCTION("""COMPUTED_VALUE"""),1978.0)</f>
        <v>1978</v>
      </c>
      <c r="E16867">
        <f>IFERROR(__xludf.DUMMYFUNCTION("""COMPUTED_VALUE"""),5.6263661E7)</f>
        <v>56263661</v>
      </c>
    </row>
    <row r="16868">
      <c r="A16868" t="str">
        <f t="shared" si="1"/>
        <v>gbr#1979</v>
      </c>
      <c r="B16868" t="str">
        <f>IFERROR(__xludf.DUMMYFUNCTION("""COMPUTED_VALUE"""),"gbr")</f>
        <v>gbr</v>
      </c>
      <c r="C16868" t="str">
        <f>IFERROR(__xludf.DUMMYFUNCTION("""COMPUTED_VALUE"""),"United Kingdom")</f>
        <v>United Kingdom</v>
      </c>
      <c r="D16868">
        <f>IFERROR(__xludf.DUMMYFUNCTION("""COMPUTED_VALUE"""),1979.0)</f>
        <v>1979</v>
      </c>
      <c r="E16868">
        <f>IFERROR(__xludf.DUMMYFUNCTION("""COMPUTED_VALUE"""),5.6262127E7)</f>
        <v>56262127</v>
      </c>
    </row>
    <row r="16869">
      <c r="A16869" t="str">
        <f t="shared" si="1"/>
        <v>gbr#1980</v>
      </c>
      <c r="B16869" t="str">
        <f>IFERROR(__xludf.DUMMYFUNCTION("""COMPUTED_VALUE"""),"gbr")</f>
        <v>gbr</v>
      </c>
      <c r="C16869" t="str">
        <f>IFERROR(__xludf.DUMMYFUNCTION("""COMPUTED_VALUE"""),"United Kingdom")</f>
        <v>United Kingdom</v>
      </c>
      <c r="D16869">
        <f>IFERROR(__xludf.DUMMYFUNCTION("""COMPUTED_VALUE"""),1980.0)</f>
        <v>1980</v>
      </c>
      <c r="E16869">
        <f>IFERROR(__xludf.DUMMYFUNCTION("""COMPUTED_VALUE"""),5.6265475E7)</f>
        <v>56265475</v>
      </c>
    </row>
    <row r="16870">
      <c r="A16870" t="str">
        <f t="shared" si="1"/>
        <v>gbr#1981</v>
      </c>
      <c r="B16870" t="str">
        <f>IFERROR(__xludf.DUMMYFUNCTION("""COMPUTED_VALUE"""),"gbr")</f>
        <v>gbr</v>
      </c>
      <c r="C16870" t="str">
        <f>IFERROR(__xludf.DUMMYFUNCTION("""COMPUTED_VALUE"""),"United Kingdom")</f>
        <v>United Kingdom</v>
      </c>
      <c r="D16870">
        <f>IFERROR(__xludf.DUMMYFUNCTION("""COMPUTED_VALUE"""),1981.0)</f>
        <v>1981</v>
      </c>
      <c r="E16870">
        <f>IFERROR(__xludf.DUMMYFUNCTION("""COMPUTED_VALUE"""),5.6276315E7)</f>
        <v>56276315</v>
      </c>
    </row>
    <row r="16871">
      <c r="A16871" t="str">
        <f t="shared" si="1"/>
        <v>gbr#1982</v>
      </c>
      <c r="B16871" t="str">
        <f>IFERROR(__xludf.DUMMYFUNCTION("""COMPUTED_VALUE"""),"gbr")</f>
        <v>gbr</v>
      </c>
      <c r="C16871" t="str">
        <f>IFERROR(__xludf.DUMMYFUNCTION("""COMPUTED_VALUE"""),"United Kingdom")</f>
        <v>United Kingdom</v>
      </c>
      <c r="D16871">
        <f>IFERROR(__xludf.DUMMYFUNCTION("""COMPUTED_VALUE"""),1982.0)</f>
        <v>1982</v>
      </c>
      <c r="E16871">
        <f>IFERROR(__xludf.DUMMYFUNCTION("""COMPUTED_VALUE"""),5.629624E7)</f>
        <v>56296240</v>
      </c>
    </row>
    <row r="16872">
      <c r="A16872" t="str">
        <f t="shared" si="1"/>
        <v>gbr#1983</v>
      </c>
      <c r="B16872" t="str">
        <f>IFERROR(__xludf.DUMMYFUNCTION("""COMPUTED_VALUE"""),"gbr")</f>
        <v>gbr</v>
      </c>
      <c r="C16872" t="str">
        <f>IFERROR(__xludf.DUMMYFUNCTION("""COMPUTED_VALUE"""),"United Kingdom")</f>
        <v>United Kingdom</v>
      </c>
      <c r="D16872">
        <f>IFERROR(__xludf.DUMMYFUNCTION("""COMPUTED_VALUE"""),1983.0)</f>
        <v>1983</v>
      </c>
      <c r="E16872">
        <f>IFERROR(__xludf.DUMMYFUNCTION("""COMPUTED_VALUE"""),5.6330877E7)</f>
        <v>56330877</v>
      </c>
    </row>
    <row r="16873">
      <c r="A16873" t="str">
        <f t="shared" si="1"/>
        <v>gbr#1984</v>
      </c>
      <c r="B16873" t="str">
        <f>IFERROR(__xludf.DUMMYFUNCTION("""COMPUTED_VALUE"""),"gbr")</f>
        <v>gbr</v>
      </c>
      <c r="C16873" t="str">
        <f>IFERROR(__xludf.DUMMYFUNCTION("""COMPUTED_VALUE"""),"United Kingdom")</f>
        <v>United Kingdom</v>
      </c>
      <c r="D16873">
        <f>IFERROR(__xludf.DUMMYFUNCTION("""COMPUTED_VALUE"""),1984.0)</f>
        <v>1984</v>
      </c>
      <c r="E16873">
        <f>IFERROR(__xludf.DUMMYFUNCTION("""COMPUTED_VALUE"""),5.6386226E7)</f>
        <v>56386226</v>
      </c>
    </row>
    <row r="16874">
      <c r="A16874" t="str">
        <f t="shared" si="1"/>
        <v>gbr#1985</v>
      </c>
      <c r="B16874" t="str">
        <f>IFERROR(__xludf.DUMMYFUNCTION("""COMPUTED_VALUE"""),"gbr")</f>
        <v>gbr</v>
      </c>
      <c r="C16874" t="str">
        <f>IFERROR(__xludf.DUMMYFUNCTION("""COMPUTED_VALUE"""),"United Kingdom")</f>
        <v>United Kingdom</v>
      </c>
      <c r="D16874">
        <f>IFERROR(__xludf.DUMMYFUNCTION("""COMPUTED_VALUE"""),1985.0)</f>
        <v>1985</v>
      </c>
      <c r="E16874">
        <f>IFERROR(__xludf.DUMMYFUNCTION("""COMPUTED_VALUE"""),5.6466131E7)</f>
        <v>56466131</v>
      </c>
    </row>
    <row r="16875">
      <c r="A16875" t="str">
        <f t="shared" si="1"/>
        <v>gbr#1986</v>
      </c>
      <c r="B16875" t="str">
        <f>IFERROR(__xludf.DUMMYFUNCTION("""COMPUTED_VALUE"""),"gbr")</f>
        <v>gbr</v>
      </c>
      <c r="C16875" t="str">
        <f>IFERROR(__xludf.DUMMYFUNCTION("""COMPUTED_VALUE"""),"United Kingdom")</f>
        <v>United Kingdom</v>
      </c>
      <c r="D16875">
        <f>IFERROR(__xludf.DUMMYFUNCTION("""COMPUTED_VALUE"""),1986.0)</f>
        <v>1986</v>
      </c>
      <c r="E16875">
        <f>IFERROR(__xludf.DUMMYFUNCTION("""COMPUTED_VALUE"""),5.657428E7)</f>
        <v>56574280</v>
      </c>
    </row>
    <row r="16876">
      <c r="A16876" t="str">
        <f t="shared" si="1"/>
        <v>gbr#1987</v>
      </c>
      <c r="B16876" t="str">
        <f>IFERROR(__xludf.DUMMYFUNCTION("""COMPUTED_VALUE"""),"gbr")</f>
        <v>gbr</v>
      </c>
      <c r="C16876" t="str">
        <f>IFERROR(__xludf.DUMMYFUNCTION("""COMPUTED_VALUE"""),"United Kingdom")</f>
        <v>United Kingdom</v>
      </c>
      <c r="D16876">
        <f>IFERROR(__xludf.DUMMYFUNCTION("""COMPUTED_VALUE"""),1987.0)</f>
        <v>1987</v>
      </c>
      <c r="E16876">
        <f>IFERROR(__xludf.DUMMYFUNCTION("""COMPUTED_VALUE"""),5.6709208E7)</f>
        <v>56709208</v>
      </c>
    </row>
    <row r="16877">
      <c r="A16877" t="str">
        <f t="shared" si="1"/>
        <v>gbr#1988</v>
      </c>
      <c r="B16877" t="str">
        <f>IFERROR(__xludf.DUMMYFUNCTION("""COMPUTED_VALUE"""),"gbr")</f>
        <v>gbr</v>
      </c>
      <c r="C16877" t="str">
        <f>IFERROR(__xludf.DUMMYFUNCTION("""COMPUTED_VALUE"""),"United Kingdom")</f>
        <v>United Kingdom</v>
      </c>
      <c r="D16877">
        <f>IFERROR(__xludf.DUMMYFUNCTION("""COMPUTED_VALUE"""),1988.0)</f>
        <v>1988</v>
      </c>
      <c r="E16877">
        <f>IFERROR(__xludf.DUMMYFUNCTION("""COMPUTED_VALUE"""),5.6862893E7)</f>
        <v>56862893</v>
      </c>
    </row>
    <row r="16878">
      <c r="A16878" t="str">
        <f t="shared" si="1"/>
        <v>gbr#1989</v>
      </c>
      <c r="B16878" t="str">
        <f>IFERROR(__xludf.DUMMYFUNCTION("""COMPUTED_VALUE"""),"gbr")</f>
        <v>gbr</v>
      </c>
      <c r="C16878" t="str">
        <f>IFERROR(__xludf.DUMMYFUNCTION("""COMPUTED_VALUE"""),"United Kingdom")</f>
        <v>United Kingdom</v>
      </c>
      <c r="D16878">
        <f>IFERROR(__xludf.DUMMYFUNCTION("""COMPUTED_VALUE"""),1989.0)</f>
        <v>1989</v>
      </c>
      <c r="E16878">
        <f>IFERROR(__xludf.DUMMYFUNCTION("""COMPUTED_VALUE"""),5.7023746E7)</f>
        <v>57023746</v>
      </c>
    </row>
    <row r="16879">
      <c r="A16879" t="str">
        <f t="shared" si="1"/>
        <v>gbr#1990</v>
      </c>
      <c r="B16879" t="str">
        <f>IFERROR(__xludf.DUMMYFUNCTION("""COMPUTED_VALUE"""),"gbr")</f>
        <v>gbr</v>
      </c>
      <c r="C16879" t="str">
        <f>IFERROR(__xludf.DUMMYFUNCTION("""COMPUTED_VALUE"""),"United Kingdom")</f>
        <v>United Kingdom</v>
      </c>
      <c r="D16879">
        <f>IFERROR(__xludf.DUMMYFUNCTION("""COMPUTED_VALUE"""),1990.0)</f>
        <v>1990</v>
      </c>
      <c r="E16879">
        <f>IFERROR(__xludf.DUMMYFUNCTION("""COMPUTED_VALUE"""),5.7183331E7)</f>
        <v>57183331</v>
      </c>
    </row>
    <row r="16880">
      <c r="A16880" t="str">
        <f t="shared" si="1"/>
        <v>gbr#1991</v>
      </c>
      <c r="B16880" t="str">
        <f>IFERROR(__xludf.DUMMYFUNCTION("""COMPUTED_VALUE"""),"gbr")</f>
        <v>gbr</v>
      </c>
      <c r="C16880" t="str">
        <f>IFERROR(__xludf.DUMMYFUNCTION("""COMPUTED_VALUE"""),"United Kingdom")</f>
        <v>United Kingdom</v>
      </c>
      <c r="D16880">
        <f>IFERROR(__xludf.DUMMYFUNCTION("""COMPUTED_VALUE"""),1991.0)</f>
        <v>1991</v>
      </c>
      <c r="E16880">
        <f>IFERROR(__xludf.DUMMYFUNCTION("""COMPUTED_VALUE"""),5.7339447E7)</f>
        <v>57339447</v>
      </c>
    </row>
    <row r="16881">
      <c r="A16881" t="str">
        <f t="shared" si="1"/>
        <v>gbr#1992</v>
      </c>
      <c r="B16881" t="str">
        <f>IFERROR(__xludf.DUMMYFUNCTION("""COMPUTED_VALUE"""),"gbr")</f>
        <v>gbr</v>
      </c>
      <c r="C16881" t="str">
        <f>IFERROR(__xludf.DUMMYFUNCTION("""COMPUTED_VALUE"""),"United Kingdom")</f>
        <v>United Kingdom</v>
      </c>
      <c r="D16881">
        <f>IFERROR(__xludf.DUMMYFUNCTION("""COMPUTED_VALUE"""),1992.0)</f>
        <v>1992</v>
      </c>
      <c r="E16881">
        <f>IFERROR(__xludf.DUMMYFUNCTION("""COMPUTED_VALUE"""),5.7494538E7)</f>
        <v>57494538</v>
      </c>
    </row>
    <row r="16882">
      <c r="A16882" t="str">
        <f t="shared" si="1"/>
        <v>gbr#1993</v>
      </c>
      <c r="B16882" t="str">
        <f>IFERROR(__xludf.DUMMYFUNCTION("""COMPUTED_VALUE"""),"gbr")</f>
        <v>gbr</v>
      </c>
      <c r="C16882" t="str">
        <f>IFERROR(__xludf.DUMMYFUNCTION("""COMPUTED_VALUE"""),"United Kingdom")</f>
        <v>United Kingdom</v>
      </c>
      <c r="D16882">
        <f>IFERROR(__xludf.DUMMYFUNCTION("""COMPUTED_VALUE"""),1993.0)</f>
        <v>1993</v>
      </c>
      <c r="E16882">
        <f>IFERROR(__xludf.DUMMYFUNCTION("""COMPUTED_VALUE"""),5.7650473E7)</f>
        <v>57650473</v>
      </c>
    </row>
    <row r="16883">
      <c r="A16883" t="str">
        <f t="shared" si="1"/>
        <v>gbr#1994</v>
      </c>
      <c r="B16883" t="str">
        <f>IFERROR(__xludf.DUMMYFUNCTION("""COMPUTED_VALUE"""),"gbr")</f>
        <v>gbr</v>
      </c>
      <c r="C16883" t="str">
        <f>IFERROR(__xludf.DUMMYFUNCTION("""COMPUTED_VALUE"""),"United Kingdom")</f>
        <v>United Kingdom</v>
      </c>
      <c r="D16883">
        <f>IFERROR(__xludf.DUMMYFUNCTION("""COMPUTED_VALUE"""),1994.0)</f>
        <v>1994</v>
      </c>
      <c r="E16883">
        <f>IFERROR(__xludf.DUMMYFUNCTION("""COMPUTED_VALUE"""),5.7810771E7)</f>
        <v>57810771</v>
      </c>
    </row>
    <row r="16884">
      <c r="A16884" t="str">
        <f t="shared" si="1"/>
        <v>gbr#1995</v>
      </c>
      <c r="B16884" t="str">
        <f>IFERROR(__xludf.DUMMYFUNCTION("""COMPUTED_VALUE"""),"gbr")</f>
        <v>gbr</v>
      </c>
      <c r="C16884" t="str">
        <f>IFERROR(__xludf.DUMMYFUNCTION("""COMPUTED_VALUE"""),"United Kingdom")</f>
        <v>United Kingdom</v>
      </c>
      <c r="D16884">
        <f>IFERROR(__xludf.DUMMYFUNCTION("""COMPUTED_VALUE"""),1995.0)</f>
        <v>1995</v>
      </c>
      <c r="E16884">
        <f>IFERROR(__xludf.DUMMYFUNCTION("""COMPUTED_VALUE"""),5.7978321E7)</f>
        <v>57978321</v>
      </c>
    </row>
    <row r="16885">
      <c r="A16885" t="str">
        <f t="shared" si="1"/>
        <v>gbr#1996</v>
      </c>
      <c r="B16885" t="str">
        <f>IFERROR(__xludf.DUMMYFUNCTION("""COMPUTED_VALUE"""),"gbr")</f>
        <v>gbr</v>
      </c>
      <c r="C16885" t="str">
        <f>IFERROR(__xludf.DUMMYFUNCTION("""COMPUTED_VALUE"""),"United Kingdom")</f>
        <v>United Kingdom</v>
      </c>
      <c r="D16885">
        <f>IFERROR(__xludf.DUMMYFUNCTION("""COMPUTED_VALUE"""),1996.0)</f>
        <v>1996</v>
      </c>
      <c r="E16885">
        <f>IFERROR(__xludf.DUMMYFUNCTION("""COMPUTED_VALUE"""),5.8156745E7)</f>
        <v>58156745</v>
      </c>
    </row>
    <row r="16886">
      <c r="A16886" t="str">
        <f t="shared" si="1"/>
        <v>gbr#1997</v>
      </c>
      <c r="B16886" t="str">
        <f>IFERROR(__xludf.DUMMYFUNCTION("""COMPUTED_VALUE"""),"gbr")</f>
        <v>gbr</v>
      </c>
      <c r="C16886" t="str">
        <f>IFERROR(__xludf.DUMMYFUNCTION("""COMPUTED_VALUE"""),"United Kingdom")</f>
        <v>United Kingdom</v>
      </c>
      <c r="D16886">
        <f>IFERROR(__xludf.DUMMYFUNCTION("""COMPUTED_VALUE"""),1997.0)</f>
        <v>1997</v>
      </c>
      <c r="E16886">
        <f>IFERROR(__xludf.DUMMYFUNCTION("""COMPUTED_VALUE"""),5.8346673E7)</f>
        <v>58346673</v>
      </c>
    </row>
    <row r="16887">
      <c r="A16887" t="str">
        <f t="shared" si="1"/>
        <v>gbr#1998</v>
      </c>
      <c r="B16887" t="str">
        <f>IFERROR(__xludf.DUMMYFUNCTION("""COMPUTED_VALUE"""),"gbr")</f>
        <v>gbr</v>
      </c>
      <c r="C16887" t="str">
        <f>IFERROR(__xludf.DUMMYFUNCTION("""COMPUTED_VALUE"""),"United Kingdom")</f>
        <v>United Kingdom</v>
      </c>
      <c r="D16887">
        <f>IFERROR(__xludf.DUMMYFUNCTION("""COMPUTED_VALUE"""),1998.0)</f>
        <v>1998</v>
      </c>
      <c r="E16887">
        <f>IFERROR(__xludf.DUMMYFUNCTION("""COMPUTED_VALUE"""),5.8544938E7)</f>
        <v>58544938</v>
      </c>
    </row>
    <row r="16888">
      <c r="A16888" t="str">
        <f t="shared" si="1"/>
        <v>gbr#1999</v>
      </c>
      <c r="B16888" t="str">
        <f>IFERROR(__xludf.DUMMYFUNCTION("""COMPUTED_VALUE"""),"gbr")</f>
        <v>gbr</v>
      </c>
      <c r="C16888" t="str">
        <f>IFERROR(__xludf.DUMMYFUNCTION("""COMPUTED_VALUE"""),"United Kingdom")</f>
        <v>United Kingdom</v>
      </c>
      <c r="D16888">
        <f>IFERROR(__xludf.DUMMYFUNCTION("""COMPUTED_VALUE"""),1999.0)</f>
        <v>1999</v>
      </c>
      <c r="E16888">
        <f>IFERROR(__xludf.DUMMYFUNCTION("""COMPUTED_VALUE"""),5.8746728E7)</f>
        <v>58746728</v>
      </c>
    </row>
    <row r="16889">
      <c r="A16889" t="str">
        <f t="shared" si="1"/>
        <v>gbr#2000</v>
      </c>
      <c r="B16889" t="str">
        <f>IFERROR(__xludf.DUMMYFUNCTION("""COMPUTED_VALUE"""),"gbr")</f>
        <v>gbr</v>
      </c>
      <c r="C16889" t="str">
        <f>IFERROR(__xludf.DUMMYFUNCTION("""COMPUTED_VALUE"""),"United Kingdom")</f>
        <v>United Kingdom</v>
      </c>
      <c r="D16889">
        <f>IFERROR(__xludf.DUMMYFUNCTION("""COMPUTED_VALUE"""),2000.0)</f>
        <v>2000</v>
      </c>
      <c r="E16889">
        <f>IFERROR(__xludf.DUMMYFUNCTION("""COMPUTED_VALUE"""),5.8950848E7)</f>
        <v>58950848</v>
      </c>
    </row>
    <row r="16890">
      <c r="A16890" t="str">
        <f t="shared" si="1"/>
        <v>gbr#2001</v>
      </c>
      <c r="B16890" t="str">
        <f>IFERROR(__xludf.DUMMYFUNCTION("""COMPUTED_VALUE"""),"gbr")</f>
        <v>gbr</v>
      </c>
      <c r="C16890" t="str">
        <f>IFERROR(__xludf.DUMMYFUNCTION("""COMPUTED_VALUE"""),"United Kingdom")</f>
        <v>United Kingdom</v>
      </c>
      <c r="D16890">
        <f>IFERROR(__xludf.DUMMYFUNCTION("""COMPUTED_VALUE"""),2001.0)</f>
        <v>2001</v>
      </c>
      <c r="E16890">
        <f>IFERROR(__xludf.DUMMYFUNCTION("""COMPUTED_VALUE"""),5.9149343E7)</f>
        <v>59149343</v>
      </c>
    </row>
    <row r="16891">
      <c r="A16891" t="str">
        <f t="shared" si="1"/>
        <v>gbr#2002</v>
      </c>
      <c r="B16891" t="str">
        <f>IFERROR(__xludf.DUMMYFUNCTION("""COMPUTED_VALUE"""),"gbr")</f>
        <v>gbr</v>
      </c>
      <c r="C16891" t="str">
        <f>IFERROR(__xludf.DUMMYFUNCTION("""COMPUTED_VALUE"""),"United Kingdom")</f>
        <v>United Kingdom</v>
      </c>
      <c r="D16891">
        <f>IFERROR(__xludf.DUMMYFUNCTION("""COMPUTED_VALUE"""),2002.0)</f>
        <v>2002</v>
      </c>
      <c r="E16891">
        <f>IFERROR(__xludf.DUMMYFUNCTION("""COMPUTED_VALUE"""),5.9348953E7)</f>
        <v>59348953</v>
      </c>
    </row>
    <row r="16892">
      <c r="A16892" t="str">
        <f t="shared" si="1"/>
        <v>gbr#2003</v>
      </c>
      <c r="B16892" t="str">
        <f>IFERROR(__xludf.DUMMYFUNCTION("""COMPUTED_VALUE"""),"gbr")</f>
        <v>gbr</v>
      </c>
      <c r="C16892" t="str">
        <f>IFERROR(__xludf.DUMMYFUNCTION("""COMPUTED_VALUE"""),"United Kingdom")</f>
        <v>United Kingdom</v>
      </c>
      <c r="D16892">
        <f>IFERROR(__xludf.DUMMYFUNCTION("""COMPUTED_VALUE"""),2003.0)</f>
        <v>2003</v>
      </c>
      <c r="E16892">
        <f>IFERROR(__xludf.DUMMYFUNCTION("""COMPUTED_VALUE"""),5.9580222E7)</f>
        <v>59580222</v>
      </c>
    </row>
    <row r="16893">
      <c r="A16893" t="str">
        <f t="shared" si="1"/>
        <v>gbr#2004</v>
      </c>
      <c r="B16893" t="str">
        <f>IFERROR(__xludf.DUMMYFUNCTION("""COMPUTED_VALUE"""),"gbr")</f>
        <v>gbr</v>
      </c>
      <c r="C16893" t="str">
        <f>IFERROR(__xludf.DUMMYFUNCTION("""COMPUTED_VALUE"""),"United Kingdom")</f>
        <v>United Kingdom</v>
      </c>
      <c r="D16893">
        <f>IFERROR(__xludf.DUMMYFUNCTION("""COMPUTED_VALUE"""),2004.0)</f>
        <v>2004</v>
      </c>
      <c r="E16893">
        <f>IFERROR(__xludf.DUMMYFUNCTION("""COMPUTED_VALUE"""),5.9884128E7)</f>
        <v>59884128</v>
      </c>
    </row>
    <row r="16894">
      <c r="A16894" t="str">
        <f t="shared" si="1"/>
        <v>gbr#2005</v>
      </c>
      <c r="B16894" t="str">
        <f>IFERROR(__xludf.DUMMYFUNCTION("""COMPUTED_VALUE"""),"gbr")</f>
        <v>gbr</v>
      </c>
      <c r="C16894" t="str">
        <f>IFERROR(__xludf.DUMMYFUNCTION("""COMPUTED_VALUE"""),"United Kingdom")</f>
        <v>United Kingdom</v>
      </c>
      <c r="D16894">
        <f>IFERROR(__xludf.DUMMYFUNCTION("""COMPUTED_VALUE"""),2005.0)</f>
        <v>2005</v>
      </c>
      <c r="E16894">
        <f>IFERROR(__xludf.DUMMYFUNCTION("""COMPUTED_VALUE"""),6.0286754E7)</f>
        <v>60286754</v>
      </c>
    </row>
    <row r="16895">
      <c r="A16895" t="str">
        <f t="shared" si="1"/>
        <v>gbr#2006</v>
      </c>
      <c r="B16895" t="str">
        <f>IFERROR(__xludf.DUMMYFUNCTION("""COMPUTED_VALUE"""),"gbr")</f>
        <v>gbr</v>
      </c>
      <c r="C16895" t="str">
        <f>IFERROR(__xludf.DUMMYFUNCTION("""COMPUTED_VALUE"""),"United Kingdom")</f>
        <v>United Kingdom</v>
      </c>
      <c r="D16895">
        <f>IFERROR(__xludf.DUMMYFUNCTION("""COMPUTED_VALUE"""),2006.0)</f>
        <v>2006</v>
      </c>
      <c r="E16895">
        <f>IFERROR(__xludf.DUMMYFUNCTION("""COMPUTED_VALUE"""),6.0802801E7)</f>
        <v>60802801</v>
      </c>
    </row>
    <row r="16896">
      <c r="A16896" t="str">
        <f t="shared" si="1"/>
        <v>gbr#2007</v>
      </c>
      <c r="B16896" t="str">
        <f>IFERROR(__xludf.DUMMYFUNCTION("""COMPUTED_VALUE"""),"gbr")</f>
        <v>gbr</v>
      </c>
      <c r="C16896" t="str">
        <f>IFERROR(__xludf.DUMMYFUNCTION("""COMPUTED_VALUE"""),"United Kingdom")</f>
        <v>United Kingdom</v>
      </c>
      <c r="D16896">
        <f>IFERROR(__xludf.DUMMYFUNCTION("""COMPUTED_VALUE"""),2007.0)</f>
        <v>2007</v>
      </c>
      <c r="E16896">
        <f>IFERROR(__xludf.DUMMYFUNCTION("""COMPUTED_VALUE"""),6.141466E7)</f>
        <v>61414660</v>
      </c>
    </row>
    <row r="16897">
      <c r="A16897" t="str">
        <f t="shared" si="1"/>
        <v>gbr#2008</v>
      </c>
      <c r="B16897" t="str">
        <f>IFERROR(__xludf.DUMMYFUNCTION("""COMPUTED_VALUE"""),"gbr")</f>
        <v>gbr</v>
      </c>
      <c r="C16897" t="str">
        <f>IFERROR(__xludf.DUMMYFUNCTION("""COMPUTED_VALUE"""),"United Kingdom")</f>
        <v>United Kingdom</v>
      </c>
      <c r="D16897">
        <f>IFERROR(__xludf.DUMMYFUNCTION("""COMPUTED_VALUE"""),2008.0)</f>
        <v>2008</v>
      </c>
      <c r="E16897">
        <f>IFERROR(__xludf.DUMMYFUNCTION("""COMPUTED_VALUE"""),6.2076221E7)</f>
        <v>62076221</v>
      </c>
    </row>
    <row r="16898">
      <c r="A16898" t="str">
        <f t="shared" si="1"/>
        <v>gbr#2009</v>
      </c>
      <c r="B16898" t="str">
        <f>IFERROR(__xludf.DUMMYFUNCTION("""COMPUTED_VALUE"""),"gbr")</f>
        <v>gbr</v>
      </c>
      <c r="C16898" t="str">
        <f>IFERROR(__xludf.DUMMYFUNCTION("""COMPUTED_VALUE"""),"United Kingdom")</f>
        <v>United Kingdom</v>
      </c>
      <c r="D16898">
        <f>IFERROR(__xludf.DUMMYFUNCTION("""COMPUTED_VALUE"""),2009.0)</f>
        <v>2009</v>
      </c>
      <c r="E16898">
        <f>IFERROR(__xludf.DUMMYFUNCTION("""COMPUTED_VALUE"""),6.2722607E7)</f>
        <v>62722607</v>
      </c>
    </row>
    <row r="16899">
      <c r="A16899" t="str">
        <f t="shared" si="1"/>
        <v>gbr#2010</v>
      </c>
      <c r="B16899" t="str">
        <f>IFERROR(__xludf.DUMMYFUNCTION("""COMPUTED_VALUE"""),"gbr")</f>
        <v>gbr</v>
      </c>
      <c r="C16899" t="str">
        <f>IFERROR(__xludf.DUMMYFUNCTION("""COMPUTED_VALUE"""),"United Kingdom")</f>
        <v>United Kingdom</v>
      </c>
      <c r="D16899">
        <f>IFERROR(__xludf.DUMMYFUNCTION("""COMPUTED_VALUE"""),2010.0)</f>
        <v>2010</v>
      </c>
      <c r="E16899">
        <f>IFERROR(__xludf.DUMMYFUNCTION("""COMPUTED_VALUE"""),6.3306843E7)</f>
        <v>63306843</v>
      </c>
    </row>
    <row r="16900">
      <c r="A16900" t="str">
        <f t="shared" si="1"/>
        <v>gbr#2011</v>
      </c>
      <c r="B16900" t="str">
        <f>IFERROR(__xludf.DUMMYFUNCTION("""COMPUTED_VALUE"""),"gbr")</f>
        <v>gbr</v>
      </c>
      <c r="C16900" t="str">
        <f>IFERROR(__xludf.DUMMYFUNCTION("""COMPUTED_VALUE"""),"United Kingdom")</f>
        <v>United Kingdom</v>
      </c>
      <c r="D16900">
        <f>IFERROR(__xludf.DUMMYFUNCTION("""COMPUTED_VALUE"""),2011.0)</f>
        <v>2011</v>
      </c>
      <c r="E16900">
        <f>IFERROR(__xludf.DUMMYFUNCTION("""COMPUTED_VALUE"""),6.3811882E7)</f>
        <v>63811882</v>
      </c>
    </row>
    <row r="16901">
      <c r="A16901" t="str">
        <f t="shared" si="1"/>
        <v>gbr#2012</v>
      </c>
      <c r="B16901" t="str">
        <f>IFERROR(__xludf.DUMMYFUNCTION("""COMPUTED_VALUE"""),"gbr")</f>
        <v>gbr</v>
      </c>
      <c r="C16901" t="str">
        <f>IFERROR(__xludf.DUMMYFUNCTION("""COMPUTED_VALUE"""),"United Kingdom")</f>
        <v>United Kingdom</v>
      </c>
      <c r="D16901">
        <f>IFERROR(__xludf.DUMMYFUNCTION("""COMPUTED_VALUE"""),2012.0)</f>
        <v>2012</v>
      </c>
      <c r="E16901">
        <f>IFERROR(__xludf.DUMMYFUNCTION("""COMPUTED_VALUE"""),6.425033E7)</f>
        <v>64250330</v>
      </c>
    </row>
    <row r="16902">
      <c r="A16902" t="str">
        <f t="shared" si="1"/>
        <v>gbr#2013</v>
      </c>
      <c r="B16902" t="str">
        <f>IFERROR(__xludf.DUMMYFUNCTION("""COMPUTED_VALUE"""),"gbr")</f>
        <v>gbr</v>
      </c>
      <c r="C16902" t="str">
        <f>IFERROR(__xludf.DUMMYFUNCTION("""COMPUTED_VALUE"""),"United Kingdom")</f>
        <v>United Kingdom</v>
      </c>
      <c r="D16902">
        <f>IFERROR(__xludf.DUMMYFUNCTION("""COMPUTED_VALUE"""),2013.0)</f>
        <v>2013</v>
      </c>
      <c r="E16902">
        <f>IFERROR(__xludf.DUMMYFUNCTION("""COMPUTED_VALUE"""),6.464111E7)</f>
        <v>64641110</v>
      </c>
    </row>
    <row r="16903">
      <c r="A16903" t="str">
        <f t="shared" si="1"/>
        <v>gbr#2014</v>
      </c>
      <c r="B16903" t="str">
        <f>IFERROR(__xludf.DUMMYFUNCTION("""COMPUTED_VALUE"""),"gbr")</f>
        <v>gbr</v>
      </c>
      <c r="C16903" t="str">
        <f>IFERROR(__xludf.DUMMYFUNCTION("""COMPUTED_VALUE"""),"United Kingdom")</f>
        <v>United Kingdom</v>
      </c>
      <c r="D16903">
        <f>IFERROR(__xludf.DUMMYFUNCTION("""COMPUTED_VALUE"""),2014.0)</f>
        <v>2014</v>
      </c>
      <c r="E16903">
        <f>IFERROR(__xludf.DUMMYFUNCTION("""COMPUTED_VALUE"""),6.5015686E7)</f>
        <v>65015686</v>
      </c>
    </row>
    <row r="16904">
      <c r="A16904" t="str">
        <f t="shared" si="1"/>
        <v>gbr#2015</v>
      </c>
      <c r="B16904" t="str">
        <f>IFERROR(__xludf.DUMMYFUNCTION("""COMPUTED_VALUE"""),"gbr")</f>
        <v>gbr</v>
      </c>
      <c r="C16904" t="str">
        <f>IFERROR(__xludf.DUMMYFUNCTION("""COMPUTED_VALUE"""),"United Kingdom")</f>
        <v>United Kingdom</v>
      </c>
      <c r="D16904">
        <f>IFERROR(__xludf.DUMMYFUNCTION("""COMPUTED_VALUE"""),2015.0)</f>
        <v>2015</v>
      </c>
      <c r="E16904">
        <f>IFERROR(__xludf.DUMMYFUNCTION("""COMPUTED_VALUE"""),6.539708E7)</f>
        <v>65397080</v>
      </c>
    </row>
    <row r="16905">
      <c r="A16905" t="str">
        <f t="shared" si="1"/>
        <v>gbr#2016</v>
      </c>
      <c r="B16905" t="str">
        <f>IFERROR(__xludf.DUMMYFUNCTION("""COMPUTED_VALUE"""),"gbr")</f>
        <v>gbr</v>
      </c>
      <c r="C16905" t="str">
        <f>IFERROR(__xludf.DUMMYFUNCTION("""COMPUTED_VALUE"""),"United Kingdom")</f>
        <v>United Kingdom</v>
      </c>
      <c r="D16905">
        <f>IFERROR(__xludf.DUMMYFUNCTION("""COMPUTED_VALUE"""),2016.0)</f>
        <v>2016</v>
      </c>
      <c r="E16905">
        <f>IFERROR(__xludf.DUMMYFUNCTION("""COMPUTED_VALUE"""),6.5788574E7)</f>
        <v>65788574</v>
      </c>
    </row>
    <row r="16906">
      <c r="A16906" t="str">
        <f t="shared" si="1"/>
        <v>gbr#2017</v>
      </c>
      <c r="B16906" t="str">
        <f>IFERROR(__xludf.DUMMYFUNCTION("""COMPUTED_VALUE"""),"gbr")</f>
        <v>gbr</v>
      </c>
      <c r="C16906" t="str">
        <f>IFERROR(__xludf.DUMMYFUNCTION("""COMPUTED_VALUE"""),"United Kingdom")</f>
        <v>United Kingdom</v>
      </c>
      <c r="D16906">
        <f>IFERROR(__xludf.DUMMYFUNCTION("""COMPUTED_VALUE"""),2017.0)</f>
        <v>2017</v>
      </c>
      <c r="E16906">
        <f>IFERROR(__xludf.DUMMYFUNCTION("""COMPUTED_VALUE"""),6.6181585E7)</f>
        <v>66181585</v>
      </c>
    </row>
    <row r="16907">
      <c r="A16907" t="str">
        <f t="shared" si="1"/>
        <v>gbr#2018</v>
      </c>
      <c r="B16907" t="str">
        <f>IFERROR(__xludf.DUMMYFUNCTION("""COMPUTED_VALUE"""),"gbr")</f>
        <v>gbr</v>
      </c>
      <c r="C16907" t="str">
        <f>IFERROR(__xludf.DUMMYFUNCTION("""COMPUTED_VALUE"""),"United Kingdom")</f>
        <v>United Kingdom</v>
      </c>
      <c r="D16907">
        <f>IFERROR(__xludf.DUMMYFUNCTION("""COMPUTED_VALUE"""),2018.0)</f>
        <v>2018</v>
      </c>
      <c r="E16907">
        <f>IFERROR(__xludf.DUMMYFUNCTION("""COMPUTED_VALUE"""),6.6573504E7)</f>
        <v>66573504</v>
      </c>
    </row>
    <row r="16908">
      <c r="A16908" t="str">
        <f t="shared" si="1"/>
        <v>gbr#2019</v>
      </c>
      <c r="B16908" t="str">
        <f>IFERROR(__xludf.DUMMYFUNCTION("""COMPUTED_VALUE"""),"gbr")</f>
        <v>gbr</v>
      </c>
      <c r="C16908" t="str">
        <f>IFERROR(__xludf.DUMMYFUNCTION("""COMPUTED_VALUE"""),"United Kingdom")</f>
        <v>United Kingdom</v>
      </c>
      <c r="D16908">
        <f>IFERROR(__xludf.DUMMYFUNCTION("""COMPUTED_VALUE"""),2019.0)</f>
        <v>2019</v>
      </c>
      <c r="E16908">
        <f>IFERROR(__xludf.DUMMYFUNCTION("""COMPUTED_VALUE"""),6.6959016E7)</f>
        <v>66959016</v>
      </c>
    </row>
    <row r="16909">
      <c r="A16909" t="str">
        <f t="shared" si="1"/>
        <v>gbr#2020</v>
      </c>
      <c r="B16909" t="str">
        <f>IFERROR(__xludf.DUMMYFUNCTION("""COMPUTED_VALUE"""),"gbr")</f>
        <v>gbr</v>
      </c>
      <c r="C16909" t="str">
        <f>IFERROR(__xludf.DUMMYFUNCTION("""COMPUTED_VALUE"""),"United Kingdom")</f>
        <v>United Kingdom</v>
      </c>
      <c r="D16909">
        <f>IFERROR(__xludf.DUMMYFUNCTION("""COMPUTED_VALUE"""),2020.0)</f>
        <v>2020</v>
      </c>
      <c r="E16909">
        <f>IFERROR(__xludf.DUMMYFUNCTION("""COMPUTED_VALUE"""),6.7334208E7)</f>
        <v>67334208</v>
      </c>
    </row>
    <row r="16910">
      <c r="A16910" t="str">
        <f t="shared" si="1"/>
        <v>gbr#2021</v>
      </c>
      <c r="B16910" t="str">
        <f>IFERROR(__xludf.DUMMYFUNCTION("""COMPUTED_VALUE"""),"gbr")</f>
        <v>gbr</v>
      </c>
      <c r="C16910" t="str">
        <f>IFERROR(__xludf.DUMMYFUNCTION("""COMPUTED_VALUE"""),"United Kingdom")</f>
        <v>United Kingdom</v>
      </c>
      <c r="D16910">
        <f>IFERROR(__xludf.DUMMYFUNCTION("""COMPUTED_VALUE"""),2021.0)</f>
        <v>2021</v>
      </c>
      <c r="E16910">
        <f>IFERROR(__xludf.DUMMYFUNCTION("""COMPUTED_VALUE"""),6.7699483E7)</f>
        <v>67699483</v>
      </c>
    </row>
    <row r="16911">
      <c r="A16911" t="str">
        <f t="shared" si="1"/>
        <v>gbr#2022</v>
      </c>
      <c r="B16911" t="str">
        <f>IFERROR(__xludf.DUMMYFUNCTION("""COMPUTED_VALUE"""),"gbr")</f>
        <v>gbr</v>
      </c>
      <c r="C16911" t="str">
        <f>IFERROR(__xludf.DUMMYFUNCTION("""COMPUTED_VALUE"""),"United Kingdom")</f>
        <v>United Kingdom</v>
      </c>
      <c r="D16911">
        <f>IFERROR(__xludf.DUMMYFUNCTION("""COMPUTED_VALUE"""),2022.0)</f>
        <v>2022</v>
      </c>
      <c r="E16911">
        <f>IFERROR(__xludf.DUMMYFUNCTION("""COMPUTED_VALUE"""),6.8056781E7)</f>
        <v>68056781</v>
      </c>
    </row>
    <row r="16912">
      <c r="A16912" t="str">
        <f t="shared" si="1"/>
        <v>gbr#2023</v>
      </c>
      <c r="B16912" t="str">
        <f>IFERROR(__xludf.DUMMYFUNCTION("""COMPUTED_VALUE"""),"gbr")</f>
        <v>gbr</v>
      </c>
      <c r="C16912" t="str">
        <f>IFERROR(__xludf.DUMMYFUNCTION("""COMPUTED_VALUE"""),"United Kingdom")</f>
        <v>United Kingdom</v>
      </c>
      <c r="D16912">
        <f>IFERROR(__xludf.DUMMYFUNCTION("""COMPUTED_VALUE"""),2023.0)</f>
        <v>2023</v>
      </c>
      <c r="E16912">
        <f>IFERROR(__xludf.DUMMYFUNCTION("""COMPUTED_VALUE"""),6.840545E7)</f>
        <v>68405450</v>
      </c>
    </row>
    <row r="16913">
      <c r="A16913" t="str">
        <f t="shared" si="1"/>
        <v>gbr#2024</v>
      </c>
      <c r="B16913" t="str">
        <f>IFERROR(__xludf.DUMMYFUNCTION("""COMPUTED_VALUE"""),"gbr")</f>
        <v>gbr</v>
      </c>
      <c r="C16913" t="str">
        <f>IFERROR(__xludf.DUMMYFUNCTION("""COMPUTED_VALUE"""),"United Kingdom")</f>
        <v>United Kingdom</v>
      </c>
      <c r="D16913">
        <f>IFERROR(__xludf.DUMMYFUNCTION("""COMPUTED_VALUE"""),2024.0)</f>
        <v>2024</v>
      </c>
      <c r="E16913">
        <f>IFERROR(__xludf.DUMMYFUNCTION("""COMPUTED_VALUE"""),6.8744697E7)</f>
        <v>68744697</v>
      </c>
    </row>
    <row r="16914">
      <c r="A16914" t="str">
        <f t="shared" si="1"/>
        <v>gbr#2025</v>
      </c>
      <c r="B16914" t="str">
        <f>IFERROR(__xludf.DUMMYFUNCTION("""COMPUTED_VALUE"""),"gbr")</f>
        <v>gbr</v>
      </c>
      <c r="C16914" t="str">
        <f>IFERROR(__xludf.DUMMYFUNCTION("""COMPUTED_VALUE"""),"United Kingdom")</f>
        <v>United Kingdom</v>
      </c>
      <c r="D16914">
        <f>IFERROR(__xludf.DUMMYFUNCTION("""COMPUTED_VALUE"""),2025.0)</f>
        <v>2025</v>
      </c>
      <c r="E16914">
        <f>IFERROR(__xludf.DUMMYFUNCTION("""COMPUTED_VALUE"""),6.9074025E7)</f>
        <v>69074025</v>
      </c>
    </row>
    <row r="16915">
      <c r="A16915" t="str">
        <f t="shared" si="1"/>
        <v>gbr#2026</v>
      </c>
      <c r="B16915" t="str">
        <f>IFERROR(__xludf.DUMMYFUNCTION("""COMPUTED_VALUE"""),"gbr")</f>
        <v>gbr</v>
      </c>
      <c r="C16915" t="str">
        <f>IFERROR(__xludf.DUMMYFUNCTION("""COMPUTED_VALUE"""),"United Kingdom")</f>
        <v>United Kingdom</v>
      </c>
      <c r="D16915">
        <f>IFERROR(__xludf.DUMMYFUNCTION("""COMPUTED_VALUE"""),2026.0)</f>
        <v>2026</v>
      </c>
      <c r="E16915">
        <f>IFERROR(__xludf.DUMMYFUNCTION("""COMPUTED_VALUE"""),6.9393333E7)</f>
        <v>69393333</v>
      </c>
    </row>
    <row r="16916">
      <c r="A16916" t="str">
        <f t="shared" si="1"/>
        <v>gbr#2027</v>
      </c>
      <c r="B16916" t="str">
        <f>IFERROR(__xludf.DUMMYFUNCTION("""COMPUTED_VALUE"""),"gbr")</f>
        <v>gbr</v>
      </c>
      <c r="C16916" t="str">
        <f>IFERROR(__xludf.DUMMYFUNCTION("""COMPUTED_VALUE"""),"United Kingdom")</f>
        <v>United Kingdom</v>
      </c>
      <c r="D16916">
        <f>IFERROR(__xludf.DUMMYFUNCTION("""COMPUTED_VALUE"""),2027.0)</f>
        <v>2027</v>
      </c>
      <c r="E16916">
        <f>IFERROR(__xludf.DUMMYFUNCTION("""COMPUTED_VALUE"""),6.970292E7)</f>
        <v>69702920</v>
      </c>
    </row>
    <row r="16917">
      <c r="A16917" t="str">
        <f t="shared" si="1"/>
        <v>gbr#2028</v>
      </c>
      <c r="B16917" t="str">
        <f>IFERROR(__xludf.DUMMYFUNCTION("""COMPUTED_VALUE"""),"gbr")</f>
        <v>gbr</v>
      </c>
      <c r="C16917" t="str">
        <f>IFERROR(__xludf.DUMMYFUNCTION("""COMPUTED_VALUE"""),"United Kingdom")</f>
        <v>United Kingdom</v>
      </c>
      <c r="D16917">
        <f>IFERROR(__xludf.DUMMYFUNCTION("""COMPUTED_VALUE"""),2028.0)</f>
        <v>2028</v>
      </c>
      <c r="E16917">
        <f>IFERROR(__xludf.DUMMYFUNCTION("""COMPUTED_VALUE"""),7.0003244E7)</f>
        <v>70003244</v>
      </c>
    </row>
    <row r="16918">
      <c r="A16918" t="str">
        <f t="shared" si="1"/>
        <v>gbr#2029</v>
      </c>
      <c r="B16918" t="str">
        <f>IFERROR(__xludf.DUMMYFUNCTION("""COMPUTED_VALUE"""),"gbr")</f>
        <v>gbr</v>
      </c>
      <c r="C16918" t="str">
        <f>IFERROR(__xludf.DUMMYFUNCTION("""COMPUTED_VALUE"""),"United Kingdom")</f>
        <v>United Kingdom</v>
      </c>
      <c r="D16918">
        <f>IFERROR(__xludf.DUMMYFUNCTION("""COMPUTED_VALUE"""),2029.0)</f>
        <v>2029</v>
      </c>
      <c r="E16918">
        <f>IFERROR(__xludf.DUMMYFUNCTION("""COMPUTED_VALUE"""),7.0294922E7)</f>
        <v>70294922</v>
      </c>
    </row>
    <row r="16919">
      <c r="A16919" t="str">
        <f t="shared" si="1"/>
        <v>gbr#2030</v>
      </c>
      <c r="B16919" t="str">
        <f>IFERROR(__xludf.DUMMYFUNCTION("""COMPUTED_VALUE"""),"gbr")</f>
        <v>gbr</v>
      </c>
      <c r="C16919" t="str">
        <f>IFERROR(__xludf.DUMMYFUNCTION("""COMPUTED_VALUE"""),"United Kingdom")</f>
        <v>United Kingdom</v>
      </c>
      <c r="D16919">
        <f>IFERROR(__xludf.DUMMYFUNCTION("""COMPUTED_VALUE"""),2030.0)</f>
        <v>2030</v>
      </c>
      <c r="E16919">
        <f>IFERROR(__xludf.DUMMYFUNCTION("""COMPUTED_VALUE"""),7.0578614E7)</f>
        <v>70578614</v>
      </c>
    </row>
    <row r="16920">
      <c r="A16920" t="str">
        <f t="shared" si="1"/>
        <v>gbr#2031</v>
      </c>
      <c r="B16920" t="str">
        <f>IFERROR(__xludf.DUMMYFUNCTION("""COMPUTED_VALUE"""),"gbr")</f>
        <v>gbr</v>
      </c>
      <c r="C16920" t="str">
        <f>IFERROR(__xludf.DUMMYFUNCTION("""COMPUTED_VALUE"""),"United Kingdom")</f>
        <v>United Kingdom</v>
      </c>
      <c r="D16920">
        <f>IFERROR(__xludf.DUMMYFUNCTION("""COMPUTED_VALUE"""),2031.0)</f>
        <v>2031</v>
      </c>
      <c r="E16920">
        <f>IFERROR(__xludf.DUMMYFUNCTION("""COMPUTED_VALUE"""),7.0854542E7)</f>
        <v>70854542</v>
      </c>
    </row>
    <row r="16921">
      <c r="A16921" t="str">
        <f t="shared" si="1"/>
        <v>gbr#2032</v>
      </c>
      <c r="B16921" t="str">
        <f>IFERROR(__xludf.DUMMYFUNCTION("""COMPUTED_VALUE"""),"gbr")</f>
        <v>gbr</v>
      </c>
      <c r="C16921" t="str">
        <f>IFERROR(__xludf.DUMMYFUNCTION("""COMPUTED_VALUE"""),"United Kingdom")</f>
        <v>United Kingdom</v>
      </c>
      <c r="D16921">
        <f>IFERROR(__xludf.DUMMYFUNCTION("""COMPUTED_VALUE"""),2032.0)</f>
        <v>2032</v>
      </c>
      <c r="E16921">
        <f>IFERROR(__xludf.DUMMYFUNCTION("""COMPUTED_VALUE"""),7.1123165E7)</f>
        <v>71123165</v>
      </c>
    </row>
    <row r="16922">
      <c r="A16922" t="str">
        <f t="shared" si="1"/>
        <v>gbr#2033</v>
      </c>
      <c r="B16922" t="str">
        <f>IFERROR(__xludf.DUMMYFUNCTION("""COMPUTED_VALUE"""),"gbr")</f>
        <v>gbr</v>
      </c>
      <c r="C16922" t="str">
        <f>IFERROR(__xludf.DUMMYFUNCTION("""COMPUTED_VALUE"""),"United Kingdom")</f>
        <v>United Kingdom</v>
      </c>
      <c r="D16922">
        <f>IFERROR(__xludf.DUMMYFUNCTION("""COMPUTED_VALUE"""),2033.0)</f>
        <v>2033</v>
      </c>
      <c r="E16922">
        <f>IFERROR(__xludf.DUMMYFUNCTION("""COMPUTED_VALUE"""),7.1385607E7)</f>
        <v>71385607</v>
      </c>
    </row>
    <row r="16923">
      <c r="A16923" t="str">
        <f t="shared" si="1"/>
        <v>gbr#2034</v>
      </c>
      <c r="B16923" t="str">
        <f>IFERROR(__xludf.DUMMYFUNCTION("""COMPUTED_VALUE"""),"gbr")</f>
        <v>gbr</v>
      </c>
      <c r="C16923" t="str">
        <f>IFERROR(__xludf.DUMMYFUNCTION("""COMPUTED_VALUE"""),"United Kingdom")</f>
        <v>United Kingdom</v>
      </c>
      <c r="D16923">
        <f>IFERROR(__xludf.DUMMYFUNCTION("""COMPUTED_VALUE"""),2034.0)</f>
        <v>2034</v>
      </c>
      <c r="E16923">
        <f>IFERROR(__xludf.DUMMYFUNCTION("""COMPUTED_VALUE"""),7.1643249E7)</f>
        <v>71643249</v>
      </c>
    </row>
    <row r="16924">
      <c r="A16924" t="str">
        <f t="shared" si="1"/>
        <v>gbr#2035</v>
      </c>
      <c r="B16924" t="str">
        <f>IFERROR(__xludf.DUMMYFUNCTION("""COMPUTED_VALUE"""),"gbr")</f>
        <v>gbr</v>
      </c>
      <c r="C16924" t="str">
        <f>IFERROR(__xludf.DUMMYFUNCTION("""COMPUTED_VALUE"""),"United Kingdom")</f>
        <v>United Kingdom</v>
      </c>
      <c r="D16924">
        <f>IFERROR(__xludf.DUMMYFUNCTION("""COMPUTED_VALUE"""),2035.0)</f>
        <v>2035</v>
      </c>
      <c r="E16924">
        <f>IFERROR(__xludf.DUMMYFUNCTION("""COMPUTED_VALUE"""),7.1897215E7)</f>
        <v>71897215</v>
      </c>
    </row>
    <row r="16925">
      <c r="A16925" t="str">
        <f t="shared" si="1"/>
        <v>gbr#2036</v>
      </c>
      <c r="B16925" t="str">
        <f>IFERROR(__xludf.DUMMYFUNCTION("""COMPUTED_VALUE"""),"gbr")</f>
        <v>gbr</v>
      </c>
      <c r="C16925" t="str">
        <f>IFERROR(__xludf.DUMMYFUNCTION("""COMPUTED_VALUE"""),"United Kingdom")</f>
        <v>United Kingdom</v>
      </c>
      <c r="D16925">
        <f>IFERROR(__xludf.DUMMYFUNCTION("""COMPUTED_VALUE"""),2036.0)</f>
        <v>2036</v>
      </c>
      <c r="E16925">
        <f>IFERROR(__xludf.DUMMYFUNCTION("""COMPUTED_VALUE"""),7.2147951E7)</f>
        <v>72147951</v>
      </c>
    </row>
    <row r="16926">
      <c r="A16926" t="str">
        <f t="shared" si="1"/>
        <v>gbr#2037</v>
      </c>
      <c r="B16926" t="str">
        <f>IFERROR(__xludf.DUMMYFUNCTION("""COMPUTED_VALUE"""),"gbr")</f>
        <v>gbr</v>
      </c>
      <c r="C16926" t="str">
        <f>IFERROR(__xludf.DUMMYFUNCTION("""COMPUTED_VALUE"""),"United Kingdom")</f>
        <v>United Kingdom</v>
      </c>
      <c r="D16926">
        <f>IFERROR(__xludf.DUMMYFUNCTION("""COMPUTED_VALUE"""),2037.0)</f>
        <v>2037</v>
      </c>
      <c r="E16926">
        <f>IFERROR(__xludf.DUMMYFUNCTION("""COMPUTED_VALUE"""),7.2395653E7)</f>
        <v>72395653</v>
      </c>
    </row>
    <row r="16927">
      <c r="A16927" t="str">
        <f t="shared" si="1"/>
        <v>gbr#2038</v>
      </c>
      <c r="B16927" t="str">
        <f>IFERROR(__xludf.DUMMYFUNCTION("""COMPUTED_VALUE"""),"gbr")</f>
        <v>gbr</v>
      </c>
      <c r="C16927" t="str">
        <f>IFERROR(__xludf.DUMMYFUNCTION("""COMPUTED_VALUE"""),"United Kingdom")</f>
        <v>United Kingdom</v>
      </c>
      <c r="D16927">
        <f>IFERROR(__xludf.DUMMYFUNCTION("""COMPUTED_VALUE"""),2038.0)</f>
        <v>2038</v>
      </c>
      <c r="E16927">
        <f>IFERROR(__xludf.DUMMYFUNCTION("""COMPUTED_VALUE"""),7.2640822E7)</f>
        <v>72640822</v>
      </c>
    </row>
    <row r="16928">
      <c r="A16928" t="str">
        <f t="shared" si="1"/>
        <v>gbr#2039</v>
      </c>
      <c r="B16928" t="str">
        <f>IFERROR(__xludf.DUMMYFUNCTION("""COMPUTED_VALUE"""),"gbr")</f>
        <v>gbr</v>
      </c>
      <c r="C16928" t="str">
        <f>IFERROR(__xludf.DUMMYFUNCTION("""COMPUTED_VALUE"""),"United Kingdom")</f>
        <v>United Kingdom</v>
      </c>
      <c r="D16928">
        <f>IFERROR(__xludf.DUMMYFUNCTION("""COMPUTED_VALUE"""),2039.0)</f>
        <v>2039</v>
      </c>
      <c r="E16928">
        <f>IFERROR(__xludf.DUMMYFUNCTION("""COMPUTED_VALUE"""),7.2883919E7)</f>
        <v>72883919</v>
      </c>
    </row>
    <row r="16929">
      <c r="A16929" t="str">
        <f t="shared" si="1"/>
        <v>gbr#2040</v>
      </c>
      <c r="B16929" t="str">
        <f>IFERROR(__xludf.DUMMYFUNCTION("""COMPUTED_VALUE"""),"gbr")</f>
        <v>gbr</v>
      </c>
      <c r="C16929" t="str">
        <f>IFERROR(__xludf.DUMMYFUNCTION("""COMPUTED_VALUE"""),"United Kingdom")</f>
        <v>United Kingdom</v>
      </c>
      <c r="D16929">
        <f>IFERROR(__xludf.DUMMYFUNCTION("""COMPUTED_VALUE"""),2040.0)</f>
        <v>2040</v>
      </c>
      <c r="E16929">
        <f>IFERROR(__xludf.DUMMYFUNCTION("""COMPUTED_VALUE"""),7.3125233E7)</f>
        <v>73125233</v>
      </c>
    </row>
    <row r="16930">
      <c r="A16930" t="str">
        <f t="shared" si="1"/>
        <v>usa#1950</v>
      </c>
      <c r="B16930" t="str">
        <f>IFERROR(__xludf.DUMMYFUNCTION("""COMPUTED_VALUE"""),"usa")</f>
        <v>usa</v>
      </c>
      <c r="C16930" t="str">
        <f>IFERROR(__xludf.DUMMYFUNCTION("""COMPUTED_VALUE"""),"United States")</f>
        <v>United States</v>
      </c>
      <c r="D16930">
        <f>IFERROR(__xludf.DUMMYFUNCTION("""COMPUTED_VALUE"""),1950.0)</f>
        <v>1950</v>
      </c>
      <c r="E16930">
        <f>IFERROR(__xludf.DUMMYFUNCTION("""COMPUTED_VALUE"""),1.58804395E8)</f>
        <v>158804395</v>
      </c>
    </row>
    <row r="16931">
      <c r="A16931" t="str">
        <f t="shared" si="1"/>
        <v>usa#1951</v>
      </c>
      <c r="B16931" t="str">
        <f>IFERROR(__xludf.DUMMYFUNCTION("""COMPUTED_VALUE"""),"usa")</f>
        <v>usa</v>
      </c>
      <c r="C16931" t="str">
        <f>IFERROR(__xludf.DUMMYFUNCTION("""COMPUTED_VALUE"""),"United States")</f>
        <v>United States</v>
      </c>
      <c r="D16931">
        <f>IFERROR(__xludf.DUMMYFUNCTION("""COMPUTED_VALUE"""),1951.0)</f>
        <v>1951</v>
      </c>
      <c r="E16931">
        <f>IFERROR(__xludf.DUMMYFUNCTION("""COMPUTED_VALUE"""),1.60905035E8)</f>
        <v>160905035</v>
      </c>
    </row>
    <row r="16932">
      <c r="A16932" t="str">
        <f t="shared" si="1"/>
        <v>usa#1952</v>
      </c>
      <c r="B16932" t="str">
        <f>IFERROR(__xludf.DUMMYFUNCTION("""COMPUTED_VALUE"""),"usa")</f>
        <v>usa</v>
      </c>
      <c r="C16932" t="str">
        <f>IFERROR(__xludf.DUMMYFUNCTION("""COMPUTED_VALUE"""),"United States")</f>
        <v>United States</v>
      </c>
      <c r="D16932">
        <f>IFERROR(__xludf.DUMMYFUNCTION("""COMPUTED_VALUE"""),1952.0)</f>
        <v>1952</v>
      </c>
      <c r="E16932">
        <f>IFERROR(__xludf.DUMMYFUNCTION("""COMPUTED_VALUE"""),1.63324851E8)</f>
        <v>163324851</v>
      </c>
    </row>
    <row r="16933">
      <c r="A16933" t="str">
        <f t="shared" si="1"/>
        <v>usa#1953</v>
      </c>
      <c r="B16933" t="str">
        <f>IFERROR(__xludf.DUMMYFUNCTION("""COMPUTED_VALUE"""),"usa")</f>
        <v>usa</v>
      </c>
      <c r="C16933" t="str">
        <f>IFERROR(__xludf.DUMMYFUNCTION("""COMPUTED_VALUE"""),"United States")</f>
        <v>United States</v>
      </c>
      <c r="D16933">
        <f>IFERROR(__xludf.DUMMYFUNCTION("""COMPUTED_VALUE"""),1953.0)</f>
        <v>1953</v>
      </c>
      <c r="E16933">
        <f>IFERROR(__xludf.DUMMYFUNCTION("""COMPUTED_VALUE"""),1.6598819E8)</f>
        <v>165988190</v>
      </c>
    </row>
    <row r="16934">
      <c r="A16934" t="str">
        <f t="shared" si="1"/>
        <v>usa#1954</v>
      </c>
      <c r="B16934" t="str">
        <f>IFERROR(__xludf.DUMMYFUNCTION("""COMPUTED_VALUE"""),"usa")</f>
        <v>usa</v>
      </c>
      <c r="C16934" t="str">
        <f>IFERROR(__xludf.DUMMYFUNCTION("""COMPUTED_VALUE"""),"United States")</f>
        <v>United States</v>
      </c>
      <c r="D16934">
        <f>IFERROR(__xludf.DUMMYFUNCTION("""COMPUTED_VALUE"""),1954.0)</f>
        <v>1954</v>
      </c>
      <c r="E16934">
        <f>IFERROR(__xludf.DUMMYFUNCTION("""COMPUTED_VALUE"""),1.68827613E8)</f>
        <v>168827613</v>
      </c>
    </row>
    <row r="16935">
      <c r="A16935" t="str">
        <f t="shared" si="1"/>
        <v>usa#1955</v>
      </c>
      <c r="B16935" t="str">
        <f>IFERROR(__xludf.DUMMYFUNCTION("""COMPUTED_VALUE"""),"usa")</f>
        <v>usa</v>
      </c>
      <c r="C16935" t="str">
        <f>IFERROR(__xludf.DUMMYFUNCTION("""COMPUTED_VALUE"""),"United States")</f>
        <v>United States</v>
      </c>
      <c r="D16935">
        <f>IFERROR(__xludf.DUMMYFUNCTION("""COMPUTED_VALUE"""),1955.0)</f>
        <v>1955</v>
      </c>
      <c r="E16935">
        <f>IFERROR(__xludf.DUMMYFUNCTION("""COMPUTED_VALUE"""),1.71783842E8)</f>
        <v>171783842</v>
      </c>
    </row>
    <row r="16936">
      <c r="A16936" t="str">
        <f t="shared" si="1"/>
        <v>usa#1956</v>
      </c>
      <c r="B16936" t="str">
        <f>IFERROR(__xludf.DUMMYFUNCTION("""COMPUTED_VALUE"""),"usa")</f>
        <v>usa</v>
      </c>
      <c r="C16936" t="str">
        <f>IFERROR(__xludf.DUMMYFUNCTION("""COMPUTED_VALUE"""),"United States")</f>
        <v>United States</v>
      </c>
      <c r="D16936">
        <f>IFERROR(__xludf.DUMMYFUNCTION("""COMPUTED_VALUE"""),1956.0)</f>
        <v>1956</v>
      </c>
      <c r="E16936">
        <f>IFERROR(__xludf.DUMMYFUNCTION("""COMPUTED_VALUE"""),1.74805941E8)</f>
        <v>174805941</v>
      </c>
    </row>
    <row r="16937">
      <c r="A16937" t="str">
        <f t="shared" si="1"/>
        <v>usa#1957</v>
      </c>
      <c r="B16937" t="str">
        <f>IFERROR(__xludf.DUMMYFUNCTION("""COMPUTED_VALUE"""),"usa")</f>
        <v>usa</v>
      </c>
      <c r="C16937" t="str">
        <f>IFERROR(__xludf.DUMMYFUNCTION("""COMPUTED_VALUE"""),"United States")</f>
        <v>United States</v>
      </c>
      <c r="D16937">
        <f>IFERROR(__xludf.DUMMYFUNCTION("""COMPUTED_VALUE"""),1957.0)</f>
        <v>1957</v>
      </c>
      <c r="E16937">
        <f>IFERROR(__xludf.DUMMYFUNCTION("""COMPUTED_VALUE"""),1.77851156E8)</f>
        <v>177851156</v>
      </c>
    </row>
    <row r="16938">
      <c r="A16938" t="str">
        <f t="shared" si="1"/>
        <v>usa#1958</v>
      </c>
      <c r="B16938" t="str">
        <f>IFERROR(__xludf.DUMMYFUNCTION("""COMPUTED_VALUE"""),"usa")</f>
        <v>usa</v>
      </c>
      <c r="C16938" t="str">
        <f>IFERROR(__xludf.DUMMYFUNCTION("""COMPUTED_VALUE"""),"United States")</f>
        <v>United States</v>
      </c>
      <c r="D16938">
        <f>IFERROR(__xludf.DUMMYFUNCTION("""COMPUTED_VALUE"""),1958.0)</f>
        <v>1958</v>
      </c>
      <c r="E16938">
        <f>IFERROR(__xludf.DUMMYFUNCTION("""COMPUTED_VALUE"""),1.80884458E8)</f>
        <v>180884458</v>
      </c>
    </row>
    <row r="16939">
      <c r="A16939" t="str">
        <f t="shared" si="1"/>
        <v>usa#1959</v>
      </c>
      <c r="B16939" t="str">
        <f>IFERROR(__xludf.DUMMYFUNCTION("""COMPUTED_VALUE"""),"usa")</f>
        <v>usa</v>
      </c>
      <c r="C16939" t="str">
        <f>IFERROR(__xludf.DUMMYFUNCTION("""COMPUTED_VALUE"""),"United States")</f>
        <v>United States</v>
      </c>
      <c r="D16939">
        <f>IFERROR(__xludf.DUMMYFUNCTION("""COMPUTED_VALUE"""),1959.0)</f>
        <v>1959</v>
      </c>
      <c r="E16939">
        <f>IFERROR(__xludf.DUMMYFUNCTION("""COMPUTED_VALUE"""),1.83877873E8)</f>
        <v>183877873</v>
      </c>
    </row>
    <row r="16940">
      <c r="A16940" t="str">
        <f t="shared" si="1"/>
        <v>usa#1960</v>
      </c>
      <c r="B16940" t="str">
        <f>IFERROR(__xludf.DUMMYFUNCTION("""COMPUTED_VALUE"""),"usa")</f>
        <v>usa</v>
      </c>
      <c r="C16940" t="str">
        <f>IFERROR(__xludf.DUMMYFUNCTION("""COMPUTED_VALUE"""),"United States")</f>
        <v>United States</v>
      </c>
      <c r="D16940">
        <f>IFERROR(__xludf.DUMMYFUNCTION("""COMPUTED_VALUE"""),1960.0)</f>
        <v>1960</v>
      </c>
      <c r="E16940">
        <f>IFERROR(__xludf.DUMMYFUNCTION("""COMPUTED_VALUE"""),1.86808228E8)</f>
        <v>186808228</v>
      </c>
    </row>
    <row r="16941">
      <c r="A16941" t="str">
        <f t="shared" si="1"/>
        <v>usa#1961</v>
      </c>
      <c r="B16941" t="str">
        <f>IFERROR(__xludf.DUMMYFUNCTION("""COMPUTED_VALUE"""),"usa")</f>
        <v>usa</v>
      </c>
      <c r="C16941" t="str">
        <f>IFERROR(__xludf.DUMMYFUNCTION("""COMPUTED_VALUE"""),"United States")</f>
        <v>United States</v>
      </c>
      <c r="D16941">
        <f>IFERROR(__xludf.DUMMYFUNCTION("""COMPUTED_VALUE"""),1961.0)</f>
        <v>1961</v>
      </c>
      <c r="E16941">
        <f>IFERROR(__xludf.DUMMYFUNCTION("""COMPUTED_VALUE"""),1.89654905E8)</f>
        <v>189654905</v>
      </c>
    </row>
    <row r="16942">
      <c r="A16942" t="str">
        <f t="shared" si="1"/>
        <v>usa#1962</v>
      </c>
      <c r="B16942" t="str">
        <f>IFERROR(__xludf.DUMMYFUNCTION("""COMPUTED_VALUE"""),"usa")</f>
        <v>usa</v>
      </c>
      <c r="C16942" t="str">
        <f>IFERROR(__xludf.DUMMYFUNCTION("""COMPUTED_VALUE"""),"United States")</f>
        <v>United States</v>
      </c>
      <c r="D16942">
        <f>IFERROR(__xludf.DUMMYFUNCTION("""COMPUTED_VALUE"""),1962.0)</f>
        <v>1962</v>
      </c>
      <c r="E16942">
        <f>IFERROR(__xludf.DUMMYFUNCTION("""COMPUTED_VALUE"""),1.92397741E8)</f>
        <v>192397741</v>
      </c>
    </row>
    <row r="16943">
      <c r="A16943" t="str">
        <f t="shared" si="1"/>
        <v>usa#1963</v>
      </c>
      <c r="B16943" t="str">
        <f>IFERROR(__xludf.DUMMYFUNCTION("""COMPUTED_VALUE"""),"usa")</f>
        <v>usa</v>
      </c>
      <c r="C16943" t="str">
        <f>IFERROR(__xludf.DUMMYFUNCTION("""COMPUTED_VALUE"""),"United States")</f>
        <v>United States</v>
      </c>
      <c r="D16943">
        <f>IFERROR(__xludf.DUMMYFUNCTION("""COMPUTED_VALUE"""),1963.0)</f>
        <v>1963</v>
      </c>
      <c r="E16943">
        <f>IFERROR(__xludf.DUMMYFUNCTION("""COMPUTED_VALUE"""),1.95016211E8)</f>
        <v>195016211</v>
      </c>
    </row>
    <row r="16944">
      <c r="A16944" t="str">
        <f t="shared" si="1"/>
        <v>usa#1964</v>
      </c>
      <c r="B16944" t="str">
        <f>IFERROR(__xludf.DUMMYFUNCTION("""COMPUTED_VALUE"""),"usa")</f>
        <v>usa</v>
      </c>
      <c r="C16944" t="str">
        <f>IFERROR(__xludf.DUMMYFUNCTION("""COMPUTED_VALUE"""),"United States")</f>
        <v>United States</v>
      </c>
      <c r="D16944">
        <f>IFERROR(__xludf.DUMMYFUNCTION("""COMPUTED_VALUE"""),1964.0)</f>
        <v>1964</v>
      </c>
      <c r="E16944">
        <f>IFERROR(__xludf.DUMMYFUNCTION("""COMPUTED_VALUE"""),1.97491844E8)</f>
        <v>197491844</v>
      </c>
    </row>
    <row r="16945">
      <c r="A16945" t="str">
        <f t="shared" si="1"/>
        <v>usa#1965</v>
      </c>
      <c r="B16945" t="str">
        <f>IFERROR(__xludf.DUMMYFUNCTION("""COMPUTED_VALUE"""),"usa")</f>
        <v>usa</v>
      </c>
      <c r="C16945" t="str">
        <f>IFERROR(__xludf.DUMMYFUNCTION("""COMPUTED_VALUE"""),"United States")</f>
        <v>United States</v>
      </c>
      <c r="D16945">
        <f>IFERROR(__xludf.DUMMYFUNCTION("""COMPUTED_VALUE"""),1965.0)</f>
        <v>1965</v>
      </c>
      <c r="E16945">
        <f>IFERROR(__xludf.DUMMYFUNCTION("""COMPUTED_VALUE"""),1.9981554E8)</f>
        <v>199815540</v>
      </c>
    </row>
    <row r="16946">
      <c r="A16946" t="str">
        <f t="shared" si="1"/>
        <v>usa#1966</v>
      </c>
      <c r="B16946" t="str">
        <f>IFERROR(__xludf.DUMMYFUNCTION("""COMPUTED_VALUE"""),"usa")</f>
        <v>usa</v>
      </c>
      <c r="C16946" t="str">
        <f>IFERROR(__xludf.DUMMYFUNCTION("""COMPUTED_VALUE"""),"United States")</f>
        <v>United States</v>
      </c>
      <c r="D16946">
        <f>IFERROR(__xludf.DUMMYFUNCTION("""COMPUTED_VALUE"""),1966.0)</f>
        <v>1966</v>
      </c>
      <c r="E16946">
        <f>IFERROR(__xludf.DUMMYFUNCTION("""COMPUTED_VALUE"""),2.01975222E8)</f>
        <v>201975222</v>
      </c>
    </row>
    <row r="16947">
      <c r="A16947" t="str">
        <f t="shared" si="1"/>
        <v>usa#1967</v>
      </c>
      <c r="B16947" t="str">
        <f>IFERROR(__xludf.DUMMYFUNCTION("""COMPUTED_VALUE"""),"usa")</f>
        <v>usa</v>
      </c>
      <c r="C16947" t="str">
        <f>IFERROR(__xludf.DUMMYFUNCTION("""COMPUTED_VALUE"""),"United States")</f>
        <v>United States</v>
      </c>
      <c r="D16947">
        <f>IFERROR(__xludf.DUMMYFUNCTION("""COMPUTED_VALUE"""),1967.0)</f>
        <v>1967</v>
      </c>
      <c r="E16947">
        <f>IFERROR(__xludf.DUMMYFUNCTION("""COMPUTED_VALUE"""),2.03981928E8)</f>
        <v>203981928</v>
      </c>
    </row>
    <row r="16948">
      <c r="A16948" t="str">
        <f t="shared" si="1"/>
        <v>usa#1968</v>
      </c>
      <c r="B16948" t="str">
        <f>IFERROR(__xludf.DUMMYFUNCTION("""COMPUTED_VALUE"""),"usa")</f>
        <v>usa</v>
      </c>
      <c r="C16948" t="str">
        <f>IFERROR(__xludf.DUMMYFUNCTION("""COMPUTED_VALUE"""),"United States")</f>
        <v>United States</v>
      </c>
      <c r="D16948">
        <f>IFERROR(__xludf.DUMMYFUNCTION("""COMPUTED_VALUE"""),1968.0)</f>
        <v>1968</v>
      </c>
      <c r="E16948">
        <f>IFERROR(__xludf.DUMMYFUNCTION("""COMPUTED_VALUE"""),2.05880418E8)</f>
        <v>205880418</v>
      </c>
    </row>
    <row r="16949">
      <c r="A16949" t="str">
        <f t="shared" si="1"/>
        <v>usa#1969</v>
      </c>
      <c r="B16949" t="str">
        <f>IFERROR(__xludf.DUMMYFUNCTION("""COMPUTED_VALUE"""),"usa")</f>
        <v>usa</v>
      </c>
      <c r="C16949" t="str">
        <f>IFERROR(__xludf.DUMMYFUNCTION("""COMPUTED_VALUE"""),"United States")</f>
        <v>United States</v>
      </c>
      <c r="D16949">
        <f>IFERROR(__xludf.DUMMYFUNCTION("""COMPUTED_VALUE"""),1969.0)</f>
        <v>1969</v>
      </c>
      <c r="E16949">
        <f>IFERROR(__xludf.DUMMYFUNCTION("""COMPUTED_VALUE"""),2.07733004E8)</f>
        <v>207733004</v>
      </c>
    </row>
    <row r="16950">
      <c r="A16950" t="str">
        <f t="shared" si="1"/>
        <v>usa#1970</v>
      </c>
      <c r="B16950" t="str">
        <f>IFERROR(__xludf.DUMMYFUNCTION("""COMPUTED_VALUE"""),"usa")</f>
        <v>usa</v>
      </c>
      <c r="C16950" t="str">
        <f>IFERROR(__xludf.DUMMYFUNCTION("""COMPUTED_VALUE"""),"United States")</f>
        <v>United States</v>
      </c>
      <c r="D16950">
        <f>IFERROR(__xludf.DUMMYFUNCTION("""COMPUTED_VALUE"""),1970.0)</f>
        <v>1970</v>
      </c>
      <c r="E16950">
        <f>IFERROR(__xludf.DUMMYFUNCTION("""COMPUTED_VALUE"""),2.0958815E8)</f>
        <v>209588150</v>
      </c>
    </row>
    <row r="16951">
      <c r="A16951" t="str">
        <f t="shared" si="1"/>
        <v>usa#1971</v>
      </c>
      <c r="B16951" t="str">
        <f>IFERROR(__xludf.DUMMYFUNCTION("""COMPUTED_VALUE"""),"usa")</f>
        <v>usa</v>
      </c>
      <c r="C16951" t="str">
        <f>IFERROR(__xludf.DUMMYFUNCTION("""COMPUTED_VALUE"""),"United States")</f>
        <v>United States</v>
      </c>
      <c r="D16951">
        <f>IFERROR(__xludf.DUMMYFUNCTION("""COMPUTED_VALUE"""),1971.0)</f>
        <v>1971</v>
      </c>
      <c r="E16951">
        <f>IFERROR(__xludf.DUMMYFUNCTION("""COMPUTED_VALUE"""),2.11461598E8)</f>
        <v>211461598</v>
      </c>
    </row>
    <row r="16952">
      <c r="A16952" t="str">
        <f t="shared" si="1"/>
        <v>usa#1972</v>
      </c>
      <c r="B16952" t="str">
        <f>IFERROR(__xludf.DUMMYFUNCTION("""COMPUTED_VALUE"""),"usa")</f>
        <v>usa</v>
      </c>
      <c r="C16952" t="str">
        <f>IFERROR(__xludf.DUMMYFUNCTION("""COMPUTED_VALUE"""),"United States")</f>
        <v>United States</v>
      </c>
      <c r="D16952">
        <f>IFERROR(__xludf.DUMMYFUNCTION("""COMPUTED_VALUE"""),1972.0)</f>
        <v>1972</v>
      </c>
      <c r="E16952">
        <f>IFERROR(__xludf.DUMMYFUNCTION("""COMPUTED_VALUE"""),2.13351773E8)</f>
        <v>213351773</v>
      </c>
    </row>
    <row r="16953">
      <c r="A16953" t="str">
        <f t="shared" si="1"/>
        <v>usa#1973</v>
      </c>
      <c r="B16953" t="str">
        <f>IFERROR(__xludf.DUMMYFUNCTION("""COMPUTED_VALUE"""),"usa")</f>
        <v>usa</v>
      </c>
      <c r="C16953" t="str">
        <f>IFERROR(__xludf.DUMMYFUNCTION("""COMPUTED_VALUE"""),"United States")</f>
        <v>United States</v>
      </c>
      <c r="D16953">
        <f>IFERROR(__xludf.DUMMYFUNCTION("""COMPUTED_VALUE"""),1973.0)</f>
        <v>1973</v>
      </c>
      <c r="E16953">
        <f>IFERROR(__xludf.DUMMYFUNCTION("""COMPUTED_VALUE"""),2.15268687E8)</f>
        <v>215268687</v>
      </c>
    </row>
    <row r="16954">
      <c r="A16954" t="str">
        <f t="shared" si="1"/>
        <v>usa#1974</v>
      </c>
      <c r="B16954" t="str">
        <f>IFERROR(__xludf.DUMMYFUNCTION("""COMPUTED_VALUE"""),"usa")</f>
        <v>usa</v>
      </c>
      <c r="C16954" t="str">
        <f>IFERROR(__xludf.DUMMYFUNCTION("""COMPUTED_VALUE"""),"United States")</f>
        <v>United States</v>
      </c>
      <c r="D16954">
        <f>IFERROR(__xludf.DUMMYFUNCTION("""COMPUTED_VALUE"""),1974.0)</f>
        <v>1974</v>
      </c>
      <c r="E16954">
        <f>IFERROR(__xludf.DUMMYFUNCTION("""COMPUTED_VALUE"""),2.17218393E8)</f>
        <v>217218393</v>
      </c>
    </row>
    <row r="16955">
      <c r="A16955" t="str">
        <f t="shared" si="1"/>
        <v>usa#1975</v>
      </c>
      <c r="B16955" t="str">
        <f>IFERROR(__xludf.DUMMYFUNCTION("""COMPUTED_VALUE"""),"usa")</f>
        <v>usa</v>
      </c>
      <c r="C16955" t="str">
        <f>IFERROR(__xludf.DUMMYFUNCTION("""COMPUTED_VALUE"""),"United States")</f>
        <v>United States</v>
      </c>
      <c r="D16955">
        <f>IFERROR(__xludf.DUMMYFUNCTION("""COMPUTED_VALUE"""),1975.0)</f>
        <v>1975</v>
      </c>
      <c r="E16955">
        <f>IFERROR(__xludf.DUMMYFUNCTION("""COMPUTED_VALUE"""),2.19205296E8)</f>
        <v>219205296</v>
      </c>
    </row>
    <row r="16956">
      <c r="A16956" t="str">
        <f t="shared" si="1"/>
        <v>usa#1976</v>
      </c>
      <c r="B16956" t="str">
        <f>IFERROR(__xludf.DUMMYFUNCTION("""COMPUTED_VALUE"""),"usa")</f>
        <v>usa</v>
      </c>
      <c r="C16956" t="str">
        <f>IFERROR(__xludf.DUMMYFUNCTION("""COMPUTED_VALUE"""),"United States")</f>
        <v>United States</v>
      </c>
      <c r="D16956">
        <f>IFERROR(__xludf.DUMMYFUNCTION("""COMPUTED_VALUE"""),1976.0)</f>
        <v>1976</v>
      </c>
      <c r="E16956">
        <f>IFERROR(__xludf.DUMMYFUNCTION("""COMPUTED_VALUE"""),2.21239215E8)</f>
        <v>221239215</v>
      </c>
    </row>
    <row r="16957">
      <c r="A16957" t="str">
        <f t="shared" si="1"/>
        <v>usa#1977</v>
      </c>
      <c r="B16957" t="str">
        <f>IFERROR(__xludf.DUMMYFUNCTION("""COMPUTED_VALUE"""),"usa")</f>
        <v>usa</v>
      </c>
      <c r="C16957" t="str">
        <f>IFERROR(__xludf.DUMMYFUNCTION("""COMPUTED_VALUE"""),"United States")</f>
        <v>United States</v>
      </c>
      <c r="D16957">
        <f>IFERROR(__xludf.DUMMYFUNCTION("""COMPUTED_VALUE"""),1977.0)</f>
        <v>1977</v>
      </c>
      <c r="E16957">
        <f>IFERROR(__xludf.DUMMYFUNCTION("""COMPUTED_VALUE"""),2.23324042E8)</f>
        <v>223324042</v>
      </c>
    </row>
    <row r="16958">
      <c r="A16958" t="str">
        <f t="shared" si="1"/>
        <v>usa#1978</v>
      </c>
      <c r="B16958" t="str">
        <f>IFERROR(__xludf.DUMMYFUNCTION("""COMPUTED_VALUE"""),"usa")</f>
        <v>usa</v>
      </c>
      <c r="C16958" t="str">
        <f>IFERROR(__xludf.DUMMYFUNCTION("""COMPUTED_VALUE"""),"United States")</f>
        <v>United States</v>
      </c>
      <c r="D16958">
        <f>IFERROR(__xludf.DUMMYFUNCTION("""COMPUTED_VALUE"""),1978.0)</f>
        <v>1978</v>
      </c>
      <c r="E16958">
        <f>IFERROR(__xludf.DUMMYFUNCTION("""COMPUTED_VALUE"""),2.25449657E8)</f>
        <v>225449657</v>
      </c>
    </row>
    <row r="16959">
      <c r="A16959" t="str">
        <f t="shared" si="1"/>
        <v>usa#1979</v>
      </c>
      <c r="B16959" t="str">
        <f>IFERROR(__xludf.DUMMYFUNCTION("""COMPUTED_VALUE"""),"usa")</f>
        <v>usa</v>
      </c>
      <c r="C16959" t="str">
        <f>IFERROR(__xludf.DUMMYFUNCTION("""COMPUTED_VALUE"""),"United States")</f>
        <v>United States</v>
      </c>
      <c r="D16959">
        <f>IFERROR(__xludf.DUMMYFUNCTION("""COMPUTED_VALUE"""),1979.0)</f>
        <v>1979</v>
      </c>
      <c r="E16959">
        <f>IFERROR(__xludf.DUMMYFUNCTION("""COMPUTED_VALUE"""),2.27599878E8)</f>
        <v>227599878</v>
      </c>
    </row>
    <row r="16960">
      <c r="A16960" t="str">
        <f t="shared" si="1"/>
        <v>usa#1980</v>
      </c>
      <c r="B16960" t="str">
        <f>IFERROR(__xludf.DUMMYFUNCTION("""COMPUTED_VALUE"""),"usa")</f>
        <v>usa</v>
      </c>
      <c r="C16960" t="str">
        <f>IFERROR(__xludf.DUMMYFUNCTION("""COMPUTED_VALUE"""),"United States")</f>
        <v>United States</v>
      </c>
      <c r="D16960">
        <f>IFERROR(__xludf.DUMMYFUNCTION("""COMPUTED_VALUE"""),1980.0)</f>
        <v>1980</v>
      </c>
      <c r="E16960">
        <f>IFERROR(__xludf.DUMMYFUNCTION("""COMPUTED_VALUE"""),2.29763052E8)</f>
        <v>229763052</v>
      </c>
    </row>
    <row r="16961">
      <c r="A16961" t="str">
        <f t="shared" si="1"/>
        <v>usa#1981</v>
      </c>
      <c r="B16961" t="str">
        <f>IFERROR(__xludf.DUMMYFUNCTION("""COMPUTED_VALUE"""),"usa")</f>
        <v>usa</v>
      </c>
      <c r="C16961" t="str">
        <f>IFERROR(__xludf.DUMMYFUNCTION("""COMPUTED_VALUE"""),"United States")</f>
        <v>United States</v>
      </c>
      <c r="D16961">
        <f>IFERROR(__xludf.DUMMYFUNCTION("""COMPUTED_VALUE"""),1981.0)</f>
        <v>1981</v>
      </c>
      <c r="E16961">
        <f>IFERROR(__xludf.DUMMYFUNCTION("""COMPUTED_VALUE"""),2.31938963E8)</f>
        <v>231938963</v>
      </c>
    </row>
    <row r="16962">
      <c r="A16962" t="str">
        <f t="shared" si="1"/>
        <v>usa#1982</v>
      </c>
      <c r="B16962" t="str">
        <f>IFERROR(__xludf.DUMMYFUNCTION("""COMPUTED_VALUE"""),"usa")</f>
        <v>usa</v>
      </c>
      <c r="C16962" t="str">
        <f>IFERROR(__xludf.DUMMYFUNCTION("""COMPUTED_VALUE"""),"United States")</f>
        <v>United States</v>
      </c>
      <c r="D16962">
        <f>IFERROR(__xludf.DUMMYFUNCTION("""COMPUTED_VALUE"""),1982.0)</f>
        <v>1982</v>
      </c>
      <c r="E16962">
        <f>IFERROR(__xludf.DUMMYFUNCTION("""COMPUTED_VALUE"""),2.34132632E8)</f>
        <v>234132632</v>
      </c>
    </row>
    <row r="16963">
      <c r="A16963" t="str">
        <f t="shared" si="1"/>
        <v>usa#1983</v>
      </c>
      <c r="B16963" t="str">
        <f>IFERROR(__xludf.DUMMYFUNCTION("""COMPUTED_VALUE"""),"usa")</f>
        <v>usa</v>
      </c>
      <c r="C16963" t="str">
        <f>IFERROR(__xludf.DUMMYFUNCTION("""COMPUTED_VALUE"""),"United States")</f>
        <v>United States</v>
      </c>
      <c r="D16963">
        <f>IFERROR(__xludf.DUMMYFUNCTION("""COMPUTED_VALUE"""),1983.0)</f>
        <v>1983</v>
      </c>
      <c r="E16963">
        <f>IFERROR(__xludf.DUMMYFUNCTION("""COMPUTED_VALUE"""),2.36344004E8)</f>
        <v>236344004</v>
      </c>
    </row>
    <row r="16964">
      <c r="A16964" t="str">
        <f t="shared" si="1"/>
        <v>usa#1984</v>
      </c>
      <c r="B16964" t="str">
        <f>IFERROR(__xludf.DUMMYFUNCTION("""COMPUTED_VALUE"""),"usa")</f>
        <v>usa</v>
      </c>
      <c r="C16964" t="str">
        <f>IFERROR(__xludf.DUMMYFUNCTION("""COMPUTED_VALUE"""),"United States")</f>
        <v>United States</v>
      </c>
      <c r="D16964">
        <f>IFERROR(__xludf.DUMMYFUNCTION("""COMPUTED_VALUE"""),1984.0)</f>
        <v>1984</v>
      </c>
      <c r="E16964">
        <f>IFERROR(__xludf.DUMMYFUNCTION("""COMPUTED_VALUE"""),2.38573861E8)</f>
        <v>238573861</v>
      </c>
    </row>
    <row r="16965">
      <c r="A16965" t="str">
        <f t="shared" si="1"/>
        <v>usa#1985</v>
      </c>
      <c r="B16965" t="str">
        <f>IFERROR(__xludf.DUMMYFUNCTION("""COMPUTED_VALUE"""),"usa")</f>
        <v>usa</v>
      </c>
      <c r="C16965" t="str">
        <f>IFERROR(__xludf.DUMMYFUNCTION("""COMPUTED_VALUE"""),"United States")</f>
        <v>United States</v>
      </c>
      <c r="D16965">
        <f>IFERROR(__xludf.DUMMYFUNCTION("""COMPUTED_VALUE"""),1985.0)</f>
        <v>1985</v>
      </c>
      <c r="E16965">
        <f>IFERROR(__xludf.DUMMYFUNCTION("""COMPUTED_VALUE"""),2.4082412E8)</f>
        <v>240824120</v>
      </c>
    </row>
    <row r="16966">
      <c r="A16966" t="str">
        <f t="shared" si="1"/>
        <v>usa#1986</v>
      </c>
      <c r="B16966" t="str">
        <f>IFERROR(__xludf.DUMMYFUNCTION("""COMPUTED_VALUE"""),"usa")</f>
        <v>usa</v>
      </c>
      <c r="C16966" t="str">
        <f>IFERROR(__xludf.DUMMYFUNCTION("""COMPUTED_VALUE"""),"United States")</f>
        <v>United States</v>
      </c>
      <c r="D16966">
        <f>IFERROR(__xludf.DUMMYFUNCTION("""COMPUTED_VALUE"""),1986.0)</f>
        <v>1986</v>
      </c>
      <c r="E16966">
        <f>IFERROR(__xludf.DUMMYFUNCTION("""COMPUTED_VALUE"""),2.43098935E8)</f>
        <v>243098935</v>
      </c>
    </row>
    <row r="16967">
      <c r="A16967" t="str">
        <f t="shared" si="1"/>
        <v>usa#1987</v>
      </c>
      <c r="B16967" t="str">
        <f>IFERROR(__xludf.DUMMYFUNCTION("""COMPUTED_VALUE"""),"usa")</f>
        <v>usa</v>
      </c>
      <c r="C16967" t="str">
        <f>IFERROR(__xludf.DUMMYFUNCTION("""COMPUTED_VALUE"""),"United States")</f>
        <v>United States</v>
      </c>
      <c r="D16967">
        <f>IFERROR(__xludf.DUMMYFUNCTION("""COMPUTED_VALUE"""),1987.0)</f>
        <v>1987</v>
      </c>
      <c r="E16967">
        <f>IFERROR(__xludf.DUMMYFUNCTION("""COMPUTED_VALUE"""),2.45402864E8)</f>
        <v>245402864</v>
      </c>
    </row>
    <row r="16968">
      <c r="A16968" t="str">
        <f t="shared" si="1"/>
        <v>usa#1988</v>
      </c>
      <c r="B16968" t="str">
        <f>IFERROR(__xludf.DUMMYFUNCTION("""COMPUTED_VALUE"""),"usa")</f>
        <v>usa</v>
      </c>
      <c r="C16968" t="str">
        <f>IFERROR(__xludf.DUMMYFUNCTION("""COMPUTED_VALUE"""),"United States")</f>
        <v>United States</v>
      </c>
      <c r="D16968">
        <f>IFERROR(__xludf.DUMMYFUNCTION("""COMPUTED_VALUE"""),1988.0)</f>
        <v>1988</v>
      </c>
      <c r="E16968">
        <f>IFERROR(__xludf.DUMMYFUNCTION("""COMPUTED_VALUE"""),2.47739582E8)</f>
        <v>247739582</v>
      </c>
    </row>
    <row r="16969">
      <c r="A16969" t="str">
        <f t="shared" si="1"/>
        <v>usa#1989</v>
      </c>
      <c r="B16969" t="str">
        <f>IFERROR(__xludf.DUMMYFUNCTION("""COMPUTED_VALUE"""),"usa")</f>
        <v>usa</v>
      </c>
      <c r="C16969" t="str">
        <f>IFERROR(__xludf.DUMMYFUNCTION("""COMPUTED_VALUE"""),"United States")</f>
        <v>United States</v>
      </c>
      <c r="D16969">
        <f>IFERROR(__xludf.DUMMYFUNCTION("""COMPUTED_VALUE"""),1989.0)</f>
        <v>1989</v>
      </c>
      <c r="E16969">
        <f>IFERROR(__xludf.DUMMYFUNCTION("""COMPUTED_VALUE"""),2.50113187E8)</f>
        <v>250113187</v>
      </c>
    </row>
    <row r="16970">
      <c r="A16970" t="str">
        <f t="shared" si="1"/>
        <v>usa#1990</v>
      </c>
      <c r="B16970" t="str">
        <f>IFERROR(__xludf.DUMMYFUNCTION("""COMPUTED_VALUE"""),"usa")</f>
        <v>usa</v>
      </c>
      <c r="C16970" t="str">
        <f>IFERROR(__xludf.DUMMYFUNCTION("""COMPUTED_VALUE"""),"United States")</f>
        <v>United States</v>
      </c>
      <c r="D16970">
        <f>IFERROR(__xludf.DUMMYFUNCTION("""COMPUTED_VALUE"""),1990.0)</f>
        <v>1990</v>
      </c>
      <c r="E16970">
        <f>IFERROR(__xludf.DUMMYFUNCTION("""COMPUTED_VALUE"""),2.5252995E8)</f>
        <v>252529950</v>
      </c>
    </row>
    <row r="16971">
      <c r="A16971" t="str">
        <f t="shared" si="1"/>
        <v>usa#1991</v>
      </c>
      <c r="B16971" t="str">
        <f>IFERROR(__xludf.DUMMYFUNCTION("""COMPUTED_VALUE"""),"usa")</f>
        <v>usa</v>
      </c>
      <c r="C16971" t="str">
        <f>IFERROR(__xludf.DUMMYFUNCTION("""COMPUTED_VALUE"""),"United States")</f>
        <v>United States</v>
      </c>
      <c r="D16971">
        <f>IFERROR(__xludf.DUMMYFUNCTION("""COMPUTED_VALUE"""),1991.0)</f>
        <v>1991</v>
      </c>
      <c r="E16971">
        <f>IFERROR(__xludf.DUMMYFUNCTION("""COMPUTED_VALUE"""),2.54974819E8)</f>
        <v>254974819</v>
      </c>
    </row>
    <row r="16972">
      <c r="A16972" t="str">
        <f t="shared" si="1"/>
        <v>usa#1992</v>
      </c>
      <c r="B16972" t="str">
        <f>IFERROR(__xludf.DUMMYFUNCTION("""COMPUTED_VALUE"""),"usa")</f>
        <v>usa</v>
      </c>
      <c r="C16972" t="str">
        <f>IFERROR(__xludf.DUMMYFUNCTION("""COMPUTED_VALUE"""),"United States")</f>
        <v>United States</v>
      </c>
      <c r="D16972">
        <f>IFERROR(__xludf.DUMMYFUNCTION("""COMPUTED_VALUE"""),1992.0)</f>
        <v>1992</v>
      </c>
      <c r="E16972">
        <f>IFERROR(__xludf.DUMMYFUNCTION("""COMPUTED_VALUE"""),2.57454273E8)</f>
        <v>257454273</v>
      </c>
    </row>
    <row r="16973">
      <c r="A16973" t="str">
        <f t="shared" si="1"/>
        <v>usa#1993</v>
      </c>
      <c r="B16973" t="str">
        <f>IFERROR(__xludf.DUMMYFUNCTION("""COMPUTED_VALUE"""),"usa")</f>
        <v>usa</v>
      </c>
      <c r="C16973" t="str">
        <f>IFERROR(__xludf.DUMMYFUNCTION("""COMPUTED_VALUE"""),"United States")</f>
        <v>United States</v>
      </c>
      <c r="D16973">
        <f>IFERROR(__xludf.DUMMYFUNCTION("""COMPUTED_VALUE"""),1993.0)</f>
        <v>1993</v>
      </c>
      <c r="E16973">
        <f>IFERROR(__xludf.DUMMYFUNCTION("""COMPUTED_VALUE"""),2.60020186E8)</f>
        <v>260020186</v>
      </c>
    </row>
    <row r="16974">
      <c r="A16974" t="str">
        <f t="shared" si="1"/>
        <v>usa#1994</v>
      </c>
      <c r="B16974" t="str">
        <f>IFERROR(__xludf.DUMMYFUNCTION("""COMPUTED_VALUE"""),"usa")</f>
        <v>usa</v>
      </c>
      <c r="C16974" t="str">
        <f>IFERROR(__xludf.DUMMYFUNCTION("""COMPUTED_VALUE"""),"United States")</f>
        <v>United States</v>
      </c>
      <c r="D16974">
        <f>IFERROR(__xludf.DUMMYFUNCTION("""COMPUTED_VALUE"""),1994.0)</f>
        <v>1994</v>
      </c>
      <c r="E16974">
        <f>IFERROR(__xludf.DUMMYFUNCTION("""COMPUTED_VALUE"""),2.62741566E8)</f>
        <v>262741566</v>
      </c>
    </row>
    <row r="16975">
      <c r="A16975" t="str">
        <f t="shared" si="1"/>
        <v>usa#1995</v>
      </c>
      <c r="B16975" t="str">
        <f>IFERROR(__xludf.DUMMYFUNCTION("""COMPUTED_VALUE"""),"usa")</f>
        <v>usa</v>
      </c>
      <c r="C16975" t="str">
        <f>IFERROR(__xludf.DUMMYFUNCTION("""COMPUTED_VALUE"""),"United States")</f>
        <v>United States</v>
      </c>
      <c r="D16975">
        <f>IFERROR(__xludf.DUMMYFUNCTION("""COMPUTED_VALUE"""),1995.0)</f>
        <v>1995</v>
      </c>
      <c r="E16975">
        <f>IFERROR(__xludf.DUMMYFUNCTION("""COMPUTED_VALUE"""),2.65658849E8)</f>
        <v>265658849</v>
      </c>
    </row>
    <row r="16976">
      <c r="A16976" t="str">
        <f t="shared" si="1"/>
        <v>usa#1996</v>
      </c>
      <c r="B16976" t="str">
        <f>IFERROR(__xludf.DUMMYFUNCTION("""COMPUTED_VALUE"""),"usa")</f>
        <v>usa</v>
      </c>
      <c r="C16976" t="str">
        <f>IFERROR(__xludf.DUMMYFUNCTION("""COMPUTED_VALUE"""),"United States")</f>
        <v>United States</v>
      </c>
      <c r="D16976">
        <f>IFERROR(__xludf.DUMMYFUNCTION("""COMPUTED_VALUE"""),1996.0)</f>
        <v>1996</v>
      </c>
      <c r="E16976">
        <f>IFERROR(__xludf.DUMMYFUNCTION("""COMPUTED_VALUE"""),2.68803424E8)</f>
        <v>268803424</v>
      </c>
    </row>
    <row r="16977">
      <c r="A16977" t="str">
        <f t="shared" si="1"/>
        <v>usa#1997</v>
      </c>
      <c r="B16977" t="str">
        <f>IFERROR(__xludf.DUMMYFUNCTION("""COMPUTED_VALUE"""),"usa")</f>
        <v>usa</v>
      </c>
      <c r="C16977" t="str">
        <f>IFERROR(__xludf.DUMMYFUNCTION("""COMPUTED_VALUE"""),"United States")</f>
        <v>United States</v>
      </c>
      <c r="D16977">
        <f>IFERROR(__xludf.DUMMYFUNCTION("""COMPUTED_VALUE"""),1997.0)</f>
        <v>1997</v>
      </c>
      <c r="E16977">
        <f>IFERROR(__xludf.DUMMYFUNCTION("""COMPUTED_VALUE"""),2.72136551E8)</f>
        <v>272136551</v>
      </c>
    </row>
    <row r="16978">
      <c r="A16978" t="str">
        <f t="shared" si="1"/>
        <v>usa#1998</v>
      </c>
      <c r="B16978" t="str">
        <f>IFERROR(__xludf.DUMMYFUNCTION("""COMPUTED_VALUE"""),"usa")</f>
        <v>usa</v>
      </c>
      <c r="C16978" t="str">
        <f>IFERROR(__xludf.DUMMYFUNCTION("""COMPUTED_VALUE"""),"United States")</f>
        <v>United States</v>
      </c>
      <c r="D16978">
        <f>IFERROR(__xludf.DUMMYFUNCTION("""COMPUTED_VALUE"""),1998.0)</f>
        <v>1998</v>
      </c>
      <c r="E16978">
        <f>IFERROR(__xludf.DUMMYFUNCTION("""COMPUTED_VALUE"""),2.75542603E8)</f>
        <v>275542603</v>
      </c>
    </row>
    <row r="16979">
      <c r="A16979" t="str">
        <f t="shared" si="1"/>
        <v>usa#1999</v>
      </c>
      <c r="B16979" t="str">
        <f>IFERROR(__xludf.DUMMYFUNCTION("""COMPUTED_VALUE"""),"usa")</f>
        <v>usa</v>
      </c>
      <c r="C16979" t="str">
        <f>IFERROR(__xludf.DUMMYFUNCTION("""COMPUTED_VALUE"""),"United States")</f>
        <v>United States</v>
      </c>
      <c r="D16979">
        <f>IFERROR(__xludf.DUMMYFUNCTION("""COMPUTED_VALUE"""),1999.0)</f>
        <v>1999</v>
      </c>
      <c r="E16979">
        <f>IFERROR(__xludf.DUMMYFUNCTION("""COMPUTED_VALUE"""),2.78862277E8)</f>
        <v>278862277</v>
      </c>
    </row>
    <row r="16980">
      <c r="A16980" t="str">
        <f t="shared" si="1"/>
        <v>usa#2000</v>
      </c>
      <c r="B16980" t="str">
        <f>IFERROR(__xludf.DUMMYFUNCTION("""COMPUTED_VALUE"""),"usa")</f>
        <v>usa</v>
      </c>
      <c r="C16980" t="str">
        <f>IFERROR(__xludf.DUMMYFUNCTION("""COMPUTED_VALUE"""),"United States")</f>
        <v>United States</v>
      </c>
      <c r="D16980">
        <f>IFERROR(__xludf.DUMMYFUNCTION("""COMPUTED_VALUE"""),2000.0)</f>
        <v>2000</v>
      </c>
      <c r="E16980">
        <f>IFERROR(__xludf.DUMMYFUNCTION("""COMPUTED_VALUE"""),2.81982778E8)</f>
        <v>281982778</v>
      </c>
    </row>
    <row r="16981">
      <c r="A16981" t="str">
        <f t="shared" si="1"/>
        <v>usa#2001</v>
      </c>
      <c r="B16981" t="str">
        <f>IFERROR(__xludf.DUMMYFUNCTION("""COMPUTED_VALUE"""),"usa")</f>
        <v>usa</v>
      </c>
      <c r="C16981" t="str">
        <f>IFERROR(__xludf.DUMMYFUNCTION("""COMPUTED_VALUE"""),"United States")</f>
        <v>United States</v>
      </c>
      <c r="D16981">
        <f>IFERROR(__xludf.DUMMYFUNCTION("""COMPUTED_VALUE"""),2001.0)</f>
        <v>2001</v>
      </c>
      <c r="E16981">
        <f>IFERROR(__xludf.DUMMYFUNCTION("""COMPUTED_VALUE"""),2.84852391E8)</f>
        <v>284852391</v>
      </c>
    </row>
    <row r="16982">
      <c r="A16982" t="str">
        <f t="shared" si="1"/>
        <v>usa#2002</v>
      </c>
      <c r="B16982" t="str">
        <f>IFERROR(__xludf.DUMMYFUNCTION("""COMPUTED_VALUE"""),"usa")</f>
        <v>usa</v>
      </c>
      <c r="C16982" t="str">
        <f>IFERROR(__xludf.DUMMYFUNCTION("""COMPUTED_VALUE"""),"United States")</f>
        <v>United States</v>
      </c>
      <c r="D16982">
        <f>IFERROR(__xludf.DUMMYFUNCTION("""COMPUTED_VALUE"""),2002.0)</f>
        <v>2002</v>
      </c>
      <c r="E16982">
        <f>IFERROR(__xludf.DUMMYFUNCTION("""COMPUTED_VALUE"""),2.87506847E8)</f>
        <v>287506847</v>
      </c>
    </row>
    <row r="16983">
      <c r="A16983" t="str">
        <f t="shared" si="1"/>
        <v>usa#2003</v>
      </c>
      <c r="B16983" t="str">
        <f>IFERROR(__xludf.DUMMYFUNCTION("""COMPUTED_VALUE"""),"usa")</f>
        <v>usa</v>
      </c>
      <c r="C16983" t="str">
        <f>IFERROR(__xludf.DUMMYFUNCTION("""COMPUTED_VALUE"""),"United States")</f>
        <v>United States</v>
      </c>
      <c r="D16983">
        <f>IFERROR(__xludf.DUMMYFUNCTION("""COMPUTED_VALUE"""),2003.0)</f>
        <v>2003</v>
      </c>
      <c r="E16983">
        <f>IFERROR(__xludf.DUMMYFUNCTION("""COMPUTED_VALUE"""),2.90027624E8)</f>
        <v>290027624</v>
      </c>
    </row>
    <row r="16984">
      <c r="A16984" t="str">
        <f t="shared" si="1"/>
        <v>usa#2004</v>
      </c>
      <c r="B16984" t="str">
        <f>IFERROR(__xludf.DUMMYFUNCTION("""COMPUTED_VALUE"""),"usa")</f>
        <v>usa</v>
      </c>
      <c r="C16984" t="str">
        <f>IFERROR(__xludf.DUMMYFUNCTION("""COMPUTED_VALUE"""),"United States")</f>
        <v>United States</v>
      </c>
      <c r="D16984">
        <f>IFERROR(__xludf.DUMMYFUNCTION("""COMPUTED_VALUE"""),2004.0)</f>
        <v>2004</v>
      </c>
      <c r="E16984">
        <f>IFERROR(__xludf.DUMMYFUNCTION("""COMPUTED_VALUE"""),2.92539324E8)</f>
        <v>292539324</v>
      </c>
    </row>
    <row r="16985">
      <c r="A16985" t="str">
        <f t="shared" si="1"/>
        <v>usa#2005</v>
      </c>
      <c r="B16985" t="str">
        <f>IFERROR(__xludf.DUMMYFUNCTION("""COMPUTED_VALUE"""),"usa")</f>
        <v>usa</v>
      </c>
      <c r="C16985" t="str">
        <f>IFERROR(__xludf.DUMMYFUNCTION("""COMPUTED_VALUE"""),"United States")</f>
        <v>United States</v>
      </c>
      <c r="D16985">
        <f>IFERROR(__xludf.DUMMYFUNCTION("""COMPUTED_VALUE"""),2005.0)</f>
        <v>2005</v>
      </c>
      <c r="E16985">
        <f>IFERROR(__xludf.DUMMYFUNCTION("""COMPUTED_VALUE"""),2.95129501E8)</f>
        <v>295129501</v>
      </c>
    </row>
    <row r="16986">
      <c r="A16986" t="str">
        <f t="shared" si="1"/>
        <v>usa#2006</v>
      </c>
      <c r="B16986" t="str">
        <f>IFERROR(__xludf.DUMMYFUNCTION("""COMPUTED_VALUE"""),"usa")</f>
        <v>usa</v>
      </c>
      <c r="C16986" t="str">
        <f>IFERROR(__xludf.DUMMYFUNCTION("""COMPUTED_VALUE"""),"United States")</f>
        <v>United States</v>
      </c>
      <c r="D16986">
        <f>IFERROR(__xludf.DUMMYFUNCTION("""COMPUTED_VALUE"""),2006.0)</f>
        <v>2006</v>
      </c>
      <c r="E16986">
        <f>IFERROR(__xludf.DUMMYFUNCTION("""COMPUTED_VALUE"""),2.97827356E8)</f>
        <v>297827356</v>
      </c>
    </row>
    <row r="16987">
      <c r="A16987" t="str">
        <f t="shared" si="1"/>
        <v>usa#2007</v>
      </c>
      <c r="B16987" t="str">
        <f>IFERROR(__xludf.DUMMYFUNCTION("""COMPUTED_VALUE"""),"usa")</f>
        <v>usa</v>
      </c>
      <c r="C16987" t="str">
        <f>IFERROR(__xludf.DUMMYFUNCTION("""COMPUTED_VALUE"""),"United States")</f>
        <v>United States</v>
      </c>
      <c r="D16987">
        <f>IFERROR(__xludf.DUMMYFUNCTION("""COMPUTED_VALUE"""),2007.0)</f>
        <v>2007</v>
      </c>
      <c r="E16987">
        <f>IFERROR(__xludf.DUMMYFUNCTION("""COMPUTED_VALUE"""),3.00595175E8)</f>
        <v>300595175</v>
      </c>
    </row>
    <row r="16988">
      <c r="A16988" t="str">
        <f t="shared" si="1"/>
        <v>usa#2008</v>
      </c>
      <c r="B16988" t="str">
        <f>IFERROR(__xludf.DUMMYFUNCTION("""COMPUTED_VALUE"""),"usa")</f>
        <v>usa</v>
      </c>
      <c r="C16988" t="str">
        <f>IFERROR(__xludf.DUMMYFUNCTION("""COMPUTED_VALUE"""),"United States")</f>
        <v>United States</v>
      </c>
      <c r="D16988">
        <f>IFERROR(__xludf.DUMMYFUNCTION("""COMPUTED_VALUE"""),2008.0)</f>
        <v>2008</v>
      </c>
      <c r="E16988">
        <f>IFERROR(__xludf.DUMMYFUNCTION("""COMPUTED_VALUE"""),3.03374067E8)</f>
        <v>303374067</v>
      </c>
    </row>
    <row r="16989">
      <c r="A16989" t="str">
        <f t="shared" si="1"/>
        <v>usa#2009</v>
      </c>
      <c r="B16989" t="str">
        <f>IFERROR(__xludf.DUMMYFUNCTION("""COMPUTED_VALUE"""),"usa")</f>
        <v>usa</v>
      </c>
      <c r="C16989" t="str">
        <f>IFERROR(__xludf.DUMMYFUNCTION("""COMPUTED_VALUE"""),"United States")</f>
        <v>United States</v>
      </c>
      <c r="D16989">
        <f>IFERROR(__xludf.DUMMYFUNCTION("""COMPUTED_VALUE"""),2009.0)</f>
        <v>2009</v>
      </c>
      <c r="E16989">
        <f>IFERROR(__xludf.DUMMYFUNCTION("""COMPUTED_VALUE"""),3.06076362E8)</f>
        <v>306076362</v>
      </c>
    </row>
    <row r="16990">
      <c r="A16990" t="str">
        <f t="shared" si="1"/>
        <v>usa#2010</v>
      </c>
      <c r="B16990" t="str">
        <f>IFERROR(__xludf.DUMMYFUNCTION("""COMPUTED_VALUE"""),"usa")</f>
        <v>usa</v>
      </c>
      <c r="C16990" t="str">
        <f>IFERROR(__xludf.DUMMYFUNCTION("""COMPUTED_VALUE"""),"United States")</f>
        <v>United States</v>
      </c>
      <c r="D16990">
        <f>IFERROR(__xludf.DUMMYFUNCTION("""COMPUTED_VALUE"""),2010.0)</f>
        <v>2010</v>
      </c>
      <c r="E16990">
        <f>IFERROR(__xludf.DUMMYFUNCTION("""COMPUTED_VALUE"""),3.08641391E8)</f>
        <v>308641391</v>
      </c>
    </row>
    <row r="16991">
      <c r="A16991" t="str">
        <f t="shared" si="1"/>
        <v>usa#2011</v>
      </c>
      <c r="B16991" t="str">
        <f>IFERROR(__xludf.DUMMYFUNCTION("""COMPUTED_VALUE"""),"usa")</f>
        <v>usa</v>
      </c>
      <c r="C16991" t="str">
        <f>IFERROR(__xludf.DUMMYFUNCTION("""COMPUTED_VALUE"""),"United States")</f>
        <v>United States</v>
      </c>
      <c r="D16991">
        <f>IFERROR(__xludf.DUMMYFUNCTION("""COMPUTED_VALUE"""),2011.0)</f>
        <v>2011</v>
      </c>
      <c r="E16991">
        <f>IFERROR(__xludf.DUMMYFUNCTION("""COMPUTED_VALUE"""),3.11051373E8)</f>
        <v>311051373</v>
      </c>
    </row>
    <row r="16992">
      <c r="A16992" t="str">
        <f t="shared" si="1"/>
        <v>usa#2012</v>
      </c>
      <c r="B16992" t="str">
        <f>IFERROR(__xludf.DUMMYFUNCTION("""COMPUTED_VALUE"""),"usa")</f>
        <v>usa</v>
      </c>
      <c r="C16992" t="str">
        <f>IFERROR(__xludf.DUMMYFUNCTION("""COMPUTED_VALUE"""),"United States")</f>
        <v>United States</v>
      </c>
      <c r="D16992">
        <f>IFERROR(__xludf.DUMMYFUNCTION("""COMPUTED_VALUE"""),2012.0)</f>
        <v>2012</v>
      </c>
      <c r="E16992">
        <f>IFERROR(__xludf.DUMMYFUNCTION("""COMPUTED_VALUE"""),3.13335423E8)</f>
        <v>313335423</v>
      </c>
    </row>
    <row r="16993">
      <c r="A16993" t="str">
        <f t="shared" si="1"/>
        <v>usa#2013</v>
      </c>
      <c r="B16993" t="str">
        <f>IFERROR(__xludf.DUMMYFUNCTION("""COMPUTED_VALUE"""),"usa")</f>
        <v>usa</v>
      </c>
      <c r="C16993" t="str">
        <f>IFERROR(__xludf.DUMMYFUNCTION("""COMPUTED_VALUE"""),"United States")</f>
        <v>United States</v>
      </c>
      <c r="D16993">
        <f>IFERROR(__xludf.DUMMYFUNCTION("""COMPUTED_VALUE"""),2013.0)</f>
        <v>2013</v>
      </c>
      <c r="E16993">
        <f>IFERROR(__xludf.DUMMYFUNCTION("""COMPUTED_VALUE"""),3.15536676E8)</f>
        <v>315536676</v>
      </c>
    </row>
    <row r="16994">
      <c r="A16994" t="str">
        <f t="shared" si="1"/>
        <v>usa#2014</v>
      </c>
      <c r="B16994" t="str">
        <f>IFERROR(__xludf.DUMMYFUNCTION("""COMPUTED_VALUE"""),"usa")</f>
        <v>usa</v>
      </c>
      <c r="C16994" t="str">
        <f>IFERROR(__xludf.DUMMYFUNCTION("""COMPUTED_VALUE"""),"United States")</f>
        <v>United States</v>
      </c>
      <c r="D16994">
        <f>IFERROR(__xludf.DUMMYFUNCTION("""COMPUTED_VALUE"""),2014.0)</f>
        <v>2014</v>
      </c>
      <c r="E16994">
        <f>IFERROR(__xludf.DUMMYFUNCTION("""COMPUTED_VALUE"""),3.17718779E8)</f>
        <v>317718779</v>
      </c>
    </row>
    <row r="16995">
      <c r="A16995" t="str">
        <f t="shared" si="1"/>
        <v>usa#2015</v>
      </c>
      <c r="B16995" t="str">
        <f>IFERROR(__xludf.DUMMYFUNCTION("""COMPUTED_VALUE"""),"usa")</f>
        <v>usa</v>
      </c>
      <c r="C16995" t="str">
        <f>IFERROR(__xludf.DUMMYFUNCTION("""COMPUTED_VALUE"""),"United States")</f>
        <v>United States</v>
      </c>
      <c r="D16995">
        <f>IFERROR(__xludf.DUMMYFUNCTION("""COMPUTED_VALUE"""),2015.0)</f>
        <v>2015</v>
      </c>
      <c r="E16995">
        <f>IFERROR(__xludf.DUMMYFUNCTION("""COMPUTED_VALUE"""),3.19929162E8)</f>
        <v>319929162</v>
      </c>
    </row>
    <row r="16996">
      <c r="A16996" t="str">
        <f t="shared" si="1"/>
        <v>usa#2016</v>
      </c>
      <c r="B16996" t="str">
        <f>IFERROR(__xludf.DUMMYFUNCTION("""COMPUTED_VALUE"""),"usa")</f>
        <v>usa</v>
      </c>
      <c r="C16996" t="str">
        <f>IFERROR(__xludf.DUMMYFUNCTION("""COMPUTED_VALUE"""),"United States")</f>
        <v>United States</v>
      </c>
      <c r="D16996">
        <f>IFERROR(__xludf.DUMMYFUNCTION("""COMPUTED_VALUE"""),2016.0)</f>
        <v>2016</v>
      </c>
      <c r="E16996">
        <f>IFERROR(__xludf.DUMMYFUNCTION("""COMPUTED_VALUE"""),3.22179605E8)</f>
        <v>322179605</v>
      </c>
    </row>
    <row r="16997">
      <c r="A16997" t="str">
        <f t="shared" si="1"/>
        <v>usa#2017</v>
      </c>
      <c r="B16997" t="str">
        <f>IFERROR(__xludf.DUMMYFUNCTION("""COMPUTED_VALUE"""),"usa")</f>
        <v>usa</v>
      </c>
      <c r="C16997" t="str">
        <f>IFERROR(__xludf.DUMMYFUNCTION("""COMPUTED_VALUE"""),"United States")</f>
        <v>United States</v>
      </c>
      <c r="D16997">
        <f>IFERROR(__xludf.DUMMYFUNCTION("""COMPUTED_VALUE"""),2017.0)</f>
        <v>2017</v>
      </c>
      <c r="E16997">
        <f>IFERROR(__xludf.DUMMYFUNCTION("""COMPUTED_VALUE"""),3.24459463E8)</f>
        <v>324459463</v>
      </c>
    </row>
    <row r="16998">
      <c r="A16998" t="str">
        <f t="shared" si="1"/>
        <v>usa#2018</v>
      </c>
      <c r="B16998" t="str">
        <f>IFERROR(__xludf.DUMMYFUNCTION("""COMPUTED_VALUE"""),"usa")</f>
        <v>usa</v>
      </c>
      <c r="C16998" t="str">
        <f>IFERROR(__xludf.DUMMYFUNCTION("""COMPUTED_VALUE"""),"United States")</f>
        <v>United States</v>
      </c>
      <c r="D16998">
        <f>IFERROR(__xludf.DUMMYFUNCTION("""COMPUTED_VALUE"""),2018.0)</f>
        <v>2018</v>
      </c>
      <c r="E16998">
        <f>IFERROR(__xludf.DUMMYFUNCTION("""COMPUTED_VALUE"""),3.26766748E8)</f>
        <v>326766748</v>
      </c>
    </row>
    <row r="16999">
      <c r="A16999" t="str">
        <f t="shared" si="1"/>
        <v>usa#2019</v>
      </c>
      <c r="B16999" t="str">
        <f>IFERROR(__xludf.DUMMYFUNCTION("""COMPUTED_VALUE"""),"usa")</f>
        <v>usa</v>
      </c>
      <c r="C16999" t="str">
        <f>IFERROR(__xludf.DUMMYFUNCTION("""COMPUTED_VALUE"""),"United States")</f>
        <v>United States</v>
      </c>
      <c r="D16999">
        <f>IFERROR(__xludf.DUMMYFUNCTION("""COMPUTED_VALUE"""),2019.0)</f>
        <v>2019</v>
      </c>
      <c r="E16999">
        <f>IFERROR(__xludf.DUMMYFUNCTION("""COMPUTED_VALUE"""),3.2909311E8)</f>
        <v>329093110</v>
      </c>
    </row>
    <row r="17000">
      <c r="A17000" t="str">
        <f t="shared" si="1"/>
        <v>usa#2020</v>
      </c>
      <c r="B17000" t="str">
        <f>IFERROR(__xludf.DUMMYFUNCTION("""COMPUTED_VALUE"""),"usa")</f>
        <v>usa</v>
      </c>
      <c r="C17000" t="str">
        <f>IFERROR(__xludf.DUMMYFUNCTION("""COMPUTED_VALUE"""),"United States")</f>
        <v>United States</v>
      </c>
      <c r="D17000">
        <f>IFERROR(__xludf.DUMMYFUNCTION("""COMPUTED_VALUE"""),2020.0)</f>
        <v>2020</v>
      </c>
      <c r="E17000">
        <f>IFERROR(__xludf.DUMMYFUNCTION("""COMPUTED_VALUE"""),3.31431534E8)</f>
        <v>331431534</v>
      </c>
    </row>
    <row r="17001">
      <c r="A17001" t="str">
        <f t="shared" si="1"/>
        <v>usa#2021</v>
      </c>
      <c r="B17001" t="str">
        <f>IFERROR(__xludf.DUMMYFUNCTION("""COMPUTED_VALUE"""),"usa")</f>
        <v>usa</v>
      </c>
      <c r="C17001" t="str">
        <f>IFERROR(__xludf.DUMMYFUNCTION("""COMPUTED_VALUE"""),"United States")</f>
        <v>United States</v>
      </c>
      <c r="D17001">
        <f>IFERROR(__xludf.DUMMYFUNCTION("""COMPUTED_VALUE"""),2021.0)</f>
        <v>2021</v>
      </c>
      <c r="E17001">
        <f>IFERROR(__xludf.DUMMYFUNCTION("""COMPUTED_VALUE"""),3.33783196E8)</f>
        <v>333783196</v>
      </c>
    </row>
    <row r="17002">
      <c r="A17002" t="str">
        <f t="shared" si="1"/>
        <v>usa#2022</v>
      </c>
      <c r="B17002" t="str">
        <f>IFERROR(__xludf.DUMMYFUNCTION("""COMPUTED_VALUE"""),"usa")</f>
        <v>usa</v>
      </c>
      <c r="C17002" t="str">
        <f>IFERROR(__xludf.DUMMYFUNCTION("""COMPUTED_VALUE"""),"United States")</f>
        <v>United States</v>
      </c>
      <c r="D17002">
        <f>IFERROR(__xludf.DUMMYFUNCTION("""COMPUTED_VALUE"""),2022.0)</f>
        <v>2022</v>
      </c>
      <c r="E17002">
        <f>IFERROR(__xludf.DUMMYFUNCTION("""COMPUTED_VALUE"""),3.36149711E8)</f>
        <v>336149711</v>
      </c>
    </row>
    <row r="17003">
      <c r="A17003" t="str">
        <f t="shared" si="1"/>
        <v>usa#2023</v>
      </c>
      <c r="B17003" t="str">
        <f>IFERROR(__xludf.DUMMYFUNCTION("""COMPUTED_VALUE"""),"usa")</f>
        <v>usa</v>
      </c>
      <c r="C17003" t="str">
        <f>IFERROR(__xludf.DUMMYFUNCTION("""COMPUTED_VALUE"""),"United States")</f>
        <v>United States</v>
      </c>
      <c r="D17003">
        <f>IFERROR(__xludf.DUMMYFUNCTION("""COMPUTED_VALUE"""),2023.0)</f>
        <v>2023</v>
      </c>
      <c r="E17003">
        <f>IFERROR(__xludf.DUMMYFUNCTION("""COMPUTED_VALUE"""),3.38523714E8)</f>
        <v>338523714</v>
      </c>
    </row>
    <row r="17004">
      <c r="A17004" t="str">
        <f t="shared" si="1"/>
        <v>usa#2024</v>
      </c>
      <c r="B17004" t="str">
        <f>IFERROR(__xludf.DUMMYFUNCTION("""COMPUTED_VALUE"""),"usa")</f>
        <v>usa</v>
      </c>
      <c r="C17004" t="str">
        <f>IFERROR(__xludf.DUMMYFUNCTION("""COMPUTED_VALUE"""),"United States")</f>
        <v>United States</v>
      </c>
      <c r="D17004">
        <f>IFERROR(__xludf.DUMMYFUNCTION("""COMPUTED_VALUE"""),2024.0)</f>
        <v>2024</v>
      </c>
      <c r="E17004">
        <f>IFERROR(__xludf.DUMMYFUNCTION("""COMPUTED_VALUE"""),3.40895345E8)</f>
        <v>340895345</v>
      </c>
    </row>
    <row r="17005">
      <c r="A17005" t="str">
        <f t="shared" si="1"/>
        <v>usa#2025</v>
      </c>
      <c r="B17005" t="str">
        <f>IFERROR(__xludf.DUMMYFUNCTION("""COMPUTED_VALUE"""),"usa")</f>
        <v>usa</v>
      </c>
      <c r="C17005" t="str">
        <f>IFERROR(__xludf.DUMMYFUNCTION("""COMPUTED_VALUE"""),"United States")</f>
        <v>United States</v>
      </c>
      <c r="D17005">
        <f>IFERROR(__xludf.DUMMYFUNCTION("""COMPUTED_VALUE"""),2025.0)</f>
        <v>2025</v>
      </c>
      <c r="E17005">
        <f>IFERROR(__xludf.DUMMYFUNCTION("""COMPUTED_VALUE"""),3.43255846E8)</f>
        <v>343255846</v>
      </c>
    </row>
    <row r="17006">
      <c r="A17006" t="str">
        <f t="shared" si="1"/>
        <v>usa#2026</v>
      </c>
      <c r="B17006" t="str">
        <f>IFERROR(__xludf.DUMMYFUNCTION("""COMPUTED_VALUE"""),"usa")</f>
        <v>usa</v>
      </c>
      <c r="C17006" t="str">
        <f>IFERROR(__xludf.DUMMYFUNCTION("""COMPUTED_VALUE"""),"United States")</f>
        <v>United States</v>
      </c>
      <c r="D17006">
        <f>IFERROR(__xludf.DUMMYFUNCTION("""COMPUTED_VALUE"""),2026.0)</f>
        <v>2026</v>
      </c>
      <c r="E17006">
        <f>IFERROR(__xludf.DUMMYFUNCTION("""COMPUTED_VALUE"""),3.45601753E8)</f>
        <v>345601753</v>
      </c>
    </row>
    <row r="17007">
      <c r="A17007" t="str">
        <f t="shared" si="1"/>
        <v>usa#2027</v>
      </c>
      <c r="B17007" t="str">
        <f>IFERROR(__xludf.DUMMYFUNCTION("""COMPUTED_VALUE"""),"usa")</f>
        <v>usa</v>
      </c>
      <c r="C17007" t="str">
        <f>IFERROR(__xludf.DUMMYFUNCTION("""COMPUTED_VALUE"""),"United States")</f>
        <v>United States</v>
      </c>
      <c r="D17007">
        <f>IFERROR(__xludf.DUMMYFUNCTION("""COMPUTED_VALUE"""),2027.0)</f>
        <v>2027</v>
      </c>
      <c r="E17007">
        <f>IFERROR(__xludf.DUMMYFUNCTION("""COMPUTED_VALUE"""),3.47929541E8)</f>
        <v>347929541</v>
      </c>
    </row>
    <row r="17008">
      <c r="A17008" t="str">
        <f t="shared" si="1"/>
        <v>usa#2028</v>
      </c>
      <c r="B17008" t="str">
        <f>IFERROR(__xludf.DUMMYFUNCTION("""COMPUTED_VALUE"""),"usa")</f>
        <v>usa</v>
      </c>
      <c r="C17008" t="str">
        <f>IFERROR(__xludf.DUMMYFUNCTION("""COMPUTED_VALUE"""),"United States")</f>
        <v>United States</v>
      </c>
      <c r="D17008">
        <f>IFERROR(__xludf.DUMMYFUNCTION("""COMPUTED_VALUE"""),2028.0)</f>
        <v>2028</v>
      </c>
      <c r="E17008">
        <f>IFERROR(__xludf.DUMMYFUNCTION("""COMPUTED_VALUE"""),3.50230259E8)</f>
        <v>350230259</v>
      </c>
    </row>
    <row r="17009">
      <c r="A17009" t="str">
        <f t="shared" si="1"/>
        <v>usa#2029</v>
      </c>
      <c r="B17009" t="str">
        <f>IFERROR(__xludf.DUMMYFUNCTION("""COMPUTED_VALUE"""),"usa")</f>
        <v>usa</v>
      </c>
      <c r="C17009" t="str">
        <f>IFERROR(__xludf.DUMMYFUNCTION("""COMPUTED_VALUE"""),"United States")</f>
        <v>United States</v>
      </c>
      <c r="D17009">
        <f>IFERROR(__xludf.DUMMYFUNCTION("""COMPUTED_VALUE"""),2029.0)</f>
        <v>2029</v>
      </c>
      <c r="E17009">
        <f>IFERROR(__xludf.DUMMYFUNCTION("""COMPUTED_VALUE"""),3.52493665E8)</f>
        <v>352493665</v>
      </c>
    </row>
    <row r="17010">
      <c r="A17010" t="str">
        <f t="shared" si="1"/>
        <v>usa#2030</v>
      </c>
      <c r="B17010" t="str">
        <f>IFERROR(__xludf.DUMMYFUNCTION("""COMPUTED_VALUE"""),"usa")</f>
        <v>usa</v>
      </c>
      <c r="C17010" t="str">
        <f>IFERROR(__xludf.DUMMYFUNCTION("""COMPUTED_VALUE"""),"United States")</f>
        <v>United States</v>
      </c>
      <c r="D17010">
        <f>IFERROR(__xludf.DUMMYFUNCTION("""COMPUTED_VALUE"""),2030.0)</f>
        <v>2030</v>
      </c>
      <c r="E17010">
        <f>IFERROR(__xludf.DUMMYFUNCTION("""COMPUTED_VALUE"""),3.5471167E8)</f>
        <v>354711670</v>
      </c>
    </row>
    <row r="17011">
      <c r="A17011" t="str">
        <f t="shared" si="1"/>
        <v>usa#2031</v>
      </c>
      <c r="B17011" t="str">
        <f>IFERROR(__xludf.DUMMYFUNCTION("""COMPUTED_VALUE"""),"usa")</f>
        <v>usa</v>
      </c>
      <c r="C17011" t="str">
        <f>IFERROR(__xludf.DUMMYFUNCTION("""COMPUTED_VALUE"""),"United States")</f>
        <v>United States</v>
      </c>
      <c r="D17011">
        <f>IFERROR(__xludf.DUMMYFUNCTION("""COMPUTED_VALUE"""),2031.0)</f>
        <v>2031</v>
      </c>
      <c r="E17011">
        <f>IFERROR(__xludf.DUMMYFUNCTION("""COMPUTED_VALUE"""),3.56879946E8)</f>
        <v>356879946</v>
      </c>
    </row>
    <row r="17012">
      <c r="A17012" t="str">
        <f t="shared" si="1"/>
        <v>usa#2032</v>
      </c>
      <c r="B17012" t="str">
        <f>IFERROR(__xludf.DUMMYFUNCTION("""COMPUTED_VALUE"""),"usa")</f>
        <v>usa</v>
      </c>
      <c r="C17012" t="str">
        <f>IFERROR(__xludf.DUMMYFUNCTION("""COMPUTED_VALUE"""),"United States")</f>
        <v>United States</v>
      </c>
      <c r="D17012">
        <f>IFERROR(__xludf.DUMMYFUNCTION("""COMPUTED_VALUE"""),2032.0)</f>
        <v>2032</v>
      </c>
      <c r="E17012">
        <f>IFERROR(__xludf.DUMMYFUNCTION("""COMPUTED_VALUE"""),3.58997015E8)</f>
        <v>358997015</v>
      </c>
    </row>
    <row r="17013">
      <c r="A17013" t="str">
        <f t="shared" si="1"/>
        <v>usa#2033</v>
      </c>
      <c r="B17013" t="str">
        <f>IFERROR(__xludf.DUMMYFUNCTION("""COMPUTED_VALUE"""),"usa")</f>
        <v>usa</v>
      </c>
      <c r="C17013" t="str">
        <f>IFERROR(__xludf.DUMMYFUNCTION("""COMPUTED_VALUE"""),"United States")</f>
        <v>United States</v>
      </c>
      <c r="D17013">
        <f>IFERROR(__xludf.DUMMYFUNCTION("""COMPUTED_VALUE"""),2033.0)</f>
        <v>2033</v>
      </c>
      <c r="E17013">
        <f>IFERROR(__xludf.DUMMYFUNCTION("""COMPUTED_VALUE"""),3.6106161E8)</f>
        <v>361061610</v>
      </c>
    </row>
    <row r="17014">
      <c r="A17014" t="str">
        <f t="shared" si="1"/>
        <v>usa#2034</v>
      </c>
      <c r="B17014" t="str">
        <f>IFERROR(__xludf.DUMMYFUNCTION("""COMPUTED_VALUE"""),"usa")</f>
        <v>usa</v>
      </c>
      <c r="C17014" t="str">
        <f>IFERROR(__xludf.DUMMYFUNCTION("""COMPUTED_VALUE"""),"United States")</f>
        <v>United States</v>
      </c>
      <c r="D17014">
        <f>IFERROR(__xludf.DUMMYFUNCTION("""COMPUTED_VALUE"""),2034.0)</f>
        <v>2034</v>
      </c>
      <c r="E17014">
        <f>IFERROR(__xludf.DUMMYFUNCTION("""COMPUTED_VALUE"""),3.6307379E8)</f>
        <v>363073790</v>
      </c>
    </row>
    <row r="17015">
      <c r="A17015" t="str">
        <f t="shared" si="1"/>
        <v>usa#2035</v>
      </c>
      <c r="B17015" t="str">
        <f>IFERROR(__xludf.DUMMYFUNCTION("""COMPUTED_VALUE"""),"usa")</f>
        <v>usa</v>
      </c>
      <c r="C17015" t="str">
        <f>IFERROR(__xludf.DUMMYFUNCTION("""COMPUTED_VALUE"""),"United States")</f>
        <v>United States</v>
      </c>
      <c r="D17015">
        <f>IFERROR(__xludf.DUMMYFUNCTION("""COMPUTED_VALUE"""),2035.0)</f>
        <v>2035</v>
      </c>
      <c r="E17015">
        <f>IFERROR(__xludf.DUMMYFUNCTION("""COMPUTED_VALUE"""),3.65033872E8)</f>
        <v>365033872</v>
      </c>
    </row>
    <row r="17016">
      <c r="A17016" t="str">
        <f t="shared" si="1"/>
        <v>usa#2036</v>
      </c>
      <c r="B17016" t="str">
        <f>IFERROR(__xludf.DUMMYFUNCTION("""COMPUTED_VALUE"""),"usa")</f>
        <v>usa</v>
      </c>
      <c r="C17016" t="str">
        <f>IFERROR(__xludf.DUMMYFUNCTION("""COMPUTED_VALUE"""),"United States")</f>
        <v>United States</v>
      </c>
      <c r="D17016">
        <f>IFERROR(__xludf.DUMMYFUNCTION("""COMPUTED_VALUE"""),2036.0)</f>
        <v>2036</v>
      </c>
      <c r="E17016">
        <f>IFERROR(__xludf.DUMMYFUNCTION("""COMPUTED_VALUE"""),3.66941644E8)</f>
        <v>366941644</v>
      </c>
    </row>
    <row r="17017">
      <c r="A17017" t="str">
        <f t="shared" si="1"/>
        <v>usa#2037</v>
      </c>
      <c r="B17017" t="str">
        <f>IFERROR(__xludf.DUMMYFUNCTION("""COMPUTED_VALUE"""),"usa")</f>
        <v>usa</v>
      </c>
      <c r="C17017" t="str">
        <f>IFERROR(__xludf.DUMMYFUNCTION("""COMPUTED_VALUE"""),"United States")</f>
        <v>United States</v>
      </c>
      <c r="D17017">
        <f>IFERROR(__xludf.DUMMYFUNCTION("""COMPUTED_VALUE"""),2037.0)</f>
        <v>2037</v>
      </c>
      <c r="E17017">
        <f>IFERROR(__xludf.DUMMYFUNCTION("""COMPUTED_VALUE"""),3.6879715E8)</f>
        <v>368797150</v>
      </c>
    </row>
    <row r="17018">
      <c r="A17018" t="str">
        <f t="shared" si="1"/>
        <v>usa#2038</v>
      </c>
      <c r="B17018" t="str">
        <f>IFERROR(__xludf.DUMMYFUNCTION("""COMPUTED_VALUE"""),"usa")</f>
        <v>usa</v>
      </c>
      <c r="C17018" t="str">
        <f>IFERROR(__xludf.DUMMYFUNCTION("""COMPUTED_VALUE"""),"United States")</f>
        <v>United States</v>
      </c>
      <c r="D17018">
        <f>IFERROR(__xludf.DUMMYFUNCTION("""COMPUTED_VALUE"""),2038.0)</f>
        <v>2038</v>
      </c>
      <c r="E17018">
        <f>IFERROR(__xludf.DUMMYFUNCTION("""COMPUTED_VALUE"""),3.70601929E8)</f>
        <v>370601929</v>
      </c>
    </row>
    <row r="17019">
      <c r="A17019" t="str">
        <f t="shared" si="1"/>
        <v>usa#2039</v>
      </c>
      <c r="B17019" t="str">
        <f>IFERROR(__xludf.DUMMYFUNCTION("""COMPUTED_VALUE"""),"usa")</f>
        <v>usa</v>
      </c>
      <c r="C17019" t="str">
        <f>IFERROR(__xludf.DUMMYFUNCTION("""COMPUTED_VALUE"""),"United States")</f>
        <v>United States</v>
      </c>
      <c r="D17019">
        <f>IFERROR(__xludf.DUMMYFUNCTION("""COMPUTED_VALUE"""),2039.0)</f>
        <v>2039</v>
      </c>
      <c r="E17019">
        <f>IFERROR(__xludf.DUMMYFUNCTION("""COMPUTED_VALUE"""),3.72358216E8)</f>
        <v>372358216</v>
      </c>
    </row>
    <row r="17020">
      <c r="A17020" t="str">
        <f t="shared" si="1"/>
        <v>usa#2040</v>
      </c>
      <c r="B17020" t="str">
        <f>IFERROR(__xludf.DUMMYFUNCTION("""COMPUTED_VALUE"""),"usa")</f>
        <v>usa</v>
      </c>
      <c r="C17020" t="str">
        <f>IFERROR(__xludf.DUMMYFUNCTION("""COMPUTED_VALUE"""),"United States")</f>
        <v>United States</v>
      </c>
      <c r="D17020">
        <f>IFERROR(__xludf.DUMMYFUNCTION("""COMPUTED_VALUE"""),2040.0)</f>
        <v>2040</v>
      </c>
      <c r="E17020">
        <f>IFERROR(__xludf.DUMMYFUNCTION("""COMPUTED_VALUE"""),3.74068752E8)</f>
        <v>374068752</v>
      </c>
    </row>
    <row r="17021">
      <c r="A17021" t="str">
        <f t="shared" si="1"/>
        <v>ury#1950</v>
      </c>
      <c r="B17021" t="str">
        <f>IFERROR(__xludf.DUMMYFUNCTION("""COMPUTED_VALUE"""),"ury")</f>
        <v>ury</v>
      </c>
      <c r="C17021" t="str">
        <f>IFERROR(__xludf.DUMMYFUNCTION("""COMPUTED_VALUE"""),"Uruguay")</f>
        <v>Uruguay</v>
      </c>
      <c r="D17021">
        <f>IFERROR(__xludf.DUMMYFUNCTION("""COMPUTED_VALUE"""),1950.0)</f>
        <v>1950</v>
      </c>
      <c r="E17021">
        <f>IFERROR(__xludf.DUMMYFUNCTION("""COMPUTED_VALUE"""),2238507.0)</f>
        <v>2238507</v>
      </c>
    </row>
    <row r="17022">
      <c r="A17022" t="str">
        <f t="shared" si="1"/>
        <v>ury#1951</v>
      </c>
      <c r="B17022" t="str">
        <f>IFERROR(__xludf.DUMMYFUNCTION("""COMPUTED_VALUE"""),"ury")</f>
        <v>ury</v>
      </c>
      <c r="C17022" t="str">
        <f>IFERROR(__xludf.DUMMYFUNCTION("""COMPUTED_VALUE"""),"Uruguay")</f>
        <v>Uruguay</v>
      </c>
      <c r="D17022">
        <f>IFERROR(__xludf.DUMMYFUNCTION("""COMPUTED_VALUE"""),1951.0)</f>
        <v>1951</v>
      </c>
      <c r="E17022">
        <f>IFERROR(__xludf.DUMMYFUNCTION("""COMPUTED_VALUE"""),2261342.0)</f>
        <v>2261342</v>
      </c>
    </row>
    <row r="17023">
      <c r="A17023" t="str">
        <f t="shared" si="1"/>
        <v>ury#1952</v>
      </c>
      <c r="B17023" t="str">
        <f>IFERROR(__xludf.DUMMYFUNCTION("""COMPUTED_VALUE"""),"ury")</f>
        <v>ury</v>
      </c>
      <c r="C17023" t="str">
        <f>IFERROR(__xludf.DUMMYFUNCTION("""COMPUTED_VALUE"""),"Uruguay")</f>
        <v>Uruguay</v>
      </c>
      <c r="D17023">
        <f>IFERROR(__xludf.DUMMYFUNCTION("""COMPUTED_VALUE"""),1952.0)</f>
        <v>1952</v>
      </c>
      <c r="E17023">
        <f>IFERROR(__xludf.DUMMYFUNCTION("""COMPUTED_VALUE"""),2286265.0)</f>
        <v>2286265</v>
      </c>
    </row>
    <row r="17024">
      <c r="A17024" t="str">
        <f t="shared" si="1"/>
        <v>ury#1953</v>
      </c>
      <c r="B17024" t="str">
        <f>IFERROR(__xludf.DUMMYFUNCTION("""COMPUTED_VALUE"""),"ury")</f>
        <v>ury</v>
      </c>
      <c r="C17024" t="str">
        <f>IFERROR(__xludf.DUMMYFUNCTION("""COMPUTED_VALUE"""),"Uruguay")</f>
        <v>Uruguay</v>
      </c>
      <c r="D17024">
        <f>IFERROR(__xludf.DUMMYFUNCTION("""COMPUTED_VALUE"""),1953.0)</f>
        <v>1953</v>
      </c>
      <c r="E17024">
        <f>IFERROR(__xludf.DUMMYFUNCTION("""COMPUTED_VALUE"""),2313213.0)</f>
        <v>2313213</v>
      </c>
    </row>
    <row r="17025">
      <c r="A17025" t="str">
        <f t="shared" si="1"/>
        <v>ury#1954</v>
      </c>
      <c r="B17025" t="str">
        <f>IFERROR(__xludf.DUMMYFUNCTION("""COMPUTED_VALUE"""),"ury")</f>
        <v>ury</v>
      </c>
      <c r="C17025" t="str">
        <f>IFERROR(__xludf.DUMMYFUNCTION("""COMPUTED_VALUE"""),"Uruguay")</f>
        <v>Uruguay</v>
      </c>
      <c r="D17025">
        <f>IFERROR(__xludf.DUMMYFUNCTION("""COMPUTED_VALUE"""),1954.0)</f>
        <v>1954</v>
      </c>
      <c r="E17025">
        <f>IFERROR(__xludf.DUMMYFUNCTION("""COMPUTED_VALUE"""),2342042.0)</f>
        <v>2342042</v>
      </c>
    </row>
    <row r="17026">
      <c r="A17026" t="str">
        <f t="shared" si="1"/>
        <v>ury#1955</v>
      </c>
      <c r="B17026" t="str">
        <f>IFERROR(__xludf.DUMMYFUNCTION("""COMPUTED_VALUE"""),"ury")</f>
        <v>ury</v>
      </c>
      <c r="C17026" t="str">
        <f>IFERROR(__xludf.DUMMYFUNCTION("""COMPUTED_VALUE"""),"Uruguay")</f>
        <v>Uruguay</v>
      </c>
      <c r="D17026">
        <f>IFERROR(__xludf.DUMMYFUNCTION("""COMPUTED_VALUE"""),1955.0)</f>
        <v>1955</v>
      </c>
      <c r="E17026">
        <f>IFERROR(__xludf.DUMMYFUNCTION("""COMPUTED_VALUE"""),2372568.0)</f>
        <v>2372568</v>
      </c>
    </row>
    <row r="17027">
      <c r="A17027" t="str">
        <f t="shared" si="1"/>
        <v>ury#1956</v>
      </c>
      <c r="B17027" t="str">
        <f>IFERROR(__xludf.DUMMYFUNCTION("""COMPUTED_VALUE"""),"ury")</f>
        <v>ury</v>
      </c>
      <c r="C17027" t="str">
        <f>IFERROR(__xludf.DUMMYFUNCTION("""COMPUTED_VALUE"""),"Uruguay")</f>
        <v>Uruguay</v>
      </c>
      <c r="D17027">
        <f>IFERROR(__xludf.DUMMYFUNCTION("""COMPUTED_VALUE"""),1956.0)</f>
        <v>1956</v>
      </c>
      <c r="E17027">
        <f>IFERROR(__xludf.DUMMYFUNCTION("""COMPUTED_VALUE"""),2404499.0)</f>
        <v>2404499</v>
      </c>
    </row>
    <row r="17028">
      <c r="A17028" t="str">
        <f t="shared" si="1"/>
        <v>ury#1957</v>
      </c>
      <c r="B17028" t="str">
        <f>IFERROR(__xludf.DUMMYFUNCTION("""COMPUTED_VALUE"""),"ury")</f>
        <v>ury</v>
      </c>
      <c r="C17028" t="str">
        <f>IFERROR(__xludf.DUMMYFUNCTION("""COMPUTED_VALUE"""),"Uruguay")</f>
        <v>Uruguay</v>
      </c>
      <c r="D17028">
        <f>IFERROR(__xludf.DUMMYFUNCTION("""COMPUTED_VALUE"""),1957.0)</f>
        <v>1957</v>
      </c>
      <c r="E17028">
        <f>IFERROR(__xludf.DUMMYFUNCTION("""COMPUTED_VALUE"""),2437499.0)</f>
        <v>2437499</v>
      </c>
    </row>
    <row r="17029">
      <c r="A17029" t="str">
        <f t="shared" si="1"/>
        <v>ury#1958</v>
      </c>
      <c r="B17029" t="str">
        <f>IFERROR(__xludf.DUMMYFUNCTION("""COMPUTED_VALUE"""),"ury")</f>
        <v>ury</v>
      </c>
      <c r="C17029" t="str">
        <f>IFERROR(__xludf.DUMMYFUNCTION("""COMPUTED_VALUE"""),"Uruguay")</f>
        <v>Uruguay</v>
      </c>
      <c r="D17029">
        <f>IFERROR(__xludf.DUMMYFUNCTION("""COMPUTED_VALUE"""),1958.0)</f>
        <v>1958</v>
      </c>
      <c r="E17029">
        <f>IFERROR(__xludf.DUMMYFUNCTION("""COMPUTED_VALUE"""),2471153.0)</f>
        <v>2471153</v>
      </c>
    </row>
    <row r="17030">
      <c r="A17030" t="str">
        <f t="shared" si="1"/>
        <v>ury#1959</v>
      </c>
      <c r="B17030" t="str">
        <f>IFERROR(__xludf.DUMMYFUNCTION("""COMPUTED_VALUE"""),"ury")</f>
        <v>ury</v>
      </c>
      <c r="C17030" t="str">
        <f>IFERROR(__xludf.DUMMYFUNCTION("""COMPUTED_VALUE"""),"Uruguay")</f>
        <v>Uruguay</v>
      </c>
      <c r="D17030">
        <f>IFERROR(__xludf.DUMMYFUNCTION("""COMPUTED_VALUE"""),1959.0)</f>
        <v>1959</v>
      </c>
      <c r="E17030">
        <f>IFERROR(__xludf.DUMMYFUNCTION("""COMPUTED_VALUE"""),2505015.0)</f>
        <v>2505015</v>
      </c>
    </row>
    <row r="17031">
      <c r="A17031" t="str">
        <f t="shared" si="1"/>
        <v>ury#1960</v>
      </c>
      <c r="B17031" t="str">
        <f>IFERROR(__xludf.DUMMYFUNCTION("""COMPUTED_VALUE"""),"ury")</f>
        <v>ury</v>
      </c>
      <c r="C17031" t="str">
        <f>IFERROR(__xludf.DUMMYFUNCTION("""COMPUTED_VALUE"""),"Uruguay")</f>
        <v>Uruguay</v>
      </c>
      <c r="D17031">
        <f>IFERROR(__xludf.DUMMYFUNCTION("""COMPUTED_VALUE"""),1960.0)</f>
        <v>1960</v>
      </c>
      <c r="E17031">
        <f>IFERROR(__xludf.DUMMYFUNCTION("""COMPUTED_VALUE"""),2538651.0)</f>
        <v>2538651</v>
      </c>
    </row>
    <row r="17032">
      <c r="A17032" t="str">
        <f t="shared" si="1"/>
        <v>ury#1961</v>
      </c>
      <c r="B17032" t="str">
        <f>IFERROR(__xludf.DUMMYFUNCTION("""COMPUTED_VALUE"""),"ury")</f>
        <v>ury</v>
      </c>
      <c r="C17032" t="str">
        <f>IFERROR(__xludf.DUMMYFUNCTION("""COMPUTED_VALUE"""),"Uruguay")</f>
        <v>Uruguay</v>
      </c>
      <c r="D17032">
        <f>IFERROR(__xludf.DUMMYFUNCTION("""COMPUTED_VALUE"""),1961.0)</f>
        <v>1961</v>
      </c>
      <c r="E17032">
        <f>IFERROR(__xludf.DUMMYFUNCTION("""COMPUTED_VALUE"""),2571690.0)</f>
        <v>2571690</v>
      </c>
    </row>
    <row r="17033">
      <c r="A17033" t="str">
        <f t="shared" si="1"/>
        <v>ury#1962</v>
      </c>
      <c r="B17033" t="str">
        <f>IFERROR(__xludf.DUMMYFUNCTION("""COMPUTED_VALUE"""),"ury")</f>
        <v>ury</v>
      </c>
      <c r="C17033" t="str">
        <f>IFERROR(__xludf.DUMMYFUNCTION("""COMPUTED_VALUE"""),"Uruguay")</f>
        <v>Uruguay</v>
      </c>
      <c r="D17033">
        <f>IFERROR(__xludf.DUMMYFUNCTION("""COMPUTED_VALUE"""),1962.0)</f>
        <v>1962</v>
      </c>
      <c r="E17033">
        <f>IFERROR(__xludf.DUMMYFUNCTION("""COMPUTED_VALUE"""),2603887.0)</f>
        <v>2603887</v>
      </c>
    </row>
    <row r="17034">
      <c r="A17034" t="str">
        <f t="shared" si="1"/>
        <v>ury#1963</v>
      </c>
      <c r="B17034" t="str">
        <f>IFERROR(__xludf.DUMMYFUNCTION("""COMPUTED_VALUE"""),"ury")</f>
        <v>ury</v>
      </c>
      <c r="C17034" t="str">
        <f>IFERROR(__xludf.DUMMYFUNCTION("""COMPUTED_VALUE"""),"Uruguay")</f>
        <v>Uruguay</v>
      </c>
      <c r="D17034">
        <f>IFERROR(__xludf.DUMMYFUNCTION("""COMPUTED_VALUE"""),1963.0)</f>
        <v>1963</v>
      </c>
      <c r="E17034">
        <f>IFERROR(__xludf.DUMMYFUNCTION("""COMPUTED_VALUE"""),2635129.0)</f>
        <v>2635129</v>
      </c>
    </row>
    <row r="17035">
      <c r="A17035" t="str">
        <f t="shared" si="1"/>
        <v>ury#1964</v>
      </c>
      <c r="B17035" t="str">
        <f>IFERROR(__xludf.DUMMYFUNCTION("""COMPUTED_VALUE"""),"ury")</f>
        <v>ury</v>
      </c>
      <c r="C17035" t="str">
        <f>IFERROR(__xludf.DUMMYFUNCTION("""COMPUTED_VALUE"""),"Uruguay")</f>
        <v>Uruguay</v>
      </c>
      <c r="D17035">
        <f>IFERROR(__xludf.DUMMYFUNCTION("""COMPUTED_VALUE"""),1964.0)</f>
        <v>1964</v>
      </c>
      <c r="E17035">
        <f>IFERROR(__xludf.DUMMYFUNCTION("""COMPUTED_VALUE"""),2665390.0)</f>
        <v>2665390</v>
      </c>
    </row>
    <row r="17036">
      <c r="A17036" t="str">
        <f t="shared" si="1"/>
        <v>ury#1965</v>
      </c>
      <c r="B17036" t="str">
        <f>IFERROR(__xludf.DUMMYFUNCTION("""COMPUTED_VALUE"""),"ury")</f>
        <v>ury</v>
      </c>
      <c r="C17036" t="str">
        <f>IFERROR(__xludf.DUMMYFUNCTION("""COMPUTED_VALUE"""),"Uruguay")</f>
        <v>Uruguay</v>
      </c>
      <c r="D17036">
        <f>IFERROR(__xludf.DUMMYFUNCTION("""COMPUTED_VALUE"""),1965.0)</f>
        <v>1965</v>
      </c>
      <c r="E17036">
        <f>IFERROR(__xludf.DUMMYFUNCTION("""COMPUTED_VALUE"""),2694537.0)</f>
        <v>2694537</v>
      </c>
    </row>
    <row r="17037">
      <c r="A17037" t="str">
        <f t="shared" si="1"/>
        <v>ury#1966</v>
      </c>
      <c r="B17037" t="str">
        <f>IFERROR(__xludf.DUMMYFUNCTION("""COMPUTED_VALUE"""),"ury")</f>
        <v>ury</v>
      </c>
      <c r="C17037" t="str">
        <f>IFERROR(__xludf.DUMMYFUNCTION("""COMPUTED_VALUE"""),"Uruguay")</f>
        <v>Uruguay</v>
      </c>
      <c r="D17037">
        <f>IFERROR(__xludf.DUMMYFUNCTION("""COMPUTED_VALUE"""),1966.0)</f>
        <v>1966</v>
      </c>
      <c r="E17037">
        <f>IFERROR(__xludf.DUMMYFUNCTION("""COMPUTED_VALUE"""),2722877.0)</f>
        <v>2722877</v>
      </c>
    </row>
    <row r="17038">
      <c r="A17038" t="str">
        <f t="shared" si="1"/>
        <v>ury#1967</v>
      </c>
      <c r="B17038" t="str">
        <f>IFERROR(__xludf.DUMMYFUNCTION("""COMPUTED_VALUE"""),"ury")</f>
        <v>ury</v>
      </c>
      <c r="C17038" t="str">
        <f>IFERROR(__xludf.DUMMYFUNCTION("""COMPUTED_VALUE"""),"Uruguay")</f>
        <v>Uruguay</v>
      </c>
      <c r="D17038">
        <f>IFERROR(__xludf.DUMMYFUNCTION("""COMPUTED_VALUE"""),1967.0)</f>
        <v>1967</v>
      </c>
      <c r="E17038">
        <f>IFERROR(__xludf.DUMMYFUNCTION("""COMPUTED_VALUE"""),2750093.0)</f>
        <v>2750093</v>
      </c>
    </row>
    <row r="17039">
      <c r="A17039" t="str">
        <f t="shared" si="1"/>
        <v>ury#1968</v>
      </c>
      <c r="B17039" t="str">
        <f>IFERROR(__xludf.DUMMYFUNCTION("""COMPUTED_VALUE"""),"ury")</f>
        <v>ury</v>
      </c>
      <c r="C17039" t="str">
        <f>IFERROR(__xludf.DUMMYFUNCTION("""COMPUTED_VALUE"""),"Uruguay")</f>
        <v>Uruguay</v>
      </c>
      <c r="D17039">
        <f>IFERROR(__xludf.DUMMYFUNCTION("""COMPUTED_VALUE"""),1968.0)</f>
        <v>1968</v>
      </c>
      <c r="E17039">
        <f>IFERROR(__xludf.DUMMYFUNCTION("""COMPUTED_VALUE"""),2774774.0)</f>
        <v>2774774</v>
      </c>
    </row>
    <row r="17040">
      <c r="A17040" t="str">
        <f t="shared" si="1"/>
        <v>ury#1969</v>
      </c>
      <c r="B17040" t="str">
        <f>IFERROR(__xludf.DUMMYFUNCTION("""COMPUTED_VALUE"""),"ury")</f>
        <v>ury</v>
      </c>
      <c r="C17040" t="str">
        <f>IFERROR(__xludf.DUMMYFUNCTION("""COMPUTED_VALUE"""),"Uruguay")</f>
        <v>Uruguay</v>
      </c>
      <c r="D17040">
        <f>IFERROR(__xludf.DUMMYFUNCTION("""COMPUTED_VALUE"""),1969.0)</f>
        <v>1969</v>
      </c>
      <c r="E17040">
        <f>IFERROR(__xludf.DUMMYFUNCTION("""COMPUTED_VALUE"""),2795046.0)</f>
        <v>2795046</v>
      </c>
    </row>
    <row r="17041">
      <c r="A17041" t="str">
        <f t="shared" si="1"/>
        <v>ury#1970</v>
      </c>
      <c r="B17041" t="str">
        <f>IFERROR(__xludf.DUMMYFUNCTION("""COMPUTED_VALUE"""),"ury")</f>
        <v>ury</v>
      </c>
      <c r="C17041" t="str">
        <f>IFERROR(__xludf.DUMMYFUNCTION("""COMPUTED_VALUE"""),"Uruguay")</f>
        <v>Uruguay</v>
      </c>
      <c r="D17041">
        <f>IFERROR(__xludf.DUMMYFUNCTION("""COMPUTED_VALUE"""),1970.0)</f>
        <v>1970</v>
      </c>
      <c r="E17041">
        <f>IFERROR(__xludf.DUMMYFUNCTION("""COMPUTED_VALUE"""),2809803.0)</f>
        <v>2809803</v>
      </c>
    </row>
    <row r="17042">
      <c r="A17042" t="str">
        <f t="shared" si="1"/>
        <v>ury#1971</v>
      </c>
      <c r="B17042" t="str">
        <f>IFERROR(__xludf.DUMMYFUNCTION("""COMPUTED_VALUE"""),"ury")</f>
        <v>ury</v>
      </c>
      <c r="C17042" t="str">
        <f>IFERROR(__xludf.DUMMYFUNCTION("""COMPUTED_VALUE"""),"Uruguay")</f>
        <v>Uruguay</v>
      </c>
      <c r="D17042">
        <f>IFERROR(__xludf.DUMMYFUNCTION("""COMPUTED_VALUE"""),1971.0)</f>
        <v>1971</v>
      </c>
      <c r="E17042">
        <f>IFERROR(__xludf.DUMMYFUNCTION("""COMPUTED_VALUE"""),2818270.0)</f>
        <v>2818270</v>
      </c>
    </row>
    <row r="17043">
      <c r="A17043" t="str">
        <f t="shared" si="1"/>
        <v>ury#1972</v>
      </c>
      <c r="B17043" t="str">
        <f>IFERROR(__xludf.DUMMYFUNCTION("""COMPUTED_VALUE"""),"ury")</f>
        <v>ury</v>
      </c>
      <c r="C17043" t="str">
        <f>IFERROR(__xludf.DUMMYFUNCTION("""COMPUTED_VALUE"""),"Uruguay")</f>
        <v>Uruguay</v>
      </c>
      <c r="D17043">
        <f>IFERROR(__xludf.DUMMYFUNCTION("""COMPUTED_VALUE"""),1972.0)</f>
        <v>1972</v>
      </c>
      <c r="E17043">
        <f>IFERROR(__xludf.DUMMYFUNCTION("""COMPUTED_VALUE"""),2821439.0)</f>
        <v>2821439</v>
      </c>
    </row>
    <row r="17044">
      <c r="A17044" t="str">
        <f t="shared" si="1"/>
        <v>ury#1973</v>
      </c>
      <c r="B17044" t="str">
        <f>IFERROR(__xludf.DUMMYFUNCTION("""COMPUTED_VALUE"""),"ury")</f>
        <v>ury</v>
      </c>
      <c r="C17044" t="str">
        <f>IFERROR(__xludf.DUMMYFUNCTION("""COMPUTED_VALUE"""),"Uruguay")</f>
        <v>Uruguay</v>
      </c>
      <c r="D17044">
        <f>IFERROR(__xludf.DUMMYFUNCTION("""COMPUTED_VALUE"""),1973.0)</f>
        <v>1973</v>
      </c>
      <c r="E17044">
        <f>IFERROR(__xludf.DUMMYFUNCTION("""COMPUTED_VALUE"""),2822081.0)</f>
        <v>2822081</v>
      </c>
    </row>
    <row r="17045">
      <c r="A17045" t="str">
        <f t="shared" si="1"/>
        <v>ury#1974</v>
      </c>
      <c r="B17045" t="str">
        <f>IFERROR(__xludf.DUMMYFUNCTION("""COMPUTED_VALUE"""),"ury")</f>
        <v>ury</v>
      </c>
      <c r="C17045" t="str">
        <f>IFERROR(__xludf.DUMMYFUNCTION("""COMPUTED_VALUE"""),"Uruguay")</f>
        <v>Uruguay</v>
      </c>
      <c r="D17045">
        <f>IFERROR(__xludf.DUMMYFUNCTION("""COMPUTED_VALUE"""),1974.0)</f>
        <v>1974</v>
      </c>
      <c r="E17045">
        <f>IFERROR(__xludf.DUMMYFUNCTION("""COMPUTED_VALUE"""),2824069.0)</f>
        <v>2824069</v>
      </c>
    </row>
    <row r="17046">
      <c r="A17046" t="str">
        <f t="shared" si="1"/>
        <v>ury#1975</v>
      </c>
      <c r="B17046" t="str">
        <f>IFERROR(__xludf.DUMMYFUNCTION("""COMPUTED_VALUE"""),"ury")</f>
        <v>ury</v>
      </c>
      <c r="C17046" t="str">
        <f>IFERROR(__xludf.DUMMYFUNCTION("""COMPUTED_VALUE"""),"Uruguay")</f>
        <v>Uruguay</v>
      </c>
      <c r="D17046">
        <f>IFERROR(__xludf.DUMMYFUNCTION("""COMPUTED_VALUE"""),1975.0)</f>
        <v>1975</v>
      </c>
      <c r="E17046">
        <f>IFERROR(__xludf.DUMMYFUNCTION("""COMPUTED_VALUE"""),2830172.0)</f>
        <v>2830172</v>
      </c>
    </row>
    <row r="17047">
      <c r="A17047" t="str">
        <f t="shared" si="1"/>
        <v>ury#1976</v>
      </c>
      <c r="B17047" t="str">
        <f>IFERROR(__xludf.DUMMYFUNCTION("""COMPUTED_VALUE"""),"ury")</f>
        <v>ury</v>
      </c>
      <c r="C17047" t="str">
        <f>IFERROR(__xludf.DUMMYFUNCTION("""COMPUTED_VALUE"""),"Uruguay")</f>
        <v>Uruguay</v>
      </c>
      <c r="D17047">
        <f>IFERROR(__xludf.DUMMYFUNCTION("""COMPUTED_VALUE"""),1976.0)</f>
        <v>1976</v>
      </c>
      <c r="E17047">
        <f>IFERROR(__xludf.DUMMYFUNCTION("""COMPUTED_VALUE"""),2841429.0)</f>
        <v>2841429</v>
      </c>
    </row>
    <row r="17048">
      <c r="A17048" t="str">
        <f t="shared" si="1"/>
        <v>ury#1977</v>
      </c>
      <c r="B17048" t="str">
        <f>IFERROR(__xludf.DUMMYFUNCTION("""COMPUTED_VALUE"""),"ury")</f>
        <v>ury</v>
      </c>
      <c r="C17048" t="str">
        <f>IFERROR(__xludf.DUMMYFUNCTION("""COMPUTED_VALUE"""),"Uruguay")</f>
        <v>Uruguay</v>
      </c>
      <c r="D17048">
        <f>IFERROR(__xludf.DUMMYFUNCTION("""COMPUTED_VALUE"""),1977.0)</f>
        <v>1977</v>
      </c>
      <c r="E17048">
        <f>IFERROR(__xludf.DUMMYFUNCTION("""COMPUTED_VALUE"""),2857105.0)</f>
        <v>2857105</v>
      </c>
    </row>
    <row r="17049">
      <c r="A17049" t="str">
        <f t="shared" si="1"/>
        <v>ury#1978</v>
      </c>
      <c r="B17049" t="str">
        <f>IFERROR(__xludf.DUMMYFUNCTION("""COMPUTED_VALUE"""),"ury")</f>
        <v>ury</v>
      </c>
      <c r="C17049" t="str">
        <f>IFERROR(__xludf.DUMMYFUNCTION("""COMPUTED_VALUE"""),"Uruguay")</f>
        <v>Uruguay</v>
      </c>
      <c r="D17049">
        <f>IFERROR(__xludf.DUMMYFUNCTION("""COMPUTED_VALUE"""),1978.0)</f>
        <v>1978</v>
      </c>
      <c r="E17049">
        <f>IFERROR(__xludf.DUMMYFUNCTION("""COMPUTED_VALUE"""),2875966.0)</f>
        <v>2875966</v>
      </c>
    </row>
    <row r="17050">
      <c r="A17050" t="str">
        <f t="shared" si="1"/>
        <v>ury#1979</v>
      </c>
      <c r="B17050" t="str">
        <f>IFERROR(__xludf.DUMMYFUNCTION("""COMPUTED_VALUE"""),"ury")</f>
        <v>ury</v>
      </c>
      <c r="C17050" t="str">
        <f>IFERROR(__xludf.DUMMYFUNCTION("""COMPUTED_VALUE"""),"Uruguay")</f>
        <v>Uruguay</v>
      </c>
      <c r="D17050">
        <f>IFERROR(__xludf.DUMMYFUNCTION("""COMPUTED_VALUE"""),1979.0)</f>
        <v>1979</v>
      </c>
      <c r="E17050">
        <f>IFERROR(__xludf.DUMMYFUNCTION("""COMPUTED_VALUE"""),2896023.0)</f>
        <v>2896023</v>
      </c>
    </row>
    <row r="17051">
      <c r="A17051" t="str">
        <f t="shared" si="1"/>
        <v>ury#1980</v>
      </c>
      <c r="B17051" t="str">
        <f>IFERROR(__xludf.DUMMYFUNCTION("""COMPUTED_VALUE"""),"ury")</f>
        <v>ury</v>
      </c>
      <c r="C17051" t="str">
        <f>IFERROR(__xludf.DUMMYFUNCTION("""COMPUTED_VALUE"""),"Uruguay")</f>
        <v>Uruguay</v>
      </c>
      <c r="D17051">
        <f>IFERROR(__xludf.DUMMYFUNCTION("""COMPUTED_VALUE"""),1980.0)</f>
        <v>1980</v>
      </c>
      <c r="E17051">
        <f>IFERROR(__xludf.DUMMYFUNCTION("""COMPUTED_VALUE"""),2915778.0)</f>
        <v>2915778</v>
      </c>
    </row>
    <row r="17052">
      <c r="A17052" t="str">
        <f t="shared" si="1"/>
        <v>ury#1981</v>
      </c>
      <c r="B17052" t="str">
        <f>IFERROR(__xludf.DUMMYFUNCTION("""COMPUTED_VALUE"""),"ury")</f>
        <v>ury</v>
      </c>
      <c r="C17052" t="str">
        <f>IFERROR(__xludf.DUMMYFUNCTION("""COMPUTED_VALUE"""),"Uruguay")</f>
        <v>Uruguay</v>
      </c>
      <c r="D17052">
        <f>IFERROR(__xludf.DUMMYFUNCTION("""COMPUTED_VALUE"""),1981.0)</f>
        <v>1981</v>
      </c>
      <c r="E17052">
        <f>IFERROR(__xludf.DUMMYFUNCTION("""COMPUTED_VALUE"""),2935036.0)</f>
        <v>2935036</v>
      </c>
    </row>
    <row r="17053">
      <c r="A17053" t="str">
        <f t="shared" si="1"/>
        <v>ury#1982</v>
      </c>
      <c r="B17053" t="str">
        <f>IFERROR(__xludf.DUMMYFUNCTION("""COMPUTED_VALUE"""),"ury")</f>
        <v>ury</v>
      </c>
      <c r="C17053" t="str">
        <f>IFERROR(__xludf.DUMMYFUNCTION("""COMPUTED_VALUE"""),"Uruguay")</f>
        <v>Uruguay</v>
      </c>
      <c r="D17053">
        <f>IFERROR(__xludf.DUMMYFUNCTION("""COMPUTED_VALUE"""),1982.0)</f>
        <v>1982</v>
      </c>
      <c r="E17053">
        <f>IFERROR(__xludf.DUMMYFUNCTION("""COMPUTED_VALUE"""),2954282.0)</f>
        <v>2954282</v>
      </c>
    </row>
    <row r="17054">
      <c r="A17054" t="str">
        <f t="shared" si="1"/>
        <v>ury#1983</v>
      </c>
      <c r="B17054" t="str">
        <f>IFERROR(__xludf.DUMMYFUNCTION("""COMPUTED_VALUE"""),"ury")</f>
        <v>ury</v>
      </c>
      <c r="C17054" t="str">
        <f>IFERROR(__xludf.DUMMYFUNCTION("""COMPUTED_VALUE"""),"Uruguay")</f>
        <v>Uruguay</v>
      </c>
      <c r="D17054">
        <f>IFERROR(__xludf.DUMMYFUNCTION("""COMPUTED_VALUE"""),1983.0)</f>
        <v>1983</v>
      </c>
      <c r="E17054">
        <f>IFERROR(__xludf.DUMMYFUNCTION("""COMPUTED_VALUE"""),2973463.0)</f>
        <v>2973463</v>
      </c>
    </row>
    <row r="17055">
      <c r="A17055" t="str">
        <f t="shared" si="1"/>
        <v>ury#1984</v>
      </c>
      <c r="B17055" t="str">
        <f>IFERROR(__xludf.DUMMYFUNCTION("""COMPUTED_VALUE"""),"ury")</f>
        <v>ury</v>
      </c>
      <c r="C17055" t="str">
        <f>IFERROR(__xludf.DUMMYFUNCTION("""COMPUTED_VALUE"""),"Uruguay")</f>
        <v>Uruguay</v>
      </c>
      <c r="D17055">
        <f>IFERROR(__xludf.DUMMYFUNCTION("""COMPUTED_VALUE"""),1984.0)</f>
        <v>1984</v>
      </c>
      <c r="E17055">
        <f>IFERROR(__xludf.DUMMYFUNCTION("""COMPUTED_VALUE"""),2992645.0)</f>
        <v>2992645</v>
      </c>
    </row>
    <row r="17056">
      <c r="A17056" t="str">
        <f t="shared" si="1"/>
        <v>ury#1985</v>
      </c>
      <c r="B17056" t="str">
        <f>IFERROR(__xludf.DUMMYFUNCTION("""COMPUTED_VALUE"""),"ury")</f>
        <v>ury</v>
      </c>
      <c r="C17056" t="str">
        <f>IFERROR(__xludf.DUMMYFUNCTION("""COMPUTED_VALUE"""),"Uruguay")</f>
        <v>Uruguay</v>
      </c>
      <c r="D17056">
        <f>IFERROR(__xludf.DUMMYFUNCTION("""COMPUTED_VALUE"""),1985.0)</f>
        <v>1985</v>
      </c>
      <c r="E17056">
        <f>IFERROR(__xludf.DUMMYFUNCTION("""COMPUTED_VALUE"""),3011908.0)</f>
        <v>3011908</v>
      </c>
    </row>
    <row r="17057">
      <c r="A17057" t="str">
        <f t="shared" si="1"/>
        <v>ury#1986</v>
      </c>
      <c r="B17057" t="str">
        <f>IFERROR(__xludf.DUMMYFUNCTION("""COMPUTED_VALUE"""),"ury")</f>
        <v>ury</v>
      </c>
      <c r="C17057" t="str">
        <f>IFERROR(__xludf.DUMMYFUNCTION("""COMPUTED_VALUE"""),"Uruguay")</f>
        <v>Uruguay</v>
      </c>
      <c r="D17057">
        <f>IFERROR(__xludf.DUMMYFUNCTION("""COMPUTED_VALUE"""),1986.0)</f>
        <v>1986</v>
      </c>
      <c r="E17057">
        <f>IFERROR(__xludf.DUMMYFUNCTION("""COMPUTED_VALUE"""),3031038.0)</f>
        <v>3031038</v>
      </c>
    </row>
    <row r="17058">
      <c r="A17058" t="str">
        <f t="shared" si="1"/>
        <v>ury#1987</v>
      </c>
      <c r="B17058" t="str">
        <f>IFERROR(__xludf.DUMMYFUNCTION("""COMPUTED_VALUE"""),"ury")</f>
        <v>ury</v>
      </c>
      <c r="C17058" t="str">
        <f>IFERROR(__xludf.DUMMYFUNCTION("""COMPUTED_VALUE"""),"Uruguay")</f>
        <v>Uruguay</v>
      </c>
      <c r="D17058">
        <f>IFERROR(__xludf.DUMMYFUNCTION("""COMPUTED_VALUE"""),1987.0)</f>
        <v>1987</v>
      </c>
      <c r="E17058">
        <f>IFERROR(__xludf.DUMMYFUNCTION("""COMPUTED_VALUE"""),3049966.0)</f>
        <v>3049966</v>
      </c>
    </row>
    <row r="17059">
      <c r="A17059" t="str">
        <f t="shared" si="1"/>
        <v>ury#1988</v>
      </c>
      <c r="B17059" t="str">
        <f>IFERROR(__xludf.DUMMYFUNCTION("""COMPUTED_VALUE"""),"ury")</f>
        <v>ury</v>
      </c>
      <c r="C17059" t="str">
        <f>IFERROR(__xludf.DUMMYFUNCTION("""COMPUTED_VALUE"""),"Uruguay")</f>
        <v>Uruguay</v>
      </c>
      <c r="D17059">
        <f>IFERROR(__xludf.DUMMYFUNCTION("""COMPUTED_VALUE"""),1988.0)</f>
        <v>1988</v>
      </c>
      <c r="E17059">
        <f>IFERROR(__xludf.DUMMYFUNCTION("""COMPUTED_VALUE"""),3069099.0)</f>
        <v>3069099</v>
      </c>
    </row>
    <row r="17060">
      <c r="A17060" t="str">
        <f t="shared" si="1"/>
        <v>ury#1989</v>
      </c>
      <c r="B17060" t="str">
        <f>IFERROR(__xludf.DUMMYFUNCTION("""COMPUTED_VALUE"""),"ury")</f>
        <v>ury</v>
      </c>
      <c r="C17060" t="str">
        <f>IFERROR(__xludf.DUMMYFUNCTION("""COMPUTED_VALUE"""),"Uruguay")</f>
        <v>Uruguay</v>
      </c>
      <c r="D17060">
        <f>IFERROR(__xludf.DUMMYFUNCTION("""COMPUTED_VALUE"""),1989.0)</f>
        <v>1989</v>
      </c>
      <c r="E17060">
        <f>IFERROR(__xludf.DUMMYFUNCTION("""COMPUTED_VALUE"""),3088984.0)</f>
        <v>3088984</v>
      </c>
    </row>
    <row r="17061">
      <c r="A17061" t="str">
        <f t="shared" si="1"/>
        <v>ury#1990</v>
      </c>
      <c r="B17061" t="str">
        <f>IFERROR(__xludf.DUMMYFUNCTION("""COMPUTED_VALUE"""),"ury")</f>
        <v>ury</v>
      </c>
      <c r="C17061" t="str">
        <f>IFERROR(__xludf.DUMMYFUNCTION("""COMPUTED_VALUE"""),"Uruguay")</f>
        <v>Uruguay</v>
      </c>
      <c r="D17061">
        <f>IFERROR(__xludf.DUMMYFUNCTION("""COMPUTED_VALUE"""),1990.0)</f>
        <v>1990</v>
      </c>
      <c r="E17061">
        <f>IFERROR(__xludf.DUMMYFUNCTION("""COMPUTED_VALUE"""),3109989.0)</f>
        <v>3109989</v>
      </c>
    </row>
    <row r="17062">
      <c r="A17062" t="str">
        <f t="shared" si="1"/>
        <v>ury#1991</v>
      </c>
      <c r="B17062" t="str">
        <f>IFERROR(__xludf.DUMMYFUNCTION("""COMPUTED_VALUE"""),"ury")</f>
        <v>ury</v>
      </c>
      <c r="C17062" t="str">
        <f>IFERROR(__xludf.DUMMYFUNCTION("""COMPUTED_VALUE"""),"Uruguay")</f>
        <v>Uruguay</v>
      </c>
      <c r="D17062">
        <f>IFERROR(__xludf.DUMMYFUNCTION("""COMPUTED_VALUE"""),1991.0)</f>
        <v>1991</v>
      </c>
      <c r="E17062">
        <f>IFERROR(__xludf.DUMMYFUNCTION("""COMPUTED_VALUE"""),3132050.0)</f>
        <v>3132050</v>
      </c>
    </row>
    <row r="17063">
      <c r="A17063" t="str">
        <f t="shared" si="1"/>
        <v>ury#1992</v>
      </c>
      <c r="B17063" t="str">
        <f>IFERROR(__xludf.DUMMYFUNCTION("""COMPUTED_VALUE"""),"ury")</f>
        <v>ury</v>
      </c>
      <c r="C17063" t="str">
        <f>IFERROR(__xludf.DUMMYFUNCTION("""COMPUTED_VALUE"""),"Uruguay")</f>
        <v>Uruguay</v>
      </c>
      <c r="D17063">
        <f>IFERROR(__xludf.DUMMYFUNCTION("""COMPUTED_VALUE"""),1992.0)</f>
        <v>1992</v>
      </c>
      <c r="E17063">
        <f>IFERROR(__xludf.DUMMYFUNCTION("""COMPUTED_VALUE"""),3154855.0)</f>
        <v>3154855</v>
      </c>
    </row>
    <row r="17064">
      <c r="A17064" t="str">
        <f t="shared" si="1"/>
        <v>ury#1993</v>
      </c>
      <c r="B17064" t="str">
        <f>IFERROR(__xludf.DUMMYFUNCTION("""COMPUTED_VALUE"""),"ury")</f>
        <v>ury</v>
      </c>
      <c r="C17064" t="str">
        <f>IFERROR(__xludf.DUMMYFUNCTION("""COMPUTED_VALUE"""),"Uruguay")</f>
        <v>Uruguay</v>
      </c>
      <c r="D17064">
        <f>IFERROR(__xludf.DUMMYFUNCTION("""COMPUTED_VALUE"""),1993.0)</f>
        <v>1993</v>
      </c>
      <c r="E17064">
        <f>IFERROR(__xludf.DUMMYFUNCTION("""COMPUTED_VALUE"""),3178155.0)</f>
        <v>3178155</v>
      </c>
    </row>
    <row r="17065">
      <c r="A17065" t="str">
        <f t="shared" si="1"/>
        <v>ury#1994</v>
      </c>
      <c r="B17065" t="str">
        <f>IFERROR(__xludf.DUMMYFUNCTION("""COMPUTED_VALUE"""),"ury")</f>
        <v>ury</v>
      </c>
      <c r="C17065" t="str">
        <f>IFERROR(__xludf.DUMMYFUNCTION("""COMPUTED_VALUE"""),"Uruguay")</f>
        <v>Uruguay</v>
      </c>
      <c r="D17065">
        <f>IFERROR(__xludf.DUMMYFUNCTION("""COMPUTED_VALUE"""),1994.0)</f>
        <v>1994</v>
      </c>
      <c r="E17065">
        <f>IFERROR(__xludf.DUMMYFUNCTION("""COMPUTED_VALUE"""),3201607.0)</f>
        <v>3201607</v>
      </c>
    </row>
    <row r="17066">
      <c r="A17066" t="str">
        <f t="shared" si="1"/>
        <v>ury#1995</v>
      </c>
      <c r="B17066" t="str">
        <f>IFERROR(__xludf.DUMMYFUNCTION("""COMPUTED_VALUE"""),"ury")</f>
        <v>ury</v>
      </c>
      <c r="C17066" t="str">
        <f>IFERROR(__xludf.DUMMYFUNCTION("""COMPUTED_VALUE"""),"Uruguay")</f>
        <v>Uruguay</v>
      </c>
      <c r="D17066">
        <f>IFERROR(__xludf.DUMMYFUNCTION("""COMPUTED_VALUE"""),1995.0)</f>
        <v>1995</v>
      </c>
      <c r="E17066">
        <f>IFERROR(__xludf.DUMMYFUNCTION("""COMPUTED_VALUE"""),3224804.0)</f>
        <v>3224804</v>
      </c>
    </row>
    <row r="17067">
      <c r="A17067" t="str">
        <f t="shared" si="1"/>
        <v>ury#1996</v>
      </c>
      <c r="B17067" t="str">
        <f>IFERROR(__xludf.DUMMYFUNCTION("""COMPUTED_VALUE"""),"ury")</f>
        <v>ury</v>
      </c>
      <c r="C17067" t="str">
        <f>IFERROR(__xludf.DUMMYFUNCTION("""COMPUTED_VALUE"""),"Uruguay")</f>
        <v>Uruguay</v>
      </c>
      <c r="D17067">
        <f>IFERROR(__xludf.DUMMYFUNCTION("""COMPUTED_VALUE"""),1996.0)</f>
        <v>1996</v>
      </c>
      <c r="E17067">
        <f>IFERROR(__xludf.DUMMYFUNCTION("""COMPUTED_VALUE"""),3248035.0)</f>
        <v>3248035</v>
      </c>
    </row>
    <row r="17068">
      <c r="A17068" t="str">
        <f t="shared" si="1"/>
        <v>ury#1997</v>
      </c>
      <c r="B17068" t="str">
        <f>IFERROR(__xludf.DUMMYFUNCTION("""COMPUTED_VALUE"""),"ury")</f>
        <v>ury</v>
      </c>
      <c r="C17068" t="str">
        <f>IFERROR(__xludf.DUMMYFUNCTION("""COMPUTED_VALUE"""),"Uruguay")</f>
        <v>Uruguay</v>
      </c>
      <c r="D17068">
        <f>IFERROR(__xludf.DUMMYFUNCTION("""COMPUTED_VALUE"""),1997.0)</f>
        <v>1997</v>
      </c>
      <c r="E17068">
        <f>IFERROR(__xludf.DUMMYFUNCTION("""COMPUTED_VALUE"""),3271010.0)</f>
        <v>3271010</v>
      </c>
    </row>
    <row r="17069">
      <c r="A17069" t="str">
        <f t="shared" si="1"/>
        <v>ury#1998</v>
      </c>
      <c r="B17069" t="str">
        <f>IFERROR(__xludf.DUMMYFUNCTION("""COMPUTED_VALUE"""),"ury")</f>
        <v>ury</v>
      </c>
      <c r="C17069" t="str">
        <f>IFERROR(__xludf.DUMMYFUNCTION("""COMPUTED_VALUE"""),"Uruguay")</f>
        <v>Uruguay</v>
      </c>
      <c r="D17069">
        <f>IFERROR(__xludf.DUMMYFUNCTION("""COMPUTED_VALUE"""),1998.0)</f>
        <v>1998</v>
      </c>
      <c r="E17069">
        <f>IFERROR(__xludf.DUMMYFUNCTION("""COMPUTED_VALUE"""),3292138.0)</f>
        <v>3292138</v>
      </c>
    </row>
    <row r="17070">
      <c r="A17070" t="str">
        <f t="shared" si="1"/>
        <v>ury#1999</v>
      </c>
      <c r="B17070" t="str">
        <f>IFERROR(__xludf.DUMMYFUNCTION("""COMPUTED_VALUE"""),"ury")</f>
        <v>ury</v>
      </c>
      <c r="C17070" t="str">
        <f>IFERROR(__xludf.DUMMYFUNCTION("""COMPUTED_VALUE"""),"Uruguay")</f>
        <v>Uruguay</v>
      </c>
      <c r="D17070">
        <f>IFERROR(__xludf.DUMMYFUNCTION("""COMPUTED_VALUE"""),1999.0)</f>
        <v>1999</v>
      </c>
      <c r="E17070">
        <f>IFERROR(__xludf.DUMMYFUNCTION("""COMPUTED_VALUE"""),3309318.0)</f>
        <v>3309318</v>
      </c>
    </row>
    <row r="17071">
      <c r="A17071" t="str">
        <f t="shared" si="1"/>
        <v>ury#2000</v>
      </c>
      <c r="B17071" t="str">
        <f>IFERROR(__xludf.DUMMYFUNCTION("""COMPUTED_VALUE"""),"ury")</f>
        <v>ury</v>
      </c>
      <c r="C17071" t="str">
        <f>IFERROR(__xludf.DUMMYFUNCTION("""COMPUTED_VALUE"""),"Uruguay")</f>
        <v>Uruguay</v>
      </c>
      <c r="D17071">
        <f>IFERROR(__xludf.DUMMYFUNCTION("""COMPUTED_VALUE"""),2000.0)</f>
        <v>2000</v>
      </c>
      <c r="E17071">
        <f>IFERROR(__xludf.DUMMYFUNCTION("""COMPUTED_VALUE"""),3321245.0)</f>
        <v>3321245</v>
      </c>
    </row>
    <row r="17072">
      <c r="A17072" t="str">
        <f t="shared" si="1"/>
        <v>ury#2001</v>
      </c>
      <c r="B17072" t="str">
        <f>IFERROR(__xludf.DUMMYFUNCTION("""COMPUTED_VALUE"""),"ury")</f>
        <v>ury</v>
      </c>
      <c r="C17072" t="str">
        <f>IFERROR(__xludf.DUMMYFUNCTION("""COMPUTED_VALUE"""),"Uruguay")</f>
        <v>Uruguay</v>
      </c>
      <c r="D17072">
        <f>IFERROR(__xludf.DUMMYFUNCTION("""COMPUTED_VALUE"""),2001.0)</f>
        <v>2001</v>
      </c>
      <c r="E17072">
        <f>IFERROR(__xludf.DUMMYFUNCTION("""COMPUTED_VALUE"""),3327103.0)</f>
        <v>3327103</v>
      </c>
    </row>
    <row r="17073">
      <c r="A17073" t="str">
        <f t="shared" si="1"/>
        <v>ury#2002</v>
      </c>
      <c r="B17073" t="str">
        <f>IFERROR(__xludf.DUMMYFUNCTION("""COMPUTED_VALUE"""),"ury")</f>
        <v>ury</v>
      </c>
      <c r="C17073" t="str">
        <f>IFERROR(__xludf.DUMMYFUNCTION("""COMPUTED_VALUE"""),"Uruguay")</f>
        <v>Uruguay</v>
      </c>
      <c r="D17073">
        <f>IFERROR(__xludf.DUMMYFUNCTION("""COMPUTED_VALUE"""),2002.0)</f>
        <v>2002</v>
      </c>
      <c r="E17073">
        <f>IFERROR(__xludf.DUMMYFUNCTION("""COMPUTED_VALUE"""),3327773.0)</f>
        <v>3327773</v>
      </c>
    </row>
    <row r="17074">
      <c r="A17074" t="str">
        <f t="shared" si="1"/>
        <v>ury#2003</v>
      </c>
      <c r="B17074" t="str">
        <f>IFERROR(__xludf.DUMMYFUNCTION("""COMPUTED_VALUE"""),"ury")</f>
        <v>ury</v>
      </c>
      <c r="C17074" t="str">
        <f>IFERROR(__xludf.DUMMYFUNCTION("""COMPUTED_VALUE"""),"Uruguay")</f>
        <v>Uruguay</v>
      </c>
      <c r="D17074">
        <f>IFERROR(__xludf.DUMMYFUNCTION("""COMPUTED_VALUE"""),2003.0)</f>
        <v>2003</v>
      </c>
      <c r="E17074">
        <f>IFERROR(__xludf.DUMMYFUNCTION("""COMPUTED_VALUE"""),3325637.0)</f>
        <v>3325637</v>
      </c>
    </row>
    <row r="17075">
      <c r="A17075" t="str">
        <f t="shared" si="1"/>
        <v>ury#2004</v>
      </c>
      <c r="B17075" t="str">
        <f>IFERROR(__xludf.DUMMYFUNCTION("""COMPUTED_VALUE"""),"ury")</f>
        <v>ury</v>
      </c>
      <c r="C17075" t="str">
        <f>IFERROR(__xludf.DUMMYFUNCTION("""COMPUTED_VALUE"""),"Uruguay")</f>
        <v>Uruguay</v>
      </c>
      <c r="D17075">
        <f>IFERROR(__xludf.DUMMYFUNCTION("""COMPUTED_VALUE"""),2004.0)</f>
        <v>2004</v>
      </c>
      <c r="E17075">
        <f>IFERROR(__xludf.DUMMYFUNCTION("""COMPUTED_VALUE"""),3324096.0)</f>
        <v>3324096</v>
      </c>
    </row>
    <row r="17076">
      <c r="A17076" t="str">
        <f t="shared" si="1"/>
        <v>ury#2005</v>
      </c>
      <c r="B17076" t="str">
        <f>IFERROR(__xludf.DUMMYFUNCTION("""COMPUTED_VALUE"""),"ury")</f>
        <v>ury</v>
      </c>
      <c r="C17076" t="str">
        <f>IFERROR(__xludf.DUMMYFUNCTION("""COMPUTED_VALUE"""),"Uruguay")</f>
        <v>Uruguay</v>
      </c>
      <c r="D17076">
        <f>IFERROR(__xludf.DUMMYFUNCTION("""COMPUTED_VALUE"""),2005.0)</f>
        <v>2005</v>
      </c>
      <c r="E17076">
        <f>IFERROR(__xludf.DUMMYFUNCTION("""COMPUTED_VALUE"""),3325612.0)</f>
        <v>3325612</v>
      </c>
    </row>
    <row r="17077">
      <c r="A17077" t="str">
        <f t="shared" si="1"/>
        <v>ury#2006</v>
      </c>
      <c r="B17077" t="str">
        <f>IFERROR(__xludf.DUMMYFUNCTION("""COMPUTED_VALUE"""),"ury")</f>
        <v>ury</v>
      </c>
      <c r="C17077" t="str">
        <f>IFERROR(__xludf.DUMMYFUNCTION("""COMPUTED_VALUE"""),"Uruguay")</f>
        <v>Uruguay</v>
      </c>
      <c r="D17077">
        <f>IFERROR(__xludf.DUMMYFUNCTION("""COMPUTED_VALUE"""),2006.0)</f>
        <v>2006</v>
      </c>
      <c r="E17077">
        <f>IFERROR(__xludf.DUMMYFUNCTION("""COMPUTED_VALUE"""),3331043.0)</f>
        <v>3331043</v>
      </c>
    </row>
    <row r="17078">
      <c r="A17078" t="str">
        <f t="shared" si="1"/>
        <v>ury#2007</v>
      </c>
      <c r="B17078" t="str">
        <f>IFERROR(__xludf.DUMMYFUNCTION("""COMPUTED_VALUE"""),"ury")</f>
        <v>ury</v>
      </c>
      <c r="C17078" t="str">
        <f>IFERROR(__xludf.DUMMYFUNCTION("""COMPUTED_VALUE"""),"Uruguay")</f>
        <v>Uruguay</v>
      </c>
      <c r="D17078">
        <f>IFERROR(__xludf.DUMMYFUNCTION("""COMPUTED_VALUE"""),2007.0)</f>
        <v>2007</v>
      </c>
      <c r="E17078">
        <f>IFERROR(__xludf.DUMMYFUNCTION("""COMPUTED_VALUE"""),3339741.0)</f>
        <v>3339741</v>
      </c>
    </row>
    <row r="17079">
      <c r="A17079" t="str">
        <f t="shared" si="1"/>
        <v>ury#2008</v>
      </c>
      <c r="B17079" t="str">
        <f>IFERROR(__xludf.DUMMYFUNCTION("""COMPUTED_VALUE"""),"ury")</f>
        <v>ury</v>
      </c>
      <c r="C17079" t="str">
        <f>IFERROR(__xludf.DUMMYFUNCTION("""COMPUTED_VALUE"""),"Uruguay")</f>
        <v>Uruguay</v>
      </c>
      <c r="D17079">
        <f>IFERROR(__xludf.DUMMYFUNCTION("""COMPUTED_VALUE"""),2008.0)</f>
        <v>2008</v>
      </c>
      <c r="E17079">
        <f>IFERROR(__xludf.DUMMYFUNCTION("""COMPUTED_VALUE"""),3350824.0)</f>
        <v>3350824</v>
      </c>
    </row>
    <row r="17080">
      <c r="A17080" t="str">
        <f t="shared" si="1"/>
        <v>ury#2009</v>
      </c>
      <c r="B17080" t="str">
        <f>IFERROR(__xludf.DUMMYFUNCTION("""COMPUTED_VALUE"""),"ury")</f>
        <v>ury</v>
      </c>
      <c r="C17080" t="str">
        <f>IFERROR(__xludf.DUMMYFUNCTION("""COMPUTED_VALUE"""),"Uruguay")</f>
        <v>Uruguay</v>
      </c>
      <c r="D17080">
        <f>IFERROR(__xludf.DUMMYFUNCTION("""COMPUTED_VALUE"""),2009.0)</f>
        <v>2009</v>
      </c>
      <c r="E17080">
        <f>IFERROR(__xludf.DUMMYFUNCTION("""COMPUTED_VALUE"""),3362755.0)</f>
        <v>3362755</v>
      </c>
    </row>
    <row r="17081">
      <c r="A17081" t="str">
        <f t="shared" si="1"/>
        <v>ury#2010</v>
      </c>
      <c r="B17081" t="str">
        <f>IFERROR(__xludf.DUMMYFUNCTION("""COMPUTED_VALUE"""),"ury")</f>
        <v>ury</v>
      </c>
      <c r="C17081" t="str">
        <f>IFERROR(__xludf.DUMMYFUNCTION("""COMPUTED_VALUE"""),"Uruguay")</f>
        <v>Uruguay</v>
      </c>
      <c r="D17081">
        <f>IFERROR(__xludf.DUMMYFUNCTION("""COMPUTED_VALUE"""),2010.0)</f>
        <v>2010</v>
      </c>
      <c r="E17081">
        <f>IFERROR(__xludf.DUMMYFUNCTION("""COMPUTED_VALUE"""),3374415.0)</f>
        <v>3374415</v>
      </c>
    </row>
    <row r="17082">
      <c r="A17082" t="str">
        <f t="shared" si="1"/>
        <v>ury#2011</v>
      </c>
      <c r="B17082" t="str">
        <f>IFERROR(__xludf.DUMMYFUNCTION("""COMPUTED_VALUE"""),"ury")</f>
        <v>ury</v>
      </c>
      <c r="C17082" t="str">
        <f>IFERROR(__xludf.DUMMYFUNCTION("""COMPUTED_VALUE"""),"Uruguay")</f>
        <v>Uruguay</v>
      </c>
      <c r="D17082">
        <f>IFERROR(__xludf.DUMMYFUNCTION("""COMPUTED_VALUE"""),2011.0)</f>
        <v>2011</v>
      </c>
      <c r="E17082">
        <f>IFERROR(__xludf.DUMMYFUNCTION("""COMPUTED_VALUE"""),3385624.0)</f>
        <v>3385624</v>
      </c>
    </row>
    <row r="17083">
      <c r="A17083" t="str">
        <f t="shared" si="1"/>
        <v>ury#2012</v>
      </c>
      <c r="B17083" t="str">
        <f>IFERROR(__xludf.DUMMYFUNCTION("""COMPUTED_VALUE"""),"ury")</f>
        <v>ury</v>
      </c>
      <c r="C17083" t="str">
        <f>IFERROR(__xludf.DUMMYFUNCTION("""COMPUTED_VALUE"""),"Uruguay")</f>
        <v>Uruguay</v>
      </c>
      <c r="D17083">
        <f>IFERROR(__xludf.DUMMYFUNCTION("""COMPUTED_VALUE"""),2012.0)</f>
        <v>2012</v>
      </c>
      <c r="E17083">
        <f>IFERROR(__xludf.DUMMYFUNCTION("""COMPUTED_VALUE"""),3396777.0)</f>
        <v>3396777</v>
      </c>
    </row>
    <row r="17084">
      <c r="A17084" t="str">
        <f t="shared" si="1"/>
        <v>ury#2013</v>
      </c>
      <c r="B17084" t="str">
        <f>IFERROR(__xludf.DUMMYFUNCTION("""COMPUTED_VALUE"""),"ury")</f>
        <v>ury</v>
      </c>
      <c r="C17084" t="str">
        <f>IFERROR(__xludf.DUMMYFUNCTION("""COMPUTED_VALUE"""),"Uruguay")</f>
        <v>Uruguay</v>
      </c>
      <c r="D17084">
        <f>IFERROR(__xludf.DUMMYFUNCTION("""COMPUTED_VALUE"""),2013.0)</f>
        <v>2013</v>
      </c>
      <c r="E17084">
        <f>IFERROR(__xludf.DUMMYFUNCTION("""COMPUTED_VALUE"""),3408005.0)</f>
        <v>3408005</v>
      </c>
    </row>
    <row r="17085">
      <c r="A17085" t="str">
        <f t="shared" si="1"/>
        <v>ury#2014</v>
      </c>
      <c r="B17085" t="str">
        <f>IFERROR(__xludf.DUMMYFUNCTION("""COMPUTED_VALUE"""),"ury")</f>
        <v>ury</v>
      </c>
      <c r="C17085" t="str">
        <f>IFERROR(__xludf.DUMMYFUNCTION("""COMPUTED_VALUE"""),"Uruguay")</f>
        <v>Uruguay</v>
      </c>
      <c r="D17085">
        <f>IFERROR(__xludf.DUMMYFUNCTION("""COMPUTED_VALUE"""),2014.0)</f>
        <v>2014</v>
      </c>
      <c r="E17085">
        <f>IFERROR(__xludf.DUMMYFUNCTION("""COMPUTED_VALUE"""),3419546.0)</f>
        <v>3419546</v>
      </c>
    </row>
    <row r="17086">
      <c r="A17086" t="str">
        <f t="shared" si="1"/>
        <v>ury#2015</v>
      </c>
      <c r="B17086" t="str">
        <f>IFERROR(__xludf.DUMMYFUNCTION("""COMPUTED_VALUE"""),"ury")</f>
        <v>ury</v>
      </c>
      <c r="C17086" t="str">
        <f>IFERROR(__xludf.DUMMYFUNCTION("""COMPUTED_VALUE"""),"Uruguay")</f>
        <v>Uruguay</v>
      </c>
      <c r="D17086">
        <f>IFERROR(__xludf.DUMMYFUNCTION("""COMPUTED_VALUE"""),2015.0)</f>
        <v>2015</v>
      </c>
      <c r="E17086">
        <f>IFERROR(__xludf.DUMMYFUNCTION("""COMPUTED_VALUE"""),3431552.0)</f>
        <v>3431552</v>
      </c>
    </row>
    <row r="17087">
      <c r="A17087" t="str">
        <f t="shared" si="1"/>
        <v>ury#2016</v>
      </c>
      <c r="B17087" t="str">
        <f>IFERROR(__xludf.DUMMYFUNCTION("""COMPUTED_VALUE"""),"ury")</f>
        <v>ury</v>
      </c>
      <c r="C17087" t="str">
        <f>IFERROR(__xludf.DUMMYFUNCTION("""COMPUTED_VALUE"""),"Uruguay")</f>
        <v>Uruguay</v>
      </c>
      <c r="D17087">
        <f>IFERROR(__xludf.DUMMYFUNCTION("""COMPUTED_VALUE"""),2016.0)</f>
        <v>2016</v>
      </c>
      <c r="E17087">
        <f>IFERROR(__xludf.DUMMYFUNCTION("""COMPUTED_VALUE"""),3444006.0)</f>
        <v>3444006</v>
      </c>
    </row>
    <row r="17088">
      <c r="A17088" t="str">
        <f t="shared" si="1"/>
        <v>ury#2017</v>
      </c>
      <c r="B17088" t="str">
        <f>IFERROR(__xludf.DUMMYFUNCTION("""COMPUTED_VALUE"""),"ury")</f>
        <v>ury</v>
      </c>
      <c r="C17088" t="str">
        <f>IFERROR(__xludf.DUMMYFUNCTION("""COMPUTED_VALUE"""),"Uruguay")</f>
        <v>Uruguay</v>
      </c>
      <c r="D17088">
        <f>IFERROR(__xludf.DUMMYFUNCTION("""COMPUTED_VALUE"""),2017.0)</f>
        <v>2017</v>
      </c>
      <c r="E17088">
        <f>IFERROR(__xludf.DUMMYFUNCTION("""COMPUTED_VALUE"""),3456750.0)</f>
        <v>3456750</v>
      </c>
    </row>
    <row r="17089">
      <c r="A17089" t="str">
        <f t="shared" si="1"/>
        <v>ury#2018</v>
      </c>
      <c r="B17089" t="str">
        <f>IFERROR(__xludf.DUMMYFUNCTION("""COMPUTED_VALUE"""),"ury")</f>
        <v>ury</v>
      </c>
      <c r="C17089" t="str">
        <f>IFERROR(__xludf.DUMMYFUNCTION("""COMPUTED_VALUE"""),"Uruguay")</f>
        <v>Uruguay</v>
      </c>
      <c r="D17089">
        <f>IFERROR(__xludf.DUMMYFUNCTION("""COMPUTED_VALUE"""),2018.0)</f>
        <v>2018</v>
      </c>
      <c r="E17089">
        <f>IFERROR(__xludf.DUMMYFUNCTION("""COMPUTED_VALUE"""),3469551.0)</f>
        <v>3469551</v>
      </c>
    </row>
    <row r="17090">
      <c r="A17090" t="str">
        <f t="shared" si="1"/>
        <v>ury#2019</v>
      </c>
      <c r="B17090" t="str">
        <f>IFERROR(__xludf.DUMMYFUNCTION("""COMPUTED_VALUE"""),"ury")</f>
        <v>ury</v>
      </c>
      <c r="C17090" t="str">
        <f>IFERROR(__xludf.DUMMYFUNCTION("""COMPUTED_VALUE"""),"Uruguay")</f>
        <v>Uruguay</v>
      </c>
      <c r="D17090">
        <f>IFERROR(__xludf.DUMMYFUNCTION("""COMPUTED_VALUE"""),2019.0)</f>
        <v>2019</v>
      </c>
      <c r="E17090">
        <f>IFERROR(__xludf.DUMMYFUNCTION("""COMPUTED_VALUE"""),3482156.0)</f>
        <v>3482156</v>
      </c>
    </row>
    <row r="17091">
      <c r="A17091" t="str">
        <f t="shared" si="1"/>
        <v>ury#2020</v>
      </c>
      <c r="B17091" t="str">
        <f>IFERROR(__xludf.DUMMYFUNCTION("""COMPUTED_VALUE"""),"ury")</f>
        <v>ury</v>
      </c>
      <c r="C17091" t="str">
        <f>IFERROR(__xludf.DUMMYFUNCTION("""COMPUTED_VALUE"""),"Uruguay")</f>
        <v>Uruguay</v>
      </c>
      <c r="D17091">
        <f>IFERROR(__xludf.DUMMYFUNCTION("""COMPUTED_VALUE"""),2020.0)</f>
        <v>2020</v>
      </c>
      <c r="E17091">
        <f>IFERROR(__xludf.DUMMYFUNCTION("""COMPUTED_VALUE"""),3494387.0)</f>
        <v>3494387</v>
      </c>
    </row>
    <row r="17092">
      <c r="A17092" t="str">
        <f t="shared" si="1"/>
        <v>ury#2021</v>
      </c>
      <c r="B17092" t="str">
        <f>IFERROR(__xludf.DUMMYFUNCTION("""COMPUTED_VALUE"""),"ury")</f>
        <v>ury</v>
      </c>
      <c r="C17092" t="str">
        <f>IFERROR(__xludf.DUMMYFUNCTION("""COMPUTED_VALUE"""),"Uruguay")</f>
        <v>Uruguay</v>
      </c>
      <c r="D17092">
        <f>IFERROR(__xludf.DUMMYFUNCTION("""COMPUTED_VALUE"""),2021.0)</f>
        <v>2021</v>
      </c>
      <c r="E17092">
        <f>IFERROR(__xludf.DUMMYFUNCTION("""COMPUTED_VALUE"""),3506138.0)</f>
        <v>3506138</v>
      </c>
    </row>
    <row r="17093">
      <c r="A17093" t="str">
        <f t="shared" si="1"/>
        <v>ury#2022</v>
      </c>
      <c r="B17093" t="str">
        <f>IFERROR(__xludf.DUMMYFUNCTION("""COMPUTED_VALUE"""),"ury")</f>
        <v>ury</v>
      </c>
      <c r="C17093" t="str">
        <f>IFERROR(__xludf.DUMMYFUNCTION("""COMPUTED_VALUE"""),"Uruguay")</f>
        <v>Uruguay</v>
      </c>
      <c r="D17093">
        <f>IFERROR(__xludf.DUMMYFUNCTION("""COMPUTED_VALUE"""),2022.0)</f>
        <v>2022</v>
      </c>
      <c r="E17093">
        <f>IFERROR(__xludf.DUMMYFUNCTION("""COMPUTED_VALUE"""),3517420.0)</f>
        <v>3517420</v>
      </c>
    </row>
    <row r="17094">
      <c r="A17094" t="str">
        <f t="shared" si="1"/>
        <v>ury#2023</v>
      </c>
      <c r="B17094" t="str">
        <f>IFERROR(__xludf.DUMMYFUNCTION("""COMPUTED_VALUE"""),"ury")</f>
        <v>ury</v>
      </c>
      <c r="C17094" t="str">
        <f>IFERROR(__xludf.DUMMYFUNCTION("""COMPUTED_VALUE"""),"Uruguay")</f>
        <v>Uruguay</v>
      </c>
      <c r="D17094">
        <f>IFERROR(__xludf.DUMMYFUNCTION("""COMPUTED_VALUE"""),2023.0)</f>
        <v>2023</v>
      </c>
      <c r="E17094">
        <f>IFERROR(__xludf.DUMMYFUNCTION("""COMPUTED_VALUE"""),3528274.0)</f>
        <v>3528274</v>
      </c>
    </row>
    <row r="17095">
      <c r="A17095" t="str">
        <f t="shared" si="1"/>
        <v>ury#2024</v>
      </c>
      <c r="B17095" t="str">
        <f>IFERROR(__xludf.DUMMYFUNCTION("""COMPUTED_VALUE"""),"ury")</f>
        <v>ury</v>
      </c>
      <c r="C17095" t="str">
        <f>IFERROR(__xludf.DUMMYFUNCTION("""COMPUTED_VALUE"""),"Uruguay")</f>
        <v>Uruguay</v>
      </c>
      <c r="D17095">
        <f>IFERROR(__xludf.DUMMYFUNCTION("""COMPUTED_VALUE"""),2024.0)</f>
        <v>2024</v>
      </c>
      <c r="E17095">
        <f>IFERROR(__xludf.DUMMYFUNCTION("""COMPUTED_VALUE"""),3538756.0)</f>
        <v>3538756</v>
      </c>
    </row>
    <row r="17096">
      <c r="A17096" t="str">
        <f t="shared" si="1"/>
        <v>ury#2025</v>
      </c>
      <c r="B17096" t="str">
        <f>IFERROR(__xludf.DUMMYFUNCTION("""COMPUTED_VALUE"""),"ury")</f>
        <v>ury</v>
      </c>
      <c r="C17096" t="str">
        <f>IFERROR(__xludf.DUMMYFUNCTION("""COMPUTED_VALUE"""),"Uruguay")</f>
        <v>Uruguay</v>
      </c>
      <c r="D17096">
        <f>IFERROR(__xludf.DUMMYFUNCTION("""COMPUTED_VALUE"""),2025.0)</f>
        <v>2025</v>
      </c>
      <c r="E17096">
        <f>IFERROR(__xludf.DUMMYFUNCTION("""COMPUTED_VALUE"""),3548938.0)</f>
        <v>3548938</v>
      </c>
    </row>
    <row r="17097">
      <c r="A17097" t="str">
        <f t="shared" si="1"/>
        <v>ury#2026</v>
      </c>
      <c r="B17097" t="str">
        <f>IFERROR(__xludf.DUMMYFUNCTION("""COMPUTED_VALUE"""),"ury")</f>
        <v>ury</v>
      </c>
      <c r="C17097" t="str">
        <f>IFERROR(__xludf.DUMMYFUNCTION("""COMPUTED_VALUE"""),"Uruguay")</f>
        <v>Uruguay</v>
      </c>
      <c r="D17097">
        <f>IFERROR(__xludf.DUMMYFUNCTION("""COMPUTED_VALUE"""),2026.0)</f>
        <v>2026</v>
      </c>
      <c r="E17097">
        <f>IFERROR(__xludf.DUMMYFUNCTION("""COMPUTED_VALUE"""),3558802.0)</f>
        <v>3558802</v>
      </c>
    </row>
    <row r="17098">
      <c r="A17098" t="str">
        <f t="shared" si="1"/>
        <v>ury#2027</v>
      </c>
      <c r="B17098" t="str">
        <f>IFERROR(__xludf.DUMMYFUNCTION("""COMPUTED_VALUE"""),"ury")</f>
        <v>ury</v>
      </c>
      <c r="C17098" t="str">
        <f>IFERROR(__xludf.DUMMYFUNCTION("""COMPUTED_VALUE"""),"Uruguay")</f>
        <v>Uruguay</v>
      </c>
      <c r="D17098">
        <f>IFERROR(__xludf.DUMMYFUNCTION("""COMPUTED_VALUE"""),2027.0)</f>
        <v>2027</v>
      </c>
      <c r="E17098">
        <f>IFERROR(__xludf.DUMMYFUNCTION("""COMPUTED_VALUE"""),3568290.0)</f>
        <v>3568290</v>
      </c>
    </row>
    <row r="17099">
      <c r="A17099" t="str">
        <f t="shared" si="1"/>
        <v>ury#2028</v>
      </c>
      <c r="B17099" t="str">
        <f>IFERROR(__xludf.DUMMYFUNCTION("""COMPUTED_VALUE"""),"ury")</f>
        <v>ury</v>
      </c>
      <c r="C17099" t="str">
        <f>IFERROR(__xludf.DUMMYFUNCTION("""COMPUTED_VALUE"""),"Uruguay")</f>
        <v>Uruguay</v>
      </c>
      <c r="D17099">
        <f>IFERROR(__xludf.DUMMYFUNCTION("""COMPUTED_VALUE"""),2028.0)</f>
        <v>2028</v>
      </c>
      <c r="E17099">
        <f>IFERROR(__xludf.DUMMYFUNCTION("""COMPUTED_VALUE"""),3577382.0)</f>
        <v>3577382</v>
      </c>
    </row>
    <row r="17100">
      <c r="A17100" t="str">
        <f t="shared" si="1"/>
        <v>ury#2029</v>
      </c>
      <c r="B17100" t="str">
        <f>IFERROR(__xludf.DUMMYFUNCTION("""COMPUTED_VALUE"""),"ury")</f>
        <v>ury</v>
      </c>
      <c r="C17100" t="str">
        <f>IFERROR(__xludf.DUMMYFUNCTION("""COMPUTED_VALUE"""),"Uruguay")</f>
        <v>Uruguay</v>
      </c>
      <c r="D17100">
        <f>IFERROR(__xludf.DUMMYFUNCTION("""COMPUTED_VALUE"""),2029.0)</f>
        <v>2029</v>
      </c>
      <c r="E17100">
        <f>IFERROR(__xludf.DUMMYFUNCTION("""COMPUTED_VALUE"""),3586061.0)</f>
        <v>3586061</v>
      </c>
    </row>
    <row r="17101">
      <c r="A17101" t="str">
        <f t="shared" si="1"/>
        <v>ury#2030</v>
      </c>
      <c r="B17101" t="str">
        <f>IFERROR(__xludf.DUMMYFUNCTION("""COMPUTED_VALUE"""),"ury")</f>
        <v>ury</v>
      </c>
      <c r="C17101" t="str">
        <f>IFERROR(__xludf.DUMMYFUNCTION("""COMPUTED_VALUE"""),"Uruguay")</f>
        <v>Uruguay</v>
      </c>
      <c r="D17101">
        <f>IFERROR(__xludf.DUMMYFUNCTION("""COMPUTED_VALUE"""),2030.0)</f>
        <v>2030</v>
      </c>
      <c r="E17101">
        <f>IFERROR(__xludf.DUMMYFUNCTION("""COMPUTED_VALUE"""),3594299.0)</f>
        <v>3594299</v>
      </c>
    </row>
    <row r="17102">
      <c r="A17102" t="str">
        <f t="shared" si="1"/>
        <v>ury#2031</v>
      </c>
      <c r="B17102" t="str">
        <f>IFERROR(__xludf.DUMMYFUNCTION("""COMPUTED_VALUE"""),"ury")</f>
        <v>ury</v>
      </c>
      <c r="C17102" t="str">
        <f>IFERROR(__xludf.DUMMYFUNCTION("""COMPUTED_VALUE"""),"Uruguay")</f>
        <v>Uruguay</v>
      </c>
      <c r="D17102">
        <f>IFERROR(__xludf.DUMMYFUNCTION("""COMPUTED_VALUE"""),2031.0)</f>
        <v>2031</v>
      </c>
      <c r="E17102">
        <f>IFERROR(__xludf.DUMMYFUNCTION("""COMPUTED_VALUE"""),3602074.0)</f>
        <v>3602074</v>
      </c>
    </row>
    <row r="17103">
      <c r="A17103" t="str">
        <f t="shared" si="1"/>
        <v>ury#2032</v>
      </c>
      <c r="B17103" t="str">
        <f>IFERROR(__xludf.DUMMYFUNCTION("""COMPUTED_VALUE"""),"ury")</f>
        <v>ury</v>
      </c>
      <c r="C17103" t="str">
        <f>IFERROR(__xludf.DUMMYFUNCTION("""COMPUTED_VALUE"""),"Uruguay")</f>
        <v>Uruguay</v>
      </c>
      <c r="D17103">
        <f>IFERROR(__xludf.DUMMYFUNCTION("""COMPUTED_VALUE"""),2032.0)</f>
        <v>2032</v>
      </c>
      <c r="E17103">
        <f>IFERROR(__xludf.DUMMYFUNCTION("""COMPUTED_VALUE"""),3609406.0)</f>
        <v>3609406</v>
      </c>
    </row>
    <row r="17104">
      <c r="A17104" t="str">
        <f t="shared" si="1"/>
        <v>ury#2033</v>
      </c>
      <c r="B17104" t="str">
        <f>IFERROR(__xludf.DUMMYFUNCTION("""COMPUTED_VALUE"""),"ury")</f>
        <v>ury</v>
      </c>
      <c r="C17104" t="str">
        <f>IFERROR(__xludf.DUMMYFUNCTION("""COMPUTED_VALUE"""),"Uruguay")</f>
        <v>Uruguay</v>
      </c>
      <c r="D17104">
        <f>IFERROR(__xludf.DUMMYFUNCTION("""COMPUTED_VALUE"""),2033.0)</f>
        <v>2033</v>
      </c>
      <c r="E17104">
        <f>IFERROR(__xludf.DUMMYFUNCTION("""COMPUTED_VALUE"""),3616268.0)</f>
        <v>3616268</v>
      </c>
    </row>
    <row r="17105">
      <c r="A17105" t="str">
        <f t="shared" si="1"/>
        <v>ury#2034</v>
      </c>
      <c r="B17105" t="str">
        <f>IFERROR(__xludf.DUMMYFUNCTION("""COMPUTED_VALUE"""),"ury")</f>
        <v>ury</v>
      </c>
      <c r="C17105" t="str">
        <f>IFERROR(__xludf.DUMMYFUNCTION("""COMPUTED_VALUE"""),"Uruguay")</f>
        <v>Uruguay</v>
      </c>
      <c r="D17105">
        <f>IFERROR(__xludf.DUMMYFUNCTION("""COMPUTED_VALUE"""),2034.0)</f>
        <v>2034</v>
      </c>
      <c r="E17105">
        <f>IFERROR(__xludf.DUMMYFUNCTION("""COMPUTED_VALUE"""),3622650.0)</f>
        <v>3622650</v>
      </c>
    </row>
    <row r="17106">
      <c r="A17106" t="str">
        <f t="shared" si="1"/>
        <v>ury#2035</v>
      </c>
      <c r="B17106" t="str">
        <f>IFERROR(__xludf.DUMMYFUNCTION("""COMPUTED_VALUE"""),"ury")</f>
        <v>ury</v>
      </c>
      <c r="C17106" t="str">
        <f>IFERROR(__xludf.DUMMYFUNCTION("""COMPUTED_VALUE"""),"Uruguay")</f>
        <v>Uruguay</v>
      </c>
      <c r="D17106">
        <f>IFERROR(__xludf.DUMMYFUNCTION("""COMPUTED_VALUE"""),2035.0)</f>
        <v>2035</v>
      </c>
      <c r="E17106">
        <f>IFERROR(__xludf.DUMMYFUNCTION("""COMPUTED_VALUE"""),3628564.0)</f>
        <v>3628564</v>
      </c>
    </row>
    <row r="17107">
      <c r="A17107" t="str">
        <f t="shared" si="1"/>
        <v>ury#2036</v>
      </c>
      <c r="B17107" t="str">
        <f>IFERROR(__xludf.DUMMYFUNCTION("""COMPUTED_VALUE"""),"ury")</f>
        <v>ury</v>
      </c>
      <c r="C17107" t="str">
        <f>IFERROR(__xludf.DUMMYFUNCTION("""COMPUTED_VALUE"""),"Uruguay")</f>
        <v>Uruguay</v>
      </c>
      <c r="D17107">
        <f>IFERROR(__xludf.DUMMYFUNCTION("""COMPUTED_VALUE"""),2036.0)</f>
        <v>2036</v>
      </c>
      <c r="E17107">
        <f>IFERROR(__xludf.DUMMYFUNCTION("""COMPUTED_VALUE"""),3633990.0)</f>
        <v>3633990</v>
      </c>
    </row>
    <row r="17108">
      <c r="A17108" t="str">
        <f t="shared" si="1"/>
        <v>ury#2037</v>
      </c>
      <c r="B17108" t="str">
        <f>IFERROR(__xludf.DUMMYFUNCTION("""COMPUTED_VALUE"""),"ury")</f>
        <v>ury</v>
      </c>
      <c r="C17108" t="str">
        <f>IFERROR(__xludf.DUMMYFUNCTION("""COMPUTED_VALUE"""),"Uruguay")</f>
        <v>Uruguay</v>
      </c>
      <c r="D17108">
        <f>IFERROR(__xludf.DUMMYFUNCTION("""COMPUTED_VALUE"""),2037.0)</f>
        <v>2037</v>
      </c>
      <c r="E17108">
        <f>IFERROR(__xludf.DUMMYFUNCTION("""COMPUTED_VALUE"""),3638941.0)</f>
        <v>3638941</v>
      </c>
    </row>
    <row r="17109">
      <c r="A17109" t="str">
        <f t="shared" si="1"/>
        <v>ury#2038</v>
      </c>
      <c r="B17109" t="str">
        <f>IFERROR(__xludf.DUMMYFUNCTION("""COMPUTED_VALUE"""),"ury")</f>
        <v>ury</v>
      </c>
      <c r="C17109" t="str">
        <f>IFERROR(__xludf.DUMMYFUNCTION("""COMPUTED_VALUE"""),"Uruguay")</f>
        <v>Uruguay</v>
      </c>
      <c r="D17109">
        <f>IFERROR(__xludf.DUMMYFUNCTION("""COMPUTED_VALUE"""),2038.0)</f>
        <v>2038</v>
      </c>
      <c r="E17109">
        <f>IFERROR(__xludf.DUMMYFUNCTION("""COMPUTED_VALUE"""),3643409.0)</f>
        <v>3643409</v>
      </c>
    </row>
    <row r="17110">
      <c r="A17110" t="str">
        <f t="shared" si="1"/>
        <v>ury#2039</v>
      </c>
      <c r="B17110" t="str">
        <f>IFERROR(__xludf.DUMMYFUNCTION("""COMPUTED_VALUE"""),"ury")</f>
        <v>ury</v>
      </c>
      <c r="C17110" t="str">
        <f>IFERROR(__xludf.DUMMYFUNCTION("""COMPUTED_VALUE"""),"Uruguay")</f>
        <v>Uruguay</v>
      </c>
      <c r="D17110">
        <f>IFERROR(__xludf.DUMMYFUNCTION("""COMPUTED_VALUE"""),2039.0)</f>
        <v>2039</v>
      </c>
      <c r="E17110">
        <f>IFERROR(__xludf.DUMMYFUNCTION("""COMPUTED_VALUE"""),3647413.0)</f>
        <v>3647413</v>
      </c>
    </row>
    <row r="17111">
      <c r="A17111" t="str">
        <f t="shared" si="1"/>
        <v>ury#2040</v>
      </c>
      <c r="B17111" t="str">
        <f>IFERROR(__xludf.DUMMYFUNCTION("""COMPUTED_VALUE"""),"ury")</f>
        <v>ury</v>
      </c>
      <c r="C17111" t="str">
        <f>IFERROR(__xludf.DUMMYFUNCTION("""COMPUTED_VALUE"""),"Uruguay")</f>
        <v>Uruguay</v>
      </c>
      <c r="D17111">
        <f>IFERROR(__xludf.DUMMYFUNCTION("""COMPUTED_VALUE"""),2040.0)</f>
        <v>2040</v>
      </c>
      <c r="E17111">
        <f>IFERROR(__xludf.DUMMYFUNCTION("""COMPUTED_VALUE"""),3650962.0)</f>
        <v>3650962</v>
      </c>
    </row>
    <row r="17112">
      <c r="A17112" t="str">
        <f t="shared" si="1"/>
        <v>uzb#1950</v>
      </c>
      <c r="B17112" t="str">
        <f>IFERROR(__xludf.DUMMYFUNCTION("""COMPUTED_VALUE"""),"uzb")</f>
        <v>uzb</v>
      </c>
      <c r="C17112" t="str">
        <f>IFERROR(__xludf.DUMMYFUNCTION("""COMPUTED_VALUE"""),"Uzbekistan")</f>
        <v>Uzbekistan</v>
      </c>
      <c r="D17112">
        <f>IFERROR(__xludf.DUMMYFUNCTION("""COMPUTED_VALUE"""),1950.0)</f>
        <v>1950</v>
      </c>
      <c r="E17112">
        <f>IFERROR(__xludf.DUMMYFUNCTION("""COMPUTED_VALUE"""),6264056.0)</f>
        <v>6264056</v>
      </c>
    </row>
    <row r="17113">
      <c r="A17113" t="str">
        <f t="shared" si="1"/>
        <v>uzb#1951</v>
      </c>
      <c r="B17113" t="str">
        <f>IFERROR(__xludf.DUMMYFUNCTION("""COMPUTED_VALUE"""),"uzb")</f>
        <v>uzb</v>
      </c>
      <c r="C17113" t="str">
        <f>IFERROR(__xludf.DUMMYFUNCTION("""COMPUTED_VALUE"""),"Uzbekistan")</f>
        <v>Uzbekistan</v>
      </c>
      <c r="D17113">
        <f>IFERROR(__xludf.DUMMYFUNCTION("""COMPUTED_VALUE"""),1951.0)</f>
        <v>1951</v>
      </c>
      <c r="E17113">
        <f>IFERROR(__xludf.DUMMYFUNCTION("""COMPUTED_VALUE"""),6476160.0)</f>
        <v>6476160</v>
      </c>
    </row>
    <row r="17114">
      <c r="A17114" t="str">
        <f t="shared" si="1"/>
        <v>uzb#1952</v>
      </c>
      <c r="B17114" t="str">
        <f>IFERROR(__xludf.DUMMYFUNCTION("""COMPUTED_VALUE"""),"uzb")</f>
        <v>uzb</v>
      </c>
      <c r="C17114" t="str">
        <f>IFERROR(__xludf.DUMMYFUNCTION("""COMPUTED_VALUE"""),"Uzbekistan")</f>
        <v>Uzbekistan</v>
      </c>
      <c r="D17114">
        <f>IFERROR(__xludf.DUMMYFUNCTION("""COMPUTED_VALUE"""),1952.0)</f>
        <v>1952</v>
      </c>
      <c r="E17114">
        <f>IFERROR(__xludf.DUMMYFUNCTION("""COMPUTED_VALUE"""),6678989.0)</f>
        <v>6678989</v>
      </c>
    </row>
    <row r="17115">
      <c r="A17115" t="str">
        <f t="shared" si="1"/>
        <v>uzb#1953</v>
      </c>
      <c r="B17115" t="str">
        <f>IFERROR(__xludf.DUMMYFUNCTION("""COMPUTED_VALUE"""),"uzb")</f>
        <v>uzb</v>
      </c>
      <c r="C17115" t="str">
        <f>IFERROR(__xludf.DUMMYFUNCTION("""COMPUTED_VALUE"""),"Uzbekistan")</f>
        <v>Uzbekistan</v>
      </c>
      <c r="D17115">
        <f>IFERROR(__xludf.DUMMYFUNCTION("""COMPUTED_VALUE"""),1953.0)</f>
        <v>1953</v>
      </c>
      <c r="E17115">
        <f>IFERROR(__xludf.DUMMYFUNCTION("""COMPUTED_VALUE"""),6879763.0)</f>
        <v>6879763</v>
      </c>
    </row>
    <row r="17116">
      <c r="A17116" t="str">
        <f t="shared" si="1"/>
        <v>uzb#1954</v>
      </c>
      <c r="B17116" t="str">
        <f>IFERROR(__xludf.DUMMYFUNCTION("""COMPUTED_VALUE"""),"uzb")</f>
        <v>uzb</v>
      </c>
      <c r="C17116" t="str">
        <f>IFERROR(__xludf.DUMMYFUNCTION("""COMPUTED_VALUE"""),"Uzbekistan")</f>
        <v>Uzbekistan</v>
      </c>
      <c r="D17116">
        <f>IFERROR(__xludf.DUMMYFUNCTION("""COMPUTED_VALUE"""),1954.0)</f>
        <v>1954</v>
      </c>
      <c r="E17116">
        <f>IFERROR(__xludf.DUMMYFUNCTION("""COMPUTED_VALUE"""),7084378.0)</f>
        <v>7084378</v>
      </c>
    </row>
    <row r="17117">
      <c r="A17117" t="str">
        <f t="shared" si="1"/>
        <v>uzb#1955</v>
      </c>
      <c r="B17117" t="str">
        <f>IFERROR(__xludf.DUMMYFUNCTION("""COMPUTED_VALUE"""),"uzb")</f>
        <v>uzb</v>
      </c>
      <c r="C17117" t="str">
        <f>IFERROR(__xludf.DUMMYFUNCTION("""COMPUTED_VALUE"""),"Uzbekistan")</f>
        <v>Uzbekistan</v>
      </c>
      <c r="D17117">
        <f>IFERROR(__xludf.DUMMYFUNCTION("""COMPUTED_VALUE"""),1955.0)</f>
        <v>1955</v>
      </c>
      <c r="E17117">
        <f>IFERROR(__xludf.DUMMYFUNCTION("""COMPUTED_VALUE"""),7297296.0)</f>
        <v>7297296</v>
      </c>
    </row>
    <row r="17118">
      <c r="A17118" t="str">
        <f t="shared" si="1"/>
        <v>uzb#1956</v>
      </c>
      <c r="B17118" t="str">
        <f>IFERROR(__xludf.DUMMYFUNCTION("""COMPUTED_VALUE"""),"uzb")</f>
        <v>uzb</v>
      </c>
      <c r="C17118" t="str">
        <f>IFERROR(__xludf.DUMMYFUNCTION("""COMPUTED_VALUE"""),"Uzbekistan")</f>
        <v>Uzbekistan</v>
      </c>
      <c r="D17118">
        <f>IFERROR(__xludf.DUMMYFUNCTION("""COMPUTED_VALUE"""),1956.0)</f>
        <v>1956</v>
      </c>
      <c r="E17118">
        <f>IFERROR(__xludf.DUMMYFUNCTION("""COMPUTED_VALUE"""),7521586.0)</f>
        <v>7521586</v>
      </c>
    </row>
    <row r="17119">
      <c r="A17119" t="str">
        <f t="shared" si="1"/>
        <v>uzb#1957</v>
      </c>
      <c r="B17119" t="str">
        <f>IFERROR(__xludf.DUMMYFUNCTION("""COMPUTED_VALUE"""),"uzb")</f>
        <v>uzb</v>
      </c>
      <c r="C17119" t="str">
        <f>IFERROR(__xludf.DUMMYFUNCTION("""COMPUTED_VALUE"""),"Uzbekistan")</f>
        <v>Uzbekistan</v>
      </c>
      <c r="D17119">
        <f>IFERROR(__xludf.DUMMYFUNCTION("""COMPUTED_VALUE"""),1957.0)</f>
        <v>1957</v>
      </c>
      <c r="E17119">
        <f>IFERROR(__xludf.DUMMYFUNCTION("""COMPUTED_VALUE"""),7758928.0)</f>
        <v>7758928</v>
      </c>
    </row>
    <row r="17120">
      <c r="A17120" t="str">
        <f t="shared" si="1"/>
        <v>uzb#1958</v>
      </c>
      <c r="B17120" t="str">
        <f>IFERROR(__xludf.DUMMYFUNCTION("""COMPUTED_VALUE"""),"uzb")</f>
        <v>uzb</v>
      </c>
      <c r="C17120" t="str">
        <f>IFERROR(__xludf.DUMMYFUNCTION("""COMPUTED_VALUE"""),"Uzbekistan")</f>
        <v>Uzbekistan</v>
      </c>
      <c r="D17120">
        <f>IFERROR(__xludf.DUMMYFUNCTION("""COMPUTED_VALUE"""),1958.0)</f>
        <v>1958</v>
      </c>
      <c r="E17120">
        <f>IFERROR(__xludf.DUMMYFUNCTION("""COMPUTED_VALUE"""),8009770.0)</f>
        <v>8009770</v>
      </c>
    </row>
    <row r="17121">
      <c r="A17121" t="str">
        <f t="shared" si="1"/>
        <v>uzb#1959</v>
      </c>
      <c r="B17121" t="str">
        <f>IFERROR(__xludf.DUMMYFUNCTION("""COMPUTED_VALUE"""),"uzb")</f>
        <v>uzb</v>
      </c>
      <c r="C17121" t="str">
        <f>IFERROR(__xludf.DUMMYFUNCTION("""COMPUTED_VALUE"""),"Uzbekistan")</f>
        <v>Uzbekistan</v>
      </c>
      <c r="D17121">
        <f>IFERROR(__xludf.DUMMYFUNCTION("""COMPUTED_VALUE"""),1959.0)</f>
        <v>1959</v>
      </c>
      <c r="E17121">
        <f>IFERROR(__xludf.DUMMYFUNCTION("""COMPUTED_VALUE"""),8273556.0)</f>
        <v>8273556</v>
      </c>
    </row>
    <row r="17122">
      <c r="A17122" t="str">
        <f t="shared" si="1"/>
        <v>uzb#1960</v>
      </c>
      <c r="B17122" t="str">
        <f>IFERROR(__xludf.DUMMYFUNCTION("""COMPUTED_VALUE"""),"uzb")</f>
        <v>uzb</v>
      </c>
      <c r="C17122" t="str">
        <f>IFERROR(__xludf.DUMMYFUNCTION("""COMPUTED_VALUE"""),"Uzbekistan")</f>
        <v>Uzbekistan</v>
      </c>
      <c r="D17122">
        <f>IFERROR(__xludf.DUMMYFUNCTION("""COMPUTED_VALUE"""),1960.0)</f>
        <v>1960</v>
      </c>
      <c r="E17122">
        <f>IFERROR(__xludf.DUMMYFUNCTION("""COMPUTED_VALUE"""),8549493.0)</f>
        <v>8549493</v>
      </c>
    </row>
    <row r="17123">
      <c r="A17123" t="str">
        <f t="shared" si="1"/>
        <v>uzb#1961</v>
      </c>
      <c r="B17123" t="str">
        <f>IFERROR(__xludf.DUMMYFUNCTION("""COMPUTED_VALUE"""),"uzb")</f>
        <v>uzb</v>
      </c>
      <c r="C17123" t="str">
        <f>IFERROR(__xludf.DUMMYFUNCTION("""COMPUTED_VALUE"""),"Uzbekistan")</f>
        <v>Uzbekistan</v>
      </c>
      <c r="D17123">
        <f>IFERROR(__xludf.DUMMYFUNCTION("""COMPUTED_VALUE"""),1961.0)</f>
        <v>1961</v>
      </c>
      <c r="E17123">
        <f>IFERROR(__xludf.DUMMYFUNCTION("""COMPUTED_VALUE"""),8837349.0)</f>
        <v>8837349</v>
      </c>
    </row>
    <row r="17124">
      <c r="A17124" t="str">
        <f t="shared" si="1"/>
        <v>uzb#1962</v>
      </c>
      <c r="B17124" t="str">
        <f>IFERROR(__xludf.DUMMYFUNCTION("""COMPUTED_VALUE"""),"uzb")</f>
        <v>uzb</v>
      </c>
      <c r="C17124" t="str">
        <f>IFERROR(__xludf.DUMMYFUNCTION("""COMPUTED_VALUE"""),"Uzbekistan")</f>
        <v>Uzbekistan</v>
      </c>
      <c r="D17124">
        <f>IFERROR(__xludf.DUMMYFUNCTION("""COMPUTED_VALUE"""),1962.0)</f>
        <v>1962</v>
      </c>
      <c r="E17124">
        <f>IFERROR(__xludf.DUMMYFUNCTION("""COMPUTED_VALUE"""),9138097.0)</f>
        <v>9138097</v>
      </c>
    </row>
    <row r="17125">
      <c r="A17125" t="str">
        <f t="shared" si="1"/>
        <v>uzb#1963</v>
      </c>
      <c r="B17125" t="str">
        <f>IFERROR(__xludf.DUMMYFUNCTION("""COMPUTED_VALUE"""),"uzb")</f>
        <v>uzb</v>
      </c>
      <c r="C17125" t="str">
        <f>IFERROR(__xludf.DUMMYFUNCTION("""COMPUTED_VALUE"""),"Uzbekistan")</f>
        <v>Uzbekistan</v>
      </c>
      <c r="D17125">
        <f>IFERROR(__xludf.DUMMYFUNCTION("""COMPUTED_VALUE"""),1963.0)</f>
        <v>1963</v>
      </c>
      <c r="E17125">
        <f>IFERROR(__xludf.DUMMYFUNCTION("""COMPUTED_VALUE"""),9454250.0)</f>
        <v>9454250</v>
      </c>
    </row>
    <row r="17126">
      <c r="A17126" t="str">
        <f t="shared" si="1"/>
        <v>uzb#1964</v>
      </c>
      <c r="B17126" t="str">
        <f>IFERROR(__xludf.DUMMYFUNCTION("""COMPUTED_VALUE"""),"uzb")</f>
        <v>uzb</v>
      </c>
      <c r="C17126" t="str">
        <f>IFERROR(__xludf.DUMMYFUNCTION("""COMPUTED_VALUE"""),"Uzbekistan")</f>
        <v>Uzbekistan</v>
      </c>
      <c r="D17126">
        <f>IFERROR(__xludf.DUMMYFUNCTION("""COMPUTED_VALUE"""),1964.0)</f>
        <v>1964</v>
      </c>
      <c r="E17126">
        <f>IFERROR(__xludf.DUMMYFUNCTION("""COMPUTED_VALUE"""),9788986.0)</f>
        <v>9788986</v>
      </c>
    </row>
    <row r="17127">
      <c r="A17127" t="str">
        <f t="shared" si="1"/>
        <v>uzb#1965</v>
      </c>
      <c r="B17127" t="str">
        <f>IFERROR(__xludf.DUMMYFUNCTION("""COMPUTED_VALUE"""),"uzb")</f>
        <v>uzb</v>
      </c>
      <c r="C17127" t="str">
        <f>IFERROR(__xludf.DUMMYFUNCTION("""COMPUTED_VALUE"""),"Uzbekistan")</f>
        <v>Uzbekistan</v>
      </c>
      <c r="D17127">
        <f>IFERROR(__xludf.DUMMYFUNCTION("""COMPUTED_VALUE"""),1965.0)</f>
        <v>1965</v>
      </c>
      <c r="E17127">
        <f>IFERROR(__xludf.DUMMYFUNCTION("""COMPUTED_VALUE"""),1.014374E7)</f>
        <v>10143740</v>
      </c>
    </row>
    <row r="17128">
      <c r="A17128" t="str">
        <f t="shared" si="1"/>
        <v>uzb#1966</v>
      </c>
      <c r="B17128" t="str">
        <f>IFERROR(__xludf.DUMMYFUNCTION("""COMPUTED_VALUE"""),"uzb")</f>
        <v>uzb</v>
      </c>
      <c r="C17128" t="str">
        <f>IFERROR(__xludf.DUMMYFUNCTION("""COMPUTED_VALUE"""),"Uzbekistan")</f>
        <v>Uzbekistan</v>
      </c>
      <c r="D17128">
        <f>IFERROR(__xludf.DUMMYFUNCTION("""COMPUTED_VALUE"""),1966.0)</f>
        <v>1966</v>
      </c>
      <c r="E17128">
        <f>IFERROR(__xludf.DUMMYFUNCTION("""COMPUTED_VALUE"""),1.0520879E7)</f>
        <v>10520879</v>
      </c>
    </row>
    <row r="17129">
      <c r="A17129" t="str">
        <f t="shared" si="1"/>
        <v>uzb#1967</v>
      </c>
      <c r="B17129" t="str">
        <f>IFERROR(__xludf.DUMMYFUNCTION("""COMPUTED_VALUE"""),"uzb")</f>
        <v>uzb</v>
      </c>
      <c r="C17129" t="str">
        <f>IFERROR(__xludf.DUMMYFUNCTION("""COMPUTED_VALUE"""),"Uzbekistan")</f>
        <v>Uzbekistan</v>
      </c>
      <c r="D17129">
        <f>IFERROR(__xludf.DUMMYFUNCTION("""COMPUTED_VALUE"""),1967.0)</f>
        <v>1967</v>
      </c>
      <c r="E17129">
        <f>IFERROR(__xludf.DUMMYFUNCTION("""COMPUTED_VALUE"""),1.0917446E7)</f>
        <v>10917446</v>
      </c>
    </row>
    <row r="17130">
      <c r="A17130" t="str">
        <f t="shared" si="1"/>
        <v>uzb#1968</v>
      </c>
      <c r="B17130" t="str">
        <f>IFERROR(__xludf.DUMMYFUNCTION("""COMPUTED_VALUE"""),"uzb")</f>
        <v>uzb</v>
      </c>
      <c r="C17130" t="str">
        <f>IFERROR(__xludf.DUMMYFUNCTION("""COMPUTED_VALUE"""),"Uzbekistan")</f>
        <v>Uzbekistan</v>
      </c>
      <c r="D17130">
        <f>IFERROR(__xludf.DUMMYFUNCTION("""COMPUTED_VALUE"""),1968.0)</f>
        <v>1968</v>
      </c>
      <c r="E17130">
        <f>IFERROR(__xludf.DUMMYFUNCTION("""COMPUTED_VALUE"""),1.1323095E7)</f>
        <v>11323095</v>
      </c>
    </row>
    <row r="17131">
      <c r="A17131" t="str">
        <f t="shared" si="1"/>
        <v>uzb#1969</v>
      </c>
      <c r="B17131" t="str">
        <f>IFERROR(__xludf.DUMMYFUNCTION("""COMPUTED_VALUE"""),"uzb")</f>
        <v>uzb</v>
      </c>
      <c r="C17131" t="str">
        <f>IFERROR(__xludf.DUMMYFUNCTION("""COMPUTED_VALUE"""),"Uzbekistan")</f>
        <v>Uzbekistan</v>
      </c>
      <c r="D17131">
        <f>IFERROR(__xludf.DUMMYFUNCTION("""COMPUTED_VALUE"""),1969.0)</f>
        <v>1969</v>
      </c>
      <c r="E17131">
        <f>IFERROR(__xludf.DUMMYFUNCTION("""COMPUTED_VALUE"""),1.1723846E7)</f>
        <v>11723846</v>
      </c>
    </row>
    <row r="17132">
      <c r="A17132" t="str">
        <f t="shared" si="1"/>
        <v>uzb#1970</v>
      </c>
      <c r="B17132" t="str">
        <f>IFERROR(__xludf.DUMMYFUNCTION("""COMPUTED_VALUE"""),"uzb")</f>
        <v>uzb</v>
      </c>
      <c r="C17132" t="str">
        <f>IFERROR(__xludf.DUMMYFUNCTION("""COMPUTED_VALUE"""),"Uzbekistan")</f>
        <v>Uzbekistan</v>
      </c>
      <c r="D17132">
        <f>IFERROR(__xludf.DUMMYFUNCTION("""COMPUTED_VALUE"""),1970.0)</f>
        <v>1970</v>
      </c>
      <c r="E17132">
        <f>IFERROR(__xludf.DUMMYFUNCTION("""COMPUTED_VALUE"""),1.2110028E7)</f>
        <v>12110028</v>
      </c>
    </row>
    <row r="17133">
      <c r="A17133" t="str">
        <f t="shared" si="1"/>
        <v>uzb#1971</v>
      </c>
      <c r="B17133" t="str">
        <f>IFERROR(__xludf.DUMMYFUNCTION("""COMPUTED_VALUE"""),"uzb")</f>
        <v>uzb</v>
      </c>
      <c r="C17133" t="str">
        <f>IFERROR(__xludf.DUMMYFUNCTION("""COMPUTED_VALUE"""),"Uzbekistan")</f>
        <v>Uzbekistan</v>
      </c>
      <c r="D17133">
        <f>IFERROR(__xludf.DUMMYFUNCTION("""COMPUTED_VALUE"""),1971.0)</f>
        <v>1971</v>
      </c>
      <c r="E17133">
        <f>IFERROR(__xludf.DUMMYFUNCTION("""COMPUTED_VALUE"""),1.2477058E7)</f>
        <v>12477058</v>
      </c>
    </row>
    <row r="17134">
      <c r="A17134" t="str">
        <f t="shared" si="1"/>
        <v>uzb#1972</v>
      </c>
      <c r="B17134" t="str">
        <f>IFERROR(__xludf.DUMMYFUNCTION("""COMPUTED_VALUE"""),"uzb")</f>
        <v>uzb</v>
      </c>
      <c r="C17134" t="str">
        <f>IFERROR(__xludf.DUMMYFUNCTION("""COMPUTED_VALUE"""),"Uzbekistan")</f>
        <v>Uzbekistan</v>
      </c>
      <c r="D17134">
        <f>IFERROR(__xludf.DUMMYFUNCTION("""COMPUTED_VALUE"""),1972.0)</f>
        <v>1972</v>
      </c>
      <c r="E17134">
        <f>IFERROR(__xludf.DUMMYFUNCTION("""COMPUTED_VALUE"""),1.2828625E7)</f>
        <v>12828625</v>
      </c>
    </row>
    <row r="17135">
      <c r="A17135" t="str">
        <f t="shared" si="1"/>
        <v>uzb#1973</v>
      </c>
      <c r="B17135" t="str">
        <f>IFERROR(__xludf.DUMMYFUNCTION("""COMPUTED_VALUE"""),"uzb")</f>
        <v>uzb</v>
      </c>
      <c r="C17135" t="str">
        <f>IFERROR(__xludf.DUMMYFUNCTION("""COMPUTED_VALUE"""),"Uzbekistan")</f>
        <v>Uzbekistan</v>
      </c>
      <c r="D17135">
        <f>IFERROR(__xludf.DUMMYFUNCTION("""COMPUTED_VALUE"""),1973.0)</f>
        <v>1973</v>
      </c>
      <c r="E17135">
        <f>IFERROR(__xludf.DUMMYFUNCTION("""COMPUTED_VALUE"""),1.317359E7)</f>
        <v>13173590</v>
      </c>
    </row>
    <row r="17136">
      <c r="A17136" t="str">
        <f t="shared" si="1"/>
        <v>uzb#1974</v>
      </c>
      <c r="B17136" t="str">
        <f>IFERROR(__xludf.DUMMYFUNCTION("""COMPUTED_VALUE"""),"uzb")</f>
        <v>uzb</v>
      </c>
      <c r="C17136" t="str">
        <f>IFERROR(__xludf.DUMMYFUNCTION("""COMPUTED_VALUE"""),"Uzbekistan")</f>
        <v>Uzbekistan</v>
      </c>
      <c r="D17136">
        <f>IFERROR(__xludf.DUMMYFUNCTION("""COMPUTED_VALUE"""),1974.0)</f>
        <v>1974</v>
      </c>
      <c r="E17136">
        <f>IFERROR(__xludf.DUMMYFUNCTION("""COMPUTED_VALUE"""),1.3525094E7)</f>
        <v>13525094</v>
      </c>
    </row>
    <row r="17137">
      <c r="A17137" t="str">
        <f t="shared" si="1"/>
        <v>uzb#1975</v>
      </c>
      <c r="B17137" t="str">
        <f>IFERROR(__xludf.DUMMYFUNCTION("""COMPUTED_VALUE"""),"uzb")</f>
        <v>uzb</v>
      </c>
      <c r="C17137" t="str">
        <f>IFERROR(__xludf.DUMMYFUNCTION("""COMPUTED_VALUE"""),"Uzbekistan")</f>
        <v>Uzbekistan</v>
      </c>
      <c r="D17137">
        <f>IFERROR(__xludf.DUMMYFUNCTION("""COMPUTED_VALUE"""),1975.0)</f>
        <v>1975</v>
      </c>
      <c r="E17137">
        <f>IFERROR(__xludf.DUMMYFUNCTION("""COMPUTED_VALUE"""),1.3892638E7)</f>
        <v>13892638</v>
      </c>
    </row>
    <row r="17138">
      <c r="A17138" t="str">
        <f t="shared" si="1"/>
        <v>uzb#1976</v>
      </c>
      <c r="B17138" t="str">
        <f>IFERROR(__xludf.DUMMYFUNCTION("""COMPUTED_VALUE"""),"uzb")</f>
        <v>uzb</v>
      </c>
      <c r="C17138" t="str">
        <f>IFERROR(__xludf.DUMMYFUNCTION("""COMPUTED_VALUE"""),"Uzbekistan")</f>
        <v>Uzbekistan</v>
      </c>
      <c r="D17138">
        <f>IFERROR(__xludf.DUMMYFUNCTION("""COMPUTED_VALUE"""),1976.0)</f>
        <v>1976</v>
      </c>
      <c r="E17138">
        <f>IFERROR(__xludf.DUMMYFUNCTION("""COMPUTED_VALUE"""),1.427912E7)</f>
        <v>14279120</v>
      </c>
    </row>
    <row r="17139">
      <c r="A17139" t="str">
        <f t="shared" si="1"/>
        <v>uzb#1977</v>
      </c>
      <c r="B17139" t="str">
        <f>IFERROR(__xludf.DUMMYFUNCTION("""COMPUTED_VALUE"""),"uzb")</f>
        <v>uzb</v>
      </c>
      <c r="C17139" t="str">
        <f>IFERROR(__xludf.DUMMYFUNCTION("""COMPUTED_VALUE"""),"Uzbekistan")</f>
        <v>Uzbekistan</v>
      </c>
      <c r="D17139">
        <f>IFERROR(__xludf.DUMMYFUNCTION("""COMPUTED_VALUE"""),1977.0)</f>
        <v>1977</v>
      </c>
      <c r="E17139">
        <f>IFERROR(__xludf.DUMMYFUNCTION("""COMPUTED_VALUE"""),1.4681459E7)</f>
        <v>14681459</v>
      </c>
    </row>
    <row r="17140">
      <c r="A17140" t="str">
        <f t="shared" si="1"/>
        <v>uzb#1978</v>
      </c>
      <c r="B17140" t="str">
        <f>IFERROR(__xludf.DUMMYFUNCTION("""COMPUTED_VALUE"""),"uzb")</f>
        <v>uzb</v>
      </c>
      <c r="C17140" t="str">
        <f>IFERROR(__xludf.DUMMYFUNCTION("""COMPUTED_VALUE"""),"Uzbekistan")</f>
        <v>Uzbekistan</v>
      </c>
      <c r="D17140">
        <f>IFERROR(__xludf.DUMMYFUNCTION("""COMPUTED_VALUE"""),1978.0)</f>
        <v>1978</v>
      </c>
      <c r="E17140">
        <f>IFERROR(__xludf.DUMMYFUNCTION("""COMPUTED_VALUE"""),1.5096012E7)</f>
        <v>15096012</v>
      </c>
    </row>
    <row r="17141">
      <c r="A17141" t="str">
        <f t="shared" si="1"/>
        <v>uzb#1979</v>
      </c>
      <c r="B17141" t="str">
        <f>IFERROR(__xludf.DUMMYFUNCTION("""COMPUTED_VALUE"""),"uzb")</f>
        <v>uzb</v>
      </c>
      <c r="C17141" t="str">
        <f>IFERROR(__xludf.DUMMYFUNCTION("""COMPUTED_VALUE"""),"Uzbekistan")</f>
        <v>Uzbekistan</v>
      </c>
      <c r="D17141">
        <f>IFERROR(__xludf.DUMMYFUNCTION("""COMPUTED_VALUE"""),1979.0)</f>
        <v>1979</v>
      </c>
      <c r="E17141">
        <f>IFERROR(__xludf.DUMMYFUNCTION("""COMPUTED_VALUE"""),1.5516862E7)</f>
        <v>15516862</v>
      </c>
    </row>
    <row r="17142">
      <c r="A17142" t="str">
        <f t="shared" si="1"/>
        <v>uzb#1980</v>
      </c>
      <c r="B17142" t="str">
        <f>IFERROR(__xludf.DUMMYFUNCTION("""COMPUTED_VALUE"""),"uzb")</f>
        <v>uzb</v>
      </c>
      <c r="C17142" t="str">
        <f>IFERROR(__xludf.DUMMYFUNCTION("""COMPUTED_VALUE"""),"Uzbekistan")</f>
        <v>Uzbekistan</v>
      </c>
      <c r="D17142">
        <f>IFERROR(__xludf.DUMMYFUNCTION("""COMPUTED_VALUE"""),1980.0)</f>
        <v>1980</v>
      </c>
      <c r="E17142">
        <f>IFERROR(__xludf.DUMMYFUNCTION("""COMPUTED_VALUE"""),1.5939744E7)</f>
        <v>15939744</v>
      </c>
    </row>
    <row r="17143">
      <c r="A17143" t="str">
        <f t="shared" si="1"/>
        <v>uzb#1981</v>
      </c>
      <c r="B17143" t="str">
        <f>IFERROR(__xludf.DUMMYFUNCTION("""COMPUTED_VALUE"""),"uzb")</f>
        <v>uzb</v>
      </c>
      <c r="C17143" t="str">
        <f>IFERROR(__xludf.DUMMYFUNCTION("""COMPUTED_VALUE"""),"Uzbekistan")</f>
        <v>Uzbekistan</v>
      </c>
      <c r="D17143">
        <f>IFERROR(__xludf.DUMMYFUNCTION("""COMPUTED_VALUE"""),1981.0)</f>
        <v>1981</v>
      </c>
      <c r="E17143">
        <f>IFERROR(__xludf.DUMMYFUNCTION("""COMPUTED_VALUE"""),1.6363562E7)</f>
        <v>16363562</v>
      </c>
    </row>
    <row r="17144">
      <c r="A17144" t="str">
        <f t="shared" si="1"/>
        <v>uzb#1982</v>
      </c>
      <c r="B17144" t="str">
        <f>IFERROR(__xludf.DUMMYFUNCTION("""COMPUTED_VALUE"""),"uzb")</f>
        <v>uzb</v>
      </c>
      <c r="C17144" t="str">
        <f>IFERROR(__xludf.DUMMYFUNCTION("""COMPUTED_VALUE"""),"Uzbekistan")</f>
        <v>Uzbekistan</v>
      </c>
      <c r="D17144">
        <f>IFERROR(__xludf.DUMMYFUNCTION("""COMPUTED_VALUE"""),1982.0)</f>
        <v>1982</v>
      </c>
      <c r="E17144">
        <f>IFERROR(__xludf.DUMMYFUNCTION("""COMPUTED_VALUE"""),1.6790069E7)</f>
        <v>16790069</v>
      </c>
    </row>
    <row r="17145">
      <c r="A17145" t="str">
        <f t="shared" si="1"/>
        <v>uzb#1983</v>
      </c>
      <c r="B17145" t="str">
        <f>IFERROR(__xludf.DUMMYFUNCTION("""COMPUTED_VALUE"""),"uzb")</f>
        <v>uzb</v>
      </c>
      <c r="C17145" t="str">
        <f>IFERROR(__xludf.DUMMYFUNCTION("""COMPUTED_VALUE"""),"Uzbekistan")</f>
        <v>Uzbekistan</v>
      </c>
      <c r="D17145">
        <f>IFERROR(__xludf.DUMMYFUNCTION("""COMPUTED_VALUE"""),1983.0)</f>
        <v>1983</v>
      </c>
      <c r="E17145">
        <f>IFERROR(__xludf.DUMMYFUNCTION("""COMPUTED_VALUE"""),1.7221212E7)</f>
        <v>17221212</v>
      </c>
    </row>
    <row r="17146">
      <c r="A17146" t="str">
        <f t="shared" si="1"/>
        <v>uzb#1984</v>
      </c>
      <c r="B17146" t="str">
        <f>IFERROR(__xludf.DUMMYFUNCTION("""COMPUTED_VALUE"""),"uzb")</f>
        <v>uzb</v>
      </c>
      <c r="C17146" t="str">
        <f>IFERROR(__xludf.DUMMYFUNCTION("""COMPUTED_VALUE"""),"Uzbekistan")</f>
        <v>Uzbekistan</v>
      </c>
      <c r="D17146">
        <f>IFERROR(__xludf.DUMMYFUNCTION("""COMPUTED_VALUE"""),1984.0)</f>
        <v>1984</v>
      </c>
      <c r="E17146">
        <f>IFERROR(__xludf.DUMMYFUNCTION("""COMPUTED_VALUE"""),1.7659975E7)</f>
        <v>17659975</v>
      </c>
    </row>
    <row r="17147">
      <c r="A17147" t="str">
        <f t="shared" si="1"/>
        <v>uzb#1985</v>
      </c>
      <c r="B17147" t="str">
        <f>IFERROR(__xludf.DUMMYFUNCTION("""COMPUTED_VALUE"""),"uzb")</f>
        <v>uzb</v>
      </c>
      <c r="C17147" t="str">
        <f>IFERROR(__xludf.DUMMYFUNCTION("""COMPUTED_VALUE"""),"Uzbekistan")</f>
        <v>Uzbekistan</v>
      </c>
      <c r="D17147">
        <f>IFERROR(__xludf.DUMMYFUNCTION("""COMPUTED_VALUE"""),1985.0)</f>
        <v>1985</v>
      </c>
      <c r="E17147">
        <f>IFERROR(__xludf.DUMMYFUNCTION("""COMPUTED_VALUE"""),1.81083E7)</f>
        <v>18108300</v>
      </c>
    </row>
    <row r="17148">
      <c r="A17148" t="str">
        <f t="shared" si="1"/>
        <v>uzb#1986</v>
      </c>
      <c r="B17148" t="str">
        <f>IFERROR(__xludf.DUMMYFUNCTION("""COMPUTED_VALUE"""),"uzb")</f>
        <v>uzb</v>
      </c>
      <c r="C17148" t="str">
        <f>IFERROR(__xludf.DUMMYFUNCTION("""COMPUTED_VALUE"""),"Uzbekistan")</f>
        <v>Uzbekistan</v>
      </c>
      <c r="D17148">
        <f>IFERROR(__xludf.DUMMYFUNCTION("""COMPUTED_VALUE"""),1986.0)</f>
        <v>1986</v>
      </c>
      <c r="E17148">
        <f>IFERROR(__xludf.DUMMYFUNCTION("""COMPUTED_VALUE"""),1.8565477E7)</f>
        <v>18565477</v>
      </c>
    </row>
    <row r="17149">
      <c r="A17149" t="str">
        <f t="shared" si="1"/>
        <v>uzb#1987</v>
      </c>
      <c r="B17149" t="str">
        <f>IFERROR(__xludf.DUMMYFUNCTION("""COMPUTED_VALUE"""),"uzb")</f>
        <v>uzb</v>
      </c>
      <c r="C17149" t="str">
        <f>IFERROR(__xludf.DUMMYFUNCTION("""COMPUTED_VALUE"""),"Uzbekistan")</f>
        <v>Uzbekistan</v>
      </c>
      <c r="D17149">
        <f>IFERROR(__xludf.DUMMYFUNCTION("""COMPUTED_VALUE"""),1987.0)</f>
        <v>1987</v>
      </c>
      <c r="E17149">
        <f>IFERROR(__xludf.DUMMYFUNCTION("""COMPUTED_VALUE"""),1.9029877E7)</f>
        <v>19029877</v>
      </c>
    </row>
    <row r="17150">
      <c r="A17150" t="str">
        <f t="shared" si="1"/>
        <v>uzb#1988</v>
      </c>
      <c r="B17150" t="str">
        <f>IFERROR(__xludf.DUMMYFUNCTION("""COMPUTED_VALUE"""),"uzb")</f>
        <v>uzb</v>
      </c>
      <c r="C17150" t="str">
        <f>IFERROR(__xludf.DUMMYFUNCTION("""COMPUTED_VALUE"""),"Uzbekistan")</f>
        <v>Uzbekistan</v>
      </c>
      <c r="D17150">
        <f>IFERROR(__xludf.DUMMYFUNCTION("""COMPUTED_VALUE"""),1988.0)</f>
        <v>1988</v>
      </c>
      <c r="E17150">
        <f>IFERROR(__xludf.DUMMYFUNCTION("""COMPUTED_VALUE"""),1.9501225E7)</f>
        <v>19501225</v>
      </c>
    </row>
    <row r="17151">
      <c r="A17151" t="str">
        <f t="shared" si="1"/>
        <v>uzb#1989</v>
      </c>
      <c r="B17151" t="str">
        <f>IFERROR(__xludf.DUMMYFUNCTION("""COMPUTED_VALUE"""),"uzb")</f>
        <v>uzb</v>
      </c>
      <c r="C17151" t="str">
        <f>IFERROR(__xludf.DUMMYFUNCTION("""COMPUTED_VALUE"""),"Uzbekistan")</f>
        <v>Uzbekistan</v>
      </c>
      <c r="D17151">
        <f>IFERROR(__xludf.DUMMYFUNCTION("""COMPUTED_VALUE"""),1989.0)</f>
        <v>1989</v>
      </c>
      <c r="E17151">
        <f>IFERROR(__xludf.DUMMYFUNCTION("""COMPUTED_VALUE"""),1.9979127E7)</f>
        <v>19979127</v>
      </c>
    </row>
    <row r="17152">
      <c r="A17152" t="str">
        <f t="shared" si="1"/>
        <v>uzb#1990</v>
      </c>
      <c r="B17152" t="str">
        <f>IFERROR(__xludf.DUMMYFUNCTION("""COMPUTED_VALUE"""),"uzb")</f>
        <v>uzb</v>
      </c>
      <c r="C17152" t="str">
        <f>IFERROR(__xludf.DUMMYFUNCTION("""COMPUTED_VALUE"""),"Uzbekistan")</f>
        <v>Uzbekistan</v>
      </c>
      <c r="D17152">
        <f>IFERROR(__xludf.DUMMYFUNCTION("""COMPUTED_VALUE"""),1990.0)</f>
        <v>1990</v>
      </c>
      <c r="E17152">
        <f>IFERROR(__xludf.DUMMYFUNCTION("""COMPUTED_VALUE"""),2.0462463E7)</f>
        <v>20462463</v>
      </c>
    </row>
    <row r="17153">
      <c r="A17153" t="str">
        <f t="shared" si="1"/>
        <v>uzb#1991</v>
      </c>
      <c r="B17153" t="str">
        <f>IFERROR(__xludf.DUMMYFUNCTION("""COMPUTED_VALUE"""),"uzb")</f>
        <v>uzb</v>
      </c>
      <c r="C17153" t="str">
        <f>IFERROR(__xludf.DUMMYFUNCTION("""COMPUTED_VALUE"""),"Uzbekistan")</f>
        <v>Uzbekistan</v>
      </c>
      <c r="D17153">
        <f>IFERROR(__xludf.DUMMYFUNCTION("""COMPUTED_VALUE"""),1991.0)</f>
        <v>1991</v>
      </c>
      <c r="E17153">
        <f>IFERROR(__xludf.DUMMYFUNCTION("""COMPUTED_VALUE"""),2.0951391E7)</f>
        <v>20951391</v>
      </c>
    </row>
    <row r="17154">
      <c r="A17154" t="str">
        <f t="shared" si="1"/>
        <v>uzb#1992</v>
      </c>
      <c r="B17154" t="str">
        <f>IFERROR(__xludf.DUMMYFUNCTION("""COMPUTED_VALUE"""),"uzb")</f>
        <v>uzb</v>
      </c>
      <c r="C17154" t="str">
        <f>IFERROR(__xludf.DUMMYFUNCTION("""COMPUTED_VALUE"""),"Uzbekistan")</f>
        <v>Uzbekistan</v>
      </c>
      <c r="D17154">
        <f>IFERROR(__xludf.DUMMYFUNCTION("""COMPUTED_VALUE"""),1992.0)</f>
        <v>1992</v>
      </c>
      <c r="E17154">
        <f>IFERROR(__xludf.DUMMYFUNCTION("""COMPUTED_VALUE"""),2.1443453E7)</f>
        <v>21443453</v>
      </c>
    </row>
    <row r="17155">
      <c r="A17155" t="str">
        <f t="shared" si="1"/>
        <v>uzb#1993</v>
      </c>
      <c r="B17155" t="str">
        <f>IFERROR(__xludf.DUMMYFUNCTION("""COMPUTED_VALUE"""),"uzb")</f>
        <v>uzb</v>
      </c>
      <c r="C17155" t="str">
        <f>IFERROR(__xludf.DUMMYFUNCTION("""COMPUTED_VALUE"""),"Uzbekistan")</f>
        <v>Uzbekistan</v>
      </c>
      <c r="D17155">
        <f>IFERROR(__xludf.DUMMYFUNCTION("""COMPUTED_VALUE"""),1993.0)</f>
        <v>1993</v>
      </c>
      <c r="E17155">
        <f>IFERROR(__xludf.DUMMYFUNCTION("""COMPUTED_VALUE"""),2.193169E7)</f>
        <v>21931690</v>
      </c>
    </row>
    <row r="17156">
      <c r="A17156" t="str">
        <f t="shared" si="1"/>
        <v>uzb#1994</v>
      </c>
      <c r="B17156" t="str">
        <f>IFERROR(__xludf.DUMMYFUNCTION("""COMPUTED_VALUE"""),"uzb")</f>
        <v>uzb</v>
      </c>
      <c r="C17156" t="str">
        <f>IFERROR(__xludf.DUMMYFUNCTION("""COMPUTED_VALUE"""),"Uzbekistan")</f>
        <v>Uzbekistan</v>
      </c>
      <c r="D17156">
        <f>IFERROR(__xludf.DUMMYFUNCTION("""COMPUTED_VALUE"""),1994.0)</f>
        <v>1994</v>
      </c>
      <c r="E17156">
        <f>IFERROR(__xludf.DUMMYFUNCTION("""COMPUTED_VALUE"""),2.2407158E7)</f>
        <v>22407158</v>
      </c>
    </row>
    <row r="17157">
      <c r="A17157" t="str">
        <f t="shared" si="1"/>
        <v>uzb#1995</v>
      </c>
      <c r="B17157" t="str">
        <f>IFERROR(__xludf.DUMMYFUNCTION("""COMPUTED_VALUE"""),"uzb")</f>
        <v>uzb</v>
      </c>
      <c r="C17157" t="str">
        <f>IFERROR(__xludf.DUMMYFUNCTION("""COMPUTED_VALUE"""),"Uzbekistan")</f>
        <v>Uzbekistan</v>
      </c>
      <c r="D17157">
        <f>IFERROR(__xludf.DUMMYFUNCTION("""COMPUTED_VALUE"""),1995.0)</f>
        <v>1995</v>
      </c>
      <c r="E17157">
        <f>IFERROR(__xludf.DUMMYFUNCTION("""COMPUTED_VALUE"""),2.2863264E7)</f>
        <v>22863264</v>
      </c>
    </row>
    <row r="17158">
      <c r="A17158" t="str">
        <f t="shared" si="1"/>
        <v>uzb#1996</v>
      </c>
      <c r="B17158" t="str">
        <f>IFERROR(__xludf.DUMMYFUNCTION("""COMPUTED_VALUE"""),"uzb")</f>
        <v>uzb</v>
      </c>
      <c r="C17158" t="str">
        <f>IFERROR(__xludf.DUMMYFUNCTION("""COMPUTED_VALUE"""),"Uzbekistan")</f>
        <v>Uzbekistan</v>
      </c>
      <c r="D17158">
        <f>IFERROR(__xludf.DUMMYFUNCTION("""COMPUTED_VALUE"""),1996.0)</f>
        <v>1996</v>
      </c>
      <c r="E17158">
        <f>IFERROR(__xludf.DUMMYFUNCTION("""COMPUTED_VALUE"""),2.3298911E7)</f>
        <v>23298911</v>
      </c>
    </row>
    <row r="17159">
      <c r="A17159" t="str">
        <f t="shared" si="1"/>
        <v>uzb#1997</v>
      </c>
      <c r="B17159" t="str">
        <f>IFERROR(__xludf.DUMMYFUNCTION("""COMPUTED_VALUE"""),"uzb")</f>
        <v>uzb</v>
      </c>
      <c r="C17159" t="str">
        <f>IFERROR(__xludf.DUMMYFUNCTION("""COMPUTED_VALUE"""),"Uzbekistan")</f>
        <v>Uzbekistan</v>
      </c>
      <c r="D17159">
        <f>IFERROR(__xludf.DUMMYFUNCTION("""COMPUTED_VALUE"""),1997.0)</f>
        <v>1997</v>
      </c>
      <c r="E17159">
        <f>IFERROR(__xludf.DUMMYFUNCTION("""COMPUTED_VALUE"""),2.371549E7)</f>
        <v>23715490</v>
      </c>
    </row>
    <row r="17160">
      <c r="A17160" t="str">
        <f t="shared" si="1"/>
        <v>uzb#1998</v>
      </c>
      <c r="B17160" t="str">
        <f>IFERROR(__xludf.DUMMYFUNCTION("""COMPUTED_VALUE"""),"uzb")</f>
        <v>uzb</v>
      </c>
      <c r="C17160" t="str">
        <f>IFERROR(__xludf.DUMMYFUNCTION("""COMPUTED_VALUE"""),"Uzbekistan")</f>
        <v>Uzbekistan</v>
      </c>
      <c r="D17160">
        <f>IFERROR(__xludf.DUMMYFUNCTION("""COMPUTED_VALUE"""),1998.0)</f>
        <v>1998</v>
      </c>
      <c r="E17160">
        <f>IFERROR(__xludf.DUMMYFUNCTION("""COMPUTED_VALUE"""),2.411241E7)</f>
        <v>24112410</v>
      </c>
    </row>
    <row r="17161">
      <c r="A17161" t="str">
        <f t="shared" si="1"/>
        <v>uzb#1999</v>
      </c>
      <c r="B17161" t="str">
        <f>IFERROR(__xludf.DUMMYFUNCTION("""COMPUTED_VALUE"""),"uzb")</f>
        <v>uzb</v>
      </c>
      <c r="C17161" t="str">
        <f>IFERROR(__xludf.DUMMYFUNCTION("""COMPUTED_VALUE"""),"Uzbekistan")</f>
        <v>Uzbekistan</v>
      </c>
      <c r="D17161">
        <f>IFERROR(__xludf.DUMMYFUNCTION("""COMPUTED_VALUE"""),1999.0)</f>
        <v>1999</v>
      </c>
      <c r="E17161">
        <f>IFERROR(__xludf.DUMMYFUNCTION("""COMPUTED_VALUE"""),2.4489769E7)</f>
        <v>24489769</v>
      </c>
    </row>
    <row r="17162">
      <c r="A17162" t="str">
        <f t="shared" si="1"/>
        <v>uzb#2000</v>
      </c>
      <c r="B17162" t="str">
        <f>IFERROR(__xludf.DUMMYFUNCTION("""COMPUTED_VALUE"""),"uzb")</f>
        <v>uzb</v>
      </c>
      <c r="C17162" t="str">
        <f>IFERROR(__xludf.DUMMYFUNCTION("""COMPUTED_VALUE"""),"Uzbekistan")</f>
        <v>Uzbekistan</v>
      </c>
      <c r="D17162">
        <f>IFERROR(__xludf.DUMMYFUNCTION("""COMPUTED_VALUE"""),2000.0)</f>
        <v>2000</v>
      </c>
      <c r="E17162">
        <f>IFERROR(__xludf.DUMMYFUNCTION("""COMPUTED_VALUE"""),2.484892E7)</f>
        <v>24848920</v>
      </c>
    </row>
    <row r="17163">
      <c r="A17163" t="str">
        <f t="shared" si="1"/>
        <v>uzb#2001</v>
      </c>
      <c r="B17163" t="str">
        <f>IFERROR(__xludf.DUMMYFUNCTION("""COMPUTED_VALUE"""),"uzb")</f>
        <v>uzb</v>
      </c>
      <c r="C17163" t="str">
        <f>IFERROR(__xludf.DUMMYFUNCTION("""COMPUTED_VALUE"""),"Uzbekistan")</f>
        <v>Uzbekistan</v>
      </c>
      <c r="D17163">
        <f>IFERROR(__xludf.DUMMYFUNCTION("""COMPUTED_VALUE"""),2001.0)</f>
        <v>2001</v>
      </c>
      <c r="E17163">
        <f>IFERROR(__xludf.DUMMYFUNCTION("""COMPUTED_VALUE"""),2.5188527E7)</f>
        <v>25188527</v>
      </c>
    </row>
    <row r="17164">
      <c r="A17164" t="str">
        <f t="shared" si="1"/>
        <v>uzb#2002</v>
      </c>
      <c r="B17164" t="str">
        <f>IFERROR(__xludf.DUMMYFUNCTION("""COMPUTED_VALUE"""),"uzb")</f>
        <v>uzb</v>
      </c>
      <c r="C17164" t="str">
        <f>IFERROR(__xludf.DUMMYFUNCTION("""COMPUTED_VALUE"""),"Uzbekistan")</f>
        <v>Uzbekistan</v>
      </c>
      <c r="D17164">
        <f>IFERROR(__xludf.DUMMYFUNCTION("""COMPUTED_VALUE"""),2002.0)</f>
        <v>2002</v>
      </c>
      <c r="E17164">
        <f>IFERROR(__xludf.DUMMYFUNCTION("""COMPUTED_VALUE"""),2.5511876E7)</f>
        <v>25511876</v>
      </c>
    </row>
    <row r="17165">
      <c r="A17165" t="str">
        <f t="shared" si="1"/>
        <v>uzb#2003</v>
      </c>
      <c r="B17165" t="str">
        <f>IFERROR(__xludf.DUMMYFUNCTION("""COMPUTED_VALUE"""),"uzb")</f>
        <v>uzb</v>
      </c>
      <c r="C17165" t="str">
        <f>IFERROR(__xludf.DUMMYFUNCTION("""COMPUTED_VALUE"""),"Uzbekistan")</f>
        <v>Uzbekistan</v>
      </c>
      <c r="D17165">
        <f>IFERROR(__xludf.DUMMYFUNCTION("""COMPUTED_VALUE"""),2003.0)</f>
        <v>2003</v>
      </c>
      <c r="E17165">
        <f>IFERROR(__xludf.DUMMYFUNCTION("""COMPUTED_VALUE"""),2.5830659E7)</f>
        <v>25830659</v>
      </c>
    </row>
    <row r="17166">
      <c r="A17166" t="str">
        <f t="shared" si="1"/>
        <v>uzb#2004</v>
      </c>
      <c r="B17166" t="str">
        <f>IFERROR(__xludf.DUMMYFUNCTION("""COMPUTED_VALUE"""),"uzb")</f>
        <v>uzb</v>
      </c>
      <c r="C17166" t="str">
        <f>IFERROR(__xludf.DUMMYFUNCTION("""COMPUTED_VALUE"""),"Uzbekistan")</f>
        <v>Uzbekistan</v>
      </c>
      <c r="D17166">
        <f>IFERROR(__xludf.DUMMYFUNCTION("""COMPUTED_VALUE"""),2004.0)</f>
        <v>2004</v>
      </c>
      <c r="E17166">
        <f>IFERROR(__xludf.DUMMYFUNCTION("""COMPUTED_VALUE"""),2.6160326E7)</f>
        <v>26160326</v>
      </c>
    </row>
    <row r="17167">
      <c r="A17167" t="str">
        <f t="shared" si="1"/>
        <v>uzb#2005</v>
      </c>
      <c r="B17167" t="str">
        <f>IFERROR(__xludf.DUMMYFUNCTION("""COMPUTED_VALUE"""),"uzb")</f>
        <v>uzb</v>
      </c>
      <c r="C17167" t="str">
        <f>IFERROR(__xludf.DUMMYFUNCTION("""COMPUTED_VALUE"""),"Uzbekistan")</f>
        <v>Uzbekistan</v>
      </c>
      <c r="D17167">
        <f>IFERROR(__xludf.DUMMYFUNCTION("""COMPUTED_VALUE"""),2005.0)</f>
        <v>2005</v>
      </c>
      <c r="E17167">
        <f>IFERROR(__xludf.DUMMYFUNCTION("""COMPUTED_VALUE"""),2.6512184E7)</f>
        <v>26512184</v>
      </c>
    </row>
    <row r="17168">
      <c r="A17168" t="str">
        <f t="shared" si="1"/>
        <v>uzb#2006</v>
      </c>
      <c r="B17168" t="str">
        <f>IFERROR(__xludf.DUMMYFUNCTION("""COMPUTED_VALUE"""),"uzb")</f>
        <v>uzb</v>
      </c>
      <c r="C17168" t="str">
        <f>IFERROR(__xludf.DUMMYFUNCTION("""COMPUTED_VALUE"""),"Uzbekistan")</f>
        <v>Uzbekistan</v>
      </c>
      <c r="D17168">
        <f>IFERROR(__xludf.DUMMYFUNCTION("""COMPUTED_VALUE"""),2006.0)</f>
        <v>2006</v>
      </c>
      <c r="E17168">
        <f>IFERROR(__xludf.DUMMYFUNCTION("""COMPUTED_VALUE"""),2.6890263E7)</f>
        <v>26890263</v>
      </c>
    </row>
    <row r="17169">
      <c r="A17169" t="str">
        <f t="shared" si="1"/>
        <v>uzb#2007</v>
      </c>
      <c r="B17169" t="str">
        <f>IFERROR(__xludf.DUMMYFUNCTION("""COMPUTED_VALUE"""),"uzb")</f>
        <v>uzb</v>
      </c>
      <c r="C17169" t="str">
        <f>IFERROR(__xludf.DUMMYFUNCTION("""COMPUTED_VALUE"""),"Uzbekistan")</f>
        <v>Uzbekistan</v>
      </c>
      <c r="D17169">
        <f>IFERROR(__xludf.DUMMYFUNCTION("""COMPUTED_VALUE"""),2007.0)</f>
        <v>2007</v>
      </c>
      <c r="E17169">
        <f>IFERROR(__xludf.DUMMYFUNCTION("""COMPUTED_VALUE"""),2.7292375E7)</f>
        <v>27292375</v>
      </c>
    </row>
    <row r="17170">
      <c r="A17170" t="str">
        <f t="shared" si="1"/>
        <v>uzb#2008</v>
      </c>
      <c r="B17170" t="str">
        <f>IFERROR(__xludf.DUMMYFUNCTION("""COMPUTED_VALUE"""),"uzb")</f>
        <v>uzb</v>
      </c>
      <c r="C17170" t="str">
        <f>IFERROR(__xludf.DUMMYFUNCTION("""COMPUTED_VALUE"""),"Uzbekistan")</f>
        <v>Uzbekistan</v>
      </c>
      <c r="D17170">
        <f>IFERROR(__xludf.DUMMYFUNCTION("""COMPUTED_VALUE"""),2008.0)</f>
        <v>2008</v>
      </c>
      <c r="E17170">
        <f>IFERROR(__xludf.DUMMYFUNCTION("""COMPUTED_VALUE"""),2.7715825E7)</f>
        <v>27715825</v>
      </c>
    </row>
    <row r="17171">
      <c r="A17171" t="str">
        <f t="shared" si="1"/>
        <v>uzb#2009</v>
      </c>
      <c r="B17171" t="str">
        <f>IFERROR(__xludf.DUMMYFUNCTION("""COMPUTED_VALUE"""),"uzb")</f>
        <v>uzb</v>
      </c>
      <c r="C17171" t="str">
        <f>IFERROR(__xludf.DUMMYFUNCTION("""COMPUTED_VALUE"""),"Uzbekistan")</f>
        <v>Uzbekistan</v>
      </c>
      <c r="D17171">
        <f>IFERROR(__xludf.DUMMYFUNCTION("""COMPUTED_VALUE"""),2009.0)</f>
        <v>2009</v>
      </c>
      <c r="E17171">
        <f>IFERROR(__xludf.DUMMYFUNCTION("""COMPUTED_VALUE"""),2.8155306E7)</f>
        <v>28155306</v>
      </c>
    </row>
    <row r="17172">
      <c r="A17172" t="str">
        <f t="shared" si="1"/>
        <v>uzb#2010</v>
      </c>
      <c r="B17172" t="str">
        <f>IFERROR(__xludf.DUMMYFUNCTION("""COMPUTED_VALUE"""),"uzb")</f>
        <v>uzb</v>
      </c>
      <c r="C17172" t="str">
        <f>IFERROR(__xludf.DUMMYFUNCTION("""COMPUTED_VALUE"""),"Uzbekistan")</f>
        <v>Uzbekistan</v>
      </c>
      <c r="D17172">
        <f>IFERROR(__xludf.DUMMYFUNCTION("""COMPUTED_VALUE"""),2010.0)</f>
        <v>2010</v>
      </c>
      <c r="E17172">
        <f>IFERROR(__xludf.DUMMYFUNCTION("""COMPUTED_VALUE"""),2.8606294E7)</f>
        <v>28606294</v>
      </c>
    </row>
    <row r="17173">
      <c r="A17173" t="str">
        <f t="shared" si="1"/>
        <v>uzb#2011</v>
      </c>
      <c r="B17173" t="str">
        <f>IFERROR(__xludf.DUMMYFUNCTION("""COMPUTED_VALUE"""),"uzb")</f>
        <v>uzb</v>
      </c>
      <c r="C17173" t="str">
        <f>IFERROR(__xludf.DUMMYFUNCTION("""COMPUTED_VALUE"""),"Uzbekistan")</f>
        <v>Uzbekistan</v>
      </c>
      <c r="D17173">
        <f>IFERROR(__xludf.DUMMYFUNCTION("""COMPUTED_VALUE"""),2011.0)</f>
        <v>2011</v>
      </c>
      <c r="E17173">
        <f>IFERROR(__xludf.DUMMYFUNCTION("""COMPUTED_VALUE"""),2.9068224E7)</f>
        <v>29068224</v>
      </c>
    </row>
    <row r="17174">
      <c r="A17174" t="str">
        <f t="shared" si="1"/>
        <v>uzb#2012</v>
      </c>
      <c r="B17174" t="str">
        <f>IFERROR(__xludf.DUMMYFUNCTION("""COMPUTED_VALUE"""),"uzb")</f>
        <v>uzb</v>
      </c>
      <c r="C17174" t="str">
        <f>IFERROR(__xludf.DUMMYFUNCTION("""COMPUTED_VALUE"""),"Uzbekistan")</f>
        <v>Uzbekistan</v>
      </c>
      <c r="D17174">
        <f>IFERROR(__xludf.DUMMYFUNCTION("""COMPUTED_VALUE"""),2012.0)</f>
        <v>2012</v>
      </c>
      <c r="E17174">
        <f>IFERROR(__xludf.DUMMYFUNCTION("""COMPUTED_VALUE"""),2.9540819E7)</f>
        <v>29540819</v>
      </c>
    </row>
    <row r="17175">
      <c r="A17175" t="str">
        <f t="shared" si="1"/>
        <v>uzb#2013</v>
      </c>
      <c r="B17175" t="str">
        <f>IFERROR(__xludf.DUMMYFUNCTION("""COMPUTED_VALUE"""),"uzb")</f>
        <v>uzb</v>
      </c>
      <c r="C17175" t="str">
        <f>IFERROR(__xludf.DUMMYFUNCTION("""COMPUTED_VALUE"""),"Uzbekistan")</f>
        <v>Uzbekistan</v>
      </c>
      <c r="D17175">
        <f>IFERROR(__xludf.DUMMYFUNCTION("""COMPUTED_VALUE"""),2013.0)</f>
        <v>2013</v>
      </c>
      <c r="E17175">
        <f>IFERROR(__xludf.DUMMYFUNCTION("""COMPUTED_VALUE"""),3.0019734E7)</f>
        <v>30019734</v>
      </c>
    </row>
    <row r="17176">
      <c r="A17176" t="str">
        <f t="shared" si="1"/>
        <v>uzb#2014</v>
      </c>
      <c r="B17176" t="str">
        <f>IFERROR(__xludf.DUMMYFUNCTION("""COMPUTED_VALUE"""),"uzb")</f>
        <v>uzb</v>
      </c>
      <c r="C17176" t="str">
        <f>IFERROR(__xludf.DUMMYFUNCTION("""COMPUTED_VALUE"""),"Uzbekistan")</f>
        <v>Uzbekistan</v>
      </c>
      <c r="D17176">
        <f>IFERROR(__xludf.DUMMYFUNCTION("""COMPUTED_VALUE"""),2014.0)</f>
        <v>2014</v>
      </c>
      <c r="E17176">
        <f>IFERROR(__xludf.DUMMYFUNCTION("""COMPUTED_VALUE"""),3.0499618E7)</f>
        <v>30499618</v>
      </c>
    </row>
    <row r="17177">
      <c r="A17177" t="str">
        <f t="shared" si="1"/>
        <v>uzb#2015</v>
      </c>
      <c r="B17177" t="str">
        <f>IFERROR(__xludf.DUMMYFUNCTION("""COMPUTED_VALUE"""),"uzb")</f>
        <v>uzb</v>
      </c>
      <c r="C17177" t="str">
        <f>IFERROR(__xludf.DUMMYFUNCTION("""COMPUTED_VALUE"""),"Uzbekistan")</f>
        <v>Uzbekistan</v>
      </c>
      <c r="D17177">
        <f>IFERROR(__xludf.DUMMYFUNCTION("""COMPUTED_VALUE"""),2015.0)</f>
        <v>2015</v>
      </c>
      <c r="E17177">
        <f>IFERROR(__xludf.DUMMYFUNCTION("""COMPUTED_VALUE"""),3.0976021E7)</f>
        <v>30976021</v>
      </c>
    </row>
    <row r="17178">
      <c r="A17178" t="str">
        <f t="shared" si="1"/>
        <v>uzb#2016</v>
      </c>
      <c r="B17178" t="str">
        <f>IFERROR(__xludf.DUMMYFUNCTION("""COMPUTED_VALUE"""),"uzb")</f>
        <v>uzb</v>
      </c>
      <c r="C17178" t="str">
        <f>IFERROR(__xludf.DUMMYFUNCTION("""COMPUTED_VALUE"""),"Uzbekistan")</f>
        <v>Uzbekistan</v>
      </c>
      <c r="D17178">
        <f>IFERROR(__xludf.DUMMYFUNCTION("""COMPUTED_VALUE"""),2016.0)</f>
        <v>2016</v>
      </c>
      <c r="E17178">
        <f>IFERROR(__xludf.DUMMYFUNCTION("""COMPUTED_VALUE"""),3.1446795E7)</f>
        <v>31446795</v>
      </c>
    </row>
    <row r="17179">
      <c r="A17179" t="str">
        <f t="shared" si="1"/>
        <v>uzb#2017</v>
      </c>
      <c r="B17179" t="str">
        <f>IFERROR(__xludf.DUMMYFUNCTION("""COMPUTED_VALUE"""),"uzb")</f>
        <v>uzb</v>
      </c>
      <c r="C17179" t="str">
        <f>IFERROR(__xludf.DUMMYFUNCTION("""COMPUTED_VALUE"""),"Uzbekistan")</f>
        <v>Uzbekistan</v>
      </c>
      <c r="D17179">
        <f>IFERROR(__xludf.DUMMYFUNCTION("""COMPUTED_VALUE"""),2017.0)</f>
        <v>2017</v>
      </c>
      <c r="E17179">
        <f>IFERROR(__xludf.DUMMYFUNCTION("""COMPUTED_VALUE"""),3.1910641E7)</f>
        <v>31910641</v>
      </c>
    </row>
    <row r="17180">
      <c r="A17180" t="str">
        <f t="shared" si="1"/>
        <v>uzb#2018</v>
      </c>
      <c r="B17180" t="str">
        <f>IFERROR(__xludf.DUMMYFUNCTION("""COMPUTED_VALUE"""),"uzb")</f>
        <v>uzb</v>
      </c>
      <c r="C17180" t="str">
        <f>IFERROR(__xludf.DUMMYFUNCTION("""COMPUTED_VALUE"""),"Uzbekistan")</f>
        <v>Uzbekistan</v>
      </c>
      <c r="D17180">
        <f>IFERROR(__xludf.DUMMYFUNCTION("""COMPUTED_VALUE"""),2018.0)</f>
        <v>2018</v>
      </c>
      <c r="E17180">
        <f>IFERROR(__xludf.DUMMYFUNCTION("""COMPUTED_VALUE"""),3.2364996E7)</f>
        <v>32364996</v>
      </c>
    </row>
    <row r="17181">
      <c r="A17181" t="str">
        <f t="shared" si="1"/>
        <v>uzb#2019</v>
      </c>
      <c r="B17181" t="str">
        <f>IFERROR(__xludf.DUMMYFUNCTION("""COMPUTED_VALUE"""),"uzb")</f>
        <v>uzb</v>
      </c>
      <c r="C17181" t="str">
        <f>IFERROR(__xludf.DUMMYFUNCTION("""COMPUTED_VALUE"""),"Uzbekistan")</f>
        <v>Uzbekistan</v>
      </c>
      <c r="D17181">
        <f>IFERROR(__xludf.DUMMYFUNCTION("""COMPUTED_VALUE"""),2019.0)</f>
        <v>2019</v>
      </c>
      <c r="E17181">
        <f>IFERROR(__xludf.DUMMYFUNCTION("""COMPUTED_VALUE"""),3.2807368E7)</f>
        <v>32807368</v>
      </c>
    </row>
    <row r="17182">
      <c r="A17182" t="str">
        <f t="shared" si="1"/>
        <v>uzb#2020</v>
      </c>
      <c r="B17182" t="str">
        <f>IFERROR(__xludf.DUMMYFUNCTION("""COMPUTED_VALUE"""),"uzb")</f>
        <v>uzb</v>
      </c>
      <c r="C17182" t="str">
        <f>IFERROR(__xludf.DUMMYFUNCTION("""COMPUTED_VALUE"""),"Uzbekistan")</f>
        <v>Uzbekistan</v>
      </c>
      <c r="D17182">
        <f>IFERROR(__xludf.DUMMYFUNCTION("""COMPUTED_VALUE"""),2020.0)</f>
        <v>2020</v>
      </c>
      <c r="E17182">
        <f>IFERROR(__xludf.DUMMYFUNCTION("""COMPUTED_VALUE"""),3.3235825E7)</f>
        <v>33235825</v>
      </c>
    </row>
    <row r="17183">
      <c r="A17183" t="str">
        <f t="shared" si="1"/>
        <v>uzb#2021</v>
      </c>
      <c r="B17183" t="str">
        <f>IFERROR(__xludf.DUMMYFUNCTION("""COMPUTED_VALUE"""),"uzb")</f>
        <v>uzb</v>
      </c>
      <c r="C17183" t="str">
        <f>IFERROR(__xludf.DUMMYFUNCTION("""COMPUTED_VALUE"""),"Uzbekistan")</f>
        <v>Uzbekistan</v>
      </c>
      <c r="D17183">
        <f>IFERROR(__xludf.DUMMYFUNCTION("""COMPUTED_VALUE"""),2021.0)</f>
        <v>2021</v>
      </c>
      <c r="E17183">
        <f>IFERROR(__xludf.DUMMYFUNCTION("""COMPUTED_VALUE"""),3.3648956E7)</f>
        <v>33648956</v>
      </c>
    </row>
    <row r="17184">
      <c r="A17184" t="str">
        <f t="shared" si="1"/>
        <v>uzb#2022</v>
      </c>
      <c r="B17184" t="str">
        <f>IFERROR(__xludf.DUMMYFUNCTION("""COMPUTED_VALUE"""),"uzb")</f>
        <v>uzb</v>
      </c>
      <c r="C17184" t="str">
        <f>IFERROR(__xludf.DUMMYFUNCTION("""COMPUTED_VALUE"""),"Uzbekistan")</f>
        <v>Uzbekistan</v>
      </c>
      <c r="D17184">
        <f>IFERROR(__xludf.DUMMYFUNCTION("""COMPUTED_VALUE"""),2022.0)</f>
        <v>2022</v>
      </c>
      <c r="E17184">
        <f>IFERROR(__xludf.DUMMYFUNCTION("""COMPUTED_VALUE"""),3.40462E7)</f>
        <v>34046200</v>
      </c>
    </row>
    <row r="17185">
      <c r="A17185" t="str">
        <f t="shared" si="1"/>
        <v>uzb#2023</v>
      </c>
      <c r="B17185" t="str">
        <f>IFERROR(__xludf.DUMMYFUNCTION("""COMPUTED_VALUE"""),"uzb")</f>
        <v>uzb</v>
      </c>
      <c r="C17185" t="str">
        <f>IFERROR(__xludf.DUMMYFUNCTION("""COMPUTED_VALUE"""),"Uzbekistan")</f>
        <v>Uzbekistan</v>
      </c>
      <c r="D17185">
        <f>IFERROR(__xludf.DUMMYFUNCTION("""COMPUTED_VALUE"""),2023.0)</f>
        <v>2023</v>
      </c>
      <c r="E17185">
        <f>IFERROR(__xludf.DUMMYFUNCTION("""COMPUTED_VALUE"""),3.4427732E7)</f>
        <v>34427732</v>
      </c>
    </row>
    <row r="17186">
      <c r="A17186" t="str">
        <f t="shared" si="1"/>
        <v>uzb#2024</v>
      </c>
      <c r="B17186" t="str">
        <f>IFERROR(__xludf.DUMMYFUNCTION("""COMPUTED_VALUE"""),"uzb")</f>
        <v>uzb</v>
      </c>
      <c r="C17186" t="str">
        <f>IFERROR(__xludf.DUMMYFUNCTION("""COMPUTED_VALUE"""),"Uzbekistan")</f>
        <v>Uzbekistan</v>
      </c>
      <c r="D17186">
        <f>IFERROR(__xludf.DUMMYFUNCTION("""COMPUTED_VALUE"""),2024.0)</f>
        <v>2024</v>
      </c>
      <c r="E17186">
        <f>IFERROR(__xludf.DUMMYFUNCTION("""COMPUTED_VALUE"""),3.4794284E7)</f>
        <v>34794284</v>
      </c>
    </row>
    <row r="17187">
      <c r="A17187" t="str">
        <f t="shared" si="1"/>
        <v>uzb#2025</v>
      </c>
      <c r="B17187" t="str">
        <f>IFERROR(__xludf.DUMMYFUNCTION("""COMPUTED_VALUE"""),"uzb")</f>
        <v>uzb</v>
      </c>
      <c r="C17187" t="str">
        <f>IFERROR(__xludf.DUMMYFUNCTION("""COMPUTED_VALUE"""),"Uzbekistan")</f>
        <v>Uzbekistan</v>
      </c>
      <c r="D17187">
        <f>IFERROR(__xludf.DUMMYFUNCTION("""COMPUTED_VALUE"""),2025.0)</f>
        <v>2025</v>
      </c>
      <c r="E17187">
        <f>IFERROR(__xludf.DUMMYFUNCTION("""COMPUTED_VALUE"""),3.5146617E7)</f>
        <v>35146617</v>
      </c>
    </row>
    <row r="17188">
      <c r="A17188" t="str">
        <f t="shared" si="1"/>
        <v>uzb#2026</v>
      </c>
      <c r="B17188" t="str">
        <f>IFERROR(__xludf.DUMMYFUNCTION("""COMPUTED_VALUE"""),"uzb")</f>
        <v>uzb</v>
      </c>
      <c r="C17188" t="str">
        <f>IFERROR(__xludf.DUMMYFUNCTION("""COMPUTED_VALUE"""),"Uzbekistan")</f>
        <v>Uzbekistan</v>
      </c>
      <c r="D17188">
        <f>IFERROR(__xludf.DUMMYFUNCTION("""COMPUTED_VALUE"""),2026.0)</f>
        <v>2026</v>
      </c>
      <c r="E17188">
        <f>IFERROR(__xludf.DUMMYFUNCTION("""COMPUTED_VALUE"""),3.5484562E7)</f>
        <v>35484562</v>
      </c>
    </row>
    <row r="17189">
      <c r="A17189" t="str">
        <f t="shared" si="1"/>
        <v>uzb#2027</v>
      </c>
      <c r="B17189" t="str">
        <f>IFERROR(__xludf.DUMMYFUNCTION("""COMPUTED_VALUE"""),"uzb")</f>
        <v>uzb</v>
      </c>
      <c r="C17189" t="str">
        <f>IFERROR(__xludf.DUMMYFUNCTION("""COMPUTED_VALUE"""),"Uzbekistan")</f>
        <v>Uzbekistan</v>
      </c>
      <c r="D17189">
        <f>IFERROR(__xludf.DUMMYFUNCTION("""COMPUTED_VALUE"""),2027.0)</f>
        <v>2027</v>
      </c>
      <c r="E17189">
        <f>IFERROR(__xludf.DUMMYFUNCTION("""COMPUTED_VALUE"""),3.58083E7)</f>
        <v>35808300</v>
      </c>
    </row>
    <row r="17190">
      <c r="A17190" t="str">
        <f t="shared" si="1"/>
        <v>uzb#2028</v>
      </c>
      <c r="B17190" t="str">
        <f>IFERROR(__xludf.DUMMYFUNCTION("""COMPUTED_VALUE"""),"uzb")</f>
        <v>uzb</v>
      </c>
      <c r="C17190" t="str">
        <f>IFERROR(__xludf.DUMMYFUNCTION("""COMPUTED_VALUE"""),"Uzbekistan")</f>
        <v>Uzbekistan</v>
      </c>
      <c r="D17190">
        <f>IFERROR(__xludf.DUMMYFUNCTION("""COMPUTED_VALUE"""),2028.0)</f>
        <v>2028</v>
      </c>
      <c r="E17190">
        <f>IFERROR(__xludf.DUMMYFUNCTION("""COMPUTED_VALUE"""),3.6119473E7)</f>
        <v>36119473</v>
      </c>
    </row>
    <row r="17191">
      <c r="A17191" t="str">
        <f t="shared" si="1"/>
        <v>uzb#2029</v>
      </c>
      <c r="B17191" t="str">
        <f>IFERROR(__xludf.DUMMYFUNCTION("""COMPUTED_VALUE"""),"uzb")</f>
        <v>uzb</v>
      </c>
      <c r="C17191" t="str">
        <f>IFERROR(__xludf.DUMMYFUNCTION("""COMPUTED_VALUE"""),"Uzbekistan")</f>
        <v>Uzbekistan</v>
      </c>
      <c r="D17191">
        <f>IFERROR(__xludf.DUMMYFUNCTION("""COMPUTED_VALUE"""),2029.0)</f>
        <v>2029</v>
      </c>
      <c r="E17191">
        <f>IFERROR(__xludf.DUMMYFUNCTION("""COMPUTED_VALUE"""),3.6420216E7)</f>
        <v>36420216</v>
      </c>
    </row>
    <row r="17192">
      <c r="A17192" t="str">
        <f t="shared" si="1"/>
        <v>uzb#2030</v>
      </c>
      <c r="B17192" t="str">
        <f>IFERROR(__xludf.DUMMYFUNCTION("""COMPUTED_VALUE"""),"uzb")</f>
        <v>uzb</v>
      </c>
      <c r="C17192" t="str">
        <f>IFERROR(__xludf.DUMMYFUNCTION("""COMPUTED_VALUE"""),"Uzbekistan")</f>
        <v>Uzbekistan</v>
      </c>
      <c r="D17192">
        <f>IFERROR(__xludf.DUMMYFUNCTION("""COMPUTED_VALUE"""),2030.0)</f>
        <v>2030</v>
      </c>
      <c r="E17192">
        <f>IFERROR(__xludf.DUMMYFUNCTION("""COMPUTED_VALUE"""),3.6712267E7)</f>
        <v>36712267</v>
      </c>
    </row>
    <row r="17193">
      <c r="A17193" t="str">
        <f t="shared" si="1"/>
        <v>uzb#2031</v>
      </c>
      <c r="B17193" t="str">
        <f>IFERROR(__xludf.DUMMYFUNCTION("""COMPUTED_VALUE"""),"uzb")</f>
        <v>uzb</v>
      </c>
      <c r="C17193" t="str">
        <f>IFERROR(__xludf.DUMMYFUNCTION("""COMPUTED_VALUE"""),"Uzbekistan")</f>
        <v>Uzbekistan</v>
      </c>
      <c r="D17193">
        <f>IFERROR(__xludf.DUMMYFUNCTION("""COMPUTED_VALUE"""),2031.0)</f>
        <v>2031</v>
      </c>
      <c r="E17193">
        <f>IFERROR(__xludf.DUMMYFUNCTION("""COMPUTED_VALUE"""),3.6996226E7)</f>
        <v>36996226</v>
      </c>
    </row>
    <row r="17194">
      <c r="A17194" t="str">
        <f t="shared" si="1"/>
        <v>uzb#2032</v>
      </c>
      <c r="B17194" t="str">
        <f>IFERROR(__xludf.DUMMYFUNCTION("""COMPUTED_VALUE"""),"uzb")</f>
        <v>uzb</v>
      </c>
      <c r="C17194" t="str">
        <f>IFERROR(__xludf.DUMMYFUNCTION("""COMPUTED_VALUE"""),"Uzbekistan")</f>
        <v>Uzbekistan</v>
      </c>
      <c r="D17194">
        <f>IFERROR(__xludf.DUMMYFUNCTION("""COMPUTED_VALUE"""),2032.0)</f>
        <v>2032</v>
      </c>
      <c r="E17194">
        <f>IFERROR(__xludf.DUMMYFUNCTION("""COMPUTED_VALUE"""),3.7272259E7)</f>
        <v>37272259</v>
      </c>
    </row>
    <row r="17195">
      <c r="A17195" t="str">
        <f t="shared" si="1"/>
        <v>uzb#2033</v>
      </c>
      <c r="B17195" t="str">
        <f>IFERROR(__xludf.DUMMYFUNCTION("""COMPUTED_VALUE"""),"uzb")</f>
        <v>uzb</v>
      </c>
      <c r="C17195" t="str">
        <f>IFERROR(__xludf.DUMMYFUNCTION("""COMPUTED_VALUE"""),"Uzbekistan")</f>
        <v>Uzbekistan</v>
      </c>
      <c r="D17195">
        <f>IFERROR(__xludf.DUMMYFUNCTION("""COMPUTED_VALUE"""),2033.0)</f>
        <v>2033</v>
      </c>
      <c r="E17195">
        <f>IFERROR(__xludf.DUMMYFUNCTION("""COMPUTED_VALUE"""),3.7541052E7)</f>
        <v>37541052</v>
      </c>
    </row>
    <row r="17196">
      <c r="A17196" t="str">
        <f t="shared" si="1"/>
        <v>uzb#2034</v>
      </c>
      <c r="B17196" t="str">
        <f>IFERROR(__xludf.DUMMYFUNCTION("""COMPUTED_VALUE"""),"uzb")</f>
        <v>uzb</v>
      </c>
      <c r="C17196" t="str">
        <f>IFERROR(__xludf.DUMMYFUNCTION("""COMPUTED_VALUE"""),"Uzbekistan")</f>
        <v>Uzbekistan</v>
      </c>
      <c r="D17196">
        <f>IFERROR(__xludf.DUMMYFUNCTION("""COMPUTED_VALUE"""),2034.0)</f>
        <v>2034</v>
      </c>
      <c r="E17196">
        <f>IFERROR(__xludf.DUMMYFUNCTION("""COMPUTED_VALUE"""),3.7803244E7)</f>
        <v>37803244</v>
      </c>
    </row>
    <row r="17197">
      <c r="A17197" t="str">
        <f t="shared" si="1"/>
        <v>uzb#2035</v>
      </c>
      <c r="B17197" t="str">
        <f>IFERROR(__xludf.DUMMYFUNCTION("""COMPUTED_VALUE"""),"uzb")</f>
        <v>uzb</v>
      </c>
      <c r="C17197" t="str">
        <f>IFERROR(__xludf.DUMMYFUNCTION("""COMPUTED_VALUE"""),"Uzbekistan")</f>
        <v>Uzbekistan</v>
      </c>
      <c r="D17197">
        <f>IFERROR(__xludf.DUMMYFUNCTION("""COMPUTED_VALUE"""),2035.0)</f>
        <v>2035</v>
      </c>
      <c r="E17197">
        <f>IFERROR(__xludf.DUMMYFUNCTION("""COMPUTED_VALUE"""),3.8059262E7)</f>
        <v>38059262</v>
      </c>
    </row>
    <row r="17198">
      <c r="A17198" t="str">
        <f t="shared" si="1"/>
        <v>uzb#2036</v>
      </c>
      <c r="B17198" t="str">
        <f>IFERROR(__xludf.DUMMYFUNCTION("""COMPUTED_VALUE"""),"uzb")</f>
        <v>uzb</v>
      </c>
      <c r="C17198" t="str">
        <f>IFERROR(__xludf.DUMMYFUNCTION("""COMPUTED_VALUE"""),"Uzbekistan")</f>
        <v>Uzbekistan</v>
      </c>
      <c r="D17198">
        <f>IFERROR(__xludf.DUMMYFUNCTION("""COMPUTED_VALUE"""),2036.0)</f>
        <v>2036</v>
      </c>
      <c r="E17198">
        <f>IFERROR(__xludf.DUMMYFUNCTION("""COMPUTED_VALUE"""),3.8309384E7)</f>
        <v>38309384</v>
      </c>
    </row>
    <row r="17199">
      <c r="A17199" t="str">
        <f t="shared" si="1"/>
        <v>uzb#2037</v>
      </c>
      <c r="B17199" t="str">
        <f>IFERROR(__xludf.DUMMYFUNCTION("""COMPUTED_VALUE"""),"uzb")</f>
        <v>uzb</v>
      </c>
      <c r="C17199" t="str">
        <f>IFERROR(__xludf.DUMMYFUNCTION("""COMPUTED_VALUE"""),"Uzbekistan")</f>
        <v>Uzbekistan</v>
      </c>
      <c r="D17199">
        <f>IFERROR(__xludf.DUMMYFUNCTION("""COMPUTED_VALUE"""),2037.0)</f>
        <v>2037</v>
      </c>
      <c r="E17199">
        <f>IFERROR(__xludf.DUMMYFUNCTION("""COMPUTED_VALUE"""),3.8553596E7)</f>
        <v>38553596</v>
      </c>
    </row>
    <row r="17200">
      <c r="A17200" t="str">
        <f t="shared" si="1"/>
        <v>uzb#2038</v>
      </c>
      <c r="B17200" t="str">
        <f>IFERROR(__xludf.DUMMYFUNCTION("""COMPUTED_VALUE"""),"uzb")</f>
        <v>uzb</v>
      </c>
      <c r="C17200" t="str">
        <f>IFERROR(__xludf.DUMMYFUNCTION("""COMPUTED_VALUE"""),"Uzbekistan")</f>
        <v>Uzbekistan</v>
      </c>
      <c r="D17200">
        <f>IFERROR(__xludf.DUMMYFUNCTION("""COMPUTED_VALUE"""),2038.0)</f>
        <v>2038</v>
      </c>
      <c r="E17200">
        <f>IFERROR(__xludf.DUMMYFUNCTION("""COMPUTED_VALUE"""),3.8791541E7)</f>
        <v>38791541</v>
      </c>
    </row>
    <row r="17201">
      <c r="A17201" t="str">
        <f t="shared" si="1"/>
        <v>uzb#2039</v>
      </c>
      <c r="B17201" t="str">
        <f>IFERROR(__xludf.DUMMYFUNCTION("""COMPUTED_VALUE"""),"uzb")</f>
        <v>uzb</v>
      </c>
      <c r="C17201" t="str">
        <f>IFERROR(__xludf.DUMMYFUNCTION("""COMPUTED_VALUE"""),"Uzbekistan")</f>
        <v>Uzbekistan</v>
      </c>
      <c r="D17201">
        <f>IFERROR(__xludf.DUMMYFUNCTION("""COMPUTED_VALUE"""),2039.0)</f>
        <v>2039</v>
      </c>
      <c r="E17201">
        <f>IFERROR(__xludf.DUMMYFUNCTION("""COMPUTED_VALUE"""),3.9022683E7)</f>
        <v>39022683</v>
      </c>
    </row>
    <row r="17202">
      <c r="A17202" t="str">
        <f t="shared" si="1"/>
        <v>uzb#2040</v>
      </c>
      <c r="B17202" t="str">
        <f>IFERROR(__xludf.DUMMYFUNCTION("""COMPUTED_VALUE"""),"uzb")</f>
        <v>uzb</v>
      </c>
      <c r="C17202" t="str">
        <f>IFERROR(__xludf.DUMMYFUNCTION("""COMPUTED_VALUE"""),"Uzbekistan")</f>
        <v>Uzbekistan</v>
      </c>
      <c r="D17202">
        <f>IFERROR(__xludf.DUMMYFUNCTION("""COMPUTED_VALUE"""),2040.0)</f>
        <v>2040</v>
      </c>
      <c r="E17202">
        <f>IFERROR(__xludf.DUMMYFUNCTION("""COMPUTED_VALUE"""),3.9246465E7)</f>
        <v>39246465</v>
      </c>
    </row>
    <row r="17203">
      <c r="A17203" t="str">
        <f t="shared" si="1"/>
        <v>vut#1950</v>
      </c>
      <c r="B17203" t="str">
        <f>IFERROR(__xludf.DUMMYFUNCTION("""COMPUTED_VALUE"""),"vut")</f>
        <v>vut</v>
      </c>
      <c r="C17203" t="str">
        <f>IFERROR(__xludf.DUMMYFUNCTION("""COMPUTED_VALUE"""),"Vanuatu")</f>
        <v>Vanuatu</v>
      </c>
      <c r="D17203">
        <f>IFERROR(__xludf.DUMMYFUNCTION("""COMPUTED_VALUE"""),1950.0)</f>
        <v>1950</v>
      </c>
      <c r="E17203">
        <f>IFERROR(__xludf.DUMMYFUNCTION("""COMPUTED_VALUE"""),47697.0)</f>
        <v>47697</v>
      </c>
    </row>
    <row r="17204">
      <c r="A17204" t="str">
        <f t="shared" si="1"/>
        <v>vut#1951</v>
      </c>
      <c r="B17204" t="str">
        <f>IFERROR(__xludf.DUMMYFUNCTION("""COMPUTED_VALUE"""),"vut")</f>
        <v>vut</v>
      </c>
      <c r="C17204" t="str">
        <f>IFERROR(__xludf.DUMMYFUNCTION("""COMPUTED_VALUE"""),"Vanuatu")</f>
        <v>Vanuatu</v>
      </c>
      <c r="D17204">
        <f>IFERROR(__xludf.DUMMYFUNCTION("""COMPUTED_VALUE"""),1951.0)</f>
        <v>1951</v>
      </c>
      <c r="E17204">
        <f>IFERROR(__xludf.DUMMYFUNCTION("""COMPUTED_VALUE"""),48923.0)</f>
        <v>48923</v>
      </c>
    </row>
    <row r="17205">
      <c r="A17205" t="str">
        <f t="shared" si="1"/>
        <v>vut#1952</v>
      </c>
      <c r="B17205" t="str">
        <f>IFERROR(__xludf.DUMMYFUNCTION("""COMPUTED_VALUE"""),"vut")</f>
        <v>vut</v>
      </c>
      <c r="C17205" t="str">
        <f>IFERROR(__xludf.DUMMYFUNCTION("""COMPUTED_VALUE"""),"Vanuatu")</f>
        <v>Vanuatu</v>
      </c>
      <c r="D17205">
        <f>IFERROR(__xludf.DUMMYFUNCTION("""COMPUTED_VALUE"""),1952.0)</f>
        <v>1952</v>
      </c>
      <c r="E17205">
        <f>IFERROR(__xludf.DUMMYFUNCTION("""COMPUTED_VALUE"""),50297.0)</f>
        <v>50297</v>
      </c>
    </row>
    <row r="17206">
      <c r="A17206" t="str">
        <f t="shared" si="1"/>
        <v>vut#1953</v>
      </c>
      <c r="B17206" t="str">
        <f>IFERROR(__xludf.DUMMYFUNCTION("""COMPUTED_VALUE"""),"vut")</f>
        <v>vut</v>
      </c>
      <c r="C17206" t="str">
        <f>IFERROR(__xludf.DUMMYFUNCTION("""COMPUTED_VALUE"""),"Vanuatu")</f>
        <v>Vanuatu</v>
      </c>
      <c r="D17206">
        <f>IFERROR(__xludf.DUMMYFUNCTION("""COMPUTED_VALUE"""),1953.0)</f>
        <v>1953</v>
      </c>
      <c r="E17206">
        <f>IFERROR(__xludf.DUMMYFUNCTION("""COMPUTED_VALUE"""),51771.0)</f>
        <v>51771</v>
      </c>
    </row>
    <row r="17207">
      <c r="A17207" t="str">
        <f t="shared" si="1"/>
        <v>vut#1954</v>
      </c>
      <c r="B17207" t="str">
        <f>IFERROR(__xludf.DUMMYFUNCTION("""COMPUTED_VALUE"""),"vut")</f>
        <v>vut</v>
      </c>
      <c r="C17207" t="str">
        <f>IFERROR(__xludf.DUMMYFUNCTION("""COMPUTED_VALUE"""),"Vanuatu")</f>
        <v>Vanuatu</v>
      </c>
      <c r="D17207">
        <f>IFERROR(__xludf.DUMMYFUNCTION("""COMPUTED_VALUE"""),1954.0)</f>
        <v>1954</v>
      </c>
      <c r="E17207">
        <f>IFERROR(__xludf.DUMMYFUNCTION("""COMPUTED_VALUE"""),53330.0)</f>
        <v>53330</v>
      </c>
    </row>
    <row r="17208">
      <c r="A17208" t="str">
        <f t="shared" si="1"/>
        <v>vut#1955</v>
      </c>
      <c r="B17208" t="str">
        <f>IFERROR(__xludf.DUMMYFUNCTION("""COMPUTED_VALUE"""),"vut")</f>
        <v>vut</v>
      </c>
      <c r="C17208" t="str">
        <f>IFERROR(__xludf.DUMMYFUNCTION("""COMPUTED_VALUE"""),"Vanuatu")</f>
        <v>Vanuatu</v>
      </c>
      <c r="D17208">
        <f>IFERROR(__xludf.DUMMYFUNCTION("""COMPUTED_VALUE"""),1955.0)</f>
        <v>1955</v>
      </c>
      <c r="E17208">
        <f>IFERROR(__xludf.DUMMYFUNCTION("""COMPUTED_VALUE"""),54924.0)</f>
        <v>54924</v>
      </c>
    </row>
    <row r="17209">
      <c r="A17209" t="str">
        <f t="shared" si="1"/>
        <v>vut#1956</v>
      </c>
      <c r="B17209" t="str">
        <f>IFERROR(__xludf.DUMMYFUNCTION("""COMPUTED_VALUE"""),"vut")</f>
        <v>vut</v>
      </c>
      <c r="C17209" t="str">
        <f>IFERROR(__xludf.DUMMYFUNCTION("""COMPUTED_VALUE"""),"Vanuatu")</f>
        <v>Vanuatu</v>
      </c>
      <c r="D17209">
        <f>IFERROR(__xludf.DUMMYFUNCTION("""COMPUTED_VALUE"""),1956.0)</f>
        <v>1956</v>
      </c>
      <c r="E17209">
        <f>IFERROR(__xludf.DUMMYFUNCTION("""COMPUTED_VALUE"""),56565.0)</f>
        <v>56565</v>
      </c>
    </row>
    <row r="17210">
      <c r="A17210" t="str">
        <f t="shared" si="1"/>
        <v>vut#1957</v>
      </c>
      <c r="B17210" t="str">
        <f>IFERROR(__xludf.DUMMYFUNCTION("""COMPUTED_VALUE"""),"vut")</f>
        <v>vut</v>
      </c>
      <c r="C17210" t="str">
        <f>IFERROR(__xludf.DUMMYFUNCTION("""COMPUTED_VALUE"""),"Vanuatu")</f>
        <v>Vanuatu</v>
      </c>
      <c r="D17210">
        <f>IFERROR(__xludf.DUMMYFUNCTION("""COMPUTED_VALUE"""),1957.0)</f>
        <v>1957</v>
      </c>
      <c r="E17210">
        <f>IFERROR(__xludf.DUMMYFUNCTION("""COMPUTED_VALUE"""),58245.0)</f>
        <v>58245</v>
      </c>
    </row>
    <row r="17211">
      <c r="A17211" t="str">
        <f t="shared" si="1"/>
        <v>vut#1958</v>
      </c>
      <c r="B17211" t="str">
        <f>IFERROR(__xludf.DUMMYFUNCTION("""COMPUTED_VALUE"""),"vut")</f>
        <v>vut</v>
      </c>
      <c r="C17211" t="str">
        <f>IFERROR(__xludf.DUMMYFUNCTION("""COMPUTED_VALUE"""),"Vanuatu")</f>
        <v>Vanuatu</v>
      </c>
      <c r="D17211">
        <f>IFERROR(__xludf.DUMMYFUNCTION("""COMPUTED_VALUE"""),1958.0)</f>
        <v>1958</v>
      </c>
      <c r="E17211">
        <f>IFERROR(__xludf.DUMMYFUNCTION("""COMPUTED_VALUE"""),59983.0)</f>
        <v>59983</v>
      </c>
    </row>
    <row r="17212">
      <c r="A17212" t="str">
        <f t="shared" si="1"/>
        <v>vut#1959</v>
      </c>
      <c r="B17212" t="str">
        <f>IFERROR(__xludf.DUMMYFUNCTION("""COMPUTED_VALUE"""),"vut")</f>
        <v>vut</v>
      </c>
      <c r="C17212" t="str">
        <f>IFERROR(__xludf.DUMMYFUNCTION("""COMPUTED_VALUE"""),"Vanuatu")</f>
        <v>Vanuatu</v>
      </c>
      <c r="D17212">
        <f>IFERROR(__xludf.DUMMYFUNCTION("""COMPUTED_VALUE"""),1959.0)</f>
        <v>1959</v>
      </c>
      <c r="E17212">
        <f>IFERROR(__xludf.DUMMYFUNCTION("""COMPUTED_VALUE"""),61794.0)</f>
        <v>61794</v>
      </c>
    </row>
    <row r="17213">
      <c r="A17213" t="str">
        <f t="shared" si="1"/>
        <v>vut#1960</v>
      </c>
      <c r="B17213" t="str">
        <f>IFERROR(__xludf.DUMMYFUNCTION("""COMPUTED_VALUE"""),"vut")</f>
        <v>vut</v>
      </c>
      <c r="C17213" t="str">
        <f>IFERROR(__xludf.DUMMYFUNCTION("""COMPUTED_VALUE"""),"Vanuatu")</f>
        <v>Vanuatu</v>
      </c>
      <c r="D17213">
        <f>IFERROR(__xludf.DUMMYFUNCTION("""COMPUTED_VALUE"""),1960.0)</f>
        <v>1960</v>
      </c>
      <c r="E17213">
        <f>IFERROR(__xludf.DUMMYFUNCTION("""COMPUTED_VALUE"""),63699.0)</f>
        <v>63699</v>
      </c>
    </row>
    <row r="17214">
      <c r="A17214" t="str">
        <f t="shared" si="1"/>
        <v>vut#1961</v>
      </c>
      <c r="B17214" t="str">
        <f>IFERROR(__xludf.DUMMYFUNCTION("""COMPUTED_VALUE"""),"vut")</f>
        <v>vut</v>
      </c>
      <c r="C17214" t="str">
        <f>IFERROR(__xludf.DUMMYFUNCTION("""COMPUTED_VALUE"""),"Vanuatu")</f>
        <v>Vanuatu</v>
      </c>
      <c r="D17214">
        <f>IFERROR(__xludf.DUMMYFUNCTION("""COMPUTED_VALUE"""),1961.0)</f>
        <v>1961</v>
      </c>
      <c r="E17214">
        <f>IFERROR(__xludf.DUMMYFUNCTION("""COMPUTED_VALUE"""),65713.0)</f>
        <v>65713</v>
      </c>
    </row>
    <row r="17215">
      <c r="A17215" t="str">
        <f t="shared" si="1"/>
        <v>vut#1962</v>
      </c>
      <c r="B17215" t="str">
        <f>IFERROR(__xludf.DUMMYFUNCTION("""COMPUTED_VALUE"""),"vut")</f>
        <v>vut</v>
      </c>
      <c r="C17215" t="str">
        <f>IFERROR(__xludf.DUMMYFUNCTION("""COMPUTED_VALUE"""),"Vanuatu")</f>
        <v>Vanuatu</v>
      </c>
      <c r="D17215">
        <f>IFERROR(__xludf.DUMMYFUNCTION("""COMPUTED_VALUE"""),1962.0)</f>
        <v>1962</v>
      </c>
      <c r="E17215">
        <f>IFERROR(__xludf.DUMMYFUNCTION("""COMPUTED_VALUE"""),67808.0)</f>
        <v>67808</v>
      </c>
    </row>
    <row r="17216">
      <c r="A17216" t="str">
        <f t="shared" si="1"/>
        <v>vut#1963</v>
      </c>
      <c r="B17216" t="str">
        <f>IFERROR(__xludf.DUMMYFUNCTION("""COMPUTED_VALUE"""),"vut")</f>
        <v>vut</v>
      </c>
      <c r="C17216" t="str">
        <f>IFERROR(__xludf.DUMMYFUNCTION("""COMPUTED_VALUE"""),"Vanuatu")</f>
        <v>Vanuatu</v>
      </c>
      <c r="D17216">
        <f>IFERROR(__xludf.DUMMYFUNCTION("""COMPUTED_VALUE"""),1963.0)</f>
        <v>1963</v>
      </c>
      <c r="E17216">
        <f>IFERROR(__xludf.DUMMYFUNCTION("""COMPUTED_VALUE"""),69964.0)</f>
        <v>69964</v>
      </c>
    </row>
    <row r="17217">
      <c r="A17217" t="str">
        <f t="shared" si="1"/>
        <v>vut#1964</v>
      </c>
      <c r="B17217" t="str">
        <f>IFERROR(__xludf.DUMMYFUNCTION("""COMPUTED_VALUE"""),"vut")</f>
        <v>vut</v>
      </c>
      <c r="C17217" t="str">
        <f>IFERROR(__xludf.DUMMYFUNCTION("""COMPUTED_VALUE"""),"Vanuatu")</f>
        <v>Vanuatu</v>
      </c>
      <c r="D17217">
        <f>IFERROR(__xludf.DUMMYFUNCTION("""COMPUTED_VALUE"""),1964.0)</f>
        <v>1964</v>
      </c>
      <c r="E17217">
        <f>IFERROR(__xludf.DUMMYFUNCTION("""COMPUTED_VALUE"""),72131.0)</f>
        <v>72131</v>
      </c>
    </row>
    <row r="17218">
      <c r="A17218" t="str">
        <f t="shared" si="1"/>
        <v>vut#1965</v>
      </c>
      <c r="B17218" t="str">
        <f>IFERROR(__xludf.DUMMYFUNCTION("""COMPUTED_VALUE"""),"vut")</f>
        <v>vut</v>
      </c>
      <c r="C17218" t="str">
        <f>IFERROR(__xludf.DUMMYFUNCTION("""COMPUTED_VALUE"""),"Vanuatu")</f>
        <v>Vanuatu</v>
      </c>
      <c r="D17218">
        <f>IFERROR(__xludf.DUMMYFUNCTION("""COMPUTED_VALUE"""),1965.0)</f>
        <v>1965</v>
      </c>
      <c r="E17218">
        <f>IFERROR(__xludf.DUMMYFUNCTION("""COMPUTED_VALUE"""),74289.0)</f>
        <v>74289</v>
      </c>
    </row>
    <row r="17219">
      <c r="A17219" t="str">
        <f t="shared" si="1"/>
        <v>vut#1966</v>
      </c>
      <c r="B17219" t="str">
        <f>IFERROR(__xludf.DUMMYFUNCTION("""COMPUTED_VALUE"""),"vut")</f>
        <v>vut</v>
      </c>
      <c r="C17219" t="str">
        <f>IFERROR(__xludf.DUMMYFUNCTION("""COMPUTED_VALUE"""),"Vanuatu")</f>
        <v>Vanuatu</v>
      </c>
      <c r="D17219">
        <f>IFERROR(__xludf.DUMMYFUNCTION("""COMPUTED_VALUE"""),1966.0)</f>
        <v>1966</v>
      </c>
      <c r="E17219">
        <f>IFERROR(__xludf.DUMMYFUNCTION("""COMPUTED_VALUE"""),76413.0)</f>
        <v>76413</v>
      </c>
    </row>
    <row r="17220">
      <c r="A17220" t="str">
        <f t="shared" si="1"/>
        <v>vut#1967</v>
      </c>
      <c r="B17220" t="str">
        <f>IFERROR(__xludf.DUMMYFUNCTION("""COMPUTED_VALUE"""),"vut")</f>
        <v>vut</v>
      </c>
      <c r="C17220" t="str">
        <f>IFERROR(__xludf.DUMMYFUNCTION("""COMPUTED_VALUE"""),"Vanuatu")</f>
        <v>Vanuatu</v>
      </c>
      <c r="D17220">
        <f>IFERROR(__xludf.DUMMYFUNCTION("""COMPUTED_VALUE"""),1967.0)</f>
        <v>1967</v>
      </c>
      <c r="E17220">
        <f>IFERROR(__xludf.DUMMYFUNCTION("""COMPUTED_VALUE"""),78522.0)</f>
        <v>78522</v>
      </c>
    </row>
    <row r="17221">
      <c r="A17221" t="str">
        <f t="shared" si="1"/>
        <v>vut#1968</v>
      </c>
      <c r="B17221" t="str">
        <f>IFERROR(__xludf.DUMMYFUNCTION("""COMPUTED_VALUE"""),"vut")</f>
        <v>vut</v>
      </c>
      <c r="C17221" t="str">
        <f>IFERROR(__xludf.DUMMYFUNCTION("""COMPUTED_VALUE"""),"Vanuatu")</f>
        <v>Vanuatu</v>
      </c>
      <c r="D17221">
        <f>IFERROR(__xludf.DUMMYFUNCTION("""COMPUTED_VALUE"""),1968.0)</f>
        <v>1968</v>
      </c>
      <c r="E17221">
        <f>IFERROR(__xludf.DUMMYFUNCTION("""COMPUTED_VALUE"""),80673.0)</f>
        <v>80673</v>
      </c>
    </row>
    <row r="17222">
      <c r="A17222" t="str">
        <f t="shared" si="1"/>
        <v>vut#1969</v>
      </c>
      <c r="B17222" t="str">
        <f>IFERROR(__xludf.DUMMYFUNCTION("""COMPUTED_VALUE"""),"vut")</f>
        <v>vut</v>
      </c>
      <c r="C17222" t="str">
        <f>IFERROR(__xludf.DUMMYFUNCTION("""COMPUTED_VALUE"""),"Vanuatu")</f>
        <v>Vanuatu</v>
      </c>
      <c r="D17222">
        <f>IFERROR(__xludf.DUMMYFUNCTION("""COMPUTED_VALUE"""),1969.0)</f>
        <v>1969</v>
      </c>
      <c r="E17222">
        <f>IFERROR(__xludf.DUMMYFUNCTION("""COMPUTED_VALUE"""),82940.0)</f>
        <v>82940</v>
      </c>
    </row>
    <row r="17223">
      <c r="A17223" t="str">
        <f t="shared" si="1"/>
        <v>vut#1970</v>
      </c>
      <c r="B17223" t="str">
        <f>IFERROR(__xludf.DUMMYFUNCTION("""COMPUTED_VALUE"""),"vut")</f>
        <v>vut</v>
      </c>
      <c r="C17223" t="str">
        <f>IFERROR(__xludf.DUMMYFUNCTION("""COMPUTED_VALUE"""),"Vanuatu")</f>
        <v>Vanuatu</v>
      </c>
      <c r="D17223">
        <f>IFERROR(__xludf.DUMMYFUNCTION("""COMPUTED_VALUE"""),1970.0)</f>
        <v>1970</v>
      </c>
      <c r="E17223">
        <f>IFERROR(__xludf.DUMMYFUNCTION("""COMPUTED_VALUE"""),85389.0)</f>
        <v>85389</v>
      </c>
    </row>
    <row r="17224">
      <c r="A17224" t="str">
        <f t="shared" si="1"/>
        <v>vut#1971</v>
      </c>
      <c r="B17224" t="str">
        <f>IFERROR(__xludf.DUMMYFUNCTION("""COMPUTED_VALUE"""),"vut")</f>
        <v>vut</v>
      </c>
      <c r="C17224" t="str">
        <f>IFERROR(__xludf.DUMMYFUNCTION("""COMPUTED_VALUE"""),"Vanuatu")</f>
        <v>Vanuatu</v>
      </c>
      <c r="D17224">
        <f>IFERROR(__xludf.DUMMYFUNCTION("""COMPUTED_VALUE"""),1971.0)</f>
        <v>1971</v>
      </c>
      <c r="E17224">
        <f>IFERROR(__xludf.DUMMYFUNCTION("""COMPUTED_VALUE"""),88022.0)</f>
        <v>88022</v>
      </c>
    </row>
    <row r="17225">
      <c r="A17225" t="str">
        <f t="shared" si="1"/>
        <v>vut#1972</v>
      </c>
      <c r="B17225" t="str">
        <f>IFERROR(__xludf.DUMMYFUNCTION("""COMPUTED_VALUE"""),"vut")</f>
        <v>vut</v>
      </c>
      <c r="C17225" t="str">
        <f>IFERROR(__xludf.DUMMYFUNCTION("""COMPUTED_VALUE"""),"Vanuatu")</f>
        <v>Vanuatu</v>
      </c>
      <c r="D17225">
        <f>IFERROR(__xludf.DUMMYFUNCTION("""COMPUTED_VALUE"""),1972.0)</f>
        <v>1972</v>
      </c>
      <c r="E17225">
        <f>IFERROR(__xludf.DUMMYFUNCTION("""COMPUTED_VALUE"""),90823.0)</f>
        <v>90823</v>
      </c>
    </row>
    <row r="17226">
      <c r="A17226" t="str">
        <f t="shared" si="1"/>
        <v>vut#1973</v>
      </c>
      <c r="B17226" t="str">
        <f>IFERROR(__xludf.DUMMYFUNCTION("""COMPUTED_VALUE"""),"vut")</f>
        <v>vut</v>
      </c>
      <c r="C17226" t="str">
        <f>IFERROR(__xludf.DUMMYFUNCTION("""COMPUTED_VALUE"""),"Vanuatu")</f>
        <v>Vanuatu</v>
      </c>
      <c r="D17226">
        <f>IFERROR(__xludf.DUMMYFUNCTION("""COMPUTED_VALUE"""),1973.0)</f>
        <v>1973</v>
      </c>
      <c r="E17226">
        <f>IFERROR(__xludf.DUMMYFUNCTION("""COMPUTED_VALUE"""),93765.0)</f>
        <v>93765</v>
      </c>
    </row>
    <row r="17227">
      <c r="A17227" t="str">
        <f t="shared" si="1"/>
        <v>vut#1974</v>
      </c>
      <c r="B17227" t="str">
        <f>IFERROR(__xludf.DUMMYFUNCTION("""COMPUTED_VALUE"""),"vut")</f>
        <v>vut</v>
      </c>
      <c r="C17227" t="str">
        <f>IFERROR(__xludf.DUMMYFUNCTION("""COMPUTED_VALUE"""),"Vanuatu")</f>
        <v>Vanuatu</v>
      </c>
      <c r="D17227">
        <f>IFERROR(__xludf.DUMMYFUNCTION("""COMPUTED_VALUE"""),1974.0)</f>
        <v>1974</v>
      </c>
      <c r="E17227">
        <f>IFERROR(__xludf.DUMMYFUNCTION("""COMPUTED_VALUE"""),96796.0)</f>
        <v>96796</v>
      </c>
    </row>
    <row r="17228">
      <c r="A17228" t="str">
        <f t="shared" si="1"/>
        <v>vut#1975</v>
      </c>
      <c r="B17228" t="str">
        <f>IFERROR(__xludf.DUMMYFUNCTION("""COMPUTED_VALUE"""),"vut")</f>
        <v>vut</v>
      </c>
      <c r="C17228" t="str">
        <f>IFERROR(__xludf.DUMMYFUNCTION("""COMPUTED_VALUE"""),"Vanuatu")</f>
        <v>Vanuatu</v>
      </c>
      <c r="D17228">
        <f>IFERROR(__xludf.DUMMYFUNCTION("""COMPUTED_VALUE"""),1975.0)</f>
        <v>1975</v>
      </c>
      <c r="E17228">
        <f>IFERROR(__xludf.DUMMYFUNCTION("""COMPUTED_VALUE"""),99872.0)</f>
        <v>99872</v>
      </c>
    </row>
    <row r="17229">
      <c r="A17229" t="str">
        <f t="shared" si="1"/>
        <v>vut#1976</v>
      </c>
      <c r="B17229" t="str">
        <f>IFERROR(__xludf.DUMMYFUNCTION("""COMPUTED_VALUE"""),"vut")</f>
        <v>vut</v>
      </c>
      <c r="C17229" t="str">
        <f>IFERROR(__xludf.DUMMYFUNCTION("""COMPUTED_VALUE"""),"Vanuatu")</f>
        <v>Vanuatu</v>
      </c>
      <c r="D17229">
        <f>IFERROR(__xludf.DUMMYFUNCTION("""COMPUTED_VALUE"""),1976.0)</f>
        <v>1976</v>
      </c>
      <c r="E17229">
        <f>IFERROR(__xludf.DUMMYFUNCTION("""COMPUTED_VALUE"""),103028.0)</f>
        <v>103028</v>
      </c>
    </row>
    <row r="17230">
      <c r="A17230" t="str">
        <f t="shared" si="1"/>
        <v>vut#1977</v>
      </c>
      <c r="B17230" t="str">
        <f>IFERROR(__xludf.DUMMYFUNCTION("""COMPUTED_VALUE"""),"vut")</f>
        <v>vut</v>
      </c>
      <c r="C17230" t="str">
        <f>IFERROR(__xludf.DUMMYFUNCTION("""COMPUTED_VALUE"""),"Vanuatu")</f>
        <v>Vanuatu</v>
      </c>
      <c r="D17230">
        <f>IFERROR(__xludf.DUMMYFUNCTION("""COMPUTED_VALUE"""),1977.0)</f>
        <v>1977</v>
      </c>
      <c r="E17230">
        <f>IFERROR(__xludf.DUMMYFUNCTION("""COMPUTED_VALUE"""),106222.0)</f>
        <v>106222</v>
      </c>
    </row>
    <row r="17231">
      <c r="A17231" t="str">
        <f t="shared" si="1"/>
        <v>vut#1978</v>
      </c>
      <c r="B17231" t="str">
        <f>IFERROR(__xludf.DUMMYFUNCTION("""COMPUTED_VALUE"""),"vut")</f>
        <v>vut</v>
      </c>
      <c r="C17231" t="str">
        <f>IFERROR(__xludf.DUMMYFUNCTION("""COMPUTED_VALUE"""),"Vanuatu")</f>
        <v>Vanuatu</v>
      </c>
      <c r="D17231">
        <f>IFERROR(__xludf.DUMMYFUNCTION("""COMPUTED_VALUE"""),1978.0)</f>
        <v>1978</v>
      </c>
      <c r="E17231">
        <f>IFERROR(__xludf.DUMMYFUNCTION("""COMPUTED_VALUE"""),109429.0)</f>
        <v>109429</v>
      </c>
    </row>
    <row r="17232">
      <c r="A17232" t="str">
        <f t="shared" si="1"/>
        <v>vut#1979</v>
      </c>
      <c r="B17232" t="str">
        <f>IFERROR(__xludf.DUMMYFUNCTION("""COMPUTED_VALUE"""),"vut")</f>
        <v>vut</v>
      </c>
      <c r="C17232" t="str">
        <f>IFERROR(__xludf.DUMMYFUNCTION("""COMPUTED_VALUE"""),"Vanuatu")</f>
        <v>Vanuatu</v>
      </c>
      <c r="D17232">
        <f>IFERROR(__xludf.DUMMYFUNCTION("""COMPUTED_VALUE"""),1979.0)</f>
        <v>1979</v>
      </c>
      <c r="E17232">
        <f>IFERROR(__xludf.DUMMYFUNCTION("""COMPUTED_VALUE"""),112580.0)</f>
        <v>112580</v>
      </c>
    </row>
    <row r="17233">
      <c r="A17233" t="str">
        <f t="shared" si="1"/>
        <v>vut#1980</v>
      </c>
      <c r="B17233" t="str">
        <f>IFERROR(__xludf.DUMMYFUNCTION("""COMPUTED_VALUE"""),"vut")</f>
        <v>vut</v>
      </c>
      <c r="C17233" t="str">
        <f>IFERROR(__xludf.DUMMYFUNCTION("""COMPUTED_VALUE"""),"Vanuatu")</f>
        <v>Vanuatu</v>
      </c>
      <c r="D17233">
        <f>IFERROR(__xludf.DUMMYFUNCTION("""COMPUTED_VALUE"""),1980.0)</f>
        <v>1980</v>
      </c>
      <c r="E17233">
        <f>IFERROR(__xludf.DUMMYFUNCTION("""COMPUTED_VALUE"""),115632.0)</f>
        <v>115632</v>
      </c>
    </row>
    <row r="17234">
      <c r="A17234" t="str">
        <f t="shared" si="1"/>
        <v>vut#1981</v>
      </c>
      <c r="B17234" t="str">
        <f>IFERROR(__xludf.DUMMYFUNCTION("""COMPUTED_VALUE"""),"vut")</f>
        <v>vut</v>
      </c>
      <c r="C17234" t="str">
        <f>IFERROR(__xludf.DUMMYFUNCTION("""COMPUTED_VALUE"""),"Vanuatu")</f>
        <v>Vanuatu</v>
      </c>
      <c r="D17234">
        <f>IFERROR(__xludf.DUMMYFUNCTION("""COMPUTED_VALUE"""),1981.0)</f>
        <v>1981</v>
      </c>
      <c r="E17234">
        <f>IFERROR(__xludf.DUMMYFUNCTION("""COMPUTED_VALUE"""),118580.0)</f>
        <v>118580</v>
      </c>
    </row>
    <row r="17235">
      <c r="A17235" t="str">
        <f t="shared" si="1"/>
        <v>vut#1982</v>
      </c>
      <c r="B17235" t="str">
        <f>IFERROR(__xludf.DUMMYFUNCTION("""COMPUTED_VALUE"""),"vut")</f>
        <v>vut</v>
      </c>
      <c r="C17235" t="str">
        <f>IFERROR(__xludf.DUMMYFUNCTION("""COMPUTED_VALUE"""),"Vanuatu")</f>
        <v>Vanuatu</v>
      </c>
      <c r="D17235">
        <f>IFERROR(__xludf.DUMMYFUNCTION("""COMPUTED_VALUE"""),1982.0)</f>
        <v>1982</v>
      </c>
      <c r="E17235">
        <f>IFERROR(__xludf.DUMMYFUNCTION("""COMPUTED_VALUE"""),121435.0)</f>
        <v>121435</v>
      </c>
    </row>
    <row r="17236">
      <c r="A17236" t="str">
        <f t="shared" si="1"/>
        <v>vut#1983</v>
      </c>
      <c r="B17236" t="str">
        <f>IFERROR(__xludf.DUMMYFUNCTION("""COMPUTED_VALUE"""),"vut")</f>
        <v>vut</v>
      </c>
      <c r="C17236" t="str">
        <f>IFERROR(__xludf.DUMMYFUNCTION("""COMPUTED_VALUE"""),"Vanuatu")</f>
        <v>Vanuatu</v>
      </c>
      <c r="D17236">
        <f>IFERROR(__xludf.DUMMYFUNCTION("""COMPUTED_VALUE"""),1983.0)</f>
        <v>1983</v>
      </c>
      <c r="E17236">
        <f>IFERROR(__xludf.DUMMYFUNCTION("""COMPUTED_VALUE"""),124249.0)</f>
        <v>124249</v>
      </c>
    </row>
    <row r="17237">
      <c r="A17237" t="str">
        <f t="shared" si="1"/>
        <v>vut#1984</v>
      </c>
      <c r="B17237" t="str">
        <f>IFERROR(__xludf.DUMMYFUNCTION("""COMPUTED_VALUE"""),"vut")</f>
        <v>vut</v>
      </c>
      <c r="C17237" t="str">
        <f>IFERROR(__xludf.DUMMYFUNCTION("""COMPUTED_VALUE"""),"Vanuatu")</f>
        <v>Vanuatu</v>
      </c>
      <c r="D17237">
        <f>IFERROR(__xludf.DUMMYFUNCTION("""COMPUTED_VALUE"""),1984.0)</f>
        <v>1984</v>
      </c>
      <c r="E17237">
        <f>IFERROR(__xludf.DUMMYFUNCTION("""COMPUTED_VALUE"""),127092.0)</f>
        <v>127092</v>
      </c>
    </row>
    <row r="17238">
      <c r="A17238" t="str">
        <f t="shared" si="1"/>
        <v>vut#1985</v>
      </c>
      <c r="B17238" t="str">
        <f>IFERROR(__xludf.DUMMYFUNCTION("""COMPUTED_VALUE"""),"vut")</f>
        <v>vut</v>
      </c>
      <c r="C17238" t="str">
        <f>IFERROR(__xludf.DUMMYFUNCTION("""COMPUTED_VALUE"""),"Vanuatu")</f>
        <v>Vanuatu</v>
      </c>
      <c r="D17238">
        <f>IFERROR(__xludf.DUMMYFUNCTION("""COMPUTED_VALUE"""),1985.0)</f>
        <v>1985</v>
      </c>
      <c r="E17238">
        <f>IFERROR(__xludf.DUMMYFUNCTION("""COMPUTED_VALUE"""),130027.0)</f>
        <v>130027</v>
      </c>
    </row>
    <row r="17239">
      <c r="A17239" t="str">
        <f t="shared" si="1"/>
        <v>vut#1986</v>
      </c>
      <c r="B17239" t="str">
        <f>IFERROR(__xludf.DUMMYFUNCTION("""COMPUTED_VALUE"""),"vut")</f>
        <v>vut</v>
      </c>
      <c r="C17239" t="str">
        <f>IFERROR(__xludf.DUMMYFUNCTION("""COMPUTED_VALUE"""),"Vanuatu")</f>
        <v>Vanuatu</v>
      </c>
      <c r="D17239">
        <f>IFERROR(__xludf.DUMMYFUNCTION("""COMPUTED_VALUE"""),1986.0)</f>
        <v>1986</v>
      </c>
      <c r="E17239">
        <f>IFERROR(__xludf.DUMMYFUNCTION("""COMPUTED_VALUE"""),133038.0)</f>
        <v>133038</v>
      </c>
    </row>
    <row r="17240">
      <c r="A17240" t="str">
        <f t="shared" si="1"/>
        <v>vut#1987</v>
      </c>
      <c r="B17240" t="str">
        <f>IFERROR(__xludf.DUMMYFUNCTION("""COMPUTED_VALUE"""),"vut")</f>
        <v>vut</v>
      </c>
      <c r="C17240" t="str">
        <f>IFERROR(__xludf.DUMMYFUNCTION("""COMPUTED_VALUE"""),"Vanuatu")</f>
        <v>Vanuatu</v>
      </c>
      <c r="D17240">
        <f>IFERROR(__xludf.DUMMYFUNCTION("""COMPUTED_VALUE"""),1987.0)</f>
        <v>1987</v>
      </c>
      <c r="E17240">
        <f>IFERROR(__xludf.DUMMYFUNCTION("""COMPUTED_VALUE"""),136125.0)</f>
        <v>136125</v>
      </c>
    </row>
    <row r="17241">
      <c r="A17241" t="str">
        <f t="shared" si="1"/>
        <v>vut#1988</v>
      </c>
      <c r="B17241" t="str">
        <f>IFERROR(__xludf.DUMMYFUNCTION("""COMPUTED_VALUE"""),"vut")</f>
        <v>vut</v>
      </c>
      <c r="C17241" t="str">
        <f>IFERROR(__xludf.DUMMYFUNCTION("""COMPUTED_VALUE"""),"Vanuatu")</f>
        <v>Vanuatu</v>
      </c>
      <c r="D17241">
        <f>IFERROR(__xludf.DUMMYFUNCTION("""COMPUTED_VALUE"""),1988.0)</f>
        <v>1988</v>
      </c>
      <c r="E17241">
        <f>IFERROR(__xludf.DUMMYFUNCTION("""COMPUTED_VALUE"""),139366.0)</f>
        <v>139366</v>
      </c>
    </row>
    <row r="17242">
      <c r="A17242" t="str">
        <f t="shared" si="1"/>
        <v>vut#1989</v>
      </c>
      <c r="B17242" t="str">
        <f>IFERROR(__xludf.DUMMYFUNCTION("""COMPUTED_VALUE"""),"vut")</f>
        <v>vut</v>
      </c>
      <c r="C17242" t="str">
        <f>IFERROR(__xludf.DUMMYFUNCTION("""COMPUTED_VALUE"""),"Vanuatu")</f>
        <v>Vanuatu</v>
      </c>
      <c r="D17242">
        <f>IFERROR(__xludf.DUMMYFUNCTION("""COMPUTED_VALUE"""),1989.0)</f>
        <v>1989</v>
      </c>
      <c r="E17242">
        <f>IFERROR(__xludf.DUMMYFUNCTION("""COMPUTED_VALUE"""),142849.0)</f>
        <v>142849</v>
      </c>
    </row>
    <row r="17243">
      <c r="A17243" t="str">
        <f t="shared" si="1"/>
        <v>vut#1990</v>
      </c>
      <c r="B17243" t="str">
        <f>IFERROR(__xludf.DUMMYFUNCTION("""COMPUTED_VALUE"""),"vut")</f>
        <v>vut</v>
      </c>
      <c r="C17243" t="str">
        <f>IFERROR(__xludf.DUMMYFUNCTION("""COMPUTED_VALUE"""),"Vanuatu")</f>
        <v>Vanuatu</v>
      </c>
      <c r="D17243">
        <f>IFERROR(__xludf.DUMMYFUNCTION("""COMPUTED_VALUE"""),1990.0)</f>
        <v>1990</v>
      </c>
      <c r="E17243">
        <f>IFERROR(__xludf.DUMMYFUNCTION("""COMPUTED_VALUE"""),146634.0)</f>
        <v>146634</v>
      </c>
    </row>
    <row r="17244">
      <c r="A17244" t="str">
        <f t="shared" si="1"/>
        <v>vut#1991</v>
      </c>
      <c r="B17244" t="str">
        <f>IFERROR(__xludf.DUMMYFUNCTION("""COMPUTED_VALUE"""),"vut")</f>
        <v>vut</v>
      </c>
      <c r="C17244" t="str">
        <f>IFERROR(__xludf.DUMMYFUNCTION("""COMPUTED_VALUE"""),"Vanuatu")</f>
        <v>Vanuatu</v>
      </c>
      <c r="D17244">
        <f>IFERROR(__xludf.DUMMYFUNCTION("""COMPUTED_VALUE"""),1991.0)</f>
        <v>1991</v>
      </c>
      <c r="E17244">
        <f>IFERROR(__xludf.DUMMYFUNCTION("""COMPUTED_VALUE"""),150778.0)</f>
        <v>150778</v>
      </c>
    </row>
    <row r="17245">
      <c r="A17245" t="str">
        <f t="shared" si="1"/>
        <v>vut#1992</v>
      </c>
      <c r="B17245" t="str">
        <f>IFERROR(__xludf.DUMMYFUNCTION("""COMPUTED_VALUE"""),"vut")</f>
        <v>vut</v>
      </c>
      <c r="C17245" t="str">
        <f>IFERROR(__xludf.DUMMYFUNCTION("""COMPUTED_VALUE"""),"Vanuatu")</f>
        <v>Vanuatu</v>
      </c>
      <c r="D17245">
        <f>IFERROR(__xludf.DUMMYFUNCTION("""COMPUTED_VALUE"""),1992.0)</f>
        <v>1992</v>
      </c>
      <c r="E17245">
        <f>IFERROR(__xludf.DUMMYFUNCTION("""COMPUTED_VALUE"""),155243.0)</f>
        <v>155243</v>
      </c>
    </row>
    <row r="17246">
      <c r="A17246" t="str">
        <f t="shared" si="1"/>
        <v>vut#1993</v>
      </c>
      <c r="B17246" t="str">
        <f>IFERROR(__xludf.DUMMYFUNCTION("""COMPUTED_VALUE"""),"vut")</f>
        <v>vut</v>
      </c>
      <c r="C17246" t="str">
        <f>IFERROR(__xludf.DUMMYFUNCTION("""COMPUTED_VALUE"""),"Vanuatu")</f>
        <v>Vanuatu</v>
      </c>
      <c r="D17246">
        <f>IFERROR(__xludf.DUMMYFUNCTION("""COMPUTED_VALUE"""),1993.0)</f>
        <v>1993</v>
      </c>
      <c r="E17246">
        <f>IFERROR(__xludf.DUMMYFUNCTION("""COMPUTED_VALUE"""),159814.0)</f>
        <v>159814</v>
      </c>
    </row>
    <row r="17247">
      <c r="A17247" t="str">
        <f t="shared" si="1"/>
        <v>vut#1994</v>
      </c>
      <c r="B17247" t="str">
        <f>IFERROR(__xludf.DUMMYFUNCTION("""COMPUTED_VALUE"""),"vut")</f>
        <v>vut</v>
      </c>
      <c r="C17247" t="str">
        <f>IFERROR(__xludf.DUMMYFUNCTION("""COMPUTED_VALUE"""),"Vanuatu")</f>
        <v>Vanuatu</v>
      </c>
      <c r="D17247">
        <f>IFERROR(__xludf.DUMMYFUNCTION("""COMPUTED_VALUE"""),1994.0)</f>
        <v>1994</v>
      </c>
      <c r="E17247">
        <f>IFERROR(__xludf.DUMMYFUNCTION("""COMPUTED_VALUE"""),164208.0)</f>
        <v>164208</v>
      </c>
    </row>
    <row r="17248">
      <c r="A17248" t="str">
        <f t="shared" si="1"/>
        <v>vut#1995</v>
      </c>
      <c r="B17248" t="str">
        <f>IFERROR(__xludf.DUMMYFUNCTION("""COMPUTED_VALUE"""),"vut")</f>
        <v>vut</v>
      </c>
      <c r="C17248" t="str">
        <f>IFERROR(__xludf.DUMMYFUNCTION("""COMPUTED_VALUE"""),"Vanuatu")</f>
        <v>Vanuatu</v>
      </c>
      <c r="D17248">
        <f>IFERROR(__xludf.DUMMYFUNCTION("""COMPUTED_VALUE"""),1995.0)</f>
        <v>1995</v>
      </c>
      <c r="E17248">
        <f>IFERROR(__xludf.DUMMYFUNCTION("""COMPUTED_VALUE"""),168235.0)</f>
        <v>168235</v>
      </c>
    </row>
    <row r="17249">
      <c r="A17249" t="str">
        <f t="shared" si="1"/>
        <v>vut#1996</v>
      </c>
      <c r="B17249" t="str">
        <f>IFERROR(__xludf.DUMMYFUNCTION("""COMPUTED_VALUE"""),"vut")</f>
        <v>vut</v>
      </c>
      <c r="C17249" t="str">
        <f>IFERROR(__xludf.DUMMYFUNCTION("""COMPUTED_VALUE"""),"Vanuatu")</f>
        <v>Vanuatu</v>
      </c>
      <c r="D17249">
        <f>IFERROR(__xludf.DUMMYFUNCTION("""COMPUTED_VALUE"""),1996.0)</f>
        <v>1996</v>
      </c>
      <c r="E17249">
        <f>IFERROR(__xludf.DUMMYFUNCTION("""COMPUTED_VALUE"""),171801.0)</f>
        <v>171801</v>
      </c>
    </row>
    <row r="17250">
      <c r="A17250" t="str">
        <f t="shared" si="1"/>
        <v>vut#1997</v>
      </c>
      <c r="B17250" t="str">
        <f>IFERROR(__xludf.DUMMYFUNCTION("""COMPUTED_VALUE"""),"vut")</f>
        <v>vut</v>
      </c>
      <c r="C17250" t="str">
        <f>IFERROR(__xludf.DUMMYFUNCTION("""COMPUTED_VALUE"""),"Vanuatu")</f>
        <v>Vanuatu</v>
      </c>
      <c r="D17250">
        <f>IFERROR(__xludf.DUMMYFUNCTION("""COMPUTED_VALUE"""),1997.0)</f>
        <v>1997</v>
      </c>
      <c r="E17250">
        <f>IFERROR(__xludf.DUMMYFUNCTION("""COMPUTED_VALUE"""),174999.0)</f>
        <v>174999</v>
      </c>
    </row>
    <row r="17251">
      <c r="A17251" t="str">
        <f t="shared" si="1"/>
        <v>vut#1998</v>
      </c>
      <c r="B17251" t="str">
        <f>IFERROR(__xludf.DUMMYFUNCTION("""COMPUTED_VALUE"""),"vut")</f>
        <v>vut</v>
      </c>
      <c r="C17251" t="str">
        <f>IFERROR(__xludf.DUMMYFUNCTION("""COMPUTED_VALUE"""),"Vanuatu")</f>
        <v>Vanuatu</v>
      </c>
      <c r="D17251">
        <f>IFERROR(__xludf.DUMMYFUNCTION("""COMPUTED_VALUE"""),1998.0)</f>
        <v>1998</v>
      </c>
      <c r="E17251">
        <f>IFERROR(__xludf.DUMMYFUNCTION("""COMPUTED_VALUE"""),178078.0)</f>
        <v>178078</v>
      </c>
    </row>
    <row r="17252">
      <c r="A17252" t="str">
        <f t="shared" si="1"/>
        <v>vut#1999</v>
      </c>
      <c r="B17252" t="str">
        <f>IFERROR(__xludf.DUMMYFUNCTION("""COMPUTED_VALUE"""),"vut")</f>
        <v>vut</v>
      </c>
      <c r="C17252" t="str">
        <f>IFERROR(__xludf.DUMMYFUNCTION("""COMPUTED_VALUE"""),"Vanuatu")</f>
        <v>Vanuatu</v>
      </c>
      <c r="D17252">
        <f>IFERROR(__xludf.DUMMYFUNCTION("""COMPUTED_VALUE"""),1999.0)</f>
        <v>1999</v>
      </c>
      <c r="E17252">
        <f>IFERROR(__xludf.DUMMYFUNCTION("""COMPUTED_VALUE"""),181345.0)</f>
        <v>181345</v>
      </c>
    </row>
    <row r="17253">
      <c r="A17253" t="str">
        <f t="shared" si="1"/>
        <v>vut#2000</v>
      </c>
      <c r="B17253" t="str">
        <f>IFERROR(__xludf.DUMMYFUNCTION("""COMPUTED_VALUE"""),"vut")</f>
        <v>vut</v>
      </c>
      <c r="C17253" t="str">
        <f>IFERROR(__xludf.DUMMYFUNCTION("""COMPUTED_VALUE"""),"Vanuatu")</f>
        <v>Vanuatu</v>
      </c>
      <c r="D17253">
        <f>IFERROR(__xludf.DUMMYFUNCTION("""COMPUTED_VALUE"""),2000.0)</f>
        <v>2000</v>
      </c>
      <c r="E17253">
        <f>IFERROR(__xludf.DUMMYFUNCTION("""COMPUTED_VALUE"""),185063.0)</f>
        <v>185063</v>
      </c>
    </row>
    <row r="17254">
      <c r="A17254" t="str">
        <f t="shared" si="1"/>
        <v>vut#2001</v>
      </c>
      <c r="B17254" t="str">
        <f>IFERROR(__xludf.DUMMYFUNCTION("""COMPUTED_VALUE"""),"vut")</f>
        <v>vut</v>
      </c>
      <c r="C17254" t="str">
        <f>IFERROR(__xludf.DUMMYFUNCTION("""COMPUTED_VALUE"""),"Vanuatu")</f>
        <v>Vanuatu</v>
      </c>
      <c r="D17254">
        <f>IFERROR(__xludf.DUMMYFUNCTION("""COMPUTED_VALUE"""),2001.0)</f>
        <v>2001</v>
      </c>
      <c r="E17254">
        <f>IFERROR(__xludf.DUMMYFUNCTION("""COMPUTED_VALUE"""),189290.0)</f>
        <v>189290</v>
      </c>
    </row>
    <row r="17255">
      <c r="A17255" t="str">
        <f t="shared" si="1"/>
        <v>vut#2002</v>
      </c>
      <c r="B17255" t="str">
        <f>IFERROR(__xludf.DUMMYFUNCTION("""COMPUTED_VALUE"""),"vut")</f>
        <v>vut</v>
      </c>
      <c r="C17255" t="str">
        <f>IFERROR(__xludf.DUMMYFUNCTION("""COMPUTED_VALUE"""),"Vanuatu")</f>
        <v>Vanuatu</v>
      </c>
      <c r="D17255">
        <f>IFERROR(__xludf.DUMMYFUNCTION("""COMPUTED_VALUE"""),2002.0)</f>
        <v>2002</v>
      </c>
      <c r="E17255">
        <f>IFERROR(__xludf.DUMMYFUNCTION("""COMPUTED_VALUE"""),193956.0)</f>
        <v>193956</v>
      </c>
    </row>
    <row r="17256">
      <c r="A17256" t="str">
        <f t="shared" si="1"/>
        <v>vut#2003</v>
      </c>
      <c r="B17256" t="str">
        <f>IFERROR(__xludf.DUMMYFUNCTION("""COMPUTED_VALUE"""),"vut")</f>
        <v>vut</v>
      </c>
      <c r="C17256" t="str">
        <f>IFERROR(__xludf.DUMMYFUNCTION("""COMPUTED_VALUE"""),"Vanuatu")</f>
        <v>Vanuatu</v>
      </c>
      <c r="D17256">
        <f>IFERROR(__xludf.DUMMYFUNCTION("""COMPUTED_VALUE"""),2003.0)</f>
        <v>2003</v>
      </c>
      <c r="E17256">
        <f>IFERROR(__xludf.DUMMYFUNCTION("""COMPUTED_VALUE"""),198964.0)</f>
        <v>198964</v>
      </c>
    </row>
    <row r="17257">
      <c r="A17257" t="str">
        <f t="shared" si="1"/>
        <v>vut#2004</v>
      </c>
      <c r="B17257" t="str">
        <f>IFERROR(__xludf.DUMMYFUNCTION("""COMPUTED_VALUE"""),"vut")</f>
        <v>vut</v>
      </c>
      <c r="C17257" t="str">
        <f>IFERROR(__xludf.DUMMYFUNCTION("""COMPUTED_VALUE"""),"Vanuatu")</f>
        <v>Vanuatu</v>
      </c>
      <c r="D17257">
        <f>IFERROR(__xludf.DUMMYFUNCTION("""COMPUTED_VALUE"""),2004.0)</f>
        <v>2004</v>
      </c>
      <c r="E17257">
        <f>IFERROR(__xludf.DUMMYFUNCTION("""COMPUTED_VALUE"""),204143.0)</f>
        <v>204143</v>
      </c>
    </row>
    <row r="17258">
      <c r="A17258" t="str">
        <f t="shared" si="1"/>
        <v>vut#2005</v>
      </c>
      <c r="B17258" t="str">
        <f>IFERROR(__xludf.DUMMYFUNCTION("""COMPUTED_VALUE"""),"vut")</f>
        <v>vut</v>
      </c>
      <c r="C17258" t="str">
        <f>IFERROR(__xludf.DUMMYFUNCTION("""COMPUTED_VALUE"""),"Vanuatu")</f>
        <v>Vanuatu</v>
      </c>
      <c r="D17258">
        <f>IFERROR(__xludf.DUMMYFUNCTION("""COMPUTED_VALUE"""),2005.0)</f>
        <v>2005</v>
      </c>
      <c r="E17258">
        <f>IFERROR(__xludf.DUMMYFUNCTION("""COMPUTED_VALUE"""),209370.0)</f>
        <v>209370</v>
      </c>
    </row>
    <row r="17259">
      <c r="A17259" t="str">
        <f t="shared" si="1"/>
        <v>vut#2006</v>
      </c>
      <c r="B17259" t="str">
        <f>IFERROR(__xludf.DUMMYFUNCTION("""COMPUTED_VALUE"""),"vut")</f>
        <v>vut</v>
      </c>
      <c r="C17259" t="str">
        <f>IFERROR(__xludf.DUMMYFUNCTION("""COMPUTED_VALUE"""),"Vanuatu")</f>
        <v>Vanuatu</v>
      </c>
      <c r="D17259">
        <f>IFERROR(__xludf.DUMMYFUNCTION("""COMPUTED_VALUE"""),2006.0)</f>
        <v>2006</v>
      </c>
      <c r="E17259">
        <f>IFERROR(__xludf.DUMMYFUNCTION("""COMPUTED_VALUE"""),214634.0)</f>
        <v>214634</v>
      </c>
    </row>
    <row r="17260">
      <c r="A17260" t="str">
        <f t="shared" si="1"/>
        <v>vut#2007</v>
      </c>
      <c r="B17260" t="str">
        <f>IFERROR(__xludf.DUMMYFUNCTION("""COMPUTED_VALUE"""),"vut")</f>
        <v>vut</v>
      </c>
      <c r="C17260" t="str">
        <f>IFERROR(__xludf.DUMMYFUNCTION("""COMPUTED_VALUE"""),"Vanuatu")</f>
        <v>Vanuatu</v>
      </c>
      <c r="D17260">
        <f>IFERROR(__xludf.DUMMYFUNCTION("""COMPUTED_VALUE"""),2007.0)</f>
        <v>2007</v>
      </c>
      <c r="E17260">
        <f>IFERROR(__xludf.DUMMYFUNCTION("""COMPUTED_VALUE"""),219953.0)</f>
        <v>219953</v>
      </c>
    </row>
    <row r="17261">
      <c r="A17261" t="str">
        <f t="shared" si="1"/>
        <v>vut#2008</v>
      </c>
      <c r="B17261" t="str">
        <f>IFERROR(__xludf.DUMMYFUNCTION("""COMPUTED_VALUE"""),"vut")</f>
        <v>vut</v>
      </c>
      <c r="C17261" t="str">
        <f>IFERROR(__xludf.DUMMYFUNCTION("""COMPUTED_VALUE"""),"Vanuatu")</f>
        <v>Vanuatu</v>
      </c>
      <c r="D17261">
        <f>IFERROR(__xludf.DUMMYFUNCTION("""COMPUTED_VALUE"""),2008.0)</f>
        <v>2008</v>
      </c>
      <c r="E17261">
        <f>IFERROR(__xludf.DUMMYFUNCTION("""COMPUTED_VALUE"""),225340.0)</f>
        <v>225340</v>
      </c>
    </row>
    <row r="17262">
      <c r="A17262" t="str">
        <f t="shared" si="1"/>
        <v>vut#2009</v>
      </c>
      <c r="B17262" t="str">
        <f>IFERROR(__xludf.DUMMYFUNCTION("""COMPUTED_VALUE"""),"vut")</f>
        <v>vut</v>
      </c>
      <c r="C17262" t="str">
        <f>IFERROR(__xludf.DUMMYFUNCTION("""COMPUTED_VALUE"""),"Vanuatu")</f>
        <v>Vanuatu</v>
      </c>
      <c r="D17262">
        <f>IFERROR(__xludf.DUMMYFUNCTION("""COMPUTED_VALUE"""),2009.0)</f>
        <v>2009</v>
      </c>
      <c r="E17262">
        <f>IFERROR(__xludf.DUMMYFUNCTION("""COMPUTED_VALUE"""),230785.0)</f>
        <v>230785</v>
      </c>
    </row>
    <row r="17263">
      <c r="A17263" t="str">
        <f t="shared" si="1"/>
        <v>vut#2010</v>
      </c>
      <c r="B17263" t="str">
        <f>IFERROR(__xludf.DUMMYFUNCTION("""COMPUTED_VALUE"""),"vut")</f>
        <v>vut</v>
      </c>
      <c r="C17263" t="str">
        <f>IFERROR(__xludf.DUMMYFUNCTION("""COMPUTED_VALUE"""),"Vanuatu")</f>
        <v>Vanuatu</v>
      </c>
      <c r="D17263">
        <f>IFERROR(__xludf.DUMMYFUNCTION("""COMPUTED_VALUE"""),2010.0)</f>
        <v>2010</v>
      </c>
      <c r="E17263">
        <f>IFERROR(__xludf.DUMMYFUNCTION("""COMPUTED_VALUE"""),236295.0)</f>
        <v>236295</v>
      </c>
    </row>
    <row r="17264">
      <c r="A17264" t="str">
        <f t="shared" si="1"/>
        <v>vut#2011</v>
      </c>
      <c r="B17264" t="str">
        <f>IFERROR(__xludf.DUMMYFUNCTION("""COMPUTED_VALUE"""),"vut")</f>
        <v>vut</v>
      </c>
      <c r="C17264" t="str">
        <f>IFERROR(__xludf.DUMMYFUNCTION("""COMPUTED_VALUE"""),"Vanuatu")</f>
        <v>Vanuatu</v>
      </c>
      <c r="D17264">
        <f>IFERROR(__xludf.DUMMYFUNCTION("""COMPUTED_VALUE"""),2011.0)</f>
        <v>2011</v>
      </c>
      <c r="E17264">
        <f>IFERROR(__xludf.DUMMYFUNCTION("""COMPUTED_VALUE"""),241871.0)</f>
        <v>241871</v>
      </c>
    </row>
    <row r="17265">
      <c r="A17265" t="str">
        <f t="shared" si="1"/>
        <v>vut#2012</v>
      </c>
      <c r="B17265" t="str">
        <f>IFERROR(__xludf.DUMMYFUNCTION("""COMPUTED_VALUE"""),"vut")</f>
        <v>vut</v>
      </c>
      <c r="C17265" t="str">
        <f>IFERROR(__xludf.DUMMYFUNCTION("""COMPUTED_VALUE"""),"Vanuatu")</f>
        <v>Vanuatu</v>
      </c>
      <c r="D17265">
        <f>IFERROR(__xludf.DUMMYFUNCTION("""COMPUTED_VALUE"""),2012.0)</f>
        <v>2012</v>
      </c>
      <c r="E17265">
        <f>IFERROR(__xludf.DUMMYFUNCTION("""COMPUTED_VALUE"""),247485.0)</f>
        <v>247485</v>
      </c>
    </row>
    <row r="17266">
      <c r="A17266" t="str">
        <f t="shared" si="1"/>
        <v>vut#2013</v>
      </c>
      <c r="B17266" t="str">
        <f>IFERROR(__xludf.DUMMYFUNCTION("""COMPUTED_VALUE"""),"vut")</f>
        <v>vut</v>
      </c>
      <c r="C17266" t="str">
        <f>IFERROR(__xludf.DUMMYFUNCTION("""COMPUTED_VALUE"""),"Vanuatu")</f>
        <v>Vanuatu</v>
      </c>
      <c r="D17266">
        <f>IFERROR(__xludf.DUMMYFUNCTION("""COMPUTED_VALUE"""),2013.0)</f>
        <v>2013</v>
      </c>
      <c r="E17266">
        <f>IFERROR(__xludf.DUMMYFUNCTION("""COMPUTED_VALUE"""),253142.0)</f>
        <v>253142</v>
      </c>
    </row>
    <row r="17267">
      <c r="A17267" t="str">
        <f t="shared" si="1"/>
        <v>vut#2014</v>
      </c>
      <c r="B17267" t="str">
        <f>IFERROR(__xludf.DUMMYFUNCTION("""COMPUTED_VALUE"""),"vut")</f>
        <v>vut</v>
      </c>
      <c r="C17267" t="str">
        <f>IFERROR(__xludf.DUMMYFUNCTION("""COMPUTED_VALUE"""),"Vanuatu")</f>
        <v>Vanuatu</v>
      </c>
      <c r="D17267">
        <f>IFERROR(__xludf.DUMMYFUNCTION("""COMPUTED_VALUE"""),2014.0)</f>
        <v>2014</v>
      </c>
      <c r="E17267">
        <f>IFERROR(__xludf.DUMMYFUNCTION("""COMPUTED_VALUE"""),258850.0)</f>
        <v>258850</v>
      </c>
    </row>
    <row r="17268">
      <c r="A17268" t="str">
        <f t="shared" si="1"/>
        <v>vut#2015</v>
      </c>
      <c r="B17268" t="str">
        <f>IFERROR(__xludf.DUMMYFUNCTION("""COMPUTED_VALUE"""),"vut")</f>
        <v>vut</v>
      </c>
      <c r="C17268" t="str">
        <f>IFERROR(__xludf.DUMMYFUNCTION("""COMPUTED_VALUE"""),"Vanuatu")</f>
        <v>Vanuatu</v>
      </c>
      <c r="D17268">
        <f>IFERROR(__xludf.DUMMYFUNCTION("""COMPUTED_VALUE"""),2015.0)</f>
        <v>2015</v>
      </c>
      <c r="E17268">
        <f>IFERROR(__xludf.DUMMYFUNCTION("""COMPUTED_VALUE"""),264603.0)</f>
        <v>264603</v>
      </c>
    </row>
    <row r="17269">
      <c r="A17269" t="str">
        <f t="shared" si="1"/>
        <v>vut#2016</v>
      </c>
      <c r="B17269" t="str">
        <f>IFERROR(__xludf.DUMMYFUNCTION("""COMPUTED_VALUE"""),"vut")</f>
        <v>vut</v>
      </c>
      <c r="C17269" t="str">
        <f>IFERROR(__xludf.DUMMYFUNCTION("""COMPUTED_VALUE"""),"Vanuatu")</f>
        <v>Vanuatu</v>
      </c>
      <c r="D17269">
        <f>IFERROR(__xludf.DUMMYFUNCTION("""COMPUTED_VALUE"""),2016.0)</f>
        <v>2016</v>
      </c>
      <c r="E17269">
        <f>IFERROR(__xludf.DUMMYFUNCTION("""COMPUTED_VALUE"""),270402.0)</f>
        <v>270402</v>
      </c>
    </row>
    <row r="17270">
      <c r="A17270" t="str">
        <f t="shared" si="1"/>
        <v>vut#2017</v>
      </c>
      <c r="B17270" t="str">
        <f>IFERROR(__xludf.DUMMYFUNCTION("""COMPUTED_VALUE"""),"vut")</f>
        <v>vut</v>
      </c>
      <c r="C17270" t="str">
        <f>IFERROR(__xludf.DUMMYFUNCTION("""COMPUTED_VALUE"""),"Vanuatu")</f>
        <v>Vanuatu</v>
      </c>
      <c r="D17270">
        <f>IFERROR(__xludf.DUMMYFUNCTION("""COMPUTED_VALUE"""),2017.0)</f>
        <v>2017</v>
      </c>
      <c r="E17270">
        <f>IFERROR(__xludf.DUMMYFUNCTION("""COMPUTED_VALUE"""),276244.0)</f>
        <v>276244</v>
      </c>
    </row>
    <row r="17271">
      <c r="A17271" t="str">
        <f t="shared" si="1"/>
        <v>vut#2018</v>
      </c>
      <c r="B17271" t="str">
        <f>IFERROR(__xludf.DUMMYFUNCTION("""COMPUTED_VALUE"""),"vut")</f>
        <v>vut</v>
      </c>
      <c r="C17271" t="str">
        <f>IFERROR(__xludf.DUMMYFUNCTION("""COMPUTED_VALUE"""),"Vanuatu")</f>
        <v>Vanuatu</v>
      </c>
      <c r="D17271">
        <f>IFERROR(__xludf.DUMMYFUNCTION("""COMPUTED_VALUE"""),2018.0)</f>
        <v>2018</v>
      </c>
      <c r="E17271">
        <f>IFERROR(__xludf.DUMMYFUNCTION("""COMPUTED_VALUE"""),282117.0)</f>
        <v>282117</v>
      </c>
    </row>
    <row r="17272">
      <c r="A17272" t="str">
        <f t="shared" si="1"/>
        <v>vut#2019</v>
      </c>
      <c r="B17272" t="str">
        <f>IFERROR(__xludf.DUMMYFUNCTION("""COMPUTED_VALUE"""),"vut")</f>
        <v>vut</v>
      </c>
      <c r="C17272" t="str">
        <f>IFERROR(__xludf.DUMMYFUNCTION("""COMPUTED_VALUE"""),"Vanuatu")</f>
        <v>Vanuatu</v>
      </c>
      <c r="D17272">
        <f>IFERROR(__xludf.DUMMYFUNCTION("""COMPUTED_VALUE"""),2019.0)</f>
        <v>2019</v>
      </c>
      <c r="E17272">
        <f>IFERROR(__xludf.DUMMYFUNCTION("""COMPUTED_VALUE"""),288017.0)</f>
        <v>288017</v>
      </c>
    </row>
    <row r="17273">
      <c r="A17273" t="str">
        <f t="shared" si="1"/>
        <v>vut#2020</v>
      </c>
      <c r="B17273" t="str">
        <f>IFERROR(__xludf.DUMMYFUNCTION("""COMPUTED_VALUE"""),"vut")</f>
        <v>vut</v>
      </c>
      <c r="C17273" t="str">
        <f>IFERROR(__xludf.DUMMYFUNCTION("""COMPUTED_VALUE"""),"Vanuatu")</f>
        <v>Vanuatu</v>
      </c>
      <c r="D17273">
        <f>IFERROR(__xludf.DUMMYFUNCTION("""COMPUTED_VALUE"""),2020.0)</f>
        <v>2020</v>
      </c>
      <c r="E17273">
        <f>IFERROR(__xludf.DUMMYFUNCTION("""COMPUTED_VALUE"""),293934.0)</f>
        <v>293934</v>
      </c>
    </row>
    <row r="17274">
      <c r="A17274" t="str">
        <f t="shared" si="1"/>
        <v>vut#2021</v>
      </c>
      <c r="B17274" t="str">
        <f>IFERROR(__xludf.DUMMYFUNCTION("""COMPUTED_VALUE"""),"vut")</f>
        <v>vut</v>
      </c>
      <c r="C17274" t="str">
        <f>IFERROR(__xludf.DUMMYFUNCTION("""COMPUTED_VALUE"""),"Vanuatu")</f>
        <v>Vanuatu</v>
      </c>
      <c r="D17274">
        <f>IFERROR(__xludf.DUMMYFUNCTION("""COMPUTED_VALUE"""),2021.0)</f>
        <v>2021</v>
      </c>
      <c r="E17274">
        <f>IFERROR(__xludf.DUMMYFUNCTION("""COMPUTED_VALUE"""),299872.0)</f>
        <v>299872</v>
      </c>
    </row>
    <row r="17275">
      <c r="A17275" t="str">
        <f t="shared" si="1"/>
        <v>vut#2022</v>
      </c>
      <c r="B17275" t="str">
        <f>IFERROR(__xludf.DUMMYFUNCTION("""COMPUTED_VALUE"""),"vut")</f>
        <v>vut</v>
      </c>
      <c r="C17275" t="str">
        <f>IFERROR(__xludf.DUMMYFUNCTION("""COMPUTED_VALUE"""),"Vanuatu")</f>
        <v>Vanuatu</v>
      </c>
      <c r="D17275">
        <f>IFERROR(__xludf.DUMMYFUNCTION("""COMPUTED_VALUE"""),2022.0)</f>
        <v>2022</v>
      </c>
      <c r="E17275">
        <f>IFERROR(__xludf.DUMMYFUNCTION("""COMPUTED_VALUE"""),305825.0)</f>
        <v>305825</v>
      </c>
    </row>
    <row r="17276">
      <c r="A17276" t="str">
        <f t="shared" si="1"/>
        <v>vut#2023</v>
      </c>
      <c r="B17276" t="str">
        <f>IFERROR(__xludf.DUMMYFUNCTION("""COMPUTED_VALUE"""),"vut")</f>
        <v>vut</v>
      </c>
      <c r="C17276" t="str">
        <f>IFERROR(__xludf.DUMMYFUNCTION("""COMPUTED_VALUE"""),"Vanuatu")</f>
        <v>Vanuatu</v>
      </c>
      <c r="D17276">
        <f>IFERROR(__xludf.DUMMYFUNCTION("""COMPUTED_VALUE"""),2023.0)</f>
        <v>2023</v>
      </c>
      <c r="E17276">
        <f>IFERROR(__xludf.DUMMYFUNCTION("""COMPUTED_VALUE"""),311787.0)</f>
        <v>311787</v>
      </c>
    </row>
    <row r="17277">
      <c r="A17277" t="str">
        <f t="shared" si="1"/>
        <v>vut#2024</v>
      </c>
      <c r="B17277" t="str">
        <f>IFERROR(__xludf.DUMMYFUNCTION("""COMPUTED_VALUE"""),"vut")</f>
        <v>vut</v>
      </c>
      <c r="C17277" t="str">
        <f>IFERROR(__xludf.DUMMYFUNCTION("""COMPUTED_VALUE"""),"Vanuatu")</f>
        <v>Vanuatu</v>
      </c>
      <c r="D17277">
        <f>IFERROR(__xludf.DUMMYFUNCTION("""COMPUTED_VALUE"""),2024.0)</f>
        <v>2024</v>
      </c>
      <c r="E17277">
        <f>IFERROR(__xludf.DUMMYFUNCTION("""COMPUTED_VALUE"""),317773.0)</f>
        <v>317773</v>
      </c>
    </row>
    <row r="17278">
      <c r="A17278" t="str">
        <f t="shared" si="1"/>
        <v>vut#2025</v>
      </c>
      <c r="B17278" t="str">
        <f>IFERROR(__xludf.DUMMYFUNCTION("""COMPUTED_VALUE"""),"vut")</f>
        <v>vut</v>
      </c>
      <c r="C17278" t="str">
        <f>IFERROR(__xludf.DUMMYFUNCTION("""COMPUTED_VALUE"""),"Vanuatu")</f>
        <v>Vanuatu</v>
      </c>
      <c r="D17278">
        <f>IFERROR(__xludf.DUMMYFUNCTION("""COMPUTED_VALUE"""),2025.0)</f>
        <v>2025</v>
      </c>
      <c r="E17278">
        <f>IFERROR(__xludf.DUMMYFUNCTION("""COMPUTED_VALUE"""),323766.0)</f>
        <v>323766</v>
      </c>
    </row>
    <row r="17279">
      <c r="A17279" t="str">
        <f t="shared" si="1"/>
        <v>vut#2026</v>
      </c>
      <c r="B17279" t="str">
        <f>IFERROR(__xludf.DUMMYFUNCTION("""COMPUTED_VALUE"""),"vut")</f>
        <v>vut</v>
      </c>
      <c r="C17279" t="str">
        <f>IFERROR(__xludf.DUMMYFUNCTION("""COMPUTED_VALUE"""),"Vanuatu")</f>
        <v>Vanuatu</v>
      </c>
      <c r="D17279">
        <f>IFERROR(__xludf.DUMMYFUNCTION("""COMPUTED_VALUE"""),2026.0)</f>
        <v>2026</v>
      </c>
      <c r="E17279">
        <f>IFERROR(__xludf.DUMMYFUNCTION("""COMPUTED_VALUE"""),329780.0)</f>
        <v>329780</v>
      </c>
    </row>
    <row r="17280">
      <c r="A17280" t="str">
        <f t="shared" si="1"/>
        <v>vut#2027</v>
      </c>
      <c r="B17280" t="str">
        <f>IFERROR(__xludf.DUMMYFUNCTION("""COMPUTED_VALUE"""),"vut")</f>
        <v>vut</v>
      </c>
      <c r="C17280" t="str">
        <f>IFERROR(__xludf.DUMMYFUNCTION("""COMPUTED_VALUE"""),"Vanuatu")</f>
        <v>Vanuatu</v>
      </c>
      <c r="D17280">
        <f>IFERROR(__xludf.DUMMYFUNCTION("""COMPUTED_VALUE"""),2027.0)</f>
        <v>2027</v>
      </c>
      <c r="E17280">
        <f>IFERROR(__xludf.DUMMYFUNCTION("""COMPUTED_VALUE"""),335800.0)</f>
        <v>335800</v>
      </c>
    </row>
    <row r="17281">
      <c r="A17281" t="str">
        <f t="shared" si="1"/>
        <v>vut#2028</v>
      </c>
      <c r="B17281" t="str">
        <f>IFERROR(__xludf.DUMMYFUNCTION("""COMPUTED_VALUE"""),"vut")</f>
        <v>vut</v>
      </c>
      <c r="C17281" t="str">
        <f>IFERROR(__xludf.DUMMYFUNCTION("""COMPUTED_VALUE"""),"Vanuatu")</f>
        <v>Vanuatu</v>
      </c>
      <c r="D17281">
        <f>IFERROR(__xludf.DUMMYFUNCTION("""COMPUTED_VALUE"""),2028.0)</f>
        <v>2028</v>
      </c>
      <c r="E17281">
        <f>IFERROR(__xludf.DUMMYFUNCTION("""COMPUTED_VALUE"""),341846.0)</f>
        <v>341846</v>
      </c>
    </row>
    <row r="17282">
      <c r="A17282" t="str">
        <f t="shared" si="1"/>
        <v>vut#2029</v>
      </c>
      <c r="B17282" t="str">
        <f>IFERROR(__xludf.DUMMYFUNCTION("""COMPUTED_VALUE"""),"vut")</f>
        <v>vut</v>
      </c>
      <c r="C17282" t="str">
        <f>IFERROR(__xludf.DUMMYFUNCTION("""COMPUTED_VALUE"""),"Vanuatu")</f>
        <v>Vanuatu</v>
      </c>
      <c r="D17282">
        <f>IFERROR(__xludf.DUMMYFUNCTION("""COMPUTED_VALUE"""),2029.0)</f>
        <v>2029</v>
      </c>
      <c r="E17282">
        <f>IFERROR(__xludf.DUMMYFUNCTION("""COMPUTED_VALUE"""),347903.0)</f>
        <v>347903</v>
      </c>
    </row>
    <row r="17283">
      <c r="A17283" t="str">
        <f t="shared" si="1"/>
        <v>vut#2030</v>
      </c>
      <c r="B17283" t="str">
        <f>IFERROR(__xludf.DUMMYFUNCTION("""COMPUTED_VALUE"""),"vut")</f>
        <v>vut</v>
      </c>
      <c r="C17283" t="str">
        <f>IFERROR(__xludf.DUMMYFUNCTION("""COMPUTED_VALUE"""),"Vanuatu")</f>
        <v>Vanuatu</v>
      </c>
      <c r="D17283">
        <f>IFERROR(__xludf.DUMMYFUNCTION("""COMPUTED_VALUE"""),2030.0)</f>
        <v>2030</v>
      </c>
      <c r="E17283">
        <f>IFERROR(__xludf.DUMMYFUNCTION("""COMPUTED_VALUE"""),353974.0)</f>
        <v>353974</v>
      </c>
    </row>
    <row r="17284">
      <c r="A17284" t="str">
        <f t="shared" si="1"/>
        <v>vut#2031</v>
      </c>
      <c r="B17284" t="str">
        <f>IFERROR(__xludf.DUMMYFUNCTION("""COMPUTED_VALUE"""),"vut")</f>
        <v>vut</v>
      </c>
      <c r="C17284" t="str">
        <f>IFERROR(__xludf.DUMMYFUNCTION("""COMPUTED_VALUE"""),"Vanuatu")</f>
        <v>Vanuatu</v>
      </c>
      <c r="D17284">
        <f>IFERROR(__xludf.DUMMYFUNCTION("""COMPUTED_VALUE"""),2031.0)</f>
        <v>2031</v>
      </c>
      <c r="E17284">
        <f>IFERROR(__xludf.DUMMYFUNCTION("""COMPUTED_VALUE"""),360069.0)</f>
        <v>360069</v>
      </c>
    </row>
    <row r="17285">
      <c r="A17285" t="str">
        <f t="shared" si="1"/>
        <v>vut#2032</v>
      </c>
      <c r="B17285" t="str">
        <f>IFERROR(__xludf.DUMMYFUNCTION("""COMPUTED_VALUE"""),"vut")</f>
        <v>vut</v>
      </c>
      <c r="C17285" t="str">
        <f>IFERROR(__xludf.DUMMYFUNCTION("""COMPUTED_VALUE"""),"Vanuatu")</f>
        <v>Vanuatu</v>
      </c>
      <c r="D17285">
        <f>IFERROR(__xludf.DUMMYFUNCTION("""COMPUTED_VALUE"""),2032.0)</f>
        <v>2032</v>
      </c>
      <c r="E17285">
        <f>IFERROR(__xludf.DUMMYFUNCTION("""COMPUTED_VALUE"""),366172.0)</f>
        <v>366172</v>
      </c>
    </row>
    <row r="17286">
      <c r="A17286" t="str">
        <f t="shared" si="1"/>
        <v>vut#2033</v>
      </c>
      <c r="B17286" t="str">
        <f>IFERROR(__xludf.DUMMYFUNCTION("""COMPUTED_VALUE"""),"vut")</f>
        <v>vut</v>
      </c>
      <c r="C17286" t="str">
        <f>IFERROR(__xludf.DUMMYFUNCTION("""COMPUTED_VALUE"""),"Vanuatu")</f>
        <v>Vanuatu</v>
      </c>
      <c r="D17286">
        <f>IFERROR(__xludf.DUMMYFUNCTION("""COMPUTED_VALUE"""),2033.0)</f>
        <v>2033</v>
      </c>
      <c r="E17286">
        <f>IFERROR(__xludf.DUMMYFUNCTION("""COMPUTED_VALUE"""),372295.0)</f>
        <v>372295</v>
      </c>
    </row>
    <row r="17287">
      <c r="A17287" t="str">
        <f t="shared" si="1"/>
        <v>vut#2034</v>
      </c>
      <c r="B17287" t="str">
        <f>IFERROR(__xludf.DUMMYFUNCTION("""COMPUTED_VALUE"""),"vut")</f>
        <v>vut</v>
      </c>
      <c r="C17287" t="str">
        <f>IFERROR(__xludf.DUMMYFUNCTION("""COMPUTED_VALUE"""),"Vanuatu")</f>
        <v>Vanuatu</v>
      </c>
      <c r="D17287">
        <f>IFERROR(__xludf.DUMMYFUNCTION("""COMPUTED_VALUE"""),2034.0)</f>
        <v>2034</v>
      </c>
      <c r="E17287">
        <f>IFERROR(__xludf.DUMMYFUNCTION("""COMPUTED_VALUE"""),378412.0)</f>
        <v>378412</v>
      </c>
    </row>
    <row r="17288">
      <c r="A17288" t="str">
        <f t="shared" si="1"/>
        <v>vut#2035</v>
      </c>
      <c r="B17288" t="str">
        <f>IFERROR(__xludf.DUMMYFUNCTION("""COMPUTED_VALUE"""),"vut")</f>
        <v>vut</v>
      </c>
      <c r="C17288" t="str">
        <f>IFERROR(__xludf.DUMMYFUNCTION("""COMPUTED_VALUE"""),"Vanuatu")</f>
        <v>Vanuatu</v>
      </c>
      <c r="D17288">
        <f>IFERROR(__xludf.DUMMYFUNCTION("""COMPUTED_VALUE"""),2035.0)</f>
        <v>2035</v>
      </c>
      <c r="E17288">
        <f>IFERROR(__xludf.DUMMYFUNCTION("""COMPUTED_VALUE"""),384535.0)</f>
        <v>384535</v>
      </c>
    </row>
    <row r="17289">
      <c r="A17289" t="str">
        <f t="shared" si="1"/>
        <v>vut#2036</v>
      </c>
      <c r="B17289" t="str">
        <f>IFERROR(__xludf.DUMMYFUNCTION("""COMPUTED_VALUE"""),"vut")</f>
        <v>vut</v>
      </c>
      <c r="C17289" t="str">
        <f>IFERROR(__xludf.DUMMYFUNCTION("""COMPUTED_VALUE"""),"Vanuatu")</f>
        <v>Vanuatu</v>
      </c>
      <c r="D17289">
        <f>IFERROR(__xludf.DUMMYFUNCTION("""COMPUTED_VALUE"""),2036.0)</f>
        <v>2036</v>
      </c>
      <c r="E17289">
        <f>IFERROR(__xludf.DUMMYFUNCTION("""COMPUTED_VALUE"""),390661.0)</f>
        <v>390661</v>
      </c>
    </row>
    <row r="17290">
      <c r="A17290" t="str">
        <f t="shared" si="1"/>
        <v>vut#2037</v>
      </c>
      <c r="B17290" t="str">
        <f>IFERROR(__xludf.DUMMYFUNCTION("""COMPUTED_VALUE"""),"vut")</f>
        <v>vut</v>
      </c>
      <c r="C17290" t="str">
        <f>IFERROR(__xludf.DUMMYFUNCTION("""COMPUTED_VALUE"""),"Vanuatu")</f>
        <v>Vanuatu</v>
      </c>
      <c r="D17290">
        <f>IFERROR(__xludf.DUMMYFUNCTION("""COMPUTED_VALUE"""),2037.0)</f>
        <v>2037</v>
      </c>
      <c r="E17290">
        <f>IFERROR(__xludf.DUMMYFUNCTION("""COMPUTED_VALUE"""),396776.0)</f>
        <v>396776</v>
      </c>
    </row>
    <row r="17291">
      <c r="A17291" t="str">
        <f t="shared" si="1"/>
        <v>vut#2038</v>
      </c>
      <c r="B17291" t="str">
        <f>IFERROR(__xludf.DUMMYFUNCTION("""COMPUTED_VALUE"""),"vut")</f>
        <v>vut</v>
      </c>
      <c r="C17291" t="str">
        <f>IFERROR(__xludf.DUMMYFUNCTION("""COMPUTED_VALUE"""),"Vanuatu")</f>
        <v>Vanuatu</v>
      </c>
      <c r="D17291">
        <f>IFERROR(__xludf.DUMMYFUNCTION("""COMPUTED_VALUE"""),2038.0)</f>
        <v>2038</v>
      </c>
      <c r="E17291">
        <f>IFERROR(__xludf.DUMMYFUNCTION("""COMPUTED_VALUE"""),402885.0)</f>
        <v>402885</v>
      </c>
    </row>
    <row r="17292">
      <c r="A17292" t="str">
        <f t="shared" si="1"/>
        <v>vut#2039</v>
      </c>
      <c r="B17292" t="str">
        <f>IFERROR(__xludf.DUMMYFUNCTION("""COMPUTED_VALUE"""),"vut")</f>
        <v>vut</v>
      </c>
      <c r="C17292" t="str">
        <f>IFERROR(__xludf.DUMMYFUNCTION("""COMPUTED_VALUE"""),"Vanuatu")</f>
        <v>Vanuatu</v>
      </c>
      <c r="D17292">
        <f>IFERROR(__xludf.DUMMYFUNCTION("""COMPUTED_VALUE"""),2039.0)</f>
        <v>2039</v>
      </c>
      <c r="E17292">
        <f>IFERROR(__xludf.DUMMYFUNCTION("""COMPUTED_VALUE"""),408991.0)</f>
        <v>408991</v>
      </c>
    </row>
    <row r="17293">
      <c r="A17293" t="str">
        <f t="shared" si="1"/>
        <v>vut#2040</v>
      </c>
      <c r="B17293" t="str">
        <f>IFERROR(__xludf.DUMMYFUNCTION("""COMPUTED_VALUE"""),"vut")</f>
        <v>vut</v>
      </c>
      <c r="C17293" t="str">
        <f>IFERROR(__xludf.DUMMYFUNCTION("""COMPUTED_VALUE"""),"Vanuatu")</f>
        <v>Vanuatu</v>
      </c>
      <c r="D17293">
        <f>IFERROR(__xludf.DUMMYFUNCTION("""COMPUTED_VALUE"""),2040.0)</f>
        <v>2040</v>
      </c>
      <c r="E17293">
        <f>IFERROR(__xludf.DUMMYFUNCTION("""COMPUTED_VALUE"""),415081.0)</f>
        <v>415081</v>
      </c>
    </row>
    <row r="17294">
      <c r="A17294" t="str">
        <f t="shared" si="1"/>
        <v>ven#1950</v>
      </c>
      <c r="B17294" t="str">
        <f>IFERROR(__xludf.DUMMYFUNCTION("""COMPUTED_VALUE"""),"ven")</f>
        <v>ven</v>
      </c>
      <c r="C17294" t="str">
        <f>IFERROR(__xludf.DUMMYFUNCTION("""COMPUTED_VALUE"""),"Venezuela")</f>
        <v>Venezuela</v>
      </c>
      <c r="D17294">
        <f>IFERROR(__xludf.DUMMYFUNCTION("""COMPUTED_VALUE"""),1950.0)</f>
        <v>1950</v>
      </c>
      <c r="E17294">
        <f>IFERROR(__xludf.DUMMYFUNCTION("""COMPUTED_VALUE"""),5481978.0)</f>
        <v>5481978</v>
      </c>
    </row>
    <row r="17295">
      <c r="A17295" t="str">
        <f t="shared" si="1"/>
        <v>ven#1951</v>
      </c>
      <c r="B17295" t="str">
        <f>IFERROR(__xludf.DUMMYFUNCTION("""COMPUTED_VALUE"""),"ven")</f>
        <v>ven</v>
      </c>
      <c r="C17295" t="str">
        <f>IFERROR(__xludf.DUMMYFUNCTION("""COMPUTED_VALUE"""),"Venezuela")</f>
        <v>Venezuela</v>
      </c>
      <c r="D17295">
        <f>IFERROR(__xludf.DUMMYFUNCTION("""COMPUTED_VALUE"""),1951.0)</f>
        <v>1951</v>
      </c>
      <c r="E17295">
        <f>IFERROR(__xludf.DUMMYFUNCTION("""COMPUTED_VALUE"""),5735169.0)</f>
        <v>5735169</v>
      </c>
    </row>
    <row r="17296">
      <c r="A17296" t="str">
        <f t="shared" si="1"/>
        <v>ven#1952</v>
      </c>
      <c r="B17296" t="str">
        <f>IFERROR(__xludf.DUMMYFUNCTION("""COMPUTED_VALUE"""),"ven")</f>
        <v>ven</v>
      </c>
      <c r="C17296" t="str">
        <f>IFERROR(__xludf.DUMMYFUNCTION("""COMPUTED_VALUE"""),"Venezuela")</f>
        <v>Venezuela</v>
      </c>
      <c r="D17296">
        <f>IFERROR(__xludf.DUMMYFUNCTION("""COMPUTED_VALUE"""),1952.0)</f>
        <v>1952</v>
      </c>
      <c r="E17296">
        <f>IFERROR(__xludf.DUMMYFUNCTION("""COMPUTED_VALUE"""),5989551.0)</f>
        <v>5989551</v>
      </c>
    </row>
    <row r="17297">
      <c r="A17297" t="str">
        <f t="shared" si="1"/>
        <v>ven#1953</v>
      </c>
      <c r="B17297" t="str">
        <f>IFERROR(__xludf.DUMMYFUNCTION("""COMPUTED_VALUE"""),"ven")</f>
        <v>ven</v>
      </c>
      <c r="C17297" t="str">
        <f>IFERROR(__xludf.DUMMYFUNCTION("""COMPUTED_VALUE"""),"Venezuela")</f>
        <v>Venezuela</v>
      </c>
      <c r="D17297">
        <f>IFERROR(__xludf.DUMMYFUNCTION("""COMPUTED_VALUE"""),1953.0)</f>
        <v>1953</v>
      </c>
      <c r="E17297">
        <f>IFERROR(__xludf.DUMMYFUNCTION("""COMPUTED_VALUE"""),6244652.0)</f>
        <v>6244652</v>
      </c>
    </row>
    <row r="17298">
      <c r="A17298" t="str">
        <f t="shared" si="1"/>
        <v>ven#1954</v>
      </c>
      <c r="B17298" t="str">
        <f>IFERROR(__xludf.DUMMYFUNCTION("""COMPUTED_VALUE"""),"ven")</f>
        <v>ven</v>
      </c>
      <c r="C17298" t="str">
        <f>IFERROR(__xludf.DUMMYFUNCTION("""COMPUTED_VALUE"""),"Venezuela")</f>
        <v>Venezuela</v>
      </c>
      <c r="D17298">
        <f>IFERROR(__xludf.DUMMYFUNCTION("""COMPUTED_VALUE"""),1954.0)</f>
        <v>1954</v>
      </c>
      <c r="E17298">
        <f>IFERROR(__xludf.DUMMYFUNCTION("""COMPUTED_VALUE"""),6500641.0)</f>
        <v>6500641</v>
      </c>
    </row>
    <row r="17299">
      <c r="A17299" t="str">
        <f t="shared" si="1"/>
        <v>ven#1955</v>
      </c>
      <c r="B17299" t="str">
        <f>IFERROR(__xludf.DUMMYFUNCTION("""COMPUTED_VALUE"""),"ven")</f>
        <v>ven</v>
      </c>
      <c r="C17299" t="str">
        <f>IFERROR(__xludf.DUMMYFUNCTION("""COMPUTED_VALUE"""),"Venezuela")</f>
        <v>Venezuela</v>
      </c>
      <c r="D17299">
        <f>IFERROR(__xludf.DUMMYFUNCTION("""COMPUTED_VALUE"""),1955.0)</f>
        <v>1955</v>
      </c>
      <c r="E17299">
        <f>IFERROR(__xludf.DUMMYFUNCTION("""COMPUTED_VALUE"""),6758373.0)</f>
        <v>6758373</v>
      </c>
    </row>
    <row r="17300">
      <c r="A17300" t="str">
        <f t="shared" si="1"/>
        <v>ven#1956</v>
      </c>
      <c r="B17300" t="str">
        <f>IFERROR(__xludf.DUMMYFUNCTION("""COMPUTED_VALUE"""),"ven")</f>
        <v>ven</v>
      </c>
      <c r="C17300" t="str">
        <f>IFERROR(__xludf.DUMMYFUNCTION("""COMPUTED_VALUE"""),"Venezuela")</f>
        <v>Venezuela</v>
      </c>
      <c r="D17300">
        <f>IFERROR(__xludf.DUMMYFUNCTION("""COMPUTED_VALUE"""),1956.0)</f>
        <v>1956</v>
      </c>
      <c r="E17300">
        <f>IFERROR(__xludf.DUMMYFUNCTION("""COMPUTED_VALUE"""),7019411.0)</f>
        <v>7019411</v>
      </c>
    </row>
    <row r="17301">
      <c r="A17301" t="str">
        <f t="shared" si="1"/>
        <v>ven#1957</v>
      </c>
      <c r="B17301" t="str">
        <f>IFERROR(__xludf.DUMMYFUNCTION("""COMPUTED_VALUE"""),"ven")</f>
        <v>ven</v>
      </c>
      <c r="C17301" t="str">
        <f>IFERROR(__xludf.DUMMYFUNCTION("""COMPUTED_VALUE"""),"Venezuela")</f>
        <v>Venezuela</v>
      </c>
      <c r="D17301">
        <f>IFERROR(__xludf.DUMMYFUNCTION("""COMPUTED_VALUE"""),1957.0)</f>
        <v>1957</v>
      </c>
      <c r="E17301">
        <f>IFERROR(__xludf.DUMMYFUNCTION("""COMPUTED_VALUE"""),7285973.0)</f>
        <v>7285973</v>
      </c>
    </row>
    <row r="17302">
      <c r="A17302" t="str">
        <f t="shared" si="1"/>
        <v>ven#1958</v>
      </c>
      <c r="B17302" t="str">
        <f>IFERROR(__xludf.DUMMYFUNCTION("""COMPUTED_VALUE"""),"ven")</f>
        <v>ven</v>
      </c>
      <c r="C17302" t="str">
        <f>IFERROR(__xludf.DUMMYFUNCTION("""COMPUTED_VALUE"""),"Venezuela")</f>
        <v>Venezuela</v>
      </c>
      <c r="D17302">
        <f>IFERROR(__xludf.DUMMYFUNCTION("""COMPUTED_VALUE"""),1958.0)</f>
        <v>1958</v>
      </c>
      <c r="E17302">
        <f>IFERROR(__xludf.DUMMYFUNCTION("""COMPUTED_VALUE"""),7560819.0)</f>
        <v>7560819</v>
      </c>
    </row>
    <row r="17303">
      <c r="A17303" t="str">
        <f t="shared" si="1"/>
        <v>ven#1959</v>
      </c>
      <c r="B17303" t="str">
        <f>IFERROR(__xludf.DUMMYFUNCTION("""COMPUTED_VALUE"""),"ven")</f>
        <v>ven</v>
      </c>
      <c r="C17303" t="str">
        <f>IFERROR(__xludf.DUMMYFUNCTION("""COMPUTED_VALUE"""),"Venezuela")</f>
        <v>Venezuela</v>
      </c>
      <c r="D17303">
        <f>IFERROR(__xludf.DUMMYFUNCTION("""COMPUTED_VALUE"""),1959.0)</f>
        <v>1959</v>
      </c>
      <c r="E17303">
        <f>IFERROR(__xludf.DUMMYFUNCTION("""COMPUTED_VALUE"""),7846954.0)</f>
        <v>7846954</v>
      </c>
    </row>
    <row r="17304">
      <c r="A17304" t="str">
        <f t="shared" si="1"/>
        <v>ven#1960</v>
      </c>
      <c r="B17304" t="str">
        <f>IFERROR(__xludf.DUMMYFUNCTION("""COMPUTED_VALUE"""),"ven")</f>
        <v>ven</v>
      </c>
      <c r="C17304" t="str">
        <f>IFERROR(__xludf.DUMMYFUNCTION("""COMPUTED_VALUE"""),"Venezuela")</f>
        <v>Venezuela</v>
      </c>
      <c r="D17304">
        <f>IFERROR(__xludf.DUMMYFUNCTION("""COMPUTED_VALUE"""),1960.0)</f>
        <v>1960</v>
      </c>
      <c r="E17304">
        <f>IFERROR(__xludf.DUMMYFUNCTION("""COMPUTED_VALUE"""),8146847.0)</f>
        <v>8146847</v>
      </c>
    </row>
    <row r="17305">
      <c r="A17305" t="str">
        <f t="shared" si="1"/>
        <v>ven#1961</v>
      </c>
      <c r="B17305" t="str">
        <f>IFERROR(__xludf.DUMMYFUNCTION("""COMPUTED_VALUE"""),"ven")</f>
        <v>ven</v>
      </c>
      <c r="C17305" t="str">
        <f>IFERROR(__xludf.DUMMYFUNCTION("""COMPUTED_VALUE"""),"Venezuela")</f>
        <v>Venezuela</v>
      </c>
      <c r="D17305">
        <f>IFERROR(__xludf.DUMMYFUNCTION("""COMPUTED_VALUE"""),1961.0)</f>
        <v>1961</v>
      </c>
      <c r="E17305">
        <f>IFERROR(__xludf.DUMMYFUNCTION("""COMPUTED_VALUE"""),8461685.0)</f>
        <v>8461685</v>
      </c>
    </row>
    <row r="17306">
      <c r="A17306" t="str">
        <f t="shared" si="1"/>
        <v>ven#1962</v>
      </c>
      <c r="B17306" t="str">
        <f>IFERROR(__xludf.DUMMYFUNCTION("""COMPUTED_VALUE"""),"ven")</f>
        <v>ven</v>
      </c>
      <c r="C17306" t="str">
        <f>IFERROR(__xludf.DUMMYFUNCTION("""COMPUTED_VALUE"""),"Venezuela")</f>
        <v>Venezuela</v>
      </c>
      <c r="D17306">
        <f>IFERROR(__xludf.DUMMYFUNCTION("""COMPUTED_VALUE"""),1962.0)</f>
        <v>1962</v>
      </c>
      <c r="E17306">
        <f>IFERROR(__xludf.DUMMYFUNCTION("""COMPUTED_VALUE"""),8790589.0)</f>
        <v>8790589</v>
      </c>
    </row>
    <row r="17307">
      <c r="A17307" t="str">
        <f t="shared" si="1"/>
        <v>ven#1963</v>
      </c>
      <c r="B17307" t="str">
        <f>IFERROR(__xludf.DUMMYFUNCTION("""COMPUTED_VALUE"""),"ven")</f>
        <v>ven</v>
      </c>
      <c r="C17307" t="str">
        <f>IFERROR(__xludf.DUMMYFUNCTION("""COMPUTED_VALUE"""),"Venezuela")</f>
        <v>Venezuela</v>
      </c>
      <c r="D17307">
        <f>IFERROR(__xludf.DUMMYFUNCTION("""COMPUTED_VALUE"""),1963.0)</f>
        <v>1963</v>
      </c>
      <c r="E17307">
        <f>IFERROR(__xludf.DUMMYFUNCTION("""COMPUTED_VALUE"""),9130349.0)</f>
        <v>9130349</v>
      </c>
    </row>
    <row r="17308">
      <c r="A17308" t="str">
        <f t="shared" si="1"/>
        <v>ven#1964</v>
      </c>
      <c r="B17308" t="str">
        <f>IFERROR(__xludf.DUMMYFUNCTION("""COMPUTED_VALUE"""),"ven")</f>
        <v>ven</v>
      </c>
      <c r="C17308" t="str">
        <f>IFERROR(__xludf.DUMMYFUNCTION("""COMPUTED_VALUE"""),"Venezuela")</f>
        <v>Venezuela</v>
      </c>
      <c r="D17308">
        <f>IFERROR(__xludf.DUMMYFUNCTION("""COMPUTED_VALUE"""),1964.0)</f>
        <v>1964</v>
      </c>
      <c r="E17308">
        <f>IFERROR(__xludf.DUMMYFUNCTION("""COMPUTED_VALUE"""),9476252.0)</f>
        <v>9476252</v>
      </c>
    </row>
    <row r="17309">
      <c r="A17309" t="str">
        <f t="shared" si="1"/>
        <v>ven#1965</v>
      </c>
      <c r="B17309" t="str">
        <f>IFERROR(__xludf.DUMMYFUNCTION("""COMPUTED_VALUE"""),"ven")</f>
        <v>ven</v>
      </c>
      <c r="C17309" t="str">
        <f>IFERROR(__xludf.DUMMYFUNCTION("""COMPUTED_VALUE"""),"Venezuela")</f>
        <v>Venezuela</v>
      </c>
      <c r="D17309">
        <f>IFERROR(__xludf.DUMMYFUNCTION("""COMPUTED_VALUE"""),1965.0)</f>
        <v>1965</v>
      </c>
      <c r="E17309">
        <f>IFERROR(__xludf.DUMMYFUNCTION("""COMPUTED_VALUE"""),9824692.0)</f>
        <v>9824692</v>
      </c>
    </row>
    <row r="17310">
      <c r="A17310" t="str">
        <f t="shared" si="1"/>
        <v>ven#1966</v>
      </c>
      <c r="B17310" t="str">
        <f>IFERROR(__xludf.DUMMYFUNCTION("""COMPUTED_VALUE"""),"ven")</f>
        <v>ven</v>
      </c>
      <c r="C17310" t="str">
        <f>IFERROR(__xludf.DUMMYFUNCTION("""COMPUTED_VALUE"""),"Venezuela")</f>
        <v>Venezuela</v>
      </c>
      <c r="D17310">
        <f>IFERROR(__xludf.DUMMYFUNCTION("""COMPUTED_VALUE"""),1966.0)</f>
        <v>1966</v>
      </c>
      <c r="E17310">
        <f>IFERROR(__xludf.DUMMYFUNCTION("""COMPUTED_VALUE"""),1.017514E7)</f>
        <v>10175140</v>
      </c>
    </row>
    <row r="17311">
      <c r="A17311" t="str">
        <f t="shared" si="1"/>
        <v>ven#1967</v>
      </c>
      <c r="B17311" t="str">
        <f>IFERROR(__xludf.DUMMYFUNCTION("""COMPUTED_VALUE"""),"ven")</f>
        <v>ven</v>
      </c>
      <c r="C17311" t="str">
        <f>IFERROR(__xludf.DUMMYFUNCTION("""COMPUTED_VALUE"""),"Venezuela")</f>
        <v>Venezuela</v>
      </c>
      <c r="D17311">
        <f>IFERROR(__xludf.DUMMYFUNCTION("""COMPUTED_VALUE"""),1967.0)</f>
        <v>1967</v>
      </c>
      <c r="E17311">
        <f>IFERROR(__xludf.DUMMYFUNCTION("""COMPUTED_VALUE"""),1.0528054E7)</f>
        <v>10528054</v>
      </c>
    </row>
    <row r="17312">
      <c r="A17312" t="str">
        <f t="shared" si="1"/>
        <v>ven#1968</v>
      </c>
      <c r="B17312" t="str">
        <f>IFERROR(__xludf.DUMMYFUNCTION("""COMPUTED_VALUE"""),"ven")</f>
        <v>ven</v>
      </c>
      <c r="C17312" t="str">
        <f>IFERROR(__xludf.DUMMYFUNCTION("""COMPUTED_VALUE"""),"Venezuela")</f>
        <v>Venezuela</v>
      </c>
      <c r="D17312">
        <f>IFERROR(__xludf.DUMMYFUNCTION("""COMPUTED_VALUE"""),1968.0)</f>
        <v>1968</v>
      </c>
      <c r="E17312">
        <f>IFERROR(__xludf.DUMMYFUNCTION("""COMPUTED_VALUE"""),1.0881995E7)</f>
        <v>10881995</v>
      </c>
    </row>
    <row r="17313">
      <c r="A17313" t="str">
        <f t="shared" si="1"/>
        <v>ven#1969</v>
      </c>
      <c r="B17313" t="str">
        <f>IFERROR(__xludf.DUMMYFUNCTION("""COMPUTED_VALUE"""),"ven")</f>
        <v>ven</v>
      </c>
      <c r="C17313" t="str">
        <f>IFERROR(__xludf.DUMMYFUNCTION("""COMPUTED_VALUE"""),"Venezuela")</f>
        <v>Venezuela</v>
      </c>
      <c r="D17313">
        <f>IFERROR(__xludf.DUMMYFUNCTION("""COMPUTED_VALUE"""),1969.0)</f>
        <v>1969</v>
      </c>
      <c r="E17313">
        <f>IFERROR(__xludf.DUMMYFUNCTION("""COMPUTED_VALUE"""),1.1235491E7)</f>
        <v>11235491</v>
      </c>
    </row>
    <row r="17314">
      <c r="A17314" t="str">
        <f t="shared" si="1"/>
        <v>ven#1970</v>
      </c>
      <c r="B17314" t="str">
        <f>IFERROR(__xludf.DUMMYFUNCTION("""COMPUTED_VALUE"""),"ven")</f>
        <v>ven</v>
      </c>
      <c r="C17314" t="str">
        <f>IFERROR(__xludf.DUMMYFUNCTION("""COMPUTED_VALUE"""),"Venezuela")</f>
        <v>Venezuela</v>
      </c>
      <c r="D17314">
        <f>IFERROR(__xludf.DUMMYFUNCTION("""COMPUTED_VALUE"""),1970.0)</f>
        <v>1970</v>
      </c>
      <c r="E17314">
        <f>IFERROR(__xludf.DUMMYFUNCTION("""COMPUTED_VALUE"""),1.1587761E7)</f>
        <v>11587761</v>
      </c>
    </row>
    <row r="17315">
      <c r="A17315" t="str">
        <f t="shared" si="1"/>
        <v>ven#1971</v>
      </c>
      <c r="B17315" t="str">
        <f>IFERROR(__xludf.DUMMYFUNCTION("""COMPUTED_VALUE"""),"ven")</f>
        <v>ven</v>
      </c>
      <c r="C17315" t="str">
        <f>IFERROR(__xludf.DUMMYFUNCTION("""COMPUTED_VALUE"""),"Venezuela")</f>
        <v>Venezuela</v>
      </c>
      <c r="D17315">
        <f>IFERROR(__xludf.DUMMYFUNCTION("""COMPUTED_VALUE"""),1971.0)</f>
        <v>1971</v>
      </c>
      <c r="E17315">
        <f>IFERROR(__xludf.DUMMYFUNCTION("""COMPUTED_VALUE"""),1.1937805E7)</f>
        <v>11937805</v>
      </c>
    </row>
    <row r="17316">
      <c r="A17316" t="str">
        <f t="shared" si="1"/>
        <v>ven#1972</v>
      </c>
      <c r="B17316" t="str">
        <f>IFERROR(__xludf.DUMMYFUNCTION("""COMPUTED_VALUE"""),"ven")</f>
        <v>ven</v>
      </c>
      <c r="C17316" t="str">
        <f>IFERROR(__xludf.DUMMYFUNCTION("""COMPUTED_VALUE"""),"Venezuela")</f>
        <v>Venezuela</v>
      </c>
      <c r="D17316">
        <f>IFERROR(__xludf.DUMMYFUNCTION("""COMPUTED_VALUE"""),1972.0)</f>
        <v>1972</v>
      </c>
      <c r="E17316">
        <f>IFERROR(__xludf.DUMMYFUNCTION("""COMPUTED_VALUE"""),1.2286439E7)</f>
        <v>12286439</v>
      </c>
    </row>
    <row r="17317">
      <c r="A17317" t="str">
        <f t="shared" si="1"/>
        <v>ven#1973</v>
      </c>
      <c r="B17317" t="str">
        <f>IFERROR(__xludf.DUMMYFUNCTION("""COMPUTED_VALUE"""),"ven")</f>
        <v>ven</v>
      </c>
      <c r="C17317" t="str">
        <f>IFERROR(__xludf.DUMMYFUNCTION("""COMPUTED_VALUE"""),"Venezuela")</f>
        <v>Venezuela</v>
      </c>
      <c r="D17317">
        <f>IFERROR(__xludf.DUMMYFUNCTION("""COMPUTED_VALUE"""),1973.0)</f>
        <v>1973</v>
      </c>
      <c r="E17317">
        <f>IFERROR(__xludf.DUMMYFUNCTION("""COMPUTED_VALUE"""),1.2636969E7)</f>
        <v>12636969</v>
      </c>
    </row>
    <row r="17318">
      <c r="A17318" t="str">
        <f t="shared" si="1"/>
        <v>ven#1974</v>
      </c>
      <c r="B17318" t="str">
        <f>IFERROR(__xludf.DUMMYFUNCTION("""COMPUTED_VALUE"""),"ven")</f>
        <v>ven</v>
      </c>
      <c r="C17318" t="str">
        <f>IFERROR(__xludf.DUMMYFUNCTION("""COMPUTED_VALUE"""),"Venezuela")</f>
        <v>Venezuela</v>
      </c>
      <c r="D17318">
        <f>IFERROR(__xludf.DUMMYFUNCTION("""COMPUTED_VALUE"""),1974.0)</f>
        <v>1974</v>
      </c>
      <c r="E17318">
        <f>IFERROR(__xludf.DUMMYFUNCTION("""COMPUTED_VALUE"""),1.2994025E7)</f>
        <v>12994025</v>
      </c>
    </row>
    <row r="17319">
      <c r="A17319" t="str">
        <f t="shared" si="1"/>
        <v>ven#1975</v>
      </c>
      <c r="B17319" t="str">
        <f>IFERROR(__xludf.DUMMYFUNCTION("""COMPUTED_VALUE"""),"ven")</f>
        <v>ven</v>
      </c>
      <c r="C17319" t="str">
        <f>IFERROR(__xludf.DUMMYFUNCTION("""COMPUTED_VALUE"""),"Venezuela")</f>
        <v>Venezuela</v>
      </c>
      <c r="D17319">
        <f>IFERROR(__xludf.DUMMYFUNCTION("""COMPUTED_VALUE"""),1975.0)</f>
        <v>1975</v>
      </c>
      <c r="E17319">
        <f>IFERROR(__xludf.DUMMYFUNCTION("""COMPUTED_VALUE"""),1.3360987E7)</f>
        <v>13360987</v>
      </c>
    </row>
    <row r="17320">
      <c r="A17320" t="str">
        <f t="shared" si="1"/>
        <v>ven#1976</v>
      </c>
      <c r="B17320" t="str">
        <f>IFERROR(__xludf.DUMMYFUNCTION("""COMPUTED_VALUE"""),"ven")</f>
        <v>ven</v>
      </c>
      <c r="C17320" t="str">
        <f>IFERROR(__xludf.DUMMYFUNCTION("""COMPUTED_VALUE"""),"Venezuela")</f>
        <v>Venezuela</v>
      </c>
      <c r="D17320">
        <f>IFERROR(__xludf.DUMMYFUNCTION("""COMPUTED_VALUE"""),1976.0)</f>
        <v>1976</v>
      </c>
      <c r="E17320">
        <f>IFERROR(__xludf.DUMMYFUNCTION("""COMPUTED_VALUE"""),1.3739142E7)</f>
        <v>13739142</v>
      </c>
    </row>
    <row r="17321">
      <c r="A17321" t="str">
        <f t="shared" si="1"/>
        <v>ven#1977</v>
      </c>
      <c r="B17321" t="str">
        <f>IFERROR(__xludf.DUMMYFUNCTION("""COMPUTED_VALUE"""),"ven")</f>
        <v>ven</v>
      </c>
      <c r="C17321" t="str">
        <f>IFERROR(__xludf.DUMMYFUNCTION("""COMPUTED_VALUE"""),"Venezuela")</f>
        <v>Venezuela</v>
      </c>
      <c r="D17321">
        <f>IFERROR(__xludf.DUMMYFUNCTION("""COMPUTED_VALUE"""),1977.0)</f>
        <v>1977</v>
      </c>
      <c r="E17321">
        <f>IFERROR(__xludf.DUMMYFUNCTION("""COMPUTED_VALUE"""),1.4127787E7)</f>
        <v>14127787</v>
      </c>
    </row>
    <row r="17322">
      <c r="A17322" t="str">
        <f t="shared" si="1"/>
        <v>ven#1978</v>
      </c>
      <c r="B17322" t="str">
        <f>IFERROR(__xludf.DUMMYFUNCTION("""COMPUTED_VALUE"""),"ven")</f>
        <v>ven</v>
      </c>
      <c r="C17322" t="str">
        <f>IFERROR(__xludf.DUMMYFUNCTION("""COMPUTED_VALUE"""),"Venezuela")</f>
        <v>Venezuela</v>
      </c>
      <c r="D17322">
        <f>IFERROR(__xludf.DUMMYFUNCTION("""COMPUTED_VALUE"""),1978.0)</f>
        <v>1978</v>
      </c>
      <c r="E17322">
        <f>IFERROR(__xludf.DUMMYFUNCTION("""COMPUTED_VALUE"""),1.4525931E7)</f>
        <v>14525931</v>
      </c>
    </row>
    <row r="17323">
      <c r="A17323" t="str">
        <f t="shared" si="1"/>
        <v>ven#1979</v>
      </c>
      <c r="B17323" t="str">
        <f>IFERROR(__xludf.DUMMYFUNCTION("""COMPUTED_VALUE"""),"ven")</f>
        <v>ven</v>
      </c>
      <c r="C17323" t="str">
        <f>IFERROR(__xludf.DUMMYFUNCTION("""COMPUTED_VALUE"""),"Venezuela")</f>
        <v>Venezuela</v>
      </c>
      <c r="D17323">
        <f>IFERROR(__xludf.DUMMYFUNCTION("""COMPUTED_VALUE"""),1979.0)</f>
        <v>1979</v>
      </c>
      <c r="E17323">
        <f>IFERROR(__xludf.DUMMYFUNCTION("""COMPUTED_VALUE"""),1.4931739E7)</f>
        <v>14931739</v>
      </c>
    </row>
    <row r="17324">
      <c r="A17324" t="str">
        <f t="shared" si="1"/>
        <v>ven#1980</v>
      </c>
      <c r="B17324" t="str">
        <f>IFERROR(__xludf.DUMMYFUNCTION("""COMPUTED_VALUE"""),"ven")</f>
        <v>ven</v>
      </c>
      <c r="C17324" t="str">
        <f>IFERROR(__xludf.DUMMYFUNCTION("""COMPUTED_VALUE"""),"Venezuela")</f>
        <v>Venezuela</v>
      </c>
      <c r="D17324">
        <f>IFERROR(__xludf.DUMMYFUNCTION("""COMPUTED_VALUE"""),1980.0)</f>
        <v>1980</v>
      </c>
      <c r="E17324">
        <f>IFERROR(__xludf.DUMMYFUNCTION("""COMPUTED_VALUE"""),1.5343916E7)</f>
        <v>15343916</v>
      </c>
    </row>
    <row r="17325">
      <c r="A17325" t="str">
        <f t="shared" si="1"/>
        <v>ven#1981</v>
      </c>
      <c r="B17325" t="str">
        <f>IFERROR(__xludf.DUMMYFUNCTION("""COMPUTED_VALUE"""),"ven")</f>
        <v>ven</v>
      </c>
      <c r="C17325" t="str">
        <f>IFERROR(__xludf.DUMMYFUNCTION("""COMPUTED_VALUE"""),"Venezuela")</f>
        <v>Venezuela</v>
      </c>
      <c r="D17325">
        <f>IFERROR(__xludf.DUMMYFUNCTION("""COMPUTED_VALUE"""),1981.0)</f>
        <v>1981</v>
      </c>
      <c r="E17325">
        <f>IFERROR(__xludf.DUMMYFUNCTION("""COMPUTED_VALUE"""),1.5761799E7)</f>
        <v>15761799</v>
      </c>
    </row>
    <row r="17326">
      <c r="A17326" t="str">
        <f t="shared" si="1"/>
        <v>ven#1982</v>
      </c>
      <c r="B17326" t="str">
        <f>IFERROR(__xludf.DUMMYFUNCTION("""COMPUTED_VALUE"""),"ven")</f>
        <v>ven</v>
      </c>
      <c r="C17326" t="str">
        <f>IFERROR(__xludf.DUMMYFUNCTION("""COMPUTED_VALUE"""),"Venezuela")</f>
        <v>Venezuela</v>
      </c>
      <c r="D17326">
        <f>IFERROR(__xludf.DUMMYFUNCTION("""COMPUTED_VALUE"""),1982.0)</f>
        <v>1982</v>
      </c>
      <c r="E17326">
        <f>IFERROR(__xludf.DUMMYFUNCTION("""COMPUTED_VALUE"""),1.6185894E7)</f>
        <v>16185894</v>
      </c>
    </row>
    <row r="17327">
      <c r="A17327" t="str">
        <f t="shared" si="1"/>
        <v>ven#1983</v>
      </c>
      <c r="B17327" t="str">
        <f>IFERROR(__xludf.DUMMYFUNCTION("""COMPUTED_VALUE"""),"ven")</f>
        <v>ven</v>
      </c>
      <c r="C17327" t="str">
        <f>IFERROR(__xludf.DUMMYFUNCTION("""COMPUTED_VALUE"""),"Venezuela")</f>
        <v>Venezuela</v>
      </c>
      <c r="D17327">
        <f>IFERROR(__xludf.DUMMYFUNCTION("""COMPUTED_VALUE"""),1983.0)</f>
        <v>1983</v>
      </c>
      <c r="E17327">
        <f>IFERROR(__xludf.DUMMYFUNCTION("""COMPUTED_VALUE"""),1.6617346E7)</f>
        <v>16617346</v>
      </c>
    </row>
    <row r="17328">
      <c r="A17328" t="str">
        <f t="shared" si="1"/>
        <v>ven#1984</v>
      </c>
      <c r="B17328" t="str">
        <f>IFERROR(__xludf.DUMMYFUNCTION("""COMPUTED_VALUE"""),"ven")</f>
        <v>ven</v>
      </c>
      <c r="C17328" t="str">
        <f>IFERROR(__xludf.DUMMYFUNCTION("""COMPUTED_VALUE"""),"Venezuela")</f>
        <v>Venezuela</v>
      </c>
      <c r="D17328">
        <f>IFERROR(__xludf.DUMMYFUNCTION("""COMPUTED_VALUE"""),1984.0)</f>
        <v>1984</v>
      </c>
      <c r="E17328">
        <f>IFERROR(__xludf.DUMMYFUNCTION("""COMPUTED_VALUE"""),1.7057785E7)</f>
        <v>17057785</v>
      </c>
    </row>
    <row r="17329">
      <c r="A17329" t="str">
        <f t="shared" si="1"/>
        <v>ven#1985</v>
      </c>
      <c r="B17329" t="str">
        <f>IFERROR(__xludf.DUMMYFUNCTION("""COMPUTED_VALUE"""),"ven")</f>
        <v>ven</v>
      </c>
      <c r="C17329" t="str">
        <f>IFERROR(__xludf.DUMMYFUNCTION("""COMPUTED_VALUE"""),"Venezuela")</f>
        <v>Venezuela</v>
      </c>
      <c r="D17329">
        <f>IFERROR(__xludf.DUMMYFUNCTION("""COMPUTED_VALUE"""),1985.0)</f>
        <v>1985</v>
      </c>
      <c r="E17329">
        <f>IFERROR(__xludf.DUMMYFUNCTION("""COMPUTED_VALUE"""),1.7508059E7)</f>
        <v>17508059</v>
      </c>
    </row>
    <row r="17330">
      <c r="A17330" t="str">
        <f t="shared" si="1"/>
        <v>ven#1986</v>
      </c>
      <c r="B17330" t="str">
        <f>IFERROR(__xludf.DUMMYFUNCTION("""COMPUTED_VALUE"""),"ven")</f>
        <v>ven</v>
      </c>
      <c r="C17330" t="str">
        <f>IFERROR(__xludf.DUMMYFUNCTION("""COMPUTED_VALUE"""),"Venezuela")</f>
        <v>Venezuela</v>
      </c>
      <c r="D17330">
        <f>IFERROR(__xludf.DUMMYFUNCTION("""COMPUTED_VALUE"""),1986.0)</f>
        <v>1986</v>
      </c>
      <c r="E17330">
        <f>IFERROR(__xludf.DUMMYFUNCTION("""COMPUTED_VALUE"""),1.7968552E7)</f>
        <v>17968552</v>
      </c>
    </row>
    <row r="17331">
      <c r="A17331" t="str">
        <f t="shared" si="1"/>
        <v>ven#1987</v>
      </c>
      <c r="B17331" t="str">
        <f>IFERROR(__xludf.DUMMYFUNCTION("""COMPUTED_VALUE"""),"ven")</f>
        <v>ven</v>
      </c>
      <c r="C17331" t="str">
        <f>IFERROR(__xludf.DUMMYFUNCTION("""COMPUTED_VALUE"""),"Venezuela")</f>
        <v>Venezuela</v>
      </c>
      <c r="D17331">
        <f>IFERROR(__xludf.DUMMYFUNCTION("""COMPUTED_VALUE"""),1987.0)</f>
        <v>1987</v>
      </c>
      <c r="E17331">
        <f>IFERROR(__xludf.DUMMYFUNCTION("""COMPUTED_VALUE"""),1.8437794E7)</f>
        <v>18437794</v>
      </c>
    </row>
    <row r="17332">
      <c r="A17332" t="str">
        <f t="shared" si="1"/>
        <v>ven#1988</v>
      </c>
      <c r="B17332" t="str">
        <f>IFERROR(__xludf.DUMMYFUNCTION("""COMPUTED_VALUE"""),"ven")</f>
        <v>ven</v>
      </c>
      <c r="C17332" t="str">
        <f>IFERROR(__xludf.DUMMYFUNCTION("""COMPUTED_VALUE"""),"Venezuela")</f>
        <v>Venezuela</v>
      </c>
      <c r="D17332">
        <f>IFERROR(__xludf.DUMMYFUNCTION("""COMPUTED_VALUE"""),1988.0)</f>
        <v>1988</v>
      </c>
      <c r="E17332">
        <f>IFERROR(__xludf.DUMMYFUNCTION("""COMPUTED_VALUE"""),1.8912526E7)</f>
        <v>18912526</v>
      </c>
    </row>
    <row r="17333">
      <c r="A17333" t="str">
        <f t="shared" si="1"/>
        <v>ven#1989</v>
      </c>
      <c r="B17333" t="str">
        <f>IFERROR(__xludf.DUMMYFUNCTION("""COMPUTED_VALUE"""),"ven")</f>
        <v>ven</v>
      </c>
      <c r="C17333" t="str">
        <f>IFERROR(__xludf.DUMMYFUNCTION("""COMPUTED_VALUE"""),"Venezuela")</f>
        <v>Venezuela</v>
      </c>
      <c r="D17333">
        <f>IFERROR(__xludf.DUMMYFUNCTION("""COMPUTED_VALUE"""),1989.0)</f>
        <v>1989</v>
      </c>
      <c r="E17333">
        <f>IFERROR(__xludf.DUMMYFUNCTION("""COMPUTED_VALUE"""),1.9388342E7)</f>
        <v>19388342</v>
      </c>
    </row>
    <row r="17334">
      <c r="A17334" t="str">
        <f t="shared" si="1"/>
        <v>ven#1990</v>
      </c>
      <c r="B17334" t="str">
        <f>IFERROR(__xludf.DUMMYFUNCTION("""COMPUTED_VALUE"""),"ven")</f>
        <v>ven</v>
      </c>
      <c r="C17334" t="str">
        <f>IFERROR(__xludf.DUMMYFUNCTION("""COMPUTED_VALUE"""),"Venezuela")</f>
        <v>Venezuela</v>
      </c>
      <c r="D17334">
        <f>IFERROR(__xludf.DUMMYFUNCTION("""COMPUTED_VALUE"""),1990.0)</f>
        <v>1990</v>
      </c>
      <c r="E17334">
        <f>IFERROR(__xludf.DUMMYFUNCTION("""COMPUTED_VALUE"""),1.9861956E7)</f>
        <v>19861956</v>
      </c>
    </row>
    <row r="17335">
      <c r="A17335" t="str">
        <f t="shared" si="1"/>
        <v>ven#1991</v>
      </c>
      <c r="B17335" t="str">
        <f>IFERROR(__xludf.DUMMYFUNCTION("""COMPUTED_VALUE"""),"ven")</f>
        <v>ven</v>
      </c>
      <c r="C17335" t="str">
        <f>IFERROR(__xludf.DUMMYFUNCTION("""COMPUTED_VALUE"""),"Venezuela")</f>
        <v>Venezuela</v>
      </c>
      <c r="D17335">
        <f>IFERROR(__xludf.DUMMYFUNCTION("""COMPUTED_VALUE"""),1991.0)</f>
        <v>1991</v>
      </c>
      <c r="E17335">
        <f>IFERROR(__xludf.DUMMYFUNCTION("""COMPUTED_VALUE"""),2.0332079E7)</f>
        <v>20332079</v>
      </c>
    </row>
    <row r="17336">
      <c r="A17336" t="str">
        <f t="shared" si="1"/>
        <v>ven#1992</v>
      </c>
      <c r="B17336" t="str">
        <f>IFERROR(__xludf.DUMMYFUNCTION("""COMPUTED_VALUE"""),"ven")</f>
        <v>ven</v>
      </c>
      <c r="C17336" t="str">
        <f>IFERROR(__xludf.DUMMYFUNCTION("""COMPUTED_VALUE"""),"Venezuela")</f>
        <v>Venezuela</v>
      </c>
      <c r="D17336">
        <f>IFERROR(__xludf.DUMMYFUNCTION("""COMPUTED_VALUE"""),1992.0)</f>
        <v>1992</v>
      </c>
      <c r="E17336">
        <f>IFERROR(__xludf.DUMMYFUNCTION("""COMPUTED_VALUE"""),2.0799075E7)</f>
        <v>20799075</v>
      </c>
    </row>
    <row r="17337">
      <c r="A17337" t="str">
        <f t="shared" si="1"/>
        <v>ven#1993</v>
      </c>
      <c r="B17337" t="str">
        <f>IFERROR(__xludf.DUMMYFUNCTION("""COMPUTED_VALUE"""),"ven")</f>
        <v>ven</v>
      </c>
      <c r="C17337" t="str">
        <f>IFERROR(__xludf.DUMMYFUNCTION("""COMPUTED_VALUE"""),"Venezuela")</f>
        <v>Venezuela</v>
      </c>
      <c r="D17337">
        <f>IFERROR(__xludf.DUMMYFUNCTION("""COMPUTED_VALUE"""),1993.0)</f>
        <v>1993</v>
      </c>
      <c r="E17337">
        <f>IFERROR(__xludf.DUMMYFUNCTION("""COMPUTED_VALUE"""),2.1263443E7)</f>
        <v>21263443</v>
      </c>
    </row>
    <row r="17338">
      <c r="A17338" t="str">
        <f t="shared" si="1"/>
        <v>ven#1994</v>
      </c>
      <c r="B17338" t="str">
        <f>IFERROR(__xludf.DUMMYFUNCTION("""COMPUTED_VALUE"""),"ven")</f>
        <v>ven</v>
      </c>
      <c r="C17338" t="str">
        <f>IFERROR(__xludf.DUMMYFUNCTION("""COMPUTED_VALUE"""),"Venezuela")</f>
        <v>Venezuela</v>
      </c>
      <c r="D17338">
        <f>IFERROR(__xludf.DUMMYFUNCTION("""COMPUTED_VALUE"""),1994.0)</f>
        <v>1994</v>
      </c>
      <c r="E17338">
        <f>IFERROR(__xludf.DUMMYFUNCTION("""COMPUTED_VALUE"""),2.1726352E7)</f>
        <v>21726352</v>
      </c>
    </row>
    <row r="17339">
      <c r="A17339" t="str">
        <f t="shared" si="1"/>
        <v>ven#1995</v>
      </c>
      <c r="B17339" t="str">
        <f>IFERROR(__xludf.DUMMYFUNCTION("""COMPUTED_VALUE"""),"ven")</f>
        <v>ven</v>
      </c>
      <c r="C17339" t="str">
        <f>IFERROR(__xludf.DUMMYFUNCTION("""COMPUTED_VALUE"""),"Venezuela")</f>
        <v>Venezuela</v>
      </c>
      <c r="D17339">
        <f>IFERROR(__xludf.DUMMYFUNCTION("""COMPUTED_VALUE"""),1995.0)</f>
        <v>1995</v>
      </c>
      <c r="E17339">
        <f>IFERROR(__xludf.DUMMYFUNCTION("""COMPUTED_VALUE"""),2.2188667E7)</f>
        <v>22188667</v>
      </c>
    </row>
    <row r="17340">
      <c r="A17340" t="str">
        <f t="shared" si="1"/>
        <v>ven#1996</v>
      </c>
      <c r="B17340" t="str">
        <f>IFERROR(__xludf.DUMMYFUNCTION("""COMPUTED_VALUE"""),"ven")</f>
        <v>ven</v>
      </c>
      <c r="C17340" t="str">
        <f>IFERROR(__xludf.DUMMYFUNCTION("""COMPUTED_VALUE"""),"Venezuela")</f>
        <v>Venezuela</v>
      </c>
      <c r="D17340">
        <f>IFERROR(__xludf.DUMMYFUNCTION("""COMPUTED_VALUE"""),1996.0)</f>
        <v>1996</v>
      </c>
      <c r="E17340">
        <f>IFERROR(__xludf.DUMMYFUNCTION("""COMPUTED_VALUE"""),2.2650102E7)</f>
        <v>22650102</v>
      </c>
    </row>
    <row r="17341">
      <c r="A17341" t="str">
        <f t="shared" si="1"/>
        <v>ven#1997</v>
      </c>
      <c r="B17341" t="str">
        <f>IFERROR(__xludf.DUMMYFUNCTION("""COMPUTED_VALUE"""),"ven")</f>
        <v>ven</v>
      </c>
      <c r="C17341" t="str">
        <f>IFERROR(__xludf.DUMMYFUNCTION("""COMPUTED_VALUE"""),"Venezuela")</f>
        <v>Venezuela</v>
      </c>
      <c r="D17341">
        <f>IFERROR(__xludf.DUMMYFUNCTION("""COMPUTED_VALUE"""),1997.0)</f>
        <v>1997</v>
      </c>
      <c r="E17341">
        <f>IFERROR(__xludf.DUMMYFUNCTION("""COMPUTED_VALUE"""),2.3110178E7)</f>
        <v>23110178</v>
      </c>
    </row>
    <row r="17342">
      <c r="A17342" t="str">
        <f t="shared" si="1"/>
        <v>ven#1998</v>
      </c>
      <c r="B17342" t="str">
        <f>IFERROR(__xludf.DUMMYFUNCTION("""COMPUTED_VALUE"""),"ven")</f>
        <v>ven</v>
      </c>
      <c r="C17342" t="str">
        <f>IFERROR(__xludf.DUMMYFUNCTION("""COMPUTED_VALUE"""),"Venezuela")</f>
        <v>Venezuela</v>
      </c>
      <c r="D17342">
        <f>IFERROR(__xludf.DUMMYFUNCTION("""COMPUTED_VALUE"""),1998.0)</f>
        <v>1998</v>
      </c>
      <c r="E17342">
        <f>IFERROR(__xludf.DUMMYFUNCTION("""COMPUTED_VALUE"""),2.3569454E7)</f>
        <v>23569454</v>
      </c>
    </row>
    <row r="17343">
      <c r="A17343" t="str">
        <f t="shared" si="1"/>
        <v>ven#1999</v>
      </c>
      <c r="B17343" t="str">
        <f>IFERROR(__xludf.DUMMYFUNCTION("""COMPUTED_VALUE"""),"ven")</f>
        <v>ven</v>
      </c>
      <c r="C17343" t="str">
        <f>IFERROR(__xludf.DUMMYFUNCTION("""COMPUTED_VALUE"""),"Venezuela")</f>
        <v>Venezuela</v>
      </c>
      <c r="D17343">
        <f>IFERROR(__xludf.DUMMYFUNCTION("""COMPUTED_VALUE"""),1999.0)</f>
        <v>1999</v>
      </c>
      <c r="E17343">
        <f>IFERROR(__xludf.DUMMYFUNCTION("""COMPUTED_VALUE"""),2.4028689E7)</f>
        <v>24028689</v>
      </c>
    </row>
    <row r="17344">
      <c r="A17344" t="str">
        <f t="shared" si="1"/>
        <v>ven#2000</v>
      </c>
      <c r="B17344" t="str">
        <f>IFERROR(__xludf.DUMMYFUNCTION("""COMPUTED_VALUE"""),"ven")</f>
        <v>ven</v>
      </c>
      <c r="C17344" t="str">
        <f>IFERROR(__xludf.DUMMYFUNCTION("""COMPUTED_VALUE"""),"Venezuela")</f>
        <v>Venezuela</v>
      </c>
      <c r="D17344">
        <f>IFERROR(__xludf.DUMMYFUNCTION("""COMPUTED_VALUE"""),2000.0)</f>
        <v>2000</v>
      </c>
      <c r="E17344">
        <f>IFERROR(__xludf.DUMMYFUNCTION("""COMPUTED_VALUE"""),2.448834E7)</f>
        <v>24488340</v>
      </c>
    </row>
    <row r="17345">
      <c r="A17345" t="str">
        <f t="shared" si="1"/>
        <v>ven#2001</v>
      </c>
      <c r="B17345" t="str">
        <f>IFERROR(__xludf.DUMMYFUNCTION("""COMPUTED_VALUE"""),"ven")</f>
        <v>ven</v>
      </c>
      <c r="C17345" t="str">
        <f>IFERROR(__xludf.DUMMYFUNCTION("""COMPUTED_VALUE"""),"Venezuela")</f>
        <v>Venezuela</v>
      </c>
      <c r="D17345">
        <f>IFERROR(__xludf.DUMMYFUNCTION("""COMPUTED_VALUE"""),2001.0)</f>
        <v>2001</v>
      </c>
      <c r="E17345">
        <f>IFERROR(__xludf.DUMMYFUNCTION("""COMPUTED_VALUE"""),2.4948476E7)</f>
        <v>24948476</v>
      </c>
    </row>
    <row r="17346">
      <c r="A17346" t="str">
        <f t="shared" si="1"/>
        <v>ven#2002</v>
      </c>
      <c r="B17346" t="str">
        <f>IFERROR(__xludf.DUMMYFUNCTION("""COMPUTED_VALUE"""),"ven")</f>
        <v>ven</v>
      </c>
      <c r="C17346" t="str">
        <f>IFERROR(__xludf.DUMMYFUNCTION("""COMPUTED_VALUE"""),"Venezuela")</f>
        <v>Venezuela</v>
      </c>
      <c r="D17346">
        <f>IFERROR(__xludf.DUMMYFUNCTION("""COMPUTED_VALUE"""),2002.0)</f>
        <v>2002</v>
      </c>
      <c r="E17346">
        <f>IFERROR(__xludf.DUMMYFUNCTION("""COMPUTED_VALUE"""),2.54087E7)</f>
        <v>25408700</v>
      </c>
    </row>
    <row r="17347">
      <c r="A17347" t="str">
        <f t="shared" si="1"/>
        <v>ven#2003</v>
      </c>
      <c r="B17347" t="str">
        <f>IFERROR(__xludf.DUMMYFUNCTION("""COMPUTED_VALUE"""),"ven")</f>
        <v>ven</v>
      </c>
      <c r="C17347" t="str">
        <f>IFERROR(__xludf.DUMMYFUNCTION("""COMPUTED_VALUE"""),"Venezuela")</f>
        <v>Venezuela</v>
      </c>
      <c r="D17347">
        <f>IFERROR(__xludf.DUMMYFUNCTION("""COMPUTED_VALUE"""),2003.0)</f>
        <v>2003</v>
      </c>
      <c r="E17347">
        <f>IFERROR(__xludf.DUMMYFUNCTION("""COMPUTED_VALUE"""),2.5868523E7)</f>
        <v>25868523</v>
      </c>
    </row>
    <row r="17348">
      <c r="A17348" t="str">
        <f t="shared" si="1"/>
        <v>ven#2004</v>
      </c>
      <c r="B17348" t="str">
        <f>IFERROR(__xludf.DUMMYFUNCTION("""COMPUTED_VALUE"""),"ven")</f>
        <v>ven</v>
      </c>
      <c r="C17348" t="str">
        <f>IFERROR(__xludf.DUMMYFUNCTION("""COMPUTED_VALUE"""),"Venezuela")</f>
        <v>Venezuela</v>
      </c>
      <c r="D17348">
        <f>IFERROR(__xludf.DUMMYFUNCTION("""COMPUTED_VALUE"""),2004.0)</f>
        <v>2004</v>
      </c>
      <c r="E17348">
        <f>IFERROR(__xludf.DUMMYFUNCTION("""COMPUTED_VALUE"""),2.6327225E7)</f>
        <v>26327225</v>
      </c>
    </row>
    <row r="17349">
      <c r="A17349" t="str">
        <f t="shared" si="1"/>
        <v>ven#2005</v>
      </c>
      <c r="B17349" t="str">
        <f>IFERROR(__xludf.DUMMYFUNCTION("""COMPUTED_VALUE"""),"ven")</f>
        <v>ven</v>
      </c>
      <c r="C17349" t="str">
        <f>IFERROR(__xludf.DUMMYFUNCTION("""COMPUTED_VALUE"""),"Venezuela")</f>
        <v>Venezuela</v>
      </c>
      <c r="D17349">
        <f>IFERROR(__xludf.DUMMYFUNCTION("""COMPUTED_VALUE"""),2005.0)</f>
        <v>2005</v>
      </c>
      <c r="E17349">
        <f>IFERROR(__xludf.DUMMYFUNCTION("""COMPUTED_VALUE"""),2.6784161E7)</f>
        <v>26784161</v>
      </c>
    </row>
    <row r="17350">
      <c r="A17350" t="str">
        <f t="shared" si="1"/>
        <v>ven#2006</v>
      </c>
      <c r="B17350" t="str">
        <f>IFERROR(__xludf.DUMMYFUNCTION("""COMPUTED_VALUE"""),"ven")</f>
        <v>ven</v>
      </c>
      <c r="C17350" t="str">
        <f>IFERROR(__xludf.DUMMYFUNCTION("""COMPUTED_VALUE"""),"Venezuela")</f>
        <v>Venezuela</v>
      </c>
      <c r="D17350">
        <f>IFERROR(__xludf.DUMMYFUNCTION("""COMPUTED_VALUE"""),2006.0)</f>
        <v>2006</v>
      </c>
      <c r="E17350">
        <f>IFERROR(__xludf.DUMMYFUNCTION("""COMPUTED_VALUE"""),2.7239168E7)</f>
        <v>27239168</v>
      </c>
    </row>
    <row r="17351">
      <c r="A17351" t="str">
        <f t="shared" si="1"/>
        <v>ven#2007</v>
      </c>
      <c r="B17351" t="str">
        <f>IFERROR(__xludf.DUMMYFUNCTION("""COMPUTED_VALUE"""),"ven")</f>
        <v>ven</v>
      </c>
      <c r="C17351" t="str">
        <f>IFERROR(__xludf.DUMMYFUNCTION("""COMPUTED_VALUE"""),"Venezuela")</f>
        <v>Venezuela</v>
      </c>
      <c r="D17351">
        <f>IFERROR(__xludf.DUMMYFUNCTION("""COMPUTED_VALUE"""),2007.0)</f>
        <v>2007</v>
      </c>
      <c r="E17351">
        <f>IFERROR(__xludf.DUMMYFUNCTION("""COMPUTED_VALUE"""),2.7691965E7)</f>
        <v>27691965</v>
      </c>
    </row>
    <row r="17352">
      <c r="A17352" t="str">
        <f t="shared" si="1"/>
        <v>ven#2008</v>
      </c>
      <c r="B17352" t="str">
        <f>IFERROR(__xludf.DUMMYFUNCTION("""COMPUTED_VALUE"""),"ven")</f>
        <v>ven</v>
      </c>
      <c r="C17352" t="str">
        <f>IFERROR(__xludf.DUMMYFUNCTION("""COMPUTED_VALUE"""),"Venezuela")</f>
        <v>Venezuela</v>
      </c>
      <c r="D17352">
        <f>IFERROR(__xludf.DUMMYFUNCTION("""COMPUTED_VALUE"""),2008.0)</f>
        <v>2008</v>
      </c>
      <c r="E17352">
        <f>IFERROR(__xludf.DUMMYFUNCTION("""COMPUTED_VALUE"""),2.8141701E7)</f>
        <v>28141701</v>
      </c>
    </row>
    <row r="17353">
      <c r="A17353" t="str">
        <f t="shared" si="1"/>
        <v>ven#2009</v>
      </c>
      <c r="B17353" t="str">
        <f>IFERROR(__xludf.DUMMYFUNCTION("""COMPUTED_VALUE"""),"ven")</f>
        <v>ven</v>
      </c>
      <c r="C17353" t="str">
        <f>IFERROR(__xludf.DUMMYFUNCTION("""COMPUTED_VALUE"""),"Venezuela")</f>
        <v>Venezuela</v>
      </c>
      <c r="D17353">
        <f>IFERROR(__xludf.DUMMYFUNCTION("""COMPUTED_VALUE"""),2009.0)</f>
        <v>2009</v>
      </c>
      <c r="E17353">
        <f>IFERROR(__xludf.DUMMYFUNCTION("""COMPUTED_VALUE"""),2.8587323E7)</f>
        <v>28587323</v>
      </c>
    </row>
    <row r="17354">
      <c r="A17354" t="str">
        <f t="shared" si="1"/>
        <v>ven#2010</v>
      </c>
      <c r="B17354" t="str">
        <f>IFERROR(__xludf.DUMMYFUNCTION("""COMPUTED_VALUE"""),"ven")</f>
        <v>ven</v>
      </c>
      <c r="C17354" t="str">
        <f>IFERROR(__xludf.DUMMYFUNCTION("""COMPUTED_VALUE"""),"Venezuela")</f>
        <v>Venezuela</v>
      </c>
      <c r="D17354">
        <f>IFERROR(__xludf.DUMMYFUNCTION("""COMPUTED_VALUE"""),2010.0)</f>
        <v>2010</v>
      </c>
      <c r="E17354">
        <f>IFERROR(__xludf.DUMMYFUNCTION("""COMPUTED_VALUE"""),2.9028033E7)</f>
        <v>29028033</v>
      </c>
    </row>
    <row r="17355">
      <c r="A17355" t="str">
        <f t="shared" si="1"/>
        <v>ven#2011</v>
      </c>
      <c r="B17355" t="str">
        <f>IFERROR(__xludf.DUMMYFUNCTION("""COMPUTED_VALUE"""),"ven")</f>
        <v>ven</v>
      </c>
      <c r="C17355" t="str">
        <f>IFERROR(__xludf.DUMMYFUNCTION("""COMPUTED_VALUE"""),"Venezuela")</f>
        <v>Venezuela</v>
      </c>
      <c r="D17355">
        <f>IFERROR(__xludf.DUMMYFUNCTION("""COMPUTED_VALUE"""),2011.0)</f>
        <v>2011</v>
      </c>
      <c r="E17355">
        <f>IFERROR(__xludf.DUMMYFUNCTION("""COMPUTED_VALUE"""),2.9463291E7)</f>
        <v>29463291</v>
      </c>
    </row>
    <row r="17356">
      <c r="A17356" t="str">
        <f t="shared" si="1"/>
        <v>ven#2012</v>
      </c>
      <c r="B17356" t="str">
        <f>IFERROR(__xludf.DUMMYFUNCTION("""COMPUTED_VALUE"""),"ven")</f>
        <v>ven</v>
      </c>
      <c r="C17356" t="str">
        <f>IFERROR(__xludf.DUMMYFUNCTION("""COMPUTED_VALUE"""),"Venezuela")</f>
        <v>Venezuela</v>
      </c>
      <c r="D17356">
        <f>IFERROR(__xludf.DUMMYFUNCTION("""COMPUTED_VALUE"""),2012.0)</f>
        <v>2012</v>
      </c>
      <c r="E17356">
        <f>IFERROR(__xludf.DUMMYFUNCTION("""COMPUTED_VALUE"""),2.989308E7)</f>
        <v>29893080</v>
      </c>
    </row>
    <row r="17357">
      <c r="A17357" t="str">
        <f t="shared" si="1"/>
        <v>ven#2013</v>
      </c>
      <c r="B17357" t="str">
        <f>IFERROR(__xludf.DUMMYFUNCTION("""COMPUTED_VALUE"""),"ven")</f>
        <v>ven</v>
      </c>
      <c r="C17357" t="str">
        <f>IFERROR(__xludf.DUMMYFUNCTION("""COMPUTED_VALUE"""),"Venezuela")</f>
        <v>Venezuela</v>
      </c>
      <c r="D17357">
        <f>IFERROR(__xludf.DUMMYFUNCTION("""COMPUTED_VALUE"""),2013.0)</f>
        <v>2013</v>
      </c>
      <c r="E17357">
        <f>IFERROR(__xludf.DUMMYFUNCTION("""COMPUTED_VALUE"""),3.0317848E7)</f>
        <v>30317848</v>
      </c>
    </row>
    <row r="17358">
      <c r="A17358" t="str">
        <f t="shared" si="1"/>
        <v>ven#2014</v>
      </c>
      <c r="B17358" t="str">
        <f>IFERROR(__xludf.DUMMYFUNCTION("""COMPUTED_VALUE"""),"ven")</f>
        <v>ven</v>
      </c>
      <c r="C17358" t="str">
        <f>IFERROR(__xludf.DUMMYFUNCTION("""COMPUTED_VALUE"""),"Venezuela")</f>
        <v>Venezuela</v>
      </c>
      <c r="D17358">
        <f>IFERROR(__xludf.DUMMYFUNCTION("""COMPUTED_VALUE"""),2014.0)</f>
        <v>2014</v>
      </c>
      <c r="E17358">
        <f>IFERROR(__xludf.DUMMYFUNCTION("""COMPUTED_VALUE"""),3.0738378E7)</f>
        <v>30738378</v>
      </c>
    </row>
    <row r="17359">
      <c r="A17359" t="str">
        <f t="shared" si="1"/>
        <v>ven#2015</v>
      </c>
      <c r="B17359" t="str">
        <f>IFERROR(__xludf.DUMMYFUNCTION("""COMPUTED_VALUE"""),"ven")</f>
        <v>ven</v>
      </c>
      <c r="C17359" t="str">
        <f>IFERROR(__xludf.DUMMYFUNCTION("""COMPUTED_VALUE"""),"Venezuela")</f>
        <v>Venezuela</v>
      </c>
      <c r="D17359">
        <f>IFERROR(__xludf.DUMMYFUNCTION("""COMPUTED_VALUE"""),2015.0)</f>
        <v>2015</v>
      </c>
      <c r="E17359">
        <f>IFERROR(__xludf.DUMMYFUNCTION("""COMPUTED_VALUE"""),3.1155134E7)</f>
        <v>31155134</v>
      </c>
    </row>
    <row r="17360">
      <c r="A17360" t="str">
        <f t="shared" si="1"/>
        <v>ven#2016</v>
      </c>
      <c r="B17360" t="str">
        <f>IFERROR(__xludf.DUMMYFUNCTION("""COMPUTED_VALUE"""),"ven")</f>
        <v>ven</v>
      </c>
      <c r="C17360" t="str">
        <f>IFERROR(__xludf.DUMMYFUNCTION("""COMPUTED_VALUE"""),"Venezuela")</f>
        <v>Venezuela</v>
      </c>
      <c r="D17360">
        <f>IFERROR(__xludf.DUMMYFUNCTION("""COMPUTED_VALUE"""),2016.0)</f>
        <v>2016</v>
      </c>
      <c r="E17360">
        <f>IFERROR(__xludf.DUMMYFUNCTION("""COMPUTED_VALUE"""),3.1568179E7)</f>
        <v>31568179</v>
      </c>
    </row>
    <row r="17361">
      <c r="A17361" t="str">
        <f t="shared" si="1"/>
        <v>ven#2017</v>
      </c>
      <c r="B17361" t="str">
        <f>IFERROR(__xludf.DUMMYFUNCTION("""COMPUTED_VALUE"""),"ven")</f>
        <v>ven</v>
      </c>
      <c r="C17361" t="str">
        <f>IFERROR(__xludf.DUMMYFUNCTION("""COMPUTED_VALUE"""),"Venezuela")</f>
        <v>Venezuela</v>
      </c>
      <c r="D17361">
        <f>IFERROR(__xludf.DUMMYFUNCTION("""COMPUTED_VALUE"""),2017.0)</f>
        <v>2017</v>
      </c>
      <c r="E17361">
        <f>IFERROR(__xludf.DUMMYFUNCTION("""COMPUTED_VALUE"""),3.1977065E7)</f>
        <v>31977065</v>
      </c>
    </row>
    <row r="17362">
      <c r="A17362" t="str">
        <f t="shared" si="1"/>
        <v>ven#2018</v>
      </c>
      <c r="B17362" t="str">
        <f>IFERROR(__xludf.DUMMYFUNCTION("""COMPUTED_VALUE"""),"ven")</f>
        <v>ven</v>
      </c>
      <c r="C17362" t="str">
        <f>IFERROR(__xludf.DUMMYFUNCTION("""COMPUTED_VALUE"""),"Venezuela")</f>
        <v>Venezuela</v>
      </c>
      <c r="D17362">
        <f>IFERROR(__xludf.DUMMYFUNCTION("""COMPUTED_VALUE"""),2018.0)</f>
        <v>2018</v>
      </c>
      <c r="E17362">
        <f>IFERROR(__xludf.DUMMYFUNCTION("""COMPUTED_VALUE"""),3.2381221E7)</f>
        <v>32381221</v>
      </c>
    </row>
    <row r="17363">
      <c r="A17363" t="str">
        <f t="shared" si="1"/>
        <v>ven#2019</v>
      </c>
      <c r="B17363" t="str">
        <f>IFERROR(__xludf.DUMMYFUNCTION("""COMPUTED_VALUE"""),"ven")</f>
        <v>ven</v>
      </c>
      <c r="C17363" t="str">
        <f>IFERROR(__xludf.DUMMYFUNCTION("""COMPUTED_VALUE"""),"Venezuela")</f>
        <v>Venezuela</v>
      </c>
      <c r="D17363">
        <f>IFERROR(__xludf.DUMMYFUNCTION("""COMPUTED_VALUE"""),2019.0)</f>
        <v>2019</v>
      </c>
      <c r="E17363">
        <f>IFERROR(__xludf.DUMMYFUNCTION("""COMPUTED_VALUE"""),3.2779868E7)</f>
        <v>32779868</v>
      </c>
    </row>
    <row r="17364">
      <c r="A17364" t="str">
        <f t="shared" si="1"/>
        <v>ven#2020</v>
      </c>
      <c r="B17364" t="str">
        <f>IFERROR(__xludf.DUMMYFUNCTION("""COMPUTED_VALUE"""),"ven")</f>
        <v>ven</v>
      </c>
      <c r="C17364" t="str">
        <f>IFERROR(__xludf.DUMMYFUNCTION("""COMPUTED_VALUE"""),"Venezuela")</f>
        <v>Venezuela</v>
      </c>
      <c r="D17364">
        <f>IFERROR(__xludf.DUMMYFUNCTION("""COMPUTED_VALUE"""),2020.0)</f>
        <v>2020</v>
      </c>
      <c r="E17364">
        <f>IFERROR(__xludf.DUMMYFUNCTION("""COMPUTED_VALUE"""),3.3172392E7)</f>
        <v>33172392</v>
      </c>
    </row>
    <row r="17365">
      <c r="A17365" t="str">
        <f t="shared" si="1"/>
        <v>ven#2021</v>
      </c>
      <c r="B17365" t="str">
        <f>IFERROR(__xludf.DUMMYFUNCTION("""COMPUTED_VALUE"""),"ven")</f>
        <v>ven</v>
      </c>
      <c r="C17365" t="str">
        <f>IFERROR(__xludf.DUMMYFUNCTION("""COMPUTED_VALUE"""),"Venezuela")</f>
        <v>Venezuela</v>
      </c>
      <c r="D17365">
        <f>IFERROR(__xludf.DUMMYFUNCTION("""COMPUTED_VALUE"""),2021.0)</f>
        <v>2021</v>
      </c>
      <c r="E17365">
        <f>IFERROR(__xludf.DUMMYFUNCTION("""COMPUTED_VALUE"""),3.3558483E7)</f>
        <v>33558483</v>
      </c>
    </row>
    <row r="17366">
      <c r="A17366" t="str">
        <f t="shared" si="1"/>
        <v>ven#2022</v>
      </c>
      <c r="B17366" t="str">
        <f>IFERROR(__xludf.DUMMYFUNCTION("""COMPUTED_VALUE"""),"ven")</f>
        <v>ven</v>
      </c>
      <c r="C17366" t="str">
        <f>IFERROR(__xludf.DUMMYFUNCTION("""COMPUTED_VALUE"""),"Venezuela")</f>
        <v>Venezuela</v>
      </c>
      <c r="D17366">
        <f>IFERROR(__xludf.DUMMYFUNCTION("""COMPUTED_VALUE"""),2022.0)</f>
        <v>2022</v>
      </c>
      <c r="E17366">
        <f>IFERROR(__xludf.DUMMYFUNCTION("""COMPUTED_VALUE"""),3.3938123E7)</f>
        <v>33938123</v>
      </c>
    </row>
    <row r="17367">
      <c r="A17367" t="str">
        <f t="shared" si="1"/>
        <v>ven#2023</v>
      </c>
      <c r="B17367" t="str">
        <f>IFERROR(__xludf.DUMMYFUNCTION("""COMPUTED_VALUE"""),"ven")</f>
        <v>ven</v>
      </c>
      <c r="C17367" t="str">
        <f>IFERROR(__xludf.DUMMYFUNCTION("""COMPUTED_VALUE"""),"Venezuela")</f>
        <v>Venezuela</v>
      </c>
      <c r="D17367">
        <f>IFERROR(__xludf.DUMMYFUNCTION("""COMPUTED_VALUE"""),2023.0)</f>
        <v>2023</v>
      </c>
      <c r="E17367">
        <f>IFERROR(__xludf.DUMMYFUNCTION("""COMPUTED_VALUE"""),3.4311467E7)</f>
        <v>34311467</v>
      </c>
    </row>
    <row r="17368">
      <c r="A17368" t="str">
        <f t="shared" si="1"/>
        <v>ven#2024</v>
      </c>
      <c r="B17368" t="str">
        <f>IFERROR(__xludf.DUMMYFUNCTION("""COMPUTED_VALUE"""),"ven")</f>
        <v>ven</v>
      </c>
      <c r="C17368" t="str">
        <f>IFERROR(__xludf.DUMMYFUNCTION("""COMPUTED_VALUE"""),"Venezuela")</f>
        <v>Venezuela</v>
      </c>
      <c r="D17368">
        <f>IFERROR(__xludf.DUMMYFUNCTION("""COMPUTED_VALUE"""),2024.0)</f>
        <v>2024</v>
      </c>
      <c r="E17368">
        <f>IFERROR(__xludf.DUMMYFUNCTION("""COMPUTED_VALUE"""),3.4678774E7)</f>
        <v>34678774</v>
      </c>
    </row>
    <row r="17369">
      <c r="A17369" t="str">
        <f t="shared" si="1"/>
        <v>ven#2025</v>
      </c>
      <c r="B17369" t="str">
        <f>IFERROR(__xludf.DUMMYFUNCTION("""COMPUTED_VALUE"""),"ven")</f>
        <v>ven</v>
      </c>
      <c r="C17369" t="str">
        <f>IFERROR(__xludf.DUMMYFUNCTION("""COMPUTED_VALUE"""),"Venezuela")</f>
        <v>Venezuela</v>
      </c>
      <c r="D17369">
        <f>IFERROR(__xludf.DUMMYFUNCTION("""COMPUTED_VALUE"""),2025.0)</f>
        <v>2025</v>
      </c>
      <c r="E17369">
        <f>IFERROR(__xludf.DUMMYFUNCTION("""COMPUTED_VALUE"""),3.5040206E7)</f>
        <v>35040206</v>
      </c>
    </row>
    <row r="17370">
      <c r="A17370" t="str">
        <f t="shared" si="1"/>
        <v>ven#2026</v>
      </c>
      <c r="B17370" t="str">
        <f>IFERROR(__xludf.DUMMYFUNCTION("""COMPUTED_VALUE"""),"ven")</f>
        <v>ven</v>
      </c>
      <c r="C17370" t="str">
        <f>IFERROR(__xludf.DUMMYFUNCTION("""COMPUTED_VALUE"""),"Venezuela")</f>
        <v>Venezuela</v>
      </c>
      <c r="D17370">
        <f>IFERROR(__xludf.DUMMYFUNCTION("""COMPUTED_VALUE"""),2026.0)</f>
        <v>2026</v>
      </c>
      <c r="E17370">
        <f>IFERROR(__xludf.DUMMYFUNCTION("""COMPUTED_VALUE"""),3.53957E7)</f>
        <v>35395700</v>
      </c>
    </row>
    <row r="17371">
      <c r="A17371" t="str">
        <f t="shared" si="1"/>
        <v>ven#2027</v>
      </c>
      <c r="B17371" t="str">
        <f>IFERROR(__xludf.DUMMYFUNCTION("""COMPUTED_VALUE"""),"ven")</f>
        <v>ven</v>
      </c>
      <c r="C17371" t="str">
        <f>IFERROR(__xludf.DUMMYFUNCTION("""COMPUTED_VALUE"""),"Venezuela")</f>
        <v>Venezuela</v>
      </c>
      <c r="D17371">
        <f>IFERROR(__xludf.DUMMYFUNCTION("""COMPUTED_VALUE"""),2027.0)</f>
        <v>2027</v>
      </c>
      <c r="E17371">
        <f>IFERROR(__xludf.DUMMYFUNCTION("""COMPUTED_VALUE"""),3.5744932E7)</f>
        <v>35744932</v>
      </c>
    </row>
    <row r="17372">
      <c r="A17372" t="str">
        <f t="shared" si="1"/>
        <v>ven#2028</v>
      </c>
      <c r="B17372" t="str">
        <f>IFERROR(__xludf.DUMMYFUNCTION("""COMPUTED_VALUE"""),"ven")</f>
        <v>ven</v>
      </c>
      <c r="C17372" t="str">
        <f>IFERROR(__xludf.DUMMYFUNCTION("""COMPUTED_VALUE"""),"Venezuela")</f>
        <v>Venezuela</v>
      </c>
      <c r="D17372">
        <f>IFERROR(__xludf.DUMMYFUNCTION("""COMPUTED_VALUE"""),2028.0)</f>
        <v>2028</v>
      </c>
      <c r="E17372">
        <f>IFERROR(__xludf.DUMMYFUNCTION("""COMPUTED_VALUE"""),3.6087435E7)</f>
        <v>36087435</v>
      </c>
    </row>
    <row r="17373">
      <c r="A17373" t="str">
        <f t="shared" si="1"/>
        <v>ven#2029</v>
      </c>
      <c r="B17373" t="str">
        <f>IFERROR(__xludf.DUMMYFUNCTION("""COMPUTED_VALUE"""),"ven")</f>
        <v>ven</v>
      </c>
      <c r="C17373" t="str">
        <f>IFERROR(__xludf.DUMMYFUNCTION("""COMPUTED_VALUE"""),"Venezuela")</f>
        <v>Venezuela</v>
      </c>
      <c r="D17373">
        <f>IFERROR(__xludf.DUMMYFUNCTION("""COMPUTED_VALUE"""),2029.0)</f>
        <v>2029</v>
      </c>
      <c r="E17373">
        <f>IFERROR(__xludf.DUMMYFUNCTION("""COMPUTED_VALUE"""),3.6422582E7)</f>
        <v>36422582</v>
      </c>
    </row>
    <row r="17374">
      <c r="A17374" t="str">
        <f t="shared" si="1"/>
        <v>ven#2030</v>
      </c>
      <c r="B17374" t="str">
        <f>IFERROR(__xludf.DUMMYFUNCTION("""COMPUTED_VALUE"""),"ven")</f>
        <v>ven</v>
      </c>
      <c r="C17374" t="str">
        <f>IFERROR(__xludf.DUMMYFUNCTION("""COMPUTED_VALUE"""),"Venezuela")</f>
        <v>Venezuela</v>
      </c>
      <c r="D17374">
        <f>IFERROR(__xludf.DUMMYFUNCTION("""COMPUTED_VALUE"""),2030.0)</f>
        <v>2030</v>
      </c>
      <c r="E17374">
        <f>IFERROR(__xludf.DUMMYFUNCTION("""COMPUTED_VALUE"""),3.6749904E7)</f>
        <v>36749904</v>
      </c>
    </row>
    <row r="17375">
      <c r="A17375" t="str">
        <f t="shared" si="1"/>
        <v>ven#2031</v>
      </c>
      <c r="B17375" t="str">
        <f>IFERROR(__xludf.DUMMYFUNCTION("""COMPUTED_VALUE"""),"ven")</f>
        <v>ven</v>
      </c>
      <c r="C17375" t="str">
        <f>IFERROR(__xludf.DUMMYFUNCTION("""COMPUTED_VALUE"""),"Venezuela")</f>
        <v>Venezuela</v>
      </c>
      <c r="D17375">
        <f>IFERROR(__xludf.DUMMYFUNCTION("""COMPUTED_VALUE"""),2031.0)</f>
        <v>2031</v>
      </c>
      <c r="E17375">
        <f>IFERROR(__xludf.DUMMYFUNCTION("""COMPUTED_VALUE"""),3.7069158E7)</f>
        <v>37069158</v>
      </c>
    </row>
    <row r="17376">
      <c r="A17376" t="str">
        <f t="shared" si="1"/>
        <v>ven#2032</v>
      </c>
      <c r="B17376" t="str">
        <f>IFERROR(__xludf.DUMMYFUNCTION("""COMPUTED_VALUE"""),"ven")</f>
        <v>ven</v>
      </c>
      <c r="C17376" t="str">
        <f>IFERROR(__xludf.DUMMYFUNCTION("""COMPUTED_VALUE"""),"Venezuela")</f>
        <v>Venezuela</v>
      </c>
      <c r="D17376">
        <f>IFERROR(__xludf.DUMMYFUNCTION("""COMPUTED_VALUE"""),2032.0)</f>
        <v>2032</v>
      </c>
      <c r="E17376">
        <f>IFERROR(__xludf.DUMMYFUNCTION("""COMPUTED_VALUE"""),3.7380341E7)</f>
        <v>37380341</v>
      </c>
    </row>
    <row r="17377">
      <c r="A17377" t="str">
        <f t="shared" si="1"/>
        <v>ven#2033</v>
      </c>
      <c r="B17377" t="str">
        <f>IFERROR(__xludf.DUMMYFUNCTION("""COMPUTED_VALUE"""),"ven")</f>
        <v>ven</v>
      </c>
      <c r="C17377" t="str">
        <f>IFERROR(__xludf.DUMMYFUNCTION("""COMPUTED_VALUE"""),"Venezuela")</f>
        <v>Venezuela</v>
      </c>
      <c r="D17377">
        <f>IFERROR(__xludf.DUMMYFUNCTION("""COMPUTED_VALUE"""),2033.0)</f>
        <v>2033</v>
      </c>
      <c r="E17377">
        <f>IFERROR(__xludf.DUMMYFUNCTION("""COMPUTED_VALUE"""),3.7683426E7)</f>
        <v>37683426</v>
      </c>
    </row>
    <row r="17378">
      <c r="A17378" t="str">
        <f t="shared" si="1"/>
        <v>ven#2034</v>
      </c>
      <c r="B17378" t="str">
        <f>IFERROR(__xludf.DUMMYFUNCTION("""COMPUTED_VALUE"""),"ven")</f>
        <v>ven</v>
      </c>
      <c r="C17378" t="str">
        <f>IFERROR(__xludf.DUMMYFUNCTION("""COMPUTED_VALUE"""),"Venezuela")</f>
        <v>Venezuela</v>
      </c>
      <c r="D17378">
        <f>IFERROR(__xludf.DUMMYFUNCTION("""COMPUTED_VALUE"""),2034.0)</f>
        <v>2034</v>
      </c>
      <c r="E17378">
        <f>IFERROR(__xludf.DUMMYFUNCTION("""COMPUTED_VALUE"""),3.7978484E7)</f>
        <v>37978484</v>
      </c>
    </row>
    <row r="17379">
      <c r="A17379" t="str">
        <f t="shared" si="1"/>
        <v>ven#2035</v>
      </c>
      <c r="B17379" t="str">
        <f>IFERROR(__xludf.DUMMYFUNCTION("""COMPUTED_VALUE"""),"ven")</f>
        <v>ven</v>
      </c>
      <c r="C17379" t="str">
        <f>IFERROR(__xludf.DUMMYFUNCTION("""COMPUTED_VALUE"""),"Venezuela")</f>
        <v>Venezuela</v>
      </c>
      <c r="D17379">
        <f>IFERROR(__xludf.DUMMYFUNCTION("""COMPUTED_VALUE"""),2035.0)</f>
        <v>2035</v>
      </c>
      <c r="E17379">
        <f>IFERROR(__xludf.DUMMYFUNCTION("""COMPUTED_VALUE"""),3.8265561E7)</f>
        <v>38265561</v>
      </c>
    </row>
    <row r="17380">
      <c r="A17380" t="str">
        <f t="shared" si="1"/>
        <v>ven#2036</v>
      </c>
      <c r="B17380" t="str">
        <f>IFERROR(__xludf.DUMMYFUNCTION("""COMPUTED_VALUE"""),"ven")</f>
        <v>ven</v>
      </c>
      <c r="C17380" t="str">
        <f>IFERROR(__xludf.DUMMYFUNCTION("""COMPUTED_VALUE"""),"Venezuela")</f>
        <v>Venezuela</v>
      </c>
      <c r="D17380">
        <f>IFERROR(__xludf.DUMMYFUNCTION("""COMPUTED_VALUE"""),2036.0)</f>
        <v>2036</v>
      </c>
      <c r="E17380">
        <f>IFERROR(__xludf.DUMMYFUNCTION("""COMPUTED_VALUE"""),3.8544577E7)</f>
        <v>38544577</v>
      </c>
    </row>
    <row r="17381">
      <c r="A17381" t="str">
        <f t="shared" si="1"/>
        <v>ven#2037</v>
      </c>
      <c r="B17381" t="str">
        <f>IFERROR(__xludf.DUMMYFUNCTION("""COMPUTED_VALUE"""),"ven")</f>
        <v>ven</v>
      </c>
      <c r="C17381" t="str">
        <f>IFERROR(__xludf.DUMMYFUNCTION("""COMPUTED_VALUE"""),"Venezuela")</f>
        <v>Venezuela</v>
      </c>
      <c r="D17381">
        <f>IFERROR(__xludf.DUMMYFUNCTION("""COMPUTED_VALUE"""),2037.0)</f>
        <v>2037</v>
      </c>
      <c r="E17381">
        <f>IFERROR(__xludf.DUMMYFUNCTION("""COMPUTED_VALUE"""),3.8815424E7)</f>
        <v>38815424</v>
      </c>
    </row>
    <row r="17382">
      <c r="A17382" t="str">
        <f t="shared" si="1"/>
        <v>ven#2038</v>
      </c>
      <c r="B17382" t="str">
        <f>IFERROR(__xludf.DUMMYFUNCTION("""COMPUTED_VALUE"""),"ven")</f>
        <v>ven</v>
      </c>
      <c r="C17382" t="str">
        <f>IFERROR(__xludf.DUMMYFUNCTION("""COMPUTED_VALUE"""),"Venezuela")</f>
        <v>Venezuela</v>
      </c>
      <c r="D17382">
        <f>IFERROR(__xludf.DUMMYFUNCTION("""COMPUTED_VALUE"""),2038.0)</f>
        <v>2038</v>
      </c>
      <c r="E17382">
        <f>IFERROR(__xludf.DUMMYFUNCTION("""COMPUTED_VALUE"""),3.9078083E7)</f>
        <v>39078083</v>
      </c>
    </row>
    <row r="17383">
      <c r="A17383" t="str">
        <f t="shared" si="1"/>
        <v>ven#2039</v>
      </c>
      <c r="B17383" t="str">
        <f>IFERROR(__xludf.DUMMYFUNCTION("""COMPUTED_VALUE"""),"ven")</f>
        <v>ven</v>
      </c>
      <c r="C17383" t="str">
        <f>IFERROR(__xludf.DUMMYFUNCTION("""COMPUTED_VALUE"""),"Venezuela")</f>
        <v>Venezuela</v>
      </c>
      <c r="D17383">
        <f>IFERROR(__xludf.DUMMYFUNCTION("""COMPUTED_VALUE"""),2039.0)</f>
        <v>2039</v>
      </c>
      <c r="E17383">
        <f>IFERROR(__xludf.DUMMYFUNCTION("""COMPUTED_VALUE"""),3.9332531E7)</f>
        <v>39332531</v>
      </c>
    </row>
    <row r="17384">
      <c r="A17384" t="str">
        <f t="shared" si="1"/>
        <v>ven#2040</v>
      </c>
      <c r="B17384" t="str">
        <f>IFERROR(__xludf.DUMMYFUNCTION("""COMPUTED_VALUE"""),"ven")</f>
        <v>ven</v>
      </c>
      <c r="C17384" t="str">
        <f>IFERROR(__xludf.DUMMYFUNCTION("""COMPUTED_VALUE"""),"Venezuela")</f>
        <v>Venezuela</v>
      </c>
      <c r="D17384">
        <f>IFERROR(__xludf.DUMMYFUNCTION("""COMPUTED_VALUE"""),2040.0)</f>
        <v>2040</v>
      </c>
      <c r="E17384">
        <f>IFERROR(__xludf.DUMMYFUNCTION("""COMPUTED_VALUE"""),3.9578762E7)</f>
        <v>39578762</v>
      </c>
    </row>
    <row r="17385">
      <c r="A17385" t="str">
        <f t="shared" si="1"/>
        <v>pse#1950</v>
      </c>
      <c r="B17385" t="str">
        <f>IFERROR(__xludf.DUMMYFUNCTION("""COMPUTED_VALUE"""),"pse")</f>
        <v>pse</v>
      </c>
      <c r="C17385" t="str">
        <f>IFERROR(__xludf.DUMMYFUNCTION("""COMPUTED_VALUE"""),"Palestine")</f>
        <v>Palestine</v>
      </c>
      <c r="D17385">
        <f>IFERROR(__xludf.DUMMYFUNCTION("""COMPUTED_VALUE"""),1950.0)</f>
        <v>1950</v>
      </c>
      <c r="E17385">
        <f>IFERROR(__xludf.DUMMYFUNCTION("""COMPUTED_VALUE"""),931928.0)</f>
        <v>931928</v>
      </c>
    </row>
    <row r="17386">
      <c r="A17386" t="str">
        <f t="shared" si="1"/>
        <v>pse#1951</v>
      </c>
      <c r="B17386" t="str">
        <f>IFERROR(__xludf.DUMMYFUNCTION("""COMPUTED_VALUE"""),"pse")</f>
        <v>pse</v>
      </c>
      <c r="C17386" t="str">
        <f>IFERROR(__xludf.DUMMYFUNCTION("""COMPUTED_VALUE"""),"Palestine")</f>
        <v>Palestine</v>
      </c>
      <c r="D17386">
        <f>IFERROR(__xludf.DUMMYFUNCTION("""COMPUTED_VALUE"""),1951.0)</f>
        <v>1951</v>
      </c>
      <c r="E17386">
        <f>IFERROR(__xludf.DUMMYFUNCTION("""COMPUTED_VALUE"""),923747.0)</f>
        <v>923747</v>
      </c>
    </row>
    <row r="17387">
      <c r="A17387" t="str">
        <f t="shared" si="1"/>
        <v>pse#1952</v>
      </c>
      <c r="B17387" t="str">
        <f>IFERROR(__xludf.DUMMYFUNCTION("""COMPUTED_VALUE"""),"pse")</f>
        <v>pse</v>
      </c>
      <c r="C17387" t="str">
        <f>IFERROR(__xludf.DUMMYFUNCTION("""COMPUTED_VALUE"""),"Palestine")</f>
        <v>Palestine</v>
      </c>
      <c r="D17387">
        <f>IFERROR(__xludf.DUMMYFUNCTION("""COMPUTED_VALUE"""),1952.0)</f>
        <v>1952</v>
      </c>
      <c r="E17387">
        <f>IFERROR(__xludf.DUMMYFUNCTION("""COMPUTED_VALUE"""),931907.0)</f>
        <v>931907</v>
      </c>
    </row>
    <row r="17388">
      <c r="A17388" t="str">
        <f t="shared" si="1"/>
        <v>pse#1953</v>
      </c>
      <c r="B17388" t="str">
        <f>IFERROR(__xludf.DUMMYFUNCTION("""COMPUTED_VALUE"""),"pse")</f>
        <v>pse</v>
      </c>
      <c r="C17388" t="str">
        <f>IFERROR(__xludf.DUMMYFUNCTION("""COMPUTED_VALUE"""),"Palestine")</f>
        <v>Palestine</v>
      </c>
      <c r="D17388">
        <f>IFERROR(__xludf.DUMMYFUNCTION("""COMPUTED_VALUE"""),1953.0)</f>
        <v>1953</v>
      </c>
      <c r="E17388">
        <f>IFERROR(__xludf.DUMMYFUNCTION("""COMPUTED_VALUE"""),948782.0)</f>
        <v>948782</v>
      </c>
    </row>
    <row r="17389">
      <c r="A17389" t="str">
        <f t="shared" si="1"/>
        <v>pse#1954</v>
      </c>
      <c r="B17389" t="str">
        <f>IFERROR(__xludf.DUMMYFUNCTION("""COMPUTED_VALUE"""),"pse")</f>
        <v>pse</v>
      </c>
      <c r="C17389" t="str">
        <f>IFERROR(__xludf.DUMMYFUNCTION("""COMPUTED_VALUE"""),"Palestine")</f>
        <v>Palestine</v>
      </c>
      <c r="D17389">
        <f>IFERROR(__xludf.DUMMYFUNCTION("""COMPUTED_VALUE"""),1954.0)</f>
        <v>1954</v>
      </c>
      <c r="E17389">
        <f>IFERROR(__xludf.DUMMYFUNCTION("""COMPUTED_VALUE"""),968648.0)</f>
        <v>968648</v>
      </c>
    </row>
    <row r="17390">
      <c r="A17390" t="str">
        <f t="shared" si="1"/>
        <v>pse#1955</v>
      </c>
      <c r="B17390" t="str">
        <f>IFERROR(__xludf.DUMMYFUNCTION("""COMPUTED_VALUE"""),"pse")</f>
        <v>pse</v>
      </c>
      <c r="C17390" t="str">
        <f>IFERROR(__xludf.DUMMYFUNCTION("""COMPUTED_VALUE"""),"Palestine")</f>
        <v>Palestine</v>
      </c>
      <c r="D17390">
        <f>IFERROR(__xludf.DUMMYFUNCTION("""COMPUTED_VALUE"""),1955.0)</f>
        <v>1955</v>
      </c>
      <c r="E17390">
        <f>IFERROR(__xludf.DUMMYFUNCTION("""COMPUTED_VALUE"""),987760.0)</f>
        <v>987760</v>
      </c>
    </row>
    <row r="17391">
      <c r="A17391" t="str">
        <f t="shared" si="1"/>
        <v>pse#1956</v>
      </c>
      <c r="B17391" t="str">
        <f>IFERROR(__xludf.DUMMYFUNCTION("""COMPUTED_VALUE"""),"pse")</f>
        <v>pse</v>
      </c>
      <c r="C17391" t="str">
        <f>IFERROR(__xludf.DUMMYFUNCTION("""COMPUTED_VALUE"""),"Palestine")</f>
        <v>Palestine</v>
      </c>
      <c r="D17391">
        <f>IFERROR(__xludf.DUMMYFUNCTION("""COMPUTED_VALUE"""),1956.0)</f>
        <v>1956</v>
      </c>
      <c r="E17391">
        <f>IFERROR(__xludf.DUMMYFUNCTION("""COMPUTED_VALUE"""),1004314.0)</f>
        <v>1004314</v>
      </c>
    </row>
    <row r="17392">
      <c r="A17392" t="str">
        <f t="shared" si="1"/>
        <v>pse#1957</v>
      </c>
      <c r="B17392" t="str">
        <f>IFERROR(__xludf.DUMMYFUNCTION("""COMPUTED_VALUE"""),"pse")</f>
        <v>pse</v>
      </c>
      <c r="C17392" t="str">
        <f>IFERROR(__xludf.DUMMYFUNCTION("""COMPUTED_VALUE"""),"Palestine")</f>
        <v>Palestine</v>
      </c>
      <c r="D17392">
        <f>IFERROR(__xludf.DUMMYFUNCTION("""COMPUTED_VALUE"""),1957.0)</f>
        <v>1957</v>
      </c>
      <c r="E17392">
        <f>IFERROR(__xludf.DUMMYFUNCTION("""COMPUTED_VALUE"""),1018491.0)</f>
        <v>1018491</v>
      </c>
    </row>
    <row r="17393">
      <c r="A17393" t="str">
        <f t="shared" si="1"/>
        <v>pse#1958</v>
      </c>
      <c r="B17393" t="str">
        <f>IFERROR(__xludf.DUMMYFUNCTION("""COMPUTED_VALUE"""),"pse")</f>
        <v>pse</v>
      </c>
      <c r="C17393" t="str">
        <f>IFERROR(__xludf.DUMMYFUNCTION("""COMPUTED_VALUE"""),"Palestine")</f>
        <v>Palestine</v>
      </c>
      <c r="D17393">
        <f>IFERROR(__xludf.DUMMYFUNCTION("""COMPUTED_VALUE"""),1958.0)</f>
        <v>1958</v>
      </c>
      <c r="E17393">
        <f>IFERROR(__xludf.DUMMYFUNCTION("""COMPUTED_VALUE"""),1032097.0)</f>
        <v>1032097</v>
      </c>
    </row>
    <row r="17394">
      <c r="A17394" t="str">
        <f t="shared" si="1"/>
        <v>pse#1959</v>
      </c>
      <c r="B17394" t="str">
        <f>IFERROR(__xludf.DUMMYFUNCTION("""COMPUTED_VALUE"""),"pse")</f>
        <v>pse</v>
      </c>
      <c r="C17394" t="str">
        <f>IFERROR(__xludf.DUMMYFUNCTION("""COMPUTED_VALUE"""),"Palestine")</f>
        <v>Palestine</v>
      </c>
      <c r="D17394">
        <f>IFERROR(__xludf.DUMMYFUNCTION("""COMPUTED_VALUE"""),1959.0)</f>
        <v>1959</v>
      </c>
      <c r="E17394">
        <f>IFERROR(__xludf.DUMMYFUNCTION("""COMPUTED_VALUE"""),1048111.0)</f>
        <v>1048111</v>
      </c>
    </row>
    <row r="17395">
      <c r="A17395" t="str">
        <f t="shared" si="1"/>
        <v>pse#1960</v>
      </c>
      <c r="B17395" t="str">
        <f>IFERROR(__xludf.DUMMYFUNCTION("""COMPUTED_VALUE"""),"pse")</f>
        <v>pse</v>
      </c>
      <c r="C17395" t="str">
        <f>IFERROR(__xludf.DUMMYFUNCTION("""COMPUTED_VALUE"""),"Palestine")</f>
        <v>Palestine</v>
      </c>
      <c r="D17395">
        <f>IFERROR(__xludf.DUMMYFUNCTION("""COMPUTED_VALUE"""),1960.0)</f>
        <v>1960</v>
      </c>
      <c r="E17395">
        <f>IFERROR(__xludf.DUMMYFUNCTION("""COMPUTED_VALUE"""),1069316.0)</f>
        <v>1069316</v>
      </c>
    </row>
    <row r="17396">
      <c r="A17396" t="str">
        <f t="shared" si="1"/>
        <v>pse#1961</v>
      </c>
      <c r="B17396" t="str">
        <f>IFERROR(__xludf.DUMMYFUNCTION("""COMPUTED_VALUE"""),"pse")</f>
        <v>pse</v>
      </c>
      <c r="C17396" t="str">
        <f>IFERROR(__xludf.DUMMYFUNCTION("""COMPUTED_VALUE"""),"Palestine")</f>
        <v>Palestine</v>
      </c>
      <c r="D17396">
        <f>IFERROR(__xludf.DUMMYFUNCTION("""COMPUTED_VALUE"""),1961.0)</f>
        <v>1961</v>
      </c>
      <c r="E17396">
        <f>IFERROR(__xludf.DUMMYFUNCTION("""COMPUTED_VALUE"""),1096811.0)</f>
        <v>1096811</v>
      </c>
    </row>
    <row r="17397">
      <c r="A17397" t="str">
        <f t="shared" si="1"/>
        <v>pse#1962</v>
      </c>
      <c r="B17397" t="str">
        <f>IFERROR(__xludf.DUMMYFUNCTION("""COMPUTED_VALUE"""),"pse")</f>
        <v>pse</v>
      </c>
      <c r="C17397" t="str">
        <f>IFERROR(__xludf.DUMMYFUNCTION("""COMPUTED_VALUE"""),"Palestine")</f>
        <v>Palestine</v>
      </c>
      <c r="D17397">
        <f>IFERROR(__xludf.DUMMYFUNCTION("""COMPUTED_VALUE"""),1962.0)</f>
        <v>1962</v>
      </c>
      <c r="E17397">
        <f>IFERROR(__xludf.DUMMYFUNCTION("""COMPUTED_VALUE"""),1128708.0)</f>
        <v>1128708</v>
      </c>
    </row>
    <row r="17398">
      <c r="A17398" t="str">
        <f t="shared" si="1"/>
        <v>pse#1963</v>
      </c>
      <c r="B17398" t="str">
        <f>IFERROR(__xludf.DUMMYFUNCTION("""COMPUTED_VALUE"""),"pse")</f>
        <v>pse</v>
      </c>
      <c r="C17398" t="str">
        <f>IFERROR(__xludf.DUMMYFUNCTION("""COMPUTED_VALUE"""),"Palestine")</f>
        <v>Palestine</v>
      </c>
      <c r="D17398">
        <f>IFERROR(__xludf.DUMMYFUNCTION("""COMPUTED_VALUE"""),1963.0)</f>
        <v>1963</v>
      </c>
      <c r="E17398">
        <f>IFERROR(__xludf.DUMMYFUNCTION("""COMPUTED_VALUE"""),1159584.0)</f>
        <v>1159584</v>
      </c>
    </row>
    <row r="17399">
      <c r="A17399" t="str">
        <f t="shared" si="1"/>
        <v>pse#1964</v>
      </c>
      <c r="B17399" t="str">
        <f>IFERROR(__xludf.DUMMYFUNCTION("""COMPUTED_VALUE"""),"pse")</f>
        <v>pse</v>
      </c>
      <c r="C17399" t="str">
        <f>IFERROR(__xludf.DUMMYFUNCTION("""COMPUTED_VALUE"""),"Palestine")</f>
        <v>Palestine</v>
      </c>
      <c r="D17399">
        <f>IFERROR(__xludf.DUMMYFUNCTION("""COMPUTED_VALUE"""),1964.0)</f>
        <v>1964</v>
      </c>
      <c r="E17399">
        <f>IFERROR(__xludf.DUMMYFUNCTION("""COMPUTED_VALUE"""),1182053.0)</f>
        <v>1182053</v>
      </c>
    </row>
    <row r="17400">
      <c r="A17400" t="str">
        <f t="shared" si="1"/>
        <v>pse#1965</v>
      </c>
      <c r="B17400" t="str">
        <f>IFERROR(__xludf.DUMMYFUNCTION("""COMPUTED_VALUE"""),"pse")</f>
        <v>pse</v>
      </c>
      <c r="C17400" t="str">
        <f>IFERROR(__xludf.DUMMYFUNCTION("""COMPUTED_VALUE"""),"Palestine")</f>
        <v>Palestine</v>
      </c>
      <c r="D17400">
        <f>IFERROR(__xludf.DUMMYFUNCTION("""COMPUTED_VALUE"""),1965.0)</f>
        <v>1965</v>
      </c>
      <c r="E17400">
        <f>IFERROR(__xludf.DUMMYFUNCTION("""COMPUTED_VALUE"""),1191384.0)</f>
        <v>1191384</v>
      </c>
    </row>
    <row r="17401">
      <c r="A17401" t="str">
        <f t="shared" si="1"/>
        <v>pse#1966</v>
      </c>
      <c r="B17401" t="str">
        <f>IFERROR(__xludf.DUMMYFUNCTION("""COMPUTED_VALUE"""),"pse")</f>
        <v>pse</v>
      </c>
      <c r="C17401" t="str">
        <f>IFERROR(__xludf.DUMMYFUNCTION("""COMPUTED_VALUE"""),"Palestine")</f>
        <v>Palestine</v>
      </c>
      <c r="D17401">
        <f>IFERROR(__xludf.DUMMYFUNCTION("""COMPUTED_VALUE"""),1966.0)</f>
        <v>1966</v>
      </c>
      <c r="E17401">
        <f>IFERROR(__xludf.DUMMYFUNCTION("""COMPUTED_VALUE"""),1184687.0)</f>
        <v>1184687</v>
      </c>
    </row>
    <row r="17402">
      <c r="A17402" t="str">
        <f t="shared" si="1"/>
        <v>pse#1967</v>
      </c>
      <c r="B17402" t="str">
        <f>IFERROR(__xludf.DUMMYFUNCTION("""COMPUTED_VALUE"""),"pse")</f>
        <v>pse</v>
      </c>
      <c r="C17402" t="str">
        <f>IFERROR(__xludf.DUMMYFUNCTION("""COMPUTED_VALUE"""),"Palestine")</f>
        <v>Palestine</v>
      </c>
      <c r="D17402">
        <f>IFERROR(__xludf.DUMMYFUNCTION("""COMPUTED_VALUE"""),1967.0)</f>
        <v>1967</v>
      </c>
      <c r="E17402">
        <f>IFERROR(__xludf.DUMMYFUNCTION("""COMPUTED_VALUE"""),1165054.0)</f>
        <v>1165054</v>
      </c>
    </row>
    <row r="17403">
      <c r="A17403" t="str">
        <f t="shared" si="1"/>
        <v>pse#1968</v>
      </c>
      <c r="B17403" t="str">
        <f>IFERROR(__xludf.DUMMYFUNCTION("""COMPUTED_VALUE"""),"pse")</f>
        <v>pse</v>
      </c>
      <c r="C17403" t="str">
        <f>IFERROR(__xludf.DUMMYFUNCTION("""COMPUTED_VALUE"""),"Palestine")</f>
        <v>Palestine</v>
      </c>
      <c r="D17403">
        <f>IFERROR(__xludf.DUMMYFUNCTION("""COMPUTED_VALUE"""),1968.0)</f>
        <v>1968</v>
      </c>
      <c r="E17403">
        <f>IFERROR(__xludf.DUMMYFUNCTION("""COMPUTED_VALUE"""),1141048.0)</f>
        <v>1141048</v>
      </c>
    </row>
    <row r="17404">
      <c r="A17404" t="str">
        <f t="shared" si="1"/>
        <v>pse#1969</v>
      </c>
      <c r="B17404" t="str">
        <f>IFERROR(__xludf.DUMMYFUNCTION("""COMPUTED_VALUE"""),"pse")</f>
        <v>pse</v>
      </c>
      <c r="C17404" t="str">
        <f>IFERROR(__xludf.DUMMYFUNCTION("""COMPUTED_VALUE"""),"Palestine")</f>
        <v>Palestine</v>
      </c>
      <c r="D17404">
        <f>IFERROR(__xludf.DUMMYFUNCTION("""COMPUTED_VALUE"""),1969.0)</f>
        <v>1969</v>
      </c>
      <c r="E17404">
        <f>IFERROR(__xludf.DUMMYFUNCTION("""COMPUTED_VALUE"""),1124752.0)</f>
        <v>1124752</v>
      </c>
    </row>
    <row r="17405">
      <c r="A17405" t="str">
        <f t="shared" si="1"/>
        <v>pse#1970</v>
      </c>
      <c r="B17405" t="str">
        <f>IFERROR(__xludf.DUMMYFUNCTION("""COMPUTED_VALUE"""),"pse")</f>
        <v>pse</v>
      </c>
      <c r="C17405" t="str">
        <f>IFERROR(__xludf.DUMMYFUNCTION("""COMPUTED_VALUE"""),"Palestine")</f>
        <v>Palestine</v>
      </c>
      <c r="D17405">
        <f>IFERROR(__xludf.DUMMYFUNCTION("""COMPUTED_VALUE"""),1970.0)</f>
        <v>1970</v>
      </c>
      <c r="E17405">
        <f>IFERROR(__xludf.DUMMYFUNCTION("""COMPUTED_VALUE"""),1124649.0)</f>
        <v>1124649</v>
      </c>
    </row>
    <row r="17406">
      <c r="A17406" t="str">
        <f t="shared" si="1"/>
        <v>pse#1971</v>
      </c>
      <c r="B17406" t="str">
        <f>IFERROR(__xludf.DUMMYFUNCTION("""COMPUTED_VALUE"""),"pse")</f>
        <v>pse</v>
      </c>
      <c r="C17406" t="str">
        <f>IFERROR(__xludf.DUMMYFUNCTION("""COMPUTED_VALUE"""),"Palestine")</f>
        <v>Palestine</v>
      </c>
      <c r="D17406">
        <f>IFERROR(__xludf.DUMMYFUNCTION("""COMPUTED_VALUE"""),1971.0)</f>
        <v>1971</v>
      </c>
      <c r="E17406">
        <f>IFERROR(__xludf.DUMMYFUNCTION("""COMPUTED_VALUE"""),1144093.0)</f>
        <v>1144093</v>
      </c>
    </row>
    <row r="17407">
      <c r="A17407" t="str">
        <f t="shared" si="1"/>
        <v>pse#1972</v>
      </c>
      <c r="B17407" t="str">
        <f>IFERROR(__xludf.DUMMYFUNCTION("""COMPUTED_VALUE"""),"pse")</f>
        <v>pse</v>
      </c>
      <c r="C17407" t="str">
        <f>IFERROR(__xludf.DUMMYFUNCTION("""COMPUTED_VALUE"""),"Palestine")</f>
        <v>Palestine</v>
      </c>
      <c r="D17407">
        <f>IFERROR(__xludf.DUMMYFUNCTION("""COMPUTED_VALUE"""),1972.0)</f>
        <v>1972</v>
      </c>
      <c r="E17407">
        <f>IFERROR(__xludf.DUMMYFUNCTION("""COMPUTED_VALUE"""),1180050.0)</f>
        <v>1180050</v>
      </c>
    </row>
    <row r="17408">
      <c r="A17408" t="str">
        <f t="shared" si="1"/>
        <v>pse#1973</v>
      </c>
      <c r="B17408" t="str">
        <f>IFERROR(__xludf.DUMMYFUNCTION("""COMPUTED_VALUE"""),"pse")</f>
        <v>pse</v>
      </c>
      <c r="C17408" t="str">
        <f>IFERROR(__xludf.DUMMYFUNCTION("""COMPUTED_VALUE"""),"Palestine")</f>
        <v>Palestine</v>
      </c>
      <c r="D17408">
        <f>IFERROR(__xludf.DUMMYFUNCTION("""COMPUTED_VALUE"""),1973.0)</f>
        <v>1973</v>
      </c>
      <c r="E17408">
        <f>IFERROR(__xludf.DUMMYFUNCTION("""COMPUTED_VALUE"""),1226926.0)</f>
        <v>1226926</v>
      </c>
    </row>
    <row r="17409">
      <c r="A17409" t="str">
        <f t="shared" si="1"/>
        <v>pse#1974</v>
      </c>
      <c r="B17409" t="str">
        <f>IFERROR(__xludf.DUMMYFUNCTION("""COMPUTED_VALUE"""),"pse")</f>
        <v>pse</v>
      </c>
      <c r="C17409" t="str">
        <f>IFERROR(__xludf.DUMMYFUNCTION("""COMPUTED_VALUE"""),"Palestine")</f>
        <v>Palestine</v>
      </c>
      <c r="D17409">
        <f>IFERROR(__xludf.DUMMYFUNCTION("""COMPUTED_VALUE"""),1974.0)</f>
        <v>1974</v>
      </c>
      <c r="E17409">
        <f>IFERROR(__xludf.DUMMYFUNCTION("""COMPUTED_VALUE"""),1276127.0)</f>
        <v>1276127</v>
      </c>
    </row>
    <row r="17410">
      <c r="A17410" t="str">
        <f t="shared" si="1"/>
        <v>pse#1975</v>
      </c>
      <c r="B17410" t="str">
        <f>IFERROR(__xludf.DUMMYFUNCTION("""COMPUTED_VALUE"""),"pse")</f>
        <v>pse</v>
      </c>
      <c r="C17410" t="str">
        <f>IFERROR(__xludf.DUMMYFUNCTION("""COMPUTED_VALUE"""),"Palestine")</f>
        <v>Palestine</v>
      </c>
      <c r="D17410">
        <f>IFERROR(__xludf.DUMMYFUNCTION("""COMPUTED_VALUE"""),1975.0)</f>
        <v>1975</v>
      </c>
      <c r="E17410">
        <f>IFERROR(__xludf.DUMMYFUNCTION("""COMPUTED_VALUE"""),1321421.0)</f>
        <v>1321421</v>
      </c>
    </row>
    <row r="17411">
      <c r="A17411" t="str">
        <f t="shared" si="1"/>
        <v>pse#1976</v>
      </c>
      <c r="B17411" t="str">
        <f>IFERROR(__xludf.DUMMYFUNCTION("""COMPUTED_VALUE"""),"pse")</f>
        <v>pse</v>
      </c>
      <c r="C17411" t="str">
        <f>IFERROR(__xludf.DUMMYFUNCTION("""COMPUTED_VALUE"""),"Palestine")</f>
        <v>Palestine</v>
      </c>
      <c r="D17411">
        <f>IFERROR(__xludf.DUMMYFUNCTION("""COMPUTED_VALUE"""),1976.0)</f>
        <v>1976</v>
      </c>
      <c r="E17411">
        <f>IFERROR(__xludf.DUMMYFUNCTION("""COMPUTED_VALUE"""),1361346.0)</f>
        <v>1361346</v>
      </c>
    </row>
    <row r="17412">
      <c r="A17412" t="str">
        <f t="shared" si="1"/>
        <v>pse#1977</v>
      </c>
      <c r="B17412" t="str">
        <f>IFERROR(__xludf.DUMMYFUNCTION("""COMPUTED_VALUE"""),"pse")</f>
        <v>pse</v>
      </c>
      <c r="C17412" t="str">
        <f>IFERROR(__xludf.DUMMYFUNCTION("""COMPUTED_VALUE"""),"Palestine")</f>
        <v>Palestine</v>
      </c>
      <c r="D17412">
        <f>IFERROR(__xludf.DUMMYFUNCTION("""COMPUTED_VALUE"""),1977.0)</f>
        <v>1977</v>
      </c>
      <c r="E17412">
        <f>IFERROR(__xludf.DUMMYFUNCTION("""COMPUTED_VALUE"""),1398017.0)</f>
        <v>1398017</v>
      </c>
    </row>
    <row r="17413">
      <c r="A17413" t="str">
        <f t="shared" si="1"/>
        <v>pse#1978</v>
      </c>
      <c r="B17413" t="str">
        <f>IFERROR(__xludf.DUMMYFUNCTION("""COMPUTED_VALUE"""),"pse")</f>
        <v>pse</v>
      </c>
      <c r="C17413" t="str">
        <f>IFERROR(__xludf.DUMMYFUNCTION("""COMPUTED_VALUE"""),"Palestine")</f>
        <v>Palestine</v>
      </c>
      <c r="D17413">
        <f>IFERROR(__xludf.DUMMYFUNCTION("""COMPUTED_VALUE"""),1978.0)</f>
        <v>1978</v>
      </c>
      <c r="E17413">
        <f>IFERROR(__xludf.DUMMYFUNCTION("""COMPUTED_VALUE"""),1433100.0)</f>
        <v>1433100</v>
      </c>
    </row>
    <row r="17414">
      <c r="A17414" t="str">
        <f t="shared" si="1"/>
        <v>pse#1979</v>
      </c>
      <c r="B17414" t="str">
        <f>IFERROR(__xludf.DUMMYFUNCTION("""COMPUTED_VALUE"""),"pse")</f>
        <v>pse</v>
      </c>
      <c r="C17414" t="str">
        <f>IFERROR(__xludf.DUMMYFUNCTION("""COMPUTED_VALUE"""),"Palestine")</f>
        <v>Palestine</v>
      </c>
      <c r="D17414">
        <f>IFERROR(__xludf.DUMMYFUNCTION("""COMPUTED_VALUE"""),1979.0)</f>
        <v>1979</v>
      </c>
      <c r="E17414">
        <f>IFERROR(__xludf.DUMMYFUNCTION("""COMPUTED_VALUE"""),1469436.0)</f>
        <v>1469436</v>
      </c>
    </row>
    <row r="17415">
      <c r="A17415" t="str">
        <f t="shared" si="1"/>
        <v>pse#1980</v>
      </c>
      <c r="B17415" t="str">
        <f>IFERROR(__xludf.DUMMYFUNCTION("""COMPUTED_VALUE"""),"pse")</f>
        <v>pse</v>
      </c>
      <c r="C17415" t="str">
        <f>IFERROR(__xludf.DUMMYFUNCTION("""COMPUTED_VALUE"""),"Palestine")</f>
        <v>Palestine</v>
      </c>
      <c r="D17415">
        <f>IFERROR(__xludf.DUMMYFUNCTION("""COMPUTED_VALUE"""),1980.0)</f>
        <v>1980</v>
      </c>
      <c r="E17415">
        <f>IFERROR(__xludf.DUMMYFUNCTION("""COMPUTED_VALUE"""),1509183.0)</f>
        <v>1509183</v>
      </c>
    </row>
    <row r="17416">
      <c r="A17416" t="str">
        <f t="shared" si="1"/>
        <v>pse#1981</v>
      </c>
      <c r="B17416" t="str">
        <f>IFERROR(__xludf.DUMMYFUNCTION("""COMPUTED_VALUE"""),"pse")</f>
        <v>pse</v>
      </c>
      <c r="C17416" t="str">
        <f>IFERROR(__xludf.DUMMYFUNCTION("""COMPUTED_VALUE"""),"Palestine")</f>
        <v>Palestine</v>
      </c>
      <c r="D17416">
        <f>IFERROR(__xludf.DUMMYFUNCTION("""COMPUTED_VALUE"""),1981.0)</f>
        <v>1981</v>
      </c>
      <c r="E17416">
        <f>IFERROR(__xludf.DUMMYFUNCTION("""COMPUTED_VALUE"""),1552787.0)</f>
        <v>1552787</v>
      </c>
    </row>
    <row r="17417">
      <c r="A17417" t="str">
        <f t="shared" si="1"/>
        <v>pse#1982</v>
      </c>
      <c r="B17417" t="str">
        <f>IFERROR(__xludf.DUMMYFUNCTION("""COMPUTED_VALUE"""),"pse")</f>
        <v>pse</v>
      </c>
      <c r="C17417" t="str">
        <f>IFERROR(__xludf.DUMMYFUNCTION("""COMPUTED_VALUE"""),"Palestine")</f>
        <v>Palestine</v>
      </c>
      <c r="D17417">
        <f>IFERROR(__xludf.DUMMYFUNCTION("""COMPUTED_VALUE"""),1982.0)</f>
        <v>1982</v>
      </c>
      <c r="E17417">
        <f>IFERROR(__xludf.DUMMYFUNCTION("""COMPUTED_VALUE"""),1599645.0)</f>
        <v>1599645</v>
      </c>
    </row>
    <row r="17418">
      <c r="A17418" t="str">
        <f t="shared" si="1"/>
        <v>pse#1983</v>
      </c>
      <c r="B17418" t="str">
        <f>IFERROR(__xludf.DUMMYFUNCTION("""COMPUTED_VALUE"""),"pse")</f>
        <v>pse</v>
      </c>
      <c r="C17418" t="str">
        <f>IFERROR(__xludf.DUMMYFUNCTION("""COMPUTED_VALUE"""),"Palestine")</f>
        <v>Palestine</v>
      </c>
      <c r="D17418">
        <f>IFERROR(__xludf.DUMMYFUNCTION("""COMPUTED_VALUE"""),1983.0)</f>
        <v>1983</v>
      </c>
      <c r="E17418">
        <f>IFERROR(__xludf.DUMMYFUNCTION("""COMPUTED_VALUE"""),1649698.0)</f>
        <v>1649698</v>
      </c>
    </row>
    <row r="17419">
      <c r="A17419" t="str">
        <f t="shared" si="1"/>
        <v>pse#1984</v>
      </c>
      <c r="B17419" t="str">
        <f>IFERROR(__xludf.DUMMYFUNCTION("""COMPUTED_VALUE"""),"pse")</f>
        <v>pse</v>
      </c>
      <c r="C17419" t="str">
        <f>IFERROR(__xludf.DUMMYFUNCTION("""COMPUTED_VALUE"""),"Palestine")</f>
        <v>Palestine</v>
      </c>
      <c r="D17419">
        <f>IFERROR(__xludf.DUMMYFUNCTION("""COMPUTED_VALUE"""),1984.0)</f>
        <v>1984</v>
      </c>
      <c r="E17419">
        <f>IFERROR(__xludf.DUMMYFUNCTION("""COMPUTED_VALUE"""),1702656.0)</f>
        <v>1702656</v>
      </c>
    </row>
    <row r="17420">
      <c r="A17420" t="str">
        <f t="shared" si="1"/>
        <v>pse#1985</v>
      </c>
      <c r="B17420" t="str">
        <f>IFERROR(__xludf.DUMMYFUNCTION("""COMPUTED_VALUE"""),"pse")</f>
        <v>pse</v>
      </c>
      <c r="C17420" t="str">
        <f>IFERROR(__xludf.DUMMYFUNCTION("""COMPUTED_VALUE"""),"Palestine")</f>
        <v>Palestine</v>
      </c>
      <c r="D17420">
        <f>IFERROR(__xludf.DUMMYFUNCTION("""COMPUTED_VALUE"""),1985.0)</f>
        <v>1985</v>
      </c>
      <c r="E17420">
        <f>IFERROR(__xludf.DUMMYFUNCTION("""COMPUTED_VALUE"""),1758477.0)</f>
        <v>1758477</v>
      </c>
    </row>
    <row r="17421">
      <c r="A17421" t="str">
        <f t="shared" si="1"/>
        <v>pse#1986</v>
      </c>
      <c r="B17421" t="str">
        <f>IFERROR(__xludf.DUMMYFUNCTION("""COMPUTED_VALUE"""),"pse")</f>
        <v>pse</v>
      </c>
      <c r="C17421" t="str">
        <f>IFERROR(__xludf.DUMMYFUNCTION("""COMPUTED_VALUE"""),"Palestine")</f>
        <v>Palestine</v>
      </c>
      <c r="D17421">
        <f>IFERROR(__xludf.DUMMYFUNCTION("""COMPUTED_VALUE"""),1986.0)</f>
        <v>1986</v>
      </c>
      <c r="E17421">
        <f>IFERROR(__xludf.DUMMYFUNCTION("""COMPUTED_VALUE"""),1817036.0)</f>
        <v>1817036</v>
      </c>
    </row>
    <row r="17422">
      <c r="A17422" t="str">
        <f t="shared" si="1"/>
        <v>pse#1987</v>
      </c>
      <c r="B17422" t="str">
        <f>IFERROR(__xludf.DUMMYFUNCTION("""COMPUTED_VALUE"""),"pse")</f>
        <v>pse</v>
      </c>
      <c r="C17422" t="str">
        <f>IFERROR(__xludf.DUMMYFUNCTION("""COMPUTED_VALUE"""),"Palestine")</f>
        <v>Palestine</v>
      </c>
      <c r="D17422">
        <f>IFERROR(__xludf.DUMMYFUNCTION("""COMPUTED_VALUE"""),1987.0)</f>
        <v>1987</v>
      </c>
      <c r="E17422">
        <f>IFERROR(__xludf.DUMMYFUNCTION("""COMPUTED_VALUE"""),1878940.0)</f>
        <v>1878940</v>
      </c>
    </row>
    <row r="17423">
      <c r="A17423" t="str">
        <f t="shared" si="1"/>
        <v>pse#1988</v>
      </c>
      <c r="B17423" t="str">
        <f>IFERROR(__xludf.DUMMYFUNCTION("""COMPUTED_VALUE"""),"pse")</f>
        <v>pse</v>
      </c>
      <c r="C17423" t="str">
        <f>IFERROR(__xludf.DUMMYFUNCTION("""COMPUTED_VALUE"""),"Palestine")</f>
        <v>Palestine</v>
      </c>
      <c r="D17423">
        <f>IFERROR(__xludf.DUMMYFUNCTION("""COMPUTED_VALUE"""),1988.0)</f>
        <v>1988</v>
      </c>
      <c r="E17423">
        <f>IFERROR(__xludf.DUMMYFUNCTION("""COMPUTED_VALUE"""),1945678.0)</f>
        <v>1945678</v>
      </c>
    </row>
    <row r="17424">
      <c r="A17424" t="str">
        <f t="shared" si="1"/>
        <v>pse#1989</v>
      </c>
      <c r="B17424" t="str">
        <f>IFERROR(__xludf.DUMMYFUNCTION("""COMPUTED_VALUE"""),"pse")</f>
        <v>pse</v>
      </c>
      <c r="C17424" t="str">
        <f>IFERROR(__xludf.DUMMYFUNCTION("""COMPUTED_VALUE"""),"Palestine")</f>
        <v>Palestine</v>
      </c>
      <c r="D17424">
        <f>IFERROR(__xludf.DUMMYFUNCTION("""COMPUTED_VALUE"""),1989.0)</f>
        <v>1989</v>
      </c>
      <c r="E17424">
        <f>IFERROR(__xludf.DUMMYFUNCTION("""COMPUTED_VALUE"""),2019227.0)</f>
        <v>2019227</v>
      </c>
    </row>
    <row r="17425">
      <c r="A17425" t="str">
        <f t="shared" si="1"/>
        <v>pse#1990</v>
      </c>
      <c r="B17425" t="str">
        <f>IFERROR(__xludf.DUMMYFUNCTION("""COMPUTED_VALUE"""),"pse")</f>
        <v>pse</v>
      </c>
      <c r="C17425" t="str">
        <f>IFERROR(__xludf.DUMMYFUNCTION("""COMPUTED_VALUE"""),"Palestine")</f>
        <v>Palestine</v>
      </c>
      <c r="D17425">
        <f>IFERROR(__xludf.DUMMYFUNCTION("""COMPUTED_VALUE"""),1990.0)</f>
        <v>1990</v>
      </c>
      <c r="E17425">
        <f>IFERROR(__xludf.DUMMYFUNCTION("""COMPUTED_VALUE"""),2100883.0)</f>
        <v>2100883</v>
      </c>
    </row>
    <row r="17426">
      <c r="A17426" t="str">
        <f t="shared" si="1"/>
        <v>pse#1991</v>
      </c>
      <c r="B17426" t="str">
        <f>IFERROR(__xludf.DUMMYFUNCTION("""COMPUTED_VALUE"""),"pse")</f>
        <v>pse</v>
      </c>
      <c r="C17426" t="str">
        <f>IFERROR(__xludf.DUMMYFUNCTION("""COMPUTED_VALUE"""),"Palestine")</f>
        <v>Palestine</v>
      </c>
      <c r="D17426">
        <f>IFERROR(__xludf.DUMMYFUNCTION("""COMPUTED_VALUE"""),1991.0)</f>
        <v>1991</v>
      </c>
      <c r="E17426">
        <f>IFERROR(__xludf.DUMMYFUNCTION("""COMPUTED_VALUE"""),2190399.0)</f>
        <v>2190399</v>
      </c>
    </row>
    <row r="17427">
      <c r="A17427" t="str">
        <f t="shared" si="1"/>
        <v>pse#1992</v>
      </c>
      <c r="B17427" t="str">
        <f>IFERROR(__xludf.DUMMYFUNCTION("""COMPUTED_VALUE"""),"pse")</f>
        <v>pse</v>
      </c>
      <c r="C17427" t="str">
        <f>IFERROR(__xludf.DUMMYFUNCTION("""COMPUTED_VALUE"""),"Palestine")</f>
        <v>Palestine</v>
      </c>
      <c r="D17427">
        <f>IFERROR(__xludf.DUMMYFUNCTION("""COMPUTED_VALUE"""),1992.0)</f>
        <v>1992</v>
      </c>
      <c r="E17427">
        <f>IFERROR(__xludf.DUMMYFUNCTION("""COMPUTED_VALUE"""),2286985.0)</f>
        <v>2286985</v>
      </c>
    </row>
    <row r="17428">
      <c r="A17428" t="str">
        <f t="shared" si="1"/>
        <v>pse#1993</v>
      </c>
      <c r="B17428" t="str">
        <f>IFERROR(__xludf.DUMMYFUNCTION("""COMPUTED_VALUE"""),"pse")</f>
        <v>pse</v>
      </c>
      <c r="C17428" t="str">
        <f>IFERROR(__xludf.DUMMYFUNCTION("""COMPUTED_VALUE"""),"Palestine")</f>
        <v>Palestine</v>
      </c>
      <c r="D17428">
        <f>IFERROR(__xludf.DUMMYFUNCTION("""COMPUTED_VALUE"""),1993.0)</f>
        <v>1993</v>
      </c>
      <c r="E17428">
        <f>IFERROR(__xludf.DUMMYFUNCTION("""COMPUTED_VALUE"""),2390599.0)</f>
        <v>2390599</v>
      </c>
    </row>
    <row r="17429">
      <c r="A17429" t="str">
        <f t="shared" si="1"/>
        <v>pse#1994</v>
      </c>
      <c r="B17429" t="str">
        <f>IFERROR(__xludf.DUMMYFUNCTION("""COMPUTED_VALUE"""),"pse")</f>
        <v>pse</v>
      </c>
      <c r="C17429" t="str">
        <f>IFERROR(__xludf.DUMMYFUNCTION("""COMPUTED_VALUE"""),"Palestine")</f>
        <v>Palestine</v>
      </c>
      <c r="D17429">
        <f>IFERROR(__xludf.DUMMYFUNCTION("""COMPUTED_VALUE"""),1994.0)</f>
        <v>1994</v>
      </c>
      <c r="E17429">
        <f>IFERROR(__xludf.DUMMYFUNCTION("""COMPUTED_VALUE"""),2501078.0)</f>
        <v>2501078</v>
      </c>
    </row>
    <row r="17430">
      <c r="A17430" t="str">
        <f t="shared" si="1"/>
        <v>pse#1995</v>
      </c>
      <c r="B17430" t="str">
        <f>IFERROR(__xludf.DUMMYFUNCTION("""COMPUTED_VALUE"""),"pse")</f>
        <v>pse</v>
      </c>
      <c r="C17430" t="str">
        <f>IFERROR(__xludf.DUMMYFUNCTION("""COMPUTED_VALUE"""),"Palestine")</f>
        <v>Palestine</v>
      </c>
      <c r="D17430">
        <f>IFERROR(__xludf.DUMMYFUNCTION("""COMPUTED_VALUE"""),1995.0)</f>
        <v>1995</v>
      </c>
      <c r="E17430">
        <f>IFERROR(__xludf.DUMMYFUNCTION("""COMPUTED_VALUE"""),2617702.0)</f>
        <v>2617702</v>
      </c>
    </row>
    <row r="17431">
      <c r="A17431" t="str">
        <f t="shared" si="1"/>
        <v>pse#1996</v>
      </c>
      <c r="B17431" t="str">
        <f>IFERROR(__xludf.DUMMYFUNCTION("""COMPUTED_VALUE"""),"pse")</f>
        <v>pse</v>
      </c>
      <c r="C17431" t="str">
        <f>IFERROR(__xludf.DUMMYFUNCTION("""COMPUTED_VALUE"""),"Palestine")</f>
        <v>Palestine</v>
      </c>
      <c r="D17431">
        <f>IFERROR(__xludf.DUMMYFUNCTION("""COMPUTED_VALUE"""),1996.0)</f>
        <v>1996</v>
      </c>
      <c r="E17431">
        <f>IFERROR(__xludf.DUMMYFUNCTION("""COMPUTED_VALUE"""),2741578.0)</f>
        <v>2741578</v>
      </c>
    </row>
    <row r="17432">
      <c r="A17432" t="str">
        <f t="shared" si="1"/>
        <v>pse#1997</v>
      </c>
      <c r="B17432" t="str">
        <f>IFERROR(__xludf.DUMMYFUNCTION("""COMPUTED_VALUE"""),"pse")</f>
        <v>pse</v>
      </c>
      <c r="C17432" t="str">
        <f>IFERROR(__xludf.DUMMYFUNCTION("""COMPUTED_VALUE"""),"Palestine")</f>
        <v>Palestine</v>
      </c>
      <c r="D17432">
        <f>IFERROR(__xludf.DUMMYFUNCTION("""COMPUTED_VALUE"""),1997.0)</f>
        <v>1997</v>
      </c>
      <c r="E17432">
        <f>IFERROR(__xludf.DUMMYFUNCTION("""COMPUTED_VALUE"""),2871147.0)</f>
        <v>2871147</v>
      </c>
    </row>
    <row r="17433">
      <c r="A17433" t="str">
        <f t="shared" si="1"/>
        <v>pse#1998</v>
      </c>
      <c r="B17433" t="str">
        <f>IFERROR(__xludf.DUMMYFUNCTION("""COMPUTED_VALUE"""),"pse")</f>
        <v>pse</v>
      </c>
      <c r="C17433" t="str">
        <f>IFERROR(__xludf.DUMMYFUNCTION("""COMPUTED_VALUE"""),"Palestine")</f>
        <v>Palestine</v>
      </c>
      <c r="D17433">
        <f>IFERROR(__xludf.DUMMYFUNCTION("""COMPUTED_VALUE"""),1998.0)</f>
        <v>1998</v>
      </c>
      <c r="E17433">
        <f>IFERROR(__xludf.DUMMYFUNCTION("""COMPUTED_VALUE"""),2999862.0)</f>
        <v>2999862</v>
      </c>
    </row>
    <row r="17434">
      <c r="A17434" t="str">
        <f t="shared" si="1"/>
        <v>pse#1999</v>
      </c>
      <c r="B17434" t="str">
        <f>IFERROR(__xludf.DUMMYFUNCTION("""COMPUTED_VALUE"""),"pse")</f>
        <v>pse</v>
      </c>
      <c r="C17434" t="str">
        <f>IFERROR(__xludf.DUMMYFUNCTION("""COMPUTED_VALUE"""),"Palestine")</f>
        <v>Palestine</v>
      </c>
      <c r="D17434">
        <f>IFERROR(__xludf.DUMMYFUNCTION("""COMPUTED_VALUE"""),1999.0)</f>
        <v>1999</v>
      </c>
      <c r="E17434">
        <f>IFERROR(__xludf.DUMMYFUNCTION("""COMPUTED_VALUE"""),3119076.0)</f>
        <v>3119076</v>
      </c>
    </row>
    <row r="17435">
      <c r="A17435" t="str">
        <f t="shared" si="1"/>
        <v>pse#2000</v>
      </c>
      <c r="B17435" t="str">
        <f>IFERROR(__xludf.DUMMYFUNCTION("""COMPUTED_VALUE"""),"pse")</f>
        <v>pse</v>
      </c>
      <c r="C17435" t="str">
        <f>IFERROR(__xludf.DUMMYFUNCTION("""COMPUTED_VALUE"""),"Palestine")</f>
        <v>Palestine</v>
      </c>
      <c r="D17435">
        <f>IFERROR(__xludf.DUMMYFUNCTION("""COMPUTED_VALUE"""),2000.0)</f>
        <v>2000</v>
      </c>
      <c r="E17435">
        <f>IFERROR(__xludf.DUMMYFUNCTION("""COMPUTED_VALUE"""),3223009.0)</f>
        <v>3223009</v>
      </c>
    </row>
    <row r="17436">
      <c r="A17436" t="str">
        <f t="shared" si="1"/>
        <v>pse#2001</v>
      </c>
      <c r="B17436" t="str">
        <f>IFERROR(__xludf.DUMMYFUNCTION("""COMPUTED_VALUE"""),"pse")</f>
        <v>pse</v>
      </c>
      <c r="C17436" t="str">
        <f>IFERROR(__xludf.DUMMYFUNCTION("""COMPUTED_VALUE"""),"Palestine")</f>
        <v>Palestine</v>
      </c>
      <c r="D17436">
        <f>IFERROR(__xludf.DUMMYFUNCTION("""COMPUTED_VALUE"""),2001.0)</f>
        <v>2001</v>
      </c>
      <c r="E17436">
        <f>IFERROR(__xludf.DUMMYFUNCTION("""COMPUTED_VALUE"""),3308750.0)</f>
        <v>3308750</v>
      </c>
    </row>
    <row r="17437">
      <c r="A17437" t="str">
        <f t="shared" si="1"/>
        <v>pse#2002</v>
      </c>
      <c r="B17437" t="str">
        <f>IFERROR(__xludf.DUMMYFUNCTION("""COMPUTED_VALUE"""),"pse")</f>
        <v>pse</v>
      </c>
      <c r="C17437" t="str">
        <f>IFERROR(__xludf.DUMMYFUNCTION("""COMPUTED_VALUE"""),"Palestine")</f>
        <v>Palestine</v>
      </c>
      <c r="D17437">
        <f>IFERROR(__xludf.DUMMYFUNCTION("""COMPUTED_VALUE"""),2002.0)</f>
        <v>2002</v>
      </c>
      <c r="E17437">
        <f>IFERROR(__xludf.DUMMYFUNCTION("""COMPUTED_VALUE"""),3379049.0)</f>
        <v>3379049</v>
      </c>
    </row>
    <row r="17438">
      <c r="A17438" t="str">
        <f t="shared" si="1"/>
        <v>pse#2003</v>
      </c>
      <c r="B17438" t="str">
        <f>IFERROR(__xludf.DUMMYFUNCTION("""COMPUTED_VALUE"""),"pse")</f>
        <v>pse</v>
      </c>
      <c r="C17438" t="str">
        <f>IFERROR(__xludf.DUMMYFUNCTION("""COMPUTED_VALUE"""),"Palestine")</f>
        <v>Palestine</v>
      </c>
      <c r="D17438">
        <f>IFERROR(__xludf.DUMMYFUNCTION("""COMPUTED_VALUE"""),2003.0)</f>
        <v>2003</v>
      </c>
      <c r="E17438">
        <f>IFERROR(__xludf.DUMMYFUNCTION("""COMPUTED_VALUE"""),3440799.0)</f>
        <v>3440799</v>
      </c>
    </row>
    <row r="17439">
      <c r="A17439" t="str">
        <f t="shared" si="1"/>
        <v>pse#2004</v>
      </c>
      <c r="B17439" t="str">
        <f>IFERROR(__xludf.DUMMYFUNCTION("""COMPUTED_VALUE"""),"pse")</f>
        <v>pse</v>
      </c>
      <c r="C17439" t="str">
        <f>IFERROR(__xludf.DUMMYFUNCTION("""COMPUTED_VALUE"""),"Palestine")</f>
        <v>Palestine</v>
      </c>
      <c r="D17439">
        <f>IFERROR(__xludf.DUMMYFUNCTION("""COMPUTED_VALUE"""),2004.0)</f>
        <v>2004</v>
      </c>
      <c r="E17439">
        <f>IFERROR(__xludf.DUMMYFUNCTION("""COMPUTED_VALUE"""),3504041.0)</f>
        <v>3504041</v>
      </c>
    </row>
    <row r="17440">
      <c r="A17440" t="str">
        <f t="shared" si="1"/>
        <v>pse#2005</v>
      </c>
      <c r="B17440" t="str">
        <f>IFERROR(__xludf.DUMMYFUNCTION("""COMPUTED_VALUE"""),"pse")</f>
        <v>pse</v>
      </c>
      <c r="C17440" t="str">
        <f>IFERROR(__xludf.DUMMYFUNCTION("""COMPUTED_VALUE"""),"Palestine")</f>
        <v>Palestine</v>
      </c>
      <c r="D17440">
        <f>IFERROR(__xludf.DUMMYFUNCTION("""COMPUTED_VALUE"""),2005.0)</f>
        <v>2005</v>
      </c>
      <c r="E17440">
        <f>IFERROR(__xludf.DUMMYFUNCTION("""COMPUTED_VALUE"""),3576170.0)</f>
        <v>3576170</v>
      </c>
    </row>
    <row r="17441">
      <c r="A17441" t="str">
        <f t="shared" si="1"/>
        <v>pse#2006</v>
      </c>
      <c r="B17441" t="str">
        <f>IFERROR(__xludf.DUMMYFUNCTION("""COMPUTED_VALUE"""),"pse")</f>
        <v>pse</v>
      </c>
      <c r="C17441" t="str">
        <f>IFERROR(__xludf.DUMMYFUNCTION("""COMPUTED_VALUE"""),"Palestine")</f>
        <v>Palestine</v>
      </c>
      <c r="D17441">
        <f>IFERROR(__xludf.DUMMYFUNCTION("""COMPUTED_VALUE"""),2006.0)</f>
        <v>2006</v>
      </c>
      <c r="E17441">
        <f>IFERROR(__xludf.DUMMYFUNCTION("""COMPUTED_VALUE"""),3659363.0)</f>
        <v>3659363</v>
      </c>
    </row>
    <row r="17442">
      <c r="A17442" t="str">
        <f t="shared" si="1"/>
        <v>pse#2007</v>
      </c>
      <c r="B17442" t="str">
        <f>IFERROR(__xludf.DUMMYFUNCTION("""COMPUTED_VALUE"""),"pse")</f>
        <v>pse</v>
      </c>
      <c r="C17442" t="str">
        <f>IFERROR(__xludf.DUMMYFUNCTION("""COMPUTED_VALUE"""),"Palestine")</f>
        <v>Palestine</v>
      </c>
      <c r="D17442">
        <f>IFERROR(__xludf.DUMMYFUNCTION("""COMPUTED_VALUE"""),2007.0)</f>
        <v>2007</v>
      </c>
      <c r="E17442">
        <f>IFERROR(__xludf.DUMMYFUNCTION("""COMPUTED_VALUE"""),3751866.0)</f>
        <v>3751866</v>
      </c>
    </row>
    <row r="17443">
      <c r="A17443" t="str">
        <f t="shared" si="1"/>
        <v>pse#2008</v>
      </c>
      <c r="B17443" t="str">
        <f>IFERROR(__xludf.DUMMYFUNCTION("""COMPUTED_VALUE"""),"pse")</f>
        <v>pse</v>
      </c>
      <c r="C17443" t="str">
        <f>IFERROR(__xludf.DUMMYFUNCTION("""COMPUTED_VALUE"""),"Palestine")</f>
        <v>Palestine</v>
      </c>
      <c r="D17443">
        <f>IFERROR(__xludf.DUMMYFUNCTION("""COMPUTED_VALUE"""),2008.0)</f>
        <v>2008</v>
      </c>
      <c r="E17443">
        <f>IFERROR(__xludf.DUMMYFUNCTION("""COMPUTED_VALUE"""),3852310.0)</f>
        <v>3852310</v>
      </c>
    </row>
    <row r="17444">
      <c r="A17444" t="str">
        <f t="shared" si="1"/>
        <v>pse#2009</v>
      </c>
      <c r="B17444" t="str">
        <f>IFERROR(__xludf.DUMMYFUNCTION("""COMPUTED_VALUE"""),"pse")</f>
        <v>pse</v>
      </c>
      <c r="C17444" t="str">
        <f>IFERROR(__xludf.DUMMYFUNCTION("""COMPUTED_VALUE"""),"Palestine")</f>
        <v>Palestine</v>
      </c>
      <c r="D17444">
        <f>IFERROR(__xludf.DUMMYFUNCTION("""COMPUTED_VALUE"""),2009.0)</f>
        <v>2009</v>
      </c>
      <c r="E17444">
        <f>IFERROR(__xludf.DUMMYFUNCTION("""COMPUTED_VALUE"""),3957984.0)</f>
        <v>3957984</v>
      </c>
    </row>
    <row r="17445">
      <c r="A17445" t="str">
        <f t="shared" si="1"/>
        <v>pse#2010</v>
      </c>
      <c r="B17445" t="str">
        <f>IFERROR(__xludf.DUMMYFUNCTION("""COMPUTED_VALUE"""),"pse")</f>
        <v>pse</v>
      </c>
      <c r="C17445" t="str">
        <f>IFERROR(__xludf.DUMMYFUNCTION("""COMPUTED_VALUE"""),"Palestine")</f>
        <v>Palestine</v>
      </c>
      <c r="D17445">
        <f>IFERROR(__xludf.DUMMYFUNCTION("""COMPUTED_VALUE"""),2010.0)</f>
        <v>2010</v>
      </c>
      <c r="E17445">
        <f>IFERROR(__xludf.DUMMYFUNCTION("""COMPUTED_VALUE"""),4066829.0)</f>
        <v>4066829</v>
      </c>
    </row>
    <row r="17446">
      <c r="A17446" t="str">
        <f t="shared" si="1"/>
        <v>pse#2011</v>
      </c>
      <c r="B17446" t="str">
        <f>IFERROR(__xludf.DUMMYFUNCTION("""COMPUTED_VALUE"""),"pse")</f>
        <v>pse</v>
      </c>
      <c r="C17446" t="str">
        <f>IFERROR(__xludf.DUMMYFUNCTION("""COMPUTED_VALUE"""),"Palestine")</f>
        <v>Palestine</v>
      </c>
      <c r="D17446">
        <f>IFERROR(__xludf.DUMMYFUNCTION("""COMPUTED_VALUE"""),2011.0)</f>
        <v>2011</v>
      </c>
      <c r="E17446">
        <f>IFERROR(__xludf.DUMMYFUNCTION("""COMPUTED_VALUE"""),4178875.0)</f>
        <v>4178875</v>
      </c>
    </row>
    <row r="17447">
      <c r="A17447" t="str">
        <f t="shared" si="1"/>
        <v>pse#2012</v>
      </c>
      <c r="B17447" t="str">
        <f>IFERROR(__xludf.DUMMYFUNCTION("""COMPUTED_VALUE"""),"pse")</f>
        <v>pse</v>
      </c>
      <c r="C17447" t="str">
        <f>IFERROR(__xludf.DUMMYFUNCTION("""COMPUTED_VALUE"""),"Palestine")</f>
        <v>Palestine</v>
      </c>
      <c r="D17447">
        <f>IFERROR(__xludf.DUMMYFUNCTION("""COMPUTED_VALUE"""),2012.0)</f>
        <v>2012</v>
      </c>
      <c r="E17447">
        <f>IFERROR(__xludf.DUMMYFUNCTION("""COMPUTED_VALUE"""),4294960.0)</f>
        <v>4294960</v>
      </c>
    </row>
    <row r="17448">
      <c r="A17448" t="str">
        <f t="shared" si="1"/>
        <v>pse#2013</v>
      </c>
      <c r="B17448" t="str">
        <f>IFERROR(__xludf.DUMMYFUNCTION("""COMPUTED_VALUE"""),"pse")</f>
        <v>pse</v>
      </c>
      <c r="C17448" t="str">
        <f>IFERROR(__xludf.DUMMYFUNCTION("""COMPUTED_VALUE"""),"Palestine")</f>
        <v>Palestine</v>
      </c>
      <c r="D17448">
        <f>IFERROR(__xludf.DUMMYFUNCTION("""COMPUTED_VALUE"""),2013.0)</f>
        <v>2013</v>
      </c>
      <c r="E17448">
        <f>IFERROR(__xludf.DUMMYFUNCTION("""COMPUTED_VALUE"""),4414644.0)</f>
        <v>4414644</v>
      </c>
    </row>
    <row r="17449">
      <c r="A17449" t="str">
        <f t="shared" si="1"/>
        <v>pse#2014</v>
      </c>
      <c r="B17449" t="str">
        <f>IFERROR(__xludf.DUMMYFUNCTION("""COMPUTED_VALUE"""),"pse")</f>
        <v>pse</v>
      </c>
      <c r="C17449" t="str">
        <f>IFERROR(__xludf.DUMMYFUNCTION("""COMPUTED_VALUE"""),"Palestine")</f>
        <v>Palestine</v>
      </c>
      <c r="D17449">
        <f>IFERROR(__xludf.DUMMYFUNCTION("""COMPUTED_VALUE"""),2014.0)</f>
        <v>2014</v>
      </c>
      <c r="E17449">
        <f>IFERROR(__xludf.DUMMYFUNCTION("""COMPUTED_VALUE"""),4537425.0)</f>
        <v>4537425</v>
      </c>
    </row>
    <row r="17450">
      <c r="A17450" t="str">
        <f t="shared" si="1"/>
        <v>pse#2015</v>
      </c>
      <c r="B17450" t="str">
        <f>IFERROR(__xludf.DUMMYFUNCTION("""COMPUTED_VALUE"""),"pse")</f>
        <v>pse</v>
      </c>
      <c r="C17450" t="str">
        <f>IFERROR(__xludf.DUMMYFUNCTION("""COMPUTED_VALUE"""),"Palestine")</f>
        <v>Palestine</v>
      </c>
      <c r="D17450">
        <f>IFERROR(__xludf.DUMMYFUNCTION("""COMPUTED_VALUE"""),2015.0)</f>
        <v>2015</v>
      </c>
      <c r="E17450">
        <f>IFERROR(__xludf.DUMMYFUNCTION("""COMPUTED_VALUE"""),4662884.0)</f>
        <v>4662884</v>
      </c>
    </row>
    <row r="17451">
      <c r="A17451" t="str">
        <f t="shared" si="1"/>
        <v>pse#2016</v>
      </c>
      <c r="B17451" t="str">
        <f>IFERROR(__xludf.DUMMYFUNCTION("""COMPUTED_VALUE"""),"pse")</f>
        <v>pse</v>
      </c>
      <c r="C17451" t="str">
        <f>IFERROR(__xludf.DUMMYFUNCTION("""COMPUTED_VALUE"""),"Palestine")</f>
        <v>Palestine</v>
      </c>
      <c r="D17451">
        <f>IFERROR(__xludf.DUMMYFUNCTION("""COMPUTED_VALUE"""),2016.0)</f>
        <v>2016</v>
      </c>
      <c r="E17451">
        <f>IFERROR(__xludf.DUMMYFUNCTION("""COMPUTED_VALUE"""),4790705.0)</f>
        <v>4790705</v>
      </c>
    </row>
    <row r="17452">
      <c r="A17452" t="str">
        <f t="shared" si="1"/>
        <v>pse#2017</v>
      </c>
      <c r="B17452" t="str">
        <f>IFERROR(__xludf.DUMMYFUNCTION("""COMPUTED_VALUE"""),"pse")</f>
        <v>pse</v>
      </c>
      <c r="C17452" t="str">
        <f>IFERROR(__xludf.DUMMYFUNCTION("""COMPUTED_VALUE"""),"Palestine")</f>
        <v>Palestine</v>
      </c>
      <c r="D17452">
        <f>IFERROR(__xludf.DUMMYFUNCTION("""COMPUTED_VALUE"""),2017.0)</f>
        <v>2017</v>
      </c>
      <c r="E17452">
        <f>IFERROR(__xludf.DUMMYFUNCTION("""COMPUTED_VALUE"""),4920724.0)</f>
        <v>4920724</v>
      </c>
    </row>
    <row r="17453">
      <c r="A17453" t="str">
        <f t="shared" si="1"/>
        <v>pse#2018</v>
      </c>
      <c r="B17453" t="str">
        <f>IFERROR(__xludf.DUMMYFUNCTION("""COMPUTED_VALUE"""),"pse")</f>
        <v>pse</v>
      </c>
      <c r="C17453" t="str">
        <f>IFERROR(__xludf.DUMMYFUNCTION("""COMPUTED_VALUE"""),"Palestine")</f>
        <v>Palestine</v>
      </c>
      <c r="D17453">
        <f>IFERROR(__xludf.DUMMYFUNCTION("""COMPUTED_VALUE"""),2018.0)</f>
        <v>2018</v>
      </c>
      <c r="E17453">
        <f>IFERROR(__xludf.DUMMYFUNCTION("""COMPUTED_VALUE"""),5052776.0)</f>
        <v>5052776</v>
      </c>
    </row>
    <row r="17454">
      <c r="A17454" t="str">
        <f t="shared" si="1"/>
        <v>pse#2019</v>
      </c>
      <c r="B17454" t="str">
        <f>IFERROR(__xludf.DUMMYFUNCTION("""COMPUTED_VALUE"""),"pse")</f>
        <v>pse</v>
      </c>
      <c r="C17454" t="str">
        <f>IFERROR(__xludf.DUMMYFUNCTION("""COMPUTED_VALUE"""),"Palestine")</f>
        <v>Palestine</v>
      </c>
      <c r="D17454">
        <f>IFERROR(__xludf.DUMMYFUNCTION("""COMPUTED_VALUE"""),2019.0)</f>
        <v>2019</v>
      </c>
      <c r="E17454">
        <f>IFERROR(__xludf.DUMMYFUNCTION("""COMPUTED_VALUE"""),5186790.0)</f>
        <v>5186790</v>
      </c>
    </row>
    <row r="17455">
      <c r="A17455" t="str">
        <f t="shared" si="1"/>
        <v>pse#2020</v>
      </c>
      <c r="B17455" t="str">
        <f>IFERROR(__xludf.DUMMYFUNCTION("""COMPUTED_VALUE"""),"pse")</f>
        <v>pse</v>
      </c>
      <c r="C17455" t="str">
        <f>IFERROR(__xludf.DUMMYFUNCTION("""COMPUTED_VALUE"""),"Palestine")</f>
        <v>Palestine</v>
      </c>
      <c r="D17455">
        <f>IFERROR(__xludf.DUMMYFUNCTION("""COMPUTED_VALUE"""),2020.0)</f>
        <v>2020</v>
      </c>
      <c r="E17455">
        <f>IFERROR(__xludf.DUMMYFUNCTION("""COMPUTED_VALUE"""),5322629.0)</f>
        <v>5322629</v>
      </c>
    </row>
    <row r="17456">
      <c r="A17456" t="str">
        <f t="shared" si="1"/>
        <v>pse#2021</v>
      </c>
      <c r="B17456" t="str">
        <f>IFERROR(__xludf.DUMMYFUNCTION("""COMPUTED_VALUE"""),"pse")</f>
        <v>pse</v>
      </c>
      <c r="C17456" t="str">
        <f>IFERROR(__xludf.DUMMYFUNCTION("""COMPUTED_VALUE"""),"Palestine")</f>
        <v>Palestine</v>
      </c>
      <c r="D17456">
        <f>IFERROR(__xludf.DUMMYFUNCTION("""COMPUTED_VALUE"""),2021.0)</f>
        <v>2021</v>
      </c>
      <c r="E17456">
        <f>IFERROR(__xludf.DUMMYFUNCTION("""COMPUTED_VALUE"""),5460157.0)</f>
        <v>5460157</v>
      </c>
    </row>
    <row r="17457">
      <c r="A17457" t="str">
        <f t="shared" si="1"/>
        <v>pse#2022</v>
      </c>
      <c r="B17457" t="str">
        <f>IFERROR(__xludf.DUMMYFUNCTION("""COMPUTED_VALUE"""),"pse")</f>
        <v>pse</v>
      </c>
      <c r="C17457" t="str">
        <f>IFERROR(__xludf.DUMMYFUNCTION("""COMPUTED_VALUE"""),"Palestine")</f>
        <v>Palestine</v>
      </c>
      <c r="D17457">
        <f>IFERROR(__xludf.DUMMYFUNCTION("""COMPUTED_VALUE"""),2022.0)</f>
        <v>2022</v>
      </c>
      <c r="E17457">
        <f>IFERROR(__xludf.DUMMYFUNCTION("""COMPUTED_VALUE"""),5599139.0)</f>
        <v>5599139</v>
      </c>
    </row>
    <row r="17458">
      <c r="A17458" t="str">
        <f t="shared" si="1"/>
        <v>pse#2023</v>
      </c>
      <c r="B17458" t="str">
        <f>IFERROR(__xludf.DUMMYFUNCTION("""COMPUTED_VALUE"""),"pse")</f>
        <v>pse</v>
      </c>
      <c r="C17458" t="str">
        <f>IFERROR(__xludf.DUMMYFUNCTION("""COMPUTED_VALUE"""),"Palestine")</f>
        <v>Palestine</v>
      </c>
      <c r="D17458">
        <f>IFERROR(__xludf.DUMMYFUNCTION("""COMPUTED_VALUE"""),2023.0)</f>
        <v>2023</v>
      </c>
      <c r="E17458">
        <f>IFERROR(__xludf.DUMMYFUNCTION("""COMPUTED_VALUE"""),5739325.0)</f>
        <v>5739325</v>
      </c>
    </row>
    <row r="17459">
      <c r="A17459" t="str">
        <f t="shared" si="1"/>
        <v>pse#2024</v>
      </c>
      <c r="B17459" t="str">
        <f>IFERROR(__xludf.DUMMYFUNCTION("""COMPUTED_VALUE"""),"pse")</f>
        <v>pse</v>
      </c>
      <c r="C17459" t="str">
        <f>IFERROR(__xludf.DUMMYFUNCTION("""COMPUTED_VALUE"""),"Palestine")</f>
        <v>Palestine</v>
      </c>
      <c r="D17459">
        <f>IFERROR(__xludf.DUMMYFUNCTION("""COMPUTED_VALUE"""),2024.0)</f>
        <v>2024</v>
      </c>
      <c r="E17459">
        <f>IFERROR(__xludf.DUMMYFUNCTION("""COMPUTED_VALUE"""),5880448.0)</f>
        <v>5880448</v>
      </c>
    </row>
    <row r="17460">
      <c r="A17460" t="str">
        <f t="shared" si="1"/>
        <v>pse#2025</v>
      </c>
      <c r="B17460" t="str">
        <f>IFERROR(__xludf.DUMMYFUNCTION("""COMPUTED_VALUE"""),"pse")</f>
        <v>pse</v>
      </c>
      <c r="C17460" t="str">
        <f>IFERROR(__xludf.DUMMYFUNCTION("""COMPUTED_VALUE"""),"Palestine")</f>
        <v>Palestine</v>
      </c>
      <c r="D17460">
        <f>IFERROR(__xludf.DUMMYFUNCTION("""COMPUTED_VALUE"""),2025.0)</f>
        <v>2025</v>
      </c>
      <c r="E17460">
        <f>IFERROR(__xludf.DUMMYFUNCTION("""COMPUTED_VALUE"""),6022270.0)</f>
        <v>6022270</v>
      </c>
    </row>
    <row r="17461">
      <c r="A17461" t="str">
        <f t="shared" si="1"/>
        <v>pse#2026</v>
      </c>
      <c r="B17461" t="str">
        <f>IFERROR(__xludf.DUMMYFUNCTION("""COMPUTED_VALUE"""),"pse")</f>
        <v>pse</v>
      </c>
      <c r="C17461" t="str">
        <f>IFERROR(__xludf.DUMMYFUNCTION("""COMPUTED_VALUE"""),"Palestine")</f>
        <v>Palestine</v>
      </c>
      <c r="D17461">
        <f>IFERROR(__xludf.DUMMYFUNCTION("""COMPUTED_VALUE"""),2026.0)</f>
        <v>2026</v>
      </c>
      <c r="E17461">
        <f>IFERROR(__xludf.DUMMYFUNCTION("""COMPUTED_VALUE"""),6164642.0)</f>
        <v>6164642</v>
      </c>
    </row>
    <row r="17462">
      <c r="A17462" t="str">
        <f t="shared" si="1"/>
        <v>pse#2027</v>
      </c>
      <c r="B17462" t="str">
        <f>IFERROR(__xludf.DUMMYFUNCTION("""COMPUTED_VALUE"""),"pse")</f>
        <v>pse</v>
      </c>
      <c r="C17462" t="str">
        <f>IFERROR(__xludf.DUMMYFUNCTION("""COMPUTED_VALUE"""),"Palestine")</f>
        <v>Palestine</v>
      </c>
      <c r="D17462">
        <f>IFERROR(__xludf.DUMMYFUNCTION("""COMPUTED_VALUE"""),2027.0)</f>
        <v>2027</v>
      </c>
      <c r="E17462">
        <f>IFERROR(__xludf.DUMMYFUNCTION("""COMPUTED_VALUE"""),6307518.0)</f>
        <v>6307518</v>
      </c>
    </row>
    <row r="17463">
      <c r="A17463" t="str">
        <f t="shared" si="1"/>
        <v>pse#2028</v>
      </c>
      <c r="B17463" t="str">
        <f>IFERROR(__xludf.DUMMYFUNCTION("""COMPUTED_VALUE"""),"pse")</f>
        <v>pse</v>
      </c>
      <c r="C17463" t="str">
        <f>IFERROR(__xludf.DUMMYFUNCTION("""COMPUTED_VALUE"""),"Palestine")</f>
        <v>Palestine</v>
      </c>
      <c r="D17463">
        <f>IFERROR(__xludf.DUMMYFUNCTION("""COMPUTED_VALUE"""),2028.0)</f>
        <v>2028</v>
      </c>
      <c r="E17463">
        <f>IFERROR(__xludf.DUMMYFUNCTION("""COMPUTED_VALUE"""),6450860.0)</f>
        <v>6450860</v>
      </c>
    </row>
    <row r="17464">
      <c r="A17464" t="str">
        <f t="shared" si="1"/>
        <v>pse#2029</v>
      </c>
      <c r="B17464" t="str">
        <f>IFERROR(__xludf.DUMMYFUNCTION("""COMPUTED_VALUE"""),"pse")</f>
        <v>pse</v>
      </c>
      <c r="C17464" t="str">
        <f>IFERROR(__xludf.DUMMYFUNCTION("""COMPUTED_VALUE"""),"Palestine")</f>
        <v>Palestine</v>
      </c>
      <c r="D17464">
        <f>IFERROR(__xludf.DUMMYFUNCTION("""COMPUTED_VALUE"""),2029.0)</f>
        <v>2029</v>
      </c>
      <c r="E17464">
        <f>IFERROR(__xludf.DUMMYFUNCTION("""COMPUTED_VALUE"""),6594701.0)</f>
        <v>6594701</v>
      </c>
    </row>
    <row r="17465">
      <c r="A17465" t="str">
        <f t="shared" si="1"/>
        <v>pse#2030</v>
      </c>
      <c r="B17465" t="str">
        <f>IFERROR(__xludf.DUMMYFUNCTION("""COMPUTED_VALUE"""),"pse")</f>
        <v>pse</v>
      </c>
      <c r="C17465" t="str">
        <f>IFERROR(__xludf.DUMMYFUNCTION("""COMPUTED_VALUE"""),"Palestine")</f>
        <v>Palestine</v>
      </c>
      <c r="D17465">
        <f>IFERROR(__xludf.DUMMYFUNCTION("""COMPUTED_VALUE"""),2030.0)</f>
        <v>2030</v>
      </c>
      <c r="E17465">
        <f>IFERROR(__xludf.DUMMYFUNCTION("""COMPUTED_VALUE"""),6739073.0)</f>
        <v>6739073</v>
      </c>
    </row>
    <row r="17466">
      <c r="A17466" t="str">
        <f t="shared" si="1"/>
        <v>pse#2031</v>
      </c>
      <c r="B17466" t="str">
        <f>IFERROR(__xludf.DUMMYFUNCTION("""COMPUTED_VALUE"""),"pse")</f>
        <v>pse</v>
      </c>
      <c r="C17466" t="str">
        <f>IFERROR(__xludf.DUMMYFUNCTION("""COMPUTED_VALUE"""),"Palestine")</f>
        <v>Palestine</v>
      </c>
      <c r="D17466">
        <f>IFERROR(__xludf.DUMMYFUNCTION("""COMPUTED_VALUE"""),2031.0)</f>
        <v>2031</v>
      </c>
      <c r="E17466">
        <f>IFERROR(__xludf.DUMMYFUNCTION("""COMPUTED_VALUE"""),6883904.0)</f>
        <v>6883904</v>
      </c>
    </row>
    <row r="17467">
      <c r="A17467" t="str">
        <f t="shared" si="1"/>
        <v>pse#2032</v>
      </c>
      <c r="B17467" t="str">
        <f>IFERROR(__xludf.DUMMYFUNCTION("""COMPUTED_VALUE"""),"pse")</f>
        <v>pse</v>
      </c>
      <c r="C17467" t="str">
        <f>IFERROR(__xludf.DUMMYFUNCTION("""COMPUTED_VALUE"""),"Palestine")</f>
        <v>Palestine</v>
      </c>
      <c r="D17467">
        <f>IFERROR(__xludf.DUMMYFUNCTION("""COMPUTED_VALUE"""),2032.0)</f>
        <v>2032</v>
      </c>
      <c r="E17467">
        <f>IFERROR(__xludf.DUMMYFUNCTION("""COMPUTED_VALUE"""),7029150.0)</f>
        <v>7029150</v>
      </c>
    </row>
    <row r="17468">
      <c r="A17468" t="str">
        <f t="shared" si="1"/>
        <v>pse#2033</v>
      </c>
      <c r="B17468" t="str">
        <f>IFERROR(__xludf.DUMMYFUNCTION("""COMPUTED_VALUE"""),"pse")</f>
        <v>pse</v>
      </c>
      <c r="C17468" t="str">
        <f>IFERROR(__xludf.DUMMYFUNCTION("""COMPUTED_VALUE"""),"Palestine")</f>
        <v>Palestine</v>
      </c>
      <c r="D17468">
        <f>IFERROR(__xludf.DUMMYFUNCTION("""COMPUTED_VALUE"""),2033.0)</f>
        <v>2033</v>
      </c>
      <c r="E17468">
        <f>IFERROR(__xludf.DUMMYFUNCTION("""COMPUTED_VALUE"""),7174824.0)</f>
        <v>7174824</v>
      </c>
    </row>
    <row r="17469">
      <c r="A17469" t="str">
        <f t="shared" si="1"/>
        <v>pse#2034</v>
      </c>
      <c r="B17469" t="str">
        <f>IFERROR(__xludf.DUMMYFUNCTION("""COMPUTED_VALUE"""),"pse")</f>
        <v>pse</v>
      </c>
      <c r="C17469" t="str">
        <f>IFERROR(__xludf.DUMMYFUNCTION("""COMPUTED_VALUE"""),"Palestine")</f>
        <v>Palestine</v>
      </c>
      <c r="D17469">
        <f>IFERROR(__xludf.DUMMYFUNCTION("""COMPUTED_VALUE"""),2034.0)</f>
        <v>2034</v>
      </c>
      <c r="E17469">
        <f>IFERROR(__xludf.DUMMYFUNCTION("""COMPUTED_VALUE"""),7320996.0)</f>
        <v>7320996</v>
      </c>
    </row>
    <row r="17470">
      <c r="A17470" t="str">
        <f t="shared" si="1"/>
        <v>pse#2035</v>
      </c>
      <c r="B17470" t="str">
        <f>IFERROR(__xludf.DUMMYFUNCTION("""COMPUTED_VALUE"""),"pse")</f>
        <v>pse</v>
      </c>
      <c r="C17470" t="str">
        <f>IFERROR(__xludf.DUMMYFUNCTION("""COMPUTED_VALUE"""),"Palestine")</f>
        <v>Palestine</v>
      </c>
      <c r="D17470">
        <f>IFERROR(__xludf.DUMMYFUNCTION("""COMPUTED_VALUE"""),2035.0)</f>
        <v>2035</v>
      </c>
      <c r="E17470">
        <f>IFERROR(__xludf.DUMMYFUNCTION("""COMPUTED_VALUE"""),7467678.0)</f>
        <v>7467678</v>
      </c>
    </row>
    <row r="17471">
      <c r="A17471" t="str">
        <f t="shared" si="1"/>
        <v>pse#2036</v>
      </c>
      <c r="B17471" t="str">
        <f>IFERROR(__xludf.DUMMYFUNCTION("""COMPUTED_VALUE"""),"pse")</f>
        <v>pse</v>
      </c>
      <c r="C17471" t="str">
        <f>IFERROR(__xludf.DUMMYFUNCTION("""COMPUTED_VALUE"""),"Palestine")</f>
        <v>Palestine</v>
      </c>
      <c r="D17471">
        <f>IFERROR(__xludf.DUMMYFUNCTION("""COMPUTED_VALUE"""),2036.0)</f>
        <v>2036</v>
      </c>
      <c r="E17471">
        <f>IFERROR(__xludf.DUMMYFUNCTION("""COMPUTED_VALUE"""),7614868.0)</f>
        <v>7614868</v>
      </c>
    </row>
    <row r="17472">
      <c r="A17472" t="str">
        <f t="shared" si="1"/>
        <v>pse#2037</v>
      </c>
      <c r="B17472" t="str">
        <f>IFERROR(__xludf.DUMMYFUNCTION("""COMPUTED_VALUE"""),"pse")</f>
        <v>pse</v>
      </c>
      <c r="C17472" t="str">
        <f>IFERROR(__xludf.DUMMYFUNCTION("""COMPUTED_VALUE"""),"Palestine")</f>
        <v>Palestine</v>
      </c>
      <c r="D17472">
        <f>IFERROR(__xludf.DUMMYFUNCTION("""COMPUTED_VALUE"""),2037.0)</f>
        <v>2037</v>
      </c>
      <c r="E17472">
        <f>IFERROR(__xludf.DUMMYFUNCTION("""COMPUTED_VALUE"""),7762499.0)</f>
        <v>7762499</v>
      </c>
    </row>
    <row r="17473">
      <c r="A17473" t="str">
        <f t="shared" si="1"/>
        <v>pse#2038</v>
      </c>
      <c r="B17473" t="str">
        <f>IFERROR(__xludf.DUMMYFUNCTION("""COMPUTED_VALUE"""),"pse")</f>
        <v>pse</v>
      </c>
      <c r="C17473" t="str">
        <f>IFERROR(__xludf.DUMMYFUNCTION("""COMPUTED_VALUE"""),"Palestine")</f>
        <v>Palestine</v>
      </c>
      <c r="D17473">
        <f>IFERROR(__xludf.DUMMYFUNCTION("""COMPUTED_VALUE"""),2038.0)</f>
        <v>2038</v>
      </c>
      <c r="E17473">
        <f>IFERROR(__xludf.DUMMYFUNCTION("""COMPUTED_VALUE"""),7910586.0)</f>
        <v>7910586</v>
      </c>
    </row>
    <row r="17474">
      <c r="A17474" t="str">
        <f t="shared" si="1"/>
        <v>pse#2039</v>
      </c>
      <c r="B17474" t="str">
        <f>IFERROR(__xludf.DUMMYFUNCTION("""COMPUTED_VALUE"""),"pse")</f>
        <v>pse</v>
      </c>
      <c r="C17474" t="str">
        <f>IFERROR(__xludf.DUMMYFUNCTION("""COMPUTED_VALUE"""),"Palestine")</f>
        <v>Palestine</v>
      </c>
      <c r="D17474">
        <f>IFERROR(__xludf.DUMMYFUNCTION("""COMPUTED_VALUE"""),2039.0)</f>
        <v>2039</v>
      </c>
      <c r="E17474">
        <f>IFERROR(__xludf.DUMMYFUNCTION("""COMPUTED_VALUE"""),8059122.0)</f>
        <v>8059122</v>
      </c>
    </row>
    <row r="17475">
      <c r="A17475" t="str">
        <f t="shared" si="1"/>
        <v>pse#2040</v>
      </c>
      <c r="B17475" t="str">
        <f>IFERROR(__xludf.DUMMYFUNCTION("""COMPUTED_VALUE"""),"pse")</f>
        <v>pse</v>
      </c>
      <c r="C17475" t="str">
        <f>IFERROR(__xludf.DUMMYFUNCTION("""COMPUTED_VALUE"""),"Palestine")</f>
        <v>Palestine</v>
      </c>
      <c r="D17475">
        <f>IFERROR(__xludf.DUMMYFUNCTION("""COMPUTED_VALUE"""),2040.0)</f>
        <v>2040</v>
      </c>
      <c r="E17475">
        <f>IFERROR(__xludf.DUMMYFUNCTION("""COMPUTED_VALUE"""),8208074.0)</f>
        <v>8208074</v>
      </c>
    </row>
    <row r="17476">
      <c r="A17476" t="str">
        <f t="shared" si="1"/>
        <v>vnm#1950</v>
      </c>
      <c r="B17476" t="str">
        <f>IFERROR(__xludf.DUMMYFUNCTION("""COMPUTED_VALUE"""),"vnm")</f>
        <v>vnm</v>
      </c>
      <c r="C17476" t="str">
        <f>IFERROR(__xludf.DUMMYFUNCTION("""COMPUTED_VALUE"""),"Vietnam")</f>
        <v>Vietnam</v>
      </c>
      <c r="D17476">
        <f>IFERROR(__xludf.DUMMYFUNCTION("""COMPUTED_VALUE"""),1950.0)</f>
        <v>1950</v>
      </c>
      <c r="E17476">
        <f>IFERROR(__xludf.DUMMYFUNCTION("""COMPUTED_VALUE"""),2.4809906E7)</f>
        <v>24809906</v>
      </c>
    </row>
    <row r="17477">
      <c r="A17477" t="str">
        <f t="shared" si="1"/>
        <v>vnm#1951</v>
      </c>
      <c r="B17477" t="str">
        <f>IFERROR(__xludf.DUMMYFUNCTION("""COMPUTED_VALUE"""),"vnm")</f>
        <v>vnm</v>
      </c>
      <c r="C17477" t="str">
        <f>IFERROR(__xludf.DUMMYFUNCTION("""COMPUTED_VALUE"""),"Vietnam")</f>
        <v>Vietnam</v>
      </c>
      <c r="D17477">
        <f>IFERROR(__xludf.DUMMYFUNCTION("""COMPUTED_VALUE"""),1951.0)</f>
        <v>1951</v>
      </c>
      <c r="E17477">
        <f>IFERROR(__xludf.DUMMYFUNCTION("""COMPUTED_VALUE"""),2.5364453E7)</f>
        <v>25364453</v>
      </c>
    </row>
    <row r="17478">
      <c r="A17478" t="str">
        <f t="shared" si="1"/>
        <v>vnm#1952</v>
      </c>
      <c r="B17478" t="str">
        <f>IFERROR(__xludf.DUMMYFUNCTION("""COMPUTED_VALUE"""),"vnm")</f>
        <v>vnm</v>
      </c>
      <c r="C17478" t="str">
        <f>IFERROR(__xludf.DUMMYFUNCTION("""COMPUTED_VALUE"""),"Vietnam")</f>
        <v>Vietnam</v>
      </c>
      <c r="D17478">
        <f>IFERROR(__xludf.DUMMYFUNCTION("""COMPUTED_VALUE"""),1952.0)</f>
        <v>1952</v>
      </c>
      <c r="E17478">
        <f>IFERROR(__xludf.DUMMYFUNCTION("""COMPUTED_VALUE"""),2.5976838E7)</f>
        <v>25976838</v>
      </c>
    </row>
    <row r="17479">
      <c r="A17479" t="str">
        <f t="shared" si="1"/>
        <v>vnm#1953</v>
      </c>
      <c r="B17479" t="str">
        <f>IFERROR(__xludf.DUMMYFUNCTION("""COMPUTED_VALUE"""),"vnm")</f>
        <v>vnm</v>
      </c>
      <c r="C17479" t="str">
        <f>IFERROR(__xludf.DUMMYFUNCTION("""COMPUTED_VALUE"""),"Vietnam")</f>
        <v>Vietnam</v>
      </c>
      <c r="D17479">
        <f>IFERROR(__xludf.DUMMYFUNCTION("""COMPUTED_VALUE"""),1953.0)</f>
        <v>1953</v>
      </c>
      <c r="E17479">
        <f>IFERROR(__xludf.DUMMYFUNCTION("""COMPUTED_VALUE"""),2.6646172E7)</f>
        <v>26646172</v>
      </c>
    </row>
    <row r="17480">
      <c r="A17480" t="str">
        <f t="shared" si="1"/>
        <v>vnm#1954</v>
      </c>
      <c r="B17480" t="str">
        <f>IFERROR(__xludf.DUMMYFUNCTION("""COMPUTED_VALUE"""),"vnm")</f>
        <v>vnm</v>
      </c>
      <c r="C17480" t="str">
        <f>IFERROR(__xludf.DUMMYFUNCTION("""COMPUTED_VALUE"""),"Vietnam")</f>
        <v>Vietnam</v>
      </c>
      <c r="D17480">
        <f>IFERROR(__xludf.DUMMYFUNCTION("""COMPUTED_VALUE"""),1954.0)</f>
        <v>1954</v>
      </c>
      <c r="E17480">
        <f>IFERROR(__xludf.DUMMYFUNCTION("""COMPUTED_VALUE"""),2.7370702E7)</f>
        <v>27370702</v>
      </c>
    </row>
    <row r="17481">
      <c r="A17481" t="str">
        <f t="shared" si="1"/>
        <v>vnm#1955</v>
      </c>
      <c r="B17481" t="str">
        <f>IFERROR(__xludf.DUMMYFUNCTION("""COMPUTED_VALUE"""),"vnm")</f>
        <v>vnm</v>
      </c>
      <c r="C17481" t="str">
        <f>IFERROR(__xludf.DUMMYFUNCTION("""COMPUTED_VALUE"""),"Vietnam")</f>
        <v>Vietnam</v>
      </c>
      <c r="D17481">
        <f>IFERROR(__xludf.DUMMYFUNCTION("""COMPUTED_VALUE"""),1955.0)</f>
        <v>1955</v>
      </c>
      <c r="E17481">
        <f>IFERROR(__xludf.DUMMYFUNCTION("""COMPUTED_VALUE"""),2.8147786E7)</f>
        <v>28147786</v>
      </c>
    </row>
    <row r="17482">
      <c r="A17482" t="str">
        <f t="shared" si="1"/>
        <v>vnm#1956</v>
      </c>
      <c r="B17482" t="str">
        <f>IFERROR(__xludf.DUMMYFUNCTION("""COMPUTED_VALUE"""),"vnm")</f>
        <v>vnm</v>
      </c>
      <c r="C17482" t="str">
        <f>IFERROR(__xludf.DUMMYFUNCTION("""COMPUTED_VALUE"""),"Vietnam")</f>
        <v>Vietnam</v>
      </c>
      <c r="D17482">
        <f>IFERROR(__xludf.DUMMYFUNCTION("""COMPUTED_VALUE"""),1956.0)</f>
        <v>1956</v>
      </c>
      <c r="E17482">
        <f>IFERROR(__xludf.DUMMYFUNCTION("""COMPUTED_VALUE"""),2.8973874E7)</f>
        <v>28973874</v>
      </c>
    </row>
    <row r="17483">
      <c r="A17483" t="str">
        <f t="shared" si="1"/>
        <v>vnm#1957</v>
      </c>
      <c r="B17483" t="str">
        <f>IFERROR(__xludf.DUMMYFUNCTION("""COMPUTED_VALUE"""),"vnm")</f>
        <v>vnm</v>
      </c>
      <c r="C17483" t="str">
        <f>IFERROR(__xludf.DUMMYFUNCTION("""COMPUTED_VALUE"""),"Vietnam")</f>
        <v>Vietnam</v>
      </c>
      <c r="D17483">
        <f>IFERROR(__xludf.DUMMYFUNCTION("""COMPUTED_VALUE"""),1957.0)</f>
        <v>1957</v>
      </c>
      <c r="E17483">
        <f>IFERROR(__xludf.DUMMYFUNCTION("""COMPUTED_VALUE"""),2.9844531E7)</f>
        <v>29844531</v>
      </c>
    </row>
    <row r="17484">
      <c r="A17484" t="str">
        <f t="shared" si="1"/>
        <v>vnm#1958</v>
      </c>
      <c r="B17484" t="str">
        <f>IFERROR(__xludf.DUMMYFUNCTION("""COMPUTED_VALUE"""),"vnm")</f>
        <v>vnm</v>
      </c>
      <c r="C17484" t="str">
        <f>IFERROR(__xludf.DUMMYFUNCTION("""COMPUTED_VALUE"""),"Vietnam")</f>
        <v>Vietnam</v>
      </c>
      <c r="D17484">
        <f>IFERROR(__xludf.DUMMYFUNCTION("""COMPUTED_VALUE"""),1958.0)</f>
        <v>1958</v>
      </c>
      <c r="E17484">
        <f>IFERROR(__xludf.DUMMYFUNCTION("""COMPUTED_VALUE"""),3.0754608E7)</f>
        <v>30754608</v>
      </c>
    </row>
    <row r="17485">
      <c r="A17485" t="str">
        <f t="shared" si="1"/>
        <v>vnm#1959</v>
      </c>
      <c r="B17485" t="str">
        <f>IFERROR(__xludf.DUMMYFUNCTION("""COMPUTED_VALUE"""),"vnm")</f>
        <v>vnm</v>
      </c>
      <c r="C17485" t="str">
        <f>IFERROR(__xludf.DUMMYFUNCTION("""COMPUTED_VALUE"""),"Vietnam")</f>
        <v>Vietnam</v>
      </c>
      <c r="D17485">
        <f>IFERROR(__xludf.DUMMYFUNCTION("""COMPUTED_VALUE"""),1959.0)</f>
        <v>1959</v>
      </c>
      <c r="E17485">
        <f>IFERROR(__xludf.DUMMYFUNCTION("""COMPUTED_VALUE"""),3.1698431E7)</f>
        <v>31698431</v>
      </c>
    </row>
    <row r="17486">
      <c r="A17486" t="str">
        <f t="shared" si="1"/>
        <v>vnm#1960</v>
      </c>
      <c r="B17486" t="str">
        <f>IFERROR(__xludf.DUMMYFUNCTION("""COMPUTED_VALUE"""),"vnm")</f>
        <v>vnm</v>
      </c>
      <c r="C17486" t="str">
        <f>IFERROR(__xludf.DUMMYFUNCTION("""COMPUTED_VALUE"""),"Vietnam")</f>
        <v>Vietnam</v>
      </c>
      <c r="D17486">
        <f>IFERROR(__xludf.DUMMYFUNCTION("""COMPUTED_VALUE"""),1960.0)</f>
        <v>1960</v>
      </c>
      <c r="E17486">
        <f>IFERROR(__xludf.DUMMYFUNCTION("""COMPUTED_VALUE"""),3.2670629E7)</f>
        <v>32670629</v>
      </c>
    </row>
    <row r="17487">
      <c r="A17487" t="str">
        <f t="shared" si="1"/>
        <v>vnm#1961</v>
      </c>
      <c r="B17487" t="str">
        <f>IFERROR(__xludf.DUMMYFUNCTION("""COMPUTED_VALUE"""),"vnm")</f>
        <v>vnm</v>
      </c>
      <c r="C17487" t="str">
        <f>IFERROR(__xludf.DUMMYFUNCTION("""COMPUTED_VALUE"""),"Vietnam")</f>
        <v>Vietnam</v>
      </c>
      <c r="D17487">
        <f>IFERROR(__xludf.DUMMYFUNCTION("""COMPUTED_VALUE"""),1961.0)</f>
        <v>1961</v>
      </c>
      <c r="E17487">
        <f>IFERROR(__xludf.DUMMYFUNCTION("""COMPUTED_VALUE"""),3.3666772E7)</f>
        <v>33666772</v>
      </c>
    </row>
    <row r="17488">
      <c r="A17488" t="str">
        <f t="shared" si="1"/>
        <v>vnm#1962</v>
      </c>
      <c r="B17488" t="str">
        <f>IFERROR(__xludf.DUMMYFUNCTION("""COMPUTED_VALUE"""),"vnm")</f>
        <v>vnm</v>
      </c>
      <c r="C17488" t="str">
        <f>IFERROR(__xludf.DUMMYFUNCTION("""COMPUTED_VALUE"""),"Vietnam")</f>
        <v>Vietnam</v>
      </c>
      <c r="D17488">
        <f>IFERROR(__xludf.DUMMYFUNCTION("""COMPUTED_VALUE"""),1962.0)</f>
        <v>1962</v>
      </c>
      <c r="E17488">
        <f>IFERROR(__xludf.DUMMYFUNCTION("""COMPUTED_VALUE"""),3.4684165E7)</f>
        <v>34684165</v>
      </c>
    </row>
    <row r="17489">
      <c r="A17489" t="str">
        <f t="shared" si="1"/>
        <v>vnm#1963</v>
      </c>
      <c r="B17489" t="str">
        <f>IFERROR(__xludf.DUMMYFUNCTION("""COMPUTED_VALUE"""),"vnm")</f>
        <v>vnm</v>
      </c>
      <c r="C17489" t="str">
        <f>IFERROR(__xludf.DUMMYFUNCTION("""COMPUTED_VALUE"""),"Vietnam")</f>
        <v>Vietnam</v>
      </c>
      <c r="D17489">
        <f>IFERROR(__xludf.DUMMYFUNCTION("""COMPUTED_VALUE"""),1963.0)</f>
        <v>1963</v>
      </c>
      <c r="E17489">
        <f>IFERROR(__xludf.DUMMYFUNCTION("""COMPUTED_VALUE"""),3.5722091E7)</f>
        <v>35722091</v>
      </c>
    </row>
    <row r="17490">
      <c r="A17490" t="str">
        <f t="shared" si="1"/>
        <v>vnm#1964</v>
      </c>
      <c r="B17490" t="str">
        <f>IFERROR(__xludf.DUMMYFUNCTION("""COMPUTED_VALUE"""),"vnm")</f>
        <v>vnm</v>
      </c>
      <c r="C17490" t="str">
        <f>IFERROR(__xludf.DUMMYFUNCTION("""COMPUTED_VALUE"""),"Vietnam")</f>
        <v>Vietnam</v>
      </c>
      <c r="D17490">
        <f>IFERROR(__xludf.DUMMYFUNCTION("""COMPUTED_VALUE"""),1964.0)</f>
        <v>1964</v>
      </c>
      <c r="E17490">
        <f>IFERROR(__xludf.DUMMYFUNCTION("""COMPUTED_VALUE"""),3.6780985E7)</f>
        <v>36780985</v>
      </c>
    </row>
    <row r="17491">
      <c r="A17491" t="str">
        <f t="shared" si="1"/>
        <v>vnm#1965</v>
      </c>
      <c r="B17491" t="str">
        <f>IFERROR(__xludf.DUMMYFUNCTION("""COMPUTED_VALUE"""),"vnm")</f>
        <v>vnm</v>
      </c>
      <c r="C17491" t="str">
        <f>IFERROR(__xludf.DUMMYFUNCTION("""COMPUTED_VALUE"""),"Vietnam")</f>
        <v>Vietnam</v>
      </c>
      <c r="D17491">
        <f>IFERROR(__xludf.DUMMYFUNCTION("""COMPUTED_VALUE"""),1965.0)</f>
        <v>1965</v>
      </c>
      <c r="E17491">
        <f>IFERROR(__xludf.DUMMYFUNCTION("""COMPUTED_VALUE"""),3.7860012E7)</f>
        <v>37860012</v>
      </c>
    </row>
    <row r="17492">
      <c r="A17492" t="str">
        <f t="shared" si="1"/>
        <v>vnm#1966</v>
      </c>
      <c r="B17492" t="str">
        <f>IFERROR(__xludf.DUMMYFUNCTION("""COMPUTED_VALUE"""),"vnm")</f>
        <v>vnm</v>
      </c>
      <c r="C17492" t="str">
        <f>IFERROR(__xludf.DUMMYFUNCTION("""COMPUTED_VALUE"""),"Vietnam")</f>
        <v>Vietnam</v>
      </c>
      <c r="D17492">
        <f>IFERROR(__xludf.DUMMYFUNCTION("""COMPUTED_VALUE"""),1966.0)</f>
        <v>1966</v>
      </c>
      <c r="E17492">
        <f>IFERROR(__xludf.DUMMYFUNCTION("""COMPUTED_VALUE"""),3.8959334E7)</f>
        <v>38959334</v>
      </c>
    </row>
    <row r="17493">
      <c r="A17493" t="str">
        <f t="shared" si="1"/>
        <v>vnm#1967</v>
      </c>
      <c r="B17493" t="str">
        <f>IFERROR(__xludf.DUMMYFUNCTION("""COMPUTED_VALUE"""),"vnm")</f>
        <v>vnm</v>
      </c>
      <c r="C17493" t="str">
        <f>IFERROR(__xludf.DUMMYFUNCTION("""COMPUTED_VALUE"""),"Vietnam")</f>
        <v>Vietnam</v>
      </c>
      <c r="D17493">
        <f>IFERROR(__xludf.DUMMYFUNCTION("""COMPUTED_VALUE"""),1967.0)</f>
        <v>1967</v>
      </c>
      <c r="E17493">
        <f>IFERROR(__xludf.DUMMYFUNCTION("""COMPUTED_VALUE"""),4.0074699E7)</f>
        <v>40074699</v>
      </c>
    </row>
    <row r="17494">
      <c r="A17494" t="str">
        <f t="shared" si="1"/>
        <v>vnm#1968</v>
      </c>
      <c r="B17494" t="str">
        <f>IFERROR(__xludf.DUMMYFUNCTION("""COMPUTED_VALUE"""),"vnm")</f>
        <v>vnm</v>
      </c>
      <c r="C17494" t="str">
        <f>IFERROR(__xludf.DUMMYFUNCTION("""COMPUTED_VALUE"""),"Vietnam")</f>
        <v>Vietnam</v>
      </c>
      <c r="D17494">
        <f>IFERROR(__xludf.DUMMYFUNCTION("""COMPUTED_VALUE"""),1968.0)</f>
        <v>1968</v>
      </c>
      <c r="E17494">
        <f>IFERROR(__xludf.DUMMYFUNCTION("""COMPUTED_VALUE"""),4.1195835E7)</f>
        <v>41195835</v>
      </c>
    </row>
    <row r="17495">
      <c r="A17495" t="str">
        <f t="shared" si="1"/>
        <v>vnm#1969</v>
      </c>
      <c r="B17495" t="str">
        <f>IFERROR(__xludf.DUMMYFUNCTION("""COMPUTED_VALUE"""),"vnm")</f>
        <v>vnm</v>
      </c>
      <c r="C17495" t="str">
        <f>IFERROR(__xludf.DUMMYFUNCTION("""COMPUTED_VALUE"""),"Vietnam")</f>
        <v>Vietnam</v>
      </c>
      <c r="D17495">
        <f>IFERROR(__xludf.DUMMYFUNCTION("""COMPUTED_VALUE"""),1969.0)</f>
        <v>1969</v>
      </c>
      <c r="E17495">
        <f>IFERROR(__xludf.DUMMYFUNCTION("""COMPUTED_VALUE"""),4.2309665E7)</f>
        <v>42309665</v>
      </c>
    </row>
    <row r="17496">
      <c r="A17496" t="str">
        <f t="shared" si="1"/>
        <v>vnm#1970</v>
      </c>
      <c r="B17496" t="str">
        <f>IFERROR(__xludf.DUMMYFUNCTION("""COMPUTED_VALUE"""),"vnm")</f>
        <v>vnm</v>
      </c>
      <c r="C17496" t="str">
        <f>IFERROR(__xludf.DUMMYFUNCTION("""COMPUTED_VALUE"""),"Vietnam")</f>
        <v>Vietnam</v>
      </c>
      <c r="D17496">
        <f>IFERROR(__xludf.DUMMYFUNCTION("""COMPUTED_VALUE"""),1970.0)</f>
        <v>1970</v>
      </c>
      <c r="E17496">
        <f>IFERROR(__xludf.DUMMYFUNCTION("""COMPUTED_VALUE"""),4.3407287E7)</f>
        <v>43407287</v>
      </c>
    </row>
    <row r="17497">
      <c r="A17497" t="str">
        <f t="shared" si="1"/>
        <v>vnm#1971</v>
      </c>
      <c r="B17497" t="str">
        <f>IFERROR(__xludf.DUMMYFUNCTION("""COMPUTED_VALUE"""),"vnm")</f>
        <v>vnm</v>
      </c>
      <c r="C17497" t="str">
        <f>IFERROR(__xludf.DUMMYFUNCTION("""COMPUTED_VALUE"""),"Vietnam")</f>
        <v>Vietnam</v>
      </c>
      <c r="D17497">
        <f>IFERROR(__xludf.DUMMYFUNCTION("""COMPUTED_VALUE"""),1971.0)</f>
        <v>1971</v>
      </c>
      <c r="E17497">
        <f>IFERROR(__xludf.DUMMYFUNCTION("""COMPUTED_VALUE"""),4.4485908E7)</f>
        <v>44485908</v>
      </c>
    </row>
    <row r="17498">
      <c r="A17498" t="str">
        <f t="shared" si="1"/>
        <v>vnm#1972</v>
      </c>
      <c r="B17498" t="str">
        <f>IFERROR(__xludf.DUMMYFUNCTION("""COMPUTED_VALUE"""),"vnm")</f>
        <v>vnm</v>
      </c>
      <c r="C17498" t="str">
        <f>IFERROR(__xludf.DUMMYFUNCTION("""COMPUTED_VALUE"""),"Vietnam")</f>
        <v>Vietnam</v>
      </c>
      <c r="D17498">
        <f>IFERROR(__xludf.DUMMYFUNCTION("""COMPUTED_VALUE"""),1972.0)</f>
        <v>1972</v>
      </c>
      <c r="E17498">
        <f>IFERROR(__xludf.DUMMYFUNCTION("""COMPUTED_VALUE"""),4.5549483E7)</f>
        <v>45549483</v>
      </c>
    </row>
    <row r="17499">
      <c r="A17499" t="str">
        <f t="shared" si="1"/>
        <v>vnm#1973</v>
      </c>
      <c r="B17499" t="str">
        <f>IFERROR(__xludf.DUMMYFUNCTION("""COMPUTED_VALUE"""),"vnm")</f>
        <v>vnm</v>
      </c>
      <c r="C17499" t="str">
        <f>IFERROR(__xludf.DUMMYFUNCTION("""COMPUTED_VALUE"""),"Vietnam")</f>
        <v>Vietnam</v>
      </c>
      <c r="D17499">
        <f>IFERROR(__xludf.DUMMYFUNCTION("""COMPUTED_VALUE"""),1973.0)</f>
        <v>1973</v>
      </c>
      <c r="E17499">
        <f>IFERROR(__xludf.DUMMYFUNCTION("""COMPUTED_VALUE"""),4.6604726E7)</f>
        <v>46604726</v>
      </c>
    </row>
    <row r="17500">
      <c r="A17500" t="str">
        <f t="shared" si="1"/>
        <v>vnm#1974</v>
      </c>
      <c r="B17500" t="str">
        <f>IFERROR(__xludf.DUMMYFUNCTION("""COMPUTED_VALUE"""),"vnm")</f>
        <v>vnm</v>
      </c>
      <c r="C17500" t="str">
        <f>IFERROR(__xludf.DUMMYFUNCTION("""COMPUTED_VALUE"""),"Vietnam")</f>
        <v>Vietnam</v>
      </c>
      <c r="D17500">
        <f>IFERROR(__xludf.DUMMYFUNCTION("""COMPUTED_VALUE"""),1974.0)</f>
        <v>1974</v>
      </c>
      <c r="E17500">
        <f>IFERROR(__xludf.DUMMYFUNCTION("""COMPUTED_VALUE"""),4.7661773E7)</f>
        <v>47661773</v>
      </c>
    </row>
    <row r="17501">
      <c r="A17501" t="str">
        <f t="shared" si="1"/>
        <v>vnm#1975</v>
      </c>
      <c r="B17501" t="str">
        <f>IFERROR(__xludf.DUMMYFUNCTION("""COMPUTED_VALUE"""),"vnm")</f>
        <v>vnm</v>
      </c>
      <c r="C17501" t="str">
        <f>IFERROR(__xludf.DUMMYFUNCTION("""COMPUTED_VALUE"""),"Vietnam")</f>
        <v>Vietnam</v>
      </c>
      <c r="D17501">
        <f>IFERROR(__xludf.DUMMYFUNCTION("""COMPUTED_VALUE"""),1975.0)</f>
        <v>1975</v>
      </c>
      <c r="E17501">
        <f>IFERROR(__xludf.DUMMYFUNCTION("""COMPUTED_VALUE"""),4.8729392E7)</f>
        <v>48729392</v>
      </c>
    </row>
    <row r="17502">
      <c r="A17502" t="str">
        <f t="shared" si="1"/>
        <v>vnm#1976</v>
      </c>
      <c r="B17502" t="str">
        <f>IFERROR(__xludf.DUMMYFUNCTION("""COMPUTED_VALUE"""),"vnm")</f>
        <v>vnm</v>
      </c>
      <c r="C17502" t="str">
        <f>IFERROR(__xludf.DUMMYFUNCTION("""COMPUTED_VALUE"""),"Vietnam")</f>
        <v>Vietnam</v>
      </c>
      <c r="D17502">
        <f>IFERROR(__xludf.DUMMYFUNCTION("""COMPUTED_VALUE"""),1976.0)</f>
        <v>1976</v>
      </c>
      <c r="E17502">
        <f>IFERROR(__xludf.DUMMYFUNCTION("""COMPUTED_VALUE"""),4.9808071E7)</f>
        <v>49808071</v>
      </c>
    </row>
    <row r="17503">
      <c r="A17503" t="str">
        <f t="shared" si="1"/>
        <v>vnm#1977</v>
      </c>
      <c r="B17503" t="str">
        <f>IFERROR(__xludf.DUMMYFUNCTION("""COMPUTED_VALUE"""),"vnm")</f>
        <v>vnm</v>
      </c>
      <c r="C17503" t="str">
        <f>IFERROR(__xludf.DUMMYFUNCTION("""COMPUTED_VALUE"""),"Vietnam")</f>
        <v>Vietnam</v>
      </c>
      <c r="D17503">
        <f>IFERROR(__xludf.DUMMYFUNCTION("""COMPUTED_VALUE"""),1977.0)</f>
        <v>1977</v>
      </c>
      <c r="E17503">
        <f>IFERROR(__xludf.DUMMYFUNCTION("""COMPUTED_VALUE"""),5.0899504E7)</f>
        <v>50899504</v>
      </c>
    </row>
    <row r="17504">
      <c r="A17504" t="str">
        <f t="shared" si="1"/>
        <v>vnm#1978</v>
      </c>
      <c r="B17504" t="str">
        <f>IFERROR(__xludf.DUMMYFUNCTION("""COMPUTED_VALUE"""),"vnm")</f>
        <v>vnm</v>
      </c>
      <c r="C17504" t="str">
        <f>IFERROR(__xludf.DUMMYFUNCTION("""COMPUTED_VALUE"""),"Vietnam")</f>
        <v>Vietnam</v>
      </c>
      <c r="D17504">
        <f>IFERROR(__xludf.DUMMYFUNCTION("""COMPUTED_VALUE"""),1978.0)</f>
        <v>1978</v>
      </c>
      <c r="E17504">
        <f>IFERROR(__xludf.DUMMYFUNCTION("""COMPUTED_VALUE"""),5.2015281E7)</f>
        <v>52015281</v>
      </c>
    </row>
    <row r="17505">
      <c r="A17505" t="str">
        <f t="shared" si="1"/>
        <v>vnm#1979</v>
      </c>
      <c r="B17505" t="str">
        <f>IFERROR(__xludf.DUMMYFUNCTION("""COMPUTED_VALUE"""),"vnm")</f>
        <v>vnm</v>
      </c>
      <c r="C17505" t="str">
        <f>IFERROR(__xludf.DUMMYFUNCTION("""COMPUTED_VALUE"""),"Vietnam")</f>
        <v>Vietnam</v>
      </c>
      <c r="D17505">
        <f>IFERROR(__xludf.DUMMYFUNCTION("""COMPUTED_VALUE"""),1979.0)</f>
        <v>1979</v>
      </c>
      <c r="E17505">
        <f>IFERROR(__xludf.DUMMYFUNCTION("""COMPUTED_VALUE"""),5.3169673E7)</f>
        <v>53169673</v>
      </c>
    </row>
    <row r="17506">
      <c r="A17506" t="str">
        <f t="shared" si="1"/>
        <v>vnm#1980</v>
      </c>
      <c r="B17506" t="str">
        <f>IFERROR(__xludf.DUMMYFUNCTION("""COMPUTED_VALUE"""),"vnm")</f>
        <v>vnm</v>
      </c>
      <c r="C17506" t="str">
        <f>IFERROR(__xludf.DUMMYFUNCTION("""COMPUTED_VALUE"""),"Vietnam")</f>
        <v>Vietnam</v>
      </c>
      <c r="D17506">
        <f>IFERROR(__xludf.DUMMYFUNCTION("""COMPUTED_VALUE"""),1980.0)</f>
        <v>1980</v>
      </c>
      <c r="E17506">
        <f>IFERROR(__xludf.DUMMYFUNCTION("""COMPUTED_VALUE"""),5.4372514E7)</f>
        <v>54372514</v>
      </c>
    </row>
    <row r="17507">
      <c r="A17507" t="str">
        <f t="shared" si="1"/>
        <v>vnm#1981</v>
      </c>
      <c r="B17507" t="str">
        <f>IFERROR(__xludf.DUMMYFUNCTION("""COMPUTED_VALUE"""),"vnm")</f>
        <v>vnm</v>
      </c>
      <c r="C17507" t="str">
        <f>IFERROR(__xludf.DUMMYFUNCTION("""COMPUTED_VALUE"""),"Vietnam")</f>
        <v>Vietnam</v>
      </c>
      <c r="D17507">
        <f>IFERROR(__xludf.DUMMYFUNCTION("""COMPUTED_VALUE"""),1981.0)</f>
        <v>1981</v>
      </c>
      <c r="E17507">
        <f>IFERROR(__xludf.DUMMYFUNCTION("""COMPUTED_VALUE"""),5.5627746E7)</f>
        <v>55627746</v>
      </c>
    </row>
    <row r="17508">
      <c r="A17508" t="str">
        <f t="shared" si="1"/>
        <v>vnm#1982</v>
      </c>
      <c r="B17508" t="str">
        <f>IFERROR(__xludf.DUMMYFUNCTION("""COMPUTED_VALUE"""),"vnm")</f>
        <v>vnm</v>
      </c>
      <c r="C17508" t="str">
        <f>IFERROR(__xludf.DUMMYFUNCTION("""COMPUTED_VALUE"""),"Vietnam")</f>
        <v>Vietnam</v>
      </c>
      <c r="D17508">
        <f>IFERROR(__xludf.DUMMYFUNCTION("""COMPUTED_VALUE"""),1982.0)</f>
        <v>1982</v>
      </c>
      <c r="E17508">
        <f>IFERROR(__xludf.DUMMYFUNCTION("""COMPUTED_VALUE"""),5.6931824E7)</f>
        <v>56931824</v>
      </c>
    </row>
    <row r="17509">
      <c r="A17509" t="str">
        <f t="shared" si="1"/>
        <v>vnm#1983</v>
      </c>
      <c r="B17509" t="str">
        <f>IFERROR(__xludf.DUMMYFUNCTION("""COMPUTED_VALUE"""),"vnm")</f>
        <v>vnm</v>
      </c>
      <c r="C17509" t="str">
        <f>IFERROR(__xludf.DUMMYFUNCTION("""COMPUTED_VALUE"""),"Vietnam")</f>
        <v>Vietnam</v>
      </c>
      <c r="D17509">
        <f>IFERROR(__xludf.DUMMYFUNCTION("""COMPUTED_VALUE"""),1983.0)</f>
        <v>1983</v>
      </c>
      <c r="E17509">
        <f>IFERROR(__xludf.DUMMYFUNCTION("""COMPUTED_VALUE"""),5.8277387E7)</f>
        <v>58277387</v>
      </c>
    </row>
    <row r="17510">
      <c r="A17510" t="str">
        <f t="shared" si="1"/>
        <v>vnm#1984</v>
      </c>
      <c r="B17510" t="str">
        <f>IFERROR(__xludf.DUMMYFUNCTION("""COMPUTED_VALUE"""),"vnm")</f>
        <v>vnm</v>
      </c>
      <c r="C17510" t="str">
        <f>IFERROR(__xludf.DUMMYFUNCTION("""COMPUTED_VALUE"""),"Vietnam")</f>
        <v>Vietnam</v>
      </c>
      <c r="D17510">
        <f>IFERROR(__xludf.DUMMYFUNCTION("""COMPUTED_VALUE"""),1984.0)</f>
        <v>1984</v>
      </c>
      <c r="E17510">
        <f>IFERROR(__xludf.DUMMYFUNCTION("""COMPUTED_VALUE"""),5.965309E7)</f>
        <v>59653090</v>
      </c>
    </row>
    <row r="17511">
      <c r="A17511" t="str">
        <f t="shared" si="1"/>
        <v>vnm#1985</v>
      </c>
      <c r="B17511" t="str">
        <f>IFERROR(__xludf.DUMMYFUNCTION("""COMPUTED_VALUE"""),"vnm")</f>
        <v>vnm</v>
      </c>
      <c r="C17511" t="str">
        <f>IFERROR(__xludf.DUMMYFUNCTION("""COMPUTED_VALUE"""),"Vietnam")</f>
        <v>Vietnam</v>
      </c>
      <c r="D17511">
        <f>IFERROR(__xludf.DUMMYFUNCTION("""COMPUTED_VALUE"""),1985.0)</f>
        <v>1985</v>
      </c>
      <c r="E17511">
        <f>IFERROR(__xludf.DUMMYFUNCTION("""COMPUTED_VALUE"""),6.1049373E7)</f>
        <v>61049373</v>
      </c>
    </row>
    <row r="17512">
      <c r="A17512" t="str">
        <f t="shared" si="1"/>
        <v>vnm#1986</v>
      </c>
      <c r="B17512" t="str">
        <f>IFERROR(__xludf.DUMMYFUNCTION("""COMPUTED_VALUE"""),"vnm")</f>
        <v>vnm</v>
      </c>
      <c r="C17512" t="str">
        <f>IFERROR(__xludf.DUMMYFUNCTION("""COMPUTED_VALUE"""),"Vietnam")</f>
        <v>Vietnam</v>
      </c>
      <c r="D17512">
        <f>IFERROR(__xludf.DUMMYFUNCTION("""COMPUTED_VALUE"""),1986.0)</f>
        <v>1986</v>
      </c>
      <c r="E17512">
        <f>IFERROR(__xludf.DUMMYFUNCTION("""COMPUTED_VALUE"""),6.245956E7)</f>
        <v>62459560</v>
      </c>
    </row>
    <row r="17513">
      <c r="A17513" t="str">
        <f t="shared" si="1"/>
        <v>vnm#1987</v>
      </c>
      <c r="B17513" t="str">
        <f>IFERROR(__xludf.DUMMYFUNCTION("""COMPUTED_VALUE"""),"vnm")</f>
        <v>vnm</v>
      </c>
      <c r="C17513" t="str">
        <f>IFERROR(__xludf.DUMMYFUNCTION("""COMPUTED_VALUE"""),"Vietnam")</f>
        <v>Vietnam</v>
      </c>
      <c r="D17513">
        <f>IFERROR(__xludf.DUMMYFUNCTION("""COMPUTED_VALUE"""),1987.0)</f>
        <v>1987</v>
      </c>
      <c r="E17513">
        <f>IFERROR(__xludf.DUMMYFUNCTION("""COMPUTED_VALUE"""),6.3881297E7)</f>
        <v>63881297</v>
      </c>
    </row>
    <row r="17514">
      <c r="A17514" t="str">
        <f t="shared" si="1"/>
        <v>vnm#1988</v>
      </c>
      <c r="B17514" t="str">
        <f>IFERROR(__xludf.DUMMYFUNCTION("""COMPUTED_VALUE"""),"vnm")</f>
        <v>vnm</v>
      </c>
      <c r="C17514" t="str">
        <f>IFERROR(__xludf.DUMMYFUNCTION("""COMPUTED_VALUE"""),"Vietnam")</f>
        <v>Vietnam</v>
      </c>
      <c r="D17514">
        <f>IFERROR(__xludf.DUMMYFUNCTION("""COMPUTED_VALUE"""),1988.0)</f>
        <v>1988</v>
      </c>
      <c r="E17514">
        <f>IFERROR(__xludf.DUMMYFUNCTION("""COMPUTED_VALUE"""),6.5313708E7)</f>
        <v>65313708</v>
      </c>
    </row>
    <row r="17515">
      <c r="A17515" t="str">
        <f t="shared" si="1"/>
        <v>vnm#1989</v>
      </c>
      <c r="B17515" t="str">
        <f>IFERROR(__xludf.DUMMYFUNCTION("""COMPUTED_VALUE"""),"vnm")</f>
        <v>vnm</v>
      </c>
      <c r="C17515" t="str">
        <f>IFERROR(__xludf.DUMMYFUNCTION("""COMPUTED_VALUE"""),"Vietnam")</f>
        <v>Vietnam</v>
      </c>
      <c r="D17515">
        <f>IFERROR(__xludf.DUMMYFUNCTION("""COMPUTED_VALUE"""),1989.0)</f>
        <v>1989</v>
      </c>
      <c r="E17515">
        <f>IFERROR(__xludf.DUMMYFUNCTION("""COMPUTED_VALUE"""),6.6757402E7)</f>
        <v>66757402</v>
      </c>
    </row>
    <row r="17516">
      <c r="A17516" t="str">
        <f t="shared" si="1"/>
        <v>vnm#1990</v>
      </c>
      <c r="B17516" t="str">
        <f>IFERROR(__xludf.DUMMYFUNCTION("""COMPUTED_VALUE"""),"vnm")</f>
        <v>vnm</v>
      </c>
      <c r="C17516" t="str">
        <f>IFERROR(__xludf.DUMMYFUNCTION("""COMPUTED_VALUE"""),"Vietnam")</f>
        <v>Vietnam</v>
      </c>
      <c r="D17516">
        <f>IFERROR(__xludf.DUMMYFUNCTION("""COMPUTED_VALUE"""),1990.0)</f>
        <v>1990</v>
      </c>
      <c r="E17516">
        <f>IFERROR(__xludf.DUMMYFUNCTION("""COMPUTED_VALUE"""),6.8209605E7)</f>
        <v>68209605</v>
      </c>
    </row>
    <row r="17517">
      <c r="A17517" t="str">
        <f t="shared" si="1"/>
        <v>vnm#1991</v>
      </c>
      <c r="B17517" t="str">
        <f>IFERROR(__xludf.DUMMYFUNCTION("""COMPUTED_VALUE"""),"vnm")</f>
        <v>vnm</v>
      </c>
      <c r="C17517" t="str">
        <f>IFERROR(__xludf.DUMMYFUNCTION("""COMPUTED_VALUE"""),"Vietnam")</f>
        <v>Vietnam</v>
      </c>
      <c r="D17517">
        <f>IFERROR(__xludf.DUMMYFUNCTION("""COMPUTED_VALUE"""),1991.0)</f>
        <v>1991</v>
      </c>
      <c r="E17517">
        <f>IFERROR(__xludf.DUMMYFUNCTION("""COMPUTED_VALUE"""),6.9670902E7)</f>
        <v>69670902</v>
      </c>
    </row>
    <row r="17518">
      <c r="A17518" t="str">
        <f t="shared" si="1"/>
        <v>vnm#1992</v>
      </c>
      <c r="B17518" t="str">
        <f>IFERROR(__xludf.DUMMYFUNCTION("""COMPUTED_VALUE"""),"vnm")</f>
        <v>vnm</v>
      </c>
      <c r="C17518" t="str">
        <f>IFERROR(__xludf.DUMMYFUNCTION("""COMPUTED_VALUE"""),"Vietnam")</f>
        <v>Vietnam</v>
      </c>
      <c r="D17518">
        <f>IFERROR(__xludf.DUMMYFUNCTION("""COMPUTED_VALUE"""),1992.0)</f>
        <v>1992</v>
      </c>
      <c r="E17518">
        <f>IFERROR(__xludf.DUMMYFUNCTION("""COMPUTED_VALUE"""),7.1130448E7)</f>
        <v>71130448</v>
      </c>
    </row>
    <row r="17519">
      <c r="A17519" t="str">
        <f t="shared" si="1"/>
        <v>vnm#1993</v>
      </c>
      <c r="B17519" t="str">
        <f>IFERROR(__xludf.DUMMYFUNCTION("""COMPUTED_VALUE"""),"vnm")</f>
        <v>vnm</v>
      </c>
      <c r="C17519" t="str">
        <f>IFERROR(__xludf.DUMMYFUNCTION("""COMPUTED_VALUE"""),"Vietnam")</f>
        <v>Vietnam</v>
      </c>
      <c r="D17519">
        <f>IFERROR(__xludf.DUMMYFUNCTION("""COMPUTED_VALUE"""),1993.0)</f>
        <v>1993</v>
      </c>
      <c r="E17519">
        <f>IFERROR(__xludf.DUMMYFUNCTION("""COMPUTED_VALUE"""),7.2560427E7)</f>
        <v>72560427</v>
      </c>
    </row>
    <row r="17520">
      <c r="A17520" t="str">
        <f t="shared" si="1"/>
        <v>vnm#1994</v>
      </c>
      <c r="B17520" t="str">
        <f>IFERROR(__xludf.DUMMYFUNCTION("""COMPUTED_VALUE"""),"vnm")</f>
        <v>vnm</v>
      </c>
      <c r="C17520" t="str">
        <f>IFERROR(__xludf.DUMMYFUNCTION("""COMPUTED_VALUE"""),"Vietnam")</f>
        <v>Vietnam</v>
      </c>
      <c r="D17520">
        <f>IFERROR(__xludf.DUMMYFUNCTION("""COMPUTED_VALUE"""),1994.0)</f>
        <v>1994</v>
      </c>
      <c r="E17520">
        <f>IFERROR(__xludf.DUMMYFUNCTION("""COMPUTED_VALUE"""),7.3925082E7)</f>
        <v>73925082</v>
      </c>
    </row>
    <row r="17521">
      <c r="A17521" t="str">
        <f t="shared" si="1"/>
        <v>vnm#1995</v>
      </c>
      <c r="B17521" t="str">
        <f>IFERROR(__xludf.DUMMYFUNCTION("""COMPUTED_VALUE"""),"vnm")</f>
        <v>vnm</v>
      </c>
      <c r="C17521" t="str">
        <f>IFERROR(__xludf.DUMMYFUNCTION("""COMPUTED_VALUE"""),"Vietnam")</f>
        <v>Vietnam</v>
      </c>
      <c r="D17521">
        <f>IFERROR(__xludf.DUMMYFUNCTION("""COMPUTED_VALUE"""),1995.0)</f>
        <v>1995</v>
      </c>
      <c r="E17521">
        <f>IFERROR(__xludf.DUMMYFUNCTION("""COMPUTED_VALUE"""),7.5198977E7)</f>
        <v>75198977</v>
      </c>
    </row>
    <row r="17522">
      <c r="A17522" t="str">
        <f t="shared" si="1"/>
        <v>vnm#1996</v>
      </c>
      <c r="B17522" t="str">
        <f>IFERROR(__xludf.DUMMYFUNCTION("""COMPUTED_VALUE"""),"vnm")</f>
        <v>vnm</v>
      </c>
      <c r="C17522" t="str">
        <f>IFERROR(__xludf.DUMMYFUNCTION("""COMPUTED_VALUE"""),"Vietnam")</f>
        <v>Vietnam</v>
      </c>
      <c r="D17522">
        <f>IFERROR(__xludf.DUMMYFUNCTION("""COMPUTED_VALUE"""),1996.0)</f>
        <v>1996</v>
      </c>
      <c r="E17522">
        <f>IFERROR(__xludf.DUMMYFUNCTION("""COMPUTED_VALUE"""),7.6372719E7)</f>
        <v>76372719</v>
      </c>
    </row>
    <row r="17523">
      <c r="A17523" t="str">
        <f t="shared" si="1"/>
        <v>vnm#1997</v>
      </c>
      <c r="B17523" t="str">
        <f>IFERROR(__xludf.DUMMYFUNCTION("""COMPUTED_VALUE"""),"vnm")</f>
        <v>vnm</v>
      </c>
      <c r="C17523" t="str">
        <f>IFERROR(__xludf.DUMMYFUNCTION("""COMPUTED_VALUE"""),"Vietnam")</f>
        <v>Vietnam</v>
      </c>
      <c r="D17523">
        <f>IFERROR(__xludf.DUMMYFUNCTION("""COMPUTED_VALUE"""),1997.0)</f>
        <v>1997</v>
      </c>
      <c r="E17523">
        <f>IFERROR(__xludf.DUMMYFUNCTION("""COMPUTED_VALUE"""),7.7453335E7)</f>
        <v>77453335</v>
      </c>
    </row>
    <row r="17524">
      <c r="A17524" t="str">
        <f t="shared" si="1"/>
        <v>vnm#1998</v>
      </c>
      <c r="B17524" t="str">
        <f>IFERROR(__xludf.DUMMYFUNCTION("""COMPUTED_VALUE"""),"vnm")</f>
        <v>vnm</v>
      </c>
      <c r="C17524" t="str">
        <f>IFERROR(__xludf.DUMMYFUNCTION("""COMPUTED_VALUE"""),"Vietnam")</f>
        <v>Vietnam</v>
      </c>
      <c r="D17524">
        <f>IFERROR(__xludf.DUMMYFUNCTION("""COMPUTED_VALUE"""),1998.0)</f>
        <v>1998</v>
      </c>
      <c r="E17524">
        <f>IFERROR(__xludf.DUMMYFUNCTION("""COMPUTED_VALUE"""),7.8452897E7)</f>
        <v>78452897</v>
      </c>
    </row>
    <row r="17525">
      <c r="A17525" t="str">
        <f t="shared" si="1"/>
        <v>vnm#1999</v>
      </c>
      <c r="B17525" t="str">
        <f>IFERROR(__xludf.DUMMYFUNCTION("""COMPUTED_VALUE"""),"vnm")</f>
        <v>vnm</v>
      </c>
      <c r="C17525" t="str">
        <f>IFERROR(__xludf.DUMMYFUNCTION("""COMPUTED_VALUE"""),"Vietnam")</f>
        <v>Vietnam</v>
      </c>
      <c r="D17525">
        <f>IFERROR(__xludf.DUMMYFUNCTION("""COMPUTED_VALUE"""),1999.0)</f>
        <v>1999</v>
      </c>
      <c r="E17525">
        <f>IFERROR(__xludf.DUMMYFUNCTION("""COMPUTED_VALUE"""),7.9391374E7)</f>
        <v>79391374</v>
      </c>
    </row>
    <row r="17526">
      <c r="A17526" t="str">
        <f t="shared" si="1"/>
        <v>vnm#2000</v>
      </c>
      <c r="B17526" t="str">
        <f>IFERROR(__xludf.DUMMYFUNCTION("""COMPUTED_VALUE"""),"vnm")</f>
        <v>vnm</v>
      </c>
      <c r="C17526" t="str">
        <f>IFERROR(__xludf.DUMMYFUNCTION("""COMPUTED_VALUE"""),"Vietnam")</f>
        <v>Vietnam</v>
      </c>
      <c r="D17526">
        <f>IFERROR(__xludf.DUMMYFUNCTION("""COMPUTED_VALUE"""),2000.0)</f>
        <v>2000</v>
      </c>
      <c r="E17526">
        <f>IFERROR(__xludf.DUMMYFUNCTION("""COMPUTED_VALUE"""),8.0285562E7)</f>
        <v>80285562</v>
      </c>
    </row>
    <row r="17527">
      <c r="A17527" t="str">
        <f t="shared" si="1"/>
        <v>vnm#2001</v>
      </c>
      <c r="B17527" t="str">
        <f>IFERROR(__xludf.DUMMYFUNCTION("""COMPUTED_VALUE"""),"vnm")</f>
        <v>vnm</v>
      </c>
      <c r="C17527" t="str">
        <f>IFERROR(__xludf.DUMMYFUNCTION("""COMPUTED_VALUE"""),"Vietnam")</f>
        <v>Vietnam</v>
      </c>
      <c r="D17527">
        <f>IFERROR(__xludf.DUMMYFUNCTION("""COMPUTED_VALUE"""),2001.0)</f>
        <v>2001</v>
      </c>
      <c r="E17527">
        <f>IFERROR(__xludf.DUMMYFUNCTION("""COMPUTED_VALUE"""),8.1139919E7)</f>
        <v>81139919</v>
      </c>
    </row>
    <row r="17528">
      <c r="A17528" t="str">
        <f t="shared" si="1"/>
        <v>vnm#2002</v>
      </c>
      <c r="B17528" t="str">
        <f>IFERROR(__xludf.DUMMYFUNCTION("""COMPUTED_VALUE"""),"vnm")</f>
        <v>vnm</v>
      </c>
      <c r="C17528" t="str">
        <f>IFERROR(__xludf.DUMMYFUNCTION("""COMPUTED_VALUE"""),"Vietnam")</f>
        <v>Vietnam</v>
      </c>
      <c r="D17528">
        <f>IFERROR(__xludf.DUMMYFUNCTION("""COMPUTED_VALUE"""),2002.0)</f>
        <v>2002</v>
      </c>
      <c r="E17528">
        <f>IFERROR(__xludf.DUMMYFUNCTION("""COMPUTED_VALUE"""),8.1956496E7)</f>
        <v>81956496</v>
      </c>
    </row>
    <row r="17529">
      <c r="A17529" t="str">
        <f t="shared" si="1"/>
        <v>vnm#2003</v>
      </c>
      <c r="B17529" t="str">
        <f>IFERROR(__xludf.DUMMYFUNCTION("""COMPUTED_VALUE"""),"vnm")</f>
        <v>vnm</v>
      </c>
      <c r="C17529" t="str">
        <f>IFERROR(__xludf.DUMMYFUNCTION("""COMPUTED_VALUE"""),"Vietnam")</f>
        <v>Vietnam</v>
      </c>
      <c r="D17529">
        <f>IFERROR(__xludf.DUMMYFUNCTION("""COMPUTED_VALUE"""),2003.0)</f>
        <v>2003</v>
      </c>
      <c r="E17529">
        <f>IFERROR(__xludf.DUMMYFUNCTION("""COMPUTED_VALUE"""),8.2747662E7)</f>
        <v>82747662</v>
      </c>
    </row>
    <row r="17530">
      <c r="A17530" t="str">
        <f t="shared" si="1"/>
        <v>vnm#2004</v>
      </c>
      <c r="B17530" t="str">
        <f>IFERROR(__xludf.DUMMYFUNCTION("""COMPUTED_VALUE"""),"vnm")</f>
        <v>vnm</v>
      </c>
      <c r="C17530" t="str">
        <f>IFERROR(__xludf.DUMMYFUNCTION("""COMPUTED_VALUE"""),"Vietnam")</f>
        <v>Vietnam</v>
      </c>
      <c r="D17530">
        <f>IFERROR(__xludf.DUMMYFUNCTION("""COMPUTED_VALUE"""),2004.0)</f>
        <v>2004</v>
      </c>
      <c r="E17530">
        <f>IFERROR(__xludf.DUMMYFUNCTION("""COMPUTED_VALUE"""),8.3527678E7)</f>
        <v>83527678</v>
      </c>
    </row>
    <row r="17531">
      <c r="A17531" t="str">
        <f t="shared" si="1"/>
        <v>vnm#2005</v>
      </c>
      <c r="B17531" t="str">
        <f>IFERROR(__xludf.DUMMYFUNCTION("""COMPUTED_VALUE"""),"vnm")</f>
        <v>vnm</v>
      </c>
      <c r="C17531" t="str">
        <f>IFERROR(__xludf.DUMMYFUNCTION("""COMPUTED_VALUE"""),"Vietnam")</f>
        <v>Vietnam</v>
      </c>
      <c r="D17531">
        <f>IFERROR(__xludf.DUMMYFUNCTION("""COMPUTED_VALUE"""),2005.0)</f>
        <v>2005</v>
      </c>
      <c r="E17531">
        <f>IFERROR(__xludf.DUMMYFUNCTION("""COMPUTED_VALUE"""),8.4308843E7)</f>
        <v>84308843</v>
      </c>
    </row>
    <row r="17532">
      <c r="A17532" t="str">
        <f t="shared" si="1"/>
        <v>vnm#2006</v>
      </c>
      <c r="B17532" t="str">
        <f>IFERROR(__xludf.DUMMYFUNCTION("""COMPUTED_VALUE"""),"vnm")</f>
        <v>vnm</v>
      </c>
      <c r="C17532" t="str">
        <f>IFERROR(__xludf.DUMMYFUNCTION("""COMPUTED_VALUE"""),"Vietnam")</f>
        <v>Vietnam</v>
      </c>
      <c r="D17532">
        <f>IFERROR(__xludf.DUMMYFUNCTION("""COMPUTED_VALUE"""),2006.0)</f>
        <v>2006</v>
      </c>
      <c r="E17532">
        <f>IFERROR(__xludf.DUMMYFUNCTION("""COMPUTED_VALUE"""),8.5094617E7)</f>
        <v>85094617</v>
      </c>
    </row>
    <row r="17533">
      <c r="A17533" t="str">
        <f t="shared" si="1"/>
        <v>vnm#2007</v>
      </c>
      <c r="B17533" t="str">
        <f>IFERROR(__xludf.DUMMYFUNCTION("""COMPUTED_VALUE"""),"vnm")</f>
        <v>vnm</v>
      </c>
      <c r="C17533" t="str">
        <f>IFERROR(__xludf.DUMMYFUNCTION("""COMPUTED_VALUE"""),"Vietnam")</f>
        <v>Vietnam</v>
      </c>
      <c r="D17533">
        <f>IFERROR(__xludf.DUMMYFUNCTION("""COMPUTED_VALUE"""),2007.0)</f>
        <v>2007</v>
      </c>
      <c r="E17533">
        <f>IFERROR(__xludf.DUMMYFUNCTION("""COMPUTED_VALUE"""),8.588959E7)</f>
        <v>85889590</v>
      </c>
    </row>
    <row r="17534">
      <c r="A17534" t="str">
        <f t="shared" si="1"/>
        <v>vnm#2008</v>
      </c>
      <c r="B17534" t="str">
        <f>IFERROR(__xludf.DUMMYFUNCTION("""COMPUTED_VALUE"""),"vnm")</f>
        <v>vnm</v>
      </c>
      <c r="C17534" t="str">
        <f>IFERROR(__xludf.DUMMYFUNCTION("""COMPUTED_VALUE"""),"Vietnam")</f>
        <v>Vietnam</v>
      </c>
      <c r="D17534">
        <f>IFERROR(__xludf.DUMMYFUNCTION("""COMPUTED_VALUE"""),2008.0)</f>
        <v>2008</v>
      </c>
      <c r="E17534">
        <f>IFERROR(__xludf.DUMMYFUNCTION("""COMPUTED_VALUE"""),8.6707801E7)</f>
        <v>86707801</v>
      </c>
    </row>
    <row r="17535">
      <c r="A17535" t="str">
        <f t="shared" si="1"/>
        <v>vnm#2009</v>
      </c>
      <c r="B17535" t="str">
        <f>IFERROR(__xludf.DUMMYFUNCTION("""COMPUTED_VALUE"""),"vnm")</f>
        <v>vnm</v>
      </c>
      <c r="C17535" t="str">
        <f>IFERROR(__xludf.DUMMYFUNCTION("""COMPUTED_VALUE"""),"Vietnam")</f>
        <v>Vietnam</v>
      </c>
      <c r="D17535">
        <f>IFERROR(__xludf.DUMMYFUNCTION("""COMPUTED_VALUE"""),2009.0)</f>
        <v>2009</v>
      </c>
      <c r="E17535">
        <f>IFERROR(__xludf.DUMMYFUNCTION("""COMPUTED_VALUE"""),8.7565407E7)</f>
        <v>87565407</v>
      </c>
    </row>
    <row r="17536">
      <c r="A17536" t="str">
        <f t="shared" si="1"/>
        <v>vnm#2010</v>
      </c>
      <c r="B17536" t="str">
        <f>IFERROR(__xludf.DUMMYFUNCTION("""COMPUTED_VALUE"""),"vnm")</f>
        <v>vnm</v>
      </c>
      <c r="C17536" t="str">
        <f>IFERROR(__xludf.DUMMYFUNCTION("""COMPUTED_VALUE"""),"Vietnam")</f>
        <v>Vietnam</v>
      </c>
      <c r="D17536">
        <f>IFERROR(__xludf.DUMMYFUNCTION("""COMPUTED_VALUE"""),2010.0)</f>
        <v>2010</v>
      </c>
      <c r="E17536">
        <f>IFERROR(__xludf.DUMMYFUNCTION("""COMPUTED_VALUE"""),8.8472512E7)</f>
        <v>88472512</v>
      </c>
    </row>
    <row r="17537">
      <c r="A17537" t="str">
        <f t="shared" si="1"/>
        <v>vnm#2011</v>
      </c>
      <c r="B17537" t="str">
        <f>IFERROR(__xludf.DUMMYFUNCTION("""COMPUTED_VALUE"""),"vnm")</f>
        <v>vnm</v>
      </c>
      <c r="C17537" t="str">
        <f>IFERROR(__xludf.DUMMYFUNCTION("""COMPUTED_VALUE"""),"Vietnam")</f>
        <v>Vietnam</v>
      </c>
      <c r="D17537">
        <f>IFERROR(__xludf.DUMMYFUNCTION("""COMPUTED_VALUE"""),2011.0)</f>
        <v>2011</v>
      </c>
      <c r="E17537">
        <f>IFERROR(__xludf.DUMMYFUNCTION("""COMPUTED_VALUE"""),8.9436644E7)</f>
        <v>89436644</v>
      </c>
    </row>
    <row r="17538">
      <c r="A17538" t="str">
        <f t="shared" si="1"/>
        <v>vnm#2012</v>
      </c>
      <c r="B17538" t="str">
        <f>IFERROR(__xludf.DUMMYFUNCTION("""COMPUTED_VALUE"""),"vnm")</f>
        <v>vnm</v>
      </c>
      <c r="C17538" t="str">
        <f>IFERROR(__xludf.DUMMYFUNCTION("""COMPUTED_VALUE"""),"Vietnam")</f>
        <v>Vietnam</v>
      </c>
      <c r="D17538">
        <f>IFERROR(__xludf.DUMMYFUNCTION("""COMPUTED_VALUE"""),2012.0)</f>
        <v>2012</v>
      </c>
      <c r="E17538">
        <f>IFERROR(__xludf.DUMMYFUNCTION("""COMPUTED_VALUE"""),9.0451881E7)</f>
        <v>90451881</v>
      </c>
    </row>
    <row r="17539">
      <c r="A17539" t="str">
        <f t="shared" si="1"/>
        <v>vnm#2013</v>
      </c>
      <c r="B17539" t="str">
        <f>IFERROR(__xludf.DUMMYFUNCTION("""COMPUTED_VALUE"""),"vnm")</f>
        <v>vnm</v>
      </c>
      <c r="C17539" t="str">
        <f>IFERROR(__xludf.DUMMYFUNCTION("""COMPUTED_VALUE"""),"Vietnam")</f>
        <v>Vietnam</v>
      </c>
      <c r="D17539">
        <f>IFERROR(__xludf.DUMMYFUNCTION("""COMPUTED_VALUE"""),2013.0)</f>
        <v>2013</v>
      </c>
      <c r="E17539">
        <f>IFERROR(__xludf.DUMMYFUNCTION("""COMPUTED_VALUE"""),9.1497725E7)</f>
        <v>91497725</v>
      </c>
    </row>
    <row r="17540">
      <c r="A17540" t="str">
        <f t="shared" si="1"/>
        <v>vnm#2014</v>
      </c>
      <c r="B17540" t="str">
        <f>IFERROR(__xludf.DUMMYFUNCTION("""COMPUTED_VALUE"""),"vnm")</f>
        <v>vnm</v>
      </c>
      <c r="C17540" t="str">
        <f>IFERROR(__xludf.DUMMYFUNCTION("""COMPUTED_VALUE"""),"Vietnam")</f>
        <v>Vietnam</v>
      </c>
      <c r="D17540">
        <f>IFERROR(__xludf.DUMMYFUNCTION("""COMPUTED_VALUE"""),2014.0)</f>
        <v>2014</v>
      </c>
      <c r="E17540">
        <f>IFERROR(__xludf.DUMMYFUNCTION("""COMPUTED_VALUE"""),9.2544915E7)</f>
        <v>92544915</v>
      </c>
    </row>
    <row r="17541">
      <c r="A17541" t="str">
        <f t="shared" si="1"/>
        <v>vnm#2015</v>
      </c>
      <c r="B17541" t="str">
        <f>IFERROR(__xludf.DUMMYFUNCTION("""COMPUTED_VALUE"""),"vnm")</f>
        <v>vnm</v>
      </c>
      <c r="C17541" t="str">
        <f>IFERROR(__xludf.DUMMYFUNCTION("""COMPUTED_VALUE"""),"Vietnam")</f>
        <v>Vietnam</v>
      </c>
      <c r="D17541">
        <f>IFERROR(__xludf.DUMMYFUNCTION("""COMPUTED_VALUE"""),2015.0)</f>
        <v>2015</v>
      </c>
      <c r="E17541">
        <f>IFERROR(__xludf.DUMMYFUNCTION("""COMPUTED_VALUE"""),9.3571567E7)</f>
        <v>93571567</v>
      </c>
    </row>
    <row r="17542">
      <c r="A17542" t="str">
        <f t="shared" si="1"/>
        <v>vnm#2016</v>
      </c>
      <c r="B17542" t="str">
        <f>IFERROR(__xludf.DUMMYFUNCTION("""COMPUTED_VALUE"""),"vnm")</f>
        <v>vnm</v>
      </c>
      <c r="C17542" t="str">
        <f>IFERROR(__xludf.DUMMYFUNCTION("""COMPUTED_VALUE"""),"Vietnam")</f>
        <v>Vietnam</v>
      </c>
      <c r="D17542">
        <f>IFERROR(__xludf.DUMMYFUNCTION("""COMPUTED_VALUE"""),2016.0)</f>
        <v>2016</v>
      </c>
      <c r="E17542">
        <f>IFERROR(__xludf.DUMMYFUNCTION("""COMPUTED_VALUE"""),9.4569072E7)</f>
        <v>94569072</v>
      </c>
    </row>
    <row r="17543">
      <c r="A17543" t="str">
        <f t="shared" si="1"/>
        <v>vnm#2017</v>
      </c>
      <c r="B17543" t="str">
        <f>IFERROR(__xludf.DUMMYFUNCTION("""COMPUTED_VALUE"""),"vnm")</f>
        <v>vnm</v>
      </c>
      <c r="C17543" t="str">
        <f>IFERROR(__xludf.DUMMYFUNCTION("""COMPUTED_VALUE"""),"Vietnam")</f>
        <v>Vietnam</v>
      </c>
      <c r="D17543">
        <f>IFERROR(__xludf.DUMMYFUNCTION("""COMPUTED_VALUE"""),2017.0)</f>
        <v>2017</v>
      </c>
      <c r="E17543">
        <f>IFERROR(__xludf.DUMMYFUNCTION("""COMPUTED_VALUE"""),9.55408E7)</f>
        <v>95540800</v>
      </c>
    </row>
    <row r="17544">
      <c r="A17544" t="str">
        <f t="shared" si="1"/>
        <v>vnm#2018</v>
      </c>
      <c r="B17544" t="str">
        <f>IFERROR(__xludf.DUMMYFUNCTION("""COMPUTED_VALUE"""),"vnm")</f>
        <v>vnm</v>
      </c>
      <c r="C17544" t="str">
        <f>IFERROR(__xludf.DUMMYFUNCTION("""COMPUTED_VALUE"""),"Vietnam")</f>
        <v>Vietnam</v>
      </c>
      <c r="D17544">
        <f>IFERROR(__xludf.DUMMYFUNCTION("""COMPUTED_VALUE"""),2018.0)</f>
        <v>2018</v>
      </c>
      <c r="E17544">
        <f>IFERROR(__xludf.DUMMYFUNCTION("""COMPUTED_VALUE"""),9.6491146E7)</f>
        <v>96491146</v>
      </c>
    </row>
    <row r="17545">
      <c r="A17545" t="str">
        <f t="shared" si="1"/>
        <v>vnm#2019</v>
      </c>
      <c r="B17545" t="str">
        <f>IFERROR(__xludf.DUMMYFUNCTION("""COMPUTED_VALUE"""),"vnm")</f>
        <v>vnm</v>
      </c>
      <c r="C17545" t="str">
        <f>IFERROR(__xludf.DUMMYFUNCTION("""COMPUTED_VALUE"""),"Vietnam")</f>
        <v>Vietnam</v>
      </c>
      <c r="D17545">
        <f>IFERROR(__xludf.DUMMYFUNCTION("""COMPUTED_VALUE"""),2019.0)</f>
        <v>2019</v>
      </c>
      <c r="E17545">
        <f>IFERROR(__xludf.DUMMYFUNCTION("""COMPUTED_VALUE"""),9.7429061E7)</f>
        <v>97429061</v>
      </c>
    </row>
    <row r="17546">
      <c r="A17546" t="str">
        <f t="shared" si="1"/>
        <v>vnm#2020</v>
      </c>
      <c r="B17546" t="str">
        <f>IFERROR(__xludf.DUMMYFUNCTION("""COMPUTED_VALUE"""),"vnm")</f>
        <v>vnm</v>
      </c>
      <c r="C17546" t="str">
        <f>IFERROR(__xludf.DUMMYFUNCTION("""COMPUTED_VALUE"""),"Vietnam")</f>
        <v>Vietnam</v>
      </c>
      <c r="D17546">
        <f>IFERROR(__xludf.DUMMYFUNCTION("""COMPUTED_VALUE"""),2020.0)</f>
        <v>2020</v>
      </c>
      <c r="E17546">
        <f>IFERROR(__xludf.DUMMYFUNCTION("""COMPUTED_VALUE"""),9.8360145E7)</f>
        <v>98360145</v>
      </c>
    </row>
    <row r="17547">
      <c r="A17547" t="str">
        <f t="shared" si="1"/>
        <v>vnm#2021</v>
      </c>
      <c r="B17547" t="str">
        <f>IFERROR(__xludf.DUMMYFUNCTION("""COMPUTED_VALUE"""),"vnm")</f>
        <v>vnm</v>
      </c>
      <c r="C17547" t="str">
        <f>IFERROR(__xludf.DUMMYFUNCTION("""COMPUTED_VALUE"""),"Vietnam")</f>
        <v>Vietnam</v>
      </c>
      <c r="D17547">
        <f>IFERROR(__xludf.DUMMYFUNCTION("""COMPUTED_VALUE"""),2021.0)</f>
        <v>2021</v>
      </c>
      <c r="E17547">
        <f>IFERROR(__xludf.DUMMYFUNCTION("""COMPUTED_VALUE"""),9.9284146E7)</f>
        <v>99284146</v>
      </c>
    </row>
    <row r="17548">
      <c r="A17548" t="str">
        <f t="shared" si="1"/>
        <v>vnm#2022</v>
      </c>
      <c r="B17548" t="str">
        <f>IFERROR(__xludf.DUMMYFUNCTION("""COMPUTED_VALUE"""),"vnm")</f>
        <v>vnm</v>
      </c>
      <c r="C17548" t="str">
        <f>IFERROR(__xludf.DUMMYFUNCTION("""COMPUTED_VALUE"""),"Vietnam")</f>
        <v>Vietnam</v>
      </c>
      <c r="D17548">
        <f>IFERROR(__xludf.DUMMYFUNCTION("""COMPUTED_VALUE"""),2022.0)</f>
        <v>2022</v>
      </c>
      <c r="E17548">
        <f>IFERROR(__xludf.DUMMYFUNCTION("""COMPUTED_VALUE"""),1.00194727E8)</f>
        <v>100194727</v>
      </c>
    </row>
    <row r="17549">
      <c r="A17549" t="str">
        <f t="shared" si="1"/>
        <v>vnm#2023</v>
      </c>
      <c r="B17549" t="str">
        <f>IFERROR(__xludf.DUMMYFUNCTION("""COMPUTED_VALUE"""),"vnm")</f>
        <v>vnm</v>
      </c>
      <c r="C17549" t="str">
        <f>IFERROR(__xludf.DUMMYFUNCTION("""COMPUTED_VALUE"""),"Vietnam")</f>
        <v>Vietnam</v>
      </c>
      <c r="D17549">
        <f>IFERROR(__xludf.DUMMYFUNCTION("""COMPUTED_VALUE"""),2023.0)</f>
        <v>2023</v>
      </c>
      <c r="E17549">
        <f>IFERROR(__xludf.DUMMYFUNCTION("""COMPUTED_VALUE"""),1.01084329E8)</f>
        <v>101084329</v>
      </c>
    </row>
    <row r="17550">
      <c r="A17550" t="str">
        <f t="shared" si="1"/>
        <v>vnm#2024</v>
      </c>
      <c r="B17550" t="str">
        <f>IFERROR(__xludf.DUMMYFUNCTION("""COMPUTED_VALUE"""),"vnm")</f>
        <v>vnm</v>
      </c>
      <c r="C17550" t="str">
        <f>IFERROR(__xludf.DUMMYFUNCTION("""COMPUTED_VALUE"""),"Vietnam")</f>
        <v>Vietnam</v>
      </c>
      <c r="D17550">
        <f>IFERROR(__xludf.DUMMYFUNCTION("""COMPUTED_VALUE"""),2024.0)</f>
        <v>2024</v>
      </c>
      <c r="E17550">
        <f>IFERROR(__xludf.DUMMYFUNCTION("""COMPUTED_VALUE"""),1.01943038E8)</f>
        <v>101943038</v>
      </c>
    </row>
    <row r="17551">
      <c r="A17551" t="str">
        <f t="shared" si="1"/>
        <v>vnm#2025</v>
      </c>
      <c r="B17551" t="str">
        <f>IFERROR(__xludf.DUMMYFUNCTION("""COMPUTED_VALUE"""),"vnm")</f>
        <v>vnm</v>
      </c>
      <c r="C17551" t="str">
        <f>IFERROR(__xludf.DUMMYFUNCTION("""COMPUTED_VALUE"""),"Vietnam")</f>
        <v>Vietnam</v>
      </c>
      <c r="D17551">
        <f>IFERROR(__xludf.DUMMYFUNCTION("""COMPUTED_VALUE"""),2025.0)</f>
        <v>2025</v>
      </c>
      <c r="E17551">
        <f>IFERROR(__xludf.DUMMYFUNCTION("""COMPUTED_VALUE"""),1.02763511E8)</f>
        <v>102763511</v>
      </c>
    </row>
    <row r="17552">
      <c r="A17552" t="str">
        <f t="shared" si="1"/>
        <v>vnm#2026</v>
      </c>
      <c r="B17552" t="str">
        <f>IFERROR(__xludf.DUMMYFUNCTION("""COMPUTED_VALUE"""),"vnm")</f>
        <v>vnm</v>
      </c>
      <c r="C17552" t="str">
        <f>IFERROR(__xludf.DUMMYFUNCTION("""COMPUTED_VALUE"""),"Vietnam")</f>
        <v>Vietnam</v>
      </c>
      <c r="D17552">
        <f>IFERROR(__xludf.DUMMYFUNCTION("""COMPUTED_VALUE"""),2026.0)</f>
        <v>2026</v>
      </c>
      <c r="E17552">
        <f>IFERROR(__xludf.DUMMYFUNCTION("""COMPUTED_VALUE"""),1.03543406E8)</f>
        <v>103543406</v>
      </c>
    </row>
    <row r="17553">
      <c r="A17553" t="str">
        <f t="shared" si="1"/>
        <v>vnm#2027</v>
      </c>
      <c r="B17553" t="str">
        <f>IFERROR(__xludf.DUMMYFUNCTION("""COMPUTED_VALUE"""),"vnm")</f>
        <v>vnm</v>
      </c>
      <c r="C17553" t="str">
        <f>IFERROR(__xludf.DUMMYFUNCTION("""COMPUTED_VALUE"""),"Vietnam")</f>
        <v>Vietnam</v>
      </c>
      <c r="D17553">
        <f>IFERROR(__xludf.DUMMYFUNCTION("""COMPUTED_VALUE"""),2027.0)</f>
        <v>2027</v>
      </c>
      <c r="E17553">
        <f>IFERROR(__xludf.DUMMYFUNCTION("""COMPUTED_VALUE"""),1.04283957E8)</f>
        <v>104283957</v>
      </c>
    </row>
    <row r="17554">
      <c r="A17554" t="str">
        <f t="shared" si="1"/>
        <v>vnm#2028</v>
      </c>
      <c r="B17554" t="str">
        <f>IFERROR(__xludf.DUMMYFUNCTION("""COMPUTED_VALUE"""),"vnm")</f>
        <v>vnm</v>
      </c>
      <c r="C17554" t="str">
        <f>IFERROR(__xludf.DUMMYFUNCTION("""COMPUTED_VALUE"""),"Vietnam")</f>
        <v>Vietnam</v>
      </c>
      <c r="D17554">
        <f>IFERROR(__xludf.DUMMYFUNCTION("""COMPUTED_VALUE"""),2028.0)</f>
        <v>2028</v>
      </c>
      <c r="E17554">
        <f>IFERROR(__xludf.DUMMYFUNCTION("""COMPUTED_VALUE"""),1.04986025E8)</f>
        <v>104986025</v>
      </c>
    </row>
    <row r="17555">
      <c r="A17555" t="str">
        <f t="shared" si="1"/>
        <v>vnm#2029</v>
      </c>
      <c r="B17555" t="str">
        <f>IFERROR(__xludf.DUMMYFUNCTION("""COMPUTED_VALUE"""),"vnm")</f>
        <v>vnm</v>
      </c>
      <c r="C17555" t="str">
        <f>IFERROR(__xludf.DUMMYFUNCTION("""COMPUTED_VALUE"""),"Vietnam")</f>
        <v>Vietnam</v>
      </c>
      <c r="D17555">
        <f>IFERROR(__xludf.DUMMYFUNCTION("""COMPUTED_VALUE"""),2029.0)</f>
        <v>2029</v>
      </c>
      <c r="E17555">
        <f>IFERROR(__xludf.DUMMYFUNCTION("""COMPUTED_VALUE"""),1.05651851E8)</f>
        <v>105651851</v>
      </c>
    </row>
    <row r="17556">
      <c r="A17556" t="str">
        <f t="shared" si="1"/>
        <v>vnm#2030</v>
      </c>
      <c r="B17556" t="str">
        <f>IFERROR(__xludf.DUMMYFUNCTION("""COMPUTED_VALUE"""),"vnm")</f>
        <v>vnm</v>
      </c>
      <c r="C17556" t="str">
        <f>IFERROR(__xludf.DUMMYFUNCTION("""COMPUTED_VALUE"""),"Vietnam")</f>
        <v>Vietnam</v>
      </c>
      <c r="D17556">
        <f>IFERROR(__xludf.DUMMYFUNCTION("""COMPUTED_VALUE"""),2030.0)</f>
        <v>2030</v>
      </c>
      <c r="E17556">
        <f>IFERROR(__xludf.DUMMYFUNCTION("""COMPUTED_VALUE"""),1.06283637E8)</f>
        <v>106283637</v>
      </c>
    </row>
    <row r="17557">
      <c r="A17557" t="str">
        <f t="shared" si="1"/>
        <v>vnm#2031</v>
      </c>
      <c r="B17557" t="str">
        <f>IFERROR(__xludf.DUMMYFUNCTION("""COMPUTED_VALUE"""),"vnm")</f>
        <v>vnm</v>
      </c>
      <c r="C17557" t="str">
        <f>IFERROR(__xludf.DUMMYFUNCTION("""COMPUTED_VALUE"""),"Vietnam")</f>
        <v>Vietnam</v>
      </c>
      <c r="D17557">
        <f>IFERROR(__xludf.DUMMYFUNCTION("""COMPUTED_VALUE"""),2031.0)</f>
        <v>2031</v>
      </c>
      <c r="E17557">
        <f>IFERROR(__xludf.DUMMYFUNCTION("""COMPUTED_VALUE"""),1.06881337E8)</f>
        <v>106881337</v>
      </c>
    </row>
    <row r="17558">
      <c r="A17558" t="str">
        <f t="shared" si="1"/>
        <v>vnm#2032</v>
      </c>
      <c r="B17558" t="str">
        <f>IFERROR(__xludf.DUMMYFUNCTION("""COMPUTED_VALUE"""),"vnm")</f>
        <v>vnm</v>
      </c>
      <c r="C17558" t="str">
        <f>IFERROR(__xludf.DUMMYFUNCTION("""COMPUTED_VALUE"""),"Vietnam")</f>
        <v>Vietnam</v>
      </c>
      <c r="D17558">
        <f>IFERROR(__xludf.DUMMYFUNCTION("""COMPUTED_VALUE"""),2032.0)</f>
        <v>2032</v>
      </c>
      <c r="E17558">
        <f>IFERROR(__xludf.DUMMYFUNCTION("""COMPUTED_VALUE"""),1.07445789E8)</f>
        <v>107445789</v>
      </c>
    </row>
    <row r="17559">
      <c r="A17559" t="str">
        <f t="shared" si="1"/>
        <v>vnm#2033</v>
      </c>
      <c r="B17559" t="str">
        <f>IFERROR(__xludf.DUMMYFUNCTION("""COMPUTED_VALUE"""),"vnm")</f>
        <v>vnm</v>
      </c>
      <c r="C17559" t="str">
        <f>IFERROR(__xludf.DUMMYFUNCTION("""COMPUTED_VALUE"""),"Vietnam")</f>
        <v>Vietnam</v>
      </c>
      <c r="D17559">
        <f>IFERROR(__xludf.DUMMYFUNCTION("""COMPUTED_VALUE"""),2033.0)</f>
        <v>2033</v>
      </c>
      <c r="E17559">
        <f>IFERROR(__xludf.DUMMYFUNCTION("""COMPUTED_VALUE"""),1.07981467E8)</f>
        <v>107981467</v>
      </c>
    </row>
    <row r="17560">
      <c r="A17560" t="str">
        <f t="shared" si="1"/>
        <v>vnm#2034</v>
      </c>
      <c r="B17560" t="str">
        <f>IFERROR(__xludf.DUMMYFUNCTION("""COMPUTED_VALUE"""),"vnm")</f>
        <v>vnm</v>
      </c>
      <c r="C17560" t="str">
        <f>IFERROR(__xludf.DUMMYFUNCTION("""COMPUTED_VALUE"""),"Vietnam")</f>
        <v>Vietnam</v>
      </c>
      <c r="D17560">
        <f>IFERROR(__xludf.DUMMYFUNCTION("""COMPUTED_VALUE"""),2034.0)</f>
        <v>2034</v>
      </c>
      <c r="E17560">
        <f>IFERROR(__xludf.DUMMYFUNCTION("""COMPUTED_VALUE"""),1.0849417E8)</f>
        <v>108494170</v>
      </c>
    </row>
    <row r="17561">
      <c r="A17561" t="str">
        <f t="shared" si="1"/>
        <v>vnm#2035</v>
      </c>
      <c r="B17561" t="str">
        <f>IFERROR(__xludf.DUMMYFUNCTION("""COMPUTED_VALUE"""),"vnm")</f>
        <v>vnm</v>
      </c>
      <c r="C17561" t="str">
        <f>IFERROR(__xludf.DUMMYFUNCTION("""COMPUTED_VALUE"""),"Vietnam")</f>
        <v>Vietnam</v>
      </c>
      <c r="D17561">
        <f>IFERROR(__xludf.DUMMYFUNCTION("""COMPUTED_VALUE"""),2035.0)</f>
        <v>2035</v>
      </c>
      <c r="E17561">
        <f>IFERROR(__xludf.DUMMYFUNCTION("""COMPUTED_VALUE"""),1.08988478E8)</f>
        <v>108988478</v>
      </c>
    </row>
    <row r="17562">
      <c r="A17562" t="str">
        <f t="shared" si="1"/>
        <v>vnm#2036</v>
      </c>
      <c r="B17562" t="str">
        <f>IFERROR(__xludf.DUMMYFUNCTION("""COMPUTED_VALUE"""),"vnm")</f>
        <v>vnm</v>
      </c>
      <c r="C17562" t="str">
        <f>IFERROR(__xludf.DUMMYFUNCTION("""COMPUTED_VALUE"""),"Vietnam")</f>
        <v>Vietnam</v>
      </c>
      <c r="D17562">
        <f>IFERROR(__xludf.DUMMYFUNCTION("""COMPUTED_VALUE"""),2036.0)</f>
        <v>2036</v>
      </c>
      <c r="E17562">
        <f>IFERROR(__xludf.DUMMYFUNCTION("""COMPUTED_VALUE"""),1.09466143E8)</f>
        <v>109466143</v>
      </c>
    </row>
    <row r="17563">
      <c r="A17563" t="str">
        <f t="shared" si="1"/>
        <v>vnm#2037</v>
      </c>
      <c r="B17563" t="str">
        <f>IFERROR(__xludf.DUMMYFUNCTION("""COMPUTED_VALUE"""),"vnm")</f>
        <v>vnm</v>
      </c>
      <c r="C17563" t="str">
        <f>IFERROR(__xludf.DUMMYFUNCTION("""COMPUTED_VALUE"""),"Vietnam")</f>
        <v>Vietnam</v>
      </c>
      <c r="D17563">
        <f>IFERROR(__xludf.DUMMYFUNCTION("""COMPUTED_VALUE"""),2037.0)</f>
        <v>2037</v>
      </c>
      <c r="E17563">
        <f>IFERROR(__xludf.DUMMYFUNCTION("""COMPUTED_VALUE"""),1.09927593E8)</f>
        <v>109927593</v>
      </c>
    </row>
    <row r="17564">
      <c r="A17564" t="str">
        <f t="shared" si="1"/>
        <v>vnm#2038</v>
      </c>
      <c r="B17564" t="str">
        <f>IFERROR(__xludf.DUMMYFUNCTION("""COMPUTED_VALUE"""),"vnm")</f>
        <v>vnm</v>
      </c>
      <c r="C17564" t="str">
        <f>IFERROR(__xludf.DUMMYFUNCTION("""COMPUTED_VALUE"""),"Vietnam")</f>
        <v>Vietnam</v>
      </c>
      <c r="D17564">
        <f>IFERROR(__xludf.DUMMYFUNCTION("""COMPUTED_VALUE"""),2038.0)</f>
        <v>2038</v>
      </c>
      <c r="E17564">
        <f>IFERROR(__xludf.DUMMYFUNCTION("""COMPUTED_VALUE"""),1.10374441E8)</f>
        <v>110374441</v>
      </c>
    </row>
    <row r="17565">
      <c r="A17565" t="str">
        <f t="shared" si="1"/>
        <v>vnm#2039</v>
      </c>
      <c r="B17565" t="str">
        <f>IFERROR(__xludf.DUMMYFUNCTION("""COMPUTED_VALUE"""),"vnm")</f>
        <v>vnm</v>
      </c>
      <c r="C17565" t="str">
        <f>IFERROR(__xludf.DUMMYFUNCTION("""COMPUTED_VALUE"""),"Vietnam")</f>
        <v>Vietnam</v>
      </c>
      <c r="D17565">
        <f>IFERROR(__xludf.DUMMYFUNCTION("""COMPUTED_VALUE"""),2039.0)</f>
        <v>2039</v>
      </c>
      <c r="E17565">
        <f>IFERROR(__xludf.DUMMYFUNCTION("""COMPUTED_VALUE"""),1.1080799E8)</f>
        <v>110807990</v>
      </c>
    </row>
    <row r="17566">
      <c r="A17566" t="str">
        <f t="shared" si="1"/>
        <v>vnm#2040</v>
      </c>
      <c r="B17566" t="str">
        <f>IFERROR(__xludf.DUMMYFUNCTION("""COMPUTED_VALUE"""),"vnm")</f>
        <v>vnm</v>
      </c>
      <c r="C17566" t="str">
        <f>IFERROR(__xludf.DUMMYFUNCTION("""COMPUTED_VALUE"""),"Vietnam")</f>
        <v>Vietnam</v>
      </c>
      <c r="D17566">
        <f>IFERROR(__xludf.DUMMYFUNCTION("""COMPUTED_VALUE"""),2040.0)</f>
        <v>2040</v>
      </c>
      <c r="E17566">
        <f>IFERROR(__xludf.DUMMYFUNCTION("""COMPUTED_VALUE"""),1.11229112E8)</f>
        <v>111229112</v>
      </c>
    </row>
    <row r="17567">
      <c r="A17567" t="str">
        <f t="shared" si="1"/>
        <v>yem#1950</v>
      </c>
      <c r="B17567" t="str">
        <f>IFERROR(__xludf.DUMMYFUNCTION("""COMPUTED_VALUE"""),"yem")</f>
        <v>yem</v>
      </c>
      <c r="C17567" t="str">
        <f>IFERROR(__xludf.DUMMYFUNCTION("""COMPUTED_VALUE"""),"Yemen")</f>
        <v>Yemen</v>
      </c>
      <c r="D17567">
        <f>IFERROR(__xludf.DUMMYFUNCTION("""COMPUTED_VALUE"""),1950.0)</f>
        <v>1950</v>
      </c>
      <c r="E17567">
        <f>IFERROR(__xludf.DUMMYFUNCTION("""COMPUTED_VALUE"""),4402320.0)</f>
        <v>4402320</v>
      </c>
    </row>
    <row r="17568">
      <c r="A17568" t="str">
        <f t="shared" si="1"/>
        <v>yem#1951</v>
      </c>
      <c r="B17568" t="str">
        <f>IFERROR(__xludf.DUMMYFUNCTION("""COMPUTED_VALUE"""),"yem")</f>
        <v>yem</v>
      </c>
      <c r="C17568" t="str">
        <f>IFERROR(__xludf.DUMMYFUNCTION("""COMPUTED_VALUE"""),"Yemen")</f>
        <v>Yemen</v>
      </c>
      <c r="D17568">
        <f>IFERROR(__xludf.DUMMYFUNCTION("""COMPUTED_VALUE"""),1951.0)</f>
        <v>1951</v>
      </c>
      <c r="E17568">
        <f>IFERROR(__xludf.DUMMYFUNCTION("""COMPUTED_VALUE"""),4473749.0)</f>
        <v>4473749</v>
      </c>
    </row>
    <row r="17569">
      <c r="A17569" t="str">
        <f t="shared" si="1"/>
        <v>yem#1952</v>
      </c>
      <c r="B17569" t="str">
        <f>IFERROR(__xludf.DUMMYFUNCTION("""COMPUTED_VALUE"""),"yem")</f>
        <v>yem</v>
      </c>
      <c r="C17569" t="str">
        <f>IFERROR(__xludf.DUMMYFUNCTION("""COMPUTED_VALUE"""),"Yemen")</f>
        <v>Yemen</v>
      </c>
      <c r="D17569">
        <f>IFERROR(__xludf.DUMMYFUNCTION("""COMPUTED_VALUE"""),1952.0)</f>
        <v>1952</v>
      </c>
      <c r="E17569">
        <f>IFERROR(__xludf.DUMMYFUNCTION("""COMPUTED_VALUE"""),4545741.0)</f>
        <v>4545741</v>
      </c>
    </row>
    <row r="17570">
      <c r="A17570" t="str">
        <f t="shared" si="1"/>
        <v>yem#1953</v>
      </c>
      <c r="B17570" t="str">
        <f>IFERROR(__xludf.DUMMYFUNCTION("""COMPUTED_VALUE"""),"yem")</f>
        <v>yem</v>
      </c>
      <c r="C17570" t="str">
        <f>IFERROR(__xludf.DUMMYFUNCTION("""COMPUTED_VALUE"""),"Yemen")</f>
        <v>Yemen</v>
      </c>
      <c r="D17570">
        <f>IFERROR(__xludf.DUMMYFUNCTION("""COMPUTED_VALUE"""),1953.0)</f>
        <v>1953</v>
      </c>
      <c r="E17570">
        <f>IFERROR(__xludf.DUMMYFUNCTION("""COMPUTED_VALUE"""),4618551.0)</f>
        <v>4618551</v>
      </c>
    </row>
    <row r="17571">
      <c r="A17571" t="str">
        <f t="shared" si="1"/>
        <v>yem#1954</v>
      </c>
      <c r="B17571" t="str">
        <f>IFERROR(__xludf.DUMMYFUNCTION("""COMPUTED_VALUE"""),"yem")</f>
        <v>yem</v>
      </c>
      <c r="C17571" t="str">
        <f>IFERROR(__xludf.DUMMYFUNCTION("""COMPUTED_VALUE"""),"Yemen")</f>
        <v>Yemen</v>
      </c>
      <c r="D17571">
        <f>IFERROR(__xludf.DUMMYFUNCTION("""COMPUTED_VALUE"""),1954.0)</f>
        <v>1954</v>
      </c>
      <c r="E17571">
        <f>IFERROR(__xludf.DUMMYFUNCTION("""COMPUTED_VALUE"""),4692418.0)</f>
        <v>4692418</v>
      </c>
    </row>
    <row r="17572">
      <c r="A17572" t="str">
        <f t="shared" si="1"/>
        <v>yem#1955</v>
      </c>
      <c r="B17572" t="str">
        <f>IFERROR(__xludf.DUMMYFUNCTION("""COMPUTED_VALUE"""),"yem")</f>
        <v>yem</v>
      </c>
      <c r="C17572" t="str">
        <f>IFERROR(__xludf.DUMMYFUNCTION("""COMPUTED_VALUE"""),"Yemen")</f>
        <v>Yemen</v>
      </c>
      <c r="D17572">
        <f>IFERROR(__xludf.DUMMYFUNCTION("""COMPUTED_VALUE"""),1955.0)</f>
        <v>1955</v>
      </c>
      <c r="E17572">
        <f>IFERROR(__xludf.DUMMYFUNCTION("""COMPUTED_VALUE"""),4767587.0)</f>
        <v>4767587</v>
      </c>
    </row>
    <row r="17573">
      <c r="A17573" t="str">
        <f t="shared" si="1"/>
        <v>yem#1956</v>
      </c>
      <c r="B17573" t="str">
        <f>IFERROR(__xludf.DUMMYFUNCTION("""COMPUTED_VALUE"""),"yem")</f>
        <v>yem</v>
      </c>
      <c r="C17573" t="str">
        <f>IFERROR(__xludf.DUMMYFUNCTION("""COMPUTED_VALUE"""),"Yemen")</f>
        <v>Yemen</v>
      </c>
      <c r="D17573">
        <f>IFERROR(__xludf.DUMMYFUNCTION("""COMPUTED_VALUE"""),1956.0)</f>
        <v>1956</v>
      </c>
      <c r="E17573">
        <f>IFERROR(__xludf.DUMMYFUNCTION("""COMPUTED_VALUE"""),4844325.0)</f>
        <v>4844325</v>
      </c>
    </row>
    <row r="17574">
      <c r="A17574" t="str">
        <f t="shared" si="1"/>
        <v>yem#1957</v>
      </c>
      <c r="B17574" t="str">
        <f>IFERROR(__xludf.DUMMYFUNCTION("""COMPUTED_VALUE"""),"yem")</f>
        <v>yem</v>
      </c>
      <c r="C17574" t="str">
        <f>IFERROR(__xludf.DUMMYFUNCTION("""COMPUTED_VALUE"""),"Yemen")</f>
        <v>Yemen</v>
      </c>
      <c r="D17574">
        <f>IFERROR(__xludf.DUMMYFUNCTION("""COMPUTED_VALUE"""),1957.0)</f>
        <v>1957</v>
      </c>
      <c r="E17574">
        <f>IFERROR(__xludf.DUMMYFUNCTION("""COMPUTED_VALUE"""),4922886.0)</f>
        <v>4922886</v>
      </c>
    </row>
    <row r="17575">
      <c r="A17575" t="str">
        <f t="shared" si="1"/>
        <v>yem#1958</v>
      </c>
      <c r="B17575" t="str">
        <f>IFERROR(__xludf.DUMMYFUNCTION("""COMPUTED_VALUE"""),"yem")</f>
        <v>yem</v>
      </c>
      <c r="C17575" t="str">
        <f>IFERROR(__xludf.DUMMYFUNCTION("""COMPUTED_VALUE"""),"Yemen")</f>
        <v>Yemen</v>
      </c>
      <c r="D17575">
        <f>IFERROR(__xludf.DUMMYFUNCTION("""COMPUTED_VALUE"""),1958.0)</f>
        <v>1958</v>
      </c>
      <c r="E17575">
        <f>IFERROR(__xludf.DUMMYFUNCTION("""COMPUTED_VALUE"""),5003533.0)</f>
        <v>5003533</v>
      </c>
    </row>
    <row r="17576">
      <c r="A17576" t="str">
        <f t="shared" si="1"/>
        <v>yem#1959</v>
      </c>
      <c r="B17576" t="str">
        <f>IFERROR(__xludf.DUMMYFUNCTION("""COMPUTED_VALUE"""),"yem")</f>
        <v>yem</v>
      </c>
      <c r="C17576" t="str">
        <f>IFERROR(__xludf.DUMMYFUNCTION("""COMPUTED_VALUE"""),"Yemen")</f>
        <v>Yemen</v>
      </c>
      <c r="D17576">
        <f>IFERROR(__xludf.DUMMYFUNCTION("""COMPUTED_VALUE"""),1959.0)</f>
        <v>1959</v>
      </c>
      <c r="E17576">
        <f>IFERROR(__xludf.DUMMYFUNCTION("""COMPUTED_VALUE"""),5086541.0)</f>
        <v>5086541</v>
      </c>
    </row>
    <row r="17577">
      <c r="A17577" t="str">
        <f t="shared" si="1"/>
        <v>yem#1960</v>
      </c>
      <c r="B17577" t="str">
        <f>IFERROR(__xludf.DUMMYFUNCTION("""COMPUTED_VALUE"""),"yem")</f>
        <v>yem</v>
      </c>
      <c r="C17577" t="str">
        <f>IFERROR(__xludf.DUMMYFUNCTION("""COMPUTED_VALUE"""),"Yemen")</f>
        <v>Yemen</v>
      </c>
      <c r="D17577">
        <f>IFERROR(__xludf.DUMMYFUNCTION("""COMPUTED_VALUE"""),1960.0)</f>
        <v>1960</v>
      </c>
      <c r="E17577">
        <f>IFERROR(__xludf.DUMMYFUNCTION("""COMPUTED_VALUE"""),5172135.0)</f>
        <v>5172135</v>
      </c>
    </row>
    <row r="17578">
      <c r="A17578" t="str">
        <f t="shared" si="1"/>
        <v>yem#1961</v>
      </c>
      <c r="B17578" t="str">
        <f>IFERROR(__xludf.DUMMYFUNCTION("""COMPUTED_VALUE"""),"yem")</f>
        <v>yem</v>
      </c>
      <c r="C17578" t="str">
        <f>IFERROR(__xludf.DUMMYFUNCTION("""COMPUTED_VALUE"""),"Yemen")</f>
        <v>Yemen</v>
      </c>
      <c r="D17578">
        <f>IFERROR(__xludf.DUMMYFUNCTION("""COMPUTED_VALUE"""),1961.0)</f>
        <v>1961</v>
      </c>
      <c r="E17578">
        <f>IFERROR(__xludf.DUMMYFUNCTION("""COMPUTED_VALUE"""),5260501.0)</f>
        <v>5260501</v>
      </c>
    </row>
    <row r="17579">
      <c r="A17579" t="str">
        <f t="shared" si="1"/>
        <v>yem#1962</v>
      </c>
      <c r="B17579" t="str">
        <f>IFERROR(__xludf.DUMMYFUNCTION("""COMPUTED_VALUE"""),"yem")</f>
        <v>yem</v>
      </c>
      <c r="C17579" t="str">
        <f>IFERROR(__xludf.DUMMYFUNCTION("""COMPUTED_VALUE"""),"Yemen")</f>
        <v>Yemen</v>
      </c>
      <c r="D17579">
        <f>IFERROR(__xludf.DUMMYFUNCTION("""COMPUTED_VALUE"""),1962.0)</f>
        <v>1962</v>
      </c>
      <c r="E17579">
        <f>IFERROR(__xludf.DUMMYFUNCTION("""COMPUTED_VALUE"""),5351799.0)</f>
        <v>5351799</v>
      </c>
    </row>
    <row r="17580">
      <c r="A17580" t="str">
        <f t="shared" si="1"/>
        <v>yem#1963</v>
      </c>
      <c r="B17580" t="str">
        <f>IFERROR(__xludf.DUMMYFUNCTION("""COMPUTED_VALUE"""),"yem")</f>
        <v>yem</v>
      </c>
      <c r="C17580" t="str">
        <f>IFERROR(__xludf.DUMMYFUNCTION("""COMPUTED_VALUE"""),"Yemen")</f>
        <v>Yemen</v>
      </c>
      <c r="D17580">
        <f>IFERROR(__xludf.DUMMYFUNCTION("""COMPUTED_VALUE"""),1963.0)</f>
        <v>1963</v>
      </c>
      <c r="E17580">
        <f>IFERROR(__xludf.DUMMYFUNCTION("""COMPUTED_VALUE"""),5446063.0)</f>
        <v>5446063</v>
      </c>
    </row>
    <row r="17581">
      <c r="A17581" t="str">
        <f t="shared" si="1"/>
        <v>yem#1964</v>
      </c>
      <c r="B17581" t="str">
        <f>IFERROR(__xludf.DUMMYFUNCTION("""COMPUTED_VALUE"""),"yem")</f>
        <v>yem</v>
      </c>
      <c r="C17581" t="str">
        <f>IFERROR(__xludf.DUMMYFUNCTION("""COMPUTED_VALUE"""),"Yemen")</f>
        <v>Yemen</v>
      </c>
      <c r="D17581">
        <f>IFERROR(__xludf.DUMMYFUNCTION("""COMPUTED_VALUE"""),1964.0)</f>
        <v>1964</v>
      </c>
      <c r="E17581">
        <f>IFERROR(__xludf.DUMMYFUNCTION("""COMPUTED_VALUE"""),5543339.0)</f>
        <v>5543339</v>
      </c>
    </row>
    <row r="17582">
      <c r="A17582" t="str">
        <f t="shared" si="1"/>
        <v>yem#1965</v>
      </c>
      <c r="B17582" t="str">
        <f>IFERROR(__xludf.DUMMYFUNCTION("""COMPUTED_VALUE"""),"yem")</f>
        <v>yem</v>
      </c>
      <c r="C17582" t="str">
        <f>IFERROR(__xludf.DUMMYFUNCTION("""COMPUTED_VALUE"""),"Yemen")</f>
        <v>Yemen</v>
      </c>
      <c r="D17582">
        <f>IFERROR(__xludf.DUMMYFUNCTION("""COMPUTED_VALUE"""),1965.0)</f>
        <v>1965</v>
      </c>
      <c r="E17582">
        <f>IFERROR(__xludf.DUMMYFUNCTION("""COMPUTED_VALUE"""),5643643.0)</f>
        <v>5643643</v>
      </c>
    </row>
    <row r="17583">
      <c r="A17583" t="str">
        <f t="shared" si="1"/>
        <v>yem#1966</v>
      </c>
      <c r="B17583" t="str">
        <f>IFERROR(__xludf.DUMMYFUNCTION("""COMPUTED_VALUE"""),"yem")</f>
        <v>yem</v>
      </c>
      <c r="C17583" t="str">
        <f>IFERROR(__xludf.DUMMYFUNCTION("""COMPUTED_VALUE"""),"Yemen")</f>
        <v>Yemen</v>
      </c>
      <c r="D17583">
        <f>IFERROR(__xludf.DUMMYFUNCTION("""COMPUTED_VALUE"""),1966.0)</f>
        <v>1966</v>
      </c>
      <c r="E17583">
        <f>IFERROR(__xludf.DUMMYFUNCTION("""COMPUTED_VALUE"""),5748588.0)</f>
        <v>5748588</v>
      </c>
    </row>
    <row r="17584">
      <c r="A17584" t="str">
        <f t="shared" si="1"/>
        <v>yem#1967</v>
      </c>
      <c r="B17584" t="str">
        <f>IFERROR(__xludf.DUMMYFUNCTION("""COMPUTED_VALUE"""),"yem")</f>
        <v>yem</v>
      </c>
      <c r="C17584" t="str">
        <f>IFERROR(__xludf.DUMMYFUNCTION("""COMPUTED_VALUE"""),"Yemen")</f>
        <v>Yemen</v>
      </c>
      <c r="D17584">
        <f>IFERROR(__xludf.DUMMYFUNCTION("""COMPUTED_VALUE"""),1967.0)</f>
        <v>1967</v>
      </c>
      <c r="E17584">
        <f>IFERROR(__xludf.DUMMYFUNCTION("""COMPUTED_VALUE"""),5858638.0)</f>
        <v>5858638</v>
      </c>
    </row>
    <row r="17585">
      <c r="A17585" t="str">
        <f t="shared" si="1"/>
        <v>yem#1968</v>
      </c>
      <c r="B17585" t="str">
        <f>IFERROR(__xludf.DUMMYFUNCTION("""COMPUTED_VALUE"""),"yem")</f>
        <v>yem</v>
      </c>
      <c r="C17585" t="str">
        <f>IFERROR(__xludf.DUMMYFUNCTION("""COMPUTED_VALUE"""),"Yemen")</f>
        <v>Yemen</v>
      </c>
      <c r="D17585">
        <f>IFERROR(__xludf.DUMMYFUNCTION("""COMPUTED_VALUE"""),1968.0)</f>
        <v>1968</v>
      </c>
      <c r="E17585">
        <f>IFERROR(__xludf.DUMMYFUNCTION("""COMPUTED_VALUE"""),5971407.0)</f>
        <v>5971407</v>
      </c>
    </row>
    <row r="17586">
      <c r="A17586" t="str">
        <f t="shared" si="1"/>
        <v>yem#1969</v>
      </c>
      <c r="B17586" t="str">
        <f>IFERROR(__xludf.DUMMYFUNCTION("""COMPUTED_VALUE"""),"yem")</f>
        <v>yem</v>
      </c>
      <c r="C17586" t="str">
        <f>IFERROR(__xludf.DUMMYFUNCTION("""COMPUTED_VALUE"""),"Yemen")</f>
        <v>Yemen</v>
      </c>
      <c r="D17586">
        <f>IFERROR(__xludf.DUMMYFUNCTION("""COMPUTED_VALUE"""),1969.0)</f>
        <v>1969</v>
      </c>
      <c r="E17586">
        <f>IFERROR(__xludf.DUMMYFUNCTION("""COMPUTED_VALUE"""),6083619.0)</f>
        <v>6083619</v>
      </c>
    </row>
    <row r="17587">
      <c r="A17587" t="str">
        <f t="shared" si="1"/>
        <v>yem#1970</v>
      </c>
      <c r="B17587" t="str">
        <f>IFERROR(__xludf.DUMMYFUNCTION("""COMPUTED_VALUE"""),"yem")</f>
        <v>yem</v>
      </c>
      <c r="C17587" t="str">
        <f>IFERROR(__xludf.DUMMYFUNCTION("""COMPUTED_VALUE"""),"Yemen")</f>
        <v>Yemen</v>
      </c>
      <c r="D17587">
        <f>IFERROR(__xludf.DUMMYFUNCTION("""COMPUTED_VALUE"""),1970.0)</f>
        <v>1970</v>
      </c>
      <c r="E17587">
        <f>IFERROR(__xludf.DUMMYFUNCTION("""COMPUTED_VALUE"""),6193810.0)</f>
        <v>6193810</v>
      </c>
    </row>
    <row r="17588">
      <c r="A17588" t="str">
        <f t="shared" si="1"/>
        <v>yem#1971</v>
      </c>
      <c r="B17588" t="str">
        <f>IFERROR(__xludf.DUMMYFUNCTION("""COMPUTED_VALUE"""),"yem")</f>
        <v>yem</v>
      </c>
      <c r="C17588" t="str">
        <f>IFERROR(__xludf.DUMMYFUNCTION("""COMPUTED_VALUE"""),"Yemen")</f>
        <v>Yemen</v>
      </c>
      <c r="D17588">
        <f>IFERROR(__xludf.DUMMYFUNCTION("""COMPUTED_VALUE"""),1971.0)</f>
        <v>1971</v>
      </c>
      <c r="E17588">
        <f>IFERROR(__xludf.DUMMYFUNCTION("""COMPUTED_VALUE"""),6300554.0)</f>
        <v>6300554</v>
      </c>
    </row>
    <row r="17589">
      <c r="A17589" t="str">
        <f t="shared" si="1"/>
        <v>yem#1972</v>
      </c>
      <c r="B17589" t="str">
        <f>IFERROR(__xludf.DUMMYFUNCTION("""COMPUTED_VALUE"""),"yem")</f>
        <v>yem</v>
      </c>
      <c r="C17589" t="str">
        <f>IFERROR(__xludf.DUMMYFUNCTION("""COMPUTED_VALUE"""),"Yemen")</f>
        <v>Yemen</v>
      </c>
      <c r="D17589">
        <f>IFERROR(__xludf.DUMMYFUNCTION("""COMPUTED_VALUE"""),1972.0)</f>
        <v>1972</v>
      </c>
      <c r="E17589">
        <f>IFERROR(__xludf.DUMMYFUNCTION("""COMPUTED_VALUE"""),6407295.0)</f>
        <v>6407295</v>
      </c>
    </row>
    <row r="17590">
      <c r="A17590" t="str">
        <f t="shared" si="1"/>
        <v>yem#1973</v>
      </c>
      <c r="B17590" t="str">
        <f>IFERROR(__xludf.DUMMYFUNCTION("""COMPUTED_VALUE"""),"yem")</f>
        <v>yem</v>
      </c>
      <c r="C17590" t="str">
        <f>IFERROR(__xludf.DUMMYFUNCTION("""COMPUTED_VALUE"""),"Yemen")</f>
        <v>Yemen</v>
      </c>
      <c r="D17590">
        <f>IFERROR(__xludf.DUMMYFUNCTION("""COMPUTED_VALUE"""),1973.0)</f>
        <v>1973</v>
      </c>
      <c r="E17590">
        <f>IFERROR(__xludf.DUMMYFUNCTION("""COMPUTED_VALUE"""),6523452.0)</f>
        <v>6523452</v>
      </c>
    </row>
    <row r="17591">
      <c r="A17591" t="str">
        <f t="shared" si="1"/>
        <v>yem#1974</v>
      </c>
      <c r="B17591" t="str">
        <f>IFERROR(__xludf.DUMMYFUNCTION("""COMPUTED_VALUE"""),"yem")</f>
        <v>yem</v>
      </c>
      <c r="C17591" t="str">
        <f>IFERROR(__xludf.DUMMYFUNCTION("""COMPUTED_VALUE"""),"Yemen")</f>
        <v>Yemen</v>
      </c>
      <c r="D17591">
        <f>IFERROR(__xludf.DUMMYFUNCTION("""COMPUTED_VALUE"""),1974.0)</f>
        <v>1974</v>
      </c>
      <c r="E17591">
        <f>IFERROR(__xludf.DUMMYFUNCTION("""COMPUTED_VALUE"""),6661566.0)</f>
        <v>6661566</v>
      </c>
    </row>
    <row r="17592">
      <c r="A17592" t="str">
        <f t="shared" si="1"/>
        <v>yem#1975</v>
      </c>
      <c r="B17592" t="str">
        <f>IFERROR(__xludf.DUMMYFUNCTION("""COMPUTED_VALUE"""),"yem")</f>
        <v>yem</v>
      </c>
      <c r="C17592" t="str">
        <f>IFERROR(__xludf.DUMMYFUNCTION("""COMPUTED_VALUE"""),"Yemen")</f>
        <v>Yemen</v>
      </c>
      <c r="D17592">
        <f>IFERROR(__xludf.DUMMYFUNCTION("""COMPUTED_VALUE"""),1975.0)</f>
        <v>1975</v>
      </c>
      <c r="E17592">
        <f>IFERROR(__xludf.DUMMYFUNCTION("""COMPUTED_VALUE"""),6830692.0)</f>
        <v>6830692</v>
      </c>
    </row>
    <row r="17593">
      <c r="A17593" t="str">
        <f t="shared" si="1"/>
        <v>yem#1976</v>
      </c>
      <c r="B17593" t="str">
        <f>IFERROR(__xludf.DUMMYFUNCTION("""COMPUTED_VALUE"""),"yem")</f>
        <v>yem</v>
      </c>
      <c r="C17593" t="str">
        <f>IFERROR(__xludf.DUMMYFUNCTION("""COMPUTED_VALUE"""),"Yemen")</f>
        <v>Yemen</v>
      </c>
      <c r="D17593">
        <f>IFERROR(__xludf.DUMMYFUNCTION("""COMPUTED_VALUE"""),1976.0)</f>
        <v>1976</v>
      </c>
      <c r="E17593">
        <f>IFERROR(__xludf.DUMMYFUNCTION("""COMPUTED_VALUE"""),7034868.0)</f>
        <v>7034868</v>
      </c>
    </row>
    <row r="17594">
      <c r="A17594" t="str">
        <f t="shared" si="1"/>
        <v>yem#1977</v>
      </c>
      <c r="B17594" t="str">
        <f>IFERROR(__xludf.DUMMYFUNCTION("""COMPUTED_VALUE"""),"yem")</f>
        <v>yem</v>
      </c>
      <c r="C17594" t="str">
        <f>IFERROR(__xludf.DUMMYFUNCTION("""COMPUTED_VALUE"""),"Yemen")</f>
        <v>Yemen</v>
      </c>
      <c r="D17594">
        <f>IFERROR(__xludf.DUMMYFUNCTION("""COMPUTED_VALUE"""),1977.0)</f>
        <v>1977</v>
      </c>
      <c r="E17594">
        <f>IFERROR(__xludf.DUMMYFUNCTION("""COMPUTED_VALUE"""),7271872.0)</f>
        <v>7271872</v>
      </c>
    </row>
    <row r="17595">
      <c r="A17595" t="str">
        <f t="shared" si="1"/>
        <v>yem#1978</v>
      </c>
      <c r="B17595" t="str">
        <f>IFERROR(__xludf.DUMMYFUNCTION("""COMPUTED_VALUE"""),"yem")</f>
        <v>yem</v>
      </c>
      <c r="C17595" t="str">
        <f>IFERROR(__xludf.DUMMYFUNCTION("""COMPUTED_VALUE"""),"Yemen")</f>
        <v>Yemen</v>
      </c>
      <c r="D17595">
        <f>IFERROR(__xludf.DUMMYFUNCTION("""COMPUTED_VALUE"""),1978.0)</f>
        <v>1978</v>
      </c>
      <c r="E17595">
        <f>IFERROR(__xludf.DUMMYFUNCTION("""COMPUTED_VALUE"""),7536764.0)</f>
        <v>7536764</v>
      </c>
    </row>
    <row r="17596">
      <c r="A17596" t="str">
        <f t="shared" si="1"/>
        <v>yem#1979</v>
      </c>
      <c r="B17596" t="str">
        <f>IFERROR(__xludf.DUMMYFUNCTION("""COMPUTED_VALUE"""),"yem")</f>
        <v>yem</v>
      </c>
      <c r="C17596" t="str">
        <f>IFERROR(__xludf.DUMMYFUNCTION("""COMPUTED_VALUE"""),"Yemen")</f>
        <v>Yemen</v>
      </c>
      <c r="D17596">
        <f>IFERROR(__xludf.DUMMYFUNCTION("""COMPUTED_VALUE"""),1979.0)</f>
        <v>1979</v>
      </c>
      <c r="E17596">
        <f>IFERROR(__xludf.DUMMYFUNCTION("""COMPUTED_VALUE"""),7821552.0)</f>
        <v>7821552</v>
      </c>
    </row>
    <row r="17597">
      <c r="A17597" t="str">
        <f t="shared" si="1"/>
        <v>yem#1980</v>
      </c>
      <c r="B17597" t="str">
        <f>IFERROR(__xludf.DUMMYFUNCTION("""COMPUTED_VALUE"""),"yem")</f>
        <v>yem</v>
      </c>
      <c r="C17597" t="str">
        <f>IFERROR(__xludf.DUMMYFUNCTION("""COMPUTED_VALUE"""),"Yemen")</f>
        <v>Yemen</v>
      </c>
      <c r="D17597">
        <f>IFERROR(__xludf.DUMMYFUNCTION("""COMPUTED_VALUE"""),1980.0)</f>
        <v>1980</v>
      </c>
      <c r="E17597">
        <f>IFERROR(__xludf.DUMMYFUNCTION("""COMPUTED_VALUE"""),8120497.0)</f>
        <v>8120497</v>
      </c>
    </row>
    <row r="17598">
      <c r="A17598" t="str">
        <f t="shared" si="1"/>
        <v>yem#1981</v>
      </c>
      <c r="B17598" t="str">
        <f>IFERROR(__xludf.DUMMYFUNCTION("""COMPUTED_VALUE"""),"yem")</f>
        <v>yem</v>
      </c>
      <c r="C17598" t="str">
        <f>IFERROR(__xludf.DUMMYFUNCTION("""COMPUTED_VALUE"""),"Yemen")</f>
        <v>Yemen</v>
      </c>
      <c r="D17598">
        <f>IFERROR(__xludf.DUMMYFUNCTION("""COMPUTED_VALUE"""),1981.0)</f>
        <v>1981</v>
      </c>
      <c r="E17598">
        <f>IFERROR(__xludf.DUMMYFUNCTION("""COMPUTED_VALUE"""),8434017.0)</f>
        <v>8434017</v>
      </c>
    </row>
    <row r="17599">
      <c r="A17599" t="str">
        <f t="shared" si="1"/>
        <v>yem#1982</v>
      </c>
      <c r="B17599" t="str">
        <f>IFERROR(__xludf.DUMMYFUNCTION("""COMPUTED_VALUE"""),"yem")</f>
        <v>yem</v>
      </c>
      <c r="C17599" t="str">
        <f>IFERROR(__xludf.DUMMYFUNCTION("""COMPUTED_VALUE"""),"Yemen")</f>
        <v>Yemen</v>
      </c>
      <c r="D17599">
        <f>IFERROR(__xludf.DUMMYFUNCTION("""COMPUTED_VALUE"""),1982.0)</f>
        <v>1982</v>
      </c>
      <c r="E17599">
        <f>IFERROR(__xludf.DUMMYFUNCTION("""COMPUTED_VALUE"""),8764621.0)</f>
        <v>8764621</v>
      </c>
    </row>
    <row r="17600">
      <c r="A17600" t="str">
        <f t="shared" si="1"/>
        <v>yem#1983</v>
      </c>
      <c r="B17600" t="str">
        <f>IFERROR(__xludf.DUMMYFUNCTION("""COMPUTED_VALUE"""),"yem")</f>
        <v>yem</v>
      </c>
      <c r="C17600" t="str">
        <f>IFERROR(__xludf.DUMMYFUNCTION("""COMPUTED_VALUE"""),"Yemen")</f>
        <v>Yemen</v>
      </c>
      <c r="D17600">
        <f>IFERROR(__xludf.DUMMYFUNCTION("""COMPUTED_VALUE"""),1983.0)</f>
        <v>1983</v>
      </c>
      <c r="E17600">
        <f>IFERROR(__xludf.DUMMYFUNCTION("""COMPUTED_VALUE"""),9111097.0)</f>
        <v>9111097</v>
      </c>
    </row>
    <row r="17601">
      <c r="A17601" t="str">
        <f t="shared" si="1"/>
        <v>yem#1984</v>
      </c>
      <c r="B17601" t="str">
        <f>IFERROR(__xludf.DUMMYFUNCTION("""COMPUTED_VALUE"""),"yem")</f>
        <v>yem</v>
      </c>
      <c r="C17601" t="str">
        <f>IFERROR(__xludf.DUMMYFUNCTION("""COMPUTED_VALUE"""),"Yemen")</f>
        <v>Yemen</v>
      </c>
      <c r="D17601">
        <f>IFERROR(__xludf.DUMMYFUNCTION("""COMPUTED_VALUE"""),1984.0)</f>
        <v>1984</v>
      </c>
      <c r="E17601">
        <f>IFERROR(__xludf.DUMMYFUNCTION("""COMPUTED_VALUE"""),9472170.0)</f>
        <v>9472170</v>
      </c>
    </row>
    <row r="17602">
      <c r="A17602" t="str">
        <f t="shared" si="1"/>
        <v>yem#1985</v>
      </c>
      <c r="B17602" t="str">
        <f>IFERROR(__xludf.DUMMYFUNCTION("""COMPUTED_VALUE"""),"yem")</f>
        <v>yem</v>
      </c>
      <c r="C17602" t="str">
        <f>IFERROR(__xludf.DUMMYFUNCTION("""COMPUTED_VALUE"""),"Yemen")</f>
        <v>Yemen</v>
      </c>
      <c r="D17602">
        <f>IFERROR(__xludf.DUMMYFUNCTION("""COMPUTED_VALUE"""),1985.0)</f>
        <v>1985</v>
      </c>
      <c r="E17602">
        <f>IFERROR(__xludf.DUMMYFUNCTION("""COMPUTED_VALUE"""),9847899.0)</f>
        <v>9847899</v>
      </c>
    </row>
    <row r="17603">
      <c r="A17603" t="str">
        <f t="shared" si="1"/>
        <v>yem#1986</v>
      </c>
      <c r="B17603" t="str">
        <f>IFERROR(__xludf.DUMMYFUNCTION("""COMPUTED_VALUE"""),"yem")</f>
        <v>yem</v>
      </c>
      <c r="C17603" t="str">
        <f>IFERROR(__xludf.DUMMYFUNCTION("""COMPUTED_VALUE"""),"Yemen")</f>
        <v>Yemen</v>
      </c>
      <c r="D17603">
        <f>IFERROR(__xludf.DUMMYFUNCTION("""COMPUTED_VALUE"""),1986.0)</f>
        <v>1986</v>
      </c>
      <c r="E17603">
        <f>IFERROR(__xludf.DUMMYFUNCTION("""COMPUTED_VALUE"""),1.0232733E7)</f>
        <v>10232733</v>
      </c>
    </row>
    <row r="17604">
      <c r="A17604" t="str">
        <f t="shared" si="1"/>
        <v>yem#1987</v>
      </c>
      <c r="B17604" t="str">
        <f>IFERROR(__xludf.DUMMYFUNCTION("""COMPUTED_VALUE"""),"yem")</f>
        <v>yem</v>
      </c>
      <c r="C17604" t="str">
        <f>IFERROR(__xludf.DUMMYFUNCTION("""COMPUTED_VALUE"""),"Yemen")</f>
        <v>Yemen</v>
      </c>
      <c r="D17604">
        <f>IFERROR(__xludf.DUMMYFUNCTION("""COMPUTED_VALUE"""),1987.0)</f>
        <v>1987</v>
      </c>
      <c r="E17604">
        <f>IFERROR(__xludf.DUMMYFUNCTION("""COMPUTED_VALUE"""),1.0628585E7)</f>
        <v>10628585</v>
      </c>
    </row>
    <row r="17605">
      <c r="A17605" t="str">
        <f t="shared" si="1"/>
        <v>yem#1988</v>
      </c>
      <c r="B17605" t="str">
        <f>IFERROR(__xludf.DUMMYFUNCTION("""COMPUTED_VALUE"""),"yem")</f>
        <v>yem</v>
      </c>
      <c r="C17605" t="str">
        <f>IFERROR(__xludf.DUMMYFUNCTION("""COMPUTED_VALUE"""),"Yemen")</f>
        <v>Yemen</v>
      </c>
      <c r="D17605">
        <f>IFERROR(__xludf.DUMMYFUNCTION("""COMPUTED_VALUE"""),1988.0)</f>
        <v>1988</v>
      </c>
      <c r="E17605">
        <f>IFERROR(__xludf.DUMMYFUNCTION("""COMPUTED_VALUE"""),1.1051504E7)</f>
        <v>11051504</v>
      </c>
    </row>
    <row r="17606">
      <c r="A17606" t="str">
        <f t="shared" si="1"/>
        <v>yem#1989</v>
      </c>
      <c r="B17606" t="str">
        <f>IFERROR(__xludf.DUMMYFUNCTION("""COMPUTED_VALUE"""),"yem")</f>
        <v>yem</v>
      </c>
      <c r="C17606" t="str">
        <f>IFERROR(__xludf.DUMMYFUNCTION("""COMPUTED_VALUE"""),"Yemen")</f>
        <v>Yemen</v>
      </c>
      <c r="D17606">
        <f>IFERROR(__xludf.DUMMYFUNCTION("""COMPUTED_VALUE"""),1989.0)</f>
        <v>1989</v>
      </c>
      <c r="E17606">
        <f>IFERROR(__xludf.DUMMYFUNCTION("""COMPUTED_VALUE"""),1.1523267E7)</f>
        <v>11523267</v>
      </c>
    </row>
    <row r="17607">
      <c r="A17607" t="str">
        <f t="shared" si="1"/>
        <v>yem#1990</v>
      </c>
      <c r="B17607" t="str">
        <f>IFERROR(__xludf.DUMMYFUNCTION("""COMPUTED_VALUE"""),"yem")</f>
        <v>yem</v>
      </c>
      <c r="C17607" t="str">
        <f>IFERROR(__xludf.DUMMYFUNCTION("""COMPUTED_VALUE"""),"Yemen")</f>
        <v>Yemen</v>
      </c>
      <c r="D17607">
        <f>IFERROR(__xludf.DUMMYFUNCTION("""COMPUTED_VALUE"""),1990.0)</f>
        <v>1990</v>
      </c>
      <c r="E17607">
        <f>IFERROR(__xludf.DUMMYFUNCTION("""COMPUTED_VALUE"""),1.2057039E7)</f>
        <v>12057039</v>
      </c>
    </row>
    <row r="17608">
      <c r="A17608" t="str">
        <f t="shared" si="1"/>
        <v>yem#1991</v>
      </c>
      <c r="B17608" t="str">
        <f>IFERROR(__xludf.DUMMYFUNCTION("""COMPUTED_VALUE"""),"yem")</f>
        <v>yem</v>
      </c>
      <c r="C17608" t="str">
        <f>IFERROR(__xludf.DUMMYFUNCTION("""COMPUTED_VALUE"""),"Yemen")</f>
        <v>Yemen</v>
      </c>
      <c r="D17608">
        <f>IFERROR(__xludf.DUMMYFUNCTION("""COMPUTED_VALUE"""),1991.0)</f>
        <v>1991</v>
      </c>
      <c r="E17608">
        <f>IFERROR(__xludf.DUMMYFUNCTION("""COMPUTED_VALUE"""),1.2661614E7)</f>
        <v>12661614</v>
      </c>
    </row>
    <row r="17609">
      <c r="A17609" t="str">
        <f t="shared" si="1"/>
        <v>yem#1992</v>
      </c>
      <c r="B17609" t="str">
        <f>IFERROR(__xludf.DUMMYFUNCTION("""COMPUTED_VALUE"""),"yem")</f>
        <v>yem</v>
      </c>
      <c r="C17609" t="str">
        <f>IFERROR(__xludf.DUMMYFUNCTION("""COMPUTED_VALUE"""),"Yemen")</f>
        <v>Yemen</v>
      </c>
      <c r="D17609">
        <f>IFERROR(__xludf.DUMMYFUNCTION("""COMPUTED_VALUE"""),1992.0)</f>
        <v>1992</v>
      </c>
      <c r="E17609">
        <f>IFERROR(__xludf.DUMMYFUNCTION("""COMPUTED_VALUE"""),1.3325583E7)</f>
        <v>13325583</v>
      </c>
    </row>
    <row r="17610">
      <c r="A17610" t="str">
        <f t="shared" si="1"/>
        <v>yem#1993</v>
      </c>
      <c r="B17610" t="str">
        <f>IFERROR(__xludf.DUMMYFUNCTION("""COMPUTED_VALUE"""),"yem")</f>
        <v>yem</v>
      </c>
      <c r="C17610" t="str">
        <f>IFERROR(__xludf.DUMMYFUNCTION("""COMPUTED_VALUE"""),"Yemen")</f>
        <v>Yemen</v>
      </c>
      <c r="D17610">
        <f>IFERROR(__xludf.DUMMYFUNCTION("""COMPUTED_VALUE"""),1993.0)</f>
        <v>1993</v>
      </c>
      <c r="E17610">
        <f>IFERROR(__xludf.DUMMYFUNCTION("""COMPUTED_VALUE"""),1.4017239E7)</f>
        <v>14017239</v>
      </c>
    </row>
    <row r="17611">
      <c r="A17611" t="str">
        <f t="shared" si="1"/>
        <v>yem#1994</v>
      </c>
      <c r="B17611" t="str">
        <f>IFERROR(__xludf.DUMMYFUNCTION("""COMPUTED_VALUE"""),"yem")</f>
        <v>yem</v>
      </c>
      <c r="C17611" t="str">
        <f>IFERROR(__xludf.DUMMYFUNCTION("""COMPUTED_VALUE"""),"Yemen")</f>
        <v>Yemen</v>
      </c>
      <c r="D17611">
        <f>IFERROR(__xludf.DUMMYFUNCTION("""COMPUTED_VALUE"""),1994.0)</f>
        <v>1994</v>
      </c>
      <c r="E17611">
        <f>IFERROR(__xludf.DUMMYFUNCTION("""COMPUTED_VALUE"""),1.4692686E7)</f>
        <v>14692686</v>
      </c>
    </row>
    <row r="17612">
      <c r="A17612" t="str">
        <f t="shared" si="1"/>
        <v>yem#1995</v>
      </c>
      <c r="B17612" t="str">
        <f>IFERROR(__xludf.DUMMYFUNCTION("""COMPUTED_VALUE"""),"yem")</f>
        <v>yem</v>
      </c>
      <c r="C17612" t="str">
        <f>IFERROR(__xludf.DUMMYFUNCTION("""COMPUTED_VALUE"""),"Yemen")</f>
        <v>Yemen</v>
      </c>
      <c r="D17612">
        <f>IFERROR(__xludf.DUMMYFUNCTION("""COMPUTED_VALUE"""),1995.0)</f>
        <v>1995</v>
      </c>
      <c r="E17612">
        <f>IFERROR(__xludf.DUMMYFUNCTION("""COMPUTED_VALUE"""),1.5320653E7)</f>
        <v>15320653</v>
      </c>
    </row>
    <row r="17613">
      <c r="A17613" t="str">
        <f t="shared" si="1"/>
        <v>yem#1996</v>
      </c>
      <c r="B17613" t="str">
        <f>IFERROR(__xludf.DUMMYFUNCTION("""COMPUTED_VALUE"""),"yem")</f>
        <v>yem</v>
      </c>
      <c r="C17613" t="str">
        <f>IFERROR(__xludf.DUMMYFUNCTION("""COMPUTED_VALUE"""),"Yemen")</f>
        <v>Yemen</v>
      </c>
      <c r="D17613">
        <f>IFERROR(__xludf.DUMMYFUNCTION("""COMPUTED_VALUE"""),1996.0)</f>
        <v>1996</v>
      </c>
      <c r="E17613">
        <f>IFERROR(__xludf.DUMMYFUNCTION("""COMPUTED_VALUE"""),1.5889449E7)</f>
        <v>15889449</v>
      </c>
    </row>
    <row r="17614">
      <c r="A17614" t="str">
        <f t="shared" si="1"/>
        <v>yem#1997</v>
      </c>
      <c r="B17614" t="str">
        <f>IFERROR(__xludf.DUMMYFUNCTION("""COMPUTED_VALUE"""),"yem")</f>
        <v>yem</v>
      </c>
      <c r="C17614" t="str">
        <f>IFERROR(__xludf.DUMMYFUNCTION("""COMPUTED_VALUE"""),"Yemen")</f>
        <v>Yemen</v>
      </c>
      <c r="D17614">
        <f>IFERROR(__xludf.DUMMYFUNCTION("""COMPUTED_VALUE"""),1997.0)</f>
        <v>1997</v>
      </c>
      <c r="E17614">
        <f>IFERROR(__xludf.DUMMYFUNCTION("""COMPUTED_VALUE"""),1.6408954E7)</f>
        <v>16408954</v>
      </c>
    </row>
    <row r="17615">
      <c r="A17615" t="str">
        <f t="shared" si="1"/>
        <v>yem#1998</v>
      </c>
      <c r="B17615" t="str">
        <f>IFERROR(__xludf.DUMMYFUNCTION("""COMPUTED_VALUE"""),"yem")</f>
        <v>yem</v>
      </c>
      <c r="C17615" t="str">
        <f>IFERROR(__xludf.DUMMYFUNCTION("""COMPUTED_VALUE"""),"Yemen")</f>
        <v>Yemen</v>
      </c>
      <c r="D17615">
        <f>IFERROR(__xludf.DUMMYFUNCTION("""COMPUTED_VALUE"""),1998.0)</f>
        <v>1998</v>
      </c>
      <c r="E17615">
        <f>IFERROR(__xludf.DUMMYFUNCTION("""COMPUTED_VALUE"""),1.689621E7)</f>
        <v>16896210</v>
      </c>
    </row>
    <row r="17616">
      <c r="A17616" t="str">
        <f t="shared" si="1"/>
        <v>yem#1999</v>
      </c>
      <c r="B17616" t="str">
        <f>IFERROR(__xludf.DUMMYFUNCTION("""COMPUTED_VALUE"""),"yem")</f>
        <v>yem</v>
      </c>
      <c r="C17616" t="str">
        <f>IFERROR(__xludf.DUMMYFUNCTION("""COMPUTED_VALUE"""),"Yemen")</f>
        <v>Yemen</v>
      </c>
      <c r="D17616">
        <f>IFERROR(__xludf.DUMMYFUNCTION("""COMPUTED_VALUE"""),1999.0)</f>
        <v>1999</v>
      </c>
      <c r="E17616">
        <f>IFERROR(__xludf.DUMMYFUNCTION("""COMPUTED_VALUE"""),1.7378098E7)</f>
        <v>17378098</v>
      </c>
    </row>
    <row r="17617">
      <c r="A17617" t="str">
        <f t="shared" si="1"/>
        <v>yem#2000</v>
      </c>
      <c r="B17617" t="str">
        <f>IFERROR(__xludf.DUMMYFUNCTION("""COMPUTED_VALUE"""),"yem")</f>
        <v>yem</v>
      </c>
      <c r="C17617" t="str">
        <f>IFERROR(__xludf.DUMMYFUNCTION("""COMPUTED_VALUE"""),"Yemen")</f>
        <v>Yemen</v>
      </c>
      <c r="D17617">
        <f>IFERROR(__xludf.DUMMYFUNCTION("""COMPUTED_VALUE"""),2000.0)</f>
        <v>2000</v>
      </c>
      <c r="E17617">
        <f>IFERROR(__xludf.DUMMYFUNCTION("""COMPUTED_VALUE"""),1.7874725E7)</f>
        <v>17874725</v>
      </c>
    </row>
    <row r="17618">
      <c r="A17618" t="str">
        <f t="shared" si="1"/>
        <v>yem#2001</v>
      </c>
      <c r="B17618" t="str">
        <f>IFERROR(__xludf.DUMMYFUNCTION("""COMPUTED_VALUE"""),"yem")</f>
        <v>yem</v>
      </c>
      <c r="C17618" t="str">
        <f>IFERROR(__xludf.DUMMYFUNCTION("""COMPUTED_VALUE"""),"Yemen")</f>
        <v>Yemen</v>
      </c>
      <c r="D17618">
        <f>IFERROR(__xludf.DUMMYFUNCTION("""COMPUTED_VALUE"""),2001.0)</f>
        <v>2001</v>
      </c>
      <c r="E17618">
        <f>IFERROR(__xludf.DUMMYFUNCTION("""COMPUTED_VALUE"""),1.8390135E7)</f>
        <v>18390135</v>
      </c>
    </row>
    <row r="17619">
      <c r="A17619" t="str">
        <f t="shared" si="1"/>
        <v>yem#2002</v>
      </c>
      <c r="B17619" t="str">
        <f>IFERROR(__xludf.DUMMYFUNCTION("""COMPUTED_VALUE"""),"yem")</f>
        <v>yem</v>
      </c>
      <c r="C17619" t="str">
        <f>IFERROR(__xludf.DUMMYFUNCTION("""COMPUTED_VALUE"""),"Yemen")</f>
        <v>Yemen</v>
      </c>
      <c r="D17619">
        <f>IFERROR(__xludf.DUMMYFUNCTION("""COMPUTED_VALUE"""),2002.0)</f>
        <v>2002</v>
      </c>
      <c r="E17619">
        <f>IFERROR(__xludf.DUMMYFUNCTION("""COMPUTED_VALUE"""),1.8919179E7)</f>
        <v>18919179</v>
      </c>
    </row>
    <row r="17620">
      <c r="A17620" t="str">
        <f t="shared" si="1"/>
        <v>yem#2003</v>
      </c>
      <c r="B17620" t="str">
        <f>IFERROR(__xludf.DUMMYFUNCTION("""COMPUTED_VALUE"""),"yem")</f>
        <v>yem</v>
      </c>
      <c r="C17620" t="str">
        <f>IFERROR(__xludf.DUMMYFUNCTION("""COMPUTED_VALUE"""),"Yemen")</f>
        <v>Yemen</v>
      </c>
      <c r="D17620">
        <f>IFERROR(__xludf.DUMMYFUNCTION("""COMPUTED_VALUE"""),2003.0)</f>
        <v>2003</v>
      </c>
      <c r="E17620">
        <f>IFERROR(__xludf.DUMMYFUNCTION("""COMPUTED_VALUE"""),1.9462086E7)</f>
        <v>19462086</v>
      </c>
    </row>
    <row r="17621">
      <c r="A17621" t="str">
        <f t="shared" si="1"/>
        <v>yem#2004</v>
      </c>
      <c r="B17621" t="str">
        <f>IFERROR(__xludf.DUMMYFUNCTION("""COMPUTED_VALUE"""),"yem")</f>
        <v>yem</v>
      </c>
      <c r="C17621" t="str">
        <f>IFERROR(__xludf.DUMMYFUNCTION("""COMPUTED_VALUE"""),"Yemen")</f>
        <v>Yemen</v>
      </c>
      <c r="D17621">
        <f>IFERROR(__xludf.DUMMYFUNCTION("""COMPUTED_VALUE"""),2004.0)</f>
        <v>2004</v>
      </c>
      <c r="E17621">
        <f>IFERROR(__xludf.DUMMYFUNCTION("""COMPUTED_VALUE"""),2.0017068E7)</f>
        <v>20017068</v>
      </c>
    </row>
    <row r="17622">
      <c r="A17622" t="str">
        <f t="shared" si="1"/>
        <v>yem#2005</v>
      </c>
      <c r="B17622" t="str">
        <f>IFERROR(__xludf.DUMMYFUNCTION("""COMPUTED_VALUE"""),"yem")</f>
        <v>yem</v>
      </c>
      <c r="C17622" t="str">
        <f>IFERROR(__xludf.DUMMYFUNCTION("""COMPUTED_VALUE"""),"Yemen")</f>
        <v>Yemen</v>
      </c>
      <c r="D17622">
        <f>IFERROR(__xludf.DUMMYFUNCTION("""COMPUTED_VALUE"""),2005.0)</f>
        <v>2005</v>
      </c>
      <c r="E17622">
        <f>IFERROR(__xludf.DUMMYFUNCTION("""COMPUTED_VALUE"""),2.0582927E7)</f>
        <v>20582927</v>
      </c>
    </row>
    <row r="17623">
      <c r="A17623" t="str">
        <f t="shared" si="1"/>
        <v>yem#2006</v>
      </c>
      <c r="B17623" t="str">
        <f>IFERROR(__xludf.DUMMYFUNCTION("""COMPUTED_VALUE"""),"yem")</f>
        <v>yem</v>
      </c>
      <c r="C17623" t="str">
        <f>IFERROR(__xludf.DUMMYFUNCTION("""COMPUTED_VALUE"""),"Yemen")</f>
        <v>Yemen</v>
      </c>
      <c r="D17623">
        <f>IFERROR(__xludf.DUMMYFUNCTION("""COMPUTED_VALUE"""),2006.0)</f>
        <v>2006</v>
      </c>
      <c r="E17623">
        <f>IFERROR(__xludf.DUMMYFUNCTION("""COMPUTED_VALUE"""),2.1160534E7)</f>
        <v>21160534</v>
      </c>
    </row>
    <row r="17624">
      <c r="A17624" t="str">
        <f t="shared" si="1"/>
        <v>yem#2007</v>
      </c>
      <c r="B17624" t="str">
        <f>IFERROR(__xludf.DUMMYFUNCTION("""COMPUTED_VALUE"""),"yem")</f>
        <v>yem</v>
      </c>
      <c r="C17624" t="str">
        <f>IFERROR(__xludf.DUMMYFUNCTION("""COMPUTED_VALUE"""),"Yemen")</f>
        <v>Yemen</v>
      </c>
      <c r="D17624">
        <f>IFERROR(__xludf.DUMMYFUNCTION("""COMPUTED_VALUE"""),2007.0)</f>
        <v>2007</v>
      </c>
      <c r="E17624">
        <f>IFERROR(__xludf.DUMMYFUNCTION("""COMPUTED_VALUE"""),2.1751605E7)</f>
        <v>21751605</v>
      </c>
    </row>
    <row r="17625">
      <c r="A17625" t="str">
        <f t="shared" si="1"/>
        <v>yem#2008</v>
      </c>
      <c r="B17625" t="str">
        <f>IFERROR(__xludf.DUMMYFUNCTION("""COMPUTED_VALUE"""),"yem")</f>
        <v>yem</v>
      </c>
      <c r="C17625" t="str">
        <f>IFERROR(__xludf.DUMMYFUNCTION("""COMPUTED_VALUE"""),"Yemen")</f>
        <v>Yemen</v>
      </c>
      <c r="D17625">
        <f>IFERROR(__xludf.DUMMYFUNCTION("""COMPUTED_VALUE"""),2008.0)</f>
        <v>2008</v>
      </c>
      <c r="E17625">
        <f>IFERROR(__xludf.DUMMYFUNCTION("""COMPUTED_VALUE"""),2.2356391E7)</f>
        <v>22356391</v>
      </c>
    </row>
    <row r="17626">
      <c r="A17626" t="str">
        <f t="shared" si="1"/>
        <v>yem#2009</v>
      </c>
      <c r="B17626" t="str">
        <f>IFERROR(__xludf.DUMMYFUNCTION("""COMPUTED_VALUE"""),"yem")</f>
        <v>yem</v>
      </c>
      <c r="C17626" t="str">
        <f>IFERROR(__xludf.DUMMYFUNCTION("""COMPUTED_VALUE"""),"Yemen")</f>
        <v>Yemen</v>
      </c>
      <c r="D17626">
        <f>IFERROR(__xludf.DUMMYFUNCTION("""COMPUTED_VALUE"""),2009.0)</f>
        <v>2009</v>
      </c>
      <c r="E17626">
        <f>IFERROR(__xludf.DUMMYFUNCTION("""COMPUTED_VALUE"""),2.2974929E7)</f>
        <v>22974929</v>
      </c>
    </row>
    <row r="17627">
      <c r="A17627" t="str">
        <f t="shared" si="1"/>
        <v>yem#2010</v>
      </c>
      <c r="B17627" t="str">
        <f>IFERROR(__xludf.DUMMYFUNCTION("""COMPUTED_VALUE"""),"yem")</f>
        <v>yem</v>
      </c>
      <c r="C17627" t="str">
        <f>IFERROR(__xludf.DUMMYFUNCTION("""COMPUTED_VALUE"""),"Yemen")</f>
        <v>Yemen</v>
      </c>
      <c r="D17627">
        <f>IFERROR(__xludf.DUMMYFUNCTION("""COMPUTED_VALUE"""),2010.0)</f>
        <v>2010</v>
      </c>
      <c r="E17627">
        <f>IFERROR(__xludf.DUMMYFUNCTION("""COMPUTED_VALUE"""),2.3606779E7)</f>
        <v>23606779</v>
      </c>
    </row>
    <row r="17628">
      <c r="A17628" t="str">
        <f t="shared" si="1"/>
        <v>yem#2011</v>
      </c>
      <c r="B17628" t="str">
        <f>IFERROR(__xludf.DUMMYFUNCTION("""COMPUTED_VALUE"""),"yem")</f>
        <v>yem</v>
      </c>
      <c r="C17628" t="str">
        <f>IFERROR(__xludf.DUMMYFUNCTION("""COMPUTED_VALUE"""),"Yemen")</f>
        <v>Yemen</v>
      </c>
      <c r="D17628">
        <f>IFERROR(__xludf.DUMMYFUNCTION("""COMPUTED_VALUE"""),2011.0)</f>
        <v>2011</v>
      </c>
      <c r="E17628">
        <f>IFERROR(__xludf.DUMMYFUNCTION("""COMPUTED_VALUE"""),2.4252206E7)</f>
        <v>24252206</v>
      </c>
    </row>
    <row r="17629">
      <c r="A17629" t="str">
        <f t="shared" si="1"/>
        <v>yem#2012</v>
      </c>
      <c r="B17629" t="str">
        <f>IFERROR(__xludf.DUMMYFUNCTION("""COMPUTED_VALUE"""),"yem")</f>
        <v>yem</v>
      </c>
      <c r="C17629" t="str">
        <f>IFERROR(__xludf.DUMMYFUNCTION("""COMPUTED_VALUE"""),"Yemen")</f>
        <v>Yemen</v>
      </c>
      <c r="D17629">
        <f>IFERROR(__xludf.DUMMYFUNCTION("""COMPUTED_VALUE"""),2012.0)</f>
        <v>2012</v>
      </c>
      <c r="E17629">
        <f>IFERROR(__xludf.DUMMYFUNCTION("""COMPUTED_VALUE"""),2.4909969E7)</f>
        <v>24909969</v>
      </c>
    </row>
    <row r="17630">
      <c r="A17630" t="str">
        <f t="shared" si="1"/>
        <v>yem#2013</v>
      </c>
      <c r="B17630" t="str">
        <f>IFERROR(__xludf.DUMMYFUNCTION("""COMPUTED_VALUE"""),"yem")</f>
        <v>yem</v>
      </c>
      <c r="C17630" t="str">
        <f>IFERROR(__xludf.DUMMYFUNCTION("""COMPUTED_VALUE"""),"Yemen")</f>
        <v>Yemen</v>
      </c>
      <c r="D17630">
        <f>IFERROR(__xludf.DUMMYFUNCTION("""COMPUTED_VALUE"""),2013.0)</f>
        <v>2013</v>
      </c>
      <c r="E17630">
        <f>IFERROR(__xludf.DUMMYFUNCTION("""COMPUTED_VALUE"""),2.5576322E7)</f>
        <v>25576322</v>
      </c>
    </row>
    <row r="17631">
      <c r="A17631" t="str">
        <f t="shared" si="1"/>
        <v>yem#2014</v>
      </c>
      <c r="B17631" t="str">
        <f>IFERROR(__xludf.DUMMYFUNCTION("""COMPUTED_VALUE"""),"yem")</f>
        <v>yem</v>
      </c>
      <c r="C17631" t="str">
        <f>IFERROR(__xludf.DUMMYFUNCTION("""COMPUTED_VALUE"""),"Yemen")</f>
        <v>Yemen</v>
      </c>
      <c r="D17631">
        <f>IFERROR(__xludf.DUMMYFUNCTION("""COMPUTED_VALUE"""),2014.0)</f>
        <v>2014</v>
      </c>
      <c r="E17631">
        <f>IFERROR(__xludf.DUMMYFUNCTION("""COMPUTED_VALUE"""),2.6246327E7)</f>
        <v>26246327</v>
      </c>
    </row>
    <row r="17632">
      <c r="A17632" t="str">
        <f t="shared" si="1"/>
        <v>yem#2015</v>
      </c>
      <c r="B17632" t="str">
        <f>IFERROR(__xludf.DUMMYFUNCTION("""COMPUTED_VALUE"""),"yem")</f>
        <v>yem</v>
      </c>
      <c r="C17632" t="str">
        <f>IFERROR(__xludf.DUMMYFUNCTION("""COMPUTED_VALUE"""),"Yemen")</f>
        <v>Yemen</v>
      </c>
      <c r="D17632">
        <f>IFERROR(__xludf.DUMMYFUNCTION("""COMPUTED_VALUE"""),2015.0)</f>
        <v>2015</v>
      </c>
      <c r="E17632">
        <f>IFERROR(__xludf.DUMMYFUNCTION("""COMPUTED_VALUE"""),2.6916207E7)</f>
        <v>26916207</v>
      </c>
    </row>
    <row r="17633">
      <c r="A17633" t="str">
        <f t="shared" si="1"/>
        <v>yem#2016</v>
      </c>
      <c r="B17633" t="str">
        <f>IFERROR(__xludf.DUMMYFUNCTION("""COMPUTED_VALUE"""),"yem")</f>
        <v>yem</v>
      </c>
      <c r="C17633" t="str">
        <f>IFERROR(__xludf.DUMMYFUNCTION("""COMPUTED_VALUE"""),"Yemen")</f>
        <v>Yemen</v>
      </c>
      <c r="D17633">
        <f>IFERROR(__xludf.DUMMYFUNCTION("""COMPUTED_VALUE"""),2016.0)</f>
        <v>2016</v>
      </c>
      <c r="E17633">
        <f>IFERROR(__xludf.DUMMYFUNCTION("""COMPUTED_VALUE"""),2.7584213E7)</f>
        <v>27584213</v>
      </c>
    </row>
    <row r="17634">
      <c r="A17634" t="str">
        <f t="shared" si="1"/>
        <v>yem#2017</v>
      </c>
      <c r="B17634" t="str">
        <f>IFERROR(__xludf.DUMMYFUNCTION("""COMPUTED_VALUE"""),"yem")</f>
        <v>yem</v>
      </c>
      <c r="C17634" t="str">
        <f>IFERROR(__xludf.DUMMYFUNCTION("""COMPUTED_VALUE"""),"Yemen")</f>
        <v>Yemen</v>
      </c>
      <c r="D17634">
        <f>IFERROR(__xludf.DUMMYFUNCTION("""COMPUTED_VALUE"""),2017.0)</f>
        <v>2017</v>
      </c>
      <c r="E17634">
        <f>IFERROR(__xludf.DUMMYFUNCTION("""COMPUTED_VALUE"""),2.825042E7)</f>
        <v>28250420</v>
      </c>
    </row>
    <row r="17635">
      <c r="A17635" t="str">
        <f t="shared" si="1"/>
        <v>yem#2018</v>
      </c>
      <c r="B17635" t="str">
        <f>IFERROR(__xludf.DUMMYFUNCTION("""COMPUTED_VALUE"""),"yem")</f>
        <v>yem</v>
      </c>
      <c r="C17635" t="str">
        <f>IFERROR(__xludf.DUMMYFUNCTION("""COMPUTED_VALUE"""),"Yemen")</f>
        <v>Yemen</v>
      </c>
      <c r="D17635">
        <f>IFERROR(__xludf.DUMMYFUNCTION("""COMPUTED_VALUE"""),2018.0)</f>
        <v>2018</v>
      </c>
      <c r="E17635">
        <f>IFERROR(__xludf.DUMMYFUNCTION("""COMPUTED_VALUE"""),2.8915284E7)</f>
        <v>28915284</v>
      </c>
    </row>
    <row r="17636">
      <c r="A17636" t="str">
        <f t="shared" si="1"/>
        <v>yem#2019</v>
      </c>
      <c r="B17636" t="str">
        <f>IFERROR(__xludf.DUMMYFUNCTION("""COMPUTED_VALUE"""),"yem")</f>
        <v>yem</v>
      </c>
      <c r="C17636" t="str">
        <f>IFERROR(__xludf.DUMMYFUNCTION("""COMPUTED_VALUE"""),"Yemen")</f>
        <v>Yemen</v>
      </c>
      <c r="D17636">
        <f>IFERROR(__xludf.DUMMYFUNCTION("""COMPUTED_VALUE"""),2019.0)</f>
        <v>2019</v>
      </c>
      <c r="E17636">
        <f>IFERROR(__xludf.DUMMYFUNCTION("""COMPUTED_VALUE"""),2.9579986E7)</f>
        <v>29579986</v>
      </c>
    </row>
    <row r="17637">
      <c r="A17637" t="str">
        <f t="shared" si="1"/>
        <v>yem#2020</v>
      </c>
      <c r="B17637" t="str">
        <f>IFERROR(__xludf.DUMMYFUNCTION("""COMPUTED_VALUE"""),"yem")</f>
        <v>yem</v>
      </c>
      <c r="C17637" t="str">
        <f>IFERROR(__xludf.DUMMYFUNCTION("""COMPUTED_VALUE"""),"Yemen")</f>
        <v>Yemen</v>
      </c>
      <c r="D17637">
        <f>IFERROR(__xludf.DUMMYFUNCTION("""COMPUTED_VALUE"""),2020.0)</f>
        <v>2020</v>
      </c>
      <c r="E17637">
        <f>IFERROR(__xludf.DUMMYFUNCTION("""COMPUTED_VALUE"""),3.0245305E7)</f>
        <v>30245305</v>
      </c>
    </row>
    <row r="17638">
      <c r="A17638" t="str">
        <f t="shared" si="1"/>
        <v>yem#2021</v>
      </c>
      <c r="B17638" t="str">
        <f>IFERROR(__xludf.DUMMYFUNCTION("""COMPUTED_VALUE"""),"yem")</f>
        <v>yem</v>
      </c>
      <c r="C17638" t="str">
        <f>IFERROR(__xludf.DUMMYFUNCTION("""COMPUTED_VALUE"""),"Yemen")</f>
        <v>Yemen</v>
      </c>
      <c r="D17638">
        <f>IFERROR(__xludf.DUMMYFUNCTION("""COMPUTED_VALUE"""),2021.0)</f>
        <v>2021</v>
      </c>
      <c r="E17638">
        <f>IFERROR(__xludf.DUMMYFUNCTION("""COMPUTED_VALUE"""),3.0910815E7)</f>
        <v>30910815</v>
      </c>
    </row>
    <row r="17639">
      <c r="A17639" t="str">
        <f t="shared" si="1"/>
        <v>yem#2022</v>
      </c>
      <c r="B17639" t="str">
        <f>IFERROR(__xludf.DUMMYFUNCTION("""COMPUTED_VALUE"""),"yem")</f>
        <v>yem</v>
      </c>
      <c r="C17639" t="str">
        <f>IFERROR(__xludf.DUMMYFUNCTION("""COMPUTED_VALUE"""),"Yemen")</f>
        <v>Yemen</v>
      </c>
      <c r="D17639">
        <f>IFERROR(__xludf.DUMMYFUNCTION("""COMPUTED_VALUE"""),2022.0)</f>
        <v>2022</v>
      </c>
      <c r="E17639">
        <f>IFERROR(__xludf.DUMMYFUNCTION("""COMPUTED_VALUE"""),3.1575533E7)</f>
        <v>31575533</v>
      </c>
    </row>
    <row r="17640">
      <c r="A17640" t="str">
        <f t="shared" si="1"/>
        <v>yem#2023</v>
      </c>
      <c r="B17640" t="str">
        <f>IFERROR(__xludf.DUMMYFUNCTION("""COMPUTED_VALUE"""),"yem")</f>
        <v>yem</v>
      </c>
      <c r="C17640" t="str">
        <f>IFERROR(__xludf.DUMMYFUNCTION("""COMPUTED_VALUE"""),"Yemen")</f>
        <v>Yemen</v>
      </c>
      <c r="D17640">
        <f>IFERROR(__xludf.DUMMYFUNCTION("""COMPUTED_VALUE"""),2023.0)</f>
        <v>2023</v>
      </c>
      <c r="E17640">
        <f>IFERROR(__xludf.DUMMYFUNCTION("""COMPUTED_VALUE"""),3.2239043E7)</f>
        <v>32239043</v>
      </c>
    </row>
    <row r="17641">
      <c r="A17641" t="str">
        <f t="shared" si="1"/>
        <v>yem#2024</v>
      </c>
      <c r="B17641" t="str">
        <f>IFERROR(__xludf.DUMMYFUNCTION("""COMPUTED_VALUE"""),"yem")</f>
        <v>yem</v>
      </c>
      <c r="C17641" t="str">
        <f>IFERROR(__xludf.DUMMYFUNCTION("""COMPUTED_VALUE"""),"Yemen")</f>
        <v>Yemen</v>
      </c>
      <c r="D17641">
        <f>IFERROR(__xludf.DUMMYFUNCTION("""COMPUTED_VALUE"""),2024.0)</f>
        <v>2024</v>
      </c>
      <c r="E17641">
        <f>IFERROR(__xludf.DUMMYFUNCTION("""COMPUTED_VALUE"""),3.2900886E7)</f>
        <v>32900886</v>
      </c>
    </row>
    <row r="17642">
      <c r="A17642" t="str">
        <f t="shared" si="1"/>
        <v>yem#2025</v>
      </c>
      <c r="B17642" t="str">
        <f>IFERROR(__xludf.DUMMYFUNCTION("""COMPUTED_VALUE"""),"yem")</f>
        <v>yem</v>
      </c>
      <c r="C17642" t="str">
        <f>IFERROR(__xludf.DUMMYFUNCTION("""COMPUTED_VALUE"""),"Yemen")</f>
        <v>Yemen</v>
      </c>
      <c r="D17642">
        <f>IFERROR(__xludf.DUMMYFUNCTION("""COMPUTED_VALUE"""),2025.0)</f>
        <v>2025</v>
      </c>
      <c r="E17642">
        <f>IFERROR(__xludf.DUMMYFUNCTION("""COMPUTED_VALUE"""),3.3560644E7)</f>
        <v>33560644</v>
      </c>
    </row>
    <row r="17643">
      <c r="A17643" t="str">
        <f t="shared" si="1"/>
        <v>yem#2026</v>
      </c>
      <c r="B17643" t="str">
        <f>IFERROR(__xludf.DUMMYFUNCTION("""COMPUTED_VALUE"""),"yem")</f>
        <v>yem</v>
      </c>
      <c r="C17643" t="str">
        <f>IFERROR(__xludf.DUMMYFUNCTION("""COMPUTED_VALUE"""),"Yemen")</f>
        <v>Yemen</v>
      </c>
      <c r="D17643">
        <f>IFERROR(__xludf.DUMMYFUNCTION("""COMPUTED_VALUE"""),2026.0)</f>
        <v>2026</v>
      </c>
      <c r="E17643">
        <f>IFERROR(__xludf.DUMMYFUNCTION("""COMPUTED_VALUE"""),3.4218019E7)</f>
        <v>34218019</v>
      </c>
    </row>
    <row r="17644">
      <c r="A17644" t="str">
        <f t="shared" si="1"/>
        <v>yem#2027</v>
      </c>
      <c r="B17644" t="str">
        <f>IFERROR(__xludf.DUMMYFUNCTION("""COMPUTED_VALUE"""),"yem")</f>
        <v>yem</v>
      </c>
      <c r="C17644" t="str">
        <f>IFERROR(__xludf.DUMMYFUNCTION("""COMPUTED_VALUE"""),"Yemen")</f>
        <v>Yemen</v>
      </c>
      <c r="D17644">
        <f>IFERROR(__xludf.DUMMYFUNCTION("""COMPUTED_VALUE"""),2027.0)</f>
        <v>2027</v>
      </c>
      <c r="E17644">
        <f>IFERROR(__xludf.DUMMYFUNCTION("""COMPUTED_VALUE"""),3.4872702E7)</f>
        <v>34872702</v>
      </c>
    </row>
    <row r="17645">
      <c r="A17645" t="str">
        <f t="shared" si="1"/>
        <v>yem#2028</v>
      </c>
      <c r="B17645" t="str">
        <f>IFERROR(__xludf.DUMMYFUNCTION("""COMPUTED_VALUE"""),"yem")</f>
        <v>yem</v>
      </c>
      <c r="C17645" t="str">
        <f>IFERROR(__xludf.DUMMYFUNCTION("""COMPUTED_VALUE"""),"Yemen")</f>
        <v>Yemen</v>
      </c>
      <c r="D17645">
        <f>IFERROR(__xludf.DUMMYFUNCTION("""COMPUTED_VALUE"""),2028.0)</f>
        <v>2028</v>
      </c>
      <c r="E17645">
        <f>IFERROR(__xludf.DUMMYFUNCTION("""COMPUTED_VALUE"""),3.5524173E7)</f>
        <v>35524173</v>
      </c>
    </row>
    <row r="17646">
      <c r="A17646" t="str">
        <f t="shared" si="1"/>
        <v>yem#2029</v>
      </c>
      <c r="B17646" t="str">
        <f>IFERROR(__xludf.DUMMYFUNCTION("""COMPUTED_VALUE"""),"yem")</f>
        <v>yem</v>
      </c>
      <c r="C17646" t="str">
        <f>IFERROR(__xludf.DUMMYFUNCTION("""COMPUTED_VALUE"""),"Yemen")</f>
        <v>Yemen</v>
      </c>
      <c r="D17646">
        <f>IFERROR(__xludf.DUMMYFUNCTION("""COMPUTED_VALUE"""),2029.0)</f>
        <v>2029</v>
      </c>
      <c r="E17646">
        <f>IFERROR(__xludf.DUMMYFUNCTION("""COMPUTED_VALUE"""),3.6171853E7)</f>
        <v>36171853</v>
      </c>
    </row>
    <row r="17647">
      <c r="A17647" t="str">
        <f t="shared" si="1"/>
        <v>yem#2030</v>
      </c>
      <c r="B17647" t="str">
        <f>IFERROR(__xludf.DUMMYFUNCTION("""COMPUTED_VALUE"""),"yem")</f>
        <v>yem</v>
      </c>
      <c r="C17647" t="str">
        <f>IFERROR(__xludf.DUMMYFUNCTION("""COMPUTED_VALUE"""),"Yemen")</f>
        <v>Yemen</v>
      </c>
      <c r="D17647">
        <f>IFERROR(__xludf.DUMMYFUNCTION("""COMPUTED_VALUE"""),2030.0)</f>
        <v>2030</v>
      </c>
      <c r="E17647">
        <f>IFERROR(__xludf.DUMMYFUNCTION("""COMPUTED_VALUE"""),3.6815286E7)</f>
        <v>36815286</v>
      </c>
    </row>
    <row r="17648">
      <c r="A17648" t="str">
        <f t="shared" si="1"/>
        <v>yem#2031</v>
      </c>
      <c r="B17648" t="str">
        <f>IFERROR(__xludf.DUMMYFUNCTION("""COMPUTED_VALUE"""),"yem")</f>
        <v>yem</v>
      </c>
      <c r="C17648" t="str">
        <f>IFERROR(__xludf.DUMMYFUNCTION("""COMPUTED_VALUE"""),"Yemen")</f>
        <v>Yemen</v>
      </c>
      <c r="D17648">
        <f>IFERROR(__xludf.DUMMYFUNCTION("""COMPUTED_VALUE"""),2031.0)</f>
        <v>2031</v>
      </c>
      <c r="E17648">
        <f>IFERROR(__xludf.DUMMYFUNCTION("""COMPUTED_VALUE"""),3.7453909E7)</f>
        <v>37453909</v>
      </c>
    </row>
    <row r="17649">
      <c r="A17649" t="str">
        <f t="shared" si="1"/>
        <v>yem#2032</v>
      </c>
      <c r="B17649" t="str">
        <f>IFERROR(__xludf.DUMMYFUNCTION("""COMPUTED_VALUE"""),"yem")</f>
        <v>yem</v>
      </c>
      <c r="C17649" t="str">
        <f>IFERROR(__xludf.DUMMYFUNCTION("""COMPUTED_VALUE"""),"Yemen")</f>
        <v>Yemen</v>
      </c>
      <c r="D17649">
        <f>IFERROR(__xludf.DUMMYFUNCTION("""COMPUTED_VALUE"""),2032.0)</f>
        <v>2032</v>
      </c>
      <c r="E17649">
        <f>IFERROR(__xludf.DUMMYFUNCTION("""COMPUTED_VALUE"""),3.8087508E7)</f>
        <v>38087508</v>
      </c>
    </row>
    <row r="17650">
      <c r="A17650" t="str">
        <f t="shared" si="1"/>
        <v>yem#2033</v>
      </c>
      <c r="B17650" t="str">
        <f>IFERROR(__xludf.DUMMYFUNCTION("""COMPUTED_VALUE"""),"yem")</f>
        <v>yem</v>
      </c>
      <c r="C17650" t="str">
        <f>IFERROR(__xludf.DUMMYFUNCTION("""COMPUTED_VALUE"""),"Yemen")</f>
        <v>Yemen</v>
      </c>
      <c r="D17650">
        <f>IFERROR(__xludf.DUMMYFUNCTION("""COMPUTED_VALUE"""),2033.0)</f>
        <v>2033</v>
      </c>
      <c r="E17650">
        <f>IFERROR(__xludf.DUMMYFUNCTION("""COMPUTED_VALUE"""),3.871641E7)</f>
        <v>38716410</v>
      </c>
    </row>
    <row r="17651">
      <c r="A17651" t="str">
        <f t="shared" si="1"/>
        <v>yem#2034</v>
      </c>
      <c r="B17651" t="str">
        <f>IFERROR(__xludf.DUMMYFUNCTION("""COMPUTED_VALUE"""),"yem")</f>
        <v>yem</v>
      </c>
      <c r="C17651" t="str">
        <f>IFERROR(__xludf.DUMMYFUNCTION("""COMPUTED_VALUE"""),"Yemen")</f>
        <v>Yemen</v>
      </c>
      <c r="D17651">
        <f>IFERROR(__xludf.DUMMYFUNCTION("""COMPUTED_VALUE"""),2034.0)</f>
        <v>2034</v>
      </c>
      <c r="E17651">
        <f>IFERROR(__xludf.DUMMYFUNCTION("""COMPUTED_VALUE"""),3.9341197E7)</f>
        <v>39341197</v>
      </c>
    </row>
    <row r="17652">
      <c r="A17652" t="str">
        <f t="shared" si="1"/>
        <v>yem#2035</v>
      </c>
      <c r="B17652" t="str">
        <f>IFERROR(__xludf.DUMMYFUNCTION("""COMPUTED_VALUE"""),"yem")</f>
        <v>yem</v>
      </c>
      <c r="C17652" t="str">
        <f>IFERROR(__xludf.DUMMYFUNCTION("""COMPUTED_VALUE"""),"Yemen")</f>
        <v>Yemen</v>
      </c>
      <c r="D17652">
        <f>IFERROR(__xludf.DUMMYFUNCTION("""COMPUTED_VALUE"""),2035.0)</f>
        <v>2035</v>
      </c>
      <c r="E17652">
        <f>IFERROR(__xludf.DUMMYFUNCTION("""COMPUTED_VALUE"""),3.9962096E7)</f>
        <v>39962096</v>
      </c>
    </row>
    <row r="17653">
      <c r="A17653" t="str">
        <f t="shared" si="1"/>
        <v>yem#2036</v>
      </c>
      <c r="B17653" t="str">
        <f>IFERROR(__xludf.DUMMYFUNCTION("""COMPUTED_VALUE"""),"yem")</f>
        <v>yem</v>
      </c>
      <c r="C17653" t="str">
        <f>IFERROR(__xludf.DUMMYFUNCTION("""COMPUTED_VALUE"""),"Yemen")</f>
        <v>Yemen</v>
      </c>
      <c r="D17653">
        <f>IFERROR(__xludf.DUMMYFUNCTION("""COMPUTED_VALUE"""),2036.0)</f>
        <v>2036</v>
      </c>
      <c r="E17653">
        <f>IFERROR(__xludf.DUMMYFUNCTION("""COMPUTED_VALUE"""),4.0578956E7)</f>
        <v>40578956</v>
      </c>
    </row>
    <row r="17654">
      <c r="A17654" t="str">
        <f t="shared" si="1"/>
        <v>yem#2037</v>
      </c>
      <c r="B17654" t="str">
        <f>IFERROR(__xludf.DUMMYFUNCTION("""COMPUTED_VALUE"""),"yem")</f>
        <v>yem</v>
      </c>
      <c r="C17654" t="str">
        <f>IFERROR(__xludf.DUMMYFUNCTION("""COMPUTED_VALUE"""),"Yemen")</f>
        <v>Yemen</v>
      </c>
      <c r="D17654">
        <f>IFERROR(__xludf.DUMMYFUNCTION("""COMPUTED_VALUE"""),2037.0)</f>
        <v>2037</v>
      </c>
      <c r="E17654">
        <f>IFERROR(__xludf.DUMMYFUNCTION("""COMPUTED_VALUE"""),4.1191012E7)</f>
        <v>41191012</v>
      </c>
    </row>
    <row r="17655">
      <c r="A17655" t="str">
        <f t="shared" si="1"/>
        <v>yem#2038</v>
      </c>
      <c r="B17655" t="str">
        <f>IFERROR(__xludf.DUMMYFUNCTION("""COMPUTED_VALUE"""),"yem")</f>
        <v>yem</v>
      </c>
      <c r="C17655" t="str">
        <f>IFERROR(__xludf.DUMMYFUNCTION("""COMPUTED_VALUE"""),"Yemen")</f>
        <v>Yemen</v>
      </c>
      <c r="D17655">
        <f>IFERROR(__xludf.DUMMYFUNCTION("""COMPUTED_VALUE"""),2038.0)</f>
        <v>2038</v>
      </c>
      <c r="E17655">
        <f>IFERROR(__xludf.DUMMYFUNCTION("""COMPUTED_VALUE"""),4.1797181E7)</f>
        <v>41797181</v>
      </c>
    </row>
    <row r="17656">
      <c r="A17656" t="str">
        <f t="shared" si="1"/>
        <v>yem#2039</v>
      </c>
      <c r="B17656" t="str">
        <f>IFERROR(__xludf.DUMMYFUNCTION("""COMPUTED_VALUE"""),"yem")</f>
        <v>yem</v>
      </c>
      <c r="C17656" t="str">
        <f>IFERROR(__xludf.DUMMYFUNCTION("""COMPUTED_VALUE"""),"Yemen")</f>
        <v>Yemen</v>
      </c>
      <c r="D17656">
        <f>IFERROR(__xludf.DUMMYFUNCTION("""COMPUTED_VALUE"""),2039.0)</f>
        <v>2039</v>
      </c>
      <c r="E17656">
        <f>IFERROR(__xludf.DUMMYFUNCTION("""COMPUTED_VALUE"""),4.2396011E7)</f>
        <v>42396011</v>
      </c>
    </row>
    <row r="17657">
      <c r="A17657" t="str">
        <f t="shared" si="1"/>
        <v>yem#2040</v>
      </c>
      <c r="B17657" t="str">
        <f>IFERROR(__xludf.DUMMYFUNCTION("""COMPUTED_VALUE"""),"yem")</f>
        <v>yem</v>
      </c>
      <c r="C17657" t="str">
        <f>IFERROR(__xludf.DUMMYFUNCTION("""COMPUTED_VALUE"""),"Yemen")</f>
        <v>Yemen</v>
      </c>
      <c r="D17657">
        <f>IFERROR(__xludf.DUMMYFUNCTION("""COMPUTED_VALUE"""),2040.0)</f>
        <v>2040</v>
      </c>
      <c r="E17657">
        <f>IFERROR(__xludf.DUMMYFUNCTION("""COMPUTED_VALUE"""),4.2986334E7)</f>
        <v>42986334</v>
      </c>
    </row>
    <row r="17658">
      <c r="A17658" t="str">
        <f t="shared" si="1"/>
        <v>zmb#1950</v>
      </c>
      <c r="B17658" t="str">
        <f>IFERROR(__xludf.DUMMYFUNCTION("""COMPUTED_VALUE"""),"zmb")</f>
        <v>zmb</v>
      </c>
      <c r="C17658" t="str">
        <f>IFERROR(__xludf.DUMMYFUNCTION("""COMPUTED_VALUE"""),"Zambia")</f>
        <v>Zambia</v>
      </c>
      <c r="D17658">
        <f>IFERROR(__xludf.DUMMYFUNCTION("""COMPUTED_VALUE"""),1950.0)</f>
        <v>1950</v>
      </c>
      <c r="E17658">
        <f>IFERROR(__xludf.DUMMYFUNCTION("""COMPUTED_VALUE"""),2310442.0)</f>
        <v>2310442</v>
      </c>
    </row>
    <row r="17659">
      <c r="A17659" t="str">
        <f t="shared" si="1"/>
        <v>zmb#1951</v>
      </c>
      <c r="B17659" t="str">
        <f>IFERROR(__xludf.DUMMYFUNCTION("""COMPUTED_VALUE"""),"zmb")</f>
        <v>zmb</v>
      </c>
      <c r="C17659" t="str">
        <f>IFERROR(__xludf.DUMMYFUNCTION("""COMPUTED_VALUE"""),"Zambia")</f>
        <v>Zambia</v>
      </c>
      <c r="D17659">
        <f>IFERROR(__xludf.DUMMYFUNCTION("""COMPUTED_VALUE"""),1951.0)</f>
        <v>1951</v>
      </c>
      <c r="E17659">
        <f>IFERROR(__xludf.DUMMYFUNCTION("""COMPUTED_VALUE"""),2366628.0)</f>
        <v>2366628</v>
      </c>
    </row>
    <row r="17660">
      <c r="A17660" t="str">
        <f t="shared" si="1"/>
        <v>zmb#1952</v>
      </c>
      <c r="B17660" t="str">
        <f>IFERROR(__xludf.DUMMYFUNCTION("""COMPUTED_VALUE"""),"zmb")</f>
        <v>zmb</v>
      </c>
      <c r="C17660" t="str">
        <f>IFERROR(__xludf.DUMMYFUNCTION("""COMPUTED_VALUE"""),"Zambia")</f>
        <v>Zambia</v>
      </c>
      <c r="D17660">
        <f>IFERROR(__xludf.DUMMYFUNCTION("""COMPUTED_VALUE"""),1952.0)</f>
        <v>1952</v>
      </c>
      <c r="E17660">
        <f>IFERROR(__xludf.DUMMYFUNCTION("""COMPUTED_VALUE"""),2427991.0)</f>
        <v>2427991</v>
      </c>
    </row>
    <row r="17661">
      <c r="A17661" t="str">
        <f t="shared" si="1"/>
        <v>zmb#1953</v>
      </c>
      <c r="B17661" t="str">
        <f>IFERROR(__xludf.DUMMYFUNCTION("""COMPUTED_VALUE"""),"zmb")</f>
        <v>zmb</v>
      </c>
      <c r="C17661" t="str">
        <f>IFERROR(__xludf.DUMMYFUNCTION("""COMPUTED_VALUE"""),"Zambia")</f>
        <v>Zambia</v>
      </c>
      <c r="D17661">
        <f>IFERROR(__xludf.DUMMYFUNCTION("""COMPUTED_VALUE"""),1953.0)</f>
        <v>1953</v>
      </c>
      <c r="E17661">
        <f>IFERROR(__xludf.DUMMYFUNCTION("""COMPUTED_VALUE"""),2493513.0)</f>
        <v>2493513</v>
      </c>
    </row>
    <row r="17662">
      <c r="A17662" t="str">
        <f t="shared" si="1"/>
        <v>zmb#1954</v>
      </c>
      <c r="B17662" t="str">
        <f>IFERROR(__xludf.DUMMYFUNCTION("""COMPUTED_VALUE"""),"zmb")</f>
        <v>zmb</v>
      </c>
      <c r="C17662" t="str">
        <f>IFERROR(__xludf.DUMMYFUNCTION("""COMPUTED_VALUE"""),"Zambia")</f>
        <v>Zambia</v>
      </c>
      <c r="D17662">
        <f>IFERROR(__xludf.DUMMYFUNCTION("""COMPUTED_VALUE"""),1954.0)</f>
        <v>1954</v>
      </c>
      <c r="E17662">
        <f>IFERROR(__xludf.DUMMYFUNCTION("""COMPUTED_VALUE"""),2562483.0)</f>
        <v>2562483</v>
      </c>
    </row>
    <row r="17663">
      <c r="A17663" t="str">
        <f t="shared" si="1"/>
        <v>zmb#1955</v>
      </c>
      <c r="B17663" t="str">
        <f>IFERROR(__xludf.DUMMYFUNCTION("""COMPUTED_VALUE"""),"zmb")</f>
        <v>zmb</v>
      </c>
      <c r="C17663" t="str">
        <f>IFERROR(__xludf.DUMMYFUNCTION("""COMPUTED_VALUE"""),"Zambia")</f>
        <v>Zambia</v>
      </c>
      <c r="D17663">
        <f>IFERROR(__xludf.DUMMYFUNCTION("""COMPUTED_VALUE"""),1955.0)</f>
        <v>1955</v>
      </c>
      <c r="E17663">
        <f>IFERROR(__xludf.DUMMYFUNCTION("""COMPUTED_VALUE"""),2634464.0)</f>
        <v>2634464</v>
      </c>
    </row>
    <row r="17664">
      <c r="A17664" t="str">
        <f t="shared" si="1"/>
        <v>zmb#1956</v>
      </c>
      <c r="B17664" t="str">
        <f>IFERROR(__xludf.DUMMYFUNCTION("""COMPUTED_VALUE"""),"zmb")</f>
        <v>zmb</v>
      </c>
      <c r="C17664" t="str">
        <f>IFERROR(__xludf.DUMMYFUNCTION("""COMPUTED_VALUE"""),"Zambia")</f>
        <v>Zambia</v>
      </c>
      <c r="D17664">
        <f>IFERROR(__xludf.DUMMYFUNCTION("""COMPUTED_VALUE"""),1956.0)</f>
        <v>1956</v>
      </c>
      <c r="E17664">
        <f>IFERROR(__xludf.DUMMYFUNCTION("""COMPUTED_VALUE"""),2709359.0)</f>
        <v>2709359</v>
      </c>
    </row>
    <row r="17665">
      <c r="A17665" t="str">
        <f t="shared" si="1"/>
        <v>zmb#1957</v>
      </c>
      <c r="B17665" t="str">
        <f>IFERROR(__xludf.DUMMYFUNCTION("""COMPUTED_VALUE"""),"zmb")</f>
        <v>zmb</v>
      </c>
      <c r="C17665" t="str">
        <f>IFERROR(__xludf.DUMMYFUNCTION("""COMPUTED_VALUE"""),"Zambia")</f>
        <v>Zambia</v>
      </c>
      <c r="D17665">
        <f>IFERROR(__xludf.DUMMYFUNCTION("""COMPUTED_VALUE"""),1957.0)</f>
        <v>1957</v>
      </c>
      <c r="E17665">
        <f>IFERROR(__xludf.DUMMYFUNCTION("""COMPUTED_VALUE"""),2787337.0)</f>
        <v>2787337</v>
      </c>
    </row>
    <row r="17666">
      <c r="A17666" t="str">
        <f t="shared" si="1"/>
        <v>zmb#1958</v>
      </c>
      <c r="B17666" t="str">
        <f>IFERROR(__xludf.DUMMYFUNCTION("""COMPUTED_VALUE"""),"zmb")</f>
        <v>zmb</v>
      </c>
      <c r="C17666" t="str">
        <f>IFERROR(__xludf.DUMMYFUNCTION("""COMPUTED_VALUE"""),"Zambia")</f>
        <v>Zambia</v>
      </c>
      <c r="D17666">
        <f>IFERROR(__xludf.DUMMYFUNCTION("""COMPUTED_VALUE"""),1958.0)</f>
        <v>1958</v>
      </c>
      <c r="E17666">
        <f>IFERROR(__xludf.DUMMYFUNCTION("""COMPUTED_VALUE"""),2868841.0)</f>
        <v>2868841</v>
      </c>
    </row>
    <row r="17667">
      <c r="A17667" t="str">
        <f t="shared" si="1"/>
        <v>zmb#1959</v>
      </c>
      <c r="B17667" t="str">
        <f>IFERROR(__xludf.DUMMYFUNCTION("""COMPUTED_VALUE"""),"zmb")</f>
        <v>zmb</v>
      </c>
      <c r="C17667" t="str">
        <f>IFERROR(__xludf.DUMMYFUNCTION("""COMPUTED_VALUE"""),"Zambia")</f>
        <v>Zambia</v>
      </c>
      <c r="D17667">
        <f>IFERROR(__xludf.DUMMYFUNCTION("""COMPUTED_VALUE"""),1959.0)</f>
        <v>1959</v>
      </c>
      <c r="E17667">
        <f>IFERROR(__xludf.DUMMYFUNCTION("""COMPUTED_VALUE"""),2954483.0)</f>
        <v>2954483</v>
      </c>
    </row>
    <row r="17668">
      <c r="A17668" t="str">
        <f t="shared" si="1"/>
        <v>zmb#1960</v>
      </c>
      <c r="B17668" t="str">
        <f>IFERROR(__xludf.DUMMYFUNCTION("""COMPUTED_VALUE"""),"zmb")</f>
        <v>zmb</v>
      </c>
      <c r="C17668" t="str">
        <f>IFERROR(__xludf.DUMMYFUNCTION("""COMPUTED_VALUE"""),"Zambia")</f>
        <v>Zambia</v>
      </c>
      <c r="D17668">
        <f>IFERROR(__xludf.DUMMYFUNCTION("""COMPUTED_VALUE"""),1960.0)</f>
        <v>1960</v>
      </c>
      <c r="E17668">
        <f>IFERROR(__xludf.DUMMYFUNCTION("""COMPUTED_VALUE"""),3044846.0)</f>
        <v>3044846</v>
      </c>
    </row>
    <row r="17669">
      <c r="A17669" t="str">
        <f t="shared" si="1"/>
        <v>zmb#1961</v>
      </c>
      <c r="B17669" t="str">
        <f>IFERROR(__xludf.DUMMYFUNCTION("""COMPUTED_VALUE"""),"zmb")</f>
        <v>zmb</v>
      </c>
      <c r="C17669" t="str">
        <f>IFERROR(__xludf.DUMMYFUNCTION("""COMPUTED_VALUE"""),"Zambia")</f>
        <v>Zambia</v>
      </c>
      <c r="D17669">
        <f>IFERROR(__xludf.DUMMYFUNCTION("""COMPUTED_VALUE"""),1961.0)</f>
        <v>1961</v>
      </c>
      <c r="E17669">
        <f>IFERROR(__xludf.DUMMYFUNCTION("""COMPUTED_VALUE"""),3140264.0)</f>
        <v>3140264</v>
      </c>
    </row>
    <row r="17670">
      <c r="A17670" t="str">
        <f t="shared" si="1"/>
        <v>zmb#1962</v>
      </c>
      <c r="B17670" t="str">
        <f>IFERROR(__xludf.DUMMYFUNCTION("""COMPUTED_VALUE"""),"zmb")</f>
        <v>zmb</v>
      </c>
      <c r="C17670" t="str">
        <f>IFERROR(__xludf.DUMMYFUNCTION("""COMPUTED_VALUE"""),"Zambia")</f>
        <v>Zambia</v>
      </c>
      <c r="D17670">
        <f>IFERROR(__xludf.DUMMYFUNCTION("""COMPUTED_VALUE"""),1962.0)</f>
        <v>1962</v>
      </c>
      <c r="E17670">
        <f>IFERROR(__xludf.DUMMYFUNCTION("""COMPUTED_VALUE"""),3240587.0)</f>
        <v>3240587</v>
      </c>
    </row>
    <row r="17671">
      <c r="A17671" t="str">
        <f t="shared" si="1"/>
        <v>zmb#1963</v>
      </c>
      <c r="B17671" t="str">
        <f>IFERROR(__xludf.DUMMYFUNCTION("""COMPUTED_VALUE"""),"zmb")</f>
        <v>zmb</v>
      </c>
      <c r="C17671" t="str">
        <f>IFERROR(__xludf.DUMMYFUNCTION("""COMPUTED_VALUE"""),"Zambia")</f>
        <v>Zambia</v>
      </c>
      <c r="D17671">
        <f>IFERROR(__xludf.DUMMYFUNCTION("""COMPUTED_VALUE"""),1963.0)</f>
        <v>1963</v>
      </c>
      <c r="E17671">
        <f>IFERROR(__xludf.DUMMYFUNCTION("""COMPUTED_VALUE"""),3345145.0)</f>
        <v>3345145</v>
      </c>
    </row>
    <row r="17672">
      <c r="A17672" t="str">
        <f t="shared" si="1"/>
        <v>zmb#1964</v>
      </c>
      <c r="B17672" t="str">
        <f>IFERROR(__xludf.DUMMYFUNCTION("""COMPUTED_VALUE"""),"zmb")</f>
        <v>zmb</v>
      </c>
      <c r="C17672" t="str">
        <f>IFERROR(__xludf.DUMMYFUNCTION("""COMPUTED_VALUE"""),"Zambia")</f>
        <v>Zambia</v>
      </c>
      <c r="D17672">
        <f>IFERROR(__xludf.DUMMYFUNCTION("""COMPUTED_VALUE"""),1964.0)</f>
        <v>1964</v>
      </c>
      <c r="E17672">
        <f>IFERROR(__xludf.DUMMYFUNCTION("""COMPUTED_VALUE"""),3452942.0)</f>
        <v>3452942</v>
      </c>
    </row>
    <row r="17673">
      <c r="A17673" t="str">
        <f t="shared" si="1"/>
        <v>zmb#1965</v>
      </c>
      <c r="B17673" t="str">
        <f>IFERROR(__xludf.DUMMYFUNCTION("""COMPUTED_VALUE"""),"zmb")</f>
        <v>zmb</v>
      </c>
      <c r="C17673" t="str">
        <f>IFERROR(__xludf.DUMMYFUNCTION("""COMPUTED_VALUE"""),"Zambia")</f>
        <v>Zambia</v>
      </c>
      <c r="D17673">
        <f>IFERROR(__xludf.DUMMYFUNCTION("""COMPUTED_VALUE"""),1965.0)</f>
        <v>1965</v>
      </c>
      <c r="E17673">
        <f>IFERROR(__xludf.DUMMYFUNCTION("""COMPUTED_VALUE"""),3563407.0)</f>
        <v>3563407</v>
      </c>
    </row>
    <row r="17674">
      <c r="A17674" t="str">
        <f t="shared" si="1"/>
        <v>zmb#1966</v>
      </c>
      <c r="B17674" t="str">
        <f>IFERROR(__xludf.DUMMYFUNCTION("""COMPUTED_VALUE"""),"zmb")</f>
        <v>zmb</v>
      </c>
      <c r="C17674" t="str">
        <f>IFERROR(__xludf.DUMMYFUNCTION("""COMPUTED_VALUE"""),"Zambia")</f>
        <v>Zambia</v>
      </c>
      <c r="D17674">
        <f>IFERROR(__xludf.DUMMYFUNCTION("""COMPUTED_VALUE"""),1966.0)</f>
        <v>1966</v>
      </c>
      <c r="E17674">
        <f>IFERROR(__xludf.DUMMYFUNCTION("""COMPUTED_VALUE"""),3676189.0)</f>
        <v>3676189</v>
      </c>
    </row>
    <row r="17675">
      <c r="A17675" t="str">
        <f t="shared" si="1"/>
        <v>zmb#1967</v>
      </c>
      <c r="B17675" t="str">
        <f>IFERROR(__xludf.DUMMYFUNCTION("""COMPUTED_VALUE"""),"zmb")</f>
        <v>zmb</v>
      </c>
      <c r="C17675" t="str">
        <f>IFERROR(__xludf.DUMMYFUNCTION("""COMPUTED_VALUE"""),"Zambia")</f>
        <v>Zambia</v>
      </c>
      <c r="D17675">
        <f>IFERROR(__xludf.DUMMYFUNCTION("""COMPUTED_VALUE"""),1967.0)</f>
        <v>1967</v>
      </c>
      <c r="E17675">
        <f>IFERROR(__xludf.DUMMYFUNCTION("""COMPUTED_VALUE"""),3791887.0)</f>
        <v>3791887</v>
      </c>
    </row>
    <row r="17676">
      <c r="A17676" t="str">
        <f t="shared" si="1"/>
        <v>zmb#1968</v>
      </c>
      <c r="B17676" t="str">
        <f>IFERROR(__xludf.DUMMYFUNCTION("""COMPUTED_VALUE"""),"zmb")</f>
        <v>zmb</v>
      </c>
      <c r="C17676" t="str">
        <f>IFERROR(__xludf.DUMMYFUNCTION("""COMPUTED_VALUE"""),"Zambia")</f>
        <v>Zambia</v>
      </c>
      <c r="D17676">
        <f>IFERROR(__xludf.DUMMYFUNCTION("""COMPUTED_VALUE"""),1968.0)</f>
        <v>1968</v>
      </c>
      <c r="E17676">
        <f>IFERROR(__xludf.DUMMYFUNCTION("""COMPUTED_VALUE"""),3912085.0)</f>
        <v>3912085</v>
      </c>
    </row>
    <row r="17677">
      <c r="A17677" t="str">
        <f t="shared" si="1"/>
        <v>zmb#1969</v>
      </c>
      <c r="B17677" t="str">
        <f>IFERROR(__xludf.DUMMYFUNCTION("""COMPUTED_VALUE"""),"zmb")</f>
        <v>zmb</v>
      </c>
      <c r="C17677" t="str">
        <f>IFERROR(__xludf.DUMMYFUNCTION("""COMPUTED_VALUE"""),"Zambia")</f>
        <v>Zambia</v>
      </c>
      <c r="D17677">
        <f>IFERROR(__xludf.DUMMYFUNCTION("""COMPUTED_VALUE"""),1969.0)</f>
        <v>1969</v>
      </c>
      <c r="E17677">
        <f>IFERROR(__xludf.DUMMYFUNCTION("""COMPUTED_VALUE"""),4038923.0)</f>
        <v>4038923</v>
      </c>
    </row>
    <row r="17678">
      <c r="A17678" t="str">
        <f t="shared" si="1"/>
        <v>zmb#1970</v>
      </c>
      <c r="B17678" t="str">
        <f>IFERROR(__xludf.DUMMYFUNCTION("""COMPUTED_VALUE"""),"zmb")</f>
        <v>zmb</v>
      </c>
      <c r="C17678" t="str">
        <f>IFERROR(__xludf.DUMMYFUNCTION("""COMPUTED_VALUE"""),"Zambia")</f>
        <v>Zambia</v>
      </c>
      <c r="D17678">
        <f>IFERROR(__xludf.DUMMYFUNCTION("""COMPUTED_VALUE"""),1970.0)</f>
        <v>1970</v>
      </c>
      <c r="E17678">
        <f>IFERROR(__xludf.DUMMYFUNCTION("""COMPUTED_VALUE"""),4173928.0)</f>
        <v>4173928</v>
      </c>
    </row>
    <row r="17679">
      <c r="A17679" t="str">
        <f t="shared" si="1"/>
        <v>zmb#1971</v>
      </c>
      <c r="B17679" t="str">
        <f>IFERROR(__xludf.DUMMYFUNCTION("""COMPUTED_VALUE"""),"zmb")</f>
        <v>zmb</v>
      </c>
      <c r="C17679" t="str">
        <f>IFERROR(__xludf.DUMMYFUNCTION("""COMPUTED_VALUE"""),"Zambia")</f>
        <v>Zambia</v>
      </c>
      <c r="D17679">
        <f>IFERROR(__xludf.DUMMYFUNCTION("""COMPUTED_VALUE"""),1971.0)</f>
        <v>1971</v>
      </c>
      <c r="E17679">
        <f>IFERROR(__xludf.DUMMYFUNCTION("""COMPUTED_VALUE"""),4317748.0)</f>
        <v>4317748</v>
      </c>
    </row>
    <row r="17680">
      <c r="A17680" t="str">
        <f t="shared" si="1"/>
        <v>zmb#1972</v>
      </c>
      <c r="B17680" t="str">
        <f>IFERROR(__xludf.DUMMYFUNCTION("""COMPUTED_VALUE"""),"zmb")</f>
        <v>zmb</v>
      </c>
      <c r="C17680" t="str">
        <f>IFERROR(__xludf.DUMMYFUNCTION("""COMPUTED_VALUE"""),"Zambia")</f>
        <v>Zambia</v>
      </c>
      <c r="D17680">
        <f>IFERROR(__xludf.DUMMYFUNCTION("""COMPUTED_VALUE"""),1972.0)</f>
        <v>1972</v>
      </c>
      <c r="E17680">
        <f>IFERROR(__xludf.DUMMYFUNCTION("""COMPUTED_VALUE"""),4469895.0)</f>
        <v>4469895</v>
      </c>
    </row>
    <row r="17681">
      <c r="A17681" t="str">
        <f t="shared" si="1"/>
        <v>zmb#1973</v>
      </c>
      <c r="B17681" t="str">
        <f>IFERROR(__xludf.DUMMYFUNCTION("""COMPUTED_VALUE"""),"zmb")</f>
        <v>zmb</v>
      </c>
      <c r="C17681" t="str">
        <f>IFERROR(__xludf.DUMMYFUNCTION("""COMPUTED_VALUE"""),"Zambia")</f>
        <v>Zambia</v>
      </c>
      <c r="D17681">
        <f>IFERROR(__xludf.DUMMYFUNCTION("""COMPUTED_VALUE"""),1973.0)</f>
        <v>1973</v>
      </c>
      <c r="E17681">
        <f>IFERROR(__xludf.DUMMYFUNCTION("""COMPUTED_VALUE"""),4629402.0)</f>
        <v>4629402</v>
      </c>
    </row>
    <row r="17682">
      <c r="A17682" t="str">
        <f t="shared" si="1"/>
        <v>zmb#1974</v>
      </c>
      <c r="B17682" t="str">
        <f>IFERROR(__xludf.DUMMYFUNCTION("""COMPUTED_VALUE"""),"zmb")</f>
        <v>zmb</v>
      </c>
      <c r="C17682" t="str">
        <f>IFERROR(__xludf.DUMMYFUNCTION("""COMPUTED_VALUE"""),"Zambia")</f>
        <v>Zambia</v>
      </c>
      <c r="D17682">
        <f>IFERROR(__xludf.DUMMYFUNCTION("""COMPUTED_VALUE"""),1974.0)</f>
        <v>1974</v>
      </c>
      <c r="E17682">
        <f>IFERROR(__xludf.DUMMYFUNCTION("""COMPUTED_VALUE"""),4794754.0)</f>
        <v>4794754</v>
      </c>
    </row>
    <row r="17683">
      <c r="A17683" t="str">
        <f t="shared" si="1"/>
        <v>zmb#1975</v>
      </c>
      <c r="B17683" t="str">
        <f>IFERROR(__xludf.DUMMYFUNCTION("""COMPUTED_VALUE"""),"zmb")</f>
        <v>zmb</v>
      </c>
      <c r="C17683" t="str">
        <f>IFERROR(__xludf.DUMMYFUNCTION("""COMPUTED_VALUE"""),"Zambia")</f>
        <v>Zambia</v>
      </c>
      <c r="D17683">
        <f>IFERROR(__xludf.DUMMYFUNCTION("""COMPUTED_VALUE"""),1975.0)</f>
        <v>1975</v>
      </c>
      <c r="E17683">
        <f>IFERROR(__xludf.DUMMYFUNCTION("""COMPUTED_VALUE"""),4964831.0)</f>
        <v>4964831</v>
      </c>
    </row>
    <row r="17684">
      <c r="A17684" t="str">
        <f t="shared" si="1"/>
        <v>zmb#1976</v>
      </c>
      <c r="B17684" t="str">
        <f>IFERROR(__xludf.DUMMYFUNCTION("""COMPUTED_VALUE"""),"zmb")</f>
        <v>zmb</v>
      </c>
      <c r="C17684" t="str">
        <f>IFERROR(__xludf.DUMMYFUNCTION("""COMPUTED_VALUE"""),"Zambia")</f>
        <v>Zambia</v>
      </c>
      <c r="D17684">
        <f>IFERROR(__xludf.DUMMYFUNCTION("""COMPUTED_VALUE"""),1976.0)</f>
        <v>1976</v>
      </c>
      <c r="E17684">
        <f>IFERROR(__xludf.DUMMYFUNCTION("""COMPUTED_VALUE"""),5139030.0)</f>
        <v>5139030</v>
      </c>
    </row>
    <row r="17685">
      <c r="A17685" t="str">
        <f t="shared" si="1"/>
        <v>zmb#1977</v>
      </c>
      <c r="B17685" t="str">
        <f>IFERROR(__xludf.DUMMYFUNCTION("""COMPUTED_VALUE"""),"zmb")</f>
        <v>zmb</v>
      </c>
      <c r="C17685" t="str">
        <f>IFERROR(__xludf.DUMMYFUNCTION("""COMPUTED_VALUE"""),"Zambia")</f>
        <v>Zambia</v>
      </c>
      <c r="D17685">
        <f>IFERROR(__xludf.DUMMYFUNCTION("""COMPUTED_VALUE"""),1977.0)</f>
        <v>1977</v>
      </c>
      <c r="E17685">
        <f>IFERROR(__xludf.DUMMYFUNCTION("""COMPUTED_VALUE"""),5317631.0)</f>
        <v>5317631</v>
      </c>
    </row>
    <row r="17686">
      <c r="A17686" t="str">
        <f t="shared" si="1"/>
        <v>zmb#1978</v>
      </c>
      <c r="B17686" t="str">
        <f>IFERROR(__xludf.DUMMYFUNCTION("""COMPUTED_VALUE"""),"zmb")</f>
        <v>zmb</v>
      </c>
      <c r="C17686" t="str">
        <f>IFERROR(__xludf.DUMMYFUNCTION("""COMPUTED_VALUE"""),"Zambia")</f>
        <v>Zambia</v>
      </c>
      <c r="D17686">
        <f>IFERROR(__xludf.DUMMYFUNCTION("""COMPUTED_VALUE"""),1978.0)</f>
        <v>1978</v>
      </c>
      <c r="E17686">
        <f>IFERROR(__xludf.DUMMYFUNCTION("""COMPUTED_VALUE"""),5501445.0)</f>
        <v>5501445</v>
      </c>
    </row>
    <row r="17687">
      <c r="A17687" t="str">
        <f t="shared" si="1"/>
        <v>zmb#1979</v>
      </c>
      <c r="B17687" t="str">
        <f>IFERROR(__xludf.DUMMYFUNCTION("""COMPUTED_VALUE"""),"zmb")</f>
        <v>zmb</v>
      </c>
      <c r="C17687" t="str">
        <f>IFERROR(__xludf.DUMMYFUNCTION("""COMPUTED_VALUE"""),"Zambia")</f>
        <v>Zambia</v>
      </c>
      <c r="D17687">
        <f>IFERROR(__xludf.DUMMYFUNCTION("""COMPUTED_VALUE"""),1979.0)</f>
        <v>1979</v>
      </c>
      <c r="E17687">
        <f>IFERROR(__xludf.DUMMYFUNCTION("""COMPUTED_VALUE"""),5691749.0)</f>
        <v>5691749</v>
      </c>
    </row>
    <row r="17688">
      <c r="A17688" t="str">
        <f t="shared" si="1"/>
        <v>zmb#1980</v>
      </c>
      <c r="B17688" t="str">
        <f>IFERROR(__xludf.DUMMYFUNCTION("""COMPUTED_VALUE"""),"zmb")</f>
        <v>zmb</v>
      </c>
      <c r="C17688" t="str">
        <f>IFERROR(__xludf.DUMMYFUNCTION("""COMPUTED_VALUE"""),"Zambia")</f>
        <v>Zambia</v>
      </c>
      <c r="D17688">
        <f>IFERROR(__xludf.DUMMYFUNCTION("""COMPUTED_VALUE"""),1980.0)</f>
        <v>1980</v>
      </c>
      <c r="E17688">
        <f>IFERROR(__xludf.DUMMYFUNCTION("""COMPUTED_VALUE"""),5889230.0)</f>
        <v>5889230</v>
      </c>
    </row>
    <row r="17689">
      <c r="A17689" t="str">
        <f t="shared" si="1"/>
        <v>zmb#1981</v>
      </c>
      <c r="B17689" t="str">
        <f>IFERROR(__xludf.DUMMYFUNCTION("""COMPUTED_VALUE"""),"zmb")</f>
        <v>zmb</v>
      </c>
      <c r="C17689" t="str">
        <f>IFERROR(__xludf.DUMMYFUNCTION("""COMPUTED_VALUE"""),"Zambia")</f>
        <v>Zambia</v>
      </c>
      <c r="D17689">
        <f>IFERROR(__xludf.DUMMYFUNCTION("""COMPUTED_VALUE"""),1981.0)</f>
        <v>1981</v>
      </c>
      <c r="E17689">
        <f>IFERROR(__xludf.DUMMYFUNCTION("""COMPUTED_VALUE"""),6094206.0)</f>
        <v>6094206</v>
      </c>
    </row>
    <row r="17690">
      <c r="A17690" t="str">
        <f t="shared" si="1"/>
        <v>zmb#1982</v>
      </c>
      <c r="B17690" t="str">
        <f>IFERROR(__xludf.DUMMYFUNCTION("""COMPUTED_VALUE"""),"zmb")</f>
        <v>zmb</v>
      </c>
      <c r="C17690" t="str">
        <f>IFERROR(__xludf.DUMMYFUNCTION("""COMPUTED_VALUE"""),"Zambia")</f>
        <v>Zambia</v>
      </c>
      <c r="D17690">
        <f>IFERROR(__xludf.DUMMYFUNCTION("""COMPUTED_VALUE"""),1982.0)</f>
        <v>1982</v>
      </c>
      <c r="E17690">
        <f>IFERROR(__xludf.DUMMYFUNCTION("""COMPUTED_VALUE"""),6305709.0)</f>
        <v>6305709</v>
      </c>
    </row>
    <row r="17691">
      <c r="A17691" t="str">
        <f t="shared" si="1"/>
        <v>zmb#1983</v>
      </c>
      <c r="B17691" t="str">
        <f>IFERROR(__xludf.DUMMYFUNCTION("""COMPUTED_VALUE"""),"zmb")</f>
        <v>zmb</v>
      </c>
      <c r="C17691" t="str">
        <f>IFERROR(__xludf.DUMMYFUNCTION("""COMPUTED_VALUE"""),"Zambia")</f>
        <v>Zambia</v>
      </c>
      <c r="D17691">
        <f>IFERROR(__xludf.DUMMYFUNCTION("""COMPUTED_VALUE"""),1983.0)</f>
        <v>1983</v>
      </c>
      <c r="E17691">
        <f>IFERROR(__xludf.DUMMYFUNCTION("""COMPUTED_VALUE"""),6521542.0)</f>
        <v>6521542</v>
      </c>
    </row>
    <row r="17692">
      <c r="A17692" t="str">
        <f t="shared" si="1"/>
        <v>zmb#1984</v>
      </c>
      <c r="B17692" t="str">
        <f>IFERROR(__xludf.DUMMYFUNCTION("""COMPUTED_VALUE"""),"zmb")</f>
        <v>zmb</v>
      </c>
      <c r="C17692" t="str">
        <f>IFERROR(__xludf.DUMMYFUNCTION("""COMPUTED_VALUE"""),"Zambia")</f>
        <v>Zambia</v>
      </c>
      <c r="D17692">
        <f>IFERROR(__xludf.DUMMYFUNCTION("""COMPUTED_VALUE"""),1984.0)</f>
        <v>1984</v>
      </c>
      <c r="E17692">
        <f>IFERROR(__xludf.DUMMYFUNCTION("""COMPUTED_VALUE"""),6738765.0)</f>
        <v>6738765</v>
      </c>
    </row>
    <row r="17693">
      <c r="A17693" t="str">
        <f t="shared" si="1"/>
        <v>zmb#1985</v>
      </c>
      <c r="B17693" t="str">
        <f>IFERROR(__xludf.DUMMYFUNCTION("""COMPUTED_VALUE"""),"zmb")</f>
        <v>zmb</v>
      </c>
      <c r="C17693" t="str">
        <f>IFERROR(__xludf.DUMMYFUNCTION("""COMPUTED_VALUE"""),"Zambia")</f>
        <v>Zambia</v>
      </c>
      <c r="D17693">
        <f>IFERROR(__xludf.DUMMYFUNCTION("""COMPUTED_VALUE"""),1985.0)</f>
        <v>1985</v>
      </c>
      <c r="E17693">
        <f>IFERROR(__xludf.DUMMYFUNCTION("""COMPUTED_VALUE"""),6955212.0)</f>
        <v>6955212</v>
      </c>
    </row>
    <row r="17694">
      <c r="A17694" t="str">
        <f t="shared" si="1"/>
        <v>zmb#1986</v>
      </c>
      <c r="B17694" t="str">
        <f>IFERROR(__xludf.DUMMYFUNCTION("""COMPUTED_VALUE"""),"zmb")</f>
        <v>zmb</v>
      </c>
      <c r="C17694" t="str">
        <f>IFERROR(__xludf.DUMMYFUNCTION("""COMPUTED_VALUE"""),"Zambia")</f>
        <v>Zambia</v>
      </c>
      <c r="D17694">
        <f>IFERROR(__xludf.DUMMYFUNCTION("""COMPUTED_VALUE"""),1986.0)</f>
        <v>1986</v>
      </c>
      <c r="E17694">
        <f>IFERROR(__xludf.DUMMYFUNCTION("""COMPUTED_VALUE"""),7170656.0)</f>
        <v>7170656</v>
      </c>
    </row>
    <row r="17695">
      <c r="A17695" t="str">
        <f t="shared" si="1"/>
        <v>zmb#1987</v>
      </c>
      <c r="B17695" t="str">
        <f>IFERROR(__xludf.DUMMYFUNCTION("""COMPUTED_VALUE"""),"zmb")</f>
        <v>zmb</v>
      </c>
      <c r="C17695" t="str">
        <f>IFERROR(__xludf.DUMMYFUNCTION("""COMPUTED_VALUE"""),"Zambia")</f>
        <v>Zambia</v>
      </c>
      <c r="D17695">
        <f>IFERROR(__xludf.DUMMYFUNCTION("""COMPUTED_VALUE"""),1987.0)</f>
        <v>1987</v>
      </c>
      <c r="E17695">
        <f>IFERROR(__xludf.DUMMYFUNCTION("""COMPUTED_VALUE"""),7385686.0)</f>
        <v>7385686</v>
      </c>
    </row>
    <row r="17696">
      <c r="A17696" t="str">
        <f t="shared" si="1"/>
        <v>zmb#1988</v>
      </c>
      <c r="B17696" t="str">
        <f>IFERROR(__xludf.DUMMYFUNCTION("""COMPUTED_VALUE"""),"zmb")</f>
        <v>zmb</v>
      </c>
      <c r="C17696" t="str">
        <f>IFERROR(__xludf.DUMMYFUNCTION("""COMPUTED_VALUE"""),"Zambia")</f>
        <v>Zambia</v>
      </c>
      <c r="D17696">
        <f>IFERROR(__xludf.DUMMYFUNCTION("""COMPUTED_VALUE"""),1988.0)</f>
        <v>1988</v>
      </c>
      <c r="E17696">
        <f>IFERROR(__xludf.DUMMYFUNCTION("""COMPUTED_VALUE"""),7600072.0)</f>
        <v>7600072</v>
      </c>
    </row>
    <row r="17697">
      <c r="A17697" t="str">
        <f t="shared" si="1"/>
        <v>zmb#1989</v>
      </c>
      <c r="B17697" t="str">
        <f>IFERROR(__xludf.DUMMYFUNCTION("""COMPUTED_VALUE"""),"zmb")</f>
        <v>zmb</v>
      </c>
      <c r="C17697" t="str">
        <f>IFERROR(__xludf.DUMMYFUNCTION("""COMPUTED_VALUE"""),"Zambia")</f>
        <v>Zambia</v>
      </c>
      <c r="D17697">
        <f>IFERROR(__xludf.DUMMYFUNCTION("""COMPUTED_VALUE"""),1989.0)</f>
        <v>1989</v>
      </c>
      <c r="E17697">
        <f>IFERROR(__xludf.DUMMYFUNCTION("""COMPUTED_VALUE"""),7813808.0)</f>
        <v>7813808</v>
      </c>
    </row>
    <row r="17698">
      <c r="A17698" t="str">
        <f t="shared" si="1"/>
        <v>zmb#1990</v>
      </c>
      <c r="B17698" t="str">
        <f>IFERROR(__xludf.DUMMYFUNCTION("""COMPUTED_VALUE"""),"zmb")</f>
        <v>zmb</v>
      </c>
      <c r="C17698" t="str">
        <f>IFERROR(__xludf.DUMMYFUNCTION("""COMPUTED_VALUE"""),"Zambia")</f>
        <v>Zambia</v>
      </c>
      <c r="D17698">
        <f>IFERROR(__xludf.DUMMYFUNCTION("""COMPUTED_VALUE"""),1990.0)</f>
        <v>1990</v>
      </c>
      <c r="E17698">
        <f>IFERROR(__xludf.DUMMYFUNCTION("""COMPUTED_VALUE"""),8027253.0)</f>
        <v>8027253</v>
      </c>
    </row>
    <row r="17699">
      <c r="A17699" t="str">
        <f t="shared" si="1"/>
        <v>zmb#1991</v>
      </c>
      <c r="B17699" t="str">
        <f>IFERROR(__xludf.DUMMYFUNCTION("""COMPUTED_VALUE"""),"zmb")</f>
        <v>zmb</v>
      </c>
      <c r="C17699" t="str">
        <f>IFERROR(__xludf.DUMMYFUNCTION("""COMPUTED_VALUE"""),"Zambia")</f>
        <v>Zambia</v>
      </c>
      <c r="D17699">
        <f>IFERROR(__xludf.DUMMYFUNCTION("""COMPUTED_VALUE"""),1991.0)</f>
        <v>1991</v>
      </c>
      <c r="E17699">
        <f>IFERROR(__xludf.DUMMYFUNCTION("""COMPUTED_VALUE"""),8239732.0)</f>
        <v>8239732</v>
      </c>
    </row>
    <row r="17700">
      <c r="A17700" t="str">
        <f t="shared" si="1"/>
        <v>zmb#1992</v>
      </c>
      <c r="B17700" t="str">
        <f>IFERROR(__xludf.DUMMYFUNCTION("""COMPUTED_VALUE"""),"zmb")</f>
        <v>zmb</v>
      </c>
      <c r="C17700" t="str">
        <f>IFERROR(__xludf.DUMMYFUNCTION("""COMPUTED_VALUE"""),"Zambia")</f>
        <v>Zambia</v>
      </c>
      <c r="D17700">
        <f>IFERROR(__xludf.DUMMYFUNCTION("""COMPUTED_VALUE"""),1992.0)</f>
        <v>1992</v>
      </c>
      <c r="E17700">
        <f>IFERROR(__xludf.DUMMYFUNCTION("""COMPUTED_VALUE"""),8452275.0)</f>
        <v>8452275</v>
      </c>
    </row>
    <row r="17701">
      <c r="A17701" t="str">
        <f t="shared" si="1"/>
        <v>zmb#1993</v>
      </c>
      <c r="B17701" t="str">
        <f>IFERROR(__xludf.DUMMYFUNCTION("""COMPUTED_VALUE"""),"zmb")</f>
        <v>zmb</v>
      </c>
      <c r="C17701" t="str">
        <f>IFERROR(__xludf.DUMMYFUNCTION("""COMPUTED_VALUE"""),"Zambia")</f>
        <v>Zambia</v>
      </c>
      <c r="D17701">
        <f>IFERROR(__xludf.DUMMYFUNCTION("""COMPUTED_VALUE"""),1993.0)</f>
        <v>1993</v>
      </c>
      <c r="E17701">
        <f>IFERROR(__xludf.DUMMYFUNCTION("""COMPUTED_VALUE"""),8669168.0)</f>
        <v>8669168</v>
      </c>
    </row>
    <row r="17702">
      <c r="A17702" t="str">
        <f t="shared" si="1"/>
        <v>zmb#1994</v>
      </c>
      <c r="B17702" t="str">
        <f>IFERROR(__xludf.DUMMYFUNCTION("""COMPUTED_VALUE"""),"zmb")</f>
        <v>zmb</v>
      </c>
      <c r="C17702" t="str">
        <f>IFERROR(__xludf.DUMMYFUNCTION("""COMPUTED_VALUE"""),"Zambia")</f>
        <v>Zambia</v>
      </c>
      <c r="D17702">
        <f>IFERROR(__xludf.DUMMYFUNCTION("""COMPUTED_VALUE"""),1994.0)</f>
        <v>1994</v>
      </c>
      <c r="E17702">
        <f>IFERROR(__xludf.DUMMYFUNCTION("""COMPUTED_VALUE"""),8896109.0)</f>
        <v>8896109</v>
      </c>
    </row>
    <row r="17703">
      <c r="A17703" t="str">
        <f t="shared" si="1"/>
        <v>zmb#1995</v>
      </c>
      <c r="B17703" t="str">
        <f>IFERROR(__xludf.DUMMYFUNCTION("""COMPUTED_VALUE"""),"zmb")</f>
        <v>zmb</v>
      </c>
      <c r="C17703" t="str">
        <f>IFERROR(__xludf.DUMMYFUNCTION("""COMPUTED_VALUE"""),"Zambia")</f>
        <v>Zambia</v>
      </c>
      <c r="D17703">
        <f>IFERROR(__xludf.DUMMYFUNCTION("""COMPUTED_VALUE"""),1995.0)</f>
        <v>1995</v>
      </c>
      <c r="E17703">
        <f>IFERROR(__xludf.DUMMYFUNCTION("""COMPUTED_VALUE"""),9137077.0)</f>
        <v>9137077</v>
      </c>
    </row>
    <row r="17704">
      <c r="A17704" t="str">
        <f t="shared" si="1"/>
        <v>zmb#1996</v>
      </c>
      <c r="B17704" t="str">
        <f>IFERROR(__xludf.DUMMYFUNCTION("""COMPUTED_VALUE"""),"zmb")</f>
        <v>zmb</v>
      </c>
      <c r="C17704" t="str">
        <f>IFERROR(__xludf.DUMMYFUNCTION("""COMPUTED_VALUE"""),"Zambia")</f>
        <v>Zambia</v>
      </c>
      <c r="D17704">
        <f>IFERROR(__xludf.DUMMYFUNCTION("""COMPUTED_VALUE"""),1996.0)</f>
        <v>1996</v>
      </c>
      <c r="E17704">
        <f>IFERROR(__xludf.DUMMYFUNCTION("""COMPUTED_VALUE"""),9394304.0)</f>
        <v>9394304</v>
      </c>
    </row>
    <row r="17705">
      <c r="A17705" t="str">
        <f t="shared" si="1"/>
        <v>zmb#1997</v>
      </c>
      <c r="B17705" t="str">
        <f>IFERROR(__xludf.DUMMYFUNCTION("""COMPUTED_VALUE"""),"zmb")</f>
        <v>zmb</v>
      </c>
      <c r="C17705" t="str">
        <f>IFERROR(__xludf.DUMMYFUNCTION("""COMPUTED_VALUE"""),"Zambia")</f>
        <v>Zambia</v>
      </c>
      <c r="D17705">
        <f>IFERROR(__xludf.DUMMYFUNCTION("""COMPUTED_VALUE"""),1997.0)</f>
        <v>1997</v>
      </c>
      <c r="E17705">
        <f>IFERROR(__xludf.DUMMYFUNCTION("""COMPUTED_VALUE"""),9666578.0)</f>
        <v>9666578</v>
      </c>
    </row>
    <row r="17706">
      <c r="A17706" t="str">
        <f t="shared" si="1"/>
        <v>zmb#1998</v>
      </c>
      <c r="B17706" t="str">
        <f>IFERROR(__xludf.DUMMYFUNCTION("""COMPUTED_VALUE"""),"zmb")</f>
        <v>zmb</v>
      </c>
      <c r="C17706" t="str">
        <f>IFERROR(__xludf.DUMMYFUNCTION("""COMPUTED_VALUE"""),"Zambia")</f>
        <v>Zambia</v>
      </c>
      <c r="D17706">
        <f>IFERROR(__xludf.DUMMYFUNCTION("""COMPUTED_VALUE"""),1998.0)</f>
        <v>1998</v>
      </c>
      <c r="E17706">
        <f>IFERROR(__xludf.DUMMYFUNCTION("""COMPUTED_VALUE"""),9950224.0)</f>
        <v>9950224</v>
      </c>
    </row>
    <row r="17707">
      <c r="A17707" t="str">
        <f t="shared" si="1"/>
        <v>zmb#1999</v>
      </c>
      <c r="B17707" t="str">
        <f>IFERROR(__xludf.DUMMYFUNCTION("""COMPUTED_VALUE"""),"zmb")</f>
        <v>zmb</v>
      </c>
      <c r="C17707" t="str">
        <f>IFERROR(__xludf.DUMMYFUNCTION("""COMPUTED_VALUE"""),"Zambia")</f>
        <v>Zambia</v>
      </c>
      <c r="D17707">
        <f>IFERROR(__xludf.DUMMYFUNCTION("""COMPUTED_VALUE"""),1999.0)</f>
        <v>1999</v>
      </c>
      <c r="E17707">
        <f>IFERROR(__xludf.DUMMYFUNCTION("""COMPUTED_VALUE"""),1.0239714E7)</f>
        <v>10239714</v>
      </c>
    </row>
    <row r="17708">
      <c r="A17708" t="str">
        <f t="shared" si="1"/>
        <v>zmb#2000</v>
      </c>
      <c r="B17708" t="str">
        <f>IFERROR(__xludf.DUMMYFUNCTION("""COMPUTED_VALUE"""),"zmb")</f>
        <v>zmb</v>
      </c>
      <c r="C17708" t="str">
        <f>IFERROR(__xludf.DUMMYFUNCTION("""COMPUTED_VALUE"""),"Zambia")</f>
        <v>Zambia</v>
      </c>
      <c r="D17708">
        <f>IFERROR(__xludf.DUMMYFUNCTION("""COMPUTED_VALUE"""),2000.0)</f>
        <v>2000</v>
      </c>
      <c r="E17708">
        <f>IFERROR(__xludf.DUMMYFUNCTION("""COMPUTED_VALUE"""),1.0531221E7)</f>
        <v>10531221</v>
      </c>
    </row>
    <row r="17709">
      <c r="A17709" t="str">
        <f t="shared" si="1"/>
        <v>zmb#2001</v>
      </c>
      <c r="B17709" t="str">
        <f>IFERROR(__xludf.DUMMYFUNCTION("""COMPUTED_VALUE"""),"zmb")</f>
        <v>zmb</v>
      </c>
      <c r="C17709" t="str">
        <f>IFERROR(__xludf.DUMMYFUNCTION("""COMPUTED_VALUE"""),"Zambia")</f>
        <v>Zambia</v>
      </c>
      <c r="D17709">
        <f>IFERROR(__xludf.DUMMYFUNCTION("""COMPUTED_VALUE"""),2001.0)</f>
        <v>2001</v>
      </c>
      <c r="E17709">
        <f>IFERROR(__xludf.DUMMYFUNCTION("""COMPUTED_VALUE"""),1.0824125E7)</f>
        <v>10824125</v>
      </c>
    </row>
    <row r="17710">
      <c r="A17710" t="str">
        <f t="shared" si="1"/>
        <v>zmb#2002</v>
      </c>
      <c r="B17710" t="str">
        <f>IFERROR(__xludf.DUMMYFUNCTION("""COMPUTED_VALUE"""),"zmb")</f>
        <v>zmb</v>
      </c>
      <c r="C17710" t="str">
        <f>IFERROR(__xludf.DUMMYFUNCTION("""COMPUTED_VALUE"""),"Zambia")</f>
        <v>Zambia</v>
      </c>
      <c r="D17710">
        <f>IFERROR(__xludf.DUMMYFUNCTION("""COMPUTED_VALUE"""),2002.0)</f>
        <v>2002</v>
      </c>
      <c r="E17710">
        <f>IFERROR(__xludf.DUMMYFUNCTION("""COMPUTED_VALUE"""),1.1120409E7)</f>
        <v>11120409</v>
      </c>
    </row>
    <row r="17711">
      <c r="A17711" t="str">
        <f t="shared" si="1"/>
        <v>zmb#2003</v>
      </c>
      <c r="B17711" t="str">
        <f>IFERROR(__xludf.DUMMYFUNCTION("""COMPUTED_VALUE"""),"zmb")</f>
        <v>zmb</v>
      </c>
      <c r="C17711" t="str">
        <f>IFERROR(__xludf.DUMMYFUNCTION("""COMPUTED_VALUE"""),"Zambia")</f>
        <v>Zambia</v>
      </c>
      <c r="D17711">
        <f>IFERROR(__xludf.DUMMYFUNCTION("""COMPUTED_VALUE"""),2003.0)</f>
        <v>2003</v>
      </c>
      <c r="E17711">
        <f>IFERROR(__xludf.DUMMYFUNCTION("""COMPUTED_VALUE"""),1.1421984E7)</f>
        <v>11421984</v>
      </c>
    </row>
    <row r="17712">
      <c r="A17712" t="str">
        <f t="shared" si="1"/>
        <v>zmb#2004</v>
      </c>
      <c r="B17712" t="str">
        <f>IFERROR(__xludf.DUMMYFUNCTION("""COMPUTED_VALUE"""),"zmb")</f>
        <v>zmb</v>
      </c>
      <c r="C17712" t="str">
        <f>IFERROR(__xludf.DUMMYFUNCTION("""COMPUTED_VALUE"""),"Zambia")</f>
        <v>Zambia</v>
      </c>
      <c r="D17712">
        <f>IFERROR(__xludf.DUMMYFUNCTION("""COMPUTED_VALUE"""),2004.0)</f>
        <v>2004</v>
      </c>
      <c r="E17712">
        <f>IFERROR(__xludf.DUMMYFUNCTION("""COMPUTED_VALUE"""),1.1731746E7)</f>
        <v>11731746</v>
      </c>
    </row>
    <row r="17713">
      <c r="A17713" t="str">
        <f t="shared" si="1"/>
        <v>zmb#2005</v>
      </c>
      <c r="B17713" t="str">
        <f>IFERROR(__xludf.DUMMYFUNCTION("""COMPUTED_VALUE"""),"zmb")</f>
        <v>zmb</v>
      </c>
      <c r="C17713" t="str">
        <f>IFERROR(__xludf.DUMMYFUNCTION("""COMPUTED_VALUE"""),"Zambia")</f>
        <v>Zambia</v>
      </c>
      <c r="D17713">
        <f>IFERROR(__xludf.DUMMYFUNCTION("""COMPUTED_VALUE"""),2005.0)</f>
        <v>2005</v>
      </c>
      <c r="E17713">
        <f>IFERROR(__xludf.DUMMYFUNCTION("""COMPUTED_VALUE"""),1.2052156E7)</f>
        <v>12052156</v>
      </c>
    </row>
    <row r="17714">
      <c r="A17714" t="str">
        <f t="shared" si="1"/>
        <v>zmb#2006</v>
      </c>
      <c r="B17714" t="str">
        <f>IFERROR(__xludf.DUMMYFUNCTION("""COMPUTED_VALUE"""),"zmb")</f>
        <v>zmb</v>
      </c>
      <c r="C17714" t="str">
        <f>IFERROR(__xludf.DUMMYFUNCTION("""COMPUTED_VALUE"""),"Zambia")</f>
        <v>Zambia</v>
      </c>
      <c r="D17714">
        <f>IFERROR(__xludf.DUMMYFUNCTION("""COMPUTED_VALUE"""),2006.0)</f>
        <v>2006</v>
      </c>
      <c r="E17714">
        <f>IFERROR(__xludf.DUMMYFUNCTION("""COMPUTED_VALUE"""),1.2383446E7)</f>
        <v>12383446</v>
      </c>
    </row>
    <row r="17715">
      <c r="A17715" t="str">
        <f t="shared" si="1"/>
        <v>zmb#2007</v>
      </c>
      <c r="B17715" t="str">
        <f>IFERROR(__xludf.DUMMYFUNCTION("""COMPUTED_VALUE"""),"zmb")</f>
        <v>zmb</v>
      </c>
      <c r="C17715" t="str">
        <f>IFERROR(__xludf.DUMMYFUNCTION("""COMPUTED_VALUE"""),"Zambia")</f>
        <v>Zambia</v>
      </c>
      <c r="D17715">
        <f>IFERROR(__xludf.DUMMYFUNCTION("""COMPUTED_VALUE"""),2007.0)</f>
        <v>2007</v>
      </c>
      <c r="E17715">
        <f>IFERROR(__xludf.DUMMYFUNCTION("""COMPUTED_VALUE"""),1.2725974E7)</f>
        <v>12725974</v>
      </c>
    </row>
    <row r="17716">
      <c r="A17716" t="str">
        <f t="shared" si="1"/>
        <v>zmb#2008</v>
      </c>
      <c r="B17716" t="str">
        <f>IFERROR(__xludf.DUMMYFUNCTION("""COMPUTED_VALUE"""),"zmb")</f>
        <v>zmb</v>
      </c>
      <c r="C17716" t="str">
        <f>IFERROR(__xludf.DUMMYFUNCTION("""COMPUTED_VALUE"""),"Zambia")</f>
        <v>Zambia</v>
      </c>
      <c r="D17716">
        <f>IFERROR(__xludf.DUMMYFUNCTION("""COMPUTED_VALUE"""),2008.0)</f>
        <v>2008</v>
      </c>
      <c r="E17716">
        <f>IFERROR(__xludf.DUMMYFUNCTION("""COMPUTED_VALUE"""),1.3082517E7)</f>
        <v>13082517</v>
      </c>
    </row>
    <row r="17717">
      <c r="A17717" t="str">
        <f t="shared" si="1"/>
        <v>zmb#2009</v>
      </c>
      <c r="B17717" t="str">
        <f>IFERROR(__xludf.DUMMYFUNCTION("""COMPUTED_VALUE"""),"zmb")</f>
        <v>zmb</v>
      </c>
      <c r="C17717" t="str">
        <f>IFERROR(__xludf.DUMMYFUNCTION("""COMPUTED_VALUE"""),"Zambia")</f>
        <v>Zambia</v>
      </c>
      <c r="D17717">
        <f>IFERROR(__xludf.DUMMYFUNCTION("""COMPUTED_VALUE"""),2009.0)</f>
        <v>2009</v>
      </c>
      <c r="E17717">
        <f>IFERROR(__xludf.DUMMYFUNCTION("""COMPUTED_VALUE"""),1.3456417E7)</f>
        <v>13456417</v>
      </c>
    </row>
    <row r="17718">
      <c r="A17718" t="str">
        <f t="shared" si="1"/>
        <v>zmb#2010</v>
      </c>
      <c r="B17718" t="str">
        <f>IFERROR(__xludf.DUMMYFUNCTION("""COMPUTED_VALUE"""),"zmb")</f>
        <v>zmb</v>
      </c>
      <c r="C17718" t="str">
        <f>IFERROR(__xludf.DUMMYFUNCTION("""COMPUTED_VALUE"""),"Zambia")</f>
        <v>Zambia</v>
      </c>
      <c r="D17718">
        <f>IFERROR(__xludf.DUMMYFUNCTION("""COMPUTED_VALUE"""),2010.0)</f>
        <v>2010</v>
      </c>
      <c r="E17718">
        <f>IFERROR(__xludf.DUMMYFUNCTION("""COMPUTED_VALUE"""),1.3850033E7)</f>
        <v>13850033</v>
      </c>
    </row>
    <row r="17719">
      <c r="A17719" t="str">
        <f t="shared" si="1"/>
        <v>zmb#2011</v>
      </c>
      <c r="B17719" t="str">
        <f>IFERROR(__xludf.DUMMYFUNCTION("""COMPUTED_VALUE"""),"zmb")</f>
        <v>zmb</v>
      </c>
      <c r="C17719" t="str">
        <f>IFERROR(__xludf.DUMMYFUNCTION("""COMPUTED_VALUE"""),"Zambia")</f>
        <v>Zambia</v>
      </c>
      <c r="D17719">
        <f>IFERROR(__xludf.DUMMYFUNCTION("""COMPUTED_VALUE"""),2011.0)</f>
        <v>2011</v>
      </c>
      <c r="E17719">
        <f>IFERROR(__xludf.DUMMYFUNCTION("""COMPUTED_VALUE"""),1.4264756E7)</f>
        <v>14264756</v>
      </c>
    </row>
    <row r="17720">
      <c r="A17720" t="str">
        <f t="shared" si="1"/>
        <v>zmb#2012</v>
      </c>
      <c r="B17720" t="str">
        <f>IFERROR(__xludf.DUMMYFUNCTION("""COMPUTED_VALUE"""),"zmb")</f>
        <v>zmb</v>
      </c>
      <c r="C17720" t="str">
        <f>IFERROR(__xludf.DUMMYFUNCTION("""COMPUTED_VALUE"""),"Zambia")</f>
        <v>Zambia</v>
      </c>
      <c r="D17720">
        <f>IFERROR(__xludf.DUMMYFUNCTION("""COMPUTED_VALUE"""),2012.0)</f>
        <v>2012</v>
      </c>
      <c r="E17720">
        <f>IFERROR(__xludf.DUMMYFUNCTION("""COMPUTED_VALUE"""),1.4699937E7)</f>
        <v>14699937</v>
      </c>
    </row>
    <row r="17721">
      <c r="A17721" t="str">
        <f t="shared" si="1"/>
        <v>zmb#2013</v>
      </c>
      <c r="B17721" t="str">
        <f>IFERROR(__xludf.DUMMYFUNCTION("""COMPUTED_VALUE"""),"zmb")</f>
        <v>zmb</v>
      </c>
      <c r="C17721" t="str">
        <f>IFERROR(__xludf.DUMMYFUNCTION("""COMPUTED_VALUE"""),"Zambia")</f>
        <v>Zambia</v>
      </c>
      <c r="D17721">
        <f>IFERROR(__xludf.DUMMYFUNCTION("""COMPUTED_VALUE"""),2013.0)</f>
        <v>2013</v>
      </c>
      <c r="E17721">
        <f>IFERROR(__xludf.DUMMYFUNCTION("""COMPUTED_VALUE"""),1.515321E7)</f>
        <v>15153210</v>
      </c>
    </row>
    <row r="17722">
      <c r="A17722" t="str">
        <f t="shared" si="1"/>
        <v>zmb#2014</v>
      </c>
      <c r="B17722" t="str">
        <f>IFERROR(__xludf.DUMMYFUNCTION("""COMPUTED_VALUE"""),"zmb")</f>
        <v>zmb</v>
      </c>
      <c r="C17722" t="str">
        <f>IFERROR(__xludf.DUMMYFUNCTION("""COMPUTED_VALUE"""),"Zambia")</f>
        <v>Zambia</v>
      </c>
      <c r="D17722">
        <f>IFERROR(__xludf.DUMMYFUNCTION("""COMPUTED_VALUE"""),2014.0)</f>
        <v>2014</v>
      </c>
      <c r="E17722">
        <f>IFERROR(__xludf.DUMMYFUNCTION("""COMPUTED_VALUE"""),1.5620974E7)</f>
        <v>15620974</v>
      </c>
    </row>
    <row r="17723">
      <c r="A17723" t="str">
        <f t="shared" si="1"/>
        <v>zmb#2015</v>
      </c>
      <c r="B17723" t="str">
        <f>IFERROR(__xludf.DUMMYFUNCTION("""COMPUTED_VALUE"""),"zmb")</f>
        <v>zmb</v>
      </c>
      <c r="C17723" t="str">
        <f>IFERROR(__xludf.DUMMYFUNCTION("""COMPUTED_VALUE"""),"Zambia")</f>
        <v>Zambia</v>
      </c>
      <c r="D17723">
        <f>IFERROR(__xludf.DUMMYFUNCTION("""COMPUTED_VALUE"""),2015.0)</f>
        <v>2015</v>
      </c>
      <c r="E17723">
        <f>IFERROR(__xludf.DUMMYFUNCTION("""COMPUTED_VALUE"""),1.6100587E7)</f>
        <v>16100587</v>
      </c>
    </row>
    <row r="17724">
      <c r="A17724" t="str">
        <f t="shared" si="1"/>
        <v>zmb#2016</v>
      </c>
      <c r="B17724" t="str">
        <f>IFERROR(__xludf.DUMMYFUNCTION("""COMPUTED_VALUE"""),"zmb")</f>
        <v>zmb</v>
      </c>
      <c r="C17724" t="str">
        <f>IFERROR(__xludf.DUMMYFUNCTION("""COMPUTED_VALUE"""),"Zambia")</f>
        <v>Zambia</v>
      </c>
      <c r="D17724">
        <f>IFERROR(__xludf.DUMMYFUNCTION("""COMPUTED_VALUE"""),2016.0)</f>
        <v>2016</v>
      </c>
      <c r="E17724">
        <f>IFERROR(__xludf.DUMMYFUNCTION("""COMPUTED_VALUE"""),1.659139E7)</f>
        <v>16591390</v>
      </c>
    </row>
    <row r="17725">
      <c r="A17725" t="str">
        <f t="shared" si="1"/>
        <v>zmb#2017</v>
      </c>
      <c r="B17725" t="str">
        <f>IFERROR(__xludf.DUMMYFUNCTION("""COMPUTED_VALUE"""),"zmb")</f>
        <v>zmb</v>
      </c>
      <c r="C17725" t="str">
        <f>IFERROR(__xludf.DUMMYFUNCTION("""COMPUTED_VALUE"""),"Zambia")</f>
        <v>Zambia</v>
      </c>
      <c r="D17725">
        <f>IFERROR(__xludf.DUMMYFUNCTION("""COMPUTED_VALUE"""),2017.0)</f>
        <v>2017</v>
      </c>
      <c r="E17725">
        <f>IFERROR(__xludf.DUMMYFUNCTION("""COMPUTED_VALUE"""),1.709413E7)</f>
        <v>17094130</v>
      </c>
    </row>
    <row r="17726">
      <c r="A17726" t="str">
        <f t="shared" si="1"/>
        <v>zmb#2018</v>
      </c>
      <c r="B17726" t="str">
        <f>IFERROR(__xludf.DUMMYFUNCTION("""COMPUTED_VALUE"""),"zmb")</f>
        <v>zmb</v>
      </c>
      <c r="C17726" t="str">
        <f>IFERROR(__xludf.DUMMYFUNCTION("""COMPUTED_VALUE"""),"Zambia")</f>
        <v>Zambia</v>
      </c>
      <c r="D17726">
        <f>IFERROR(__xludf.DUMMYFUNCTION("""COMPUTED_VALUE"""),2018.0)</f>
        <v>2018</v>
      </c>
      <c r="E17726">
        <f>IFERROR(__xludf.DUMMYFUNCTION("""COMPUTED_VALUE"""),1.7609178E7)</f>
        <v>17609178</v>
      </c>
    </row>
    <row r="17727">
      <c r="A17727" t="str">
        <f t="shared" si="1"/>
        <v>zmb#2019</v>
      </c>
      <c r="B17727" t="str">
        <f>IFERROR(__xludf.DUMMYFUNCTION("""COMPUTED_VALUE"""),"zmb")</f>
        <v>zmb</v>
      </c>
      <c r="C17727" t="str">
        <f>IFERROR(__xludf.DUMMYFUNCTION("""COMPUTED_VALUE"""),"Zambia")</f>
        <v>Zambia</v>
      </c>
      <c r="D17727">
        <f>IFERROR(__xludf.DUMMYFUNCTION("""COMPUTED_VALUE"""),2019.0)</f>
        <v>2019</v>
      </c>
      <c r="E17727">
        <f>IFERROR(__xludf.DUMMYFUNCTION("""COMPUTED_VALUE"""),1.8137369E7)</f>
        <v>18137369</v>
      </c>
    </row>
    <row r="17728">
      <c r="A17728" t="str">
        <f t="shared" si="1"/>
        <v>zmb#2020</v>
      </c>
      <c r="B17728" t="str">
        <f>IFERROR(__xludf.DUMMYFUNCTION("""COMPUTED_VALUE"""),"zmb")</f>
        <v>zmb</v>
      </c>
      <c r="C17728" t="str">
        <f>IFERROR(__xludf.DUMMYFUNCTION("""COMPUTED_VALUE"""),"Zambia")</f>
        <v>Zambia</v>
      </c>
      <c r="D17728">
        <f>IFERROR(__xludf.DUMMYFUNCTION("""COMPUTED_VALUE"""),2020.0)</f>
        <v>2020</v>
      </c>
      <c r="E17728">
        <f>IFERROR(__xludf.DUMMYFUNCTION("""COMPUTED_VALUE"""),1.8679273E7)</f>
        <v>18679273</v>
      </c>
    </row>
    <row r="17729">
      <c r="A17729" t="str">
        <f t="shared" si="1"/>
        <v>zmb#2021</v>
      </c>
      <c r="B17729" t="str">
        <f>IFERROR(__xludf.DUMMYFUNCTION("""COMPUTED_VALUE"""),"zmb")</f>
        <v>zmb</v>
      </c>
      <c r="C17729" t="str">
        <f>IFERROR(__xludf.DUMMYFUNCTION("""COMPUTED_VALUE"""),"Zambia")</f>
        <v>Zambia</v>
      </c>
      <c r="D17729">
        <f>IFERROR(__xludf.DUMMYFUNCTION("""COMPUTED_VALUE"""),2021.0)</f>
        <v>2021</v>
      </c>
      <c r="E17729">
        <f>IFERROR(__xludf.DUMMYFUNCTION("""COMPUTED_VALUE"""),1.9234791E7)</f>
        <v>19234791</v>
      </c>
    </row>
    <row r="17730">
      <c r="A17730" t="str">
        <f t="shared" si="1"/>
        <v>zmb#2022</v>
      </c>
      <c r="B17730" t="str">
        <f>IFERROR(__xludf.DUMMYFUNCTION("""COMPUTED_VALUE"""),"zmb")</f>
        <v>zmb</v>
      </c>
      <c r="C17730" t="str">
        <f>IFERROR(__xludf.DUMMYFUNCTION("""COMPUTED_VALUE"""),"Zambia")</f>
        <v>Zambia</v>
      </c>
      <c r="D17730">
        <f>IFERROR(__xludf.DUMMYFUNCTION("""COMPUTED_VALUE"""),2022.0)</f>
        <v>2022</v>
      </c>
      <c r="E17730">
        <f>IFERROR(__xludf.DUMMYFUNCTION("""COMPUTED_VALUE"""),1.9803619E7)</f>
        <v>19803619</v>
      </c>
    </row>
    <row r="17731">
      <c r="A17731" t="str">
        <f t="shared" si="1"/>
        <v>zmb#2023</v>
      </c>
      <c r="B17731" t="str">
        <f>IFERROR(__xludf.DUMMYFUNCTION("""COMPUTED_VALUE"""),"zmb")</f>
        <v>zmb</v>
      </c>
      <c r="C17731" t="str">
        <f>IFERROR(__xludf.DUMMYFUNCTION("""COMPUTED_VALUE"""),"Zambia")</f>
        <v>Zambia</v>
      </c>
      <c r="D17731">
        <f>IFERROR(__xludf.DUMMYFUNCTION("""COMPUTED_VALUE"""),2023.0)</f>
        <v>2023</v>
      </c>
      <c r="E17731">
        <f>IFERROR(__xludf.DUMMYFUNCTION("""COMPUTED_VALUE"""),2.0386125E7)</f>
        <v>20386125</v>
      </c>
    </row>
    <row r="17732">
      <c r="A17732" t="str">
        <f t="shared" si="1"/>
        <v>zmb#2024</v>
      </c>
      <c r="B17732" t="str">
        <f>IFERROR(__xludf.DUMMYFUNCTION("""COMPUTED_VALUE"""),"zmb")</f>
        <v>zmb</v>
      </c>
      <c r="C17732" t="str">
        <f>IFERROR(__xludf.DUMMYFUNCTION("""COMPUTED_VALUE"""),"Zambia")</f>
        <v>Zambia</v>
      </c>
      <c r="D17732">
        <f>IFERROR(__xludf.DUMMYFUNCTION("""COMPUTED_VALUE"""),2024.0)</f>
        <v>2024</v>
      </c>
      <c r="E17732">
        <f>IFERROR(__xludf.DUMMYFUNCTION("""COMPUTED_VALUE"""),2.0982764E7)</f>
        <v>20982764</v>
      </c>
    </row>
    <row r="17733">
      <c r="A17733" t="str">
        <f t="shared" si="1"/>
        <v>zmb#2025</v>
      </c>
      <c r="B17733" t="str">
        <f>IFERROR(__xludf.DUMMYFUNCTION("""COMPUTED_VALUE"""),"zmb")</f>
        <v>zmb</v>
      </c>
      <c r="C17733" t="str">
        <f>IFERROR(__xludf.DUMMYFUNCTION("""COMPUTED_VALUE"""),"Zambia")</f>
        <v>Zambia</v>
      </c>
      <c r="D17733">
        <f>IFERROR(__xludf.DUMMYFUNCTION("""COMPUTED_VALUE"""),2025.0)</f>
        <v>2025</v>
      </c>
      <c r="E17733">
        <f>IFERROR(__xludf.DUMMYFUNCTION("""COMPUTED_VALUE"""),2.1593825E7)</f>
        <v>21593825</v>
      </c>
    </row>
    <row r="17734">
      <c r="A17734" t="str">
        <f t="shared" si="1"/>
        <v>zmb#2026</v>
      </c>
      <c r="B17734" t="str">
        <f>IFERROR(__xludf.DUMMYFUNCTION("""COMPUTED_VALUE"""),"zmb")</f>
        <v>zmb</v>
      </c>
      <c r="C17734" t="str">
        <f>IFERROR(__xludf.DUMMYFUNCTION("""COMPUTED_VALUE"""),"Zambia")</f>
        <v>Zambia</v>
      </c>
      <c r="D17734">
        <f>IFERROR(__xludf.DUMMYFUNCTION("""COMPUTED_VALUE"""),2026.0)</f>
        <v>2026</v>
      </c>
      <c r="E17734">
        <f>IFERROR(__xludf.DUMMYFUNCTION("""COMPUTED_VALUE"""),2.221944E7)</f>
        <v>22219440</v>
      </c>
    </row>
    <row r="17735">
      <c r="A17735" t="str">
        <f t="shared" si="1"/>
        <v>zmb#2027</v>
      </c>
      <c r="B17735" t="str">
        <f>IFERROR(__xludf.DUMMYFUNCTION("""COMPUTED_VALUE"""),"zmb")</f>
        <v>zmb</v>
      </c>
      <c r="C17735" t="str">
        <f>IFERROR(__xludf.DUMMYFUNCTION("""COMPUTED_VALUE"""),"Zambia")</f>
        <v>Zambia</v>
      </c>
      <c r="D17735">
        <f>IFERROR(__xludf.DUMMYFUNCTION("""COMPUTED_VALUE"""),2027.0)</f>
        <v>2027</v>
      </c>
      <c r="E17735">
        <f>IFERROR(__xludf.DUMMYFUNCTION("""COMPUTED_VALUE"""),2.2859363E7)</f>
        <v>22859363</v>
      </c>
    </row>
    <row r="17736">
      <c r="A17736" t="str">
        <f t="shared" si="1"/>
        <v>zmb#2028</v>
      </c>
      <c r="B17736" t="str">
        <f>IFERROR(__xludf.DUMMYFUNCTION("""COMPUTED_VALUE"""),"zmb")</f>
        <v>zmb</v>
      </c>
      <c r="C17736" t="str">
        <f>IFERROR(__xludf.DUMMYFUNCTION("""COMPUTED_VALUE"""),"Zambia")</f>
        <v>Zambia</v>
      </c>
      <c r="D17736">
        <f>IFERROR(__xludf.DUMMYFUNCTION("""COMPUTED_VALUE"""),2028.0)</f>
        <v>2028</v>
      </c>
      <c r="E17736">
        <f>IFERROR(__xludf.DUMMYFUNCTION("""COMPUTED_VALUE"""),2.3513109E7)</f>
        <v>23513109</v>
      </c>
    </row>
    <row r="17737">
      <c r="A17737" t="str">
        <f t="shared" si="1"/>
        <v>zmb#2029</v>
      </c>
      <c r="B17737" t="str">
        <f>IFERROR(__xludf.DUMMYFUNCTION("""COMPUTED_VALUE"""),"zmb")</f>
        <v>zmb</v>
      </c>
      <c r="C17737" t="str">
        <f>IFERROR(__xludf.DUMMYFUNCTION("""COMPUTED_VALUE"""),"Zambia")</f>
        <v>Zambia</v>
      </c>
      <c r="D17737">
        <f>IFERROR(__xludf.DUMMYFUNCTION("""COMPUTED_VALUE"""),2029.0)</f>
        <v>2029</v>
      </c>
      <c r="E17737">
        <f>IFERROR(__xludf.DUMMYFUNCTION("""COMPUTED_VALUE"""),2.4179963E7)</f>
        <v>24179963</v>
      </c>
    </row>
    <row r="17738">
      <c r="A17738" t="str">
        <f t="shared" si="1"/>
        <v>zmb#2030</v>
      </c>
      <c r="B17738" t="str">
        <f>IFERROR(__xludf.DUMMYFUNCTION("""COMPUTED_VALUE"""),"zmb")</f>
        <v>zmb</v>
      </c>
      <c r="C17738" t="str">
        <f>IFERROR(__xludf.DUMMYFUNCTION("""COMPUTED_VALUE"""),"Zambia")</f>
        <v>Zambia</v>
      </c>
      <c r="D17738">
        <f>IFERROR(__xludf.DUMMYFUNCTION("""COMPUTED_VALUE"""),2030.0)</f>
        <v>2030</v>
      </c>
      <c r="E17738">
        <f>IFERROR(__xludf.DUMMYFUNCTION("""COMPUTED_VALUE"""),2.4859376E7)</f>
        <v>24859376</v>
      </c>
    </row>
    <row r="17739">
      <c r="A17739" t="str">
        <f t="shared" si="1"/>
        <v>zmb#2031</v>
      </c>
      <c r="B17739" t="str">
        <f>IFERROR(__xludf.DUMMYFUNCTION("""COMPUTED_VALUE"""),"zmb")</f>
        <v>zmb</v>
      </c>
      <c r="C17739" t="str">
        <f>IFERROR(__xludf.DUMMYFUNCTION("""COMPUTED_VALUE"""),"Zambia")</f>
        <v>Zambia</v>
      </c>
      <c r="D17739">
        <f>IFERROR(__xludf.DUMMYFUNCTION("""COMPUTED_VALUE"""),2031.0)</f>
        <v>2031</v>
      </c>
      <c r="E17739">
        <f>IFERROR(__xludf.DUMMYFUNCTION("""COMPUTED_VALUE"""),2.5551178E7)</f>
        <v>25551178</v>
      </c>
    </row>
    <row r="17740">
      <c r="A17740" t="str">
        <f t="shared" si="1"/>
        <v>zmb#2032</v>
      </c>
      <c r="B17740" t="str">
        <f>IFERROR(__xludf.DUMMYFUNCTION("""COMPUTED_VALUE"""),"zmb")</f>
        <v>zmb</v>
      </c>
      <c r="C17740" t="str">
        <f>IFERROR(__xludf.DUMMYFUNCTION("""COMPUTED_VALUE"""),"Zambia")</f>
        <v>Zambia</v>
      </c>
      <c r="D17740">
        <f>IFERROR(__xludf.DUMMYFUNCTION("""COMPUTED_VALUE"""),2032.0)</f>
        <v>2032</v>
      </c>
      <c r="E17740">
        <f>IFERROR(__xludf.DUMMYFUNCTION("""COMPUTED_VALUE"""),2.6255378E7)</f>
        <v>26255378</v>
      </c>
    </row>
    <row r="17741">
      <c r="A17741" t="str">
        <f t="shared" si="1"/>
        <v>zmb#2033</v>
      </c>
      <c r="B17741" t="str">
        <f>IFERROR(__xludf.DUMMYFUNCTION("""COMPUTED_VALUE"""),"zmb")</f>
        <v>zmb</v>
      </c>
      <c r="C17741" t="str">
        <f>IFERROR(__xludf.DUMMYFUNCTION("""COMPUTED_VALUE"""),"Zambia")</f>
        <v>Zambia</v>
      </c>
      <c r="D17741">
        <f>IFERROR(__xludf.DUMMYFUNCTION("""COMPUTED_VALUE"""),2033.0)</f>
        <v>2033</v>
      </c>
      <c r="E17741">
        <f>IFERROR(__xludf.DUMMYFUNCTION("""COMPUTED_VALUE"""),2.6971852E7)</f>
        <v>26971852</v>
      </c>
    </row>
    <row r="17742">
      <c r="A17742" t="str">
        <f t="shared" si="1"/>
        <v>zmb#2034</v>
      </c>
      <c r="B17742" t="str">
        <f>IFERROR(__xludf.DUMMYFUNCTION("""COMPUTED_VALUE"""),"zmb")</f>
        <v>zmb</v>
      </c>
      <c r="C17742" t="str">
        <f>IFERROR(__xludf.DUMMYFUNCTION("""COMPUTED_VALUE"""),"Zambia")</f>
        <v>Zambia</v>
      </c>
      <c r="D17742">
        <f>IFERROR(__xludf.DUMMYFUNCTION("""COMPUTED_VALUE"""),2034.0)</f>
        <v>2034</v>
      </c>
      <c r="E17742">
        <f>IFERROR(__xludf.DUMMYFUNCTION("""COMPUTED_VALUE"""),2.7700551E7)</f>
        <v>27700551</v>
      </c>
    </row>
    <row r="17743">
      <c r="A17743" t="str">
        <f t="shared" si="1"/>
        <v>zmb#2035</v>
      </c>
      <c r="B17743" t="str">
        <f>IFERROR(__xludf.DUMMYFUNCTION("""COMPUTED_VALUE"""),"zmb")</f>
        <v>zmb</v>
      </c>
      <c r="C17743" t="str">
        <f>IFERROR(__xludf.DUMMYFUNCTION("""COMPUTED_VALUE"""),"Zambia")</f>
        <v>Zambia</v>
      </c>
      <c r="D17743">
        <f>IFERROR(__xludf.DUMMYFUNCTION("""COMPUTED_VALUE"""),2035.0)</f>
        <v>2035</v>
      </c>
      <c r="E17743">
        <f>IFERROR(__xludf.DUMMYFUNCTION("""COMPUTED_VALUE"""),2.8441399E7)</f>
        <v>28441399</v>
      </c>
    </row>
    <row r="17744">
      <c r="A17744" t="str">
        <f t="shared" si="1"/>
        <v>zmb#2036</v>
      </c>
      <c r="B17744" t="str">
        <f>IFERROR(__xludf.DUMMYFUNCTION("""COMPUTED_VALUE"""),"zmb")</f>
        <v>zmb</v>
      </c>
      <c r="C17744" t="str">
        <f>IFERROR(__xludf.DUMMYFUNCTION("""COMPUTED_VALUE"""),"Zambia")</f>
        <v>Zambia</v>
      </c>
      <c r="D17744">
        <f>IFERROR(__xludf.DUMMYFUNCTION("""COMPUTED_VALUE"""),2036.0)</f>
        <v>2036</v>
      </c>
      <c r="E17744">
        <f>IFERROR(__xludf.DUMMYFUNCTION("""COMPUTED_VALUE"""),2.9194278E7)</f>
        <v>29194278</v>
      </c>
    </row>
    <row r="17745">
      <c r="A17745" t="str">
        <f t="shared" si="1"/>
        <v>zmb#2037</v>
      </c>
      <c r="B17745" t="str">
        <f>IFERROR(__xludf.DUMMYFUNCTION("""COMPUTED_VALUE"""),"zmb")</f>
        <v>zmb</v>
      </c>
      <c r="C17745" t="str">
        <f>IFERROR(__xludf.DUMMYFUNCTION("""COMPUTED_VALUE"""),"Zambia")</f>
        <v>Zambia</v>
      </c>
      <c r="D17745">
        <f>IFERROR(__xludf.DUMMYFUNCTION("""COMPUTED_VALUE"""),2037.0)</f>
        <v>2037</v>
      </c>
      <c r="E17745">
        <f>IFERROR(__xludf.DUMMYFUNCTION("""COMPUTED_VALUE"""),2.9959107E7)</f>
        <v>29959107</v>
      </c>
    </row>
    <row r="17746">
      <c r="A17746" t="str">
        <f t="shared" si="1"/>
        <v>zmb#2038</v>
      </c>
      <c r="B17746" t="str">
        <f>IFERROR(__xludf.DUMMYFUNCTION("""COMPUTED_VALUE"""),"zmb")</f>
        <v>zmb</v>
      </c>
      <c r="C17746" t="str">
        <f>IFERROR(__xludf.DUMMYFUNCTION("""COMPUTED_VALUE"""),"Zambia")</f>
        <v>Zambia</v>
      </c>
      <c r="D17746">
        <f>IFERROR(__xludf.DUMMYFUNCTION("""COMPUTED_VALUE"""),2038.0)</f>
        <v>2038</v>
      </c>
      <c r="E17746">
        <f>IFERROR(__xludf.DUMMYFUNCTION("""COMPUTED_VALUE"""),3.0736002E7)</f>
        <v>30736002</v>
      </c>
    </row>
    <row r="17747">
      <c r="A17747" t="str">
        <f t="shared" si="1"/>
        <v>zmb#2039</v>
      </c>
      <c r="B17747" t="str">
        <f>IFERROR(__xludf.DUMMYFUNCTION("""COMPUTED_VALUE"""),"zmb")</f>
        <v>zmb</v>
      </c>
      <c r="C17747" t="str">
        <f>IFERROR(__xludf.DUMMYFUNCTION("""COMPUTED_VALUE"""),"Zambia")</f>
        <v>Zambia</v>
      </c>
      <c r="D17747">
        <f>IFERROR(__xludf.DUMMYFUNCTION("""COMPUTED_VALUE"""),2039.0)</f>
        <v>2039</v>
      </c>
      <c r="E17747">
        <f>IFERROR(__xludf.DUMMYFUNCTION("""COMPUTED_VALUE"""),3.1525138E7)</f>
        <v>31525138</v>
      </c>
    </row>
    <row r="17748">
      <c r="A17748" t="str">
        <f t="shared" si="1"/>
        <v>zmb#2040</v>
      </c>
      <c r="B17748" t="str">
        <f>IFERROR(__xludf.DUMMYFUNCTION("""COMPUTED_VALUE"""),"zmb")</f>
        <v>zmb</v>
      </c>
      <c r="C17748" t="str">
        <f>IFERROR(__xludf.DUMMYFUNCTION("""COMPUTED_VALUE"""),"Zambia")</f>
        <v>Zambia</v>
      </c>
      <c r="D17748">
        <f>IFERROR(__xludf.DUMMYFUNCTION("""COMPUTED_VALUE"""),2040.0)</f>
        <v>2040</v>
      </c>
      <c r="E17748">
        <f>IFERROR(__xludf.DUMMYFUNCTION("""COMPUTED_VALUE"""),3.2326616E7)</f>
        <v>32326616</v>
      </c>
    </row>
    <row r="17749">
      <c r="A17749" t="str">
        <f t="shared" si="1"/>
        <v>zwe#1950</v>
      </c>
      <c r="B17749" t="str">
        <f>IFERROR(__xludf.DUMMYFUNCTION("""COMPUTED_VALUE"""),"zwe")</f>
        <v>zwe</v>
      </c>
      <c r="C17749" t="str">
        <f>IFERROR(__xludf.DUMMYFUNCTION("""COMPUTED_VALUE"""),"Zimbabwe")</f>
        <v>Zimbabwe</v>
      </c>
      <c r="D17749">
        <f>IFERROR(__xludf.DUMMYFUNCTION("""COMPUTED_VALUE"""),1950.0)</f>
        <v>1950</v>
      </c>
      <c r="E17749">
        <f>IFERROR(__xludf.DUMMYFUNCTION("""COMPUTED_VALUE"""),2746852.0)</f>
        <v>2746852</v>
      </c>
    </row>
    <row r="17750">
      <c r="A17750" t="str">
        <f t="shared" si="1"/>
        <v>zwe#1951</v>
      </c>
      <c r="B17750" t="str">
        <f>IFERROR(__xludf.DUMMYFUNCTION("""COMPUTED_VALUE"""),"zwe")</f>
        <v>zwe</v>
      </c>
      <c r="C17750" t="str">
        <f>IFERROR(__xludf.DUMMYFUNCTION("""COMPUTED_VALUE"""),"Zimbabwe")</f>
        <v>Zimbabwe</v>
      </c>
      <c r="D17750">
        <f>IFERROR(__xludf.DUMMYFUNCTION("""COMPUTED_VALUE"""),1951.0)</f>
        <v>1951</v>
      </c>
      <c r="E17750">
        <f>IFERROR(__xludf.DUMMYFUNCTION("""COMPUTED_VALUE"""),2829750.0)</f>
        <v>2829750</v>
      </c>
    </row>
    <row r="17751">
      <c r="A17751" t="str">
        <f t="shared" si="1"/>
        <v>zwe#1952</v>
      </c>
      <c r="B17751" t="str">
        <f>IFERROR(__xludf.DUMMYFUNCTION("""COMPUTED_VALUE"""),"zwe")</f>
        <v>zwe</v>
      </c>
      <c r="C17751" t="str">
        <f>IFERROR(__xludf.DUMMYFUNCTION("""COMPUTED_VALUE"""),"Zimbabwe")</f>
        <v>Zimbabwe</v>
      </c>
      <c r="D17751">
        <f>IFERROR(__xludf.DUMMYFUNCTION("""COMPUTED_VALUE"""),1952.0)</f>
        <v>1952</v>
      </c>
      <c r="E17751">
        <f>IFERROR(__xludf.DUMMYFUNCTION("""COMPUTED_VALUE"""),2917368.0)</f>
        <v>2917368</v>
      </c>
    </row>
    <row r="17752">
      <c r="A17752" t="str">
        <f t="shared" si="1"/>
        <v>zwe#1953</v>
      </c>
      <c r="B17752" t="str">
        <f>IFERROR(__xludf.DUMMYFUNCTION("""COMPUTED_VALUE"""),"zwe")</f>
        <v>zwe</v>
      </c>
      <c r="C17752" t="str">
        <f>IFERROR(__xludf.DUMMYFUNCTION("""COMPUTED_VALUE"""),"Zimbabwe")</f>
        <v>Zimbabwe</v>
      </c>
      <c r="D17752">
        <f>IFERROR(__xludf.DUMMYFUNCTION("""COMPUTED_VALUE"""),1953.0)</f>
        <v>1953</v>
      </c>
      <c r="E17752">
        <f>IFERROR(__xludf.DUMMYFUNCTION("""COMPUTED_VALUE"""),3008925.0)</f>
        <v>3008925</v>
      </c>
    </row>
    <row r="17753">
      <c r="A17753" t="str">
        <f t="shared" si="1"/>
        <v>zwe#1954</v>
      </c>
      <c r="B17753" t="str">
        <f>IFERROR(__xludf.DUMMYFUNCTION("""COMPUTED_VALUE"""),"zwe")</f>
        <v>zwe</v>
      </c>
      <c r="C17753" t="str">
        <f>IFERROR(__xludf.DUMMYFUNCTION("""COMPUTED_VALUE"""),"Zimbabwe")</f>
        <v>Zimbabwe</v>
      </c>
      <c r="D17753">
        <f>IFERROR(__xludf.DUMMYFUNCTION("""COMPUTED_VALUE"""),1954.0)</f>
        <v>1954</v>
      </c>
      <c r="E17753">
        <f>IFERROR(__xludf.DUMMYFUNCTION("""COMPUTED_VALUE"""),3103899.0)</f>
        <v>3103899</v>
      </c>
    </row>
    <row r="17754">
      <c r="A17754" t="str">
        <f t="shared" si="1"/>
        <v>zwe#1955</v>
      </c>
      <c r="B17754" t="str">
        <f>IFERROR(__xludf.DUMMYFUNCTION("""COMPUTED_VALUE"""),"zwe")</f>
        <v>zwe</v>
      </c>
      <c r="C17754" t="str">
        <f>IFERROR(__xludf.DUMMYFUNCTION("""COMPUTED_VALUE"""),"Zimbabwe")</f>
        <v>Zimbabwe</v>
      </c>
      <c r="D17754">
        <f>IFERROR(__xludf.DUMMYFUNCTION("""COMPUTED_VALUE"""),1955.0)</f>
        <v>1955</v>
      </c>
      <c r="E17754">
        <f>IFERROR(__xludf.DUMMYFUNCTION("""COMPUTED_VALUE"""),3202015.0)</f>
        <v>3202015</v>
      </c>
    </row>
    <row r="17755">
      <c r="A17755" t="str">
        <f t="shared" si="1"/>
        <v>zwe#1956</v>
      </c>
      <c r="B17755" t="str">
        <f>IFERROR(__xludf.DUMMYFUNCTION("""COMPUTED_VALUE"""),"zwe")</f>
        <v>zwe</v>
      </c>
      <c r="C17755" t="str">
        <f>IFERROR(__xludf.DUMMYFUNCTION("""COMPUTED_VALUE"""),"Zimbabwe")</f>
        <v>Zimbabwe</v>
      </c>
      <c r="D17755">
        <f>IFERROR(__xludf.DUMMYFUNCTION("""COMPUTED_VALUE"""),1956.0)</f>
        <v>1956</v>
      </c>
      <c r="E17755">
        <f>IFERROR(__xludf.DUMMYFUNCTION("""COMPUTED_VALUE"""),3303265.0)</f>
        <v>3303265</v>
      </c>
    </row>
    <row r="17756">
      <c r="A17756" t="str">
        <f t="shared" si="1"/>
        <v>zwe#1957</v>
      </c>
      <c r="B17756" t="str">
        <f>IFERROR(__xludf.DUMMYFUNCTION("""COMPUTED_VALUE"""),"zwe")</f>
        <v>zwe</v>
      </c>
      <c r="C17756" t="str">
        <f>IFERROR(__xludf.DUMMYFUNCTION("""COMPUTED_VALUE"""),"Zimbabwe")</f>
        <v>Zimbabwe</v>
      </c>
      <c r="D17756">
        <f>IFERROR(__xludf.DUMMYFUNCTION("""COMPUTED_VALUE"""),1957.0)</f>
        <v>1957</v>
      </c>
      <c r="E17756">
        <f>IFERROR(__xludf.DUMMYFUNCTION("""COMPUTED_VALUE"""),3407908.0)</f>
        <v>3407908</v>
      </c>
    </row>
    <row r="17757">
      <c r="A17757" t="str">
        <f t="shared" si="1"/>
        <v>zwe#1958</v>
      </c>
      <c r="B17757" t="str">
        <f>IFERROR(__xludf.DUMMYFUNCTION("""COMPUTED_VALUE"""),"zwe")</f>
        <v>zwe</v>
      </c>
      <c r="C17757" t="str">
        <f>IFERROR(__xludf.DUMMYFUNCTION("""COMPUTED_VALUE"""),"Zimbabwe")</f>
        <v>Zimbabwe</v>
      </c>
      <c r="D17757">
        <f>IFERROR(__xludf.DUMMYFUNCTION("""COMPUTED_VALUE"""),1958.0)</f>
        <v>1958</v>
      </c>
      <c r="E17757">
        <f>IFERROR(__xludf.DUMMYFUNCTION("""COMPUTED_VALUE"""),3516399.0)</f>
        <v>3516399</v>
      </c>
    </row>
    <row r="17758">
      <c r="A17758" t="str">
        <f t="shared" si="1"/>
        <v>zwe#1959</v>
      </c>
      <c r="B17758" t="str">
        <f>IFERROR(__xludf.DUMMYFUNCTION("""COMPUTED_VALUE"""),"zwe")</f>
        <v>zwe</v>
      </c>
      <c r="C17758" t="str">
        <f>IFERROR(__xludf.DUMMYFUNCTION("""COMPUTED_VALUE"""),"Zimbabwe")</f>
        <v>Zimbabwe</v>
      </c>
      <c r="D17758">
        <f>IFERROR(__xludf.DUMMYFUNCTION("""COMPUTED_VALUE"""),1959.0)</f>
        <v>1959</v>
      </c>
      <c r="E17758">
        <f>IFERROR(__xludf.DUMMYFUNCTION("""COMPUTED_VALUE"""),3629356.0)</f>
        <v>3629356</v>
      </c>
    </row>
    <row r="17759">
      <c r="A17759" t="str">
        <f t="shared" si="1"/>
        <v>zwe#1960</v>
      </c>
      <c r="B17759" t="str">
        <f>IFERROR(__xludf.DUMMYFUNCTION("""COMPUTED_VALUE"""),"zwe")</f>
        <v>zwe</v>
      </c>
      <c r="C17759" t="str">
        <f>IFERROR(__xludf.DUMMYFUNCTION("""COMPUTED_VALUE"""),"Zimbabwe")</f>
        <v>Zimbabwe</v>
      </c>
      <c r="D17759">
        <f>IFERROR(__xludf.DUMMYFUNCTION("""COMPUTED_VALUE"""),1960.0)</f>
        <v>1960</v>
      </c>
      <c r="E17759">
        <f>IFERROR(__xludf.DUMMYFUNCTION("""COMPUTED_VALUE"""),3747369.0)</f>
        <v>3747369</v>
      </c>
    </row>
    <row r="17760">
      <c r="A17760" t="str">
        <f t="shared" si="1"/>
        <v>zwe#1961</v>
      </c>
      <c r="B17760" t="str">
        <f>IFERROR(__xludf.DUMMYFUNCTION("""COMPUTED_VALUE"""),"zwe")</f>
        <v>zwe</v>
      </c>
      <c r="C17760" t="str">
        <f>IFERROR(__xludf.DUMMYFUNCTION("""COMPUTED_VALUE"""),"Zimbabwe")</f>
        <v>Zimbabwe</v>
      </c>
      <c r="D17760">
        <f>IFERROR(__xludf.DUMMYFUNCTION("""COMPUTED_VALUE"""),1961.0)</f>
        <v>1961</v>
      </c>
      <c r="E17760">
        <f>IFERROR(__xludf.DUMMYFUNCTION("""COMPUTED_VALUE"""),3870756.0)</f>
        <v>3870756</v>
      </c>
    </row>
    <row r="17761">
      <c r="A17761" t="str">
        <f t="shared" si="1"/>
        <v>zwe#1962</v>
      </c>
      <c r="B17761" t="str">
        <f>IFERROR(__xludf.DUMMYFUNCTION("""COMPUTED_VALUE"""),"zwe")</f>
        <v>zwe</v>
      </c>
      <c r="C17761" t="str">
        <f>IFERROR(__xludf.DUMMYFUNCTION("""COMPUTED_VALUE"""),"Zimbabwe")</f>
        <v>Zimbabwe</v>
      </c>
      <c r="D17761">
        <f>IFERROR(__xludf.DUMMYFUNCTION("""COMPUTED_VALUE"""),1962.0)</f>
        <v>1962</v>
      </c>
      <c r="E17761">
        <f>IFERROR(__xludf.DUMMYFUNCTION("""COMPUTED_VALUE"""),3999419.0)</f>
        <v>3999419</v>
      </c>
    </row>
    <row r="17762">
      <c r="A17762" t="str">
        <f t="shared" si="1"/>
        <v>zwe#1963</v>
      </c>
      <c r="B17762" t="str">
        <f>IFERROR(__xludf.DUMMYFUNCTION("""COMPUTED_VALUE"""),"zwe")</f>
        <v>zwe</v>
      </c>
      <c r="C17762" t="str">
        <f>IFERROR(__xludf.DUMMYFUNCTION("""COMPUTED_VALUE"""),"Zimbabwe")</f>
        <v>Zimbabwe</v>
      </c>
      <c r="D17762">
        <f>IFERROR(__xludf.DUMMYFUNCTION("""COMPUTED_VALUE"""),1963.0)</f>
        <v>1963</v>
      </c>
      <c r="E17762">
        <f>IFERROR(__xludf.DUMMYFUNCTION("""COMPUTED_VALUE"""),4132756.0)</f>
        <v>4132756</v>
      </c>
    </row>
    <row r="17763">
      <c r="A17763" t="str">
        <f t="shared" si="1"/>
        <v>zwe#1964</v>
      </c>
      <c r="B17763" t="str">
        <f>IFERROR(__xludf.DUMMYFUNCTION("""COMPUTED_VALUE"""),"zwe")</f>
        <v>zwe</v>
      </c>
      <c r="C17763" t="str">
        <f>IFERROR(__xludf.DUMMYFUNCTION("""COMPUTED_VALUE"""),"Zimbabwe")</f>
        <v>Zimbabwe</v>
      </c>
      <c r="D17763">
        <f>IFERROR(__xludf.DUMMYFUNCTION("""COMPUTED_VALUE"""),1964.0)</f>
        <v>1964</v>
      </c>
      <c r="E17763">
        <f>IFERROR(__xludf.DUMMYFUNCTION("""COMPUTED_VALUE"""),4269863.0)</f>
        <v>4269863</v>
      </c>
    </row>
    <row r="17764">
      <c r="A17764" t="str">
        <f t="shared" si="1"/>
        <v>zwe#1965</v>
      </c>
      <c r="B17764" t="str">
        <f>IFERROR(__xludf.DUMMYFUNCTION("""COMPUTED_VALUE"""),"zwe")</f>
        <v>zwe</v>
      </c>
      <c r="C17764" t="str">
        <f>IFERROR(__xludf.DUMMYFUNCTION("""COMPUTED_VALUE"""),"Zimbabwe")</f>
        <v>Zimbabwe</v>
      </c>
      <c r="D17764">
        <f>IFERROR(__xludf.DUMMYFUNCTION("""COMPUTED_VALUE"""),1965.0)</f>
        <v>1965</v>
      </c>
      <c r="E17764">
        <f>IFERROR(__xludf.DUMMYFUNCTION("""COMPUTED_VALUE"""),4410212.0)</f>
        <v>4410212</v>
      </c>
    </row>
    <row r="17765">
      <c r="A17765" t="str">
        <f t="shared" si="1"/>
        <v>zwe#1966</v>
      </c>
      <c r="B17765" t="str">
        <f>IFERROR(__xludf.DUMMYFUNCTION("""COMPUTED_VALUE"""),"zwe")</f>
        <v>zwe</v>
      </c>
      <c r="C17765" t="str">
        <f>IFERROR(__xludf.DUMMYFUNCTION("""COMPUTED_VALUE"""),"Zimbabwe")</f>
        <v>Zimbabwe</v>
      </c>
      <c r="D17765">
        <f>IFERROR(__xludf.DUMMYFUNCTION("""COMPUTED_VALUE"""),1966.0)</f>
        <v>1966</v>
      </c>
      <c r="E17765">
        <f>IFERROR(__xludf.DUMMYFUNCTION("""COMPUTED_VALUE"""),4553433.0)</f>
        <v>4553433</v>
      </c>
    </row>
    <row r="17766">
      <c r="A17766" t="str">
        <f t="shared" si="1"/>
        <v>zwe#1967</v>
      </c>
      <c r="B17766" t="str">
        <f>IFERROR(__xludf.DUMMYFUNCTION("""COMPUTED_VALUE"""),"zwe")</f>
        <v>zwe</v>
      </c>
      <c r="C17766" t="str">
        <f>IFERROR(__xludf.DUMMYFUNCTION("""COMPUTED_VALUE"""),"Zimbabwe")</f>
        <v>Zimbabwe</v>
      </c>
      <c r="D17766">
        <f>IFERROR(__xludf.DUMMYFUNCTION("""COMPUTED_VALUE"""),1967.0)</f>
        <v>1967</v>
      </c>
      <c r="E17766">
        <f>IFERROR(__xludf.DUMMYFUNCTION("""COMPUTED_VALUE"""),4700041.0)</f>
        <v>4700041</v>
      </c>
    </row>
    <row r="17767">
      <c r="A17767" t="str">
        <f t="shared" si="1"/>
        <v>zwe#1968</v>
      </c>
      <c r="B17767" t="str">
        <f>IFERROR(__xludf.DUMMYFUNCTION("""COMPUTED_VALUE"""),"zwe")</f>
        <v>zwe</v>
      </c>
      <c r="C17767" t="str">
        <f>IFERROR(__xludf.DUMMYFUNCTION("""COMPUTED_VALUE"""),"Zimbabwe")</f>
        <v>Zimbabwe</v>
      </c>
      <c r="D17767">
        <f>IFERROR(__xludf.DUMMYFUNCTION("""COMPUTED_VALUE"""),1968.0)</f>
        <v>1968</v>
      </c>
      <c r="E17767">
        <f>IFERROR(__xludf.DUMMYFUNCTION("""COMPUTED_VALUE"""),4851431.0)</f>
        <v>4851431</v>
      </c>
    </row>
    <row r="17768">
      <c r="A17768" t="str">
        <f t="shared" si="1"/>
        <v>zwe#1969</v>
      </c>
      <c r="B17768" t="str">
        <f>IFERROR(__xludf.DUMMYFUNCTION("""COMPUTED_VALUE"""),"zwe")</f>
        <v>zwe</v>
      </c>
      <c r="C17768" t="str">
        <f>IFERROR(__xludf.DUMMYFUNCTION("""COMPUTED_VALUE"""),"Zimbabwe")</f>
        <v>Zimbabwe</v>
      </c>
      <c r="D17768">
        <f>IFERROR(__xludf.DUMMYFUNCTION("""COMPUTED_VALUE"""),1969.0)</f>
        <v>1969</v>
      </c>
      <c r="E17768">
        <f>IFERROR(__xludf.DUMMYFUNCTION("""COMPUTED_VALUE"""),5009514.0)</f>
        <v>5009514</v>
      </c>
    </row>
    <row r="17769">
      <c r="A17769" t="str">
        <f t="shared" si="1"/>
        <v>zwe#1970</v>
      </c>
      <c r="B17769" t="str">
        <f>IFERROR(__xludf.DUMMYFUNCTION("""COMPUTED_VALUE"""),"zwe")</f>
        <v>zwe</v>
      </c>
      <c r="C17769" t="str">
        <f>IFERROR(__xludf.DUMMYFUNCTION("""COMPUTED_VALUE"""),"Zimbabwe")</f>
        <v>Zimbabwe</v>
      </c>
      <c r="D17769">
        <f>IFERROR(__xludf.DUMMYFUNCTION("""COMPUTED_VALUE"""),1970.0)</f>
        <v>1970</v>
      </c>
      <c r="E17769">
        <f>IFERROR(__xludf.DUMMYFUNCTION("""COMPUTED_VALUE"""),5175618.0)</f>
        <v>5175618</v>
      </c>
    </row>
    <row r="17770">
      <c r="A17770" t="str">
        <f t="shared" si="1"/>
        <v>zwe#1971</v>
      </c>
      <c r="B17770" t="str">
        <f>IFERROR(__xludf.DUMMYFUNCTION("""COMPUTED_VALUE"""),"zwe")</f>
        <v>zwe</v>
      </c>
      <c r="C17770" t="str">
        <f>IFERROR(__xludf.DUMMYFUNCTION("""COMPUTED_VALUE"""),"Zimbabwe")</f>
        <v>Zimbabwe</v>
      </c>
      <c r="D17770">
        <f>IFERROR(__xludf.DUMMYFUNCTION("""COMPUTED_VALUE"""),1971.0)</f>
        <v>1971</v>
      </c>
      <c r="E17770">
        <f>IFERROR(__xludf.DUMMYFUNCTION("""COMPUTED_VALUE"""),5351195.0)</f>
        <v>5351195</v>
      </c>
    </row>
    <row r="17771">
      <c r="A17771" t="str">
        <f t="shared" si="1"/>
        <v>zwe#1972</v>
      </c>
      <c r="B17771" t="str">
        <f>IFERROR(__xludf.DUMMYFUNCTION("""COMPUTED_VALUE"""),"zwe")</f>
        <v>zwe</v>
      </c>
      <c r="C17771" t="str">
        <f>IFERROR(__xludf.DUMMYFUNCTION("""COMPUTED_VALUE"""),"Zimbabwe")</f>
        <v>Zimbabwe</v>
      </c>
      <c r="D17771">
        <f>IFERROR(__xludf.DUMMYFUNCTION("""COMPUTED_VALUE"""),1972.0)</f>
        <v>1972</v>
      </c>
      <c r="E17771">
        <f>IFERROR(__xludf.DUMMYFUNCTION("""COMPUTED_VALUE"""),5535874.0)</f>
        <v>5535874</v>
      </c>
    </row>
    <row r="17772">
      <c r="A17772" t="str">
        <f t="shared" si="1"/>
        <v>zwe#1973</v>
      </c>
      <c r="B17772" t="str">
        <f>IFERROR(__xludf.DUMMYFUNCTION("""COMPUTED_VALUE"""),"zwe")</f>
        <v>zwe</v>
      </c>
      <c r="C17772" t="str">
        <f>IFERROR(__xludf.DUMMYFUNCTION("""COMPUTED_VALUE"""),"Zimbabwe")</f>
        <v>Zimbabwe</v>
      </c>
      <c r="D17772">
        <f>IFERROR(__xludf.DUMMYFUNCTION("""COMPUTED_VALUE"""),1973.0)</f>
        <v>1973</v>
      </c>
      <c r="E17772">
        <f>IFERROR(__xludf.DUMMYFUNCTION("""COMPUTED_VALUE"""),5727044.0)</f>
        <v>5727044</v>
      </c>
    </row>
    <row r="17773">
      <c r="A17773" t="str">
        <f t="shared" si="1"/>
        <v>zwe#1974</v>
      </c>
      <c r="B17773" t="str">
        <f>IFERROR(__xludf.DUMMYFUNCTION("""COMPUTED_VALUE"""),"zwe")</f>
        <v>zwe</v>
      </c>
      <c r="C17773" t="str">
        <f>IFERROR(__xludf.DUMMYFUNCTION("""COMPUTED_VALUE"""),"Zimbabwe")</f>
        <v>Zimbabwe</v>
      </c>
      <c r="D17773">
        <f>IFERROR(__xludf.DUMMYFUNCTION("""COMPUTED_VALUE"""),1974.0)</f>
        <v>1974</v>
      </c>
      <c r="E17773">
        <f>IFERROR(__xludf.DUMMYFUNCTION("""COMPUTED_VALUE"""),5920943.0)</f>
        <v>5920943</v>
      </c>
    </row>
    <row r="17774">
      <c r="A17774" t="str">
        <f t="shared" si="1"/>
        <v>zwe#1975</v>
      </c>
      <c r="B17774" t="str">
        <f>IFERROR(__xludf.DUMMYFUNCTION("""COMPUTED_VALUE"""),"zwe")</f>
        <v>zwe</v>
      </c>
      <c r="C17774" t="str">
        <f>IFERROR(__xludf.DUMMYFUNCTION("""COMPUTED_VALUE"""),"Zimbabwe")</f>
        <v>Zimbabwe</v>
      </c>
      <c r="D17774">
        <f>IFERROR(__xludf.DUMMYFUNCTION("""COMPUTED_VALUE"""),1975.0)</f>
        <v>1975</v>
      </c>
      <c r="E17774">
        <f>IFERROR(__xludf.DUMMYFUNCTION("""COMPUTED_VALUE"""),6115370.0)</f>
        <v>6115370</v>
      </c>
    </row>
    <row r="17775">
      <c r="A17775" t="str">
        <f t="shared" si="1"/>
        <v>zwe#1976</v>
      </c>
      <c r="B17775" t="str">
        <f>IFERROR(__xludf.DUMMYFUNCTION("""COMPUTED_VALUE"""),"zwe")</f>
        <v>zwe</v>
      </c>
      <c r="C17775" t="str">
        <f>IFERROR(__xludf.DUMMYFUNCTION("""COMPUTED_VALUE"""),"Zimbabwe")</f>
        <v>Zimbabwe</v>
      </c>
      <c r="D17775">
        <f>IFERROR(__xludf.DUMMYFUNCTION("""COMPUTED_VALUE"""),1976.0)</f>
        <v>1976</v>
      </c>
      <c r="E17775">
        <f>IFERROR(__xludf.DUMMYFUNCTION("""COMPUTED_VALUE"""),6308300.0)</f>
        <v>6308300</v>
      </c>
    </row>
    <row r="17776">
      <c r="A17776" t="str">
        <f t="shared" si="1"/>
        <v>zwe#1977</v>
      </c>
      <c r="B17776" t="str">
        <f>IFERROR(__xludf.DUMMYFUNCTION("""COMPUTED_VALUE"""),"zwe")</f>
        <v>zwe</v>
      </c>
      <c r="C17776" t="str">
        <f>IFERROR(__xludf.DUMMYFUNCTION("""COMPUTED_VALUE"""),"Zimbabwe")</f>
        <v>Zimbabwe</v>
      </c>
      <c r="D17776">
        <f>IFERROR(__xludf.DUMMYFUNCTION("""COMPUTED_VALUE"""),1977.0)</f>
        <v>1977</v>
      </c>
      <c r="E17776">
        <f>IFERROR(__xludf.DUMMYFUNCTION("""COMPUTED_VALUE"""),6501893.0)</f>
        <v>6501893</v>
      </c>
    </row>
    <row r="17777">
      <c r="A17777" t="str">
        <f t="shared" si="1"/>
        <v>zwe#1978</v>
      </c>
      <c r="B17777" t="str">
        <f>IFERROR(__xludf.DUMMYFUNCTION("""COMPUTED_VALUE"""),"zwe")</f>
        <v>zwe</v>
      </c>
      <c r="C17777" t="str">
        <f>IFERROR(__xludf.DUMMYFUNCTION("""COMPUTED_VALUE"""),"Zimbabwe")</f>
        <v>Zimbabwe</v>
      </c>
      <c r="D17777">
        <f>IFERROR(__xludf.DUMMYFUNCTION("""COMPUTED_VALUE"""),1978.0)</f>
        <v>1978</v>
      </c>
      <c r="E17777">
        <f>IFERROR(__xludf.DUMMYFUNCTION("""COMPUTED_VALUE"""),6703182.0)</f>
        <v>6703182</v>
      </c>
    </row>
    <row r="17778">
      <c r="A17778" t="str">
        <f t="shared" si="1"/>
        <v>zwe#1979</v>
      </c>
      <c r="B17778" t="str">
        <f>IFERROR(__xludf.DUMMYFUNCTION("""COMPUTED_VALUE"""),"zwe")</f>
        <v>zwe</v>
      </c>
      <c r="C17778" t="str">
        <f>IFERROR(__xludf.DUMMYFUNCTION("""COMPUTED_VALUE"""),"Zimbabwe")</f>
        <v>Zimbabwe</v>
      </c>
      <c r="D17778">
        <f>IFERROR(__xludf.DUMMYFUNCTION("""COMPUTED_VALUE"""),1979.0)</f>
        <v>1979</v>
      </c>
      <c r="E17778">
        <f>IFERROR(__xludf.DUMMYFUNCTION("""COMPUTED_VALUE"""),6921790.0)</f>
        <v>6921790</v>
      </c>
    </row>
    <row r="17779">
      <c r="A17779" t="str">
        <f t="shared" si="1"/>
        <v>zwe#1980</v>
      </c>
      <c r="B17779" t="str">
        <f>IFERROR(__xludf.DUMMYFUNCTION("""COMPUTED_VALUE"""),"zwe")</f>
        <v>zwe</v>
      </c>
      <c r="C17779" t="str">
        <f>IFERROR(__xludf.DUMMYFUNCTION("""COMPUTED_VALUE"""),"Zimbabwe")</f>
        <v>Zimbabwe</v>
      </c>
      <c r="D17779">
        <f>IFERROR(__xludf.DUMMYFUNCTION("""COMPUTED_VALUE"""),1980.0)</f>
        <v>1980</v>
      </c>
      <c r="E17779">
        <f>IFERROR(__xludf.DUMMYFUNCTION("""COMPUTED_VALUE"""),7164172.0)</f>
        <v>7164172</v>
      </c>
    </row>
    <row r="17780">
      <c r="A17780" t="str">
        <f t="shared" si="1"/>
        <v>zwe#1981</v>
      </c>
      <c r="B17780" t="str">
        <f>IFERROR(__xludf.DUMMYFUNCTION("""COMPUTED_VALUE"""),"zwe")</f>
        <v>zwe</v>
      </c>
      <c r="C17780" t="str">
        <f>IFERROR(__xludf.DUMMYFUNCTION("""COMPUTED_VALUE"""),"Zimbabwe")</f>
        <v>Zimbabwe</v>
      </c>
      <c r="D17780">
        <f>IFERROR(__xludf.DUMMYFUNCTION("""COMPUTED_VALUE"""),1981.0)</f>
        <v>1981</v>
      </c>
      <c r="E17780">
        <f>IFERROR(__xludf.DUMMYFUNCTION("""COMPUTED_VALUE"""),7431940.0)</f>
        <v>7431940</v>
      </c>
    </row>
    <row r="17781">
      <c r="A17781" t="str">
        <f t="shared" si="1"/>
        <v>zwe#1982</v>
      </c>
      <c r="B17781" t="str">
        <f>IFERROR(__xludf.DUMMYFUNCTION("""COMPUTED_VALUE"""),"zwe")</f>
        <v>zwe</v>
      </c>
      <c r="C17781" t="str">
        <f>IFERROR(__xludf.DUMMYFUNCTION("""COMPUTED_VALUE"""),"Zimbabwe")</f>
        <v>Zimbabwe</v>
      </c>
      <c r="D17781">
        <f>IFERROR(__xludf.DUMMYFUNCTION("""COMPUTED_VALUE"""),1982.0)</f>
        <v>1982</v>
      </c>
      <c r="E17781">
        <f>IFERROR(__xludf.DUMMYFUNCTION("""COMPUTED_VALUE"""),7721536.0)</f>
        <v>7721536</v>
      </c>
    </row>
    <row r="17782">
      <c r="A17782" t="str">
        <f t="shared" si="1"/>
        <v>zwe#1983</v>
      </c>
      <c r="B17782" t="str">
        <f>IFERROR(__xludf.DUMMYFUNCTION("""COMPUTED_VALUE"""),"zwe")</f>
        <v>zwe</v>
      </c>
      <c r="C17782" t="str">
        <f>IFERROR(__xludf.DUMMYFUNCTION("""COMPUTED_VALUE"""),"Zimbabwe")</f>
        <v>Zimbabwe</v>
      </c>
      <c r="D17782">
        <f>IFERROR(__xludf.DUMMYFUNCTION("""COMPUTED_VALUE"""),1983.0)</f>
        <v>1983</v>
      </c>
      <c r="E17782">
        <f>IFERROR(__xludf.DUMMYFUNCTION("""COMPUTED_VALUE"""),8027565.0)</f>
        <v>8027565</v>
      </c>
    </row>
    <row r="17783">
      <c r="A17783" t="str">
        <f t="shared" si="1"/>
        <v>zwe#1984</v>
      </c>
      <c r="B17783" t="str">
        <f>IFERROR(__xludf.DUMMYFUNCTION("""COMPUTED_VALUE"""),"zwe")</f>
        <v>zwe</v>
      </c>
      <c r="C17783" t="str">
        <f>IFERROR(__xludf.DUMMYFUNCTION("""COMPUTED_VALUE"""),"Zimbabwe")</f>
        <v>Zimbabwe</v>
      </c>
      <c r="D17783">
        <f>IFERROR(__xludf.DUMMYFUNCTION("""COMPUTED_VALUE"""),1984.0)</f>
        <v>1984</v>
      </c>
      <c r="E17783">
        <f>IFERROR(__xludf.DUMMYFUNCTION("""COMPUTED_VALUE"""),8342195.0)</f>
        <v>8342195</v>
      </c>
    </row>
    <row r="17784">
      <c r="A17784" t="str">
        <f t="shared" si="1"/>
        <v>zwe#1985</v>
      </c>
      <c r="B17784" t="str">
        <f>IFERROR(__xludf.DUMMYFUNCTION("""COMPUTED_VALUE"""),"zwe")</f>
        <v>zwe</v>
      </c>
      <c r="C17784" t="str">
        <f>IFERROR(__xludf.DUMMYFUNCTION("""COMPUTED_VALUE"""),"Zimbabwe")</f>
        <v>Zimbabwe</v>
      </c>
      <c r="D17784">
        <f>IFERROR(__xludf.DUMMYFUNCTION("""COMPUTED_VALUE"""),1985.0)</f>
        <v>1985</v>
      </c>
      <c r="E17784">
        <f>IFERROR(__xludf.DUMMYFUNCTION("""COMPUTED_VALUE"""),8658857.0)</f>
        <v>8658857</v>
      </c>
    </row>
    <row r="17785">
      <c r="A17785" t="str">
        <f t="shared" si="1"/>
        <v>zwe#1986</v>
      </c>
      <c r="B17785" t="str">
        <f>IFERROR(__xludf.DUMMYFUNCTION("""COMPUTED_VALUE"""),"zwe")</f>
        <v>zwe</v>
      </c>
      <c r="C17785" t="str">
        <f>IFERROR(__xludf.DUMMYFUNCTION("""COMPUTED_VALUE"""),"Zimbabwe")</f>
        <v>Zimbabwe</v>
      </c>
      <c r="D17785">
        <f>IFERROR(__xludf.DUMMYFUNCTION("""COMPUTED_VALUE"""),1986.0)</f>
        <v>1986</v>
      </c>
      <c r="E17785">
        <f>IFERROR(__xludf.DUMMYFUNCTION("""COMPUTED_VALUE"""),8976205.0)</f>
        <v>8976205</v>
      </c>
    </row>
    <row r="17786">
      <c r="A17786" t="str">
        <f t="shared" si="1"/>
        <v>zwe#1987</v>
      </c>
      <c r="B17786" t="str">
        <f>IFERROR(__xludf.DUMMYFUNCTION("""COMPUTED_VALUE"""),"zwe")</f>
        <v>zwe</v>
      </c>
      <c r="C17786" t="str">
        <f>IFERROR(__xludf.DUMMYFUNCTION("""COMPUTED_VALUE"""),"Zimbabwe")</f>
        <v>Zimbabwe</v>
      </c>
      <c r="D17786">
        <f>IFERROR(__xludf.DUMMYFUNCTION("""COMPUTED_VALUE"""),1987.0)</f>
        <v>1987</v>
      </c>
      <c r="E17786">
        <f>IFERROR(__xludf.DUMMYFUNCTION("""COMPUTED_VALUE"""),9293283.0)</f>
        <v>9293283</v>
      </c>
    </row>
    <row r="17787">
      <c r="A17787" t="str">
        <f t="shared" si="1"/>
        <v>zwe#1988</v>
      </c>
      <c r="B17787" t="str">
        <f>IFERROR(__xludf.DUMMYFUNCTION("""COMPUTED_VALUE"""),"zwe")</f>
        <v>zwe</v>
      </c>
      <c r="C17787" t="str">
        <f>IFERROR(__xludf.DUMMYFUNCTION("""COMPUTED_VALUE"""),"Zimbabwe")</f>
        <v>Zimbabwe</v>
      </c>
      <c r="D17787">
        <f>IFERROR(__xludf.DUMMYFUNCTION("""COMPUTED_VALUE"""),1988.0)</f>
        <v>1988</v>
      </c>
      <c r="E17787">
        <f>IFERROR(__xludf.DUMMYFUNCTION("""COMPUTED_VALUE"""),9604302.0)</f>
        <v>9604302</v>
      </c>
    </row>
    <row r="17788">
      <c r="A17788" t="str">
        <f t="shared" si="1"/>
        <v>zwe#1989</v>
      </c>
      <c r="B17788" t="str">
        <f>IFERROR(__xludf.DUMMYFUNCTION("""COMPUTED_VALUE"""),"zwe")</f>
        <v>zwe</v>
      </c>
      <c r="C17788" t="str">
        <f>IFERROR(__xludf.DUMMYFUNCTION("""COMPUTED_VALUE"""),"Zimbabwe")</f>
        <v>Zimbabwe</v>
      </c>
      <c r="D17788">
        <f>IFERROR(__xludf.DUMMYFUNCTION("""COMPUTED_VALUE"""),1989.0)</f>
        <v>1989</v>
      </c>
      <c r="E17788">
        <f>IFERROR(__xludf.DUMMYFUNCTION("""COMPUTED_VALUE"""),9902540.0)</f>
        <v>9902540</v>
      </c>
    </row>
    <row r="17789">
      <c r="A17789" t="str">
        <f t="shared" si="1"/>
        <v>zwe#1990</v>
      </c>
      <c r="B17789" t="str">
        <f>IFERROR(__xludf.DUMMYFUNCTION("""COMPUTED_VALUE"""),"zwe")</f>
        <v>zwe</v>
      </c>
      <c r="C17789" t="str">
        <f>IFERROR(__xludf.DUMMYFUNCTION("""COMPUTED_VALUE"""),"Zimbabwe")</f>
        <v>Zimbabwe</v>
      </c>
      <c r="D17789">
        <f>IFERROR(__xludf.DUMMYFUNCTION("""COMPUTED_VALUE"""),1990.0)</f>
        <v>1990</v>
      </c>
      <c r="E17789">
        <f>IFERROR(__xludf.DUMMYFUNCTION("""COMPUTED_VALUE"""),1.0183113E7)</f>
        <v>10183113</v>
      </c>
    </row>
    <row r="17790">
      <c r="A17790" t="str">
        <f t="shared" si="1"/>
        <v>zwe#1991</v>
      </c>
      <c r="B17790" t="str">
        <f>IFERROR(__xludf.DUMMYFUNCTION("""COMPUTED_VALUE"""),"zwe")</f>
        <v>zwe</v>
      </c>
      <c r="C17790" t="str">
        <f>IFERROR(__xludf.DUMMYFUNCTION("""COMPUTED_VALUE"""),"Zimbabwe")</f>
        <v>Zimbabwe</v>
      </c>
      <c r="D17790">
        <f>IFERROR(__xludf.DUMMYFUNCTION("""COMPUTED_VALUE"""),1991.0)</f>
        <v>1991</v>
      </c>
      <c r="E17790">
        <f>IFERROR(__xludf.DUMMYFUNCTION("""COMPUTED_VALUE"""),1.0443043E7)</f>
        <v>10443043</v>
      </c>
    </row>
    <row r="17791">
      <c r="A17791" t="str">
        <f t="shared" si="1"/>
        <v>zwe#1992</v>
      </c>
      <c r="B17791" t="str">
        <f>IFERROR(__xludf.DUMMYFUNCTION("""COMPUTED_VALUE"""),"zwe")</f>
        <v>zwe</v>
      </c>
      <c r="C17791" t="str">
        <f>IFERROR(__xludf.DUMMYFUNCTION("""COMPUTED_VALUE"""),"Zimbabwe")</f>
        <v>Zimbabwe</v>
      </c>
      <c r="D17791">
        <f>IFERROR(__xludf.DUMMYFUNCTION("""COMPUTED_VALUE"""),1992.0)</f>
        <v>1992</v>
      </c>
      <c r="E17791">
        <f>IFERROR(__xludf.DUMMYFUNCTION("""COMPUTED_VALUE"""),1.0682868E7)</f>
        <v>10682868</v>
      </c>
    </row>
    <row r="17792">
      <c r="A17792" t="str">
        <f t="shared" si="1"/>
        <v>zwe#1993</v>
      </c>
      <c r="B17792" t="str">
        <f>IFERROR(__xludf.DUMMYFUNCTION("""COMPUTED_VALUE"""),"zwe")</f>
        <v>zwe</v>
      </c>
      <c r="C17792" t="str">
        <f>IFERROR(__xludf.DUMMYFUNCTION("""COMPUTED_VALUE"""),"Zimbabwe")</f>
        <v>Zimbabwe</v>
      </c>
      <c r="D17792">
        <f>IFERROR(__xludf.DUMMYFUNCTION("""COMPUTED_VALUE"""),1993.0)</f>
        <v>1993</v>
      </c>
      <c r="E17792">
        <f>IFERROR(__xludf.DUMMYFUNCTION("""COMPUTED_VALUE"""),1.0905756E7)</f>
        <v>10905756</v>
      </c>
    </row>
    <row r="17793">
      <c r="A17793" t="str">
        <f t="shared" si="1"/>
        <v>zwe#1994</v>
      </c>
      <c r="B17793" t="str">
        <f>IFERROR(__xludf.DUMMYFUNCTION("""COMPUTED_VALUE"""),"zwe")</f>
        <v>zwe</v>
      </c>
      <c r="C17793" t="str">
        <f>IFERROR(__xludf.DUMMYFUNCTION("""COMPUTED_VALUE"""),"Zimbabwe")</f>
        <v>Zimbabwe</v>
      </c>
      <c r="D17793">
        <f>IFERROR(__xludf.DUMMYFUNCTION("""COMPUTED_VALUE"""),1994.0)</f>
        <v>1994</v>
      </c>
      <c r="E17793">
        <f>IFERROR(__xludf.DUMMYFUNCTION("""COMPUTED_VALUE"""),1.1116948E7)</f>
        <v>11116948</v>
      </c>
    </row>
    <row r="17794">
      <c r="A17794" t="str">
        <f t="shared" si="1"/>
        <v>zwe#1995</v>
      </c>
      <c r="B17794" t="str">
        <f>IFERROR(__xludf.DUMMYFUNCTION("""COMPUTED_VALUE"""),"zwe")</f>
        <v>zwe</v>
      </c>
      <c r="C17794" t="str">
        <f>IFERROR(__xludf.DUMMYFUNCTION("""COMPUTED_VALUE"""),"Zimbabwe")</f>
        <v>Zimbabwe</v>
      </c>
      <c r="D17794">
        <f>IFERROR(__xludf.DUMMYFUNCTION("""COMPUTED_VALUE"""),1995.0)</f>
        <v>1995</v>
      </c>
      <c r="E17794">
        <f>IFERROR(__xludf.DUMMYFUNCTION("""COMPUTED_VALUE"""),1.1320346E7)</f>
        <v>11320346</v>
      </c>
    </row>
    <row r="17795">
      <c r="A17795" t="str">
        <f t="shared" si="1"/>
        <v>zwe#1996</v>
      </c>
      <c r="B17795" t="str">
        <f>IFERROR(__xludf.DUMMYFUNCTION("""COMPUTED_VALUE"""),"zwe")</f>
        <v>zwe</v>
      </c>
      <c r="C17795" t="str">
        <f>IFERROR(__xludf.DUMMYFUNCTION("""COMPUTED_VALUE"""),"Zimbabwe")</f>
        <v>Zimbabwe</v>
      </c>
      <c r="D17795">
        <f>IFERROR(__xludf.DUMMYFUNCTION("""COMPUTED_VALUE"""),1996.0)</f>
        <v>1996</v>
      </c>
      <c r="E17795">
        <f>IFERROR(__xludf.DUMMYFUNCTION("""COMPUTED_VALUE"""),1.1518262E7)</f>
        <v>11518262</v>
      </c>
    </row>
    <row r="17796">
      <c r="A17796" t="str">
        <f t="shared" si="1"/>
        <v>zwe#1997</v>
      </c>
      <c r="B17796" t="str">
        <f>IFERROR(__xludf.DUMMYFUNCTION("""COMPUTED_VALUE"""),"zwe")</f>
        <v>zwe</v>
      </c>
      <c r="C17796" t="str">
        <f>IFERROR(__xludf.DUMMYFUNCTION("""COMPUTED_VALUE"""),"Zimbabwe")</f>
        <v>Zimbabwe</v>
      </c>
      <c r="D17796">
        <f>IFERROR(__xludf.DUMMYFUNCTION("""COMPUTED_VALUE"""),1997.0)</f>
        <v>1997</v>
      </c>
      <c r="E17796">
        <f>IFERROR(__xludf.DUMMYFUNCTION("""COMPUTED_VALUE"""),1.1709997E7)</f>
        <v>11709997</v>
      </c>
    </row>
    <row r="17797">
      <c r="A17797" t="str">
        <f t="shared" si="1"/>
        <v>zwe#1998</v>
      </c>
      <c r="B17797" t="str">
        <f>IFERROR(__xludf.DUMMYFUNCTION("""COMPUTED_VALUE"""),"zwe")</f>
        <v>zwe</v>
      </c>
      <c r="C17797" t="str">
        <f>IFERROR(__xludf.DUMMYFUNCTION("""COMPUTED_VALUE"""),"Zimbabwe")</f>
        <v>Zimbabwe</v>
      </c>
      <c r="D17797">
        <f>IFERROR(__xludf.DUMMYFUNCTION("""COMPUTED_VALUE"""),1998.0)</f>
        <v>1998</v>
      </c>
      <c r="E17797">
        <f>IFERROR(__xludf.DUMMYFUNCTION("""COMPUTED_VALUE"""),1.1893272E7)</f>
        <v>11893272</v>
      </c>
    </row>
    <row r="17798">
      <c r="A17798" t="str">
        <f t="shared" si="1"/>
        <v>zwe#1999</v>
      </c>
      <c r="B17798" t="str">
        <f>IFERROR(__xludf.DUMMYFUNCTION("""COMPUTED_VALUE"""),"zwe")</f>
        <v>zwe</v>
      </c>
      <c r="C17798" t="str">
        <f>IFERROR(__xludf.DUMMYFUNCTION("""COMPUTED_VALUE"""),"Zimbabwe")</f>
        <v>Zimbabwe</v>
      </c>
      <c r="D17798">
        <f>IFERROR(__xludf.DUMMYFUNCTION("""COMPUTED_VALUE"""),1999.0)</f>
        <v>1999</v>
      </c>
      <c r="E17798">
        <f>IFERROR(__xludf.DUMMYFUNCTION("""COMPUTED_VALUE"""),1.2064537E7)</f>
        <v>12064537</v>
      </c>
    </row>
    <row r="17799">
      <c r="A17799" t="str">
        <f t="shared" si="1"/>
        <v>zwe#2000</v>
      </c>
      <c r="B17799" t="str">
        <f>IFERROR(__xludf.DUMMYFUNCTION("""COMPUTED_VALUE"""),"zwe")</f>
        <v>zwe</v>
      </c>
      <c r="C17799" t="str">
        <f>IFERROR(__xludf.DUMMYFUNCTION("""COMPUTED_VALUE"""),"Zimbabwe")</f>
        <v>Zimbabwe</v>
      </c>
      <c r="D17799">
        <f>IFERROR(__xludf.DUMMYFUNCTION("""COMPUTED_VALUE"""),2000.0)</f>
        <v>2000</v>
      </c>
      <c r="E17799">
        <f>IFERROR(__xludf.DUMMYFUNCTION("""COMPUTED_VALUE"""),1.2222251E7)</f>
        <v>12222251</v>
      </c>
    </row>
    <row r="17800">
      <c r="A17800" t="str">
        <f t="shared" si="1"/>
        <v>zwe#2001</v>
      </c>
      <c r="B17800" t="str">
        <f>IFERROR(__xludf.DUMMYFUNCTION("""COMPUTED_VALUE"""),"zwe")</f>
        <v>zwe</v>
      </c>
      <c r="C17800" t="str">
        <f>IFERROR(__xludf.DUMMYFUNCTION("""COMPUTED_VALUE"""),"Zimbabwe")</f>
        <v>Zimbabwe</v>
      </c>
      <c r="D17800">
        <f>IFERROR(__xludf.DUMMYFUNCTION("""COMPUTED_VALUE"""),2001.0)</f>
        <v>2001</v>
      </c>
      <c r="E17800">
        <f>IFERROR(__xludf.DUMMYFUNCTION("""COMPUTED_VALUE"""),1.2366165E7)</f>
        <v>12366165</v>
      </c>
    </row>
    <row r="17801">
      <c r="A17801" t="str">
        <f t="shared" si="1"/>
        <v>zwe#2002</v>
      </c>
      <c r="B17801" t="str">
        <f>IFERROR(__xludf.DUMMYFUNCTION("""COMPUTED_VALUE"""),"zwe")</f>
        <v>zwe</v>
      </c>
      <c r="C17801" t="str">
        <f>IFERROR(__xludf.DUMMYFUNCTION("""COMPUTED_VALUE"""),"Zimbabwe")</f>
        <v>Zimbabwe</v>
      </c>
      <c r="D17801">
        <f>IFERROR(__xludf.DUMMYFUNCTION("""COMPUTED_VALUE"""),2002.0)</f>
        <v>2002</v>
      </c>
      <c r="E17801">
        <f>IFERROR(__xludf.DUMMYFUNCTION("""COMPUTED_VALUE"""),1.2500525E7)</f>
        <v>12500525</v>
      </c>
    </row>
    <row r="17802">
      <c r="A17802" t="str">
        <f t="shared" si="1"/>
        <v>zwe#2003</v>
      </c>
      <c r="B17802" t="str">
        <f>IFERROR(__xludf.DUMMYFUNCTION("""COMPUTED_VALUE"""),"zwe")</f>
        <v>zwe</v>
      </c>
      <c r="C17802" t="str">
        <f>IFERROR(__xludf.DUMMYFUNCTION("""COMPUTED_VALUE"""),"Zimbabwe")</f>
        <v>Zimbabwe</v>
      </c>
      <c r="D17802">
        <f>IFERROR(__xludf.DUMMYFUNCTION("""COMPUTED_VALUE"""),2003.0)</f>
        <v>2003</v>
      </c>
      <c r="E17802">
        <f>IFERROR(__xludf.DUMMYFUNCTION("""COMPUTED_VALUE"""),1.2633897E7)</f>
        <v>12633897</v>
      </c>
    </row>
    <row r="17803">
      <c r="A17803" t="str">
        <f t="shared" si="1"/>
        <v>zwe#2004</v>
      </c>
      <c r="B17803" t="str">
        <f>IFERROR(__xludf.DUMMYFUNCTION("""COMPUTED_VALUE"""),"zwe")</f>
        <v>zwe</v>
      </c>
      <c r="C17803" t="str">
        <f>IFERROR(__xludf.DUMMYFUNCTION("""COMPUTED_VALUE"""),"Zimbabwe")</f>
        <v>Zimbabwe</v>
      </c>
      <c r="D17803">
        <f>IFERROR(__xludf.DUMMYFUNCTION("""COMPUTED_VALUE"""),2004.0)</f>
        <v>2004</v>
      </c>
      <c r="E17803">
        <f>IFERROR(__xludf.DUMMYFUNCTION("""COMPUTED_VALUE"""),1.2777511E7)</f>
        <v>12777511</v>
      </c>
    </row>
    <row r="17804">
      <c r="A17804" t="str">
        <f t="shared" si="1"/>
        <v>zwe#2005</v>
      </c>
      <c r="B17804" t="str">
        <f>IFERROR(__xludf.DUMMYFUNCTION("""COMPUTED_VALUE"""),"zwe")</f>
        <v>zwe</v>
      </c>
      <c r="C17804" t="str">
        <f>IFERROR(__xludf.DUMMYFUNCTION("""COMPUTED_VALUE"""),"Zimbabwe")</f>
        <v>Zimbabwe</v>
      </c>
      <c r="D17804">
        <f>IFERROR(__xludf.DUMMYFUNCTION("""COMPUTED_VALUE"""),2005.0)</f>
        <v>2005</v>
      </c>
      <c r="E17804">
        <f>IFERROR(__xludf.DUMMYFUNCTION("""COMPUTED_VALUE"""),1.2940032E7)</f>
        <v>12940032</v>
      </c>
    </row>
    <row r="17805">
      <c r="A17805" t="str">
        <f t="shared" si="1"/>
        <v>zwe#2006</v>
      </c>
      <c r="B17805" t="str">
        <f>IFERROR(__xludf.DUMMYFUNCTION("""COMPUTED_VALUE"""),"zwe")</f>
        <v>zwe</v>
      </c>
      <c r="C17805" t="str">
        <f>IFERROR(__xludf.DUMMYFUNCTION("""COMPUTED_VALUE"""),"Zimbabwe")</f>
        <v>Zimbabwe</v>
      </c>
      <c r="D17805">
        <f>IFERROR(__xludf.DUMMYFUNCTION("""COMPUTED_VALUE"""),2006.0)</f>
        <v>2006</v>
      </c>
      <c r="E17805">
        <f>IFERROR(__xludf.DUMMYFUNCTION("""COMPUTED_VALUE"""),1.3124267E7)</f>
        <v>13124267</v>
      </c>
    </row>
    <row r="17806">
      <c r="A17806" t="str">
        <f t="shared" si="1"/>
        <v>zwe#2007</v>
      </c>
      <c r="B17806" t="str">
        <f>IFERROR(__xludf.DUMMYFUNCTION("""COMPUTED_VALUE"""),"zwe")</f>
        <v>zwe</v>
      </c>
      <c r="C17806" t="str">
        <f>IFERROR(__xludf.DUMMYFUNCTION("""COMPUTED_VALUE"""),"Zimbabwe")</f>
        <v>Zimbabwe</v>
      </c>
      <c r="D17806">
        <f>IFERROR(__xludf.DUMMYFUNCTION("""COMPUTED_VALUE"""),2007.0)</f>
        <v>2007</v>
      </c>
      <c r="E17806">
        <f>IFERROR(__xludf.DUMMYFUNCTION("""COMPUTED_VALUE"""),1.3329909E7)</f>
        <v>13329909</v>
      </c>
    </row>
    <row r="17807">
      <c r="A17807" t="str">
        <f t="shared" si="1"/>
        <v>zwe#2008</v>
      </c>
      <c r="B17807" t="str">
        <f>IFERROR(__xludf.DUMMYFUNCTION("""COMPUTED_VALUE"""),"zwe")</f>
        <v>zwe</v>
      </c>
      <c r="C17807" t="str">
        <f>IFERROR(__xludf.DUMMYFUNCTION("""COMPUTED_VALUE"""),"Zimbabwe")</f>
        <v>Zimbabwe</v>
      </c>
      <c r="D17807">
        <f>IFERROR(__xludf.DUMMYFUNCTION("""COMPUTED_VALUE"""),2008.0)</f>
        <v>2008</v>
      </c>
      <c r="E17807">
        <f>IFERROR(__xludf.DUMMYFUNCTION("""COMPUTED_VALUE"""),1.3558469E7)</f>
        <v>13558469</v>
      </c>
    </row>
    <row r="17808">
      <c r="A17808" t="str">
        <f t="shared" si="1"/>
        <v>zwe#2009</v>
      </c>
      <c r="B17808" t="str">
        <f>IFERROR(__xludf.DUMMYFUNCTION("""COMPUTED_VALUE"""),"zwe")</f>
        <v>zwe</v>
      </c>
      <c r="C17808" t="str">
        <f>IFERROR(__xludf.DUMMYFUNCTION("""COMPUTED_VALUE"""),"Zimbabwe")</f>
        <v>Zimbabwe</v>
      </c>
      <c r="D17808">
        <f>IFERROR(__xludf.DUMMYFUNCTION("""COMPUTED_VALUE"""),2009.0)</f>
        <v>2009</v>
      </c>
      <c r="E17808">
        <f>IFERROR(__xludf.DUMMYFUNCTION("""COMPUTED_VALUE"""),1.3810599E7)</f>
        <v>13810599</v>
      </c>
    </row>
    <row r="17809">
      <c r="A17809" t="str">
        <f t="shared" si="1"/>
        <v>zwe#2010</v>
      </c>
      <c r="B17809" t="str">
        <f>IFERROR(__xludf.DUMMYFUNCTION("""COMPUTED_VALUE"""),"zwe")</f>
        <v>zwe</v>
      </c>
      <c r="C17809" t="str">
        <f>IFERROR(__xludf.DUMMYFUNCTION("""COMPUTED_VALUE"""),"Zimbabwe")</f>
        <v>Zimbabwe</v>
      </c>
      <c r="D17809">
        <f>IFERROR(__xludf.DUMMYFUNCTION("""COMPUTED_VALUE"""),2010.0)</f>
        <v>2010</v>
      </c>
      <c r="E17809">
        <f>IFERROR(__xludf.DUMMYFUNCTION("""COMPUTED_VALUE"""),1.4086317E7)</f>
        <v>14086317</v>
      </c>
    </row>
    <row r="17810">
      <c r="A17810" t="str">
        <f t="shared" si="1"/>
        <v>zwe#2011</v>
      </c>
      <c r="B17810" t="str">
        <f>IFERROR(__xludf.DUMMYFUNCTION("""COMPUTED_VALUE"""),"zwe")</f>
        <v>zwe</v>
      </c>
      <c r="C17810" t="str">
        <f>IFERROR(__xludf.DUMMYFUNCTION("""COMPUTED_VALUE"""),"Zimbabwe")</f>
        <v>Zimbabwe</v>
      </c>
      <c r="D17810">
        <f>IFERROR(__xludf.DUMMYFUNCTION("""COMPUTED_VALUE"""),2011.0)</f>
        <v>2011</v>
      </c>
      <c r="E17810">
        <f>IFERROR(__xludf.DUMMYFUNCTION("""COMPUTED_VALUE"""),1.4386649E7)</f>
        <v>14386649</v>
      </c>
    </row>
    <row r="17811">
      <c r="A17811" t="str">
        <f t="shared" si="1"/>
        <v>zwe#2012</v>
      </c>
      <c r="B17811" t="str">
        <f>IFERROR(__xludf.DUMMYFUNCTION("""COMPUTED_VALUE"""),"zwe")</f>
        <v>zwe</v>
      </c>
      <c r="C17811" t="str">
        <f>IFERROR(__xludf.DUMMYFUNCTION("""COMPUTED_VALUE"""),"Zimbabwe")</f>
        <v>Zimbabwe</v>
      </c>
      <c r="D17811">
        <f>IFERROR(__xludf.DUMMYFUNCTION("""COMPUTED_VALUE"""),2012.0)</f>
        <v>2012</v>
      </c>
      <c r="E17811">
        <f>IFERROR(__xludf.DUMMYFUNCTION("""COMPUTED_VALUE"""),1.4710826E7)</f>
        <v>14710826</v>
      </c>
    </row>
    <row r="17812">
      <c r="A17812" t="str">
        <f t="shared" si="1"/>
        <v>zwe#2013</v>
      </c>
      <c r="B17812" t="str">
        <f>IFERROR(__xludf.DUMMYFUNCTION("""COMPUTED_VALUE"""),"zwe")</f>
        <v>zwe</v>
      </c>
      <c r="C17812" t="str">
        <f>IFERROR(__xludf.DUMMYFUNCTION("""COMPUTED_VALUE"""),"Zimbabwe")</f>
        <v>Zimbabwe</v>
      </c>
      <c r="D17812">
        <f>IFERROR(__xludf.DUMMYFUNCTION("""COMPUTED_VALUE"""),2013.0)</f>
        <v>2013</v>
      </c>
      <c r="E17812">
        <f>IFERROR(__xludf.DUMMYFUNCTION("""COMPUTED_VALUE"""),1.5054506E7)</f>
        <v>15054506</v>
      </c>
    </row>
    <row r="17813">
      <c r="A17813" t="str">
        <f t="shared" si="1"/>
        <v>zwe#2014</v>
      </c>
      <c r="B17813" t="str">
        <f>IFERROR(__xludf.DUMMYFUNCTION("""COMPUTED_VALUE"""),"zwe")</f>
        <v>zwe</v>
      </c>
      <c r="C17813" t="str">
        <f>IFERROR(__xludf.DUMMYFUNCTION("""COMPUTED_VALUE"""),"Zimbabwe")</f>
        <v>Zimbabwe</v>
      </c>
      <c r="D17813">
        <f>IFERROR(__xludf.DUMMYFUNCTION("""COMPUTED_VALUE"""),2014.0)</f>
        <v>2014</v>
      </c>
      <c r="E17813">
        <f>IFERROR(__xludf.DUMMYFUNCTION("""COMPUTED_VALUE"""),1.5411675E7)</f>
        <v>15411675</v>
      </c>
    </row>
    <row r="17814">
      <c r="A17814" t="str">
        <f t="shared" si="1"/>
        <v>zwe#2015</v>
      </c>
      <c r="B17814" t="str">
        <f>IFERROR(__xludf.DUMMYFUNCTION("""COMPUTED_VALUE"""),"zwe")</f>
        <v>zwe</v>
      </c>
      <c r="C17814" t="str">
        <f>IFERROR(__xludf.DUMMYFUNCTION("""COMPUTED_VALUE"""),"Zimbabwe")</f>
        <v>Zimbabwe</v>
      </c>
      <c r="D17814">
        <f>IFERROR(__xludf.DUMMYFUNCTION("""COMPUTED_VALUE"""),2015.0)</f>
        <v>2015</v>
      </c>
      <c r="E17814">
        <f>IFERROR(__xludf.DUMMYFUNCTION("""COMPUTED_VALUE"""),1.5777451E7)</f>
        <v>15777451</v>
      </c>
    </row>
    <row r="17815">
      <c r="A17815" t="str">
        <f t="shared" si="1"/>
        <v>zwe#2016</v>
      </c>
      <c r="B17815" t="str">
        <f>IFERROR(__xludf.DUMMYFUNCTION("""COMPUTED_VALUE"""),"zwe")</f>
        <v>zwe</v>
      </c>
      <c r="C17815" t="str">
        <f>IFERROR(__xludf.DUMMYFUNCTION("""COMPUTED_VALUE"""),"Zimbabwe")</f>
        <v>Zimbabwe</v>
      </c>
      <c r="D17815">
        <f>IFERROR(__xludf.DUMMYFUNCTION("""COMPUTED_VALUE"""),2016.0)</f>
        <v>2016</v>
      </c>
      <c r="E17815">
        <f>IFERROR(__xludf.DUMMYFUNCTION("""COMPUTED_VALUE"""),1.6150362E7)</f>
        <v>16150362</v>
      </c>
    </row>
    <row r="17816">
      <c r="A17816" t="str">
        <f t="shared" si="1"/>
        <v>zwe#2017</v>
      </c>
      <c r="B17816" t="str">
        <f>IFERROR(__xludf.DUMMYFUNCTION("""COMPUTED_VALUE"""),"zwe")</f>
        <v>zwe</v>
      </c>
      <c r="C17816" t="str">
        <f>IFERROR(__xludf.DUMMYFUNCTION("""COMPUTED_VALUE"""),"Zimbabwe")</f>
        <v>Zimbabwe</v>
      </c>
      <c r="D17816">
        <f>IFERROR(__xludf.DUMMYFUNCTION("""COMPUTED_VALUE"""),2017.0)</f>
        <v>2017</v>
      </c>
      <c r="E17816">
        <f>IFERROR(__xludf.DUMMYFUNCTION("""COMPUTED_VALUE"""),1.6529904E7)</f>
        <v>16529904</v>
      </c>
    </row>
    <row r="17817">
      <c r="A17817" t="str">
        <f t="shared" si="1"/>
        <v>zwe#2018</v>
      </c>
      <c r="B17817" t="str">
        <f>IFERROR(__xludf.DUMMYFUNCTION("""COMPUTED_VALUE"""),"zwe")</f>
        <v>zwe</v>
      </c>
      <c r="C17817" t="str">
        <f>IFERROR(__xludf.DUMMYFUNCTION("""COMPUTED_VALUE"""),"Zimbabwe")</f>
        <v>Zimbabwe</v>
      </c>
      <c r="D17817">
        <f>IFERROR(__xludf.DUMMYFUNCTION("""COMPUTED_VALUE"""),2018.0)</f>
        <v>2018</v>
      </c>
      <c r="E17817">
        <f>IFERROR(__xludf.DUMMYFUNCTION("""COMPUTED_VALUE"""),1.6913261E7)</f>
        <v>16913261</v>
      </c>
    </row>
    <row r="17818">
      <c r="A17818" t="str">
        <f t="shared" si="1"/>
        <v>zwe#2019</v>
      </c>
      <c r="B17818" t="str">
        <f>IFERROR(__xludf.DUMMYFUNCTION("""COMPUTED_VALUE"""),"zwe")</f>
        <v>zwe</v>
      </c>
      <c r="C17818" t="str">
        <f>IFERROR(__xludf.DUMMYFUNCTION("""COMPUTED_VALUE"""),"Zimbabwe")</f>
        <v>Zimbabwe</v>
      </c>
      <c r="D17818">
        <f>IFERROR(__xludf.DUMMYFUNCTION("""COMPUTED_VALUE"""),2019.0)</f>
        <v>2019</v>
      </c>
      <c r="E17818">
        <f>IFERROR(__xludf.DUMMYFUNCTION("""COMPUTED_VALUE"""),1.7297495E7)</f>
        <v>17297495</v>
      </c>
    </row>
    <row r="17819">
      <c r="A17819" t="str">
        <f t="shared" si="1"/>
        <v>zwe#2020</v>
      </c>
      <c r="B17819" t="str">
        <f>IFERROR(__xludf.DUMMYFUNCTION("""COMPUTED_VALUE"""),"zwe")</f>
        <v>zwe</v>
      </c>
      <c r="C17819" t="str">
        <f>IFERROR(__xludf.DUMMYFUNCTION("""COMPUTED_VALUE"""),"Zimbabwe")</f>
        <v>Zimbabwe</v>
      </c>
      <c r="D17819">
        <f>IFERROR(__xludf.DUMMYFUNCTION("""COMPUTED_VALUE"""),2020.0)</f>
        <v>2020</v>
      </c>
      <c r="E17819">
        <f>IFERROR(__xludf.DUMMYFUNCTION("""COMPUTED_VALUE"""),1.7680465E7)</f>
        <v>17680465</v>
      </c>
    </row>
    <row r="17820">
      <c r="A17820" t="str">
        <f t="shared" si="1"/>
        <v>zwe#2021</v>
      </c>
      <c r="B17820" t="str">
        <f>IFERROR(__xludf.DUMMYFUNCTION("""COMPUTED_VALUE"""),"zwe")</f>
        <v>zwe</v>
      </c>
      <c r="C17820" t="str">
        <f>IFERROR(__xludf.DUMMYFUNCTION("""COMPUTED_VALUE"""),"Zimbabwe")</f>
        <v>Zimbabwe</v>
      </c>
      <c r="D17820">
        <f>IFERROR(__xludf.DUMMYFUNCTION("""COMPUTED_VALUE"""),2021.0)</f>
        <v>2021</v>
      </c>
      <c r="E17820">
        <f>IFERROR(__xludf.DUMMYFUNCTION("""COMPUTED_VALUE"""),1.8060453E7)</f>
        <v>18060453</v>
      </c>
    </row>
    <row r="17821">
      <c r="A17821" t="str">
        <f t="shared" si="1"/>
        <v>zwe#2022</v>
      </c>
      <c r="B17821" t="str">
        <f>IFERROR(__xludf.DUMMYFUNCTION("""COMPUTED_VALUE"""),"zwe")</f>
        <v>zwe</v>
      </c>
      <c r="C17821" t="str">
        <f>IFERROR(__xludf.DUMMYFUNCTION("""COMPUTED_VALUE"""),"Zimbabwe")</f>
        <v>Zimbabwe</v>
      </c>
      <c r="D17821">
        <f>IFERROR(__xludf.DUMMYFUNCTION("""COMPUTED_VALUE"""),2022.0)</f>
        <v>2022</v>
      </c>
      <c r="E17821">
        <f>IFERROR(__xludf.DUMMYFUNCTION("""COMPUTED_VALUE"""),1.8437423E7)</f>
        <v>18437423</v>
      </c>
    </row>
    <row r="17822">
      <c r="A17822" t="str">
        <f t="shared" si="1"/>
        <v>zwe#2023</v>
      </c>
      <c r="B17822" t="str">
        <f>IFERROR(__xludf.DUMMYFUNCTION("""COMPUTED_VALUE"""),"zwe")</f>
        <v>zwe</v>
      </c>
      <c r="C17822" t="str">
        <f>IFERROR(__xludf.DUMMYFUNCTION("""COMPUTED_VALUE"""),"Zimbabwe")</f>
        <v>Zimbabwe</v>
      </c>
      <c r="D17822">
        <f>IFERROR(__xludf.DUMMYFUNCTION("""COMPUTED_VALUE"""),2023.0)</f>
        <v>2023</v>
      </c>
      <c r="E17822">
        <f>IFERROR(__xludf.DUMMYFUNCTION("""COMPUTED_VALUE"""),1.8813091E7)</f>
        <v>18813091</v>
      </c>
    </row>
    <row r="17823">
      <c r="A17823" t="str">
        <f t="shared" si="1"/>
        <v>zwe#2024</v>
      </c>
      <c r="B17823" t="str">
        <f>IFERROR(__xludf.DUMMYFUNCTION("""COMPUTED_VALUE"""),"zwe")</f>
        <v>zwe</v>
      </c>
      <c r="C17823" t="str">
        <f>IFERROR(__xludf.DUMMYFUNCTION("""COMPUTED_VALUE"""),"Zimbabwe")</f>
        <v>Zimbabwe</v>
      </c>
      <c r="D17823">
        <f>IFERROR(__xludf.DUMMYFUNCTION("""COMPUTED_VALUE"""),2024.0)</f>
        <v>2024</v>
      </c>
      <c r="E17823">
        <f>IFERROR(__xludf.DUMMYFUNCTION("""COMPUTED_VALUE"""),1.9190301E7)</f>
        <v>19190301</v>
      </c>
    </row>
    <row r="17824">
      <c r="A17824" t="str">
        <f t="shared" si="1"/>
        <v>zwe#2025</v>
      </c>
      <c r="B17824" t="str">
        <f>IFERROR(__xludf.DUMMYFUNCTION("""COMPUTED_VALUE"""),"zwe")</f>
        <v>zwe</v>
      </c>
      <c r="C17824" t="str">
        <f>IFERROR(__xludf.DUMMYFUNCTION("""COMPUTED_VALUE"""),"Zimbabwe")</f>
        <v>Zimbabwe</v>
      </c>
      <c r="D17824">
        <f>IFERROR(__xludf.DUMMYFUNCTION("""COMPUTED_VALUE"""),2025.0)</f>
        <v>2025</v>
      </c>
      <c r="E17824">
        <f>IFERROR(__xludf.DUMMYFUNCTION("""COMPUTED_VALUE"""),1.9571154E7)</f>
        <v>19571154</v>
      </c>
    </row>
    <row r="17825">
      <c r="A17825" t="str">
        <f t="shared" si="1"/>
        <v>zwe#2026</v>
      </c>
      <c r="B17825" t="str">
        <f>IFERROR(__xludf.DUMMYFUNCTION("""COMPUTED_VALUE"""),"zwe")</f>
        <v>zwe</v>
      </c>
      <c r="C17825" t="str">
        <f>IFERROR(__xludf.DUMMYFUNCTION("""COMPUTED_VALUE"""),"Zimbabwe")</f>
        <v>Zimbabwe</v>
      </c>
      <c r="D17825">
        <f>IFERROR(__xludf.DUMMYFUNCTION("""COMPUTED_VALUE"""),2026.0)</f>
        <v>2026</v>
      </c>
      <c r="E17825">
        <f>IFERROR(__xludf.DUMMYFUNCTION("""COMPUTED_VALUE"""),1.9955912E7)</f>
        <v>19955912</v>
      </c>
    </row>
    <row r="17826">
      <c r="A17826" t="str">
        <f t="shared" si="1"/>
        <v>zwe#2027</v>
      </c>
      <c r="B17826" t="str">
        <f>IFERROR(__xludf.DUMMYFUNCTION("""COMPUTED_VALUE"""),"zwe")</f>
        <v>zwe</v>
      </c>
      <c r="C17826" t="str">
        <f>IFERROR(__xludf.DUMMYFUNCTION("""COMPUTED_VALUE"""),"Zimbabwe")</f>
        <v>Zimbabwe</v>
      </c>
      <c r="D17826">
        <f>IFERROR(__xludf.DUMMYFUNCTION("""COMPUTED_VALUE"""),2027.0)</f>
        <v>2027</v>
      </c>
      <c r="E17826">
        <f>IFERROR(__xludf.DUMMYFUNCTION("""COMPUTED_VALUE"""),2.0343863E7)</f>
        <v>20343863</v>
      </c>
    </row>
    <row r="17827">
      <c r="A17827" t="str">
        <f t="shared" si="1"/>
        <v>zwe#2028</v>
      </c>
      <c r="B17827" t="str">
        <f>IFERROR(__xludf.DUMMYFUNCTION("""COMPUTED_VALUE"""),"zwe")</f>
        <v>zwe</v>
      </c>
      <c r="C17827" t="str">
        <f>IFERROR(__xludf.DUMMYFUNCTION("""COMPUTED_VALUE"""),"Zimbabwe")</f>
        <v>Zimbabwe</v>
      </c>
      <c r="D17827">
        <f>IFERROR(__xludf.DUMMYFUNCTION("""COMPUTED_VALUE"""),2028.0)</f>
        <v>2028</v>
      </c>
      <c r="E17827">
        <f>IFERROR(__xludf.DUMMYFUNCTION("""COMPUTED_VALUE"""),2.0735073E7)</f>
        <v>20735073</v>
      </c>
    </row>
    <row r="17828">
      <c r="A17828" t="str">
        <f t="shared" si="1"/>
        <v>zwe#2029</v>
      </c>
      <c r="B17828" t="str">
        <f>IFERROR(__xludf.DUMMYFUNCTION("""COMPUTED_VALUE"""),"zwe")</f>
        <v>zwe</v>
      </c>
      <c r="C17828" t="str">
        <f>IFERROR(__xludf.DUMMYFUNCTION("""COMPUTED_VALUE"""),"Zimbabwe")</f>
        <v>Zimbabwe</v>
      </c>
      <c r="D17828">
        <f>IFERROR(__xludf.DUMMYFUNCTION("""COMPUTED_VALUE"""),2029.0)</f>
        <v>2029</v>
      </c>
      <c r="E17828">
        <f>IFERROR(__xludf.DUMMYFUNCTION("""COMPUTED_VALUE"""),2.1129447E7)</f>
        <v>21129447</v>
      </c>
    </row>
    <row r="17829">
      <c r="A17829" t="str">
        <f t="shared" si="1"/>
        <v>zwe#2030</v>
      </c>
      <c r="B17829" t="str">
        <f>IFERROR(__xludf.DUMMYFUNCTION("""COMPUTED_VALUE"""),"zwe")</f>
        <v>zwe</v>
      </c>
      <c r="C17829" t="str">
        <f>IFERROR(__xludf.DUMMYFUNCTION("""COMPUTED_VALUE"""),"Zimbabwe")</f>
        <v>Zimbabwe</v>
      </c>
      <c r="D17829">
        <f>IFERROR(__xludf.DUMMYFUNCTION("""COMPUTED_VALUE"""),2030.0)</f>
        <v>2030</v>
      </c>
      <c r="E17829">
        <f>IFERROR(__xludf.DUMMYFUNCTION("""COMPUTED_VALUE"""),2.1526861E7)</f>
        <v>21526861</v>
      </c>
    </row>
    <row r="17830">
      <c r="A17830" t="str">
        <f t="shared" si="1"/>
        <v>zwe#2031</v>
      </c>
      <c r="B17830" t="str">
        <f>IFERROR(__xludf.DUMMYFUNCTION("""COMPUTED_VALUE"""),"zwe")</f>
        <v>zwe</v>
      </c>
      <c r="C17830" t="str">
        <f>IFERROR(__xludf.DUMMYFUNCTION("""COMPUTED_VALUE"""),"Zimbabwe")</f>
        <v>Zimbabwe</v>
      </c>
      <c r="D17830">
        <f>IFERROR(__xludf.DUMMYFUNCTION("""COMPUTED_VALUE"""),2031.0)</f>
        <v>2031</v>
      </c>
      <c r="E17830">
        <f>IFERROR(__xludf.DUMMYFUNCTION("""COMPUTED_VALUE"""),2.1927311E7)</f>
        <v>21927311</v>
      </c>
    </row>
    <row r="17831">
      <c r="A17831" t="str">
        <f t="shared" si="1"/>
        <v>zwe#2032</v>
      </c>
      <c r="B17831" t="str">
        <f>IFERROR(__xludf.DUMMYFUNCTION("""COMPUTED_VALUE"""),"zwe")</f>
        <v>zwe</v>
      </c>
      <c r="C17831" t="str">
        <f>IFERROR(__xludf.DUMMYFUNCTION("""COMPUTED_VALUE"""),"Zimbabwe")</f>
        <v>Zimbabwe</v>
      </c>
      <c r="D17831">
        <f>IFERROR(__xludf.DUMMYFUNCTION("""COMPUTED_VALUE"""),2032.0)</f>
        <v>2032</v>
      </c>
      <c r="E17831">
        <f>IFERROR(__xludf.DUMMYFUNCTION("""COMPUTED_VALUE"""),2.2330754E7)</f>
        <v>22330754</v>
      </c>
    </row>
    <row r="17832">
      <c r="A17832" t="str">
        <f t="shared" si="1"/>
        <v>zwe#2033</v>
      </c>
      <c r="B17832" t="str">
        <f>IFERROR(__xludf.DUMMYFUNCTION("""COMPUTED_VALUE"""),"zwe")</f>
        <v>zwe</v>
      </c>
      <c r="C17832" t="str">
        <f>IFERROR(__xludf.DUMMYFUNCTION("""COMPUTED_VALUE"""),"Zimbabwe")</f>
        <v>Zimbabwe</v>
      </c>
      <c r="D17832">
        <f>IFERROR(__xludf.DUMMYFUNCTION("""COMPUTED_VALUE"""),2033.0)</f>
        <v>2033</v>
      </c>
      <c r="E17832">
        <f>IFERROR(__xludf.DUMMYFUNCTION("""COMPUTED_VALUE"""),2.2736929E7)</f>
        <v>22736929</v>
      </c>
    </row>
    <row r="17833">
      <c r="A17833" t="str">
        <f t="shared" si="1"/>
        <v>zwe#2034</v>
      </c>
      <c r="B17833" t="str">
        <f>IFERROR(__xludf.DUMMYFUNCTION("""COMPUTED_VALUE"""),"zwe")</f>
        <v>zwe</v>
      </c>
      <c r="C17833" t="str">
        <f>IFERROR(__xludf.DUMMYFUNCTION("""COMPUTED_VALUE"""),"Zimbabwe")</f>
        <v>Zimbabwe</v>
      </c>
      <c r="D17833">
        <f>IFERROR(__xludf.DUMMYFUNCTION("""COMPUTED_VALUE"""),2034.0)</f>
        <v>2034</v>
      </c>
      <c r="E17833">
        <f>IFERROR(__xludf.DUMMYFUNCTION("""COMPUTED_VALUE"""),2.3145468E7)</f>
        <v>23145468</v>
      </c>
    </row>
    <row r="17834">
      <c r="A17834" t="str">
        <f t="shared" si="1"/>
        <v>zwe#2035</v>
      </c>
      <c r="B17834" t="str">
        <f>IFERROR(__xludf.DUMMYFUNCTION("""COMPUTED_VALUE"""),"zwe")</f>
        <v>zwe</v>
      </c>
      <c r="C17834" t="str">
        <f>IFERROR(__xludf.DUMMYFUNCTION("""COMPUTED_VALUE"""),"Zimbabwe")</f>
        <v>Zimbabwe</v>
      </c>
      <c r="D17834">
        <f>IFERROR(__xludf.DUMMYFUNCTION("""COMPUTED_VALUE"""),2035.0)</f>
        <v>2035</v>
      </c>
      <c r="E17834">
        <f>IFERROR(__xludf.DUMMYFUNCTION("""COMPUTED_VALUE"""),2.3556026E7)</f>
        <v>23556026</v>
      </c>
    </row>
    <row r="17835">
      <c r="A17835" t="str">
        <f t="shared" si="1"/>
        <v>zwe#2036</v>
      </c>
      <c r="B17835" t="str">
        <f>IFERROR(__xludf.DUMMYFUNCTION("""COMPUTED_VALUE"""),"zwe")</f>
        <v>zwe</v>
      </c>
      <c r="C17835" t="str">
        <f>IFERROR(__xludf.DUMMYFUNCTION("""COMPUTED_VALUE"""),"Zimbabwe")</f>
        <v>Zimbabwe</v>
      </c>
      <c r="D17835">
        <f>IFERROR(__xludf.DUMMYFUNCTION("""COMPUTED_VALUE"""),2036.0)</f>
        <v>2036</v>
      </c>
      <c r="E17835">
        <f>IFERROR(__xludf.DUMMYFUNCTION("""COMPUTED_VALUE"""),2.3968335E7)</f>
        <v>23968335</v>
      </c>
    </row>
    <row r="17836">
      <c r="A17836" t="str">
        <f t="shared" si="1"/>
        <v>zwe#2037</v>
      </c>
      <c r="B17836" t="str">
        <f>IFERROR(__xludf.DUMMYFUNCTION("""COMPUTED_VALUE"""),"zwe")</f>
        <v>zwe</v>
      </c>
      <c r="C17836" t="str">
        <f>IFERROR(__xludf.DUMMYFUNCTION("""COMPUTED_VALUE"""),"Zimbabwe")</f>
        <v>Zimbabwe</v>
      </c>
      <c r="D17836">
        <f>IFERROR(__xludf.DUMMYFUNCTION("""COMPUTED_VALUE"""),2037.0)</f>
        <v>2037</v>
      </c>
      <c r="E17836">
        <f>IFERROR(__xludf.DUMMYFUNCTION("""COMPUTED_VALUE"""),2.4382067E7)</f>
        <v>24382067</v>
      </c>
    </row>
    <row r="17837">
      <c r="A17837" t="str">
        <f t="shared" si="1"/>
        <v>zwe#2038</v>
      </c>
      <c r="B17837" t="str">
        <f>IFERROR(__xludf.DUMMYFUNCTION("""COMPUTED_VALUE"""),"zwe")</f>
        <v>zwe</v>
      </c>
      <c r="C17837" t="str">
        <f>IFERROR(__xludf.DUMMYFUNCTION("""COMPUTED_VALUE"""),"Zimbabwe")</f>
        <v>Zimbabwe</v>
      </c>
      <c r="D17837">
        <f>IFERROR(__xludf.DUMMYFUNCTION("""COMPUTED_VALUE"""),2038.0)</f>
        <v>2038</v>
      </c>
      <c r="E17837">
        <f>IFERROR(__xludf.DUMMYFUNCTION("""COMPUTED_VALUE"""),2.4796673E7)</f>
        <v>24796673</v>
      </c>
    </row>
    <row r="17838">
      <c r="A17838" t="str">
        <f t="shared" si="1"/>
        <v>zwe#2039</v>
      </c>
      <c r="B17838" t="str">
        <f>IFERROR(__xludf.DUMMYFUNCTION("""COMPUTED_VALUE"""),"zwe")</f>
        <v>zwe</v>
      </c>
      <c r="C17838" t="str">
        <f>IFERROR(__xludf.DUMMYFUNCTION("""COMPUTED_VALUE"""),"Zimbabwe")</f>
        <v>Zimbabwe</v>
      </c>
      <c r="D17838">
        <f>IFERROR(__xludf.DUMMYFUNCTION("""COMPUTED_VALUE"""),2039.0)</f>
        <v>2039</v>
      </c>
      <c r="E17838">
        <f>IFERROR(__xludf.DUMMYFUNCTION("""COMPUTED_VALUE"""),2.5211507E7)</f>
        <v>25211507</v>
      </c>
    </row>
    <row r="17839">
      <c r="A17839" t="str">
        <f t="shared" si="1"/>
        <v>zwe#2040</v>
      </c>
      <c r="B17839" t="str">
        <f>IFERROR(__xludf.DUMMYFUNCTION("""COMPUTED_VALUE"""),"zwe")</f>
        <v>zwe</v>
      </c>
      <c r="C17839" t="str">
        <f>IFERROR(__xludf.DUMMYFUNCTION("""COMPUTED_VALUE"""),"Zimbabwe")</f>
        <v>Zimbabwe</v>
      </c>
      <c r="D17839">
        <f>IFERROR(__xludf.DUMMYFUNCTION("""COMPUTED_VALUE"""),2040.0)</f>
        <v>2040</v>
      </c>
      <c r="E17839">
        <f>IFERROR(__xludf.DUMMYFUNCTION("""COMPUTED_VALUE"""),2.5625981E7)</f>
        <v>25625981</v>
      </c>
    </row>
    <row r="17840">
      <c r="A17840" t="str">
        <f t="shared" si="1"/>
        <v>ssd#1950</v>
      </c>
      <c r="B17840" t="str">
        <f>IFERROR(__xludf.DUMMYFUNCTION("""COMPUTED_VALUE"""),"ssd")</f>
        <v>ssd</v>
      </c>
      <c r="C17840" t="str">
        <f>IFERROR(__xludf.DUMMYFUNCTION("""COMPUTED_VALUE"""),"South Sudan")</f>
        <v>South Sudan</v>
      </c>
      <c r="D17840">
        <f>IFERROR(__xludf.DUMMYFUNCTION("""COMPUTED_VALUE"""),1950.0)</f>
        <v>1950</v>
      </c>
      <c r="E17840">
        <f>IFERROR(__xludf.DUMMYFUNCTION("""COMPUTED_VALUE"""),2582929.0)</f>
        <v>2582929</v>
      </c>
    </row>
    <row r="17841">
      <c r="A17841" t="str">
        <f t="shared" si="1"/>
        <v>ssd#1951</v>
      </c>
      <c r="B17841" t="str">
        <f>IFERROR(__xludf.DUMMYFUNCTION("""COMPUTED_VALUE"""),"ssd")</f>
        <v>ssd</v>
      </c>
      <c r="C17841" t="str">
        <f>IFERROR(__xludf.DUMMYFUNCTION("""COMPUTED_VALUE"""),"South Sudan")</f>
        <v>South Sudan</v>
      </c>
      <c r="D17841">
        <f>IFERROR(__xludf.DUMMYFUNCTION("""COMPUTED_VALUE"""),1951.0)</f>
        <v>1951</v>
      </c>
      <c r="E17841">
        <f>IFERROR(__xludf.DUMMYFUNCTION("""COMPUTED_VALUE"""),2601651.0)</f>
        <v>2601651</v>
      </c>
    </row>
    <row r="17842">
      <c r="A17842" t="str">
        <f t="shared" si="1"/>
        <v>ssd#1952</v>
      </c>
      <c r="B17842" t="str">
        <f>IFERROR(__xludf.DUMMYFUNCTION("""COMPUTED_VALUE"""),"ssd")</f>
        <v>ssd</v>
      </c>
      <c r="C17842" t="str">
        <f>IFERROR(__xludf.DUMMYFUNCTION("""COMPUTED_VALUE"""),"South Sudan")</f>
        <v>South Sudan</v>
      </c>
      <c r="D17842">
        <f>IFERROR(__xludf.DUMMYFUNCTION("""COMPUTED_VALUE"""),1952.0)</f>
        <v>1952</v>
      </c>
      <c r="E17842">
        <f>IFERROR(__xludf.DUMMYFUNCTION("""COMPUTED_VALUE"""),2625126.0)</f>
        <v>2625126</v>
      </c>
    </row>
    <row r="17843">
      <c r="A17843" t="str">
        <f t="shared" si="1"/>
        <v>ssd#1953</v>
      </c>
      <c r="B17843" t="str">
        <f>IFERROR(__xludf.DUMMYFUNCTION("""COMPUTED_VALUE"""),"ssd")</f>
        <v>ssd</v>
      </c>
      <c r="C17843" t="str">
        <f>IFERROR(__xludf.DUMMYFUNCTION("""COMPUTED_VALUE"""),"South Sudan")</f>
        <v>South Sudan</v>
      </c>
      <c r="D17843">
        <f>IFERROR(__xludf.DUMMYFUNCTION("""COMPUTED_VALUE"""),1953.0)</f>
        <v>1953</v>
      </c>
      <c r="E17843">
        <f>IFERROR(__xludf.DUMMYFUNCTION("""COMPUTED_VALUE"""),2653097.0)</f>
        <v>2653097</v>
      </c>
    </row>
    <row r="17844">
      <c r="A17844" t="str">
        <f t="shared" si="1"/>
        <v>ssd#1954</v>
      </c>
      <c r="B17844" t="str">
        <f>IFERROR(__xludf.DUMMYFUNCTION("""COMPUTED_VALUE"""),"ssd")</f>
        <v>ssd</v>
      </c>
      <c r="C17844" t="str">
        <f>IFERROR(__xludf.DUMMYFUNCTION("""COMPUTED_VALUE"""),"South Sudan")</f>
        <v>South Sudan</v>
      </c>
      <c r="D17844">
        <f>IFERROR(__xludf.DUMMYFUNCTION("""COMPUTED_VALUE"""),1954.0)</f>
        <v>1954</v>
      </c>
      <c r="E17844">
        <f>IFERROR(__xludf.DUMMYFUNCTION("""COMPUTED_VALUE"""),2685325.0)</f>
        <v>2685325</v>
      </c>
    </row>
    <row r="17845">
      <c r="A17845" t="str">
        <f t="shared" si="1"/>
        <v>ssd#1955</v>
      </c>
      <c r="B17845" t="str">
        <f>IFERROR(__xludf.DUMMYFUNCTION("""COMPUTED_VALUE"""),"ssd")</f>
        <v>ssd</v>
      </c>
      <c r="C17845" t="str">
        <f>IFERROR(__xludf.DUMMYFUNCTION("""COMPUTED_VALUE"""),"South Sudan")</f>
        <v>South Sudan</v>
      </c>
      <c r="D17845">
        <f>IFERROR(__xludf.DUMMYFUNCTION("""COMPUTED_VALUE"""),1955.0)</f>
        <v>1955</v>
      </c>
      <c r="E17845">
        <f>IFERROR(__xludf.DUMMYFUNCTION("""COMPUTED_VALUE"""),2721544.0)</f>
        <v>2721544</v>
      </c>
    </row>
    <row r="17846">
      <c r="A17846" t="str">
        <f t="shared" si="1"/>
        <v>ssd#1956</v>
      </c>
      <c r="B17846" t="str">
        <f>IFERROR(__xludf.DUMMYFUNCTION("""COMPUTED_VALUE"""),"ssd")</f>
        <v>ssd</v>
      </c>
      <c r="C17846" t="str">
        <f>IFERROR(__xludf.DUMMYFUNCTION("""COMPUTED_VALUE"""),"South Sudan")</f>
        <v>South Sudan</v>
      </c>
      <c r="D17846">
        <f>IFERROR(__xludf.DUMMYFUNCTION("""COMPUTED_VALUE"""),1956.0)</f>
        <v>1956</v>
      </c>
      <c r="E17846">
        <f>IFERROR(__xludf.DUMMYFUNCTION("""COMPUTED_VALUE"""),2761544.0)</f>
        <v>2761544</v>
      </c>
    </row>
    <row r="17847">
      <c r="A17847" t="str">
        <f t="shared" si="1"/>
        <v>ssd#1957</v>
      </c>
      <c r="B17847" t="str">
        <f>IFERROR(__xludf.DUMMYFUNCTION("""COMPUTED_VALUE"""),"ssd")</f>
        <v>ssd</v>
      </c>
      <c r="C17847" t="str">
        <f>IFERROR(__xludf.DUMMYFUNCTION("""COMPUTED_VALUE"""),"South Sudan")</f>
        <v>South Sudan</v>
      </c>
      <c r="D17847">
        <f>IFERROR(__xludf.DUMMYFUNCTION("""COMPUTED_VALUE"""),1957.0)</f>
        <v>1957</v>
      </c>
      <c r="E17847">
        <f>IFERROR(__xludf.DUMMYFUNCTION("""COMPUTED_VALUE"""),2805106.0)</f>
        <v>2805106</v>
      </c>
    </row>
    <row r="17848">
      <c r="A17848" t="str">
        <f t="shared" si="1"/>
        <v>ssd#1958</v>
      </c>
      <c r="B17848" t="str">
        <f>IFERROR(__xludf.DUMMYFUNCTION("""COMPUTED_VALUE"""),"ssd")</f>
        <v>ssd</v>
      </c>
      <c r="C17848" t="str">
        <f>IFERROR(__xludf.DUMMYFUNCTION("""COMPUTED_VALUE"""),"South Sudan")</f>
        <v>South Sudan</v>
      </c>
      <c r="D17848">
        <f>IFERROR(__xludf.DUMMYFUNCTION("""COMPUTED_VALUE"""),1958.0)</f>
        <v>1958</v>
      </c>
      <c r="E17848">
        <f>IFERROR(__xludf.DUMMYFUNCTION("""COMPUTED_VALUE"""),2852016.0)</f>
        <v>2852016</v>
      </c>
    </row>
    <row r="17849">
      <c r="A17849" t="str">
        <f t="shared" si="1"/>
        <v>ssd#1959</v>
      </c>
      <c r="B17849" t="str">
        <f>IFERROR(__xludf.DUMMYFUNCTION("""COMPUTED_VALUE"""),"ssd")</f>
        <v>ssd</v>
      </c>
      <c r="C17849" t="str">
        <f>IFERROR(__xludf.DUMMYFUNCTION("""COMPUTED_VALUE"""),"South Sudan")</f>
        <v>South Sudan</v>
      </c>
      <c r="D17849">
        <f>IFERROR(__xludf.DUMMYFUNCTION("""COMPUTED_VALUE"""),1959.0)</f>
        <v>1959</v>
      </c>
      <c r="E17849">
        <f>IFERROR(__xludf.DUMMYFUNCTION("""COMPUTED_VALUE"""),2902083.0)</f>
        <v>2902083</v>
      </c>
    </row>
    <row r="17850">
      <c r="A17850" t="str">
        <f t="shared" si="1"/>
        <v>ssd#1960</v>
      </c>
      <c r="B17850" t="str">
        <f>IFERROR(__xludf.DUMMYFUNCTION("""COMPUTED_VALUE"""),"ssd")</f>
        <v>ssd</v>
      </c>
      <c r="C17850" t="str">
        <f>IFERROR(__xludf.DUMMYFUNCTION("""COMPUTED_VALUE"""),"South Sudan")</f>
        <v>South Sudan</v>
      </c>
      <c r="D17850">
        <f>IFERROR(__xludf.DUMMYFUNCTION("""COMPUTED_VALUE"""),1960.0)</f>
        <v>1960</v>
      </c>
      <c r="E17850">
        <f>IFERROR(__xludf.DUMMYFUNCTION("""COMPUTED_VALUE"""),2955152.0)</f>
        <v>2955152</v>
      </c>
    </row>
    <row r="17851">
      <c r="A17851" t="str">
        <f t="shared" si="1"/>
        <v>ssd#1961</v>
      </c>
      <c r="B17851" t="str">
        <f>IFERROR(__xludf.DUMMYFUNCTION("""COMPUTED_VALUE"""),"ssd")</f>
        <v>ssd</v>
      </c>
      <c r="C17851" t="str">
        <f>IFERROR(__xludf.DUMMYFUNCTION("""COMPUTED_VALUE"""),"South Sudan")</f>
        <v>South Sudan</v>
      </c>
      <c r="D17851">
        <f>IFERROR(__xludf.DUMMYFUNCTION("""COMPUTED_VALUE"""),1961.0)</f>
        <v>1961</v>
      </c>
      <c r="E17851">
        <f>IFERROR(__xludf.DUMMYFUNCTION("""COMPUTED_VALUE"""),3011110.0)</f>
        <v>3011110</v>
      </c>
    </row>
    <row r="17852">
      <c r="A17852" t="str">
        <f t="shared" si="1"/>
        <v>ssd#1962</v>
      </c>
      <c r="B17852" t="str">
        <f>IFERROR(__xludf.DUMMYFUNCTION("""COMPUTED_VALUE"""),"ssd")</f>
        <v>ssd</v>
      </c>
      <c r="C17852" t="str">
        <f>IFERROR(__xludf.DUMMYFUNCTION("""COMPUTED_VALUE"""),"South Sudan")</f>
        <v>South Sudan</v>
      </c>
      <c r="D17852">
        <f>IFERROR(__xludf.DUMMYFUNCTION("""COMPUTED_VALUE"""),1962.0)</f>
        <v>1962</v>
      </c>
      <c r="E17852">
        <f>IFERROR(__xludf.DUMMYFUNCTION("""COMPUTED_VALUE"""),3069913.0)</f>
        <v>3069913</v>
      </c>
    </row>
    <row r="17853">
      <c r="A17853" t="str">
        <f t="shared" si="1"/>
        <v>ssd#1963</v>
      </c>
      <c r="B17853" t="str">
        <f>IFERROR(__xludf.DUMMYFUNCTION("""COMPUTED_VALUE"""),"ssd")</f>
        <v>ssd</v>
      </c>
      <c r="C17853" t="str">
        <f>IFERROR(__xludf.DUMMYFUNCTION("""COMPUTED_VALUE"""),"South Sudan")</f>
        <v>South Sudan</v>
      </c>
      <c r="D17853">
        <f>IFERROR(__xludf.DUMMYFUNCTION("""COMPUTED_VALUE"""),1963.0)</f>
        <v>1963</v>
      </c>
      <c r="E17853">
        <f>IFERROR(__xludf.DUMMYFUNCTION("""COMPUTED_VALUE"""),3131557.0)</f>
        <v>3131557</v>
      </c>
    </row>
    <row r="17854">
      <c r="A17854" t="str">
        <f t="shared" si="1"/>
        <v>ssd#1964</v>
      </c>
      <c r="B17854" t="str">
        <f>IFERROR(__xludf.DUMMYFUNCTION("""COMPUTED_VALUE"""),"ssd")</f>
        <v>ssd</v>
      </c>
      <c r="C17854" t="str">
        <f>IFERROR(__xludf.DUMMYFUNCTION("""COMPUTED_VALUE"""),"South Sudan")</f>
        <v>South Sudan</v>
      </c>
      <c r="D17854">
        <f>IFERROR(__xludf.DUMMYFUNCTION("""COMPUTED_VALUE"""),1964.0)</f>
        <v>1964</v>
      </c>
      <c r="E17854">
        <f>IFERROR(__xludf.DUMMYFUNCTION("""COMPUTED_VALUE"""),3196113.0)</f>
        <v>3196113</v>
      </c>
    </row>
    <row r="17855">
      <c r="A17855" t="str">
        <f t="shared" si="1"/>
        <v>ssd#1965</v>
      </c>
      <c r="B17855" t="str">
        <f>IFERROR(__xludf.DUMMYFUNCTION("""COMPUTED_VALUE"""),"ssd")</f>
        <v>ssd</v>
      </c>
      <c r="C17855" t="str">
        <f>IFERROR(__xludf.DUMMYFUNCTION("""COMPUTED_VALUE"""),"South Sudan")</f>
        <v>South Sudan</v>
      </c>
      <c r="D17855">
        <f>IFERROR(__xludf.DUMMYFUNCTION("""COMPUTED_VALUE"""),1965.0)</f>
        <v>1965</v>
      </c>
      <c r="E17855">
        <f>IFERROR(__xludf.DUMMYFUNCTION("""COMPUTED_VALUE"""),3263638.0)</f>
        <v>3263638</v>
      </c>
    </row>
    <row r="17856">
      <c r="A17856" t="str">
        <f t="shared" si="1"/>
        <v>ssd#1966</v>
      </c>
      <c r="B17856" t="str">
        <f>IFERROR(__xludf.DUMMYFUNCTION("""COMPUTED_VALUE"""),"ssd")</f>
        <v>ssd</v>
      </c>
      <c r="C17856" t="str">
        <f>IFERROR(__xludf.DUMMYFUNCTION("""COMPUTED_VALUE"""),"South Sudan")</f>
        <v>South Sudan</v>
      </c>
      <c r="D17856">
        <f>IFERROR(__xludf.DUMMYFUNCTION("""COMPUTED_VALUE"""),1966.0)</f>
        <v>1966</v>
      </c>
      <c r="E17856">
        <f>IFERROR(__xludf.DUMMYFUNCTION("""COMPUTED_VALUE"""),3334191.0)</f>
        <v>3334191</v>
      </c>
    </row>
    <row r="17857">
      <c r="A17857" t="str">
        <f t="shared" si="1"/>
        <v>ssd#1967</v>
      </c>
      <c r="B17857" t="str">
        <f>IFERROR(__xludf.DUMMYFUNCTION("""COMPUTED_VALUE"""),"ssd")</f>
        <v>ssd</v>
      </c>
      <c r="C17857" t="str">
        <f>IFERROR(__xludf.DUMMYFUNCTION("""COMPUTED_VALUE"""),"South Sudan")</f>
        <v>South Sudan</v>
      </c>
      <c r="D17857">
        <f>IFERROR(__xludf.DUMMYFUNCTION("""COMPUTED_VALUE"""),1967.0)</f>
        <v>1967</v>
      </c>
      <c r="E17857">
        <f>IFERROR(__xludf.DUMMYFUNCTION("""COMPUTED_VALUE"""),3407800.0)</f>
        <v>3407800</v>
      </c>
    </row>
    <row r="17858">
      <c r="A17858" t="str">
        <f t="shared" si="1"/>
        <v>ssd#1968</v>
      </c>
      <c r="B17858" t="str">
        <f>IFERROR(__xludf.DUMMYFUNCTION("""COMPUTED_VALUE"""),"ssd")</f>
        <v>ssd</v>
      </c>
      <c r="C17858" t="str">
        <f>IFERROR(__xludf.DUMMYFUNCTION("""COMPUTED_VALUE"""),"South Sudan")</f>
        <v>South Sudan</v>
      </c>
      <c r="D17858">
        <f>IFERROR(__xludf.DUMMYFUNCTION("""COMPUTED_VALUE"""),1968.0)</f>
        <v>1968</v>
      </c>
      <c r="E17858">
        <f>IFERROR(__xludf.DUMMYFUNCTION("""COMPUTED_VALUE"""),3484537.0)</f>
        <v>3484537</v>
      </c>
    </row>
    <row r="17859">
      <c r="A17859" t="str">
        <f t="shared" si="1"/>
        <v>ssd#1969</v>
      </c>
      <c r="B17859" t="str">
        <f>IFERROR(__xludf.DUMMYFUNCTION("""COMPUTED_VALUE"""),"ssd")</f>
        <v>ssd</v>
      </c>
      <c r="C17859" t="str">
        <f>IFERROR(__xludf.DUMMYFUNCTION("""COMPUTED_VALUE"""),"South Sudan")</f>
        <v>South Sudan</v>
      </c>
      <c r="D17859">
        <f>IFERROR(__xludf.DUMMYFUNCTION("""COMPUTED_VALUE"""),1969.0)</f>
        <v>1969</v>
      </c>
      <c r="E17859">
        <f>IFERROR(__xludf.DUMMYFUNCTION("""COMPUTED_VALUE"""),3564465.0)</f>
        <v>3564465</v>
      </c>
    </row>
    <row r="17860">
      <c r="A17860" t="str">
        <f t="shared" si="1"/>
        <v>ssd#1970</v>
      </c>
      <c r="B17860" t="str">
        <f>IFERROR(__xludf.DUMMYFUNCTION("""COMPUTED_VALUE"""),"ssd")</f>
        <v>ssd</v>
      </c>
      <c r="C17860" t="str">
        <f>IFERROR(__xludf.DUMMYFUNCTION("""COMPUTED_VALUE"""),"South Sudan")</f>
        <v>South Sudan</v>
      </c>
      <c r="D17860">
        <f>IFERROR(__xludf.DUMMYFUNCTION("""COMPUTED_VALUE"""),1970.0)</f>
        <v>1970</v>
      </c>
      <c r="E17860">
        <f>IFERROR(__xludf.DUMMYFUNCTION("""COMPUTED_VALUE"""),3647709.0)</f>
        <v>3647709</v>
      </c>
    </row>
    <row r="17861">
      <c r="A17861" t="str">
        <f t="shared" si="1"/>
        <v>ssd#1971</v>
      </c>
      <c r="B17861" t="str">
        <f>IFERROR(__xludf.DUMMYFUNCTION("""COMPUTED_VALUE"""),"ssd")</f>
        <v>ssd</v>
      </c>
      <c r="C17861" t="str">
        <f>IFERROR(__xludf.DUMMYFUNCTION("""COMPUTED_VALUE"""),"South Sudan")</f>
        <v>South Sudan</v>
      </c>
      <c r="D17861">
        <f>IFERROR(__xludf.DUMMYFUNCTION("""COMPUTED_VALUE"""),1971.0)</f>
        <v>1971</v>
      </c>
      <c r="E17861">
        <f>IFERROR(__xludf.DUMMYFUNCTION("""COMPUTED_VALUE"""),3734418.0)</f>
        <v>3734418</v>
      </c>
    </row>
    <row r="17862">
      <c r="A17862" t="str">
        <f t="shared" si="1"/>
        <v>ssd#1972</v>
      </c>
      <c r="B17862" t="str">
        <f>IFERROR(__xludf.DUMMYFUNCTION("""COMPUTED_VALUE"""),"ssd")</f>
        <v>ssd</v>
      </c>
      <c r="C17862" t="str">
        <f>IFERROR(__xludf.DUMMYFUNCTION("""COMPUTED_VALUE"""),"South Sudan")</f>
        <v>South Sudan</v>
      </c>
      <c r="D17862">
        <f>IFERROR(__xludf.DUMMYFUNCTION("""COMPUTED_VALUE"""),1972.0)</f>
        <v>1972</v>
      </c>
      <c r="E17862">
        <f>IFERROR(__xludf.DUMMYFUNCTION("""COMPUTED_VALUE"""),3824762.0)</f>
        <v>3824762</v>
      </c>
    </row>
    <row r="17863">
      <c r="A17863" t="str">
        <f t="shared" si="1"/>
        <v>ssd#1973</v>
      </c>
      <c r="B17863" t="str">
        <f>IFERROR(__xludf.DUMMYFUNCTION("""COMPUTED_VALUE"""),"ssd")</f>
        <v>ssd</v>
      </c>
      <c r="C17863" t="str">
        <f>IFERROR(__xludf.DUMMYFUNCTION("""COMPUTED_VALUE"""),"South Sudan")</f>
        <v>South Sudan</v>
      </c>
      <c r="D17863">
        <f>IFERROR(__xludf.DUMMYFUNCTION("""COMPUTED_VALUE"""),1973.0)</f>
        <v>1973</v>
      </c>
      <c r="E17863">
        <f>IFERROR(__xludf.DUMMYFUNCTION("""COMPUTED_VALUE"""),3918922.0)</f>
        <v>3918922</v>
      </c>
    </row>
    <row r="17864">
      <c r="A17864" t="str">
        <f t="shared" si="1"/>
        <v>ssd#1974</v>
      </c>
      <c r="B17864" t="str">
        <f>IFERROR(__xludf.DUMMYFUNCTION("""COMPUTED_VALUE"""),"ssd")</f>
        <v>ssd</v>
      </c>
      <c r="C17864" t="str">
        <f>IFERROR(__xludf.DUMMYFUNCTION("""COMPUTED_VALUE"""),"South Sudan")</f>
        <v>South Sudan</v>
      </c>
      <c r="D17864">
        <f>IFERROR(__xludf.DUMMYFUNCTION("""COMPUTED_VALUE"""),1974.0)</f>
        <v>1974</v>
      </c>
      <c r="E17864">
        <f>IFERROR(__xludf.DUMMYFUNCTION("""COMPUTED_VALUE"""),4017075.0)</f>
        <v>4017075</v>
      </c>
    </row>
    <row r="17865">
      <c r="A17865" t="str">
        <f t="shared" si="1"/>
        <v>ssd#1975</v>
      </c>
      <c r="B17865" t="str">
        <f>IFERROR(__xludf.DUMMYFUNCTION("""COMPUTED_VALUE"""),"ssd")</f>
        <v>ssd</v>
      </c>
      <c r="C17865" t="str">
        <f>IFERROR(__xludf.DUMMYFUNCTION("""COMPUTED_VALUE"""),"South Sudan")</f>
        <v>South Sudan</v>
      </c>
      <c r="D17865">
        <f>IFERROR(__xludf.DUMMYFUNCTION("""COMPUTED_VALUE"""),1975.0)</f>
        <v>1975</v>
      </c>
      <c r="E17865">
        <f>IFERROR(__xludf.DUMMYFUNCTION("""COMPUTED_VALUE"""),4119438.0)</f>
        <v>4119438</v>
      </c>
    </row>
    <row r="17866">
      <c r="A17866" t="str">
        <f t="shared" si="1"/>
        <v>ssd#1976</v>
      </c>
      <c r="B17866" t="str">
        <f>IFERROR(__xludf.DUMMYFUNCTION("""COMPUTED_VALUE"""),"ssd")</f>
        <v>ssd</v>
      </c>
      <c r="C17866" t="str">
        <f>IFERROR(__xludf.DUMMYFUNCTION("""COMPUTED_VALUE"""),"South Sudan")</f>
        <v>South Sudan</v>
      </c>
      <c r="D17866">
        <f>IFERROR(__xludf.DUMMYFUNCTION("""COMPUTED_VALUE"""),1976.0)</f>
        <v>1976</v>
      </c>
      <c r="E17866">
        <f>IFERROR(__xludf.DUMMYFUNCTION("""COMPUTED_VALUE"""),4224529.0)</f>
        <v>4224529</v>
      </c>
    </row>
    <row r="17867">
      <c r="A17867" t="str">
        <f t="shared" si="1"/>
        <v>ssd#1977</v>
      </c>
      <c r="B17867" t="str">
        <f>IFERROR(__xludf.DUMMYFUNCTION("""COMPUTED_VALUE"""),"ssd")</f>
        <v>ssd</v>
      </c>
      <c r="C17867" t="str">
        <f>IFERROR(__xludf.DUMMYFUNCTION("""COMPUTED_VALUE"""),"South Sudan")</f>
        <v>South Sudan</v>
      </c>
      <c r="D17867">
        <f>IFERROR(__xludf.DUMMYFUNCTION("""COMPUTED_VALUE"""),1977.0)</f>
        <v>1977</v>
      </c>
      <c r="E17867">
        <f>IFERROR(__xludf.DUMMYFUNCTION("""COMPUTED_VALUE"""),4332287.0)</f>
        <v>4332287</v>
      </c>
    </row>
    <row r="17868">
      <c r="A17868" t="str">
        <f t="shared" si="1"/>
        <v>ssd#1978</v>
      </c>
      <c r="B17868" t="str">
        <f>IFERROR(__xludf.DUMMYFUNCTION("""COMPUTED_VALUE"""),"ssd")</f>
        <v>ssd</v>
      </c>
      <c r="C17868" t="str">
        <f>IFERROR(__xludf.DUMMYFUNCTION("""COMPUTED_VALUE"""),"South Sudan")</f>
        <v>South Sudan</v>
      </c>
      <c r="D17868">
        <f>IFERROR(__xludf.DUMMYFUNCTION("""COMPUTED_VALUE"""),1978.0)</f>
        <v>1978</v>
      </c>
      <c r="E17868">
        <f>IFERROR(__xludf.DUMMYFUNCTION("""COMPUTED_VALUE"""),4445826.0)</f>
        <v>4445826</v>
      </c>
    </row>
    <row r="17869">
      <c r="A17869" t="str">
        <f t="shared" si="1"/>
        <v>ssd#1979</v>
      </c>
      <c r="B17869" t="str">
        <f>IFERROR(__xludf.DUMMYFUNCTION("""COMPUTED_VALUE"""),"ssd")</f>
        <v>ssd</v>
      </c>
      <c r="C17869" t="str">
        <f>IFERROR(__xludf.DUMMYFUNCTION("""COMPUTED_VALUE"""),"South Sudan")</f>
        <v>South Sudan</v>
      </c>
      <c r="D17869">
        <f>IFERROR(__xludf.DUMMYFUNCTION("""COMPUTED_VALUE"""),1979.0)</f>
        <v>1979</v>
      </c>
      <c r="E17869">
        <f>IFERROR(__xludf.DUMMYFUNCTION("""COMPUTED_VALUE"""),4569423.0)</f>
        <v>4569423</v>
      </c>
    </row>
    <row r="17870">
      <c r="A17870" t="str">
        <f t="shared" si="1"/>
        <v>ssd#1980</v>
      </c>
      <c r="B17870" t="str">
        <f>IFERROR(__xludf.DUMMYFUNCTION("""COMPUTED_VALUE"""),"ssd")</f>
        <v>ssd</v>
      </c>
      <c r="C17870" t="str">
        <f>IFERROR(__xludf.DUMMYFUNCTION("""COMPUTED_VALUE"""),"South Sudan")</f>
        <v>South Sudan</v>
      </c>
      <c r="D17870">
        <f>IFERROR(__xludf.DUMMYFUNCTION("""COMPUTED_VALUE"""),1980.0)</f>
        <v>1980</v>
      </c>
      <c r="E17870">
        <f>IFERROR(__xludf.DUMMYFUNCTION("""COMPUTED_VALUE"""),4705224.0)</f>
        <v>4705224</v>
      </c>
    </row>
    <row r="17871">
      <c r="A17871" t="str">
        <f t="shared" si="1"/>
        <v>ssd#1981</v>
      </c>
      <c r="B17871" t="str">
        <f>IFERROR(__xludf.DUMMYFUNCTION("""COMPUTED_VALUE"""),"ssd")</f>
        <v>ssd</v>
      </c>
      <c r="C17871" t="str">
        <f>IFERROR(__xludf.DUMMYFUNCTION("""COMPUTED_VALUE"""),"South Sudan")</f>
        <v>South Sudan</v>
      </c>
      <c r="D17871">
        <f>IFERROR(__xludf.DUMMYFUNCTION("""COMPUTED_VALUE"""),1981.0)</f>
        <v>1981</v>
      </c>
      <c r="E17871">
        <f>IFERROR(__xludf.DUMMYFUNCTION("""COMPUTED_VALUE"""),4853927.0)</f>
        <v>4853927</v>
      </c>
    </row>
    <row r="17872">
      <c r="A17872" t="str">
        <f t="shared" si="1"/>
        <v>ssd#1982</v>
      </c>
      <c r="B17872" t="str">
        <f>IFERROR(__xludf.DUMMYFUNCTION("""COMPUTED_VALUE"""),"ssd")</f>
        <v>ssd</v>
      </c>
      <c r="C17872" t="str">
        <f>IFERROR(__xludf.DUMMYFUNCTION("""COMPUTED_VALUE"""),"South Sudan")</f>
        <v>South Sudan</v>
      </c>
      <c r="D17872">
        <f>IFERROR(__xludf.DUMMYFUNCTION("""COMPUTED_VALUE"""),1982.0)</f>
        <v>1982</v>
      </c>
      <c r="E17872">
        <f>IFERROR(__xludf.DUMMYFUNCTION("""COMPUTED_VALUE"""),5011726.0)</f>
        <v>5011726</v>
      </c>
    </row>
    <row r="17873">
      <c r="A17873" t="str">
        <f t="shared" si="1"/>
        <v>ssd#1983</v>
      </c>
      <c r="B17873" t="str">
        <f>IFERROR(__xludf.DUMMYFUNCTION("""COMPUTED_VALUE"""),"ssd")</f>
        <v>ssd</v>
      </c>
      <c r="C17873" t="str">
        <f>IFERROR(__xludf.DUMMYFUNCTION("""COMPUTED_VALUE"""),"South Sudan")</f>
        <v>South Sudan</v>
      </c>
      <c r="D17873">
        <f>IFERROR(__xludf.DUMMYFUNCTION("""COMPUTED_VALUE"""),1983.0)</f>
        <v>1983</v>
      </c>
      <c r="E17873">
        <f>IFERROR(__xludf.DUMMYFUNCTION("""COMPUTED_VALUE"""),5170558.0)</f>
        <v>5170558</v>
      </c>
    </row>
    <row r="17874">
      <c r="A17874" t="str">
        <f t="shared" si="1"/>
        <v>ssd#1984</v>
      </c>
      <c r="B17874" t="str">
        <f>IFERROR(__xludf.DUMMYFUNCTION("""COMPUTED_VALUE"""),"ssd")</f>
        <v>ssd</v>
      </c>
      <c r="C17874" t="str">
        <f>IFERROR(__xludf.DUMMYFUNCTION("""COMPUTED_VALUE"""),"South Sudan")</f>
        <v>South Sudan</v>
      </c>
      <c r="D17874">
        <f>IFERROR(__xludf.DUMMYFUNCTION("""COMPUTED_VALUE"""),1984.0)</f>
        <v>1984</v>
      </c>
      <c r="E17874">
        <f>IFERROR(__xludf.DUMMYFUNCTION("""COMPUTED_VALUE"""),5319609.0)</f>
        <v>5319609</v>
      </c>
    </row>
    <row r="17875">
      <c r="A17875" t="str">
        <f t="shared" si="1"/>
        <v>ssd#1985</v>
      </c>
      <c r="B17875" t="str">
        <f>IFERROR(__xludf.DUMMYFUNCTION("""COMPUTED_VALUE"""),"ssd")</f>
        <v>ssd</v>
      </c>
      <c r="C17875" t="str">
        <f>IFERROR(__xludf.DUMMYFUNCTION("""COMPUTED_VALUE"""),"South Sudan")</f>
        <v>South Sudan</v>
      </c>
      <c r="D17875">
        <f>IFERROR(__xludf.DUMMYFUNCTION("""COMPUTED_VALUE"""),1985.0)</f>
        <v>1985</v>
      </c>
      <c r="E17875">
        <f>IFERROR(__xludf.DUMMYFUNCTION("""COMPUTED_VALUE"""),5450424.0)</f>
        <v>5450424</v>
      </c>
    </row>
    <row r="17876">
      <c r="A17876" t="str">
        <f t="shared" si="1"/>
        <v>ssd#1986</v>
      </c>
      <c r="B17876" t="str">
        <f>IFERROR(__xludf.DUMMYFUNCTION("""COMPUTED_VALUE"""),"ssd")</f>
        <v>ssd</v>
      </c>
      <c r="C17876" t="str">
        <f>IFERROR(__xludf.DUMMYFUNCTION("""COMPUTED_VALUE"""),"South Sudan")</f>
        <v>South Sudan</v>
      </c>
      <c r="D17876">
        <f>IFERROR(__xludf.DUMMYFUNCTION("""COMPUTED_VALUE"""),1986.0)</f>
        <v>1986</v>
      </c>
      <c r="E17876">
        <f>IFERROR(__xludf.DUMMYFUNCTION("""COMPUTED_VALUE"""),5565545.0)</f>
        <v>5565545</v>
      </c>
    </row>
    <row r="17877">
      <c r="A17877" t="str">
        <f t="shared" si="1"/>
        <v>ssd#1987</v>
      </c>
      <c r="B17877" t="str">
        <f>IFERROR(__xludf.DUMMYFUNCTION("""COMPUTED_VALUE"""),"ssd")</f>
        <v>ssd</v>
      </c>
      <c r="C17877" t="str">
        <f>IFERROR(__xludf.DUMMYFUNCTION("""COMPUTED_VALUE"""),"South Sudan")</f>
        <v>South Sudan</v>
      </c>
      <c r="D17877">
        <f>IFERROR(__xludf.DUMMYFUNCTION("""COMPUTED_VALUE"""),1987.0)</f>
        <v>1987</v>
      </c>
      <c r="E17877">
        <f>IFERROR(__xludf.DUMMYFUNCTION("""COMPUTED_VALUE"""),5666078.0)</f>
        <v>5666078</v>
      </c>
    </row>
    <row r="17878">
      <c r="A17878" t="str">
        <f t="shared" si="1"/>
        <v>ssd#1988</v>
      </c>
      <c r="B17878" t="str">
        <f>IFERROR(__xludf.DUMMYFUNCTION("""COMPUTED_VALUE"""),"ssd")</f>
        <v>ssd</v>
      </c>
      <c r="C17878" t="str">
        <f>IFERROR(__xludf.DUMMYFUNCTION("""COMPUTED_VALUE"""),"South Sudan")</f>
        <v>South Sudan</v>
      </c>
      <c r="D17878">
        <f>IFERROR(__xludf.DUMMYFUNCTION("""COMPUTED_VALUE"""),1988.0)</f>
        <v>1988</v>
      </c>
      <c r="E17878">
        <f>IFERROR(__xludf.DUMMYFUNCTION("""COMPUTED_VALUE"""),5741235.0)</f>
        <v>5741235</v>
      </c>
    </row>
    <row r="17879">
      <c r="A17879" t="str">
        <f t="shared" si="1"/>
        <v>ssd#1989</v>
      </c>
      <c r="B17879" t="str">
        <f>IFERROR(__xludf.DUMMYFUNCTION("""COMPUTED_VALUE"""),"ssd")</f>
        <v>ssd</v>
      </c>
      <c r="C17879" t="str">
        <f>IFERROR(__xludf.DUMMYFUNCTION("""COMPUTED_VALUE"""),"South Sudan")</f>
        <v>South Sudan</v>
      </c>
      <c r="D17879">
        <f>IFERROR(__xludf.DUMMYFUNCTION("""COMPUTED_VALUE"""),1989.0)</f>
        <v>1989</v>
      </c>
      <c r="E17879">
        <f>IFERROR(__xludf.DUMMYFUNCTION("""COMPUTED_VALUE"""),5777498.0)</f>
        <v>5777498</v>
      </c>
    </row>
    <row r="17880">
      <c r="A17880" t="str">
        <f t="shared" si="1"/>
        <v>ssd#1990</v>
      </c>
      <c r="B17880" t="str">
        <f>IFERROR(__xludf.DUMMYFUNCTION("""COMPUTED_VALUE"""),"ssd")</f>
        <v>ssd</v>
      </c>
      <c r="C17880" t="str">
        <f>IFERROR(__xludf.DUMMYFUNCTION("""COMPUTED_VALUE"""),"South Sudan")</f>
        <v>South Sudan</v>
      </c>
      <c r="D17880">
        <f>IFERROR(__xludf.DUMMYFUNCTION("""COMPUTED_VALUE"""),1990.0)</f>
        <v>1990</v>
      </c>
      <c r="E17880">
        <f>IFERROR(__xludf.DUMMYFUNCTION("""COMPUTED_VALUE"""),5768481.0)</f>
        <v>5768481</v>
      </c>
    </row>
    <row r="17881">
      <c r="A17881" t="str">
        <f t="shared" si="1"/>
        <v>ssd#1991</v>
      </c>
      <c r="B17881" t="str">
        <f>IFERROR(__xludf.DUMMYFUNCTION("""COMPUTED_VALUE"""),"ssd")</f>
        <v>ssd</v>
      </c>
      <c r="C17881" t="str">
        <f>IFERROR(__xludf.DUMMYFUNCTION("""COMPUTED_VALUE"""),"South Sudan")</f>
        <v>South Sudan</v>
      </c>
      <c r="D17881">
        <f>IFERROR(__xludf.DUMMYFUNCTION("""COMPUTED_VALUE"""),1991.0)</f>
        <v>1991</v>
      </c>
      <c r="E17881">
        <f>IFERROR(__xludf.DUMMYFUNCTION("""COMPUTED_VALUE"""),5705378.0)</f>
        <v>5705378</v>
      </c>
    </row>
    <row r="17882">
      <c r="A17882" t="str">
        <f t="shared" si="1"/>
        <v>ssd#1992</v>
      </c>
      <c r="B17882" t="str">
        <f>IFERROR(__xludf.DUMMYFUNCTION("""COMPUTED_VALUE"""),"ssd")</f>
        <v>ssd</v>
      </c>
      <c r="C17882" t="str">
        <f>IFERROR(__xludf.DUMMYFUNCTION("""COMPUTED_VALUE"""),"South Sudan")</f>
        <v>South Sudan</v>
      </c>
      <c r="D17882">
        <f>IFERROR(__xludf.DUMMYFUNCTION("""COMPUTED_VALUE"""),1992.0)</f>
        <v>1992</v>
      </c>
      <c r="E17882">
        <f>IFERROR(__xludf.DUMMYFUNCTION("""COMPUTED_VALUE"""),5599814.0)</f>
        <v>5599814</v>
      </c>
    </row>
    <row r="17883">
      <c r="A17883" t="str">
        <f t="shared" si="1"/>
        <v>ssd#1993</v>
      </c>
      <c r="B17883" t="str">
        <f>IFERROR(__xludf.DUMMYFUNCTION("""COMPUTED_VALUE"""),"ssd")</f>
        <v>ssd</v>
      </c>
      <c r="C17883" t="str">
        <f>IFERROR(__xludf.DUMMYFUNCTION("""COMPUTED_VALUE"""),"South Sudan")</f>
        <v>South Sudan</v>
      </c>
      <c r="D17883">
        <f>IFERROR(__xludf.DUMMYFUNCTION("""COMPUTED_VALUE"""),1993.0)</f>
        <v>1993</v>
      </c>
      <c r="E17883">
        <f>IFERROR(__xludf.DUMMYFUNCTION("""COMPUTED_VALUE"""),5490915.0)</f>
        <v>5490915</v>
      </c>
    </row>
    <row r="17884">
      <c r="A17884" t="str">
        <f t="shared" si="1"/>
        <v>ssd#1994</v>
      </c>
      <c r="B17884" t="str">
        <f>IFERROR(__xludf.DUMMYFUNCTION("""COMPUTED_VALUE"""),"ssd")</f>
        <v>ssd</v>
      </c>
      <c r="C17884" t="str">
        <f>IFERROR(__xludf.DUMMYFUNCTION("""COMPUTED_VALUE"""),"South Sudan")</f>
        <v>South Sudan</v>
      </c>
      <c r="D17884">
        <f>IFERROR(__xludf.DUMMYFUNCTION("""COMPUTED_VALUE"""),1994.0)</f>
        <v>1994</v>
      </c>
      <c r="E17884">
        <f>IFERROR(__xludf.DUMMYFUNCTION("""COMPUTED_VALUE"""),5431738.0)</f>
        <v>5431738</v>
      </c>
    </row>
    <row r="17885">
      <c r="A17885" t="str">
        <f t="shared" si="1"/>
        <v>ssd#1995</v>
      </c>
      <c r="B17885" t="str">
        <f>IFERROR(__xludf.DUMMYFUNCTION("""COMPUTED_VALUE"""),"ssd")</f>
        <v>ssd</v>
      </c>
      <c r="C17885" t="str">
        <f>IFERROR(__xludf.DUMMYFUNCTION("""COMPUTED_VALUE"""),"South Sudan")</f>
        <v>South Sudan</v>
      </c>
      <c r="D17885">
        <f>IFERROR(__xludf.DUMMYFUNCTION("""COMPUTED_VALUE"""),1995.0)</f>
        <v>1995</v>
      </c>
      <c r="E17885">
        <f>IFERROR(__xludf.DUMMYFUNCTION("""COMPUTED_VALUE"""),5459519.0)</f>
        <v>5459519</v>
      </c>
    </row>
    <row r="17886">
      <c r="A17886" t="str">
        <f t="shared" si="1"/>
        <v>ssd#1996</v>
      </c>
      <c r="B17886" t="str">
        <f>IFERROR(__xludf.DUMMYFUNCTION("""COMPUTED_VALUE"""),"ssd")</f>
        <v>ssd</v>
      </c>
      <c r="C17886" t="str">
        <f>IFERROR(__xludf.DUMMYFUNCTION("""COMPUTED_VALUE"""),"South Sudan")</f>
        <v>South Sudan</v>
      </c>
      <c r="D17886">
        <f>IFERROR(__xludf.DUMMYFUNCTION("""COMPUTED_VALUE"""),1996.0)</f>
        <v>1996</v>
      </c>
      <c r="E17886">
        <f>IFERROR(__xludf.DUMMYFUNCTION("""COMPUTED_VALUE"""),5591114.0)</f>
        <v>5591114</v>
      </c>
    </row>
    <row r="17887">
      <c r="A17887" t="str">
        <f t="shared" si="1"/>
        <v>ssd#1997</v>
      </c>
      <c r="B17887" t="str">
        <f>IFERROR(__xludf.DUMMYFUNCTION("""COMPUTED_VALUE"""),"ssd")</f>
        <v>ssd</v>
      </c>
      <c r="C17887" t="str">
        <f>IFERROR(__xludf.DUMMYFUNCTION("""COMPUTED_VALUE"""),"South Sudan")</f>
        <v>South Sudan</v>
      </c>
      <c r="D17887">
        <f>IFERROR(__xludf.DUMMYFUNCTION("""COMPUTED_VALUE"""),1997.0)</f>
        <v>1997</v>
      </c>
      <c r="E17887">
        <f>IFERROR(__xludf.DUMMYFUNCTION("""COMPUTED_VALUE"""),5814006.0)</f>
        <v>5814006</v>
      </c>
    </row>
    <row r="17888">
      <c r="A17888" t="str">
        <f t="shared" si="1"/>
        <v>ssd#1998</v>
      </c>
      <c r="B17888" t="str">
        <f>IFERROR(__xludf.DUMMYFUNCTION("""COMPUTED_VALUE"""),"ssd")</f>
        <v>ssd</v>
      </c>
      <c r="C17888" t="str">
        <f>IFERROR(__xludf.DUMMYFUNCTION("""COMPUTED_VALUE"""),"South Sudan")</f>
        <v>South Sudan</v>
      </c>
      <c r="D17888">
        <f>IFERROR(__xludf.DUMMYFUNCTION("""COMPUTED_VALUE"""),1998.0)</f>
        <v>1998</v>
      </c>
      <c r="E17888">
        <f>IFERROR(__xludf.DUMMYFUNCTION("""COMPUTED_VALUE"""),6099923.0)</f>
        <v>6099923</v>
      </c>
    </row>
    <row r="17889">
      <c r="A17889" t="str">
        <f t="shared" si="1"/>
        <v>ssd#1999</v>
      </c>
      <c r="B17889" t="str">
        <f>IFERROR(__xludf.DUMMYFUNCTION("""COMPUTED_VALUE"""),"ssd")</f>
        <v>ssd</v>
      </c>
      <c r="C17889" t="str">
        <f>IFERROR(__xludf.DUMMYFUNCTION("""COMPUTED_VALUE"""),"South Sudan")</f>
        <v>South Sudan</v>
      </c>
      <c r="D17889">
        <f>IFERROR(__xludf.DUMMYFUNCTION("""COMPUTED_VALUE"""),1999.0)</f>
        <v>1999</v>
      </c>
      <c r="E17889">
        <f>IFERROR(__xludf.DUMMYFUNCTION("""COMPUTED_VALUE"""),6405864.0)</f>
        <v>6405864</v>
      </c>
    </row>
    <row r="17890">
      <c r="A17890" t="str">
        <f t="shared" si="1"/>
        <v>ssd#2000</v>
      </c>
      <c r="B17890" t="str">
        <f>IFERROR(__xludf.DUMMYFUNCTION("""COMPUTED_VALUE"""),"ssd")</f>
        <v>ssd</v>
      </c>
      <c r="C17890" t="str">
        <f>IFERROR(__xludf.DUMMYFUNCTION("""COMPUTED_VALUE"""),"South Sudan")</f>
        <v>South Sudan</v>
      </c>
      <c r="D17890">
        <f>IFERROR(__xludf.DUMMYFUNCTION("""COMPUTED_VALUE"""),2000.0)</f>
        <v>2000</v>
      </c>
      <c r="E17890">
        <f>IFERROR(__xludf.DUMMYFUNCTION("""COMPUTED_VALUE"""),6700656.0)</f>
        <v>6700656</v>
      </c>
    </row>
    <row r="17891">
      <c r="A17891" t="str">
        <f t="shared" si="1"/>
        <v>ssd#2001</v>
      </c>
      <c r="B17891" t="str">
        <f>IFERROR(__xludf.DUMMYFUNCTION("""COMPUTED_VALUE"""),"ssd")</f>
        <v>ssd</v>
      </c>
      <c r="C17891" t="str">
        <f>IFERROR(__xludf.DUMMYFUNCTION("""COMPUTED_VALUE"""),"South Sudan")</f>
        <v>South Sudan</v>
      </c>
      <c r="D17891">
        <f>IFERROR(__xludf.DUMMYFUNCTION("""COMPUTED_VALUE"""),2001.0)</f>
        <v>2001</v>
      </c>
      <c r="E17891">
        <f>IFERROR(__xludf.DUMMYFUNCTION("""COMPUTED_VALUE"""),6974442.0)</f>
        <v>6974442</v>
      </c>
    </row>
    <row r="17892">
      <c r="A17892" t="str">
        <f t="shared" si="1"/>
        <v>ssd#2002</v>
      </c>
      <c r="B17892" t="str">
        <f>IFERROR(__xludf.DUMMYFUNCTION("""COMPUTED_VALUE"""),"ssd")</f>
        <v>ssd</v>
      </c>
      <c r="C17892" t="str">
        <f>IFERROR(__xludf.DUMMYFUNCTION("""COMPUTED_VALUE"""),"South Sudan")</f>
        <v>South Sudan</v>
      </c>
      <c r="D17892">
        <f>IFERROR(__xludf.DUMMYFUNCTION("""COMPUTED_VALUE"""),2002.0)</f>
        <v>2002</v>
      </c>
      <c r="E17892">
        <f>IFERROR(__xludf.DUMMYFUNCTION("""COMPUTED_VALUE"""),7237276.0)</f>
        <v>7237276</v>
      </c>
    </row>
    <row r="17893">
      <c r="A17893" t="str">
        <f t="shared" si="1"/>
        <v>ssd#2003</v>
      </c>
      <c r="B17893" t="str">
        <f>IFERROR(__xludf.DUMMYFUNCTION("""COMPUTED_VALUE"""),"ssd")</f>
        <v>ssd</v>
      </c>
      <c r="C17893" t="str">
        <f>IFERROR(__xludf.DUMMYFUNCTION("""COMPUTED_VALUE"""),"South Sudan")</f>
        <v>South Sudan</v>
      </c>
      <c r="D17893">
        <f>IFERROR(__xludf.DUMMYFUNCTION("""COMPUTED_VALUE"""),2003.0)</f>
        <v>2003</v>
      </c>
      <c r="E17893">
        <f>IFERROR(__xludf.DUMMYFUNCTION("""COMPUTED_VALUE"""),7501642.0)</f>
        <v>7501642</v>
      </c>
    </row>
    <row r="17894">
      <c r="A17894" t="str">
        <f t="shared" si="1"/>
        <v>ssd#2004</v>
      </c>
      <c r="B17894" t="str">
        <f>IFERROR(__xludf.DUMMYFUNCTION("""COMPUTED_VALUE"""),"ssd")</f>
        <v>ssd</v>
      </c>
      <c r="C17894" t="str">
        <f>IFERROR(__xludf.DUMMYFUNCTION("""COMPUTED_VALUE"""),"South Sudan")</f>
        <v>South Sudan</v>
      </c>
      <c r="D17894">
        <f>IFERROR(__xludf.DUMMYFUNCTION("""COMPUTED_VALUE"""),2004.0)</f>
        <v>2004</v>
      </c>
      <c r="E17894">
        <f>IFERROR(__xludf.DUMMYFUNCTION("""COMPUTED_VALUE"""),7787655.0)</f>
        <v>7787655</v>
      </c>
    </row>
    <row r="17895">
      <c r="A17895" t="str">
        <f t="shared" si="1"/>
        <v>ssd#2005</v>
      </c>
      <c r="B17895" t="str">
        <f>IFERROR(__xludf.DUMMYFUNCTION("""COMPUTED_VALUE"""),"ssd")</f>
        <v>ssd</v>
      </c>
      <c r="C17895" t="str">
        <f>IFERROR(__xludf.DUMMYFUNCTION("""COMPUTED_VALUE"""),"South Sudan")</f>
        <v>South Sudan</v>
      </c>
      <c r="D17895">
        <f>IFERROR(__xludf.DUMMYFUNCTION("""COMPUTED_VALUE"""),2005.0)</f>
        <v>2005</v>
      </c>
      <c r="E17895">
        <f>IFERROR(__xludf.DUMMYFUNCTION("""COMPUTED_VALUE"""),8108877.0)</f>
        <v>8108877</v>
      </c>
    </row>
    <row r="17896">
      <c r="A17896" t="str">
        <f t="shared" si="1"/>
        <v>ssd#2006</v>
      </c>
      <c r="B17896" t="str">
        <f>IFERROR(__xludf.DUMMYFUNCTION("""COMPUTED_VALUE"""),"ssd")</f>
        <v>ssd</v>
      </c>
      <c r="C17896" t="str">
        <f>IFERROR(__xludf.DUMMYFUNCTION("""COMPUTED_VALUE"""),"South Sudan")</f>
        <v>South Sudan</v>
      </c>
      <c r="D17896">
        <f>IFERROR(__xludf.DUMMYFUNCTION("""COMPUTED_VALUE"""),2006.0)</f>
        <v>2006</v>
      </c>
      <c r="E17896">
        <f>IFERROR(__xludf.DUMMYFUNCTION("""COMPUTED_VALUE"""),8468152.0)</f>
        <v>8468152</v>
      </c>
    </row>
    <row r="17897">
      <c r="A17897" t="str">
        <f t="shared" si="1"/>
        <v>ssd#2007</v>
      </c>
      <c r="B17897" t="str">
        <f>IFERROR(__xludf.DUMMYFUNCTION("""COMPUTED_VALUE"""),"ssd")</f>
        <v>ssd</v>
      </c>
      <c r="C17897" t="str">
        <f>IFERROR(__xludf.DUMMYFUNCTION("""COMPUTED_VALUE"""),"South Sudan")</f>
        <v>South Sudan</v>
      </c>
      <c r="D17897">
        <f>IFERROR(__xludf.DUMMYFUNCTION("""COMPUTED_VALUE"""),2007.0)</f>
        <v>2007</v>
      </c>
      <c r="E17897">
        <f>IFERROR(__xludf.DUMMYFUNCTION("""COMPUTED_VALUE"""),8856800.0)</f>
        <v>8856800</v>
      </c>
    </row>
    <row r="17898">
      <c r="A17898" t="str">
        <f t="shared" si="1"/>
        <v>ssd#2008</v>
      </c>
      <c r="B17898" t="str">
        <f>IFERROR(__xludf.DUMMYFUNCTION("""COMPUTED_VALUE"""),"ssd")</f>
        <v>ssd</v>
      </c>
      <c r="C17898" t="str">
        <f>IFERROR(__xludf.DUMMYFUNCTION("""COMPUTED_VALUE"""),"South Sudan")</f>
        <v>South Sudan</v>
      </c>
      <c r="D17898">
        <f>IFERROR(__xludf.DUMMYFUNCTION("""COMPUTED_VALUE"""),2008.0)</f>
        <v>2008</v>
      </c>
      <c r="E17898">
        <f>IFERROR(__xludf.DUMMYFUNCTION("""COMPUTED_VALUE"""),9263136.0)</f>
        <v>9263136</v>
      </c>
    </row>
    <row r="17899">
      <c r="A17899" t="str">
        <f t="shared" si="1"/>
        <v>ssd#2009</v>
      </c>
      <c r="B17899" t="str">
        <f>IFERROR(__xludf.DUMMYFUNCTION("""COMPUTED_VALUE"""),"ssd")</f>
        <v>ssd</v>
      </c>
      <c r="C17899" t="str">
        <f>IFERROR(__xludf.DUMMYFUNCTION("""COMPUTED_VALUE"""),"South Sudan")</f>
        <v>South Sudan</v>
      </c>
      <c r="D17899">
        <f>IFERROR(__xludf.DUMMYFUNCTION("""COMPUTED_VALUE"""),2009.0)</f>
        <v>2009</v>
      </c>
      <c r="E17899">
        <f>IFERROR(__xludf.DUMMYFUNCTION("""COMPUTED_VALUE"""),9670667.0)</f>
        <v>9670667</v>
      </c>
    </row>
    <row r="17900">
      <c r="A17900" t="str">
        <f t="shared" si="1"/>
        <v>ssd#2010</v>
      </c>
      <c r="B17900" t="str">
        <f>IFERROR(__xludf.DUMMYFUNCTION("""COMPUTED_VALUE"""),"ssd")</f>
        <v>ssd</v>
      </c>
      <c r="C17900" t="str">
        <f>IFERROR(__xludf.DUMMYFUNCTION("""COMPUTED_VALUE"""),"South Sudan")</f>
        <v>South Sudan</v>
      </c>
      <c r="D17900">
        <f>IFERROR(__xludf.DUMMYFUNCTION("""COMPUTED_VALUE"""),2010.0)</f>
        <v>2010</v>
      </c>
      <c r="E17900">
        <f>IFERROR(__xludf.DUMMYFUNCTION("""COMPUTED_VALUE"""),1.0067192E7)</f>
        <v>10067192</v>
      </c>
    </row>
    <row r="17901">
      <c r="A17901" t="str">
        <f t="shared" si="1"/>
        <v>ssd#2011</v>
      </c>
      <c r="B17901" t="str">
        <f>IFERROR(__xludf.DUMMYFUNCTION("""COMPUTED_VALUE"""),"ssd")</f>
        <v>ssd</v>
      </c>
      <c r="C17901" t="str">
        <f>IFERROR(__xludf.DUMMYFUNCTION("""COMPUTED_VALUE"""),"South Sudan")</f>
        <v>South Sudan</v>
      </c>
      <c r="D17901">
        <f>IFERROR(__xludf.DUMMYFUNCTION("""COMPUTED_VALUE"""),2011.0)</f>
        <v>2011</v>
      </c>
      <c r="E17901">
        <f>IFERROR(__xludf.DUMMYFUNCTION("""COMPUTED_VALUE"""),1.0448857E7)</f>
        <v>10448857</v>
      </c>
    </row>
    <row r="17902">
      <c r="A17902" t="str">
        <f t="shared" si="1"/>
        <v>ssd#2012</v>
      </c>
      <c r="B17902" t="str">
        <f>IFERROR(__xludf.DUMMYFUNCTION("""COMPUTED_VALUE"""),"ssd")</f>
        <v>ssd</v>
      </c>
      <c r="C17902" t="str">
        <f>IFERROR(__xludf.DUMMYFUNCTION("""COMPUTED_VALUE"""),"South Sudan")</f>
        <v>South Sudan</v>
      </c>
      <c r="D17902">
        <f>IFERROR(__xludf.DUMMYFUNCTION("""COMPUTED_VALUE"""),2012.0)</f>
        <v>2012</v>
      </c>
      <c r="E17902">
        <f>IFERROR(__xludf.DUMMYFUNCTION("""COMPUTED_VALUE"""),1.0818258E7)</f>
        <v>10818258</v>
      </c>
    </row>
    <row r="17903">
      <c r="A17903" t="str">
        <f t="shared" si="1"/>
        <v>ssd#2013</v>
      </c>
      <c r="B17903" t="str">
        <f>IFERROR(__xludf.DUMMYFUNCTION("""COMPUTED_VALUE"""),"ssd")</f>
        <v>ssd</v>
      </c>
      <c r="C17903" t="str">
        <f>IFERROR(__xludf.DUMMYFUNCTION("""COMPUTED_VALUE"""),"South Sudan")</f>
        <v>South Sudan</v>
      </c>
      <c r="D17903">
        <f>IFERROR(__xludf.DUMMYFUNCTION("""COMPUTED_VALUE"""),2013.0)</f>
        <v>2013</v>
      </c>
      <c r="E17903">
        <f>IFERROR(__xludf.DUMMYFUNCTION("""COMPUTED_VALUE"""),1.117749E7)</f>
        <v>11177490</v>
      </c>
    </row>
    <row r="17904">
      <c r="A17904" t="str">
        <f t="shared" si="1"/>
        <v>ssd#2014</v>
      </c>
      <c r="B17904" t="str">
        <f>IFERROR(__xludf.DUMMYFUNCTION("""COMPUTED_VALUE"""),"ssd")</f>
        <v>ssd</v>
      </c>
      <c r="C17904" t="str">
        <f>IFERROR(__xludf.DUMMYFUNCTION("""COMPUTED_VALUE"""),"South Sudan")</f>
        <v>South Sudan</v>
      </c>
      <c r="D17904">
        <f>IFERROR(__xludf.DUMMYFUNCTION("""COMPUTED_VALUE"""),2014.0)</f>
        <v>2014</v>
      </c>
      <c r="E17904">
        <f>IFERROR(__xludf.DUMMYFUNCTION("""COMPUTED_VALUE"""),1.1530971E7)</f>
        <v>11530971</v>
      </c>
    </row>
    <row r="17905">
      <c r="A17905" t="str">
        <f t="shared" si="1"/>
        <v>ssd#2015</v>
      </c>
      <c r="B17905" t="str">
        <f>IFERROR(__xludf.DUMMYFUNCTION("""COMPUTED_VALUE"""),"ssd")</f>
        <v>ssd</v>
      </c>
      <c r="C17905" t="str">
        <f>IFERROR(__xludf.DUMMYFUNCTION("""COMPUTED_VALUE"""),"South Sudan")</f>
        <v>South Sudan</v>
      </c>
      <c r="D17905">
        <f>IFERROR(__xludf.DUMMYFUNCTION("""COMPUTED_VALUE"""),2015.0)</f>
        <v>2015</v>
      </c>
      <c r="E17905">
        <f>IFERROR(__xludf.DUMMYFUNCTION("""COMPUTED_VALUE"""),1.1882136E7)</f>
        <v>11882136</v>
      </c>
    </row>
    <row r="17906">
      <c r="A17906" t="str">
        <f t="shared" si="1"/>
        <v>ssd#2016</v>
      </c>
      <c r="B17906" t="str">
        <f>IFERROR(__xludf.DUMMYFUNCTION("""COMPUTED_VALUE"""),"ssd")</f>
        <v>ssd</v>
      </c>
      <c r="C17906" t="str">
        <f>IFERROR(__xludf.DUMMYFUNCTION("""COMPUTED_VALUE"""),"South Sudan")</f>
        <v>South Sudan</v>
      </c>
      <c r="D17906">
        <f>IFERROR(__xludf.DUMMYFUNCTION("""COMPUTED_VALUE"""),2016.0)</f>
        <v>2016</v>
      </c>
      <c r="E17906">
        <f>IFERROR(__xludf.DUMMYFUNCTION("""COMPUTED_VALUE"""),1.223073E7)</f>
        <v>12230730</v>
      </c>
    </row>
    <row r="17907">
      <c r="A17907" t="str">
        <f t="shared" si="1"/>
        <v>ssd#2017</v>
      </c>
      <c r="B17907" t="str">
        <f>IFERROR(__xludf.DUMMYFUNCTION("""COMPUTED_VALUE"""),"ssd")</f>
        <v>ssd</v>
      </c>
      <c r="C17907" t="str">
        <f>IFERROR(__xludf.DUMMYFUNCTION("""COMPUTED_VALUE"""),"South Sudan")</f>
        <v>South Sudan</v>
      </c>
      <c r="D17907">
        <f>IFERROR(__xludf.DUMMYFUNCTION("""COMPUTED_VALUE"""),2017.0)</f>
        <v>2017</v>
      </c>
      <c r="E17907">
        <f>IFERROR(__xludf.DUMMYFUNCTION("""COMPUTED_VALUE"""),1.2575714E7)</f>
        <v>12575714</v>
      </c>
    </row>
    <row r="17908">
      <c r="A17908" t="str">
        <f t="shared" si="1"/>
        <v>ssd#2018</v>
      </c>
      <c r="B17908" t="str">
        <f>IFERROR(__xludf.DUMMYFUNCTION("""COMPUTED_VALUE"""),"ssd")</f>
        <v>ssd</v>
      </c>
      <c r="C17908" t="str">
        <f>IFERROR(__xludf.DUMMYFUNCTION("""COMPUTED_VALUE"""),"South Sudan")</f>
        <v>South Sudan</v>
      </c>
      <c r="D17908">
        <f>IFERROR(__xludf.DUMMYFUNCTION("""COMPUTED_VALUE"""),2018.0)</f>
        <v>2018</v>
      </c>
      <c r="E17908">
        <f>IFERROR(__xludf.DUMMYFUNCTION("""COMPUTED_VALUE"""),1.2919053E7)</f>
        <v>12919053</v>
      </c>
    </row>
    <row r="17909">
      <c r="A17909" t="str">
        <f t="shared" si="1"/>
        <v>ssd#2019</v>
      </c>
      <c r="B17909" t="str">
        <f>IFERROR(__xludf.DUMMYFUNCTION("""COMPUTED_VALUE"""),"ssd")</f>
        <v>ssd</v>
      </c>
      <c r="C17909" t="str">
        <f>IFERROR(__xludf.DUMMYFUNCTION("""COMPUTED_VALUE"""),"South Sudan")</f>
        <v>South Sudan</v>
      </c>
      <c r="D17909">
        <f>IFERROR(__xludf.DUMMYFUNCTION("""COMPUTED_VALUE"""),2019.0)</f>
        <v>2019</v>
      </c>
      <c r="E17909">
        <f>IFERROR(__xludf.DUMMYFUNCTION("""COMPUTED_VALUE"""),1.3263184E7)</f>
        <v>13263184</v>
      </c>
    </row>
    <row r="17910">
      <c r="A17910" t="str">
        <f t="shared" si="1"/>
        <v>ssd#2020</v>
      </c>
      <c r="B17910" t="str">
        <f>IFERROR(__xludf.DUMMYFUNCTION("""COMPUTED_VALUE"""),"ssd")</f>
        <v>ssd</v>
      </c>
      <c r="C17910" t="str">
        <f>IFERROR(__xludf.DUMMYFUNCTION("""COMPUTED_VALUE"""),"South Sudan")</f>
        <v>South Sudan</v>
      </c>
      <c r="D17910">
        <f>IFERROR(__xludf.DUMMYFUNCTION("""COMPUTED_VALUE"""),2020.0)</f>
        <v>2020</v>
      </c>
      <c r="E17910">
        <f>IFERROR(__xludf.DUMMYFUNCTION("""COMPUTED_VALUE"""),1.3610007E7)</f>
        <v>13610007</v>
      </c>
    </row>
    <row r="17911">
      <c r="A17911" t="str">
        <f t="shared" si="1"/>
        <v>ssd#2021</v>
      </c>
      <c r="B17911" t="str">
        <f>IFERROR(__xludf.DUMMYFUNCTION("""COMPUTED_VALUE"""),"ssd")</f>
        <v>ssd</v>
      </c>
      <c r="C17911" t="str">
        <f>IFERROR(__xludf.DUMMYFUNCTION("""COMPUTED_VALUE"""),"South Sudan")</f>
        <v>South Sudan</v>
      </c>
      <c r="D17911">
        <f>IFERROR(__xludf.DUMMYFUNCTION("""COMPUTED_VALUE"""),2021.0)</f>
        <v>2021</v>
      </c>
      <c r="E17911">
        <f>IFERROR(__xludf.DUMMYFUNCTION("""COMPUTED_VALUE"""),1.3960428E7)</f>
        <v>13960428</v>
      </c>
    </row>
    <row r="17912">
      <c r="A17912" t="str">
        <f t="shared" si="1"/>
        <v>ssd#2022</v>
      </c>
      <c r="B17912" t="str">
        <f>IFERROR(__xludf.DUMMYFUNCTION("""COMPUTED_VALUE"""),"ssd")</f>
        <v>ssd</v>
      </c>
      <c r="C17912" t="str">
        <f>IFERROR(__xludf.DUMMYFUNCTION("""COMPUTED_VALUE"""),"South Sudan")</f>
        <v>South Sudan</v>
      </c>
      <c r="D17912">
        <f>IFERROR(__xludf.DUMMYFUNCTION("""COMPUTED_VALUE"""),2022.0)</f>
        <v>2022</v>
      </c>
      <c r="E17912">
        <f>IFERROR(__xludf.DUMMYFUNCTION("""COMPUTED_VALUE"""),1.4314458E7)</f>
        <v>14314458</v>
      </c>
    </row>
    <row r="17913">
      <c r="A17913" t="str">
        <f t="shared" si="1"/>
        <v>ssd#2023</v>
      </c>
      <c r="B17913" t="str">
        <f>IFERROR(__xludf.DUMMYFUNCTION("""COMPUTED_VALUE"""),"ssd")</f>
        <v>ssd</v>
      </c>
      <c r="C17913" t="str">
        <f>IFERROR(__xludf.DUMMYFUNCTION("""COMPUTED_VALUE"""),"South Sudan")</f>
        <v>South Sudan</v>
      </c>
      <c r="D17913">
        <f>IFERROR(__xludf.DUMMYFUNCTION("""COMPUTED_VALUE"""),2023.0)</f>
        <v>2023</v>
      </c>
      <c r="E17913">
        <f>IFERROR(__xludf.DUMMYFUNCTION("""COMPUTED_VALUE"""),1.4671974E7)</f>
        <v>14671974</v>
      </c>
    </row>
    <row r="17914">
      <c r="A17914" t="str">
        <f t="shared" si="1"/>
        <v>ssd#2024</v>
      </c>
      <c r="B17914" t="str">
        <f>IFERROR(__xludf.DUMMYFUNCTION("""COMPUTED_VALUE"""),"ssd")</f>
        <v>ssd</v>
      </c>
      <c r="C17914" t="str">
        <f>IFERROR(__xludf.DUMMYFUNCTION("""COMPUTED_VALUE"""),"South Sudan")</f>
        <v>South Sudan</v>
      </c>
      <c r="D17914">
        <f>IFERROR(__xludf.DUMMYFUNCTION("""COMPUTED_VALUE"""),2024.0)</f>
        <v>2024</v>
      </c>
      <c r="E17914">
        <f>IFERROR(__xludf.DUMMYFUNCTION("""COMPUTED_VALUE"""),1.503244E7)</f>
        <v>15032440</v>
      </c>
    </row>
    <row r="17915">
      <c r="A17915" t="str">
        <f t="shared" si="1"/>
        <v>ssd#2025</v>
      </c>
      <c r="B17915" t="str">
        <f>IFERROR(__xludf.DUMMYFUNCTION("""COMPUTED_VALUE"""),"ssd")</f>
        <v>ssd</v>
      </c>
      <c r="C17915" t="str">
        <f>IFERROR(__xludf.DUMMYFUNCTION("""COMPUTED_VALUE"""),"South Sudan")</f>
        <v>South Sudan</v>
      </c>
      <c r="D17915">
        <f>IFERROR(__xludf.DUMMYFUNCTION("""COMPUTED_VALUE"""),2025.0)</f>
        <v>2025</v>
      </c>
      <c r="E17915">
        <f>IFERROR(__xludf.DUMMYFUNCTION("""COMPUTED_VALUE"""),1.5395477E7)</f>
        <v>15395477</v>
      </c>
    </row>
    <row r="17916">
      <c r="A17916" t="str">
        <f t="shared" si="1"/>
        <v>ssd#2026</v>
      </c>
      <c r="B17916" t="str">
        <f>IFERROR(__xludf.DUMMYFUNCTION("""COMPUTED_VALUE"""),"ssd")</f>
        <v>ssd</v>
      </c>
      <c r="C17916" t="str">
        <f>IFERROR(__xludf.DUMMYFUNCTION("""COMPUTED_VALUE"""),"South Sudan")</f>
        <v>South Sudan</v>
      </c>
      <c r="D17916">
        <f>IFERROR(__xludf.DUMMYFUNCTION("""COMPUTED_VALUE"""),2026.0)</f>
        <v>2026</v>
      </c>
      <c r="E17916">
        <f>IFERROR(__xludf.DUMMYFUNCTION("""COMPUTED_VALUE"""),1.5761305E7)</f>
        <v>15761305</v>
      </c>
    </row>
    <row r="17917">
      <c r="A17917" t="str">
        <f t="shared" si="1"/>
        <v>ssd#2027</v>
      </c>
      <c r="B17917" t="str">
        <f>IFERROR(__xludf.DUMMYFUNCTION("""COMPUTED_VALUE"""),"ssd")</f>
        <v>ssd</v>
      </c>
      <c r="C17917" t="str">
        <f>IFERROR(__xludf.DUMMYFUNCTION("""COMPUTED_VALUE"""),"South Sudan")</f>
        <v>South Sudan</v>
      </c>
      <c r="D17917">
        <f>IFERROR(__xludf.DUMMYFUNCTION("""COMPUTED_VALUE"""),2027.0)</f>
        <v>2027</v>
      </c>
      <c r="E17917">
        <f>IFERROR(__xludf.DUMMYFUNCTION("""COMPUTED_VALUE"""),1.6130267E7)</f>
        <v>16130267</v>
      </c>
    </row>
    <row r="17918">
      <c r="A17918" t="str">
        <f t="shared" si="1"/>
        <v>ssd#2028</v>
      </c>
      <c r="B17918" t="str">
        <f>IFERROR(__xludf.DUMMYFUNCTION("""COMPUTED_VALUE"""),"ssd")</f>
        <v>ssd</v>
      </c>
      <c r="C17918" t="str">
        <f>IFERROR(__xludf.DUMMYFUNCTION("""COMPUTED_VALUE"""),"South Sudan")</f>
        <v>South Sudan</v>
      </c>
      <c r="D17918">
        <f>IFERROR(__xludf.DUMMYFUNCTION("""COMPUTED_VALUE"""),2028.0)</f>
        <v>2028</v>
      </c>
      <c r="E17918">
        <f>IFERROR(__xludf.DUMMYFUNCTION("""COMPUTED_VALUE"""),1.6502233E7)</f>
        <v>16502233</v>
      </c>
    </row>
    <row r="17919">
      <c r="A17919" t="str">
        <f t="shared" si="1"/>
        <v>ssd#2029</v>
      </c>
      <c r="B17919" t="str">
        <f>IFERROR(__xludf.DUMMYFUNCTION("""COMPUTED_VALUE"""),"ssd")</f>
        <v>ssd</v>
      </c>
      <c r="C17919" t="str">
        <f>IFERROR(__xludf.DUMMYFUNCTION("""COMPUTED_VALUE"""),"South Sudan")</f>
        <v>South Sudan</v>
      </c>
      <c r="D17919">
        <f>IFERROR(__xludf.DUMMYFUNCTION("""COMPUTED_VALUE"""),2029.0)</f>
        <v>2029</v>
      </c>
      <c r="E17919">
        <f>IFERROR(__xludf.DUMMYFUNCTION("""COMPUTED_VALUE"""),1.6876974E7)</f>
        <v>16876974</v>
      </c>
    </row>
    <row r="17920">
      <c r="A17920" t="str">
        <f t="shared" si="1"/>
        <v>ssd#2030</v>
      </c>
      <c r="B17920" t="str">
        <f>IFERROR(__xludf.DUMMYFUNCTION("""COMPUTED_VALUE"""),"ssd")</f>
        <v>ssd</v>
      </c>
      <c r="C17920" t="str">
        <f>IFERROR(__xludf.DUMMYFUNCTION("""COMPUTED_VALUE"""),"South Sudan")</f>
        <v>South Sudan</v>
      </c>
      <c r="D17920">
        <f>IFERROR(__xludf.DUMMYFUNCTION("""COMPUTED_VALUE"""),2030.0)</f>
        <v>2030</v>
      </c>
      <c r="E17920">
        <f>IFERROR(__xludf.DUMMYFUNCTION("""COMPUTED_VALUE"""),1.7254367E7)</f>
        <v>17254367</v>
      </c>
    </row>
    <row r="17921">
      <c r="A17921" t="str">
        <f t="shared" si="1"/>
        <v>ssd#2031</v>
      </c>
      <c r="B17921" t="str">
        <f>IFERROR(__xludf.DUMMYFUNCTION("""COMPUTED_VALUE"""),"ssd")</f>
        <v>ssd</v>
      </c>
      <c r="C17921" t="str">
        <f>IFERROR(__xludf.DUMMYFUNCTION("""COMPUTED_VALUE"""),"South Sudan")</f>
        <v>South Sudan</v>
      </c>
      <c r="D17921">
        <f>IFERROR(__xludf.DUMMYFUNCTION("""COMPUTED_VALUE"""),2031.0)</f>
        <v>2031</v>
      </c>
      <c r="E17921">
        <f>IFERROR(__xludf.DUMMYFUNCTION("""COMPUTED_VALUE"""),1.7634307E7)</f>
        <v>17634307</v>
      </c>
    </row>
    <row r="17922">
      <c r="A17922" t="str">
        <f t="shared" si="1"/>
        <v>ssd#2032</v>
      </c>
      <c r="B17922" t="str">
        <f>IFERROR(__xludf.DUMMYFUNCTION("""COMPUTED_VALUE"""),"ssd")</f>
        <v>ssd</v>
      </c>
      <c r="C17922" t="str">
        <f>IFERROR(__xludf.DUMMYFUNCTION("""COMPUTED_VALUE"""),"South Sudan")</f>
        <v>South Sudan</v>
      </c>
      <c r="D17922">
        <f>IFERROR(__xludf.DUMMYFUNCTION("""COMPUTED_VALUE"""),2032.0)</f>
        <v>2032</v>
      </c>
      <c r="E17922">
        <f>IFERROR(__xludf.DUMMYFUNCTION("""COMPUTED_VALUE"""),1.8016908E7)</f>
        <v>18016908</v>
      </c>
    </row>
    <row r="17923">
      <c r="A17923" t="str">
        <f t="shared" si="1"/>
        <v>ssd#2033</v>
      </c>
      <c r="B17923" t="str">
        <f>IFERROR(__xludf.DUMMYFUNCTION("""COMPUTED_VALUE"""),"ssd")</f>
        <v>ssd</v>
      </c>
      <c r="C17923" t="str">
        <f>IFERROR(__xludf.DUMMYFUNCTION("""COMPUTED_VALUE"""),"South Sudan")</f>
        <v>South Sudan</v>
      </c>
      <c r="D17923">
        <f>IFERROR(__xludf.DUMMYFUNCTION("""COMPUTED_VALUE"""),2033.0)</f>
        <v>2033</v>
      </c>
      <c r="E17923">
        <f>IFERROR(__xludf.DUMMYFUNCTION("""COMPUTED_VALUE"""),1.8402372E7)</f>
        <v>18402372</v>
      </c>
    </row>
    <row r="17924">
      <c r="A17924" t="str">
        <f t="shared" si="1"/>
        <v>ssd#2034</v>
      </c>
      <c r="B17924" t="str">
        <f>IFERROR(__xludf.DUMMYFUNCTION("""COMPUTED_VALUE"""),"ssd")</f>
        <v>ssd</v>
      </c>
      <c r="C17924" t="str">
        <f>IFERROR(__xludf.DUMMYFUNCTION("""COMPUTED_VALUE"""),"South Sudan")</f>
        <v>South Sudan</v>
      </c>
      <c r="D17924">
        <f>IFERROR(__xludf.DUMMYFUNCTION("""COMPUTED_VALUE"""),2034.0)</f>
        <v>2034</v>
      </c>
      <c r="E17924">
        <f>IFERROR(__xludf.DUMMYFUNCTION("""COMPUTED_VALUE"""),1.879097E7)</f>
        <v>18790970</v>
      </c>
    </row>
    <row r="17925">
      <c r="A17925" t="str">
        <f t="shared" si="1"/>
        <v>ssd#2035</v>
      </c>
      <c r="B17925" t="str">
        <f>IFERROR(__xludf.DUMMYFUNCTION("""COMPUTED_VALUE"""),"ssd")</f>
        <v>ssd</v>
      </c>
      <c r="C17925" t="str">
        <f>IFERROR(__xludf.DUMMYFUNCTION("""COMPUTED_VALUE"""),"South Sudan")</f>
        <v>South Sudan</v>
      </c>
      <c r="D17925">
        <f>IFERROR(__xludf.DUMMYFUNCTION("""COMPUTED_VALUE"""),2035.0)</f>
        <v>2035</v>
      </c>
      <c r="E17925">
        <f>IFERROR(__xludf.DUMMYFUNCTION("""COMPUTED_VALUE"""),1.9182891E7)</f>
        <v>19182891</v>
      </c>
    </row>
    <row r="17926">
      <c r="A17926" t="str">
        <f t="shared" si="1"/>
        <v>ssd#2036</v>
      </c>
      <c r="B17926" t="str">
        <f>IFERROR(__xludf.DUMMYFUNCTION("""COMPUTED_VALUE"""),"ssd")</f>
        <v>ssd</v>
      </c>
      <c r="C17926" t="str">
        <f>IFERROR(__xludf.DUMMYFUNCTION("""COMPUTED_VALUE"""),"South Sudan")</f>
        <v>South Sudan</v>
      </c>
      <c r="D17926">
        <f>IFERROR(__xludf.DUMMYFUNCTION("""COMPUTED_VALUE"""),2036.0)</f>
        <v>2036</v>
      </c>
      <c r="E17926">
        <f>IFERROR(__xludf.DUMMYFUNCTION("""COMPUTED_VALUE"""),1.9578154E7)</f>
        <v>19578154</v>
      </c>
    </row>
    <row r="17927">
      <c r="A17927" t="str">
        <f t="shared" si="1"/>
        <v>ssd#2037</v>
      </c>
      <c r="B17927" t="str">
        <f>IFERROR(__xludf.DUMMYFUNCTION("""COMPUTED_VALUE"""),"ssd")</f>
        <v>ssd</v>
      </c>
      <c r="C17927" t="str">
        <f>IFERROR(__xludf.DUMMYFUNCTION("""COMPUTED_VALUE"""),"South Sudan")</f>
        <v>South Sudan</v>
      </c>
      <c r="D17927">
        <f>IFERROR(__xludf.DUMMYFUNCTION("""COMPUTED_VALUE"""),2037.0)</f>
        <v>2037</v>
      </c>
      <c r="E17927">
        <f>IFERROR(__xludf.DUMMYFUNCTION("""COMPUTED_VALUE"""),1.9976625E7)</f>
        <v>19976625</v>
      </c>
    </row>
    <row r="17928">
      <c r="A17928" t="str">
        <f t="shared" si="1"/>
        <v>ssd#2038</v>
      </c>
      <c r="B17928" t="str">
        <f>IFERROR(__xludf.DUMMYFUNCTION("""COMPUTED_VALUE"""),"ssd")</f>
        <v>ssd</v>
      </c>
      <c r="C17928" t="str">
        <f>IFERROR(__xludf.DUMMYFUNCTION("""COMPUTED_VALUE"""),"South Sudan")</f>
        <v>South Sudan</v>
      </c>
      <c r="D17928">
        <f>IFERROR(__xludf.DUMMYFUNCTION("""COMPUTED_VALUE"""),2038.0)</f>
        <v>2038</v>
      </c>
      <c r="E17928">
        <f>IFERROR(__xludf.DUMMYFUNCTION("""COMPUTED_VALUE"""),2.0378119E7)</f>
        <v>20378119</v>
      </c>
    </row>
    <row r="17929">
      <c r="A17929" t="str">
        <f t="shared" si="1"/>
        <v>ssd#2039</v>
      </c>
      <c r="B17929" t="str">
        <f>IFERROR(__xludf.DUMMYFUNCTION("""COMPUTED_VALUE"""),"ssd")</f>
        <v>ssd</v>
      </c>
      <c r="C17929" t="str">
        <f>IFERROR(__xludf.DUMMYFUNCTION("""COMPUTED_VALUE"""),"South Sudan")</f>
        <v>South Sudan</v>
      </c>
      <c r="D17929">
        <f>IFERROR(__xludf.DUMMYFUNCTION("""COMPUTED_VALUE"""),2039.0)</f>
        <v>2039</v>
      </c>
      <c r="E17929">
        <f>IFERROR(__xludf.DUMMYFUNCTION("""COMPUTED_VALUE"""),2.0782386E7)</f>
        <v>20782386</v>
      </c>
    </row>
    <row r="17930">
      <c r="A17930" t="str">
        <f t="shared" si="1"/>
        <v>ssd#2040</v>
      </c>
      <c r="B17930" t="str">
        <f>IFERROR(__xludf.DUMMYFUNCTION("""COMPUTED_VALUE"""),"ssd")</f>
        <v>ssd</v>
      </c>
      <c r="C17930" t="str">
        <f>IFERROR(__xludf.DUMMYFUNCTION("""COMPUTED_VALUE"""),"South Sudan")</f>
        <v>South Sudan</v>
      </c>
      <c r="D17930">
        <f>IFERROR(__xludf.DUMMYFUNCTION("""COMPUTED_VALUE"""),2040.0)</f>
        <v>2040</v>
      </c>
      <c r="E17930">
        <f>IFERROR(__xludf.DUMMYFUNCTION("""COMPUTED_VALUE"""),2.1189205E7)</f>
        <v>21189205</v>
      </c>
    </row>
  </sheetData>
  <drawing r:id="rId1"/>
</worksheet>
</file>